
<file path=[Content_Types].xml><?xml version="1.0" encoding="utf-8"?>
<Types xmlns="http://schemas.openxmlformats.org/package/2006/content-types">
  <Default ContentType="application/vnd.openxmlformats-officedocument.spreadsheetml.printerSettings" Extension="bin"/>
  <Default ContentType="image/jpeg" Extension="jpeg"/>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ustomProperty" PartName="/xl/customProperty1.bin"/>
  <Override ContentType="application/vnd.openxmlformats-officedocument.spreadsheetml.customProperty" PartName="/xl/customProperty2.bin"/>
  <Override ContentType="application/vnd.openxmlformats-officedocument.spreadsheetml.customProperty" PartName="/xl/customProperty3.bin"/>
  <Override ContentType="application/vnd.openxmlformats-officedocument.spreadsheetml.customProperty" PartName="/xl/customProperty4.bin"/>
  <Override ContentType="application/vnd.openxmlformats-officedocument.spreadsheetml.customProperty" PartName="/xl/customProperty5.bin"/>
  <Override ContentType="application/vnd.openxmlformats-officedocument.spreadsheetml.customProperty" PartName="/xl/customProperty6.bin"/>
  <Override ContentType="application/vnd.openxmlformats-officedocument.spreadsheetml.customProperty" PartName="/xl/customProperty7.bin"/>
  <Override ContentType="application/vnd.openxmlformats-officedocument.spreadsheetml.customProperty" PartName="/xl/customProperty8.bin"/>
  <Override ContentType="application/vnd.openxmlformats-officedocument.spreadsheetml.customProperty" PartName="/xl/customProperty9.bin"/>
  <Override ContentType="application/vnd.openxmlformats-officedocument.spreadsheetml.customProperty" PartName="/xl/customProperty10.bin"/>
  <Override ContentType="application/vnd.openxmlformats-officedocument.spreadsheetml.customProperty" PartName="/xl/customProperty11.bin"/>
  <Override ContentType="application/vnd.openxmlformats-officedocument.spreadsheetml.customProperty" PartName="/xl/customProperty12.bin"/>
  <Override ContentType="application/vnd.openxmlformats-officedocument.spreadsheetml.customProperty" PartName="/xl/customProperty13.bin"/>
  <Override ContentType="application/vnd.openxmlformats-officedocument.spreadsheetml.customProperty" PartName="/xl/customProperty14.bin"/>
  <Override ContentType="application/vnd.openxmlformats-officedocument.spreadsheetml.customProperty" PartName="/xl/customProperty15.bin"/>
  <Override ContentType="application/vnd.openxmlformats-officedocument.spreadsheetml.customProperty" PartName="/xl/customProperty16.bin"/>
  <Override ContentType="application/vnd.openxmlformats-officedocument.spreadsheetml.customProperty" PartName="/xl/customProperty17.bin"/>
  <Override ContentType="application/vnd.openxmlformats-officedocument.spreadsheetml.customProperty" PartName="/xl/customProperty18.bin"/>
  <Override ContentType="application/vnd.openxmlformats-officedocument.spreadsheetml.customProperty" PartName="/xl/customProperty19.bin"/>
  <Override ContentType="application/vnd.openxmlformats-officedocument.spreadsheetml.customProperty" PartName="/xl/customProperty20.bin"/>
  <Override ContentType="application/vnd.openxmlformats-officedocument.spreadsheetml.customProperty" PartName="/xl/customProperty21.bin"/>
  <Override ContentType="application/vnd.openxmlformats-officedocument.spreadsheetml.customProperty" PartName="/xl/customProperty22.bin"/>
  <Override ContentType="application/vnd.openxmlformats-officedocument.spreadsheetml.customProperty" PartName="/xl/customProperty23.bin"/>
  <Override ContentType="application/vnd.openxmlformats-officedocument.spreadsheetml.customProperty" PartName="/xl/customProperty24.bin"/>
  <Override ContentType="application/vnd.openxmlformats-officedocument.spreadsheetml.customProperty" PartName="/xl/customProperty25.bin"/>
  <Override ContentType="application/vnd.openxmlformats-officedocument.spreadsheetml.customProperty" PartName="/xl/customProperty26.bin"/>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defaultThemeVersion="124226"/>
  <mc:AlternateContent xmlns:mc="http://schemas.openxmlformats.org/markup-compatibility/2006">
    <mc:Choice Requires="x15">
      <x15ac:absPath xmlns:x15ac="http://schemas.microsoft.com/office/spreadsheetml/2010/11/ac" url="C:\My Workspace\Jarvis_QA\PSM\"/>
    </mc:Choice>
  </mc:AlternateContent>
  <bookViews>
    <workbookView xWindow="0" yWindow="2445" windowWidth="14835" windowHeight="6495" tabRatio="927" firstSheet="5" activeTab="10"/>
  </bookViews>
  <sheets>
    <sheet name="TOC" sheetId="1" r:id="rId1"/>
    <sheet name="Show Info" sheetId="2" r:id="rId2"/>
    <sheet name="Show Services" sheetId="3" r:id="rId3"/>
    <sheet name="Customer Service" sheetId="11" state="hidden" r:id="rId4"/>
    <sheet name="Inquiry" sheetId="35" state="hidden" r:id="rId5"/>
    <sheet name="Reg Codes" sheetId="6" r:id="rId6"/>
    <sheet name="Fields" sheetId="7" r:id="rId7"/>
    <sheet name="Field Designations" sheetId="5" r:id="rId8"/>
    <sheet name="Demos" sheetId="20" r:id="rId9"/>
    <sheet name="Options" sheetId="10" r:id="rId10"/>
    <sheet name="Reg Types" sheetId="9" r:id="rId11"/>
    <sheet name="Exhibitor" sheetId="22" r:id="rId12"/>
    <sheet name="Invite A Customer" sheetId="36" state="hidden" r:id="rId13"/>
    <sheet name="Membership" sheetId="21" r:id="rId14"/>
    <sheet name="Discount Mgr" sheetId="8" r:id="rId15"/>
    <sheet name="Qualification Mgr" sheetId="17" r:id="rId16"/>
    <sheet name="Financial" sheetId="4" r:id="rId17"/>
    <sheet name="Housing" sheetId="23" state="hidden" r:id="rId18"/>
    <sheet name="Confirmations" sheetId="24" r:id="rId19"/>
    <sheet name="Reporting " sheetId="25" r:id="rId20"/>
    <sheet name="Client Services &amp; Database Mgr" sheetId="15" r:id="rId21"/>
    <sheet name="Data Control" sheetId="12" state="hidden" r:id="rId22"/>
    <sheet name="Web Dashboard" sheetId="41" state="hidden" r:id="rId23"/>
    <sheet name="Attendee Exhibitor Matching " sheetId="38" state="hidden" r:id="rId24"/>
    <sheet name="Attendee Init Exh Appointment  " sheetId="39" state="hidden" r:id="rId25"/>
    <sheet name="Registration Widget Setup " sheetId="40" state="hidden" r:id="rId26"/>
    <sheet name="myLeads " sheetId="34" r:id="rId27"/>
    <sheet name="Exhibitor Contet" sheetId="43" state="hidden" r:id="rId28"/>
    <sheet name="Materials" sheetId="18" r:id="rId29"/>
    <sheet name="Notes" sheetId="37" r:id="rId30"/>
    <sheet name="Badge Ticket Formats" sheetId="19" r:id="rId31"/>
    <sheet name="Onsite" sheetId="26" r:id="rId32"/>
    <sheet name="ESG" sheetId="28" r:id="rId33"/>
    <sheet name="Post Show " sheetId="29" r:id="rId34"/>
    <sheet name="Data Transfer" sheetId="13" state="hidden" r:id="rId35"/>
    <sheet name="PrePop AutoReg" sheetId="14" state="hidden" r:id="rId36"/>
    <sheet name="Additional Services" sheetId="31" state="hidden" r:id="rId37"/>
    <sheet name="Reference" sheetId="30" r:id="rId38"/>
    <sheet name="DV-IDENTITY-0" sheetId="33" state="veryHidden" r:id="rId39"/>
    <sheet name="Additional Programming" sheetId="44" r:id="rId40"/>
  </sheets>
  <definedNames>
    <definedName name="_ep732442" localSheetId="30">'Badge Ticket Formats'!#REF!</definedName>
    <definedName name="_ep982097" localSheetId="30">'Badge Ticket Formats'!#REF!</definedName>
    <definedName name="_ep983448" localSheetId="30">'Badge Ticket Formats'!#REF!</definedName>
    <definedName name="_ep983571" localSheetId="30">'Badge Ticket Formats'!#REF!</definedName>
    <definedName name="_ep987858" localSheetId="30">'Badge Ticket Formats'!#REF!</definedName>
    <definedName name="_GoBack" localSheetId="36">'Additional Services'!#REF!</definedName>
    <definedName name="A2YesNo" localSheetId="34">#REF!</definedName>
    <definedName name="A2YesNo" localSheetId="6">#REF!</definedName>
    <definedName name="A2YesNo" localSheetId="4">#REF!</definedName>
    <definedName name="A2YesNo" localSheetId="12">#REF!</definedName>
    <definedName name="A2YesNo" localSheetId="26">#REF!</definedName>
    <definedName name="A2YesNo" localSheetId="35">#REF!</definedName>
    <definedName name="A2YesNo">#REF!</definedName>
    <definedName name="AppliesTo" localSheetId="4">#REF!</definedName>
    <definedName name="AppliesTo" localSheetId="12">#REF!</definedName>
    <definedName name="AppliesTo">#REF!</definedName>
    <definedName name="BadgeMailing" localSheetId="4">#REF!</definedName>
    <definedName name="BadgeMailing" localSheetId="12">#REF!</definedName>
    <definedName name="BadgeMailing">#REF!</definedName>
    <definedName name="BadgeTicketFormats">'Badge Ticket Formats'!$A$2</definedName>
    <definedName name="BadgeTicketFormats_CredentialFormat" localSheetId="34">'Badge Ticket Formats'!#REF!</definedName>
    <definedName name="BadgeTicketFormats_CredentialFormat" localSheetId="6">'Badge Ticket Formats'!#REF!</definedName>
    <definedName name="BadgeTicketFormats_CredentialFormat" localSheetId="4">'Badge Ticket Formats'!#REF!</definedName>
    <definedName name="BadgeTicketFormats_CredentialFormat" localSheetId="12">'Badge Ticket Formats'!#REF!</definedName>
    <definedName name="BadgeTicketFormats_CredentialFormat" localSheetId="26">'Badge Ticket Formats'!#REF!</definedName>
    <definedName name="BadgeTicketFormats_CredentialFormat" localSheetId="35">'Badge Ticket Formats'!#REF!</definedName>
    <definedName name="BadgeTicketFormats_CredentialFormat">'Badge Ticket Formats'!#REF!</definedName>
    <definedName name="BadgeTicketFormats_CredentialFormats" localSheetId="4">'Badge Ticket Formats'!#REF!</definedName>
    <definedName name="BadgeTicketFormats_CredentialFormats" localSheetId="12">'Badge Ticket Formats'!#REF!</definedName>
    <definedName name="BadgeTicketFormats_CredentialFormats" localSheetId="26">'Badge Ticket Formats'!#REF!</definedName>
    <definedName name="BadgeTicketFormats_CredentialFormats">'Badge Ticket Formats'!#REF!</definedName>
    <definedName name="BadgeTicketFormats_CredentialOutput" localSheetId="34">'Badge Ticket Formats'!#REF!</definedName>
    <definedName name="BadgeTicketFormats_CredentialOutput" localSheetId="6">'Badge Ticket Formats'!#REF!</definedName>
    <definedName name="BadgeTicketFormats_CredentialOutput" localSheetId="4">'Badge Ticket Formats'!#REF!</definedName>
    <definedName name="BadgeTicketFormats_CredentialOutput" localSheetId="12">'Badge Ticket Formats'!#REF!</definedName>
    <definedName name="BadgeTicketFormats_CredentialOutput" localSheetId="26">'Badge Ticket Formats'!#REF!</definedName>
    <definedName name="BadgeTicketFormats_CredentialOutput" localSheetId="35">'Badge Ticket Formats'!#REF!</definedName>
    <definedName name="BadgeTicketFormats_CredentialOutput">'Badge Ticket Formats'!#REF!</definedName>
    <definedName name="BadgeTicketFormats_CredentialsOutput">'Badge Ticket Formats'!#REF!</definedName>
    <definedName name="BadgeTicketFormats_ExpressmailOptions" localSheetId="34">'Badge Ticket Formats'!#REF!</definedName>
    <definedName name="BadgeTicketFormats_ExpressmailOptions" localSheetId="6">'Badge Ticket Formats'!#REF!</definedName>
    <definedName name="BadgeTicketFormats_ExpressmailOptions" localSheetId="4">'Badge Ticket Formats'!#REF!</definedName>
    <definedName name="BadgeTicketFormats_ExpressmailOptions" localSheetId="12">'Badge Ticket Formats'!#REF!</definedName>
    <definedName name="BadgeTicketFormats_ExpressmailOptions" localSheetId="26">'Badge Ticket Formats'!#REF!</definedName>
    <definedName name="BadgeTicketFormats_ExpressmailOptions" localSheetId="35">'Badge Ticket Formats'!#REF!</definedName>
    <definedName name="BadgeTicketFormats_ExpressmailOptions">'Badge Ticket Formats'!#REF!</definedName>
    <definedName name="BadgeTicketFormats_SelfRegREceipts" localSheetId="4">'Badge Ticket Formats'!#REF!</definedName>
    <definedName name="BadgeTicketFormats_SelfRegREceipts" localSheetId="12">'Badge Ticket Formats'!#REF!</definedName>
    <definedName name="BadgeTicketFormats_SelfRegREceipts" localSheetId="26">'Badge Ticket Formats'!#REF!</definedName>
    <definedName name="BadgeTicketFormats_SelfRegREceipts">'Badge Ticket Formats'!#REF!</definedName>
    <definedName name="BusinessRules" localSheetId="4">#REF!</definedName>
    <definedName name="BusinessRules" localSheetId="12">#REF!</definedName>
    <definedName name="BusinessRules">#REF!</definedName>
    <definedName name="Case" localSheetId="4">#REF!</definedName>
    <definedName name="Case" localSheetId="12">#REF!</definedName>
    <definedName name="Case">#REF!</definedName>
    <definedName name="Confirmatinos_BrodcastEmails">Confirmations!$A$57</definedName>
    <definedName name="Confirmation_ConfirmationLetters">Confirmations!$A$4</definedName>
    <definedName name="Confirmations">Confirmations!$A$2</definedName>
    <definedName name="Confirmations_ESGConformationLetters" localSheetId="34">Confirmations!#REF!</definedName>
    <definedName name="Confirmations_ESGConformationLetters" localSheetId="6">Confirmations!#REF!</definedName>
    <definedName name="Confirmations_ESGConformationLetters" localSheetId="4">Confirmations!#REF!</definedName>
    <definedName name="Confirmations_ESGConformationLetters" localSheetId="12">Confirmations!#REF!</definedName>
    <definedName name="Confirmations_ESGConformationLetters" localSheetId="26">Confirmations!#REF!</definedName>
    <definedName name="Confirmations_ESGConformationLetters" localSheetId="35">Confirmations!#REF!</definedName>
    <definedName name="Confirmations_ESGConformationLetters">Confirmations!#REF!</definedName>
    <definedName name="Confirmations_ExhibitorPasswordLetters">Confirmations!$A$37</definedName>
    <definedName name="Confirmations_Invoices" localSheetId="4">Confirmations!#REF!</definedName>
    <definedName name="Confirmations_Invoices" localSheetId="12">Confirmations!#REF!</definedName>
    <definedName name="Confirmations_Invoices" localSheetId="26">Confirmations!#REF!</definedName>
    <definedName name="Confirmations_Invoices">Confirmations!#REF!</definedName>
    <definedName name="ContactFieldNamesMustEnters">'Field Designations'!$A$2</definedName>
    <definedName name="CSIClient" localSheetId="4">#REF!</definedName>
    <definedName name="CSIClient" localSheetId="12">#REF!</definedName>
    <definedName name="CSIClient">#REF!</definedName>
    <definedName name="CustomerService">'Customer Service'!$A$2</definedName>
    <definedName name="CustomReportWebServices" localSheetId="4">#REF!</definedName>
    <definedName name="CustomReportWebServices" localSheetId="12">#REF!</definedName>
    <definedName name="CustomReportWebServices">#REF!</definedName>
    <definedName name="DataBaseManager">'Client Services &amp; Database Mgr'!$A$2</definedName>
    <definedName name="DataBaseManager_AdditionalAdvanceOptions">'Client Services &amp; Database Mgr'!$A$18</definedName>
    <definedName name="DataBaseManager_ClientServices">'Client Services &amp; Database Mgr'!$A$46</definedName>
    <definedName name="DataBaseManager_DataDownload">'Client Services &amp; Database Mgr'!$A$105</definedName>
    <definedName name="DataBaseManager_DateClientServicesAvailable" localSheetId="4">'Client Services &amp; Database Mgr'!#REF!</definedName>
    <definedName name="DataBaseManager_DateClientServicesAvailable" localSheetId="12">'Client Services &amp; Database Mgr'!#REF!</definedName>
    <definedName name="DataBaseManager_DateClientServicesAvailable" localSheetId="26">'Client Services &amp; Database Mgr'!#REF!</definedName>
    <definedName name="DataBaseManager_DateClientServicesAvailable">'Client Services &amp; Database Mgr'!#REF!</definedName>
    <definedName name="DataBaseManager_ESMPasswords" localSheetId="4">'Client Services &amp; Database Mgr'!#REF!</definedName>
    <definedName name="DataBaseManager_ESMPasswords" localSheetId="12">'Client Services &amp; Database Mgr'!#REF!</definedName>
    <definedName name="DataBaseManager_ESMPasswords" localSheetId="26">'Client Services &amp; Database Mgr'!#REF!</definedName>
    <definedName name="DataBaseManager_ESMPasswords">'Client Services &amp; Database Mgr'!#REF!</definedName>
    <definedName name="DataBaseManager_FieldsToInclude" localSheetId="4">'Client Services &amp; Database Mgr'!#REF!</definedName>
    <definedName name="DataBaseManager_FieldsToInclude" localSheetId="12">'Client Services &amp; Database Mgr'!#REF!</definedName>
    <definedName name="DataBaseManager_FieldsToInclude" localSheetId="26">'Client Services &amp; Database Mgr'!#REF!</definedName>
    <definedName name="DataBaseManager_FieldsToInclude">'Client Services &amp; Database Mgr'!#REF!</definedName>
    <definedName name="DatabaseManager_MainMenuOptions">'Client Services &amp; Database Mgr'!$A$6</definedName>
    <definedName name="DataBaseManager_NoReedPersonnel" localSheetId="4">'Client Services &amp; Database Mgr'!#REF!</definedName>
    <definedName name="DataBaseManager_NoReedPersonnel" localSheetId="12">'Client Services &amp; Database Mgr'!#REF!</definedName>
    <definedName name="DataBaseManager_NoReedPersonnel" localSheetId="26">'Client Services &amp; Database Mgr'!#REF!</definedName>
    <definedName name="DataBaseManager_NoReedPersonnel">'Client Services &amp; Database Mgr'!#REF!</definedName>
    <definedName name="DataBaseManager_ReedLogin" localSheetId="4">'Client Services &amp; Database Mgr'!#REF!</definedName>
    <definedName name="DataBaseManager_ReedLogin" localSheetId="12">'Client Services &amp; Database Mgr'!#REF!</definedName>
    <definedName name="DataBaseManager_ReedLogin" localSheetId="26">'Client Services &amp; Database Mgr'!#REF!</definedName>
    <definedName name="DataBaseManager_ReedLogin">'Client Services &amp; Database Mgr'!#REF!</definedName>
    <definedName name="DataBaseManager_RegUpgradesDowngrades" localSheetId="4">Fields!#REF!</definedName>
    <definedName name="DataBaseManager_RegUpgradesDowngrades" localSheetId="12">Fields!#REF!</definedName>
    <definedName name="DataBaseManager_RegUpgradesDowngrades" localSheetId="26">Fields!#REF!</definedName>
    <definedName name="DataBaseManager_RegUpgradesDowngrades">Fields!#REF!</definedName>
    <definedName name="DataBaseManager_Reporting" localSheetId="4">'Client Services &amp; Database Mgr'!#REF!</definedName>
    <definedName name="DataBaseManager_Reporting" localSheetId="12">'Client Services &amp; Database Mgr'!#REF!</definedName>
    <definedName name="DataBaseManager_Reporting">'Client Services &amp; Database Mgr'!#REF!</definedName>
    <definedName name="DataBaseManager_SearchOptions">'Client Services &amp; Database Mgr'!$A$24</definedName>
    <definedName name="DataBaseManager_SpecialNotes" localSheetId="4">'Client Services &amp; Database Mgr'!#REF!</definedName>
    <definedName name="DataBaseManager_SpecialNotes" localSheetId="12">'Client Services &amp; Database Mgr'!#REF!</definedName>
    <definedName name="DataBaseManager_SpecialNotes">'Client Services &amp; Database Mgr'!#REF!</definedName>
    <definedName name="DataEntryBatching" localSheetId="34">'Data Transfer'!$A$2</definedName>
    <definedName name="DataEntryBatching" localSheetId="35">'PrePop AutoReg'!$A$2</definedName>
    <definedName name="DataEntryBatching">'Data Control'!$A$2</definedName>
    <definedName name="DataEntryBatching_Batching" localSheetId="34">'Data Transfer'!#REF!</definedName>
    <definedName name="DataEntryBatching_Batching" localSheetId="35">'PrePop AutoReg'!#REF!</definedName>
    <definedName name="DataEntryBatching_Batching">'Data Control'!$A$6</definedName>
    <definedName name="DataEntryBatching_DataEntry" localSheetId="34">'Data Transfer'!#REF!</definedName>
    <definedName name="DataEntryBatching_DataEntry" localSheetId="35">'PrePop AutoReg'!#REF!</definedName>
    <definedName name="DataEntryBatching_DataEntry">'Data Control'!$A$56</definedName>
    <definedName name="DataEntryBatching_DataFiles" localSheetId="34">'Data Transfer'!#REF!</definedName>
    <definedName name="DataEntryBatching_DataFiles" localSheetId="4">'Data Control'!#REF!</definedName>
    <definedName name="DataEntryBatching_DataFiles" localSheetId="12">'Data Control'!#REF!</definedName>
    <definedName name="DataEntryBatching_DataFiles" localSheetId="26">'Data Control'!#REF!</definedName>
    <definedName name="DataEntryBatching_DataFiles" localSheetId="35">'PrePop AutoReg'!#REF!</definedName>
    <definedName name="DataEntryBatching_DataFiles">'Data Control'!#REF!</definedName>
    <definedName name="DataEntryBatching_DataTransfers" localSheetId="34">'Data Transfer'!#REF!</definedName>
    <definedName name="DataEntryBatching_DataTransfers" localSheetId="4">'Data Control'!#REF!</definedName>
    <definedName name="DataEntryBatching_DataTransfers" localSheetId="12">'Data Control'!#REF!</definedName>
    <definedName name="DataEntryBatching_DataTransfers" localSheetId="26">'Data Control'!#REF!</definedName>
    <definedName name="DataEntryBatching_DataTransfers" localSheetId="35">'PrePop AutoReg'!#REF!</definedName>
    <definedName name="DataEntryBatching_DataTransfers">'Data Control'!#REF!</definedName>
    <definedName name="DataEntryBatching_EquipmentAtClient" localSheetId="34">'Data Transfer'!#REF!</definedName>
    <definedName name="DataEntryBatching_EquipmentAtClient" localSheetId="35">'PrePop AutoReg'!#REF!</definedName>
    <definedName name="DataEntryBatching_EquipmentAtClient">Materials!$A$23</definedName>
    <definedName name="DemographicQuestions">Demos!$A$2</definedName>
    <definedName name="DemographicQuestions_DemoQuestions" localSheetId="34">Demos!#REF!</definedName>
    <definedName name="DemographicQuestions_DemoQuestions" localSheetId="4">Demos!#REF!</definedName>
    <definedName name="DemographicQuestions_DemoQuestions" localSheetId="12">Demos!#REF!</definedName>
    <definedName name="DemographicQuestions_DemoQuestions" localSheetId="26">Demos!#REF!</definedName>
    <definedName name="DemographicQuestions_DemoQuestions" localSheetId="35">Demos!#REF!</definedName>
    <definedName name="DemographicQuestions_DemoQuestions">Demos!#REF!</definedName>
    <definedName name="DemographicQuestions_ReedTouchDemoQuestions" localSheetId="34">Demos!#REF!</definedName>
    <definedName name="DemographicQuestions_ReedTouchDemoQuestions" localSheetId="4">Demos!#REF!</definedName>
    <definedName name="DemographicQuestions_ReedTouchDemoQuestions" localSheetId="12">Demos!#REF!</definedName>
    <definedName name="DemographicQuestions_ReedTouchDemoQuestions" localSheetId="26">Demos!#REF!</definedName>
    <definedName name="DemographicQuestions_ReedTouchDemoQuestions" localSheetId="35">Demos!#REF!</definedName>
    <definedName name="DemographicQuestions_ReedTouchDemoQuestions">Demos!#REF!</definedName>
    <definedName name="DemographicQuestions_VisaDemoQuestions">Demos!$A$83</definedName>
    <definedName name="DepositAccount" localSheetId="4">#REF!</definedName>
    <definedName name="DepositAccount" localSheetId="12">#REF!</definedName>
    <definedName name="DepositAccount">#REF!</definedName>
    <definedName name="EventExplorer" localSheetId="4">#REF!</definedName>
    <definedName name="EventExplorer" localSheetId="12">#REF!</definedName>
    <definedName name="EventExplorer">#REF!</definedName>
    <definedName name="EventExplorer_EventExplorer" localSheetId="4">#REF!</definedName>
    <definedName name="EventExplorer_EventExplorer" localSheetId="12">#REF!</definedName>
    <definedName name="EventExplorer_EventExplorer">#REF!</definedName>
    <definedName name="Exhibitor" localSheetId="12">'Invite A Customer'!$A$2</definedName>
    <definedName name="Exhibitor">Exhibitor!$A$2</definedName>
    <definedName name="Exhibitor_ExhibitorConfirmationLetters" localSheetId="34">Exhibitor!#REF!</definedName>
    <definedName name="Exhibitor_ExhibitorConfirmationLetters" localSheetId="4">Exhibitor!#REF!</definedName>
    <definedName name="Exhibitor_ExhibitorConfirmationLetters" localSheetId="12">'Invite A Customer'!#REF!</definedName>
    <definedName name="Exhibitor_ExhibitorConfirmationLetters" localSheetId="26">Exhibitor!#REF!</definedName>
    <definedName name="Exhibitor_ExhibitorConfirmationLetters" localSheetId="35">Exhibitor!#REF!</definedName>
    <definedName name="Exhibitor_ExhibitorConfirmationLetters">Exhibitor!#REF!</definedName>
    <definedName name="Exhibitor_ExhibitorConfirmationPage" localSheetId="34">Exhibitor!#REF!</definedName>
    <definedName name="Exhibitor_ExhibitorConfirmationPage" localSheetId="4">Exhibitor!#REF!</definedName>
    <definedName name="Exhibitor_ExhibitorConfirmationPage" localSheetId="12">'Invite A Customer'!#REF!</definedName>
    <definedName name="Exhibitor_ExhibitorConfirmationPage" localSheetId="26">Exhibitor!#REF!</definedName>
    <definedName name="Exhibitor_ExhibitorConfirmationPage" localSheetId="35">Exhibitor!#REF!</definedName>
    <definedName name="Exhibitor_ExhibitorConfirmationPage">Exhibitor!#REF!</definedName>
    <definedName name="Exhibitor_ExhibitorCustomerService" localSheetId="34">Exhibitor!#REF!</definedName>
    <definedName name="Exhibitor_ExhibitorCustomerService" localSheetId="4">Exhibitor!#REF!</definedName>
    <definedName name="Exhibitor_ExhibitorCustomerService" localSheetId="12">'Invite A Customer'!#REF!</definedName>
    <definedName name="Exhibitor_ExhibitorCustomerService" localSheetId="26">Exhibitor!#REF!</definedName>
    <definedName name="Exhibitor_ExhibitorCustomerService" localSheetId="35">Exhibitor!#REF!</definedName>
    <definedName name="Exhibitor_ExhibitorCustomerService">Exhibitor!#REF!</definedName>
    <definedName name="Exhibitor_ExhibitorInviteACustomer" localSheetId="12">'Invite A Customer'!$A$8</definedName>
    <definedName name="Exhibitor_ExhibitorInviteACustomer">Exhibitor!#REF!</definedName>
    <definedName name="Exhibitor_ExhibitorInviteACustomerLetter" localSheetId="34">Exhibitor!#REF!</definedName>
    <definedName name="Exhibitor_ExhibitorInviteACustomerLetter" localSheetId="4">Exhibitor!#REF!</definedName>
    <definedName name="Exhibitor_ExhibitorInviteACustomerLetter" localSheetId="12">'Invite A Customer'!#REF!</definedName>
    <definedName name="Exhibitor_ExhibitorInviteACustomerLetter" localSheetId="26">Exhibitor!#REF!</definedName>
    <definedName name="Exhibitor_ExhibitorInviteACustomerLetter" localSheetId="35">Exhibitor!#REF!</definedName>
    <definedName name="Exhibitor_ExhibitorInviteACustomerLetter">Exhibitor!#REF!</definedName>
    <definedName name="Exhibitor_ExhibitorMembership" localSheetId="34">Exhibitor!#REF!</definedName>
    <definedName name="Exhibitor_ExhibitorMembership" localSheetId="4">Exhibitor!#REF!</definedName>
    <definedName name="Exhibitor_ExhibitorMembership" localSheetId="12">'Invite A Customer'!#REF!</definedName>
    <definedName name="Exhibitor_ExhibitorMembership" localSheetId="26">Exhibitor!#REF!</definedName>
    <definedName name="Exhibitor_ExhibitorMembership" localSheetId="35">Exhibitor!#REF!</definedName>
    <definedName name="Exhibitor_ExhibitorMembership">Exhibitor!#REF!</definedName>
    <definedName name="Exhibitor_ExhibitorOptionAllotment" localSheetId="4">Exhibitor!#REF!</definedName>
    <definedName name="Exhibitor_ExhibitorOptionAllotment" localSheetId="12">'Invite A Customer'!#REF!</definedName>
    <definedName name="Exhibitor_ExhibitorOptionAllotment" localSheetId="26">Exhibitor!#REF!</definedName>
    <definedName name="Exhibitor_ExhibitorOptionAllotment">Exhibitor!#REF!</definedName>
    <definedName name="Exhibitor_ExhibitorOptions" localSheetId="34">Exhibitor!#REF!</definedName>
    <definedName name="Exhibitor_ExhibitorOptions" localSheetId="4">Exhibitor!#REF!</definedName>
    <definedName name="Exhibitor_ExhibitorOptions" localSheetId="12">'Invite A Customer'!#REF!</definedName>
    <definedName name="Exhibitor_ExhibitorOptions" localSheetId="26">Exhibitor!#REF!</definedName>
    <definedName name="Exhibitor_ExhibitorOptions" localSheetId="35">Exhibitor!#REF!</definedName>
    <definedName name="Exhibitor_ExhibitorOptions">Exhibitor!#REF!</definedName>
    <definedName name="Exhibitor_ExhibitorPricing" localSheetId="34">Exhibitor!#REF!</definedName>
    <definedName name="Exhibitor_ExhibitorPricing" localSheetId="4">Exhibitor!#REF!</definedName>
    <definedName name="Exhibitor_ExhibitorPricing" localSheetId="12">'Invite A Customer'!#REF!</definedName>
    <definedName name="Exhibitor_ExhibitorPricing" localSheetId="26">Exhibitor!#REF!</definedName>
    <definedName name="Exhibitor_ExhibitorPricing" localSheetId="35">Exhibitor!#REF!</definedName>
    <definedName name="Exhibitor_ExhibitorPricing">Exhibitor!#REF!</definedName>
    <definedName name="Exhibitor_ReedExhibitorSpecifications" localSheetId="34">Exhibitor!#REF!</definedName>
    <definedName name="Exhibitor_ReedExhibitorSpecifications" localSheetId="4">Exhibitor!#REF!</definedName>
    <definedName name="Exhibitor_ReedExhibitorSpecifications" localSheetId="12">'Invite A Customer'!#REF!</definedName>
    <definedName name="Exhibitor_ReedExhibitorSpecifications" localSheetId="26">Exhibitor!#REF!</definedName>
    <definedName name="Exhibitor_ReedExhibitorSpecifications" localSheetId="35">Exhibitor!#REF!</definedName>
    <definedName name="Exhibitor_ReedExhibitorSpecifications">Exhibitor!#REF!</definedName>
    <definedName name="FinancialInformation" localSheetId="34">Financial!#REF!</definedName>
    <definedName name="FinancialInformation" localSheetId="4">Financial!#REF!</definedName>
    <definedName name="FinancialInformation" localSheetId="12">Financial!#REF!</definedName>
    <definedName name="FinancialInformation" localSheetId="26">Financial!#REF!</definedName>
    <definedName name="FinancialInformation" localSheetId="35">Financial!#REF!</definedName>
    <definedName name="FinancialInformation">Financial!#REF!</definedName>
    <definedName name="FinancialInformation_AcceptedFormsOfPayment" localSheetId="34">Financial!#REF!</definedName>
    <definedName name="FinancialInformation_AcceptedFormsOfPayment" localSheetId="4">Financial!#REF!</definedName>
    <definedName name="FinancialInformation_AcceptedFormsOfPayment" localSheetId="12">Financial!#REF!</definedName>
    <definedName name="FinancialInformation_AcceptedFormsOfPayment" localSheetId="26">Financial!#REF!</definedName>
    <definedName name="FinancialInformation_AcceptedFormsOfPayment" localSheetId="35">Financial!#REF!</definedName>
    <definedName name="FinancialInformation_AcceptedFormsOfPayment">Financial!#REF!</definedName>
    <definedName name="FinancialInformation_CreditCardProcessingMethod" localSheetId="34">Financial!#REF!</definedName>
    <definedName name="FinancialInformation_CreditCardProcessingMethod" localSheetId="6">Financial!#REF!</definedName>
    <definedName name="FinancialInformation_CreditCardProcessingMethod" localSheetId="4">Financial!#REF!</definedName>
    <definedName name="FinancialInformation_CreditCardProcessingMethod" localSheetId="12">Financial!#REF!</definedName>
    <definedName name="FinancialInformation_CreditCardProcessingMethod" localSheetId="26">Financial!#REF!</definedName>
    <definedName name="FinancialInformation_CreditCardProcessingMethod" localSheetId="35">Financial!#REF!</definedName>
    <definedName name="FinancialInformation_CreditCardProcessingMethod">Financial!#REF!</definedName>
    <definedName name="FinancialInformation_DepositAccount" localSheetId="34">Financial!#REF!</definedName>
    <definedName name="FinancialInformation_DepositAccount" localSheetId="4">Financial!#REF!</definedName>
    <definedName name="FinancialInformation_DepositAccount" localSheetId="12">Financial!#REF!</definedName>
    <definedName name="FinancialInformation_DepositAccount" localSheetId="26">Financial!#REF!</definedName>
    <definedName name="FinancialInformation_DepositAccount" localSheetId="35">Financial!#REF!</definedName>
    <definedName name="FinancialInformation_DepositAccount">Financial!#REF!</definedName>
    <definedName name="FinancialInformation_DuplicateRemovalHierarchy" localSheetId="34">Financial!#REF!</definedName>
    <definedName name="FinancialInformation_DuplicateRemovalHierarchy" localSheetId="4">Financial!#REF!</definedName>
    <definedName name="FinancialInformation_DuplicateRemovalHierarchy" localSheetId="12">Financial!#REF!</definedName>
    <definedName name="FinancialInformation_DuplicateRemovalHierarchy" localSheetId="26">Financial!#REF!</definedName>
    <definedName name="FinancialInformation_DuplicateRemovalHierarchy" localSheetId="35">Financial!#REF!</definedName>
    <definedName name="FinancialInformation_DuplicateRemovalHierarchy">Financial!#REF!</definedName>
    <definedName name="FinancialInformation_IfWeDoNotUseCybersourceShot" localSheetId="34">Financial!#REF!</definedName>
    <definedName name="FinancialInformation_IfWeDoNotUseCybersourceShot" localSheetId="6">Financial!#REF!</definedName>
    <definedName name="FinancialInformation_IfWeDoNotUseCybersourceShot" localSheetId="4">Financial!#REF!</definedName>
    <definedName name="FinancialInformation_IfWeDoNotUseCybersourceShot" localSheetId="12">Financial!#REF!</definedName>
    <definedName name="FinancialInformation_IfWeDoNotUseCybersourceShot" localSheetId="26">Financial!#REF!</definedName>
    <definedName name="FinancialInformation_IfWeDoNotUseCybersourceShot" localSheetId="35">Financial!#REF!</definedName>
    <definedName name="FinancialInformation_IfWeDoNotUseCybersourceShot">Financial!#REF!</definedName>
    <definedName name="FinancialInformation_MoneyCollection" localSheetId="34">Financial!#REF!</definedName>
    <definedName name="FinancialInformation_MoneyCollection" localSheetId="4">Financial!#REF!</definedName>
    <definedName name="FinancialInformation_MoneyCollection" localSheetId="12">Financial!#REF!</definedName>
    <definedName name="FinancialInformation_MoneyCollection" localSheetId="26">Financial!#REF!</definedName>
    <definedName name="FinancialInformation_MoneyCollection" localSheetId="35">Financial!#REF!</definedName>
    <definedName name="FinancialInformation_MoneyCollection">Financial!#REF!</definedName>
    <definedName name="FinancialInformation_PaypalSetupInformation" localSheetId="34">Financial!#REF!</definedName>
    <definedName name="FinancialInformation_PaypalSetupInformation" localSheetId="4">Financial!#REF!</definedName>
    <definedName name="FinancialInformation_PaypalSetupInformation" localSheetId="12">Financial!#REF!</definedName>
    <definedName name="FinancialInformation_PaypalSetupInformation" localSheetId="26">Financial!#REF!</definedName>
    <definedName name="FinancialInformation_PaypalSetupInformation" localSheetId="35">Financial!#REF!</definedName>
    <definedName name="FinancialInformation_PaypalSetupInformation">Financial!#REF!</definedName>
    <definedName name="FinancialInformation_ReedCancellationPolicy">Financial!$A$124</definedName>
    <definedName name="FinancialInformation_ReedCreditCardProcessingMethod" localSheetId="34">Financial!#REF!</definedName>
    <definedName name="FinancialInformation_ReedCreditCardProcessingMethod" localSheetId="4">Financial!#REF!</definedName>
    <definedName name="FinancialInformation_ReedCreditCardProcessingMethod" localSheetId="12">Financial!#REF!</definedName>
    <definedName name="FinancialInformation_ReedCreditCardProcessingMethod" localSheetId="26">Financial!#REF!</definedName>
    <definedName name="FinancialInformation_ReedCreditCardProcessingMethod" localSheetId="35">Financial!#REF!</definedName>
    <definedName name="FinancialInformation_ReedCreditCardProcessingMethod">Financial!#REF!</definedName>
    <definedName name="FinancialInformation_ReedCybersourceSetupInformation" localSheetId="34">Financial!#REF!</definedName>
    <definedName name="FinancialInformation_ReedCybersourceSetupInformation" localSheetId="4">Financial!#REF!</definedName>
    <definedName name="FinancialInformation_ReedCybersourceSetupInformation" localSheetId="12">Financial!#REF!</definedName>
    <definedName name="FinancialInformation_ReedCybersourceSetupInformation" localSheetId="26">Financial!#REF!</definedName>
    <definedName name="FinancialInformation_ReedCybersourceSetupInformation" localSheetId="35">Financial!#REF!</definedName>
    <definedName name="FinancialInformation_ReedCybersourceSetupInformation">Financial!#REF!</definedName>
    <definedName name="FinancialInformation_ReedDepositAccount" localSheetId="34">Financial!#REF!</definedName>
    <definedName name="FinancialInformation_ReedDepositAccount" localSheetId="4">Financial!#REF!</definedName>
    <definedName name="FinancialInformation_ReedDepositAccount" localSheetId="12">Financial!#REF!</definedName>
    <definedName name="FinancialInformation_ReedDepositAccount" localSheetId="26">Financial!#REF!</definedName>
    <definedName name="FinancialInformation_ReedDepositAccount" localSheetId="35">Financial!#REF!</definedName>
    <definedName name="FinancialInformation_ReedDepositAccount">Financial!#REF!</definedName>
    <definedName name="FinancialInformation_ReedSpecialFinancialProcessingNotes" localSheetId="34">Financial!#REF!</definedName>
    <definedName name="FinancialInformation_ReedSpecialFinancialProcessingNotes" localSheetId="4">Financial!#REF!</definedName>
    <definedName name="FinancialInformation_ReedSpecialFinancialProcessingNotes" localSheetId="12">Financial!#REF!</definedName>
    <definedName name="FinancialInformation_ReedSpecialFinancialProcessingNotes" localSheetId="26">Financial!#REF!</definedName>
    <definedName name="FinancialInformation_ReedSpecialFinancialProcessingNotes" localSheetId="35">Financial!#REF!</definedName>
    <definedName name="FinancialInformation_ReedSpecialFinancialProcessingNotes">Financial!#REF!</definedName>
    <definedName name="FinancialProcessing" localSheetId="4">#REF!</definedName>
    <definedName name="FinancialProcessing" localSheetId="12">#REF!</definedName>
    <definedName name="FinancialProcessing">#REF!</definedName>
    <definedName name="FinancialProcessing_AcceptedFormsOfPayment" localSheetId="4">#REF!</definedName>
    <definedName name="FinancialProcessing_AcceptedFormsOfPayment" localSheetId="12">#REF!</definedName>
    <definedName name="FinancialProcessing_AcceptedFormsOfPayment">#REF!</definedName>
    <definedName name="FinancialProcessing_CancellationPolicy" localSheetId="4">#REF!</definedName>
    <definedName name="FinancialProcessing_CancellationPolicy" localSheetId="12">#REF!</definedName>
    <definedName name="FinancialProcessing_CancellationPolicy">#REF!</definedName>
    <definedName name="FinancialProcessing_DuplicateRemovalHierarchy" localSheetId="4">#REF!</definedName>
    <definedName name="FinancialProcessing_DuplicateRemovalHierarchy" localSheetId="12">#REF!</definedName>
    <definedName name="FinancialProcessing_DuplicateRemovalHierarchy">#REF!</definedName>
    <definedName name="FinancialProcessing_FinancialProcessingInDatabasemanager" localSheetId="4">#REF!</definedName>
    <definedName name="FinancialProcessing_FinancialProcessingInDatabasemanager" localSheetId="12">#REF!</definedName>
    <definedName name="FinancialProcessing_FinancialProcessingInDatabasemanager">#REF!</definedName>
    <definedName name="FinancialProcessing_MoneyCollection" localSheetId="4">#REF!</definedName>
    <definedName name="FinancialProcessing_MoneyCollection" localSheetId="12">#REF!</definedName>
    <definedName name="FinancialProcessing_MoneyCollection">#REF!</definedName>
    <definedName name="FinancialProcessing_ReedCancellationPolicy" localSheetId="4">#REF!</definedName>
    <definedName name="FinancialProcessing_ReedCancellationPolicy" localSheetId="12">#REF!</definedName>
    <definedName name="FinancialProcessing_ReedCancellationPolicy">#REF!</definedName>
    <definedName name="FinancialProcessing_ReedCreditCardProcessijngMethod" localSheetId="4">#REF!</definedName>
    <definedName name="FinancialProcessing_ReedCreditCardProcessijngMethod" localSheetId="12">#REF!</definedName>
    <definedName name="FinancialProcessing_ReedCreditCardProcessijngMethod">#REF!</definedName>
    <definedName name="FinancialProcessing_ReedCyberSourceRefundProcessing" localSheetId="4">#REF!</definedName>
    <definedName name="FinancialProcessing_ReedCyberSourceRefundProcessing" localSheetId="12">#REF!</definedName>
    <definedName name="FinancialProcessing_ReedCyberSourceRefundProcessing">#REF!</definedName>
    <definedName name="FinancialProcessing_ReedCyberSourceSetUpInformation" localSheetId="4">#REF!</definedName>
    <definedName name="FinancialProcessing_ReedCyberSourceSetUpInformation" localSheetId="12">#REF!</definedName>
    <definedName name="FinancialProcessing_ReedCyberSourceSetUpInformation">#REF!</definedName>
    <definedName name="FinancialProcessing_ReedDepositAccount" localSheetId="4">#REF!</definedName>
    <definedName name="FinancialProcessing_ReedDepositAccount" localSheetId="12">#REF!</definedName>
    <definedName name="FinancialProcessing_ReedDepositAccount">#REF!</definedName>
    <definedName name="FinancialProcessing_ReedSpecialFinancialProcessingNotes" localSheetId="4">#REF!</definedName>
    <definedName name="FinancialProcessing_ReedSpecialFinancialProcessingNotes" localSheetId="12">#REF!</definedName>
    <definedName name="FinancialProcessing_ReedSpecialFinancialProcessingNotes">#REF!</definedName>
    <definedName name="FinancialProcessing_SpecialNotes" localSheetId="4">#REF!</definedName>
    <definedName name="FinancialProcessing_SpecialNotes" localSheetId="12">#REF!</definedName>
    <definedName name="FinancialProcessing_SpecialNotes">#REF!</definedName>
    <definedName name="Grouping" localSheetId="4">#REF!</definedName>
    <definedName name="Grouping" localSheetId="12">#REF!</definedName>
    <definedName name="Grouping">#REF!</definedName>
    <definedName name="Housing">Housing!$A$2</definedName>
    <definedName name="Housing_HousingInformation" localSheetId="34">Housing!#REF!</definedName>
    <definedName name="Housing_HousingInformation" localSheetId="4">Housing!#REF!</definedName>
    <definedName name="Housing_HousingInformation" localSheetId="12">Housing!#REF!</definedName>
    <definedName name="Housing_HousingInformation" localSheetId="26">Housing!#REF!</definedName>
    <definedName name="Housing_HousingInformation" localSheetId="35">Housing!#REF!</definedName>
    <definedName name="Housing_HousingInformation">Housing!#REF!</definedName>
    <definedName name="LastAction" localSheetId="4">#REF!</definedName>
    <definedName name="LastAction" localSheetId="12">#REF!</definedName>
    <definedName name="LastAction">#REF!</definedName>
    <definedName name="Lists" localSheetId="4">#REF!</definedName>
    <definedName name="Lists" localSheetId="12">#REF!</definedName>
    <definedName name="Lists">#REF!</definedName>
    <definedName name="MailedFaxed" localSheetId="4">#REF!</definedName>
    <definedName name="MailedFaxed" localSheetId="12">#REF!</definedName>
    <definedName name="MailedFaxed">#REF!</definedName>
    <definedName name="Materials">Materials!$A$2</definedName>
    <definedName name="MaterialsCostSummary" localSheetId="4">#REF!</definedName>
    <definedName name="MaterialsCostSummary" localSheetId="12">#REF!</definedName>
    <definedName name="MaterialsCostSummary">#REF!</definedName>
    <definedName name="MembershipInformation">Membership!$A$2</definedName>
    <definedName name="MembershipInformation_Membership" localSheetId="34">Membership!#REF!</definedName>
    <definedName name="MembershipInformation_Membership" localSheetId="4">Membership!#REF!</definedName>
    <definedName name="MembershipInformation_Membership" localSheetId="12">Membership!#REF!</definedName>
    <definedName name="MembershipInformation_Membership" localSheetId="26">Membership!#REF!</definedName>
    <definedName name="MembershipInformation_Membership" localSheetId="35">Membership!#REF!</definedName>
    <definedName name="MembershipInformation_Membership">Membership!#REF!</definedName>
    <definedName name="MustEnter" localSheetId="4">#REF!</definedName>
    <definedName name="MustEnter" localSheetId="12">#REF!</definedName>
    <definedName name="MustEnter">#REF!</definedName>
    <definedName name="OLE_LINK11" localSheetId="11">Exhibitor!#REF!</definedName>
    <definedName name="OLE_LINK11" localSheetId="12">'Invite A Customer'!#REF!</definedName>
    <definedName name="OLE_LINK15" localSheetId="31">Onsite!#REF!</definedName>
    <definedName name="Onsite">Onsite!$A$2</definedName>
    <definedName name="Onsite_Onsite">Onsite!$A$15</definedName>
    <definedName name="Onsite_Onsite_CyberCafe">'Additional Services'!$A$142</definedName>
    <definedName name="Onsite_Onsite_NewProductShowcase">'Additional Services'!$A$37</definedName>
    <definedName name="Onsite_Onsite_NonRegistrationCashier">'Additional Services'!$A$212</definedName>
    <definedName name="Onsite_Onsite_SelfRegistration" localSheetId="34">Onsite!#REF!</definedName>
    <definedName name="Onsite_Onsite_SelfRegistration" localSheetId="6">Onsite!#REF!</definedName>
    <definedName name="Onsite_Onsite_SelfRegistration" localSheetId="4">Onsite!#REF!</definedName>
    <definedName name="Onsite_Onsite_SelfRegistration" localSheetId="12">Onsite!#REF!</definedName>
    <definedName name="Onsite_Onsite_SelfRegistration" localSheetId="26">Onsite!#REF!</definedName>
    <definedName name="Onsite_Onsite_SelfRegistration" localSheetId="35">Onsite!#REF!</definedName>
    <definedName name="Onsite_Onsite_SelfRegistration">Onsite!#REF!</definedName>
    <definedName name="Onsite_Phase7" localSheetId="34">Onsite!#REF!</definedName>
    <definedName name="Onsite_Phase7" localSheetId="6">Onsite!#REF!</definedName>
    <definedName name="Onsite_Phase7" localSheetId="4">Onsite!#REF!</definedName>
    <definedName name="Onsite_Phase7" localSheetId="12">Onsite!#REF!</definedName>
    <definedName name="Onsite_Phase7" localSheetId="26">Onsite!#REF!</definedName>
    <definedName name="Onsite_Phase7" localSheetId="35">Onsite!#REF!</definedName>
    <definedName name="Onsite_Phase7">Onsite!#REF!</definedName>
    <definedName name="Onsite_Services" localSheetId="34">Onsite!#REF!</definedName>
    <definedName name="Onsite_Services" localSheetId="6">Onsite!#REF!</definedName>
    <definedName name="Onsite_Services" localSheetId="4">Onsite!#REF!</definedName>
    <definedName name="Onsite_Services" localSheetId="12">Onsite!#REF!</definedName>
    <definedName name="Onsite_Services" localSheetId="26">Onsite!#REF!</definedName>
    <definedName name="Onsite_Services" localSheetId="35">Onsite!#REF!</definedName>
    <definedName name="Onsite_Services">Onsite!#REF!</definedName>
    <definedName name="Onsite_Services_AmericanExpressTravel">Onsite!$A$138</definedName>
    <definedName name="Onsite_Services_BadgePrintThreshold">'Badge Ticket Formats'!$A$301</definedName>
    <definedName name="Onsite_Services_BDMetrics" localSheetId="34">Onsite!#REF!</definedName>
    <definedName name="Onsite_Services_BDMetrics" localSheetId="6">Onsite!#REF!</definedName>
    <definedName name="Onsite_Services_BDMetrics" localSheetId="4">Onsite!#REF!</definedName>
    <definedName name="Onsite_Services_BDMetrics" localSheetId="12">Onsite!#REF!</definedName>
    <definedName name="Onsite_Services_BDMetrics" localSheetId="26">Onsite!#REF!</definedName>
    <definedName name="Onsite_Services_BDMetrics" localSheetId="35">Onsite!#REF!</definedName>
    <definedName name="Onsite_Services_BDMetrics">Onsite!#REF!</definedName>
    <definedName name="Onsite_Services_CSIOnSiteProblemResolution">Onsite!$A$143</definedName>
    <definedName name="Onsite_Services_Equipment">Onsite!$A$66</definedName>
    <definedName name="Onsite_Services_ExpressRegistration" localSheetId="34">Onsite!#REF!</definedName>
    <definedName name="Onsite_Services_ExpressRegistration" localSheetId="6">Onsite!#REF!</definedName>
    <definedName name="Onsite_Services_ExpressRegistration" localSheetId="4">Onsite!#REF!</definedName>
    <definedName name="Onsite_Services_ExpressRegistration" localSheetId="12">Onsite!#REF!</definedName>
    <definedName name="Onsite_Services_ExpressRegistration" localSheetId="26">Onsite!#REF!</definedName>
    <definedName name="Onsite_Services_ExpressRegistration" localSheetId="35">Onsite!#REF!</definedName>
    <definedName name="Onsite_Services_ExpressRegistration">Onsite!#REF!</definedName>
    <definedName name="Onsite_Services_FloorPlans" localSheetId="4">Onsite!#REF!</definedName>
    <definedName name="Onsite_Services_FloorPlans" localSheetId="12">Onsite!#REF!</definedName>
    <definedName name="Onsite_Services_FloorPlans">Onsite!#REF!</definedName>
    <definedName name="Onsite_Services_HoteInformation">Onsite!$A$103</definedName>
    <definedName name="Onsite_Services_Location" localSheetId="4">Onsite!#REF!</definedName>
    <definedName name="Onsite_Services_Location" localSheetId="12">Onsite!#REF!</definedName>
    <definedName name="Onsite_Services_Location">Onsite!#REF!</definedName>
    <definedName name="Onsite_Services_OnSiteDataEntryScreens" localSheetId="34">Onsite!#REF!</definedName>
    <definedName name="Onsite_Services_OnSiteDataEntryScreens" localSheetId="6">Onsite!#REF!</definedName>
    <definedName name="Onsite_Services_OnSiteDataEntryScreens" localSheetId="4">Onsite!#REF!</definedName>
    <definedName name="Onsite_Services_OnSiteDataEntryScreens" localSheetId="12">Onsite!#REF!</definedName>
    <definedName name="Onsite_Services_OnSiteDataEntryScreens" localSheetId="26">Onsite!#REF!</definedName>
    <definedName name="Onsite_Services_OnSiteDataEntryScreens" localSheetId="35">Onsite!#REF!</definedName>
    <definedName name="Onsite_Services_OnSiteDataEntryScreens">Onsite!#REF!</definedName>
    <definedName name="Onsite_Services_Proceedings" localSheetId="34">Onsite!#REF!</definedName>
    <definedName name="Onsite_Services_Proceedings" localSheetId="6">Onsite!#REF!</definedName>
    <definedName name="Onsite_Services_Proceedings" localSheetId="4">Onsite!#REF!</definedName>
    <definedName name="Onsite_Services_Proceedings" localSheetId="12">Onsite!#REF!</definedName>
    <definedName name="Onsite_Services_Proceedings" localSheetId="26">Onsite!#REF!</definedName>
    <definedName name="Onsite_Services_Proceedings" localSheetId="35">Onsite!#REF!</definedName>
    <definedName name="Onsite_Services_Proceedings">Onsite!#REF!</definedName>
    <definedName name="Onsite_Services_ReedNextYearsEventRegistration">'Additional Services'!$A$4</definedName>
    <definedName name="Onsite_Services_ReedReporting" localSheetId="4">Onsite!#REF!</definedName>
    <definedName name="Onsite_Services_ReedReporting" localSheetId="12">Onsite!#REF!</definedName>
    <definedName name="Onsite_Services_ReedReporting">Onsite!#REF!</definedName>
    <definedName name="Onsite_Services_SelfRegistration" localSheetId="34">Onsite!#REF!</definedName>
    <definedName name="Onsite_Services_SelfRegistration" localSheetId="6">Onsite!#REF!</definedName>
    <definedName name="Onsite_Services_SelfRegistration" localSheetId="4">Onsite!#REF!</definedName>
    <definedName name="Onsite_Services_SelfRegistration" localSheetId="12">Onsite!#REF!</definedName>
    <definedName name="Onsite_Services_SelfRegistration" localSheetId="26">Onsite!#REF!</definedName>
    <definedName name="Onsite_Services_SelfRegistration" localSheetId="35">Onsite!#REF!</definedName>
    <definedName name="Onsite_Services_SelfRegistration">Onsite!#REF!</definedName>
    <definedName name="Onsite_Services_TestBadgeForOnsiteCredentialVerification" localSheetId="34">Onsite!#REF!</definedName>
    <definedName name="Onsite_Services_TestBadgeForOnsiteCredentialVerification" localSheetId="6">Onsite!#REF!</definedName>
    <definedName name="Onsite_Services_TestBadgeForOnsiteCredentialVerification" localSheetId="4">Onsite!#REF!</definedName>
    <definedName name="Onsite_Services_TestBadgeForOnsiteCredentialVerification" localSheetId="12">Onsite!#REF!</definedName>
    <definedName name="Onsite_Services_TestBadgeForOnsiteCredentialVerification" localSheetId="26">Onsite!#REF!</definedName>
    <definedName name="Onsite_Services_TestBadgeForOnsiteCredentialVerification" localSheetId="35">Onsite!#REF!</definedName>
    <definedName name="Onsite_Services_TestBadgeForOnsiteCredentialVerification">Onsite!#REF!</definedName>
    <definedName name="Onsite_Services_TicketPrinting" localSheetId="4">Onsite!#REF!</definedName>
    <definedName name="Onsite_Services_TicketPrinting" localSheetId="12">Onsite!#REF!</definedName>
    <definedName name="Onsite_Services_TicketPrinting">Onsite!#REF!</definedName>
    <definedName name="OptionsTable" localSheetId="34">Options!#REF!</definedName>
    <definedName name="OptionsTable" localSheetId="6">Options!#REF!</definedName>
    <definedName name="OptionsTable" localSheetId="4">Options!#REF!</definedName>
    <definedName name="OptionsTable" localSheetId="12">Options!#REF!</definedName>
    <definedName name="OptionsTable" localSheetId="26">Options!#REF!</definedName>
    <definedName name="OptionsTable" localSheetId="35">Options!#REF!</definedName>
    <definedName name="OptionsTable">Options!#REF!</definedName>
    <definedName name="_xlnm.Print_Area" localSheetId="39">'Additional Programming'!$A$3:$H$19</definedName>
    <definedName name="_xlnm.Print_Titles" localSheetId="7">'Field Designations'!$4:$4</definedName>
    <definedName name="_xlnm.Print_Titles" localSheetId="4">Inquiry!$A:$B</definedName>
    <definedName name="_xlnm.Print_Titles" localSheetId="5">'Reg Codes'!$A:$B</definedName>
    <definedName name="Priority" localSheetId="4">#REF!</definedName>
    <definedName name="Priority" localSheetId="12">#REF!</definedName>
    <definedName name="Priority">#REF!</definedName>
    <definedName name="PriorityCodeRules" localSheetId="4">#REF!</definedName>
    <definedName name="PriorityCodeRules" localSheetId="12">#REF!</definedName>
    <definedName name="PriorityCodeRules">#REF!</definedName>
    <definedName name="QualificationManager">'Qualification Mgr'!$A$2</definedName>
    <definedName name="QualificationManager_FieldsToBeDisplayed">'Qualification Mgr'!$A$42</definedName>
    <definedName name="QualificationManager_Notes">'Qualification Mgr'!#REF!</definedName>
    <definedName name="QualificationManager_RecordAtAGlance">'Qualification Mgr'!$A$65</definedName>
    <definedName name="QualificationManager_RegistrationTypesToExclude">'Qualification Mgr'!#REF!</definedName>
    <definedName name="QualificationManager_StatusCodeDetermination">'Qualification Mgr'!#REF!</definedName>
    <definedName name="ReedMarketingDiscountCode" localSheetId="4">#REF!</definedName>
    <definedName name="ReedMarketingDiscountCode" localSheetId="12">#REF!</definedName>
    <definedName name="ReedMarketingDiscountCode">#REF!</definedName>
    <definedName name="RegistrationCodes" localSheetId="4">Inquiry!$A$2</definedName>
    <definedName name="RegistrationCodes">'Reg Codes'!$A$2</definedName>
    <definedName name="RegTypes" localSheetId="6">Fields!$A$2</definedName>
    <definedName name="RegTypes">'Reg Types'!#REF!</definedName>
    <definedName name="RegTypes_DataProtectFlag" localSheetId="34">'Reg Types'!#REF!</definedName>
    <definedName name="RegTypes_DataProtectFlag" localSheetId="6">Fields!#REF!</definedName>
    <definedName name="RegTypes_DataProtectFlag" localSheetId="4">'Reg Types'!#REF!</definedName>
    <definedName name="RegTypes_DataProtectFlag" localSheetId="12">'Reg Types'!#REF!</definedName>
    <definedName name="RegTypes_DataProtectFlag" localSheetId="26">'Reg Types'!#REF!</definedName>
    <definedName name="RegTypes_DataProtectFlag" localSheetId="35">'Reg Types'!#REF!</definedName>
    <definedName name="RegTypes_DataProtectFlag">'Reg Types'!#REF!</definedName>
    <definedName name="RegTypes_DataProtectFlag2" localSheetId="34">'Reg Types'!#REF!</definedName>
    <definedName name="RegTypes_DataProtectFlag2" localSheetId="6">Fields!$A$441</definedName>
    <definedName name="RegTypes_DataProtectFlag2" localSheetId="4">'Reg Types'!#REF!</definedName>
    <definedName name="RegTypes_DataProtectFlag2" localSheetId="12">'Reg Types'!#REF!</definedName>
    <definedName name="RegTypes_DataProtectFlag2" localSheetId="26">'Reg Types'!#REF!</definedName>
    <definedName name="RegTypes_DataProtectFlag2" localSheetId="35">'Reg Types'!#REF!</definedName>
    <definedName name="RegTypes_DataProtectFlag2">'Reg Types'!#REF!</definedName>
    <definedName name="RegTypes_DiscountManagerCopyAndRepeat" localSheetId="34">'Reg Types'!#REF!</definedName>
    <definedName name="RegTypes_DiscountManagerCopyAndRepeat" localSheetId="6">Fields!#REF!</definedName>
    <definedName name="RegTypes_DiscountManagerCopyAndRepeat" localSheetId="4">'Reg Types'!#REF!</definedName>
    <definedName name="RegTypes_DiscountManagerCopyAndRepeat" localSheetId="12">'Reg Types'!#REF!</definedName>
    <definedName name="RegTypes_DiscountManagerCopyAndRepeat" localSheetId="26">'Reg Types'!#REF!</definedName>
    <definedName name="RegTypes_DiscountManagerCopyAndRepeat" localSheetId="35">'Reg Types'!#REF!</definedName>
    <definedName name="RegTypes_DiscountManagerCopyAndRepeat">'Reg Types'!#REF!</definedName>
    <definedName name="RegTypes_GlCodeList" localSheetId="34">'Reg Types'!#REF!</definedName>
    <definedName name="RegTypes_GlCodeList" localSheetId="6">Fields!$A$429</definedName>
    <definedName name="RegTypes_GlCodeList" localSheetId="4">'Reg Types'!#REF!</definedName>
    <definedName name="RegTypes_GlCodeList" localSheetId="12">'Reg Types'!#REF!</definedName>
    <definedName name="RegTypes_GlCodeList" localSheetId="26">'Reg Types'!#REF!</definedName>
    <definedName name="RegTypes_GlCodeList" localSheetId="35">'Reg Types'!#REF!</definedName>
    <definedName name="RegTypes_GlCodeList">'Reg Types'!#REF!</definedName>
    <definedName name="RegTypes_MailHoldExpressRegistration" localSheetId="34">'Reg Types'!#REF!</definedName>
    <definedName name="RegTypes_MailHoldExpressRegistration" localSheetId="6">Fields!$A$476</definedName>
    <definedName name="RegTypes_MailHoldExpressRegistration" localSheetId="4">'Reg Types'!#REF!</definedName>
    <definedName name="RegTypes_MailHoldExpressRegistration" localSheetId="12">'Reg Types'!#REF!</definedName>
    <definedName name="RegTypes_MailHoldExpressRegistration" localSheetId="26">'Reg Types'!#REF!</definedName>
    <definedName name="RegTypes_MailHoldExpressRegistration" localSheetId="35">'Reg Types'!#REF!</definedName>
    <definedName name="RegTypes_MailHoldExpressRegistration">'Reg Types'!#REF!</definedName>
    <definedName name="RegTypes_reg2" localSheetId="34">'Reg Types'!#REF!</definedName>
    <definedName name="RegTypes_reg2" localSheetId="6">Fields!$A$8</definedName>
    <definedName name="RegTypes_reg2" localSheetId="4">'Reg Types'!#REF!</definedName>
    <definedName name="RegTypes_reg2" localSheetId="12">'Reg Types'!#REF!</definedName>
    <definedName name="RegTypes_reg2" localSheetId="26">'Reg Types'!#REF!</definedName>
    <definedName name="RegTypes_reg2" localSheetId="35">'Reg Types'!#REF!</definedName>
    <definedName name="RegTypes_reg2">'Reg Types'!#REF!</definedName>
    <definedName name="RegTypes_reg3" localSheetId="34">'Reg Types'!#REF!</definedName>
    <definedName name="RegTypes_reg3" localSheetId="6">Fields!$A$14</definedName>
    <definedName name="RegTypes_reg3" localSheetId="4">'Reg Types'!#REF!</definedName>
    <definedName name="RegTypes_reg3" localSheetId="12">'Reg Types'!#REF!</definedName>
    <definedName name="RegTypes_reg3" localSheetId="26">'Reg Types'!#REF!</definedName>
    <definedName name="RegTypes_reg3" localSheetId="35">'Reg Types'!#REF!</definedName>
    <definedName name="RegTypes_reg3">'Reg Types'!#REF!</definedName>
    <definedName name="RegTypes_RegistrationReceiptMethod" localSheetId="34">'Reg Types'!#REF!</definedName>
    <definedName name="RegTypes_RegistrationReceiptMethod" localSheetId="6">Fields!$A$462</definedName>
    <definedName name="RegTypes_RegistrationReceiptMethod" localSheetId="4">'Reg Types'!#REF!</definedName>
    <definedName name="RegTypes_RegistrationReceiptMethod" localSheetId="12">'Reg Types'!#REF!</definedName>
    <definedName name="RegTypes_RegistrationReceiptMethod" localSheetId="26">'Reg Types'!#REF!</definedName>
    <definedName name="RegTypes_RegistrationReceiptMethod" localSheetId="35">'Reg Types'!#REF!</definedName>
    <definedName name="RegTypes_RegistrationReceiptMethod">'Reg Types'!#REF!</definedName>
    <definedName name="Reporting">'Reporting '!$A$2</definedName>
    <definedName name="Reporting_DefaultDateTimeSettings" localSheetId="4">'Reporting '!#REF!</definedName>
    <definedName name="Reporting_DefaultDateTimeSettings" localSheetId="12">'Reporting '!#REF!</definedName>
    <definedName name="Reporting_DefaultDateTimeSettings">'Reporting '!#REF!</definedName>
    <definedName name="Reporting_ESTReporting" localSheetId="4">'Reporting '!#REF!</definedName>
    <definedName name="Reporting_ESTReporting" localSheetId="12">'Reporting '!#REF!</definedName>
    <definedName name="Reporting_ESTReporting">'Reporting '!#REF!</definedName>
    <definedName name="Reporting_ReedAdvanceProcess" localSheetId="4">'Reporting '!#REF!</definedName>
    <definedName name="Reporting_ReedAdvanceProcess" localSheetId="12">'Reporting '!#REF!</definedName>
    <definedName name="Reporting_ReedAdvanceProcess">'Reporting '!#REF!</definedName>
    <definedName name="Reporting_ReedEntranceSessionTracking" localSheetId="4">'Reporting '!#REF!</definedName>
    <definedName name="Reporting_ReedEntranceSessionTracking" localSheetId="12">'Reporting '!#REF!</definedName>
    <definedName name="Reporting_ReedEntranceSessionTracking">'Reporting '!#REF!</definedName>
    <definedName name="Reporting_ReedFinancialReporting" localSheetId="4">'Reporting '!#REF!</definedName>
    <definedName name="Reporting_ReedFinancialReporting" localSheetId="12">'Reporting '!#REF!</definedName>
    <definedName name="Reporting_ReedFinancialReporting">'Reporting '!#REF!</definedName>
    <definedName name="Reporting_ReedPerformanceClause" localSheetId="34">'Reporting '!#REF!</definedName>
    <definedName name="Reporting_ReedPerformanceClause" localSheetId="6">'Reporting '!#REF!</definedName>
    <definedName name="Reporting_ReedPerformanceClause" localSheetId="4">'Reporting '!#REF!</definedName>
    <definedName name="Reporting_ReedPerformanceClause" localSheetId="12">'Reporting '!#REF!</definedName>
    <definedName name="Reporting_ReedPerformanceClause" localSheetId="26">'Reporting '!#REF!</definedName>
    <definedName name="Reporting_ReedPerformanceClause" localSheetId="35">'Reporting '!#REF!</definedName>
    <definedName name="Reporting_ReedPerformanceClause">'Reporting '!#REF!</definedName>
    <definedName name="Reporting_ReedPostShowOnliFiles" localSheetId="4">'Reporting '!#REF!</definedName>
    <definedName name="Reporting_ReedPostShowOnliFiles" localSheetId="12">'Reporting '!#REF!</definedName>
    <definedName name="Reporting_ReedPostShowOnliFiles">'Reporting '!#REF!</definedName>
    <definedName name="Reporting_ReedReportDistribution" localSheetId="4">'Reporting '!#REF!</definedName>
    <definedName name="Reporting_ReedReportDistribution" localSheetId="12">'Reporting '!#REF!</definedName>
    <definedName name="Reporting_ReedReportDistribution">'Reporting '!#REF!</definedName>
    <definedName name="Reporting_ReedStatisticalReporting" localSheetId="4">'Reporting '!#REF!</definedName>
    <definedName name="Reporting_ReedStatisticalReporting" localSheetId="12">'Reporting '!#REF!</definedName>
    <definedName name="Reporting_ReedStatisticalReporting">'Reporting '!#REF!</definedName>
    <definedName name="Reporting_WeeklyReportingCycle">'Reporting '!$A$50</definedName>
    <definedName name="RoundingDIr" localSheetId="4">#REF!</definedName>
    <definedName name="RoundingDIr" localSheetId="12">#REF!</definedName>
    <definedName name="RoundingDIr">#REF!</definedName>
    <definedName name="RoundingPlace" localSheetId="4">#REF!</definedName>
    <definedName name="RoundingPlace" localSheetId="12">#REF!</definedName>
    <definedName name="RoundingPlace">#REF!</definedName>
    <definedName name="ShowInformatino_AdvanceDates" localSheetId="34">'Show Info'!#REF!</definedName>
    <definedName name="ShowInformatino_AdvanceDates" localSheetId="6">'Show Info'!#REF!</definedName>
    <definedName name="ShowInformatino_AdvanceDates" localSheetId="4">'Show Info'!#REF!</definedName>
    <definedName name="ShowInformatino_AdvanceDates" localSheetId="12">'Show Info'!#REF!</definedName>
    <definedName name="ShowInformatino_AdvanceDates" localSheetId="26">'Show Info'!#REF!</definedName>
    <definedName name="ShowInformatino_AdvanceDates" localSheetId="35">'Show Info'!#REF!</definedName>
    <definedName name="ShowInformatino_AdvanceDates">'Show Info'!#REF!</definedName>
    <definedName name="ShowInformation">'Show Info'!$A$2</definedName>
    <definedName name="ShowInformation_CoLocation">'Show Info'!$A$61</definedName>
    <definedName name="ShowInformation_ContactInformation">'Show Info'!$A$87</definedName>
    <definedName name="ShowInformation_CSIDatabaseInformation">'Show Info'!$A$51</definedName>
    <definedName name="ShowInformation_EventBasics">'Show Info'!$A$4</definedName>
    <definedName name="ShowInformation_OnsiteDates" localSheetId="4">'Show Info'!#REF!</definedName>
    <definedName name="ShowInformation_OnsiteDates" localSheetId="12">'Show Info'!#REF!</definedName>
    <definedName name="ShowInformation_OnsiteDates">'Show Info'!#REF!</definedName>
    <definedName name="ShowInformation_RegistrationMethods" localSheetId="4">'Show Info'!#REF!</definedName>
    <definedName name="ShowInformation_RegistrationMethods" localSheetId="12">'Show Info'!#REF!</definedName>
    <definedName name="ShowInformation_RegistrationMethods">'Show Info'!#REF!</definedName>
    <definedName name="ShowInformation_RegistrationProjections">'Show Info'!$A$112</definedName>
    <definedName name="ShowRequirements">'Show Services'!$A$2</definedName>
    <definedName name="ShowRequirements_CancellationPolicy" localSheetId="34">'Show Services'!#REF!</definedName>
    <definedName name="ShowRequirements_CancellationPolicy" localSheetId="6">'Show Services'!#REF!</definedName>
    <definedName name="ShowRequirements_CancellationPolicy" localSheetId="4">'Show Services'!#REF!</definedName>
    <definedName name="ShowRequirements_CancellationPolicy" localSheetId="12">'Show Services'!#REF!</definedName>
    <definedName name="ShowRequirements_CancellationPolicy" localSheetId="26">'Show Services'!#REF!</definedName>
    <definedName name="ShowRequirements_CancellationPolicy" localSheetId="35">'Show Services'!#REF!</definedName>
    <definedName name="ShowRequirements_CancellationPolicy">'Show Services'!#REF!</definedName>
    <definedName name="ShowRequirements_RequiredIntegrations" localSheetId="34">'Show Services'!#REF!</definedName>
    <definedName name="ShowRequirements_RequiredIntegrations" localSheetId="6">'Show Services'!#REF!</definedName>
    <definedName name="ShowRequirements_RequiredIntegrations" localSheetId="4">'Show Services'!#REF!</definedName>
    <definedName name="ShowRequirements_RequiredIntegrations" localSheetId="12">'Show Services'!#REF!</definedName>
    <definedName name="ShowRequirements_RequiredIntegrations" localSheetId="26">'Show Services'!#REF!</definedName>
    <definedName name="ShowRequirements_RequiredIntegrations" localSheetId="35">'Show Services'!#REF!</definedName>
    <definedName name="ShowRequirements_RequiredIntegrations">'Show Services'!#REF!</definedName>
    <definedName name="ShowRequirements_ShowFloorAccess" localSheetId="34">'Show Services'!#REF!</definedName>
    <definedName name="ShowRequirements_ShowFloorAccess" localSheetId="6">'Show Services'!#REF!</definedName>
    <definedName name="ShowRequirements_ShowFloorAccess" localSheetId="4">'Show Services'!#REF!</definedName>
    <definedName name="ShowRequirements_ShowFloorAccess" localSheetId="12">'Show Services'!#REF!</definedName>
    <definedName name="ShowRequirements_ShowFloorAccess" localSheetId="26">'Show Services'!#REF!</definedName>
    <definedName name="ShowRequirements_ShowFloorAccess" localSheetId="35">'Show Services'!#REF!</definedName>
    <definedName name="ShowRequirements_ShowFloorAccess">'Show Services'!#REF!</definedName>
    <definedName name="StoreDestroy" localSheetId="4">#REF!</definedName>
    <definedName name="StoreDestroy" localSheetId="12">#REF!</definedName>
    <definedName name="StoreDestroy">#REF!</definedName>
    <definedName name="Table" localSheetId="4">#REF!</definedName>
    <definedName name="Table" localSheetId="12">#REF!</definedName>
    <definedName name="Table">#REF!</definedName>
    <definedName name="UpdateRequestLog" localSheetId="4">#REF!</definedName>
    <definedName name="UpdateRequestLog" localSheetId="12">#REF!</definedName>
    <definedName name="UpdateRequestLog">#REF!</definedName>
    <definedName name="UpDown" localSheetId="4">#REF!</definedName>
    <definedName name="UpDown" localSheetId="12">#REF!</definedName>
    <definedName name="UpDown">#REF!</definedName>
    <definedName name="Web?" localSheetId="4">#REF!</definedName>
    <definedName name="Web?" localSheetId="12">#REF!</definedName>
    <definedName name="Web?">#REF!</definedName>
    <definedName name="WebSights" localSheetId="4">#REF!</definedName>
    <definedName name="WebSights" localSheetId="12">#REF!</definedName>
    <definedName name="WebSights">#REF!</definedName>
    <definedName name="Website" localSheetId="4">#REF!</definedName>
    <definedName name="Website" localSheetId="12">#REF!</definedName>
    <definedName name="Website">#REF!</definedName>
    <definedName name="Website_Add_MapYourShow" localSheetId="4">#REF!</definedName>
    <definedName name="Website_Add_MapYourShow" localSheetId="12">#REF!</definedName>
    <definedName name="Website_Add_MapYourShow">#REF!</definedName>
    <definedName name="Website_Add_QASAddressValidation" localSheetId="4">#REF!</definedName>
    <definedName name="Website_Add_QASAddressValidation" localSheetId="12">#REF!</definedName>
    <definedName name="Website_Add_QASAddressValidation">#REF!</definedName>
    <definedName name="Website_Add_ReedTouch" localSheetId="4">#REF!</definedName>
    <definedName name="Website_Add_ReedTouch" localSheetId="12">#REF!</definedName>
    <definedName name="Website_Add_ReedTouch">#REF!</definedName>
    <definedName name="Website_Add_VisaSite" localSheetId="34">#REF!</definedName>
    <definedName name="Website_Add_VisaSite" localSheetId="6">#REF!</definedName>
    <definedName name="Website_Add_VisaSite" localSheetId="4">#REF!</definedName>
    <definedName name="Website_Add_VisaSite" localSheetId="12">#REF!</definedName>
    <definedName name="Website_Add_VisaSite" localSheetId="26">#REF!</definedName>
    <definedName name="Website_Add_VisaSite" localSheetId="35">#REF!</definedName>
    <definedName name="Website_Add_VisaSite">#REF!</definedName>
    <definedName name="Website_AdditionalInformationRequired" localSheetId="34">#REF!</definedName>
    <definedName name="Website_AdditionalInformationRequired" localSheetId="6">#REF!</definedName>
    <definedName name="Website_AdditionalInformationRequired" localSheetId="4">#REF!</definedName>
    <definedName name="Website_AdditionalInformationRequired" localSheetId="12">#REF!</definedName>
    <definedName name="Website_AdditionalInformationRequired" localSheetId="26">#REF!</definedName>
    <definedName name="Website_AdditionalInformationRequired" localSheetId="35">#REF!</definedName>
    <definedName name="Website_AdditionalInformationRequired">#REF!</definedName>
    <definedName name="Website_AdditionalWebFeatures" localSheetId="34">#REF!</definedName>
    <definedName name="Website_AdditionalWebFeatures" localSheetId="6">#REF!</definedName>
    <definedName name="Website_AdditionalWebFeatures" localSheetId="4">#REF!</definedName>
    <definedName name="Website_AdditionalWebFeatures" localSheetId="12">#REF!</definedName>
    <definedName name="Website_AdditionalWebFeatures" localSheetId="26">#REF!</definedName>
    <definedName name="Website_AdditionalWebFeatures" localSheetId="35">#REF!</definedName>
    <definedName name="Website_AdditionalWebFeatures">#REF!</definedName>
    <definedName name="Website_Att__Membership" localSheetId="34">#REF!</definedName>
    <definedName name="Website_Att__Membership" localSheetId="6">#REF!</definedName>
    <definedName name="Website_Att__Membership" localSheetId="4">#REF!</definedName>
    <definedName name="Website_Att__Membership" localSheetId="12">#REF!</definedName>
    <definedName name="Website_Att__Membership" localSheetId="26">#REF!</definedName>
    <definedName name="Website_Att__Membership" localSheetId="35">#REF!</definedName>
    <definedName name="Website_Att__Membership">#REF!</definedName>
    <definedName name="Website_Att__Options" localSheetId="34">#REF!</definedName>
    <definedName name="Website_Att__Options" localSheetId="6">#REF!</definedName>
    <definedName name="Website_Att__Options" localSheetId="4">#REF!</definedName>
    <definedName name="Website_Att__Options" localSheetId="12">#REF!</definedName>
    <definedName name="Website_Att__Options" localSheetId="26">#REF!</definedName>
    <definedName name="Website_Att__Options" localSheetId="35">#REF!</definedName>
    <definedName name="Website_Att__Options">#REF!</definedName>
    <definedName name="Website_Att_AddToOutlook" localSheetId="34">#REF!</definedName>
    <definedName name="Website_Att_AddToOutlook" localSheetId="6">#REF!</definedName>
    <definedName name="Website_Att_AddToOutlook" localSheetId="4">#REF!</definedName>
    <definedName name="Website_Att_AddToOutlook" localSheetId="12">#REF!</definedName>
    <definedName name="Website_Att_AddToOutlook" localSheetId="26">#REF!</definedName>
    <definedName name="Website_Att_AddToOutlook" localSheetId="35">#REF!</definedName>
    <definedName name="Website_Att_AddToOutlook">#REF!</definedName>
    <definedName name="Website_Att_AttendeeInviteAFriend" localSheetId="34">#REF!</definedName>
    <definedName name="Website_Att_AttendeeInviteAFriend" localSheetId="6">#REF!</definedName>
    <definedName name="Website_Att_AttendeeInviteAFriend" localSheetId="4">#REF!</definedName>
    <definedName name="Website_Att_AttendeeInviteAFriend" localSheetId="12">#REF!</definedName>
    <definedName name="Website_Att_AttendeeInviteAFriend" localSheetId="26">#REF!</definedName>
    <definedName name="Website_Att_AttendeeInviteAFriend" localSheetId="35">#REF!</definedName>
    <definedName name="Website_Att_AttendeeInviteAFriend">#REF!</definedName>
    <definedName name="Website_Att_ClosingDateTime" localSheetId="34">#REF!</definedName>
    <definedName name="Website_Att_ClosingDateTime" localSheetId="6">#REF!</definedName>
    <definedName name="Website_Att_ClosingDateTime" localSheetId="4">#REF!</definedName>
    <definedName name="Website_Att_ClosingDateTime" localSheetId="12">#REF!</definedName>
    <definedName name="Website_Att_ClosingDateTime" localSheetId="26">#REF!</definedName>
    <definedName name="Website_Att_ClosingDateTime" localSheetId="35">#REF!</definedName>
    <definedName name="Website_Att_ClosingDateTime">#REF!</definedName>
    <definedName name="Website_Att_ConfirmationLetters" localSheetId="34">#REF!</definedName>
    <definedName name="Website_Att_ConfirmationLetters" localSheetId="6">#REF!</definedName>
    <definedName name="Website_Att_ConfirmationLetters" localSheetId="4">#REF!</definedName>
    <definedName name="Website_Att_ConfirmationLetters" localSheetId="12">#REF!</definedName>
    <definedName name="Website_Att_ConfirmationLetters" localSheetId="26">#REF!</definedName>
    <definedName name="Website_Att_ConfirmationLetters" localSheetId="35">#REF!</definedName>
    <definedName name="Website_Att_ConfirmationLetters">#REF!</definedName>
    <definedName name="Website_Att_ConfirmationPage" localSheetId="34">#REF!</definedName>
    <definedName name="Website_Att_ConfirmationPage" localSheetId="6">#REF!</definedName>
    <definedName name="Website_Att_ConfirmationPage" localSheetId="4">#REF!</definedName>
    <definedName name="Website_Att_ConfirmationPage" localSheetId="12">#REF!</definedName>
    <definedName name="Website_Att_ConfirmationPage" localSheetId="26">#REF!</definedName>
    <definedName name="Website_Att_ConfirmationPage" localSheetId="35">#REF!</definedName>
    <definedName name="Website_Att_ConfirmationPage">#REF!</definedName>
    <definedName name="Website_Att_CustomerServiceDetails" localSheetId="34">#REF!</definedName>
    <definedName name="Website_Att_CustomerServiceDetails" localSheetId="6">#REF!</definedName>
    <definedName name="Website_Att_CustomerServiceDetails" localSheetId="4">#REF!</definedName>
    <definedName name="Website_Att_CustomerServiceDetails" localSheetId="12">#REF!</definedName>
    <definedName name="Website_Att_CustomerServiceDetails" localSheetId="26">#REF!</definedName>
    <definedName name="Website_Att_CustomerServiceDetails" localSheetId="35">#REF!</definedName>
    <definedName name="Website_Att_CustomerServiceDetails">#REF!</definedName>
    <definedName name="Website_Att_ExpressRegistrationOptions" localSheetId="34">#REF!</definedName>
    <definedName name="Website_Att_ExpressRegistrationOptions" localSheetId="6">#REF!</definedName>
    <definedName name="Website_Att_ExpressRegistrationOptions" localSheetId="4">#REF!</definedName>
    <definedName name="Website_Att_ExpressRegistrationOptions" localSheetId="12">#REF!</definedName>
    <definedName name="Website_Att_ExpressRegistrationOptions" localSheetId="26">#REF!</definedName>
    <definedName name="Website_Att_ExpressRegistrationOptions" localSheetId="35">#REF!</definedName>
    <definedName name="Website_Att_ExpressRegistrationOptions">#REF!</definedName>
    <definedName name="Website_Att_Housing" localSheetId="4">#REF!</definedName>
    <definedName name="Website_Att_Housing" localSheetId="12">#REF!</definedName>
    <definedName name="Website_Att_Housing">#REF!</definedName>
    <definedName name="Website_Att_LiveHelp" localSheetId="34">#REF!</definedName>
    <definedName name="Website_Att_LiveHelp" localSheetId="6">#REF!</definedName>
    <definedName name="Website_Att_LiveHelp" localSheetId="4">#REF!</definedName>
    <definedName name="Website_Att_LiveHelp" localSheetId="12">#REF!</definedName>
    <definedName name="Website_Att_LiveHelp" localSheetId="26">#REF!</definedName>
    <definedName name="Website_Att_LiveHelp" localSheetId="35">#REF!</definedName>
    <definedName name="Website_Att_LiveHelp">#REF!</definedName>
    <definedName name="Website_Att_OpeningDateTime" localSheetId="34">#REF!</definedName>
    <definedName name="Website_Att_OpeningDateTime" localSheetId="6">#REF!</definedName>
    <definedName name="Website_Att_OpeningDateTime" localSheetId="4">#REF!</definedName>
    <definedName name="Website_Att_OpeningDateTime" localSheetId="12">#REF!</definedName>
    <definedName name="Website_Att_OpeningDateTime" localSheetId="26">#REF!</definedName>
    <definedName name="Website_Att_OpeningDateTime" localSheetId="35">#REF!</definedName>
    <definedName name="Website_Att_OpeningDateTime">#REF!</definedName>
    <definedName name="Website_Att_OptOutURL" localSheetId="34">#REF!</definedName>
    <definedName name="Website_Att_OptOutURL" localSheetId="6">#REF!</definedName>
    <definedName name="Website_Att_OptOutURL" localSheetId="4">#REF!</definedName>
    <definedName name="Website_Att_OptOutURL" localSheetId="12">#REF!</definedName>
    <definedName name="Website_Att_OptOutURL" localSheetId="26">#REF!</definedName>
    <definedName name="Website_Att_OptOutURL" localSheetId="35">#REF!</definedName>
    <definedName name="Website_Att_OptOutURL">#REF!</definedName>
    <definedName name="Website_Att_PartialRegistration" localSheetId="4">#REF!</definedName>
    <definedName name="Website_Att_PartialRegistration" localSheetId="12">#REF!</definedName>
    <definedName name="Website_Att_PartialRegistration">#REF!</definedName>
    <definedName name="Website_Att_Pricing" localSheetId="34">#REF!</definedName>
    <definedName name="Website_Att_Pricing" localSheetId="6">#REF!</definedName>
    <definedName name="Website_Att_Pricing" localSheetId="4">#REF!</definedName>
    <definedName name="Website_Att_Pricing" localSheetId="12">#REF!</definedName>
    <definedName name="Website_Att_Pricing" localSheetId="26">#REF!</definedName>
    <definedName name="Website_Att_Pricing" localSheetId="35">#REF!</definedName>
    <definedName name="Website_Att_Pricing">#REF!</definedName>
    <definedName name="Website_Att_PrivacyPolicyURL" localSheetId="34">#REF!</definedName>
    <definedName name="Website_Att_PrivacyPolicyURL" localSheetId="6">#REF!</definedName>
    <definedName name="Website_Att_PrivacyPolicyURL" localSheetId="4">#REF!</definedName>
    <definedName name="Website_Att_PrivacyPolicyURL" localSheetId="12">#REF!</definedName>
    <definedName name="Website_Att_PrivacyPolicyURL" localSheetId="26">#REF!</definedName>
    <definedName name="Website_Att_PrivacyPolicyURL" localSheetId="35">#REF!</definedName>
    <definedName name="Website_Att_PrivacyPolicyURL">#REF!</definedName>
    <definedName name="Website_Att_ReedDeniedRegistrations" localSheetId="4">#REF!</definedName>
    <definedName name="Website_Att_ReedDeniedRegistrations" localSheetId="12">#REF!</definedName>
    <definedName name="Website_Att_ReedDeniedRegistrations">#REF!</definedName>
    <definedName name="Website_Att_SocialNetworks" localSheetId="34">#REF!</definedName>
    <definedName name="Website_Att_SocialNetworks" localSheetId="6">#REF!</definedName>
    <definedName name="Website_Att_SocialNetworks" localSheetId="4">#REF!</definedName>
    <definedName name="Website_Att_SocialNetworks" localSheetId="12">#REF!</definedName>
    <definedName name="Website_Att_SocialNetworks" localSheetId="26">#REF!</definedName>
    <definedName name="Website_Att_SocialNetworks" localSheetId="35">#REF!</definedName>
    <definedName name="Website_Att_SocialNetworks">#REF!</definedName>
    <definedName name="Website_Att_WebsiteFields" localSheetId="34">#REF!</definedName>
    <definedName name="Website_Att_WebsiteFields" localSheetId="6">#REF!</definedName>
    <definedName name="Website_Att_WebsiteFields" localSheetId="4">#REF!</definedName>
    <definedName name="Website_Att_WebsiteFields" localSheetId="12">#REF!</definedName>
    <definedName name="Website_Att_WebsiteFields" localSheetId="26">#REF!</definedName>
    <definedName name="Website_Att_WebsiteFields" localSheetId="35">#REF!</definedName>
    <definedName name="Website_Att_WebsiteFields">#REF!</definedName>
    <definedName name="Website_Att_WhosAttending" localSheetId="4">#REF!</definedName>
    <definedName name="Website_Att_WhosAttending" localSheetId="12">#REF!</definedName>
    <definedName name="Website_Att_WhosAttending">#REF!</definedName>
    <definedName name="Website_AttendeeConferenceWebsite" localSheetId="34">#REF!</definedName>
    <definedName name="Website_AttendeeConferenceWebsite" localSheetId="6">#REF!</definedName>
    <definedName name="Website_AttendeeConferenceWebsite" localSheetId="4">#REF!</definedName>
    <definedName name="Website_AttendeeConferenceWebsite" localSheetId="12">#REF!</definedName>
    <definedName name="Website_AttendeeConferenceWebsite" localSheetId="26">#REF!</definedName>
    <definedName name="Website_AttendeeConferenceWebsite" localSheetId="35">#REF!</definedName>
    <definedName name="Website_AttendeeConferenceWebsite">#REF!</definedName>
    <definedName name="Website_ClosingTimeDate" localSheetId="34">#REF!</definedName>
    <definedName name="Website_ClosingTimeDate" localSheetId="6">#REF!</definedName>
    <definedName name="Website_ClosingTimeDate" localSheetId="4">#REF!</definedName>
    <definedName name="Website_ClosingTimeDate" localSheetId="12">#REF!</definedName>
    <definedName name="Website_ClosingTimeDate" localSheetId="26">#REF!</definedName>
    <definedName name="Website_ClosingTimeDate" localSheetId="35">#REF!</definedName>
    <definedName name="Website_ClosingTimeDate">#REF!</definedName>
    <definedName name="Website_CyberSourceAddountInformation" localSheetId="34">#REF!</definedName>
    <definedName name="Website_CyberSourceAddountInformation" localSheetId="6">#REF!</definedName>
    <definedName name="Website_CyberSourceAddountInformation" localSheetId="4">#REF!</definedName>
    <definedName name="Website_CyberSourceAddountInformation" localSheetId="12">#REF!</definedName>
    <definedName name="Website_CyberSourceAddountInformation" localSheetId="26">#REF!</definedName>
    <definedName name="Website_CyberSourceAddountInformation" localSheetId="35">#REF!</definedName>
    <definedName name="Website_CyberSourceAddountInformation">#REF!</definedName>
    <definedName name="Website_ExhibitorMatching" localSheetId="4">#REF!</definedName>
    <definedName name="Website_ExhibitorMatching" localSheetId="12">#REF!</definedName>
    <definedName name="Website_ExhibitorMatching">#REF!</definedName>
    <definedName name="Website_FollowUpBroadcastEmailDate" localSheetId="34">#REF!</definedName>
    <definedName name="Website_FollowUpBroadcastEmailDate" localSheetId="6">#REF!</definedName>
    <definedName name="Website_FollowUpBroadcastEmailDate" localSheetId="4">#REF!</definedName>
    <definedName name="Website_FollowUpBroadcastEmailDate" localSheetId="12">#REF!</definedName>
    <definedName name="Website_FollowUpBroadcastEmailDate" localSheetId="26">#REF!</definedName>
    <definedName name="Website_FollowUpBroadcastEmailDate" localSheetId="35">#REF!</definedName>
    <definedName name="Website_FollowUpBroadcastEmailDate">#REF!</definedName>
    <definedName name="Website_Notes" localSheetId="34">#REF!</definedName>
    <definedName name="Website_Notes" localSheetId="6">#REF!</definedName>
    <definedName name="Website_Notes" localSheetId="4">#REF!</definedName>
    <definedName name="Website_Notes" localSheetId="12">#REF!</definedName>
    <definedName name="Website_Notes" localSheetId="26">#REF!</definedName>
    <definedName name="Website_Notes" localSheetId="35">#REF!</definedName>
    <definedName name="Website_Notes">#REF!</definedName>
    <definedName name="Website_OpeningTimeDate" localSheetId="34">#REF!</definedName>
    <definedName name="Website_OpeningTimeDate" localSheetId="6">#REF!</definedName>
    <definedName name="Website_OpeningTimeDate" localSheetId="4">#REF!</definedName>
    <definedName name="Website_OpeningTimeDate" localSheetId="12">#REF!</definedName>
    <definedName name="Website_OpeningTimeDate" localSheetId="26">#REF!</definedName>
    <definedName name="Website_OpeningTimeDate" localSheetId="35">#REF!</definedName>
    <definedName name="Website_OpeningTimeDate">#REF!</definedName>
    <definedName name="Website_RegCode" localSheetId="34">#REF!</definedName>
    <definedName name="Website_RegCode" localSheetId="6">#REF!</definedName>
    <definedName name="Website_RegCode" localSheetId="4">#REF!</definedName>
    <definedName name="Website_RegCode" localSheetId="12">#REF!</definedName>
    <definedName name="Website_RegCode" localSheetId="26">#REF!</definedName>
    <definedName name="Website_RegCode" localSheetId="35">#REF!</definedName>
    <definedName name="Website_RegCode">#REF!</definedName>
    <definedName name="Website_RegistrationRequestWebsite" localSheetId="34">#REF!</definedName>
    <definedName name="Website_RegistrationRequestWebsite" localSheetId="6">#REF!</definedName>
    <definedName name="Website_RegistrationRequestWebsite" localSheetId="4">#REF!</definedName>
    <definedName name="Website_RegistrationRequestWebsite" localSheetId="12">#REF!</definedName>
    <definedName name="Website_RegistrationRequestWebsite" localSheetId="26">#REF!</definedName>
    <definedName name="Website_RegistrationRequestWebsite" localSheetId="35">#REF!</definedName>
    <definedName name="Website_RegistrationRequestWebsite">#REF!</definedName>
    <definedName name="Website_RegType" localSheetId="34">#REF!</definedName>
    <definedName name="Website_RegType" localSheetId="6">#REF!</definedName>
    <definedName name="Website_RegType" localSheetId="4">#REF!</definedName>
    <definedName name="Website_RegType" localSheetId="12">#REF!</definedName>
    <definedName name="Website_RegType" localSheetId="26">#REF!</definedName>
    <definedName name="Website_RegType" localSheetId="35">#REF!</definedName>
    <definedName name="Website_RegType">#REF!</definedName>
    <definedName name="Website_ReplyToEmailAddress" localSheetId="34">#REF!</definedName>
    <definedName name="Website_ReplyToEmailAddress" localSheetId="6">#REF!</definedName>
    <definedName name="Website_ReplyToEmailAddress" localSheetId="4">#REF!</definedName>
    <definedName name="Website_ReplyToEmailAddress" localSheetId="12">#REF!</definedName>
    <definedName name="Website_ReplyToEmailAddress" localSheetId="26">#REF!</definedName>
    <definedName name="Website_ReplyToEmailAddress" localSheetId="35">#REF!</definedName>
    <definedName name="Website_ReplyToEmailAddress">#REF!</definedName>
    <definedName name="Website_SubjectLine" localSheetId="34">#REF!</definedName>
    <definedName name="Website_SubjectLine" localSheetId="6">#REF!</definedName>
    <definedName name="Website_SubjectLine" localSheetId="4">#REF!</definedName>
    <definedName name="Website_SubjectLine" localSheetId="12">#REF!</definedName>
    <definedName name="Website_SubjectLine" localSheetId="26">#REF!</definedName>
    <definedName name="Website_SubjectLine" localSheetId="35">#REF!</definedName>
    <definedName name="Website_SubjectLine">#REF!</definedName>
    <definedName name="Website_TypeOfSites" localSheetId="4">#REF!</definedName>
    <definedName name="Website_TypeOfSites" localSheetId="12">#REF!</definedName>
    <definedName name="Website_TypeOfSites">#REF!</definedName>
    <definedName name="Website_WebsiteFields" localSheetId="34">#REF!</definedName>
    <definedName name="Website_WebsiteFields" localSheetId="6">#REF!</definedName>
    <definedName name="Website_WebsiteFields" localSheetId="4">#REF!</definedName>
    <definedName name="Website_WebsiteFields" localSheetId="12">#REF!</definedName>
    <definedName name="Website_WebsiteFields" localSheetId="26">#REF!</definedName>
    <definedName name="Website_WebsiteFields" localSheetId="35">#REF!</definedName>
    <definedName name="Website_WebsiteFields">#REF!</definedName>
    <definedName name="Website_WebsiteRequirements" localSheetId="4">#REF!</definedName>
    <definedName name="Website_WebsiteRequirements" localSheetId="12">#REF!</definedName>
    <definedName name="Website_WebsiteRequirements">#REF!</definedName>
    <definedName name="Website_WebTemplateStandards" localSheetId="4">#REF!</definedName>
    <definedName name="Website_WebTemplateStandards" localSheetId="12">#REF!</definedName>
    <definedName name="Website_WebTemplateStandards">#REF!</definedName>
    <definedName name="Website_WIllConformationLettersBeSent" localSheetId="34">#REF!</definedName>
    <definedName name="Website_WIllConformationLettersBeSent" localSheetId="6">#REF!</definedName>
    <definedName name="Website_WIllConformationLettersBeSent" localSheetId="4">#REF!</definedName>
    <definedName name="Website_WIllConformationLettersBeSent" localSheetId="12">#REF!</definedName>
    <definedName name="Website_WIllConformationLettersBeSent" localSheetId="26">#REF!</definedName>
    <definedName name="Website_WIllConformationLettersBeSent" localSheetId="35">#REF!</definedName>
    <definedName name="Website_WIllConformationLettersBeSent">#REF!</definedName>
    <definedName name="WebSites" localSheetId="4">#REF!</definedName>
    <definedName name="WebSites" localSheetId="12">#REF!</definedName>
    <definedName name="WebSites">#REF!</definedName>
    <definedName name="YesNA" localSheetId="4">#REF!</definedName>
    <definedName name="YesNA" localSheetId="12">#REF!</definedName>
    <definedName name="YesNA">#REF!</definedName>
    <definedName name="YesNo" localSheetId="4">#REF!</definedName>
    <definedName name="YesNo" localSheetId="12">#REF!</definedName>
    <definedName name="YesNo">#REF!</definedName>
    <definedName name="Z_4892E1C0_7A56_4F81_A857_987D77EC4462_.wvu.Cols" localSheetId="28" hidden="1">Materials!$Q:$R</definedName>
    <definedName name="Z_4892E1C0_7A56_4F81_A857_987D77EC4462_.wvu.PrintTitles" localSheetId="7" hidden="1">'Field Designations'!$4:$4</definedName>
    <definedName name="Z_4892E1C0_7A56_4F81_A857_987D77EC4462_.wvu.PrintTitles" localSheetId="4" hidden="1">Inquiry!$A:$B</definedName>
    <definedName name="Z_4892E1C0_7A56_4F81_A857_987D77EC4462_.wvu.PrintTitles" localSheetId="5" hidden="1">'Reg Codes'!$A:$B</definedName>
    <definedName name="Z_4892E1C0_7A56_4F81_A857_987D77EC4462_.wvu.Rows" localSheetId="21" hidden="1">'Data Control'!$38:$38</definedName>
    <definedName name="Z_4892E1C0_7A56_4F81_A857_987D77EC4462_.wvu.Rows" localSheetId="34" hidden="1">'Data Transfer'!#REF!</definedName>
    <definedName name="Z_4892E1C0_7A56_4F81_A857_987D77EC4462_.wvu.Rows" localSheetId="35" hidden="1">'PrePop AutoReg'!#REF!</definedName>
    <definedName name="Z_4892E1C0_7A56_4F81_A857_987D77EC4462_.wvu.Rows" localSheetId="19" hidden="1">'Reporting '!#REF!,'Reporting '!#REF!,'Reporting '!#REF!,'Reporting '!#REF!,'Reporting '!#REF!,'Reporting '!#REF!,'Reporting '!#REF!,'Reporting '!#REF!,'Reporting '!#REF!,'Reporting '!#REF!,'Reporting '!#REF!,'Reporting '!#REF!</definedName>
    <definedName name="Z_C29C6423_4E3D_4B08_919E_993C7C45FC31_.wvu.Cols" localSheetId="28" hidden="1">Materials!$Q:$R</definedName>
    <definedName name="Z_C29C6423_4E3D_4B08_919E_993C7C45FC31_.wvu.PrintTitles" localSheetId="7" hidden="1">'Field Designations'!$4:$4</definedName>
    <definedName name="Z_C29C6423_4E3D_4B08_919E_993C7C45FC31_.wvu.PrintTitles" localSheetId="4" hidden="1">Inquiry!$A:$B</definedName>
    <definedName name="Z_C29C6423_4E3D_4B08_919E_993C7C45FC31_.wvu.PrintTitles" localSheetId="5" hidden="1">'Reg Codes'!$A:$B</definedName>
    <definedName name="Z_C29C6423_4E3D_4B08_919E_993C7C45FC31_.wvu.Rows" localSheetId="21" hidden="1">'Data Control'!$38:$38</definedName>
    <definedName name="Z_C29C6423_4E3D_4B08_919E_993C7C45FC31_.wvu.Rows" localSheetId="34" hidden="1">'Data Transfer'!#REF!</definedName>
    <definedName name="Z_C29C6423_4E3D_4B08_919E_993C7C45FC31_.wvu.Rows" localSheetId="35" hidden="1">'PrePop AutoReg'!#REF!</definedName>
    <definedName name="Z_C29C6423_4E3D_4B08_919E_993C7C45FC31_.wvu.Rows" localSheetId="19" hidden="1">'Reporting '!#REF!,'Reporting '!#REF!,'Reporting '!#REF!,'Reporting '!#REF!,'Reporting '!#REF!,'Reporting '!#REF!,'Reporting '!#REF!,'Reporting '!#REF!,'Reporting '!#REF!,'Reporting '!#REF!,'Reporting '!#REF!,'Reporting '!#REF!</definedName>
  </definedNames>
  <calcPr calcId="152511"/>
  <customWorkbookViews>
    <customWorkbookView name="Matt Jevne - Personal View" guid="{4892E1C0-7A56-4F81-A857-987D77EC4462}" mergeInterval="0" personalView="1" maximized="1" windowWidth="1366" windowHeight="543" tabRatio="927" activeSheetId="22"/>
    <customWorkbookView name="Sarah Gojdas - Personal View" guid="{C29C6423-4E3D-4B08-919E-993C7C45FC31}" mergeInterval="0" personalView="1" maximized="1" windowWidth="1271" windowHeight="574" tabRatio="927" activeSheetId="18"/>
  </customWorkbookViews>
</workbook>
</file>

<file path=xl/calcChain.xml><?xml version="1.0" encoding="utf-8"?>
<calcChain xmlns="http://schemas.openxmlformats.org/spreadsheetml/2006/main">
  <c r="Q309" i="33" l="1"/>
  <c r="P309" i="33"/>
  <c r="O309" i="33"/>
  <c r="N309" i="33"/>
  <c r="M309" i="33"/>
  <c r="L309" i="33"/>
  <c r="K309" i="33"/>
  <c r="J309" i="33"/>
  <c r="I309" i="33"/>
  <c r="H309" i="33"/>
  <c r="G309" i="33"/>
  <c r="F309" i="33"/>
  <c r="E309" i="33"/>
  <c r="D309" i="33"/>
  <c r="C309" i="33"/>
  <c r="B309" i="33"/>
  <c r="A309" i="33"/>
  <c r="IV308" i="33"/>
  <c r="IU308" i="33"/>
  <c r="IT308" i="33"/>
  <c r="IS308" i="33"/>
  <c r="IR308" i="33"/>
  <c r="IQ308" i="33"/>
  <c r="IP308" i="33"/>
  <c r="IO308" i="33"/>
  <c r="IN308" i="33"/>
  <c r="IM308" i="33"/>
  <c r="IL308" i="33"/>
  <c r="IK308" i="33"/>
  <c r="IJ308" i="33"/>
  <c r="II308" i="33"/>
  <c r="IH308" i="33"/>
  <c r="IG308" i="33"/>
  <c r="IF308" i="33"/>
  <c r="IE308" i="33"/>
  <c r="ID308" i="33"/>
  <c r="IC308" i="33"/>
  <c r="IB308" i="33"/>
  <c r="IA308" i="33"/>
  <c r="HZ308" i="33"/>
  <c r="HY308" i="33"/>
  <c r="HX308" i="33"/>
  <c r="HW308" i="33"/>
  <c r="HV308" i="33"/>
  <c r="HU308" i="33"/>
  <c r="HT308" i="33"/>
  <c r="HS308" i="33"/>
  <c r="HR308" i="33"/>
  <c r="HQ308" i="33"/>
  <c r="HP308" i="33"/>
  <c r="HO308" i="33"/>
  <c r="HN308" i="33"/>
  <c r="HM308" i="33"/>
  <c r="HL308" i="33"/>
  <c r="HK308" i="33"/>
  <c r="HJ308" i="33"/>
  <c r="HI308" i="33"/>
  <c r="HH308" i="33"/>
  <c r="HG308" i="33"/>
  <c r="HF308" i="33"/>
  <c r="HE308" i="33"/>
  <c r="HD308" i="33"/>
  <c r="HC308" i="33"/>
  <c r="HB308" i="33"/>
  <c r="HA308" i="33"/>
  <c r="GZ308" i="33"/>
  <c r="GY308" i="33"/>
  <c r="GX308" i="33"/>
  <c r="GW308" i="33"/>
  <c r="GV308" i="33"/>
  <c r="GU308" i="33"/>
  <c r="GT308" i="33"/>
  <c r="GS308" i="33"/>
  <c r="GR308" i="33"/>
  <c r="GQ308" i="33"/>
  <c r="GP308" i="33"/>
  <c r="GO308" i="33"/>
  <c r="GN308" i="33"/>
  <c r="GM308" i="33"/>
  <c r="GL308" i="33"/>
  <c r="GK308" i="33"/>
  <c r="GJ308" i="33"/>
  <c r="GI308" i="33"/>
  <c r="GH308" i="33"/>
  <c r="GG308" i="33"/>
  <c r="GF308" i="33"/>
  <c r="GE308" i="33"/>
  <c r="GD308" i="33"/>
  <c r="GC308" i="33"/>
  <c r="GB308" i="33"/>
  <c r="GA308" i="33"/>
  <c r="FZ308" i="33"/>
  <c r="FY308" i="33"/>
  <c r="FX308" i="33"/>
  <c r="FW308" i="33"/>
  <c r="FV308" i="33"/>
  <c r="FU308" i="33"/>
  <c r="FT308" i="33"/>
  <c r="FS308" i="33"/>
  <c r="FR308" i="33"/>
  <c r="FQ308" i="33"/>
  <c r="FP308" i="33"/>
  <c r="FO308" i="33"/>
  <c r="FN308" i="33"/>
  <c r="FM308" i="33"/>
  <c r="FL308" i="33"/>
  <c r="FK308" i="33"/>
  <c r="FJ308" i="33"/>
  <c r="FI308" i="33"/>
  <c r="FH308" i="33"/>
  <c r="FG308" i="33"/>
  <c r="FF308" i="33"/>
  <c r="FE308" i="33"/>
  <c r="FD308" i="33"/>
  <c r="FC308" i="33"/>
  <c r="FB308" i="33"/>
  <c r="FA308" i="33"/>
  <c r="EZ308" i="33"/>
  <c r="EY308" i="33"/>
  <c r="EX308" i="33"/>
  <c r="EW308" i="33"/>
  <c r="EV308" i="33"/>
  <c r="EU308" i="33"/>
  <c r="ET308" i="33"/>
  <c r="ES308" i="33"/>
  <c r="ER308" i="33"/>
  <c r="EQ308" i="33"/>
  <c r="EP308" i="33"/>
  <c r="EO308" i="33"/>
  <c r="EN308" i="33"/>
  <c r="EM308" i="33"/>
  <c r="EL308" i="33"/>
  <c r="EK308" i="33"/>
  <c r="EJ308" i="33"/>
  <c r="EI308" i="33"/>
  <c r="EH308" i="33"/>
  <c r="EG308" i="33"/>
  <c r="EF308" i="33"/>
  <c r="EE308" i="33"/>
  <c r="ED308" i="33"/>
  <c r="EC308" i="33"/>
  <c r="EB308" i="33"/>
  <c r="EA308" i="33"/>
  <c r="DZ308" i="33"/>
  <c r="DY308" i="33"/>
  <c r="DX308" i="33"/>
  <c r="DW308" i="33"/>
  <c r="DV308" i="33"/>
  <c r="DU308" i="33"/>
  <c r="DT308" i="33"/>
  <c r="DS308" i="33"/>
  <c r="DR308" i="33"/>
  <c r="DQ308" i="33"/>
  <c r="DP308" i="33"/>
  <c r="DO308" i="33"/>
  <c r="DN308" i="33"/>
  <c r="DM308" i="33"/>
  <c r="DL308" i="33"/>
  <c r="DK308" i="33"/>
  <c r="DJ308" i="33"/>
  <c r="DI308" i="33"/>
  <c r="DH308" i="33"/>
  <c r="DG308" i="33"/>
  <c r="DF308" i="33"/>
  <c r="DE308" i="33"/>
  <c r="DD308" i="33"/>
  <c r="DC308" i="33"/>
  <c r="DB308" i="33"/>
  <c r="DA308" i="33"/>
  <c r="CZ308" i="33"/>
  <c r="CY308" i="33"/>
  <c r="CX308" i="33"/>
  <c r="CW308" i="33"/>
  <c r="CV308" i="33"/>
  <c r="CU308" i="33"/>
  <c r="CT308" i="33"/>
  <c r="CS308" i="33"/>
  <c r="CR308" i="33"/>
  <c r="CQ308" i="33"/>
  <c r="CP308" i="33"/>
  <c r="CO308" i="33"/>
  <c r="CN308" i="33"/>
  <c r="CM308" i="33"/>
  <c r="CL308" i="33"/>
  <c r="CK308" i="33"/>
  <c r="CJ308" i="33"/>
  <c r="CI308" i="33"/>
  <c r="CH308" i="33"/>
  <c r="CG308" i="33"/>
  <c r="CF308" i="33"/>
  <c r="CE308" i="33"/>
  <c r="CD308" i="33"/>
  <c r="CC308" i="33"/>
  <c r="CB308" i="33"/>
  <c r="CA308" i="33"/>
  <c r="BZ308" i="33"/>
  <c r="BY308" i="33"/>
  <c r="BX308" i="33"/>
  <c r="BW308" i="33"/>
  <c r="BV308" i="33"/>
  <c r="BU308" i="33"/>
  <c r="BT308" i="33"/>
  <c r="BS308" i="33"/>
  <c r="BR308" i="33"/>
  <c r="BQ308" i="33"/>
  <c r="BP308" i="33"/>
  <c r="BO308" i="33"/>
  <c r="BN308" i="33"/>
  <c r="BM308" i="33"/>
  <c r="BL308" i="33"/>
  <c r="BK308" i="33"/>
  <c r="BJ308" i="33"/>
  <c r="BI308" i="33"/>
  <c r="BH308" i="33"/>
  <c r="BG308" i="33"/>
  <c r="BF308" i="33"/>
  <c r="BE308" i="33"/>
  <c r="BD308" i="33"/>
  <c r="BC308" i="33"/>
  <c r="BB308" i="33"/>
  <c r="BA308" i="33"/>
  <c r="AZ308" i="33"/>
  <c r="AY308" i="33"/>
  <c r="AX308" i="33"/>
  <c r="AW308" i="33"/>
  <c r="AV308" i="33"/>
  <c r="AU308" i="33"/>
  <c r="AT308" i="33"/>
  <c r="AS308" i="33"/>
  <c r="AR308" i="33"/>
  <c r="AQ308" i="33"/>
  <c r="AP308" i="33"/>
  <c r="AO308" i="33"/>
  <c r="AN308" i="33"/>
  <c r="AM308" i="33"/>
  <c r="AL308" i="33"/>
  <c r="AK308" i="33"/>
  <c r="AJ308" i="33"/>
  <c r="AI308" i="33"/>
  <c r="AH308" i="33"/>
  <c r="AG308" i="33"/>
  <c r="AF308" i="33"/>
  <c r="AE308" i="33"/>
  <c r="AD308" i="33"/>
  <c r="AC308" i="33"/>
  <c r="AB308" i="33"/>
  <c r="AA308" i="33"/>
  <c r="Z308" i="33"/>
  <c r="Y308" i="33"/>
  <c r="X308" i="33"/>
  <c r="W308" i="33"/>
  <c r="V308" i="33"/>
  <c r="U308" i="33"/>
  <c r="T308" i="33"/>
  <c r="S308" i="33"/>
  <c r="R308" i="33"/>
  <c r="Q308" i="33"/>
  <c r="P308" i="33"/>
  <c r="O308" i="33"/>
  <c r="N308" i="33"/>
  <c r="M308" i="33"/>
  <c r="L308" i="33"/>
  <c r="K308" i="33"/>
  <c r="J308" i="33"/>
  <c r="I308" i="33"/>
  <c r="H308" i="33"/>
  <c r="G308" i="33"/>
  <c r="F308" i="33"/>
  <c r="E308" i="33"/>
  <c r="D308" i="33"/>
  <c r="C308" i="33"/>
  <c r="B308" i="33"/>
  <c r="A308" i="33"/>
  <c r="IV307" i="33"/>
  <c r="IU307" i="33"/>
  <c r="IT307" i="33"/>
  <c r="IS307" i="33"/>
  <c r="IR307" i="33"/>
  <c r="IQ307" i="33"/>
  <c r="IP307" i="33"/>
  <c r="IO307" i="33"/>
  <c r="IN307" i="33"/>
  <c r="IM307" i="33"/>
  <c r="IL307" i="33"/>
  <c r="IK307" i="33"/>
  <c r="IJ307" i="33"/>
  <c r="II307" i="33"/>
  <c r="IH307" i="33"/>
  <c r="IG307" i="33"/>
  <c r="IF307" i="33"/>
  <c r="IE307" i="33"/>
  <c r="ID307" i="33"/>
  <c r="IC307" i="33"/>
  <c r="IB307" i="33"/>
  <c r="IA307" i="33"/>
  <c r="HZ307" i="33"/>
  <c r="HY307" i="33"/>
  <c r="HX307" i="33"/>
  <c r="HW307" i="33"/>
  <c r="HV307" i="33"/>
  <c r="HU307" i="33"/>
  <c r="HT307" i="33"/>
  <c r="HS307" i="33"/>
  <c r="HR307" i="33"/>
  <c r="HQ307" i="33"/>
  <c r="HP307" i="33"/>
  <c r="HO307" i="33"/>
  <c r="HN307" i="33"/>
  <c r="HM307" i="33"/>
  <c r="HL307" i="33"/>
  <c r="HK307" i="33"/>
  <c r="HJ307" i="33"/>
  <c r="HI307" i="33"/>
  <c r="HH307" i="33"/>
  <c r="HG307" i="33"/>
  <c r="HF307" i="33"/>
  <c r="HE307" i="33"/>
  <c r="HD307" i="33"/>
  <c r="HC307" i="33"/>
  <c r="HB307" i="33"/>
  <c r="HA307" i="33"/>
  <c r="GZ307" i="33"/>
  <c r="GY307" i="33"/>
  <c r="GX307" i="33"/>
  <c r="GW307" i="33"/>
  <c r="GV307" i="33"/>
  <c r="GU307" i="33"/>
  <c r="GT307" i="33"/>
  <c r="GS307" i="33"/>
  <c r="GR307" i="33"/>
  <c r="GQ307" i="33"/>
  <c r="GP307" i="33"/>
  <c r="GO307" i="33"/>
  <c r="GN307" i="33"/>
  <c r="GM307" i="33"/>
  <c r="GL307" i="33"/>
  <c r="GK307" i="33"/>
  <c r="GJ307" i="33"/>
  <c r="GI307" i="33"/>
  <c r="GH307" i="33"/>
  <c r="GG307" i="33"/>
  <c r="GF307" i="33"/>
  <c r="GE307" i="33"/>
  <c r="GD307" i="33"/>
  <c r="GC307" i="33"/>
  <c r="GB307" i="33"/>
  <c r="GA307" i="33"/>
  <c r="FZ307" i="33"/>
  <c r="FY307" i="33"/>
  <c r="FX307" i="33"/>
  <c r="FW307" i="33"/>
  <c r="FV307" i="33"/>
  <c r="FU307" i="33"/>
  <c r="FT307" i="33"/>
  <c r="FS307" i="33"/>
  <c r="FR307" i="33"/>
  <c r="FQ307" i="33"/>
  <c r="FP307" i="33"/>
  <c r="FO307" i="33"/>
  <c r="FN307" i="33"/>
  <c r="FM307" i="33"/>
  <c r="FL307" i="33"/>
  <c r="FK307" i="33"/>
  <c r="FJ307" i="33"/>
  <c r="FI307" i="33"/>
  <c r="FH307" i="33"/>
  <c r="FG307" i="33"/>
  <c r="FF307" i="33"/>
  <c r="FE307" i="33"/>
  <c r="FD307" i="33"/>
  <c r="FC307" i="33"/>
  <c r="FB307" i="33"/>
  <c r="FA307" i="33"/>
  <c r="EZ307" i="33"/>
  <c r="EY307" i="33"/>
  <c r="EX307" i="33"/>
  <c r="EW307" i="33"/>
  <c r="EV307" i="33"/>
  <c r="EU307" i="33"/>
  <c r="ET307" i="33"/>
  <c r="ES307" i="33"/>
  <c r="ER307" i="33"/>
  <c r="EQ307" i="33"/>
  <c r="EP307" i="33"/>
  <c r="EO307" i="33"/>
  <c r="EN307" i="33"/>
  <c r="EM307" i="33"/>
  <c r="EL307" i="33"/>
  <c r="EK307" i="33"/>
  <c r="EJ307" i="33"/>
  <c r="EI307" i="33"/>
  <c r="EH307" i="33"/>
  <c r="EG307" i="33"/>
  <c r="EF307" i="33"/>
  <c r="EE307" i="33"/>
  <c r="ED307" i="33"/>
  <c r="EC307" i="33"/>
  <c r="EB307" i="33"/>
  <c r="EA307" i="33"/>
  <c r="DZ307" i="33"/>
  <c r="DY307" i="33"/>
  <c r="DX307" i="33"/>
  <c r="DW307" i="33"/>
  <c r="DV307" i="33"/>
  <c r="DU307" i="33"/>
  <c r="DT307" i="33"/>
  <c r="DS307" i="33"/>
  <c r="DR307" i="33"/>
  <c r="DQ307" i="33"/>
  <c r="DP307" i="33"/>
  <c r="DO307" i="33"/>
  <c r="DN307" i="33"/>
  <c r="DM307" i="33"/>
  <c r="DL307" i="33"/>
  <c r="DK307" i="33"/>
  <c r="DJ307" i="33"/>
  <c r="DI307" i="33"/>
  <c r="DH307" i="33"/>
  <c r="DG307" i="33"/>
  <c r="DF307" i="33"/>
  <c r="DE307" i="33"/>
  <c r="DD307" i="33"/>
  <c r="DC307" i="33"/>
  <c r="DB307" i="33"/>
  <c r="DA307" i="33"/>
  <c r="CZ307" i="33"/>
  <c r="CY307" i="33"/>
  <c r="CX307" i="33"/>
  <c r="CW307" i="33"/>
  <c r="CV307" i="33"/>
  <c r="CU307" i="33"/>
  <c r="CT307" i="33"/>
  <c r="CS307" i="33"/>
  <c r="CR307" i="33"/>
  <c r="CQ307" i="33"/>
  <c r="CP307" i="33"/>
  <c r="CO307" i="33"/>
  <c r="CN307" i="33"/>
  <c r="CM307" i="33"/>
  <c r="CL307" i="33"/>
  <c r="CK307" i="33"/>
  <c r="CJ307" i="33"/>
  <c r="CI307" i="33"/>
  <c r="CH307" i="33"/>
  <c r="CG307" i="33"/>
  <c r="CF307" i="33"/>
  <c r="CE307" i="33"/>
  <c r="CD307" i="33"/>
  <c r="CC307" i="33"/>
  <c r="CB307" i="33"/>
  <c r="CA307" i="33"/>
  <c r="BZ307" i="33"/>
  <c r="BY307" i="33"/>
  <c r="BX307" i="33"/>
  <c r="BW307" i="33"/>
  <c r="BV307" i="33"/>
  <c r="BU307" i="33"/>
  <c r="BT307" i="33"/>
  <c r="BS307" i="33"/>
  <c r="BR307" i="33"/>
  <c r="BQ307" i="33"/>
  <c r="BP307" i="33"/>
  <c r="BO307" i="33"/>
  <c r="BN307" i="33"/>
  <c r="BM307" i="33"/>
  <c r="BL307" i="33"/>
  <c r="BK307" i="33"/>
  <c r="BJ307" i="33"/>
  <c r="BI307" i="33"/>
  <c r="BH307" i="33"/>
  <c r="BG307" i="33"/>
  <c r="BF307" i="33"/>
  <c r="BE307" i="33"/>
  <c r="BD307" i="33"/>
  <c r="BC307" i="33"/>
  <c r="BB307" i="33"/>
  <c r="BA307" i="33"/>
  <c r="AZ307" i="33"/>
  <c r="AY307" i="33"/>
  <c r="AX307" i="33"/>
  <c r="AW307" i="33"/>
  <c r="AV307" i="33"/>
  <c r="AU307" i="33"/>
  <c r="AT307" i="33"/>
  <c r="AS307" i="33"/>
  <c r="AR307" i="33"/>
  <c r="AQ307" i="33"/>
  <c r="AP307" i="33"/>
  <c r="AO307" i="33"/>
  <c r="AN307" i="33"/>
  <c r="AM307" i="33"/>
  <c r="AL307" i="33"/>
  <c r="AK307" i="33"/>
  <c r="AJ307" i="33"/>
  <c r="AI307" i="33"/>
  <c r="AH307" i="33"/>
  <c r="AG307" i="33"/>
  <c r="AF307" i="33"/>
  <c r="AE307" i="33"/>
  <c r="AD307" i="33"/>
  <c r="AC307" i="33"/>
  <c r="AB307" i="33"/>
  <c r="AA307" i="33"/>
  <c r="Z307" i="33"/>
  <c r="Y307" i="33"/>
  <c r="X307" i="33"/>
  <c r="W307" i="33"/>
  <c r="V307" i="33"/>
  <c r="U307" i="33"/>
  <c r="T307" i="33"/>
  <c r="S307" i="33"/>
  <c r="R307" i="33"/>
  <c r="Q307" i="33"/>
  <c r="P307" i="33"/>
  <c r="O307" i="33"/>
  <c r="N307" i="33"/>
  <c r="M307" i="33"/>
  <c r="L307" i="33"/>
  <c r="K307" i="33"/>
  <c r="J307" i="33"/>
  <c r="I307" i="33"/>
  <c r="H307" i="33"/>
  <c r="G307" i="33"/>
  <c r="F307" i="33"/>
  <c r="E307" i="33"/>
  <c r="D307" i="33"/>
  <c r="C307" i="33"/>
  <c r="B307" i="33"/>
  <c r="A307" i="33"/>
  <c r="GY306" i="33"/>
  <c r="GX306" i="33"/>
  <c r="GW306" i="33"/>
  <c r="GV306" i="33"/>
  <c r="GU306" i="33"/>
  <c r="GT306" i="33"/>
  <c r="GS306" i="33"/>
  <c r="GR306" i="33"/>
  <c r="GQ306" i="33"/>
  <c r="GP306" i="33"/>
  <c r="GO306" i="33"/>
  <c r="GN306" i="33"/>
  <c r="GM306" i="33"/>
  <c r="GL306" i="33"/>
  <c r="GK306" i="33"/>
  <c r="GJ306" i="33"/>
  <c r="GI306" i="33"/>
  <c r="GH306" i="33"/>
  <c r="GG306" i="33"/>
  <c r="GF306" i="33"/>
  <c r="GE306" i="33"/>
  <c r="GD306" i="33"/>
  <c r="GC306" i="33"/>
  <c r="GB306" i="33"/>
  <c r="GA306" i="33"/>
  <c r="FZ306" i="33"/>
  <c r="FY306" i="33"/>
  <c r="FX306" i="33"/>
  <c r="FW306" i="33"/>
  <c r="FV306" i="33"/>
  <c r="FU306" i="33"/>
  <c r="FT306" i="33"/>
  <c r="FS306" i="33"/>
  <c r="FR306" i="33"/>
  <c r="FQ306" i="33"/>
  <c r="FP306" i="33"/>
  <c r="FO306" i="33"/>
  <c r="FN306" i="33"/>
  <c r="FM306" i="33"/>
  <c r="FL306" i="33"/>
  <c r="FK306" i="33"/>
  <c r="FJ306" i="33"/>
  <c r="FI306" i="33"/>
  <c r="FH306" i="33"/>
  <c r="FG306" i="33"/>
  <c r="FF306" i="33"/>
  <c r="FE306" i="33"/>
  <c r="FD306" i="33"/>
  <c r="FC306" i="33"/>
  <c r="FB306" i="33"/>
  <c r="FA306" i="33"/>
  <c r="EZ306" i="33"/>
  <c r="EY306" i="33"/>
  <c r="EX306" i="33"/>
  <c r="EW306" i="33"/>
  <c r="EV306" i="33"/>
  <c r="EU306" i="33"/>
  <c r="ET306" i="33"/>
  <c r="ES306" i="33"/>
  <c r="ER306" i="33"/>
  <c r="EQ306" i="33"/>
  <c r="EP306" i="33"/>
  <c r="EO306" i="33"/>
  <c r="EN306" i="33"/>
  <c r="EM306" i="33"/>
  <c r="EL306" i="33"/>
  <c r="EK306" i="33"/>
  <c r="EJ306" i="33"/>
  <c r="EI306" i="33"/>
  <c r="EH306" i="33"/>
  <c r="EG306" i="33"/>
  <c r="EF306" i="33"/>
  <c r="EE306" i="33"/>
  <c r="ED306" i="33"/>
  <c r="EC306" i="33"/>
  <c r="EB306" i="33"/>
  <c r="EA306" i="33"/>
  <c r="DZ306" i="33"/>
  <c r="DY306" i="33"/>
  <c r="DX306" i="33"/>
  <c r="DW306" i="33"/>
  <c r="DV306" i="33"/>
  <c r="DU306" i="33"/>
  <c r="DT306" i="33"/>
  <c r="DS306" i="33"/>
  <c r="DR306" i="33"/>
  <c r="DQ306" i="33"/>
  <c r="DP306" i="33"/>
  <c r="DO306" i="33"/>
  <c r="DN306" i="33"/>
  <c r="DM306" i="33"/>
  <c r="DL306" i="33"/>
  <c r="DK306" i="33"/>
  <c r="DJ306" i="33"/>
  <c r="DI306" i="33"/>
  <c r="DH306" i="33"/>
  <c r="DG306" i="33"/>
  <c r="DF306" i="33"/>
  <c r="DE306" i="33"/>
  <c r="DD306" i="33"/>
  <c r="DC306" i="33"/>
  <c r="DB306" i="33"/>
  <c r="DA306" i="33"/>
  <c r="CZ306" i="33"/>
  <c r="CY306" i="33"/>
  <c r="CX306" i="33"/>
  <c r="CW306" i="33"/>
  <c r="CV306" i="33"/>
  <c r="CU306" i="33"/>
  <c r="CT306" i="33"/>
  <c r="CS306" i="33"/>
  <c r="CR306" i="33"/>
  <c r="CQ306" i="33"/>
  <c r="CP306" i="33"/>
  <c r="CO306" i="33"/>
  <c r="CN306" i="33"/>
  <c r="CM306" i="33"/>
  <c r="CL306" i="33"/>
  <c r="CK306" i="33"/>
  <c r="CJ306" i="33"/>
  <c r="CI306" i="33"/>
  <c r="CH306" i="33"/>
  <c r="CG306" i="33"/>
  <c r="CF306" i="33"/>
  <c r="CE306" i="33"/>
  <c r="CD306" i="33"/>
  <c r="CC306" i="33"/>
  <c r="CB306" i="33"/>
  <c r="CA306" i="33"/>
  <c r="BZ306" i="33"/>
  <c r="BY306" i="33"/>
  <c r="BX306" i="33"/>
  <c r="BW306" i="33"/>
  <c r="BV306" i="33"/>
  <c r="BU306" i="33"/>
  <c r="BT306" i="33"/>
  <c r="BS306" i="33"/>
  <c r="BR306" i="33"/>
  <c r="BQ306" i="33"/>
  <c r="BP306" i="33"/>
  <c r="BO306" i="33"/>
  <c r="BN306" i="33"/>
  <c r="BM306" i="33"/>
  <c r="BL306" i="33"/>
  <c r="BK306" i="33"/>
  <c r="BJ306" i="33"/>
  <c r="BI306" i="33"/>
  <c r="BH306" i="33"/>
  <c r="BG306" i="33"/>
  <c r="BF306" i="33"/>
  <c r="BE306" i="33"/>
  <c r="BD306" i="33"/>
  <c r="BC306" i="33"/>
  <c r="BB306" i="33"/>
  <c r="BA306" i="33"/>
  <c r="AZ306" i="33"/>
  <c r="AY306" i="33"/>
  <c r="AX306" i="33"/>
  <c r="AW306" i="33"/>
  <c r="AV306" i="33"/>
  <c r="AU306" i="33"/>
  <c r="AT306" i="33"/>
  <c r="AS306" i="33"/>
  <c r="AR306" i="33"/>
  <c r="AQ306" i="33"/>
  <c r="AP306" i="33"/>
  <c r="AO306" i="33"/>
  <c r="AN306" i="33"/>
  <c r="AM306" i="33"/>
  <c r="AL306" i="33"/>
  <c r="AK306" i="33"/>
  <c r="AJ306" i="33"/>
  <c r="AI306" i="33"/>
  <c r="AH306" i="33"/>
  <c r="AG306" i="33"/>
  <c r="AF306" i="33"/>
  <c r="AE306" i="33"/>
  <c r="AD306" i="33"/>
  <c r="AC306" i="33"/>
  <c r="AB306" i="33"/>
  <c r="AA306" i="33"/>
  <c r="Z306" i="33"/>
  <c r="Y306" i="33"/>
  <c r="X306" i="33"/>
  <c r="W306" i="33"/>
  <c r="V306" i="33"/>
  <c r="U306" i="33"/>
  <c r="T306" i="33"/>
  <c r="S306" i="33"/>
  <c r="R306" i="33"/>
  <c r="Q306" i="33"/>
  <c r="P306" i="33"/>
  <c r="O306" i="33"/>
  <c r="N306" i="33"/>
  <c r="M306" i="33"/>
  <c r="L306" i="33"/>
  <c r="K306" i="33"/>
  <c r="J306" i="33"/>
  <c r="I306" i="33"/>
  <c r="H306" i="33"/>
  <c r="G306" i="33"/>
  <c r="F306" i="33"/>
  <c r="E306" i="33"/>
  <c r="D306" i="33"/>
  <c r="C306" i="33"/>
  <c r="B306" i="33"/>
  <c r="A306" i="33"/>
  <c r="AT305" i="33"/>
  <c r="AS305" i="33"/>
  <c r="AR305" i="33"/>
  <c r="AQ305" i="33"/>
  <c r="AP305" i="33"/>
  <c r="AO305" i="33"/>
  <c r="AN305" i="33"/>
  <c r="AM305" i="33"/>
  <c r="AL305" i="33"/>
  <c r="AK305" i="33"/>
  <c r="AJ305" i="33"/>
  <c r="AI305" i="33"/>
  <c r="AH305" i="33"/>
  <c r="AG305" i="33"/>
  <c r="AF305" i="33"/>
  <c r="AE305" i="33"/>
  <c r="AD305" i="33"/>
  <c r="AC305" i="33"/>
  <c r="AB305" i="33"/>
  <c r="AA305" i="33"/>
  <c r="Z305" i="33"/>
  <c r="Y305" i="33"/>
  <c r="X305" i="33"/>
  <c r="W305" i="33"/>
  <c r="V305" i="33"/>
  <c r="U305" i="33"/>
  <c r="T305" i="33"/>
  <c r="S305" i="33"/>
  <c r="R305" i="33"/>
  <c r="Q305" i="33"/>
  <c r="P305" i="33"/>
  <c r="O305" i="33"/>
  <c r="N305" i="33"/>
  <c r="M305" i="33"/>
  <c r="L305" i="33"/>
  <c r="K305" i="33"/>
  <c r="J305" i="33"/>
  <c r="I305" i="33"/>
  <c r="H305" i="33"/>
  <c r="G305" i="33"/>
  <c r="F305" i="33"/>
  <c r="E305" i="33"/>
  <c r="D305" i="33"/>
  <c r="C305" i="33"/>
  <c r="B305" i="33"/>
  <c r="A305" i="33"/>
  <c r="CK304" i="33"/>
  <c r="CJ304" i="33"/>
  <c r="CI304" i="33"/>
  <c r="CH304" i="33"/>
  <c r="CG304" i="33"/>
  <c r="CF304" i="33"/>
  <c r="CE304" i="33"/>
  <c r="CD304" i="33"/>
  <c r="CC304" i="33"/>
  <c r="CB304" i="33"/>
  <c r="CA304" i="33"/>
  <c r="BZ304" i="33"/>
  <c r="BY304" i="33"/>
  <c r="BX304" i="33"/>
  <c r="BW304" i="33"/>
  <c r="BV304" i="33"/>
  <c r="BU304" i="33"/>
  <c r="BT304" i="33"/>
  <c r="BS304" i="33"/>
  <c r="BR304" i="33"/>
  <c r="BQ304" i="33"/>
  <c r="BP304" i="33"/>
  <c r="BO304" i="33"/>
  <c r="BN304" i="33"/>
  <c r="BM304" i="33"/>
  <c r="BL304" i="33"/>
  <c r="BK304" i="33"/>
  <c r="BJ304" i="33"/>
  <c r="BI304" i="33"/>
  <c r="BH304" i="33"/>
  <c r="BG304" i="33"/>
  <c r="BF304" i="33"/>
  <c r="BE304" i="33"/>
  <c r="BD304" i="33"/>
  <c r="BC304" i="33"/>
  <c r="BB304" i="33"/>
  <c r="BA304" i="33"/>
  <c r="AZ304" i="33"/>
  <c r="AY304" i="33"/>
  <c r="AX304" i="33"/>
  <c r="AW304" i="33"/>
  <c r="AV304" i="33"/>
  <c r="AU304" i="33"/>
  <c r="AT304" i="33"/>
  <c r="AS304" i="33"/>
  <c r="AR304" i="33"/>
  <c r="AQ304" i="33"/>
  <c r="AP304" i="33"/>
  <c r="AO304" i="33"/>
  <c r="AN304" i="33"/>
  <c r="AM304" i="33"/>
  <c r="AL304" i="33"/>
  <c r="AK304" i="33"/>
  <c r="AJ304" i="33"/>
  <c r="AI304" i="33"/>
  <c r="AH304" i="33"/>
  <c r="AG304" i="33"/>
  <c r="AF304" i="33"/>
  <c r="AE304" i="33"/>
  <c r="AD304" i="33"/>
  <c r="AC304" i="33"/>
  <c r="AB304" i="33"/>
  <c r="AA304" i="33"/>
  <c r="Z304" i="33"/>
  <c r="Y304" i="33"/>
  <c r="X304" i="33"/>
  <c r="W304" i="33"/>
  <c r="V304" i="33"/>
  <c r="U304" i="33"/>
  <c r="T304" i="33"/>
  <c r="S304" i="33"/>
  <c r="R304" i="33"/>
  <c r="Q304" i="33"/>
  <c r="P304" i="33"/>
  <c r="O304" i="33"/>
  <c r="N304" i="33"/>
  <c r="M304" i="33"/>
  <c r="L304" i="33"/>
  <c r="K304" i="33"/>
  <c r="J304" i="33"/>
  <c r="I304" i="33"/>
  <c r="H304" i="33"/>
  <c r="G304" i="33"/>
  <c r="F304" i="33"/>
  <c r="E304" i="33"/>
  <c r="D304" i="33"/>
  <c r="C304" i="33"/>
  <c r="B304" i="33"/>
  <c r="A304" i="33"/>
  <c r="IV303" i="33"/>
  <c r="IU303" i="33"/>
  <c r="IT303" i="33"/>
  <c r="IS303" i="33"/>
  <c r="IR303" i="33"/>
  <c r="IQ303" i="33"/>
  <c r="IP303" i="33"/>
  <c r="IO303" i="33"/>
  <c r="IN303" i="33"/>
  <c r="IM303" i="33"/>
  <c r="IL303" i="33"/>
  <c r="IK303" i="33"/>
  <c r="IJ303" i="33"/>
  <c r="II303" i="33"/>
  <c r="IH303" i="33"/>
  <c r="IG303" i="33"/>
  <c r="IF303" i="33"/>
  <c r="IE303" i="33"/>
  <c r="ID303" i="33"/>
  <c r="IC303" i="33"/>
  <c r="IB303" i="33"/>
  <c r="IA303" i="33"/>
  <c r="HZ303" i="33"/>
  <c r="HY303" i="33"/>
  <c r="HX303" i="33"/>
  <c r="HW303" i="33"/>
  <c r="HV303" i="33"/>
  <c r="HU303" i="33"/>
  <c r="HT303" i="33"/>
  <c r="HS303" i="33"/>
  <c r="HR303" i="33"/>
  <c r="HQ303" i="33"/>
  <c r="HP303" i="33"/>
  <c r="HO303" i="33"/>
  <c r="HN303" i="33"/>
  <c r="HM303" i="33"/>
  <c r="HL303" i="33"/>
  <c r="HK303" i="33"/>
  <c r="HJ303" i="33"/>
  <c r="HI303" i="33"/>
  <c r="HH303" i="33"/>
  <c r="HG303" i="33"/>
  <c r="HF303" i="33"/>
  <c r="HE303" i="33"/>
  <c r="HD303" i="33"/>
  <c r="HC303" i="33"/>
  <c r="HB303" i="33"/>
  <c r="HA303" i="33"/>
  <c r="GZ303" i="33"/>
  <c r="GY303" i="33"/>
  <c r="GX303" i="33"/>
  <c r="GW303" i="33"/>
  <c r="GV303" i="33"/>
  <c r="GU303" i="33"/>
  <c r="GT303" i="33"/>
  <c r="GS303" i="33"/>
  <c r="GR303" i="33"/>
  <c r="GQ303" i="33"/>
  <c r="GP303" i="33"/>
  <c r="GO303" i="33"/>
  <c r="GN303" i="33"/>
  <c r="GM303" i="33"/>
  <c r="GL303" i="33"/>
  <c r="GK303" i="33"/>
  <c r="GJ303" i="33"/>
  <c r="GI303" i="33"/>
  <c r="GH303" i="33"/>
  <c r="GG303" i="33"/>
  <c r="GF303" i="33"/>
  <c r="GE303" i="33"/>
  <c r="GD303" i="33"/>
  <c r="GC303" i="33"/>
  <c r="GB303" i="33"/>
  <c r="GA303" i="33"/>
  <c r="FZ303" i="33"/>
  <c r="FY303" i="33"/>
  <c r="FX303" i="33"/>
  <c r="FW303" i="33"/>
  <c r="FV303" i="33"/>
  <c r="FU303" i="33"/>
  <c r="FT303" i="33"/>
  <c r="FS303" i="33"/>
  <c r="FR303" i="33"/>
  <c r="FQ303" i="33"/>
  <c r="FP303" i="33"/>
  <c r="FO303" i="33"/>
  <c r="FN303" i="33"/>
  <c r="FM303" i="33"/>
  <c r="FL303" i="33"/>
  <c r="FK303" i="33"/>
  <c r="FJ303" i="33"/>
  <c r="FI303" i="33"/>
  <c r="FH303" i="33"/>
  <c r="FG303" i="33"/>
  <c r="FF303" i="33"/>
  <c r="FE303" i="33"/>
  <c r="FD303" i="33"/>
  <c r="FC303" i="33"/>
  <c r="FB303" i="33"/>
  <c r="FA303" i="33"/>
  <c r="EZ303" i="33"/>
  <c r="EY303" i="33"/>
  <c r="EX303" i="33"/>
  <c r="EW303" i="33"/>
  <c r="EV303" i="33"/>
  <c r="EU303" i="33"/>
  <c r="ET303" i="33"/>
  <c r="ES303" i="33"/>
  <c r="ER303" i="33"/>
  <c r="EQ303" i="33"/>
  <c r="EP303" i="33"/>
  <c r="EO303" i="33"/>
  <c r="EN303" i="33"/>
  <c r="EM303" i="33"/>
  <c r="EL303" i="33"/>
  <c r="EK303" i="33"/>
  <c r="EJ303" i="33"/>
  <c r="EI303" i="33"/>
  <c r="EH303" i="33"/>
  <c r="EG303" i="33"/>
  <c r="EF303" i="33"/>
  <c r="EE303" i="33"/>
  <c r="ED303" i="33"/>
  <c r="EC303" i="33"/>
  <c r="EB303" i="33"/>
  <c r="EA303" i="33"/>
  <c r="DZ303" i="33"/>
  <c r="DY303" i="33"/>
  <c r="DX303" i="33"/>
  <c r="DW303" i="33"/>
  <c r="DV303" i="33"/>
  <c r="DU303" i="33"/>
  <c r="DT303" i="33"/>
  <c r="DS303" i="33"/>
  <c r="DR303" i="33"/>
  <c r="DQ303" i="33"/>
  <c r="DP303" i="33"/>
  <c r="DO303" i="33"/>
  <c r="DN303" i="33"/>
  <c r="DM303" i="33"/>
  <c r="DL303" i="33"/>
  <c r="DK303" i="33"/>
  <c r="DJ303" i="33"/>
  <c r="DI303" i="33"/>
  <c r="DH303" i="33"/>
  <c r="DG303" i="33"/>
  <c r="DF303" i="33"/>
  <c r="DE303" i="33"/>
  <c r="DD303" i="33"/>
  <c r="DC303" i="33"/>
  <c r="DB303" i="33"/>
  <c r="DA303" i="33"/>
  <c r="CZ303" i="33"/>
  <c r="CY303" i="33"/>
  <c r="CX303" i="33"/>
  <c r="CW303" i="33"/>
  <c r="CV303" i="33"/>
  <c r="CU303" i="33"/>
  <c r="CT303" i="33"/>
  <c r="CS303" i="33"/>
  <c r="CR303" i="33"/>
  <c r="CQ303" i="33"/>
  <c r="CP303" i="33"/>
  <c r="CO303" i="33"/>
  <c r="CN303" i="33"/>
  <c r="CM303" i="33"/>
  <c r="CL303" i="33"/>
  <c r="CK303" i="33"/>
  <c r="CJ303" i="33"/>
  <c r="CI303" i="33"/>
  <c r="CH303" i="33"/>
  <c r="CG303" i="33"/>
  <c r="CF303" i="33"/>
  <c r="CE303" i="33"/>
  <c r="CD303" i="33"/>
  <c r="CC303" i="33"/>
  <c r="CB303" i="33"/>
  <c r="CA303" i="33"/>
  <c r="BZ303" i="33"/>
  <c r="BY303" i="33"/>
  <c r="BX303" i="33"/>
  <c r="BW303" i="33"/>
  <c r="BV303" i="33"/>
  <c r="BU303" i="33"/>
  <c r="BT303" i="33"/>
  <c r="BS303" i="33"/>
  <c r="BR303" i="33"/>
  <c r="BQ303" i="33"/>
  <c r="BP303" i="33"/>
  <c r="BO303" i="33"/>
  <c r="BN303" i="33"/>
  <c r="BM303" i="33"/>
  <c r="BL303" i="33"/>
  <c r="BK303" i="33"/>
  <c r="BJ303" i="33"/>
  <c r="BI303" i="33"/>
  <c r="BH303" i="33"/>
  <c r="BG303" i="33"/>
  <c r="BF303" i="33"/>
  <c r="BE303" i="33"/>
  <c r="BD303" i="33"/>
  <c r="BC303" i="33"/>
  <c r="BB303" i="33"/>
  <c r="BA303" i="33"/>
  <c r="AZ303" i="33"/>
  <c r="AY303" i="33"/>
  <c r="AX303" i="33"/>
  <c r="AW303" i="33"/>
  <c r="AV303" i="33"/>
  <c r="AU303" i="33"/>
  <c r="AT303" i="33"/>
  <c r="AS303" i="33"/>
  <c r="AR303" i="33"/>
  <c r="AQ303" i="33"/>
  <c r="AP303" i="33"/>
  <c r="AO303" i="33"/>
  <c r="AN303" i="33"/>
  <c r="AM303" i="33"/>
  <c r="AL303" i="33"/>
  <c r="AK303" i="33"/>
  <c r="AJ303" i="33"/>
  <c r="AI303" i="33"/>
  <c r="AH303" i="33"/>
  <c r="AG303" i="33"/>
  <c r="AF303" i="33"/>
  <c r="AE303" i="33"/>
  <c r="AD303" i="33"/>
  <c r="AC303" i="33"/>
  <c r="AB303" i="33"/>
  <c r="AA303" i="33"/>
  <c r="Z303" i="33"/>
  <c r="Y303" i="33"/>
  <c r="X303" i="33"/>
  <c r="W303" i="33"/>
  <c r="V303" i="33"/>
  <c r="U303" i="33"/>
  <c r="T303" i="33"/>
  <c r="S303" i="33"/>
  <c r="R303" i="33"/>
  <c r="Q303" i="33"/>
  <c r="P303" i="33"/>
  <c r="O303" i="33"/>
  <c r="N303" i="33"/>
  <c r="M303" i="33"/>
  <c r="L303" i="33"/>
  <c r="K303" i="33"/>
  <c r="J303" i="33"/>
  <c r="I303" i="33"/>
  <c r="H303" i="33"/>
  <c r="G303" i="33"/>
  <c r="F303" i="33"/>
  <c r="E303" i="33"/>
  <c r="D303" i="33"/>
  <c r="C303" i="33"/>
  <c r="B303" i="33"/>
  <c r="A303" i="33"/>
  <c r="CN302" i="33"/>
  <c r="CM302" i="33"/>
  <c r="CL302" i="33"/>
  <c r="CK302" i="33"/>
  <c r="CJ302" i="33"/>
  <c r="CI302" i="33"/>
  <c r="CH302" i="33"/>
  <c r="CG302" i="33"/>
  <c r="CF302" i="33"/>
  <c r="CE302" i="33"/>
  <c r="CD302" i="33"/>
  <c r="CC302" i="33"/>
  <c r="CB302" i="33"/>
  <c r="CA302" i="33"/>
  <c r="BZ302" i="33"/>
  <c r="BY302" i="33"/>
  <c r="BX302" i="33"/>
  <c r="BW302" i="33"/>
  <c r="BV302" i="33"/>
  <c r="BU302" i="33"/>
  <c r="BT302" i="33"/>
  <c r="BS302" i="33"/>
  <c r="BR302" i="33"/>
  <c r="BQ302" i="33"/>
  <c r="BP302" i="33"/>
  <c r="BO302" i="33"/>
  <c r="BN302" i="33"/>
  <c r="BM302" i="33"/>
  <c r="BL302" i="33"/>
  <c r="BK302" i="33"/>
  <c r="BJ302" i="33"/>
  <c r="BI302" i="33"/>
  <c r="BH302" i="33"/>
  <c r="BG302" i="33"/>
  <c r="BF302" i="33"/>
  <c r="BE302" i="33"/>
  <c r="BD302" i="33"/>
  <c r="BC302" i="33"/>
  <c r="BB302" i="33"/>
  <c r="BA302" i="33"/>
  <c r="AZ302" i="33"/>
  <c r="AY302" i="33"/>
  <c r="AX302" i="33"/>
  <c r="AW302" i="33"/>
  <c r="AV302" i="33"/>
  <c r="AU302" i="33"/>
  <c r="AT302" i="33"/>
  <c r="AS302" i="33"/>
  <c r="AR302" i="33"/>
  <c r="AQ302" i="33"/>
  <c r="AP302" i="33"/>
  <c r="AO302" i="33"/>
  <c r="AN302" i="33"/>
  <c r="AM302" i="33"/>
  <c r="AL302" i="33"/>
  <c r="AK302" i="33"/>
  <c r="AJ302" i="33"/>
  <c r="AI302" i="33"/>
  <c r="AH302" i="33"/>
  <c r="AG302" i="33"/>
  <c r="AF302" i="33"/>
  <c r="AE302" i="33"/>
  <c r="AD302" i="33"/>
  <c r="AC302" i="33"/>
  <c r="AB302" i="33"/>
  <c r="AA302" i="33"/>
  <c r="Z302" i="33"/>
  <c r="Y302" i="33"/>
  <c r="X302" i="33"/>
  <c r="W302" i="33"/>
  <c r="V302" i="33"/>
  <c r="U302" i="33"/>
  <c r="T302" i="33"/>
  <c r="S302" i="33"/>
  <c r="R302" i="33"/>
  <c r="Q302" i="33"/>
  <c r="P302" i="33"/>
  <c r="O302" i="33"/>
  <c r="N302" i="33"/>
  <c r="M302" i="33"/>
  <c r="L302" i="33"/>
  <c r="K302" i="33"/>
  <c r="J302" i="33"/>
  <c r="I302" i="33"/>
  <c r="H302" i="33"/>
  <c r="G302" i="33"/>
  <c r="F302" i="33"/>
  <c r="E302" i="33"/>
  <c r="D302" i="33"/>
  <c r="C302" i="33"/>
  <c r="B302" i="33"/>
  <c r="A302" i="33"/>
  <c r="A301" i="33"/>
  <c r="AQ300" i="33"/>
  <c r="AP300" i="33"/>
  <c r="AO300" i="33"/>
  <c r="AN300" i="33"/>
  <c r="AM300" i="33"/>
  <c r="AL300" i="33"/>
  <c r="AK300" i="33"/>
  <c r="AJ300" i="33"/>
  <c r="AI300" i="33"/>
  <c r="AH300" i="33"/>
  <c r="AG300" i="33"/>
  <c r="AF300" i="33"/>
  <c r="AE300" i="33"/>
  <c r="AD300" i="33"/>
  <c r="AC300" i="33"/>
  <c r="AB300" i="33"/>
  <c r="AA300" i="33"/>
  <c r="Z300" i="33"/>
  <c r="Y300" i="33"/>
  <c r="X300" i="33"/>
  <c r="W300" i="33"/>
  <c r="V300" i="33"/>
  <c r="U300" i="33"/>
  <c r="T300" i="33"/>
  <c r="S300" i="33"/>
  <c r="R300" i="33"/>
  <c r="Q300" i="33"/>
  <c r="P300" i="33"/>
  <c r="O300" i="33"/>
  <c r="N300" i="33"/>
  <c r="M300" i="33"/>
  <c r="L300" i="33"/>
  <c r="K300" i="33"/>
  <c r="J300" i="33"/>
  <c r="I300" i="33"/>
  <c r="H300" i="33"/>
  <c r="G300" i="33"/>
  <c r="F300" i="33"/>
  <c r="E300" i="33"/>
  <c r="D300" i="33"/>
  <c r="C300" i="33"/>
  <c r="B300" i="33"/>
  <c r="A300" i="33"/>
  <c r="IV299" i="33"/>
  <c r="IU299" i="33"/>
  <c r="IT299" i="33"/>
  <c r="IS299" i="33"/>
  <c r="IR299" i="33"/>
  <c r="IQ299" i="33"/>
  <c r="IP299" i="33"/>
  <c r="IO299" i="33"/>
  <c r="IN299" i="33"/>
  <c r="IM299" i="33"/>
  <c r="IL299" i="33"/>
  <c r="IK299" i="33"/>
  <c r="IJ299" i="33"/>
  <c r="II299" i="33"/>
  <c r="IH299" i="33"/>
  <c r="IG299" i="33"/>
  <c r="IF299" i="33"/>
  <c r="IE299" i="33"/>
  <c r="ID299" i="33"/>
  <c r="IC299" i="33"/>
  <c r="IB299" i="33"/>
  <c r="IA299" i="33"/>
  <c r="HZ299" i="33"/>
  <c r="HY299" i="33"/>
  <c r="HX299" i="33"/>
  <c r="HW299" i="33"/>
  <c r="HV299" i="33"/>
  <c r="HU299" i="33"/>
  <c r="HT299" i="33"/>
  <c r="HS299" i="33"/>
  <c r="HR299" i="33"/>
  <c r="HQ299" i="33"/>
  <c r="HP299" i="33"/>
  <c r="HO299" i="33"/>
  <c r="HN299" i="33"/>
  <c r="HM299" i="33"/>
  <c r="HL299" i="33"/>
  <c r="HK299" i="33"/>
  <c r="HJ299" i="33"/>
  <c r="HI299" i="33"/>
  <c r="HH299" i="33"/>
  <c r="HG299" i="33"/>
  <c r="HF299" i="33"/>
  <c r="HE299" i="33"/>
  <c r="HD299" i="33"/>
  <c r="HC299" i="33"/>
  <c r="HB299" i="33"/>
  <c r="HA299" i="33"/>
  <c r="GZ299" i="33"/>
  <c r="GY299" i="33"/>
  <c r="GX299" i="33"/>
  <c r="GW299" i="33"/>
  <c r="GV299" i="33"/>
  <c r="GU299" i="33"/>
  <c r="GT299" i="33"/>
  <c r="GS299" i="33"/>
  <c r="GR299" i="33"/>
  <c r="GQ299" i="33"/>
  <c r="GP299" i="33"/>
  <c r="GO299" i="33"/>
  <c r="GN299" i="33"/>
  <c r="GM299" i="33"/>
  <c r="GL299" i="33"/>
  <c r="GK299" i="33"/>
  <c r="GJ299" i="33"/>
  <c r="GI299" i="33"/>
  <c r="GH299" i="33"/>
  <c r="GG299" i="33"/>
  <c r="GF299" i="33"/>
  <c r="GE299" i="33"/>
  <c r="GD299" i="33"/>
  <c r="GC299" i="33"/>
  <c r="GB299" i="33"/>
  <c r="GA299" i="33"/>
  <c r="FZ299" i="33"/>
  <c r="FY299" i="33"/>
  <c r="FX299" i="33"/>
  <c r="FW299" i="33"/>
  <c r="FV299" i="33"/>
  <c r="FU299" i="33"/>
  <c r="FT299" i="33"/>
  <c r="FS299" i="33"/>
  <c r="FR299" i="33"/>
  <c r="FQ299" i="33"/>
  <c r="FP299" i="33"/>
  <c r="FO299" i="33"/>
  <c r="FN299" i="33"/>
  <c r="FM299" i="33"/>
  <c r="FL299" i="33"/>
  <c r="FK299" i="33"/>
  <c r="FJ299" i="33"/>
  <c r="FI299" i="33"/>
  <c r="FH299" i="33"/>
  <c r="FG299" i="33"/>
  <c r="FF299" i="33"/>
  <c r="FE299" i="33"/>
  <c r="FD299" i="33"/>
  <c r="FC299" i="33"/>
  <c r="FB299" i="33"/>
  <c r="FA299" i="33"/>
  <c r="EZ299" i="33"/>
  <c r="EY299" i="33"/>
  <c r="EX299" i="33"/>
  <c r="EW299" i="33"/>
  <c r="EV299" i="33"/>
  <c r="EU299" i="33"/>
  <c r="ET299" i="33"/>
  <c r="ES299" i="33"/>
  <c r="ER299" i="33"/>
  <c r="EQ299" i="33"/>
  <c r="EP299" i="33"/>
  <c r="EO299" i="33"/>
  <c r="EN299" i="33"/>
  <c r="EM299" i="33"/>
  <c r="EL299" i="33"/>
  <c r="EK299" i="33"/>
  <c r="EJ299" i="33"/>
  <c r="EI299" i="33"/>
  <c r="EH299" i="33"/>
  <c r="EG299" i="33"/>
  <c r="EF299" i="33"/>
  <c r="EE299" i="33"/>
  <c r="ED299" i="33"/>
  <c r="EC299" i="33"/>
  <c r="EB299" i="33"/>
  <c r="EA299" i="33"/>
  <c r="DZ299" i="33"/>
  <c r="DY299" i="33"/>
  <c r="DX299" i="33"/>
  <c r="DW299" i="33"/>
  <c r="DV299" i="33"/>
  <c r="DU299" i="33"/>
  <c r="DT299" i="33"/>
  <c r="DS299" i="33"/>
  <c r="DR299" i="33"/>
  <c r="DQ299" i="33"/>
  <c r="DP299" i="33"/>
  <c r="DO299" i="33"/>
  <c r="DN299" i="33"/>
  <c r="DM299" i="33"/>
  <c r="DL299" i="33"/>
  <c r="DK299" i="33"/>
  <c r="DJ299" i="33"/>
  <c r="DI299" i="33"/>
  <c r="DH299" i="33"/>
  <c r="DG299" i="33"/>
  <c r="DF299" i="33"/>
  <c r="DE299" i="33"/>
  <c r="DD299" i="33"/>
  <c r="DC299" i="33"/>
  <c r="DB299" i="33"/>
  <c r="DA299" i="33"/>
  <c r="CZ299" i="33"/>
  <c r="CY299" i="33"/>
  <c r="CX299" i="33"/>
  <c r="CW299" i="33"/>
  <c r="CV299" i="33"/>
  <c r="CU299" i="33"/>
  <c r="CT299" i="33"/>
  <c r="CS299" i="33"/>
  <c r="CR299" i="33"/>
  <c r="CQ299" i="33"/>
  <c r="CP299" i="33"/>
  <c r="CO299" i="33"/>
  <c r="CN299" i="33"/>
  <c r="CM299" i="33"/>
  <c r="CL299" i="33"/>
  <c r="CK299" i="33"/>
  <c r="CJ299" i="33"/>
  <c r="CI299" i="33"/>
  <c r="CH299" i="33"/>
  <c r="CG299" i="33"/>
  <c r="CF299" i="33"/>
  <c r="CE299" i="33"/>
  <c r="CD299" i="33"/>
  <c r="CC299" i="33"/>
  <c r="CB299" i="33"/>
  <c r="CA299" i="33"/>
  <c r="BZ299" i="33"/>
  <c r="BY299" i="33"/>
  <c r="BX299" i="33"/>
  <c r="BW299" i="33"/>
  <c r="BV299" i="33"/>
  <c r="BU299" i="33"/>
  <c r="BT299" i="33"/>
  <c r="BS299" i="33"/>
  <c r="BL299" i="33"/>
  <c r="BK299" i="33"/>
  <c r="BJ299" i="33"/>
  <c r="BI299" i="33"/>
  <c r="BH299" i="33"/>
  <c r="BG299" i="33"/>
  <c r="BF299" i="33"/>
  <c r="BE299" i="33"/>
  <c r="BD299" i="33"/>
  <c r="BC299" i="33"/>
  <c r="BB299" i="33"/>
  <c r="BA299" i="33"/>
  <c r="AZ299" i="33"/>
  <c r="AY299" i="33"/>
  <c r="AX299" i="33"/>
  <c r="AW299" i="33"/>
  <c r="AV299" i="33"/>
  <c r="AU299" i="33"/>
  <c r="AT299" i="33"/>
  <c r="AS299" i="33"/>
  <c r="AR299" i="33"/>
  <c r="AQ299" i="33"/>
  <c r="AP299" i="33"/>
  <c r="AO299" i="33"/>
  <c r="AN299" i="33"/>
  <c r="AM299" i="33"/>
  <c r="AL299" i="33"/>
  <c r="AK299" i="33"/>
  <c r="AJ299" i="33"/>
  <c r="AI299" i="33"/>
  <c r="AH299" i="33"/>
  <c r="AG299" i="33"/>
  <c r="AF299" i="33"/>
  <c r="AE299" i="33"/>
  <c r="AD299" i="33"/>
  <c r="AC299" i="33"/>
  <c r="AB299" i="33"/>
  <c r="AA299" i="33"/>
  <c r="Z299" i="33"/>
  <c r="Y299" i="33"/>
  <c r="X299" i="33"/>
  <c r="W299" i="33"/>
  <c r="V299" i="33"/>
  <c r="U299" i="33"/>
  <c r="T299" i="33"/>
  <c r="S299" i="33"/>
  <c r="R299" i="33"/>
  <c r="Q299" i="33"/>
  <c r="P299" i="33"/>
  <c r="O299" i="33"/>
  <c r="N299" i="33"/>
  <c r="M299" i="33"/>
  <c r="L299" i="33"/>
  <c r="K299" i="33"/>
  <c r="J299" i="33"/>
  <c r="I299" i="33"/>
  <c r="H299" i="33"/>
  <c r="G299" i="33"/>
  <c r="F299" i="33"/>
  <c r="E299" i="33"/>
  <c r="D299" i="33"/>
  <c r="C299" i="33"/>
  <c r="B299" i="33"/>
  <c r="A299" i="33"/>
  <c r="IV298" i="33"/>
  <c r="IU298" i="33"/>
  <c r="IT298" i="33"/>
  <c r="IS298" i="33"/>
  <c r="IR298" i="33"/>
  <c r="IQ298" i="33"/>
  <c r="IP298" i="33"/>
  <c r="IO298" i="33"/>
  <c r="IN298" i="33"/>
  <c r="IM298" i="33"/>
  <c r="IL298" i="33"/>
  <c r="IK298" i="33"/>
  <c r="IJ298" i="33"/>
  <c r="II298" i="33"/>
  <c r="IH298" i="33"/>
  <c r="IG298" i="33"/>
  <c r="IF298" i="33"/>
  <c r="IE298" i="33"/>
  <c r="ID298" i="33"/>
  <c r="IC298" i="33"/>
  <c r="IB298" i="33"/>
  <c r="IA298" i="33"/>
  <c r="HZ298" i="33"/>
  <c r="HY298" i="33"/>
  <c r="HX298" i="33"/>
  <c r="HW298" i="33"/>
  <c r="HV298" i="33"/>
  <c r="HU298" i="33"/>
  <c r="HT298" i="33"/>
  <c r="HS298" i="33"/>
  <c r="HR298" i="33"/>
  <c r="HQ298" i="33"/>
  <c r="HP298" i="33"/>
  <c r="HO298" i="33"/>
  <c r="HN298" i="33"/>
  <c r="HM298" i="33"/>
  <c r="HL298" i="33"/>
  <c r="HK298" i="33"/>
  <c r="HJ298" i="33"/>
  <c r="HI298" i="33"/>
  <c r="HH298" i="33"/>
  <c r="HG298" i="33"/>
  <c r="HF298" i="33"/>
  <c r="HE298" i="33"/>
  <c r="HD298" i="33"/>
  <c r="HC298" i="33"/>
  <c r="HB298" i="33"/>
  <c r="HA298" i="33"/>
  <c r="GZ298" i="33"/>
  <c r="GY298" i="33"/>
  <c r="GX298" i="33"/>
  <c r="GW298" i="33"/>
  <c r="GV298" i="33"/>
  <c r="GU298" i="33"/>
  <c r="GT298" i="33"/>
  <c r="GS298" i="33"/>
  <c r="GR298" i="33"/>
  <c r="GQ298" i="33"/>
  <c r="GP298" i="33"/>
  <c r="GO298" i="33"/>
  <c r="GN298" i="33"/>
  <c r="GM298" i="33"/>
  <c r="GL298" i="33"/>
  <c r="GK298" i="33"/>
  <c r="GJ298" i="33"/>
  <c r="GI298" i="33"/>
  <c r="GH298" i="33"/>
  <c r="GG298" i="33"/>
  <c r="GF298" i="33"/>
  <c r="GE298" i="33"/>
  <c r="GD298" i="33"/>
  <c r="GC298" i="33"/>
  <c r="GB298" i="33"/>
  <c r="GA298" i="33"/>
  <c r="FZ298" i="33"/>
  <c r="FY298" i="33"/>
  <c r="FX298" i="33"/>
  <c r="FW298" i="33"/>
  <c r="FV298" i="33"/>
  <c r="FU298" i="33"/>
  <c r="FT298" i="33"/>
  <c r="FS298" i="33"/>
  <c r="FR298" i="33"/>
  <c r="FQ298" i="33"/>
  <c r="FP298" i="33"/>
  <c r="FO298" i="33"/>
  <c r="FN298" i="33"/>
  <c r="FM298" i="33"/>
  <c r="FL298" i="33"/>
  <c r="FK298" i="33"/>
  <c r="FJ298" i="33"/>
  <c r="FI298" i="33"/>
  <c r="FH298" i="33"/>
  <c r="FG298" i="33"/>
  <c r="FF298" i="33"/>
  <c r="FE298" i="33"/>
  <c r="FD298" i="33"/>
  <c r="FC298" i="33"/>
  <c r="FB298" i="33"/>
  <c r="FA298" i="33"/>
  <c r="EZ298" i="33"/>
  <c r="EY298" i="33"/>
  <c r="EX298" i="33"/>
  <c r="EW298" i="33"/>
  <c r="EV298" i="33"/>
  <c r="EU298" i="33"/>
  <c r="ET298" i="33"/>
  <c r="ES298" i="33"/>
  <c r="ER298" i="33"/>
  <c r="EQ298" i="33"/>
  <c r="EP298" i="33"/>
  <c r="EO298" i="33"/>
  <c r="EN298" i="33"/>
  <c r="EM298" i="33"/>
  <c r="EL298" i="33"/>
  <c r="EK298" i="33"/>
  <c r="EJ298" i="33"/>
  <c r="EI298" i="33"/>
  <c r="EH298" i="33"/>
  <c r="EG298" i="33"/>
  <c r="EF298" i="33"/>
  <c r="EE298" i="33"/>
  <c r="ED298" i="33"/>
  <c r="EC298" i="33"/>
  <c r="EB298" i="33"/>
  <c r="EA298" i="33"/>
  <c r="DZ298" i="33"/>
  <c r="DY298" i="33"/>
  <c r="DX298" i="33"/>
  <c r="DW298" i="33"/>
  <c r="DV298" i="33"/>
  <c r="DU298" i="33"/>
  <c r="DT298" i="33"/>
  <c r="DS298" i="33"/>
  <c r="DR298" i="33"/>
  <c r="DQ298" i="33"/>
  <c r="DP298" i="33"/>
  <c r="DO298" i="33"/>
  <c r="DN298" i="33"/>
  <c r="DM298" i="33"/>
  <c r="DL298" i="33"/>
  <c r="DK298" i="33"/>
  <c r="DJ298" i="33"/>
  <c r="DI298" i="33"/>
  <c r="DH298" i="33"/>
  <c r="DG298" i="33"/>
  <c r="DF298" i="33"/>
  <c r="DE298" i="33"/>
  <c r="DD298" i="33"/>
  <c r="DC298" i="33"/>
  <c r="DB298" i="33"/>
  <c r="DA298" i="33"/>
  <c r="CZ298" i="33"/>
  <c r="CY298" i="33"/>
  <c r="CX298" i="33"/>
  <c r="CW298" i="33"/>
  <c r="CV298" i="33"/>
  <c r="CU298" i="33"/>
  <c r="CT298" i="33"/>
  <c r="CS298" i="33"/>
  <c r="CR298" i="33"/>
  <c r="CQ298" i="33"/>
  <c r="CP298" i="33"/>
  <c r="CO298" i="33"/>
  <c r="CN298" i="33"/>
  <c r="CM298" i="33"/>
  <c r="CL298" i="33"/>
  <c r="CK298" i="33"/>
  <c r="CJ298" i="33"/>
  <c r="CI298" i="33"/>
  <c r="CH298" i="33"/>
  <c r="CG298" i="33"/>
  <c r="CF298" i="33"/>
  <c r="CE298" i="33"/>
  <c r="CD298" i="33"/>
  <c r="CC298" i="33"/>
  <c r="CB298" i="33"/>
  <c r="CA298" i="33"/>
  <c r="BZ298" i="33"/>
  <c r="BY298" i="33"/>
  <c r="BX298" i="33"/>
  <c r="BW298" i="33"/>
  <c r="BV298" i="33"/>
  <c r="BU298" i="33"/>
  <c r="BT298" i="33"/>
  <c r="BS298" i="33"/>
  <c r="BR298" i="33"/>
  <c r="BQ298" i="33"/>
  <c r="BP298" i="33"/>
  <c r="BO298" i="33"/>
  <c r="BN298" i="33"/>
  <c r="BM298" i="33"/>
  <c r="BL298" i="33"/>
  <c r="BK298" i="33"/>
  <c r="BJ298" i="33"/>
  <c r="BI298" i="33"/>
  <c r="BH298" i="33"/>
  <c r="BG298" i="33"/>
  <c r="BF298" i="33"/>
  <c r="BE298" i="33"/>
  <c r="BD298" i="33"/>
  <c r="BC298" i="33"/>
  <c r="BB298" i="33"/>
  <c r="BA298" i="33"/>
  <c r="AZ298" i="33"/>
  <c r="AY298" i="33"/>
  <c r="AX298" i="33"/>
  <c r="AW298" i="33"/>
  <c r="AV298" i="33"/>
  <c r="AU298" i="33"/>
  <c r="AT298" i="33"/>
  <c r="AS298" i="33"/>
  <c r="AR298" i="33"/>
  <c r="AQ298" i="33"/>
  <c r="AP298" i="33"/>
  <c r="AO298" i="33"/>
  <c r="AN298" i="33"/>
  <c r="AM298" i="33"/>
  <c r="AL298" i="33"/>
  <c r="AK298" i="33"/>
  <c r="AJ298" i="33"/>
  <c r="AI298" i="33"/>
  <c r="AH298" i="33"/>
  <c r="AG298" i="33"/>
  <c r="AF298" i="33"/>
  <c r="AE298" i="33"/>
  <c r="AD298" i="33"/>
  <c r="AC298" i="33"/>
  <c r="AB298" i="33"/>
  <c r="AA298" i="33"/>
  <c r="Z298" i="33"/>
  <c r="Y298" i="33"/>
  <c r="X298" i="33"/>
  <c r="W298" i="33"/>
  <c r="V298" i="33"/>
  <c r="U298" i="33"/>
  <c r="T298" i="33"/>
  <c r="S298" i="33"/>
  <c r="R298" i="33"/>
  <c r="Q298" i="33"/>
  <c r="P298" i="33"/>
  <c r="O298" i="33"/>
  <c r="N298" i="33"/>
  <c r="M298" i="33"/>
  <c r="L298" i="33"/>
  <c r="K298" i="33"/>
  <c r="J298" i="33"/>
  <c r="I298" i="33"/>
  <c r="H298" i="33"/>
  <c r="G298" i="33"/>
  <c r="F298" i="33"/>
  <c r="E298" i="33"/>
  <c r="D298" i="33"/>
  <c r="C298" i="33"/>
  <c r="B298" i="33"/>
  <c r="A298" i="33"/>
  <c r="IV297" i="33"/>
  <c r="IU297" i="33"/>
  <c r="IT297" i="33"/>
  <c r="IS297" i="33"/>
  <c r="IR297" i="33"/>
  <c r="IQ297" i="33"/>
  <c r="IP297" i="33"/>
  <c r="IO297" i="33"/>
  <c r="IN297" i="33"/>
  <c r="IM297" i="33"/>
  <c r="IL297" i="33"/>
  <c r="IK297" i="33"/>
  <c r="IJ297" i="33"/>
  <c r="II297" i="33"/>
  <c r="IH297" i="33"/>
  <c r="IG297" i="33"/>
  <c r="IF297" i="33"/>
  <c r="IE297" i="33"/>
  <c r="ID297" i="33"/>
  <c r="IC297" i="33"/>
  <c r="IB297" i="33"/>
  <c r="IA297" i="33"/>
  <c r="HZ297" i="33"/>
  <c r="HY297" i="33"/>
  <c r="HX297" i="33"/>
  <c r="HW297" i="33"/>
  <c r="HV297" i="33"/>
  <c r="HU297" i="33"/>
  <c r="HT297" i="33"/>
  <c r="HS297" i="33"/>
  <c r="HR297" i="33"/>
  <c r="HQ297" i="33"/>
  <c r="HP297" i="33"/>
  <c r="HO297" i="33"/>
  <c r="HN297" i="33"/>
  <c r="HM297" i="33"/>
  <c r="HL297" i="33"/>
  <c r="HK297" i="33"/>
  <c r="HJ297" i="33"/>
  <c r="HI297" i="33"/>
  <c r="HH297" i="33"/>
  <c r="HG297" i="33"/>
  <c r="HF297" i="33"/>
  <c r="HE297" i="33"/>
  <c r="HD297" i="33"/>
  <c r="HC297" i="33"/>
  <c r="HB297" i="33"/>
  <c r="HA297" i="33"/>
  <c r="GZ297" i="33"/>
  <c r="GY297" i="33"/>
  <c r="GX297" i="33"/>
  <c r="GW297" i="33"/>
  <c r="GV297" i="33"/>
  <c r="GU297" i="33"/>
  <c r="GT297" i="33"/>
  <c r="GS297" i="33"/>
  <c r="GR297" i="33"/>
  <c r="GQ297" i="33"/>
  <c r="GP297" i="33"/>
  <c r="GO297" i="33"/>
  <c r="GN297" i="33"/>
  <c r="GM297" i="33"/>
  <c r="GL297" i="33"/>
  <c r="GK297" i="33"/>
  <c r="GJ297" i="33"/>
  <c r="GI297" i="33"/>
  <c r="GH297" i="33"/>
  <c r="GG297" i="33"/>
  <c r="GF297" i="33"/>
  <c r="GE297" i="33"/>
  <c r="GD297" i="33"/>
  <c r="GC297" i="33"/>
  <c r="GB297" i="33"/>
  <c r="GA297" i="33"/>
  <c r="FZ297" i="33"/>
  <c r="FY297" i="33"/>
  <c r="FX297" i="33"/>
  <c r="FW297" i="33"/>
  <c r="FV297" i="33"/>
  <c r="FU297" i="33"/>
  <c r="FT297" i="33"/>
  <c r="FS297" i="33"/>
  <c r="FR297" i="33"/>
  <c r="FQ297" i="33"/>
  <c r="FP297" i="33"/>
  <c r="FO297" i="33"/>
  <c r="FN297" i="33"/>
  <c r="FM297" i="33"/>
  <c r="FL297" i="33"/>
  <c r="FK297" i="33"/>
  <c r="FJ297" i="33"/>
  <c r="FI297" i="33"/>
  <c r="FH297" i="33"/>
  <c r="FG297" i="33"/>
  <c r="FF297" i="33"/>
  <c r="FE297" i="33"/>
  <c r="FD297" i="33"/>
  <c r="FC297" i="33"/>
  <c r="FB297" i="33"/>
  <c r="FA297" i="33"/>
  <c r="EZ297" i="33"/>
  <c r="EY297" i="33"/>
  <c r="EX297" i="33"/>
  <c r="EW297" i="33"/>
  <c r="EV297" i="33"/>
  <c r="EU297" i="33"/>
  <c r="ET297" i="33"/>
  <c r="ES297" i="33"/>
  <c r="ER297" i="33"/>
  <c r="EQ297" i="33"/>
  <c r="EP297" i="33"/>
  <c r="EO297" i="33"/>
  <c r="EN297" i="33"/>
  <c r="EM297" i="33"/>
  <c r="EL297" i="33"/>
  <c r="EK297" i="33"/>
  <c r="EJ297" i="33"/>
  <c r="EI297" i="33"/>
  <c r="EH297" i="33"/>
  <c r="EG297" i="33"/>
  <c r="EF297" i="33"/>
  <c r="EE297" i="33"/>
  <c r="ED297" i="33"/>
  <c r="EC297" i="33"/>
  <c r="EB297" i="33"/>
  <c r="EA297" i="33"/>
  <c r="DZ297" i="33"/>
  <c r="DY297" i="33"/>
  <c r="DX297" i="33"/>
  <c r="DW297" i="33"/>
  <c r="DV297" i="33"/>
  <c r="DU297" i="33"/>
  <c r="DT297" i="33"/>
  <c r="DS297" i="33"/>
  <c r="DR297" i="33"/>
  <c r="DQ297" i="33"/>
  <c r="DP297" i="33"/>
  <c r="DO297" i="33"/>
  <c r="DN297" i="33"/>
  <c r="DM297" i="33"/>
  <c r="DL297" i="33"/>
  <c r="DK297" i="33"/>
  <c r="DJ297" i="33"/>
  <c r="DI297" i="33"/>
  <c r="DH297" i="33"/>
  <c r="DG297" i="33"/>
  <c r="DF297" i="33"/>
  <c r="DE297" i="33"/>
  <c r="DD297" i="33"/>
  <c r="DC297" i="33"/>
  <c r="DB297" i="33"/>
  <c r="DA297" i="33"/>
  <c r="CZ297" i="33"/>
  <c r="CY297" i="33"/>
  <c r="CX297" i="33"/>
  <c r="CW297" i="33"/>
  <c r="CV297" i="33"/>
  <c r="CU297" i="33"/>
  <c r="CT297" i="33"/>
  <c r="CS297" i="33"/>
  <c r="CR297" i="33"/>
  <c r="CQ297" i="33"/>
  <c r="CP297" i="33"/>
  <c r="CO297" i="33"/>
  <c r="CN297" i="33"/>
  <c r="CM297" i="33"/>
  <c r="CL297" i="33"/>
  <c r="CK297" i="33"/>
  <c r="CJ297" i="33"/>
  <c r="CI297" i="33"/>
  <c r="CH297" i="33"/>
  <c r="CG297" i="33"/>
  <c r="CF297" i="33"/>
  <c r="CE297" i="33"/>
  <c r="CD297" i="33"/>
  <c r="CC297" i="33"/>
  <c r="CB297" i="33"/>
  <c r="CA297" i="33"/>
  <c r="BZ297" i="33"/>
  <c r="BY297" i="33"/>
  <c r="BX297" i="33"/>
  <c r="BW297" i="33"/>
  <c r="BV297" i="33"/>
  <c r="BU297" i="33"/>
  <c r="BT297" i="33"/>
  <c r="BS297" i="33"/>
  <c r="BR297" i="33"/>
  <c r="BQ297" i="33"/>
  <c r="BP297" i="33"/>
  <c r="BO297" i="33"/>
  <c r="BN297" i="33"/>
  <c r="BM297" i="33"/>
  <c r="BL297" i="33"/>
  <c r="BK297" i="33"/>
  <c r="BJ297" i="33"/>
  <c r="BI297" i="33"/>
  <c r="BH297" i="33"/>
  <c r="BG297" i="33"/>
  <c r="BF297" i="33"/>
  <c r="BE297" i="33"/>
  <c r="BD297" i="33"/>
  <c r="BC297" i="33"/>
  <c r="BB297" i="33"/>
  <c r="BA297" i="33"/>
  <c r="AZ297" i="33"/>
  <c r="AY297" i="33"/>
  <c r="AX297" i="33"/>
  <c r="AW297" i="33"/>
  <c r="AV297" i="33"/>
  <c r="AU297" i="33"/>
  <c r="AT297" i="33"/>
  <c r="AS297" i="33"/>
  <c r="AR297" i="33"/>
  <c r="AQ297" i="33"/>
  <c r="AP297" i="33"/>
  <c r="AO297" i="33"/>
  <c r="AN297" i="33"/>
  <c r="AM297" i="33"/>
  <c r="AL297" i="33"/>
  <c r="AK297" i="33"/>
  <c r="AJ297" i="33"/>
  <c r="AI297" i="33"/>
  <c r="AH297" i="33"/>
  <c r="AG297" i="33"/>
  <c r="AF297" i="33"/>
  <c r="AE297" i="33"/>
  <c r="AD297" i="33"/>
  <c r="AC297" i="33"/>
  <c r="AB297" i="33"/>
  <c r="AA297" i="33"/>
  <c r="Z297" i="33"/>
  <c r="Y297" i="33"/>
  <c r="X297" i="33"/>
  <c r="W297" i="33"/>
  <c r="V297" i="33"/>
  <c r="U297" i="33"/>
  <c r="T297" i="33"/>
  <c r="S297" i="33"/>
  <c r="R297" i="33"/>
  <c r="Q297" i="33"/>
  <c r="P297" i="33"/>
  <c r="O297" i="33"/>
  <c r="N297" i="33"/>
  <c r="M297" i="33"/>
  <c r="L297" i="33"/>
  <c r="K297" i="33"/>
  <c r="J297" i="33"/>
  <c r="I297" i="33"/>
  <c r="H297" i="33"/>
  <c r="G297" i="33"/>
  <c r="F297" i="33"/>
  <c r="E297" i="33"/>
  <c r="D297" i="33"/>
  <c r="C297" i="33"/>
  <c r="B297" i="33"/>
  <c r="A297" i="33"/>
  <c r="IV296" i="33"/>
  <c r="IU296" i="33"/>
  <c r="IT296" i="33"/>
  <c r="IS296" i="33"/>
  <c r="IR296" i="33"/>
  <c r="IQ296" i="33"/>
  <c r="IP296" i="33"/>
  <c r="IO296" i="33"/>
  <c r="IN296" i="33"/>
  <c r="IM296" i="33"/>
  <c r="IL296" i="33"/>
  <c r="IK296" i="33"/>
  <c r="IJ296" i="33"/>
  <c r="II296" i="33"/>
  <c r="IH296" i="33"/>
  <c r="IG296" i="33"/>
  <c r="IF296" i="33"/>
  <c r="IE296" i="33"/>
  <c r="ID296" i="33"/>
  <c r="IC296" i="33"/>
  <c r="IB296" i="33"/>
  <c r="IA296" i="33"/>
  <c r="HZ296" i="33"/>
  <c r="HY296" i="33"/>
  <c r="HX296" i="33"/>
  <c r="HW296" i="33"/>
  <c r="HV296" i="33"/>
  <c r="HU296" i="33"/>
  <c r="HT296" i="33"/>
  <c r="HS296" i="33"/>
  <c r="HR296" i="33"/>
  <c r="HQ296" i="33"/>
  <c r="HP296" i="33"/>
  <c r="HO296" i="33"/>
  <c r="HN296" i="33"/>
  <c r="HM296" i="33"/>
  <c r="HL296" i="33"/>
  <c r="HK296" i="33"/>
  <c r="HJ296" i="33"/>
  <c r="HI296" i="33"/>
  <c r="HH296" i="33"/>
  <c r="HG296" i="33"/>
  <c r="HF296" i="33"/>
  <c r="HE296" i="33"/>
  <c r="HD296" i="33"/>
  <c r="HC296" i="33"/>
  <c r="HB296" i="33"/>
  <c r="HA296" i="33"/>
  <c r="GZ296" i="33"/>
  <c r="GY296" i="33"/>
  <c r="GX296" i="33"/>
  <c r="GW296" i="33"/>
  <c r="GV296" i="33"/>
  <c r="GU296" i="33"/>
  <c r="GT296" i="33"/>
  <c r="GS296" i="33"/>
  <c r="GR296" i="33"/>
  <c r="GQ296" i="33"/>
  <c r="GP296" i="33"/>
  <c r="GO296" i="33"/>
  <c r="GN296" i="33"/>
  <c r="GM296" i="33"/>
  <c r="GL296" i="33"/>
  <c r="GK296" i="33"/>
  <c r="GJ296" i="33"/>
  <c r="GI296" i="33"/>
  <c r="GH296" i="33"/>
  <c r="GG296" i="33"/>
  <c r="GF296" i="33"/>
  <c r="GE296" i="33"/>
  <c r="GD296" i="33"/>
  <c r="GC296" i="33"/>
  <c r="GB296" i="33"/>
  <c r="GA296" i="33"/>
  <c r="FZ296" i="33"/>
  <c r="FY296" i="33"/>
  <c r="FX296" i="33"/>
  <c r="FW296" i="33"/>
  <c r="FV296" i="33"/>
  <c r="FU296" i="33"/>
  <c r="FT296" i="33"/>
  <c r="FS296" i="33"/>
  <c r="FR296" i="33"/>
  <c r="FQ296" i="33"/>
  <c r="FP296" i="33"/>
  <c r="FO296" i="33"/>
  <c r="FN296" i="33"/>
  <c r="FM296" i="33"/>
  <c r="FL296" i="33"/>
  <c r="FK296" i="33"/>
  <c r="FJ296" i="33"/>
  <c r="FI296" i="33"/>
  <c r="FH296" i="33"/>
  <c r="FG296" i="33"/>
  <c r="FF296" i="33"/>
  <c r="FE296" i="33"/>
  <c r="FD296" i="33"/>
  <c r="FC296" i="33"/>
  <c r="FB296" i="33"/>
  <c r="FA296" i="33"/>
  <c r="EZ296" i="33"/>
  <c r="EY296" i="33"/>
  <c r="EX296" i="33"/>
  <c r="EW296" i="33"/>
  <c r="EV296" i="33"/>
  <c r="EU296" i="33"/>
  <c r="ET296" i="33"/>
  <c r="ES296" i="33"/>
  <c r="ER296" i="33"/>
  <c r="EQ296" i="33"/>
  <c r="EP296" i="33"/>
  <c r="EO296" i="33"/>
  <c r="EN296" i="33"/>
  <c r="EM296" i="33"/>
  <c r="EL296" i="33"/>
  <c r="EK296" i="33"/>
  <c r="EJ296" i="33"/>
  <c r="EI296" i="33"/>
  <c r="EH296" i="33"/>
  <c r="EG296" i="33"/>
  <c r="EF296" i="33"/>
  <c r="EE296" i="33"/>
  <c r="ED296" i="33"/>
  <c r="EC296" i="33"/>
  <c r="EB296" i="33"/>
  <c r="EA296" i="33"/>
  <c r="DZ296" i="33"/>
  <c r="DY296" i="33"/>
  <c r="DX296" i="33"/>
  <c r="DW296" i="33"/>
  <c r="DV296" i="33"/>
  <c r="DU296" i="33"/>
  <c r="DT296" i="33"/>
  <c r="DS296" i="33"/>
  <c r="DR296" i="33"/>
  <c r="DQ296" i="33"/>
  <c r="DP296" i="33"/>
  <c r="DO296" i="33"/>
  <c r="DN296" i="33"/>
  <c r="DM296" i="33"/>
  <c r="DL296" i="33"/>
  <c r="DK296" i="33"/>
  <c r="DJ296" i="33"/>
  <c r="DI296" i="33"/>
  <c r="DH296" i="33"/>
  <c r="DG296" i="33"/>
  <c r="DF296" i="33"/>
  <c r="DE296" i="33"/>
  <c r="DD296" i="33"/>
  <c r="DC296" i="33"/>
  <c r="DB296" i="33"/>
  <c r="DA296" i="33"/>
  <c r="CZ296" i="33"/>
  <c r="CY296" i="33"/>
  <c r="CX296" i="33"/>
  <c r="CW296" i="33"/>
  <c r="CV296" i="33"/>
  <c r="CU296" i="33"/>
  <c r="CT296" i="33"/>
  <c r="CS296" i="33"/>
  <c r="CR296" i="33"/>
  <c r="CQ296" i="33"/>
  <c r="CP296" i="33"/>
  <c r="CO296" i="33"/>
  <c r="CN296" i="33"/>
  <c r="CM296" i="33"/>
  <c r="CL296" i="33"/>
  <c r="CK296" i="33"/>
  <c r="CJ296" i="33"/>
  <c r="CI296" i="33"/>
  <c r="CH296" i="33"/>
  <c r="CG296" i="33"/>
  <c r="CF296" i="33"/>
  <c r="CE296" i="33"/>
  <c r="CD296" i="33"/>
  <c r="CC296" i="33"/>
  <c r="CB296" i="33"/>
  <c r="CA296" i="33"/>
  <c r="BZ296" i="33"/>
  <c r="BY296" i="33"/>
  <c r="BX296" i="33"/>
  <c r="BW296" i="33"/>
  <c r="BV296" i="33"/>
  <c r="BU296" i="33"/>
  <c r="BT296" i="33"/>
  <c r="BS296" i="33"/>
  <c r="BR296" i="33"/>
  <c r="BQ296" i="33"/>
  <c r="BP296" i="33"/>
  <c r="BO296" i="33"/>
  <c r="BN296" i="33"/>
  <c r="BM296" i="33"/>
  <c r="BL296" i="33"/>
  <c r="BK296" i="33"/>
  <c r="BJ296" i="33"/>
  <c r="BI296" i="33"/>
  <c r="BH296" i="33"/>
  <c r="BG296" i="33"/>
  <c r="BF296" i="33"/>
  <c r="BE296" i="33"/>
  <c r="BD296" i="33"/>
  <c r="BC296" i="33"/>
  <c r="BB296" i="33"/>
  <c r="BA296" i="33"/>
  <c r="AZ296" i="33"/>
  <c r="AY296" i="33"/>
  <c r="AX296" i="33"/>
  <c r="AW296" i="33"/>
  <c r="AV296" i="33"/>
  <c r="AU296" i="33"/>
  <c r="AT296" i="33"/>
  <c r="AS296" i="33"/>
  <c r="AR296" i="33"/>
  <c r="AQ296" i="33"/>
  <c r="AP296" i="33"/>
  <c r="AO296" i="33"/>
  <c r="AN296" i="33"/>
  <c r="AM296" i="33"/>
  <c r="AL296" i="33"/>
  <c r="AK296" i="33"/>
  <c r="AJ296" i="33"/>
  <c r="AI296" i="33"/>
  <c r="AH296" i="33"/>
  <c r="AG296" i="33"/>
  <c r="AF296" i="33"/>
  <c r="AE296" i="33"/>
  <c r="AD296" i="33"/>
  <c r="AC296" i="33"/>
  <c r="AB296" i="33"/>
  <c r="AA296" i="33"/>
  <c r="Z296" i="33"/>
  <c r="Y296" i="33"/>
  <c r="X296" i="33"/>
  <c r="W296" i="33"/>
  <c r="V296" i="33"/>
  <c r="U296" i="33"/>
  <c r="T296" i="33"/>
  <c r="S296" i="33"/>
  <c r="R296" i="33"/>
  <c r="Q296" i="33"/>
  <c r="P296" i="33"/>
  <c r="O296" i="33"/>
  <c r="N296" i="33"/>
  <c r="M296" i="33"/>
  <c r="L296" i="33"/>
  <c r="K296" i="33"/>
  <c r="J296" i="33"/>
  <c r="I296" i="33"/>
  <c r="H296" i="33"/>
  <c r="G296" i="33"/>
  <c r="F296" i="33"/>
  <c r="E296" i="33"/>
  <c r="D296" i="33"/>
  <c r="C296" i="33"/>
  <c r="B296" i="33"/>
  <c r="A296" i="33"/>
  <c r="IV295" i="33"/>
  <c r="IU295" i="33"/>
  <c r="IT295" i="33"/>
  <c r="IS295" i="33"/>
  <c r="IR295" i="33"/>
  <c r="IQ295" i="33"/>
  <c r="IP295" i="33"/>
  <c r="IO295" i="33"/>
  <c r="IN295" i="33"/>
  <c r="IM295" i="33"/>
  <c r="IL295" i="33"/>
  <c r="IK295" i="33"/>
  <c r="IJ295" i="33"/>
  <c r="II295" i="33"/>
  <c r="IH295" i="33"/>
  <c r="IG295" i="33"/>
  <c r="IF295" i="33"/>
  <c r="IE295" i="33"/>
  <c r="ID295" i="33"/>
  <c r="IC295" i="33"/>
  <c r="IB295" i="33"/>
  <c r="IA295" i="33"/>
  <c r="HZ295" i="33"/>
  <c r="HY295" i="33"/>
  <c r="HX295" i="33"/>
  <c r="HW295" i="33"/>
  <c r="HV295" i="33"/>
  <c r="HU295" i="33"/>
  <c r="HT295" i="33"/>
  <c r="HS295" i="33"/>
  <c r="HR295" i="33"/>
  <c r="HQ295" i="33"/>
  <c r="HP295" i="33"/>
  <c r="HO295" i="33"/>
  <c r="HN295" i="33"/>
  <c r="HM295" i="33"/>
  <c r="HL295" i="33"/>
  <c r="HK295" i="33"/>
  <c r="HJ295" i="33"/>
  <c r="HI295" i="33"/>
  <c r="HH295" i="33"/>
  <c r="HG295" i="33"/>
  <c r="HF295" i="33"/>
  <c r="HE295" i="33"/>
  <c r="HD295" i="33"/>
  <c r="HC295" i="33"/>
  <c r="HB295" i="33"/>
  <c r="HA295" i="33"/>
  <c r="GZ295" i="33"/>
  <c r="GY295" i="33"/>
  <c r="GX295" i="33"/>
  <c r="GW295" i="33"/>
  <c r="GV295" i="33"/>
  <c r="GU295" i="33"/>
  <c r="GT295" i="33"/>
  <c r="GS295" i="33"/>
  <c r="GR295" i="33"/>
  <c r="GQ295" i="33"/>
  <c r="GP295" i="33"/>
  <c r="GO295" i="33"/>
  <c r="GN295" i="33"/>
  <c r="GM295" i="33"/>
  <c r="GL295" i="33"/>
  <c r="GK295" i="33"/>
  <c r="GJ295" i="33"/>
  <c r="GI295" i="33"/>
  <c r="GH295" i="33"/>
  <c r="GG295" i="33"/>
  <c r="GF295" i="33"/>
  <c r="GE295" i="33"/>
  <c r="GD295" i="33"/>
  <c r="GC295" i="33"/>
  <c r="GB295" i="33"/>
  <c r="GA295" i="33"/>
  <c r="FZ295" i="33"/>
  <c r="FY295" i="33"/>
  <c r="FX295" i="33"/>
  <c r="FW295" i="33"/>
  <c r="FV295" i="33"/>
  <c r="FU295" i="33"/>
  <c r="FT295" i="33"/>
  <c r="FS295" i="33"/>
  <c r="FR295" i="33"/>
  <c r="FQ295" i="33"/>
  <c r="FP295" i="33"/>
  <c r="FO295" i="33"/>
  <c r="FN295" i="33"/>
  <c r="FM295" i="33"/>
  <c r="FL295" i="33"/>
  <c r="FK295" i="33"/>
  <c r="FJ295" i="33"/>
  <c r="FI295" i="33"/>
  <c r="FH295" i="33"/>
  <c r="FG295" i="33"/>
  <c r="FF295" i="33"/>
  <c r="FE295" i="33"/>
  <c r="FD295" i="33"/>
  <c r="FC295" i="33"/>
  <c r="FB295" i="33"/>
  <c r="FA295" i="33"/>
  <c r="EZ295" i="33"/>
  <c r="EY295" i="33"/>
  <c r="EX295" i="33"/>
  <c r="EW295" i="33"/>
  <c r="EV295" i="33"/>
  <c r="EU295" i="33"/>
  <c r="ET295" i="33"/>
  <c r="ES295" i="33"/>
  <c r="ER295" i="33"/>
  <c r="EQ295" i="33"/>
  <c r="EP295" i="33"/>
  <c r="EO295" i="33"/>
  <c r="EN295" i="33"/>
  <c r="EM295" i="33"/>
  <c r="EL295" i="33"/>
  <c r="EK295" i="33"/>
  <c r="EJ295" i="33"/>
  <c r="EI295" i="33"/>
  <c r="EH295" i="33"/>
  <c r="EG295" i="33"/>
  <c r="EF295" i="33"/>
  <c r="EE295" i="33"/>
  <c r="ED295" i="33"/>
  <c r="EC295" i="33"/>
  <c r="EB295" i="33"/>
  <c r="EA295" i="33"/>
  <c r="DZ295" i="33"/>
  <c r="DY295" i="33"/>
  <c r="DX295" i="33"/>
  <c r="DW295" i="33"/>
  <c r="DV295" i="33"/>
  <c r="DU295" i="33"/>
  <c r="DT295" i="33"/>
  <c r="DS295" i="33"/>
  <c r="DR295" i="33"/>
  <c r="DQ295" i="33"/>
  <c r="DP295" i="33"/>
  <c r="DO295" i="33"/>
  <c r="DN295" i="33"/>
  <c r="DM295" i="33"/>
  <c r="DL295" i="33"/>
  <c r="DK295" i="33"/>
  <c r="DJ295" i="33"/>
  <c r="DI295" i="33"/>
  <c r="DH295" i="33"/>
  <c r="DG295" i="33"/>
  <c r="DF295" i="33"/>
  <c r="DE295" i="33"/>
  <c r="DD295" i="33"/>
  <c r="DC295" i="33"/>
  <c r="DB295" i="33"/>
  <c r="DA295" i="33"/>
  <c r="CZ295" i="33"/>
  <c r="CY295" i="33"/>
  <c r="CX295" i="33"/>
  <c r="CW295" i="33"/>
  <c r="CV295" i="33"/>
  <c r="CU295" i="33"/>
  <c r="CT295" i="33"/>
  <c r="CS295" i="33"/>
  <c r="CR295" i="33"/>
  <c r="CQ295" i="33"/>
  <c r="CP295" i="33"/>
  <c r="CO295" i="33"/>
  <c r="CN295" i="33"/>
  <c r="CM295" i="33"/>
  <c r="CL295" i="33"/>
  <c r="CK295" i="33"/>
  <c r="CJ295" i="33"/>
  <c r="CI295" i="33"/>
  <c r="CH295" i="33"/>
  <c r="CG295" i="33"/>
  <c r="CF295" i="33"/>
  <c r="CE295" i="33"/>
  <c r="CD295" i="33"/>
  <c r="CC295" i="33"/>
  <c r="CB295" i="33"/>
  <c r="CA295" i="33"/>
  <c r="BZ295" i="33"/>
  <c r="BY295" i="33"/>
  <c r="BX295" i="33"/>
  <c r="BW295" i="33"/>
  <c r="BV295" i="33"/>
  <c r="BU295" i="33"/>
  <c r="BT295" i="33"/>
  <c r="BS295" i="33"/>
  <c r="BR295" i="33"/>
  <c r="BQ295" i="33"/>
  <c r="BP295" i="33"/>
  <c r="BO295" i="33"/>
  <c r="BN295" i="33"/>
  <c r="BM295" i="33"/>
  <c r="BL295" i="33"/>
  <c r="BK295" i="33"/>
  <c r="BJ295" i="33"/>
  <c r="BI295" i="33"/>
  <c r="BH295" i="33"/>
  <c r="BG295" i="33"/>
  <c r="BF295" i="33"/>
  <c r="BE295" i="33"/>
  <c r="BD295" i="33"/>
  <c r="BC295" i="33"/>
  <c r="BB295" i="33"/>
  <c r="BA295" i="33"/>
  <c r="AZ295" i="33"/>
  <c r="AY295" i="33"/>
  <c r="AX295" i="33"/>
  <c r="AW295" i="33"/>
  <c r="AV295" i="33"/>
  <c r="AU295" i="33"/>
  <c r="AT295" i="33"/>
  <c r="AS295" i="33"/>
  <c r="AR295" i="33"/>
  <c r="AQ295" i="33"/>
  <c r="AP295" i="33"/>
  <c r="AO295" i="33"/>
  <c r="AN295" i="33"/>
  <c r="AM295" i="33"/>
  <c r="AL295" i="33"/>
  <c r="AK295" i="33"/>
  <c r="AJ295" i="33"/>
  <c r="AI295" i="33"/>
  <c r="AH295" i="33"/>
  <c r="AG295" i="33"/>
  <c r="AF295" i="33"/>
  <c r="AE295" i="33"/>
  <c r="AD295" i="33"/>
  <c r="AC295" i="33"/>
  <c r="AB295" i="33"/>
  <c r="AA295" i="33"/>
  <c r="Z295" i="33"/>
  <c r="Y295" i="33"/>
  <c r="X295" i="33"/>
  <c r="W295" i="33"/>
  <c r="V295" i="33"/>
  <c r="U295" i="33"/>
  <c r="T295" i="33"/>
  <c r="S295" i="33"/>
  <c r="R295" i="33"/>
  <c r="Q295" i="33"/>
  <c r="P295" i="33"/>
  <c r="O295" i="33"/>
  <c r="N295" i="33"/>
  <c r="M295" i="33"/>
  <c r="L295" i="33"/>
  <c r="K295" i="33"/>
  <c r="J295" i="33"/>
  <c r="I295" i="33"/>
  <c r="H295" i="33"/>
  <c r="G295" i="33"/>
  <c r="F295" i="33"/>
  <c r="E295" i="33"/>
  <c r="D295" i="33"/>
  <c r="C295" i="33"/>
  <c r="B295" i="33"/>
  <c r="A295" i="33"/>
  <c r="IV294" i="33"/>
  <c r="IU294" i="33"/>
  <c r="IT294" i="33"/>
  <c r="IS294" i="33"/>
  <c r="IR294" i="33"/>
  <c r="IQ294" i="33"/>
  <c r="IP294" i="33"/>
  <c r="IO294" i="33"/>
  <c r="IN294" i="33"/>
  <c r="IM294" i="33"/>
  <c r="IL294" i="33"/>
  <c r="IK294" i="33"/>
  <c r="IJ294" i="33"/>
  <c r="II294" i="33"/>
  <c r="IH294" i="33"/>
  <c r="IG294" i="33"/>
  <c r="IF294" i="33"/>
  <c r="IE294" i="33"/>
  <c r="ID294" i="33"/>
  <c r="IC294" i="33"/>
  <c r="IB294" i="33"/>
  <c r="IA294" i="33"/>
  <c r="HZ294" i="33"/>
  <c r="HY294" i="33"/>
  <c r="HX294" i="33"/>
  <c r="HW294" i="33"/>
  <c r="HV294" i="33"/>
  <c r="HU294" i="33"/>
  <c r="HT294" i="33"/>
  <c r="HS294" i="33"/>
  <c r="HR294" i="33"/>
  <c r="HQ294" i="33"/>
  <c r="HP294" i="33"/>
  <c r="HO294" i="33"/>
  <c r="HN294" i="33"/>
  <c r="HM294" i="33"/>
  <c r="HL294" i="33"/>
  <c r="HK294" i="33"/>
  <c r="HJ294" i="33"/>
  <c r="HI294" i="33"/>
  <c r="HH294" i="33"/>
  <c r="HG294" i="33"/>
  <c r="HF294" i="33"/>
  <c r="HE294" i="33"/>
  <c r="HD294" i="33"/>
  <c r="HC294" i="33"/>
  <c r="HB294" i="33"/>
  <c r="HA294" i="33"/>
  <c r="GZ294" i="33"/>
  <c r="GY294" i="33"/>
  <c r="GX294" i="33"/>
  <c r="GW294" i="33"/>
  <c r="GV294" i="33"/>
  <c r="GU294" i="33"/>
  <c r="GT294" i="33"/>
  <c r="GS294" i="33"/>
  <c r="GR294" i="33"/>
  <c r="GQ294" i="33"/>
  <c r="GP294" i="33"/>
  <c r="GO294" i="33"/>
  <c r="GN294" i="33"/>
  <c r="GM294" i="33"/>
  <c r="GL294" i="33"/>
  <c r="GK294" i="33"/>
  <c r="GJ294" i="33"/>
  <c r="GI294" i="33"/>
  <c r="GH294" i="33"/>
  <c r="GG294" i="33"/>
  <c r="GF294" i="33"/>
  <c r="GE294" i="33"/>
  <c r="GD294" i="33"/>
  <c r="GC294" i="33"/>
  <c r="GB294" i="33"/>
  <c r="GA294" i="33"/>
  <c r="FZ294" i="33"/>
  <c r="FY294" i="33"/>
  <c r="FX294" i="33"/>
  <c r="FW294" i="33"/>
  <c r="FV294" i="33"/>
  <c r="FU294" i="33"/>
  <c r="FT294" i="33"/>
  <c r="FS294" i="33"/>
  <c r="FR294" i="33"/>
  <c r="FQ294" i="33"/>
  <c r="FP294" i="33"/>
  <c r="FO294" i="33"/>
  <c r="FN294" i="33"/>
  <c r="FM294" i="33"/>
  <c r="FL294" i="33"/>
  <c r="FK294" i="33"/>
  <c r="FJ294" i="33"/>
  <c r="FI294" i="33"/>
  <c r="FH294" i="33"/>
  <c r="FG294" i="33"/>
  <c r="FF294" i="33"/>
  <c r="FE294" i="33"/>
  <c r="FD294" i="33"/>
  <c r="FC294" i="33"/>
  <c r="FB294" i="33"/>
  <c r="FA294" i="33"/>
  <c r="EZ294" i="33"/>
  <c r="EY294" i="33"/>
  <c r="EX294" i="33"/>
  <c r="EW294" i="33"/>
  <c r="EV294" i="33"/>
  <c r="EU294" i="33"/>
  <c r="ET294" i="33"/>
  <c r="ES294" i="33"/>
  <c r="ER294" i="33"/>
  <c r="EQ294" i="33"/>
  <c r="EP294" i="33"/>
  <c r="EO294" i="33"/>
  <c r="EN294" i="33"/>
  <c r="EM294" i="33"/>
  <c r="EL294" i="33"/>
  <c r="EK294" i="33"/>
  <c r="EJ294" i="33"/>
  <c r="EI294" i="33"/>
  <c r="EH294" i="33"/>
  <c r="EG294" i="33"/>
  <c r="EF294" i="33"/>
  <c r="EE294" i="33"/>
  <c r="ED294" i="33"/>
  <c r="EC294" i="33"/>
  <c r="EB294" i="33"/>
  <c r="EA294" i="33"/>
  <c r="DZ294" i="33"/>
  <c r="DY294" i="33"/>
  <c r="DX294" i="33"/>
  <c r="DW294" i="33"/>
  <c r="DV294" i="33"/>
  <c r="DU294" i="33"/>
  <c r="DT294" i="33"/>
  <c r="DS294" i="33"/>
  <c r="DR294" i="33"/>
  <c r="DQ294" i="33"/>
  <c r="DP294" i="33"/>
  <c r="DO294" i="33"/>
  <c r="DN294" i="33"/>
  <c r="DM294" i="33"/>
  <c r="DL294" i="33"/>
  <c r="DK294" i="33"/>
  <c r="DJ294" i="33"/>
  <c r="DI294" i="33"/>
  <c r="DH294" i="33"/>
  <c r="DG294" i="33"/>
  <c r="DF294" i="33"/>
  <c r="DE294" i="33"/>
  <c r="DD294" i="33"/>
  <c r="DC294" i="33"/>
  <c r="DB294" i="33"/>
  <c r="DA294" i="33"/>
  <c r="CZ294" i="33"/>
  <c r="CY294" i="33"/>
  <c r="CX294" i="33"/>
  <c r="CW294" i="33"/>
  <c r="CV294" i="33"/>
  <c r="CU294" i="33"/>
  <c r="CT294" i="33"/>
  <c r="CS294" i="33"/>
  <c r="CR294" i="33"/>
  <c r="CQ294" i="33"/>
  <c r="CP294" i="33"/>
  <c r="CO294" i="33"/>
  <c r="CN294" i="33"/>
  <c r="CM294" i="33"/>
  <c r="CL294" i="33"/>
  <c r="CK294" i="33"/>
  <c r="CJ294" i="33"/>
  <c r="CI294" i="33"/>
  <c r="CH294" i="33"/>
  <c r="CG294" i="33"/>
  <c r="CF294" i="33"/>
  <c r="CE294" i="33"/>
  <c r="CD294" i="33"/>
  <c r="CC294" i="33"/>
  <c r="CB294" i="33"/>
  <c r="CA294" i="33"/>
  <c r="BZ294" i="33"/>
  <c r="BY294" i="33"/>
  <c r="BX294" i="33"/>
  <c r="BW294" i="33"/>
  <c r="BV294" i="33"/>
  <c r="BU294" i="33"/>
  <c r="BT294" i="33"/>
  <c r="BS294" i="33"/>
  <c r="BR294" i="33"/>
  <c r="BQ294" i="33"/>
  <c r="BP294" i="33"/>
  <c r="BO294" i="33"/>
  <c r="BN294" i="33"/>
  <c r="BM294" i="33"/>
  <c r="BL294" i="33"/>
  <c r="BK294" i="33"/>
  <c r="BJ294" i="33"/>
  <c r="BI294" i="33"/>
  <c r="BH294" i="33"/>
  <c r="BG294" i="33"/>
  <c r="BF294" i="33"/>
  <c r="BE294" i="33"/>
  <c r="BD294" i="33"/>
  <c r="BC294" i="33"/>
  <c r="BB294" i="33"/>
  <c r="BA294" i="33"/>
  <c r="AZ294" i="33"/>
  <c r="AY294" i="33"/>
  <c r="AX294" i="33"/>
  <c r="AW294" i="33"/>
  <c r="AV294" i="33"/>
  <c r="AU294" i="33"/>
  <c r="AT294" i="33"/>
  <c r="AS294" i="33"/>
  <c r="AR294" i="33"/>
  <c r="AQ294" i="33"/>
  <c r="AP294" i="33"/>
  <c r="AO294" i="33"/>
  <c r="AN294" i="33"/>
  <c r="AM294" i="33"/>
  <c r="AL294" i="33"/>
  <c r="AK294" i="33"/>
  <c r="AJ294" i="33"/>
  <c r="AI294" i="33"/>
  <c r="AH294" i="33"/>
  <c r="AG294" i="33"/>
  <c r="AF294" i="33"/>
  <c r="AE294" i="33"/>
  <c r="AD294" i="33"/>
  <c r="AC294" i="33"/>
  <c r="AB294" i="33"/>
  <c r="AA294" i="33"/>
  <c r="Z294" i="33"/>
  <c r="Y294" i="33"/>
  <c r="X294" i="33"/>
  <c r="W294" i="33"/>
  <c r="V294" i="33"/>
  <c r="U294" i="33"/>
  <c r="T294" i="33"/>
  <c r="S294" i="33"/>
  <c r="R294" i="33"/>
  <c r="Q294" i="33"/>
  <c r="P294" i="33"/>
  <c r="O294" i="33"/>
  <c r="N294" i="33"/>
  <c r="M294" i="33"/>
  <c r="L294" i="33"/>
  <c r="K294" i="33"/>
  <c r="J294" i="33"/>
  <c r="I294" i="33"/>
  <c r="H294" i="33"/>
  <c r="G294" i="33"/>
  <c r="F294" i="33"/>
  <c r="E294" i="33"/>
  <c r="D294" i="33"/>
  <c r="C294" i="33"/>
  <c r="B294" i="33"/>
  <c r="A294" i="33"/>
  <c r="IV293" i="33"/>
  <c r="IU293" i="33"/>
  <c r="IT293" i="33"/>
  <c r="IS293" i="33"/>
  <c r="IR293" i="33"/>
  <c r="IQ293" i="33"/>
  <c r="IP293" i="33"/>
  <c r="IO293" i="33"/>
  <c r="IN293" i="33"/>
  <c r="IM293" i="33"/>
  <c r="IL293" i="33"/>
  <c r="IK293" i="33"/>
  <c r="IJ293" i="33"/>
  <c r="II293" i="33"/>
  <c r="IH293" i="33"/>
  <c r="IG293" i="33"/>
  <c r="IF293" i="33"/>
  <c r="IE293" i="33"/>
  <c r="ID293" i="33"/>
  <c r="IC293" i="33"/>
  <c r="IB293" i="33"/>
  <c r="IA293" i="33"/>
  <c r="HZ293" i="33"/>
  <c r="HY293" i="33"/>
  <c r="HX293" i="33"/>
  <c r="HW293" i="33"/>
  <c r="HV293" i="33"/>
  <c r="HU293" i="33"/>
  <c r="HT293" i="33"/>
  <c r="HS293" i="33"/>
  <c r="HR293" i="33"/>
  <c r="HQ293" i="33"/>
  <c r="HP293" i="33"/>
  <c r="HO293" i="33"/>
  <c r="HN293" i="33"/>
  <c r="HM293" i="33"/>
  <c r="HL293" i="33"/>
  <c r="HK293" i="33"/>
  <c r="HJ293" i="33"/>
  <c r="HI293" i="33"/>
  <c r="HH293" i="33"/>
  <c r="HG293" i="33"/>
  <c r="HF293" i="33"/>
  <c r="HE293" i="33"/>
  <c r="HD293" i="33"/>
  <c r="HC293" i="33"/>
  <c r="HB293" i="33"/>
  <c r="HA293" i="33"/>
  <c r="GZ293" i="33"/>
  <c r="GY293" i="33"/>
  <c r="GX293" i="33"/>
  <c r="GW293" i="33"/>
  <c r="GV293" i="33"/>
  <c r="GU293" i="33"/>
  <c r="GT293" i="33"/>
  <c r="GS293" i="33"/>
  <c r="GR293" i="33"/>
  <c r="GQ293" i="33"/>
  <c r="GP293" i="33"/>
  <c r="GO293" i="33"/>
  <c r="GN293" i="33"/>
  <c r="GM293" i="33"/>
  <c r="GL293" i="33"/>
  <c r="GK293" i="33"/>
  <c r="GJ293" i="33"/>
  <c r="GI293" i="33"/>
  <c r="GH293" i="33"/>
  <c r="GG293" i="33"/>
  <c r="GF293" i="33"/>
  <c r="GE293" i="33"/>
  <c r="GD293" i="33"/>
  <c r="GC293" i="33"/>
  <c r="GB293" i="33"/>
  <c r="GA293" i="33"/>
  <c r="FZ293" i="33"/>
  <c r="FY293" i="33"/>
  <c r="FX293" i="33"/>
  <c r="FW293" i="33"/>
  <c r="FV293" i="33"/>
  <c r="FU293" i="33"/>
  <c r="FT293" i="33"/>
  <c r="FS293" i="33"/>
  <c r="FR293" i="33"/>
  <c r="FQ293" i="33"/>
  <c r="FP293" i="33"/>
  <c r="FO293" i="33"/>
  <c r="FN293" i="33"/>
  <c r="FM293" i="33"/>
  <c r="FL293" i="33"/>
  <c r="FK293" i="33"/>
  <c r="FJ293" i="33"/>
  <c r="FI293" i="33"/>
  <c r="FH293" i="33"/>
  <c r="FG293" i="33"/>
  <c r="FF293" i="33"/>
  <c r="FE293" i="33"/>
  <c r="FD293" i="33"/>
  <c r="FC293" i="33"/>
  <c r="FB293" i="33"/>
  <c r="FA293" i="33"/>
  <c r="EZ293" i="33"/>
  <c r="EY293" i="33"/>
  <c r="EX293" i="33"/>
  <c r="EW293" i="33"/>
  <c r="EV293" i="33"/>
  <c r="EU293" i="33"/>
  <c r="ET293" i="33"/>
  <c r="ES293" i="33"/>
  <c r="ER293" i="33"/>
  <c r="EQ293" i="33"/>
  <c r="EP293" i="33"/>
  <c r="EO293" i="33"/>
  <c r="EN293" i="33"/>
  <c r="EM293" i="33"/>
  <c r="EL293" i="33"/>
  <c r="EK293" i="33"/>
  <c r="EJ293" i="33"/>
  <c r="EI293" i="33"/>
  <c r="EH293" i="33"/>
  <c r="EG293" i="33"/>
  <c r="EF293" i="33"/>
  <c r="EE293" i="33"/>
  <c r="ED293" i="33"/>
  <c r="EC293" i="33"/>
  <c r="EB293" i="33"/>
  <c r="EA293" i="33"/>
  <c r="DZ293" i="33"/>
  <c r="DY293" i="33"/>
  <c r="DX293" i="33"/>
  <c r="DW293" i="33"/>
  <c r="DV293" i="33"/>
  <c r="DU293" i="33"/>
  <c r="DT293" i="33"/>
  <c r="DS293" i="33"/>
  <c r="DR293" i="33"/>
  <c r="DQ293" i="33"/>
  <c r="DP293" i="33"/>
  <c r="DO293" i="33"/>
  <c r="DN293" i="33"/>
  <c r="DM293" i="33"/>
  <c r="DL293" i="33"/>
  <c r="DK293" i="33"/>
  <c r="DJ293" i="33"/>
  <c r="DI293" i="33"/>
  <c r="DH293" i="33"/>
  <c r="DG293" i="33"/>
  <c r="DF293" i="33"/>
  <c r="DE293" i="33"/>
  <c r="DD293" i="33"/>
  <c r="DC293" i="33"/>
  <c r="DB293" i="33"/>
  <c r="DA293" i="33"/>
  <c r="CZ293" i="33"/>
  <c r="CY293" i="33"/>
  <c r="CX293" i="33"/>
  <c r="CW293" i="33"/>
  <c r="CV293" i="33"/>
  <c r="CU293" i="33"/>
  <c r="CT293" i="33"/>
  <c r="CS293" i="33"/>
  <c r="CR293" i="33"/>
  <c r="CQ293" i="33"/>
  <c r="CP293" i="33"/>
  <c r="CO293" i="33"/>
  <c r="CN293" i="33"/>
  <c r="CM293" i="33"/>
  <c r="CL293" i="33"/>
  <c r="CK293" i="33"/>
  <c r="CJ293" i="33"/>
  <c r="CI293" i="33"/>
  <c r="CH293" i="33"/>
  <c r="CG293" i="33"/>
  <c r="CF293" i="33"/>
  <c r="CE293" i="33"/>
  <c r="CD293" i="33"/>
  <c r="CC293" i="33"/>
  <c r="CB293" i="33"/>
  <c r="CA293" i="33"/>
  <c r="BZ293" i="33"/>
  <c r="BY293" i="33"/>
  <c r="BX293" i="33"/>
  <c r="BW293" i="33"/>
  <c r="BV293" i="33"/>
  <c r="BU293" i="33"/>
  <c r="BT293" i="33"/>
  <c r="BS293" i="33"/>
  <c r="BR293" i="33"/>
  <c r="BQ293" i="33"/>
  <c r="BP293" i="33"/>
  <c r="BO293" i="33"/>
  <c r="BN293" i="33"/>
  <c r="BM293" i="33"/>
  <c r="BL293" i="33"/>
  <c r="BK293" i="33"/>
  <c r="BJ293" i="33"/>
  <c r="BI293" i="33"/>
  <c r="BH293" i="33"/>
  <c r="BG293" i="33"/>
  <c r="BF293" i="33"/>
  <c r="BE293" i="33"/>
  <c r="BD293" i="33"/>
  <c r="BC293" i="33"/>
  <c r="BB293" i="33"/>
  <c r="BA293" i="33"/>
  <c r="AZ293" i="33"/>
  <c r="AY293" i="33"/>
  <c r="AX293" i="33"/>
  <c r="AW293" i="33"/>
  <c r="AV293" i="33"/>
  <c r="AU293" i="33"/>
  <c r="AT293" i="33"/>
  <c r="AS293" i="33"/>
  <c r="AR293" i="33"/>
  <c r="AQ293" i="33"/>
  <c r="AP293" i="33"/>
  <c r="AO293" i="33"/>
  <c r="AN293" i="33"/>
  <c r="AM293" i="33"/>
  <c r="AL293" i="33"/>
  <c r="AK293" i="33"/>
  <c r="AJ293" i="33"/>
  <c r="AI293" i="33"/>
  <c r="AH293" i="33"/>
  <c r="AG293" i="33"/>
  <c r="AF293" i="33"/>
  <c r="AE293" i="33"/>
  <c r="AD293" i="33"/>
  <c r="AC293" i="33"/>
  <c r="AB293" i="33"/>
  <c r="AA293" i="33"/>
  <c r="Z293" i="33"/>
  <c r="Y293" i="33"/>
  <c r="X293" i="33"/>
  <c r="W293" i="33"/>
  <c r="V293" i="33"/>
  <c r="U293" i="33"/>
  <c r="T293" i="33"/>
  <c r="S293" i="33"/>
  <c r="R293" i="33"/>
  <c r="Q293" i="33"/>
  <c r="P293" i="33"/>
  <c r="O293" i="33"/>
  <c r="N293" i="33"/>
  <c r="M293" i="33"/>
  <c r="L293" i="33"/>
  <c r="K293" i="33"/>
  <c r="J293" i="33"/>
  <c r="I293" i="33"/>
  <c r="H293" i="33"/>
  <c r="G293" i="33"/>
  <c r="F293" i="33"/>
  <c r="E293" i="33"/>
  <c r="D293" i="33"/>
  <c r="C293" i="33"/>
  <c r="B293" i="33"/>
  <c r="A293" i="33"/>
  <c r="IV292" i="33"/>
  <c r="IU292" i="33"/>
  <c r="IT292" i="33"/>
  <c r="IS292" i="33"/>
  <c r="IR292" i="33"/>
  <c r="IQ292" i="33"/>
  <c r="IP292" i="33"/>
  <c r="IO292" i="33"/>
  <c r="IN292" i="33"/>
  <c r="IM292" i="33"/>
  <c r="IL292" i="33"/>
  <c r="IK292" i="33"/>
  <c r="IJ292" i="33"/>
  <c r="II292" i="33"/>
  <c r="IH292" i="33"/>
  <c r="IG292" i="33"/>
  <c r="IF292" i="33"/>
  <c r="IE292" i="33"/>
  <c r="ID292" i="33"/>
  <c r="IC292" i="33"/>
  <c r="IB292" i="33"/>
  <c r="IA292" i="33"/>
  <c r="HZ292" i="33"/>
  <c r="HY292" i="33"/>
  <c r="HX292" i="33"/>
  <c r="HW292" i="33"/>
  <c r="HV292" i="33"/>
  <c r="HU292" i="33"/>
  <c r="HT292" i="33"/>
  <c r="HS292" i="33"/>
  <c r="HR292" i="33"/>
  <c r="HQ292" i="33"/>
  <c r="HP292" i="33"/>
  <c r="HO292" i="33"/>
  <c r="HN292" i="33"/>
  <c r="HM292" i="33"/>
  <c r="HL292" i="33"/>
  <c r="HK292" i="33"/>
  <c r="HJ292" i="33"/>
  <c r="HI292" i="33"/>
  <c r="HH292" i="33"/>
  <c r="HG292" i="33"/>
  <c r="HF292" i="33"/>
  <c r="HE292" i="33"/>
  <c r="HD292" i="33"/>
  <c r="HC292" i="33"/>
  <c r="HB292" i="33"/>
  <c r="HA292" i="33"/>
  <c r="GZ292" i="33"/>
  <c r="GY292" i="33"/>
  <c r="GX292" i="33"/>
  <c r="GW292" i="33"/>
  <c r="GV292" i="33"/>
  <c r="GU292" i="33"/>
  <c r="GT292" i="33"/>
  <c r="GS292" i="33"/>
  <c r="GR292" i="33"/>
  <c r="GQ292" i="33"/>
  <c r="GP292" i="33"/>
  <c r="GO292" i="33"/>
  <c r="GN292" i="33"/>
  <c r="GM292" i="33"/>
  <c r="GL292" i="33"/>
  <c r="GK292" i="33"/>
  <c r="GJ292" i="33"/>
  <c r="GI292" i="33"/>
  <c r="GH292" i="33"/>
  <c r="GG292" i="33"/>
  <c r="GF292" i="33"/>
  <c r="GE292" i="33"/>
  <c r="GD292" i="33"/>
  <c r="GC292" i="33"/>
  <c r="GB292" i="33"/>
  <c r="GA292" i="33"/>
  <c r="FZ292" i="33"/>
  <c r="FY292" i="33"/>
  <c r="FX292" i="33"/>
  <c r="FW292" i="33"/>
  <c r="FV292" i="33"/>
  <c r="FU292" i="33"/>
  <c r="FT292" i="33"/>
  <c r="FS292" i="33"/>
  <c r="FR292" i="33"/>
  <c r="FQ292" i="33"/>
  <c r="FP292" i="33"/>
  <c r="FO292" i="33"/>
  <c r="FN292" i="33"/>
  <c r="FM292" i="33"/>
  <c r="FL292" i="33"/>
  <c r="FK292" i="33"/>
  <c r="FJ292" i="33"/>
  <c r="FI292" i="33"/>
  <c r="FH292" i="33"/>
  <c r="FG292" i="33"/>
  <c r="FF292" i="33"/>
  <c r="FE292" i="33"/>
  <c r="FD292" i="33"/>
  <c r="FC292" i="33"/>
  <c r="FB292" i="33"/>
  <c r="FA292" i="33"/>
  <c r="EZ292" i="33"/>
  <c r="EY292" i="33"/>
  <c r="EX292" i="33"/>
  <c r="EW292" i="33"/>
  <c r="EV292" i="33"/>
  <c r="EU292" i="33"/>
  <c r="ET292" i="33"/>
  <c r="ES292" i="33"/>
  <c r="ER292" i="33"/>
  <c r="EQ292" i="33"/>
  <c r="EP292" i="33"/>
  <c r="EO292" i="33"/>
  <c r="EN292" i="33"/>
  <c r="EM292" i="33"/>
  <c r="EL292" i="33"/>
  <c r="EK292" i="33"/>
  <c r="EJ292" i="33"/>
  <c r="EI292" i="33"/>
  <c r="EH292" i="33"/>
  <c r="EG292" i="33"/>
  <c r="EF292" i="33"/>
  <c r="EE292" i="33"/>
  <c r="ED292" i="33"/>
  <c r="EC292" i="33"/>
  <c r="EB292" i="33"/>
  <c r="EA292" i="33"/>
  <c r="DZ292" i="33"/>
  <c r="DY292" i="33"/>
  <c r="DX292" i="33"/>
  <c r="DW292" i="33"/>
  <c r="DV292" i="33"/>
  <c r="DU292" i="33"/>
  <c r="DT292" i="33"/>
  <c r="DS292" i="33"/>
  <c r="DR292" i="33"/>
  <c r="DQ292" i="33"/>
  <c r="DP292" i="33"/>
  <c r="DO292" i="33"/>
  <c r="DN292" i="33"/>
  <c r="DM292" i="33"/>
  <c r="DL292" i="33"/>
  <c r="DK292" i="33"/>
  <c r="DJ292" i="33"/>
  <c r="DI292" i="33"/>
  <c r="DH292" i="33"/>
  <c r="DG292" i="33"/>
  <c r="DF292" i="33"/>
  <c r="DE292" i="33"/>
  <c r="DD292" i="33"/>
  <c r="DC292" i="33"/>
  <c r="DB292" i="33"/>
  <c r="DA292" i="33"/>
  <c r="CZ292" i="33"/>
  <c r="CY292" i="33"/>
  <c r="CX292" i="33"/>
  <c r="CW292" i="33"/>
  <c r="CV292" i="33"/>
  <c r="CU292" i="33"/>
  <c r="CT292" i="33"/>
  <c r="CS292" i="33"/>
  <c r="CR292" i="33"/>
  <c r="CQ292" i="33"/>
  <c r="CP292" i="33"/>
  <c r="CO292" i="33"/>
  <c r="CN292" i="33"/>
  <c r="CM292" i="33"/>
  <c r="CL292" i="33"/>
  <c r="CK292" i="33"/>
  <c r="CJ292" i="33"/>
  <c r="CI292" i="33"/>
  <c r="CH292" i="33"/>
  <c r="CG292" i="33"/>
  <c r="CF292" i="33"/>
  <c r="CE292" i="33"/>
  <c r="CD292" i="33"/>
  <c r="CC292" i="33"/>
  <c r="CB292" i="33"/>
  <c r="CA292" i="33"/>
  <c r="BZ292" i="33"/>
  <c r="BY292" i="33"/>
  <c r="BX292" i="33"/>
  <c r="BW292" i="33"/>
  <c r="BV292" i="33"/>
  <c r="BU292" i="33"/>
  <c r="BT292" i="33"/>
  <c r="BS292" i="33"/>
  <c r="BR292" i="33"/>
  <c r="BQ292" i="33"/>
  <c r="BP292" i="33"/>
  <c r="BO292" i="33"/>
  <c r="BN292" i="33"/>
  <c r="BM292" i="33"/>
  <c r="BL292" i="33"/>
  <c r="BK292" i="33"/>
  <c r="BJ292" i="33"/>
  <c r="BI292" i="33"/>
  <c r="BH292" i="33"/>
  <c r="BG292" i="33"/>
  <c r="BF292" i="33"/>
  <c r="BE292" i="33"/>
  <c r="BD292" i="33"/>
  <c r="BC292" i="33"/>
  <c r="BB292" i="33"/>
  <c r="BA292" i="33"/>
  <c r="AZ292" i="33"/>
  <c r="AY292" i="33"/>
  <c r="AX292" i="33"/>
  <c r="AW292" i="33"/>
  <c r="AV292" i="33"/>
  <c r="AU292" i="33"/>
  <c r="AT292" i="33"/>
  <c r="AS292" i="33"/>
  <c r="AR292" i="33"/>
  <c r="AQ292" i="33"/>
  <c r="AP292" i="33"/>
  <c r="AO292" i="33"/>
  <c r="AN292" i="33"/>
  <c r="AM292" i="33"/>
  <c r="AL292" i="33"/>
  <c r="AK292" i="33"/>
  <c r="AJ292" i="33"/>
  <c r="AI292" i="33"/>
  <c r="AH292" i="33"/>
  <c r="AG292" i="33"/>
  <c r="AF292" i="33"/>
  <c r="AE292" i="33"/>
  <c r="AD292" i="33"/>
  <c r="AC292" i="33"/>
  <c r="AB292" i="33"/>
  <c r="AA292" i="33"/>
  <c r="Z292" i="33"/>
  <c r="Y292" i="33"/>
  <c r="X292" i="33"/>
  <c r="W292" i="33"/>
  <c r="V292" i="33"/>
  <c r="U292" i="33"/>
  <c r="T292" i="33"/>
  <c r="S292" i="33"/>
  <c r="R292" i="33"/>
  <c r="Q292" i="33"/>
  <c r="P292" i="33"/>
  <c r="O292" i="33"/>
  <c r="N292" i="33"/>
  <c r="M292" i="33"/>
  <c r="L292" i="33"/>
  <c r="K292" i="33"/>
  <c r="J292" i="33"/>
  <c r="I292" i="33"/>
  <c r="H292" i="33"/>
  <c r="G292" i="33"/>
  <c r="F292" i="33"/>
  <c r="E292" i="33"/>
  <c r="D292" i="33"/>
  <c r="C292" i="33"/>
  <c r="B292" i="33"/>
  <c r="A292" i="33"/>
  <c r="IV291" i="33"/>
  <c r="IU291" i="33"/>
  <c r="IT291" i="33"/>
  <c r="IS291" i="33"/>
  <c r="IR291" i="33"/>
  <c r="IQ291" i="33"/>
  <c r="IP291" i="33"/>
  <c r="IO291" i="33"/>
  <c r="IN291" i="33"/>
  <c r="IM291" i="33"/>
  <c r="IL291" i="33"/>
  <c r="IK291" i="33"/>
  <c r="IJ291" i="33"/>
  <c r="II291" i="33"/>
  <c r="IH291" i="33"/>
  <c r="IG291" i="33"/>
  <c r="IF291" i="33"/>
  <c r="IE291" i="33"/>
  <c r="ID291" i="33"/>
  <c r="IC291" i="33"/>
  <c r="IB291" i="33"/>
  <c r="IA291" i="33"/>
  <c r="HZ291" i="33"/>
  <c r="HY291" i="33"/>
  <c r="HX291" i="33"/>
  <c r="HW291" i="33"/>
  <c r="HV291" i="33"/>
  <c r="HU291" i="33"/>
  <c r="HT291" i="33"/>
  <c r="HS291" i="33"/>
  <c r="HR291" i="33"/>
  <c r="HQ291" i="33"/>
  <c r="HP291" i="33"/>
  <c r="HO291" i="33"/>
  <c r="HN291" i="33"/>
  <c r="HM291" i="33"/>
  <c r="HL291" i="33"/>
  <c r="HK291" i="33"/>
  <c r="HJ291" i="33"/>
  <c r="HI291" i="33"/>
  <c r="HH291" i="33"/>
  <c r="HG291" i="33"/>
  <c r="HF291" i="33"/>
  <c r="HE291" i="33"/>
  <c r="HD291" i="33"/>
  <c r="HC291" i="33"/>
  <c r="HB291" i="33"/>
  <c r="HA291" i="33"/>
  <c r="GZ291" i="33"/>
  <c r="GY291" i="33"/>
  <c r="GX291" i="33"/>
  <c r="GW291" i="33"/>
  <c r="GV291" i="33"/>
  <c r="GU291" i="33"/>
  <c r="GT291" i="33"/>
  <c r="GS291" i="33"/>
  <c r="GR291" i="33"/>
  <c r="GQ291" i="33"/>
  <c r="GP291" i="33"/>
  <c r="GO291" i="33"/>
  <c r="GN291" i="33"/>
  <c r="GM291" i="33"/>
  <c r="GL291" i="33"/>
  <c r="GK291" i="33"/>
  <c r="GJ291" i="33"/>
  <c r="GI291" i="33"/>
  <c r="GH291" i="33"/>
  <c r="GG291" i="33"/>
  <c r="GF291" i="33"/>
  <c r="GE291" i="33"/>
  <c r="GD291" i="33"/>
  <c r="GC291" i="33"/>
  <c r="GB291" i="33"/>
  <c r="GA291" i="33"/>
  <c r="FZ291" i="33"/>
  <c r="FY291" i="33"/>
  <c r="FX291" i="33"/>
  <c r="FW291" i="33"/>
  <c r="FV291" i="33"/>
  <c r="FU291" i="33"/>
  <c r="FT291" i="33"/>
  <c r="FS291" i="33"/>
  <c r="FR291" i="33"/>
  <c r="FQ291" i="33"/>
  <c r="FP291" i="33"/>
  <c r="FO291" i="33"/>
  <c r="FN291" i="33"/>
  <c r="FM291" i="33"/>
  <c r="FL291" i="33"/>
  <c r="FK291" i="33"/>
  <c r="FJ291" i="33"/>
  <c r="FI291" i="33"/>
  <c r="FH291" i="33"/>
  <c r="FG291" i="33"/>
  <c r="FF291" i="33"/>
  <c r="FE291" i="33"/>
  <c r="FD291" i="33"/>
  <c r="FC291" i="33"/>
  <c r="FB291" i="33"/>
  <c r="FA291" i="33"/>
  <c r="EZ291" i="33"/>
  <c r="EY291" i="33"/>
  <c r="EX291" i="33"/>
  <c r="EW291" i="33"/>
  <c r="EV291" i="33"/>
  <c r="EU291" i="33"/>
  <c r="ET291" i="33"/>
  <c r="ES291" i="33"/>
  <c r="ER291" i="33"/>
  <c r="EQ291" i="33"/>
  <c r="EP291" i="33"/>
  <c r="EO291" i="33"/>
  <c r="EN291" i="33"/>
  <c r="EM291" i="33"/>
  <c r="EL291" i="33"/>
  <c r="EK291" i="33"/>
  <c r="EJ291" i="33"/>
  <c r="EI291" i="33"/>
  <c r="EH291" i="33"/>
  <c r="EG291" i="33"/>
  <c r="EF291" i="33"/>
  <c r="EE291" i="33"/>
  <c r="ED291" i="33"/>
  <c r="EC291" i="33"/>
  <c r="EB291" i="33"/>
  <c r="EA291" i="33"/>
  <c r="DZ291" i="33"/>
  <c r="DY291" i="33"/>
  <c r="DX291" i="33"/>
  <c r="DW291" i="33"/>
  <c r="DV291" i="33"/>
  <c r="DU291" i="33"/>
  <c r="DT291" i="33"/>
  <c r="DS291" i="33"/>
  <c r="DR291" i="33"/>
  <c r="DQ291" i="33"/>
  <c r="DP291" i="33"/>
  <c r="DO291" i="33"/>
  <c r="DN291" i="33"/>
  <c r="DM291" i="33"/>
  <c r="DL291" i="33"/>
  <c r="DK291" i="33"/>
  <c r="DJ291" i="33"/>
  <c r="DI291" i="33"/>
  <c r="DH291" i="33"/>
  <c r="DG291" i="33"/>
  <c r="DF291" i="33"/>
  <c r="DE291" i="33"/>
  <c r="DD291" i="33"/>
  <c r="DC291" i="33"/>
  <c r="DB291" i="33"/>
  <c r="DA291" i="33"/>
  <c r="CZ291" i="33"/>
  <c r="CY291" i="33"/>
  <c r="CX291" i="33"/>
  <c r="CW291" i="33"/>
  <c r="CV291" i="33"/>
  <c r="CU291" i="33"/>
  <c r="CT291" i="33"/>
  <c r="CS291" i="33"/>
  <c r="CR291" i="33"/>
  <c r="CQ291" i="33"/>
  <c r="CP291" i="33"/>
  <c r="CO291" i="33"/>
  <c r="CN291" i="33"/>
  <c r="CM291" i="33"/>
  <c r="CL291" i="33"/>
  <c r="CK291" i="33"/>
  <c r="CJ291" i="33"/>
  <c r="CI291" i="33"/>
  <c r="CH291" i="33"/>
  <c r="CG291" i="33"/>
  <c r="CF291" i="33"/>
  <c r="CE291" i="33"/>
  <c r="CD291" i="33"/>
  <c r="CC291" i="33"/>
  <c r="CB291" i="33"/>
  <c r="CA291" i="33"/>
  <c r="BZ291" i="33"/>
  <c r="BY291" i="33"/>
  <c r="BX291" i="33"/>
  <c r="BW291" i="33"/>
  <c r="BV291" i="33"/>
  <c r="BU291" i="33"/>
  <c r="BT291" i="33"/>
  <c r="BS291" i="33"/>
  <c r="BR291" i="33"/>
  <c r="BQ291" i="33"/>
  <c r="BP291" i="33"/>
  <c r="BO291" i="33"/>
  <c r="BN291" i="33"/>
  <c r="BM291" i="33"/>
  <c r="BL291" i="33"/>
  <c r="BK291" i="33"/>
  <c r="BJ291" i="33"/>
  <c r="BI291" i="33"/>
  <c r="BH291" i="33"/>
  <c r="BG291" i="33"/>
  <c r="BF291" i="33"/>
  <c r="BE291" i="33"/>
  <c r="BD291" i="33"/>
  <c r="BC291" i="33"/>
  <c r="BB291" i="33"/>
  <c r="BA291" i="33"/>
  <c r="AZ291" i="33"/>
  <c r="AY291" i="33"/>
  <c r="AX291" i="33"/>
  <c r="AW291" i="33"/>
  <c r="AV291" i="33"/>
  <c r="AU291" i="33"/>
  <c r="AT291" i="33"/>
  <c r="AS291" i="33"/>
  <c r="AR291" i="33"/>
  <c r="AQ291" i="33"/>
  <c r="AP291" i="33"/>
  <c r="AO291" i="33"/>
  <c r="AN291" i="33"/>
  <c r="AM291" i="33"/>
  <c r="AL291" i="33"/>
  <c r="AK291" i="33"/>
  <c r="AJ291" i="33"/>
  <c r="AI291" i="33"/>
  <c r="AH291" i="33"/>
  <c r="AG291" i="33"/>
  <c r="AF291" i="33"/>
  <c r="AE291" i="33"/>
  <c r="AD291" i="33"/>
  <c r="AC291" i="33"/>
  <c r="AB291" i="33"/>
  <c r="AA291" i="33"/>
  <c r="Z291" i="33"/>
  <c r="Y291" i="33"/>
  <c r="X291" i="33"/>
  <c r="W291" i="33"/>
  <c r="V291" i="33"/>
  <c r="U291" i="33"/>
  <c r="T291" i="33"/>
  <c r="S291" i="33"/>
  <c r="R291" i="33"/>
  <c r="Q291" i="33"/>
  <c r="P291" i="33"/>
  <c r="O291" i="33"/>
  <c r="N291" i="33"/>
  <c r="M291" i="33"/>
  <c r="L291" i="33"/>
  <c r="K291" i="33"/>
  <c r="J291" i="33"/>
  <c r="I291" i="33"/>
  <c r="H291" i="33"/>
  <c r="G291" i="33"/>
  <c r="F291" i="33"/>
  <c r="E291" i="33"/>
  <c r="D291" i="33"/>
  <c r="C291" i="33"/>
  <c r="B291" i="33"/>
  <c r="A291" i="33"/>
  <c r="IV290" i="33"/>
  <c r="IU290" i="33"/>
  <c r="IT290" i="33"/>
  <c r="IS290" i="33"/>
  <c r="IR290" i="33"/>
  <c r="IQ290" i="33"/>
  <c r="IP290" i="33"/>
  <c r="IO290" i="33"/>
  <c r="IN290" i="33"/>
  <c r="IM290" i="33"/>
  <c r="IL290" i="33"/>
  <c r="IK290" i="33"/>
  <c r="IJ290" i="33"/>
  <c r="II290" i="33"/>
  <c r="IH290" i="33"/>
  <c r="IG290" i="33"/>
  <c r="IF290" i="33"/>
  <c r="IE290" i="33"/>
  <c r="ID290" i="33"/>
  <c r="IC290" i="33"/>
  <c r="IB290" i="33"/>
  <c r="IA290" i="33"/>
  <c r="HZ290" i="33"/>
  <c r="HY290" i="33"/>
  <c r="HX290" i="33"/>
  <c r="HW290" i="33"/>
  <c r="HV290" i="33"/>
  <c r="HU290" i="33"/>
  <c r="HT290" i="33"/>
  <c r="HS290" i="33"/>
  <c r="HR290" i="33"/>
  <c r="HQ290" i="33"/>
  <c r="HP290" i="33"/>
  <c r="HO290" i="33"/>
  <c r="HN290" i="33"/>
  <c r="HM290" i="33"/>
  <c r="HL290" i="33"/>
  <c r="HK290" i="33"/>
  <c r="HJ290" i="33"/>
  <c r="HI290" i="33"/>
  <c r="HH290" i="33"/>
  <c r="HG290" i="33"/>
  <c r="HF290" i="33"/>
  <c r="HE290" i="33"/>
  <c r="HD290" i="33"/>
  <c r="HC290" i="33"/>
  <c r="HB290" i="33"/>
  <c r="HA290" i="33"/>
  <c r="GZ290" i="33"/>
  <c r="GY290" i="33"/>
  <c r="GX290" i="33"/>
  <c r="GW290" i="33"/>
  <c r="GV290" i="33"/>
  <c r="GU290" i="33"/>
  <c r="GT290" i="33"/>
  <c r="GS290" i="33"/>
  <c r="GR290" i="33"/>
  <c r="GQ290" i="33"/>
  <c r="GP290" i="33"/>
  <c r="GO290" i="33"/>
  <c r="GN290" i="33"/>
  <c r="GM290" i="33"/>
  <c r="GL290" i="33"/>
  <c r="GK290" i="33"/>
  <c r="GJ290" i="33"/>
  <c r="GI290" i="33"/>
  <c r="GH290" i="33"/>
  <c r="GG290" i="33"/>
  <c r="GF290" i="33"/>
  <c r="GE290" i="33"/>
  <c r="GD290" i="33"/>
  <c r="GC290" i="33"/>
  <c r="GB290" i="33"/>
  <c r="GA290" i="33"/>
  <c r="FZ290" i="33"/>
  <c r="FY290" i="33"/>
  <c r="FX290" i="33"/>
  <c r="FW290" i="33"/>
  <c r="FV290" i="33"/>
  <c r="FU290" i="33"/>
  <c r="FT290" i="33"/>
  <c r="FS290" i="33"/>
  <c r="FR290" i="33"/>
  <c r="FQ290" i="33"/>
  <c r="FP290" i="33"/>
  <c r="FO290" i="33"/>
  <c r="FN290" i="33"/>
  <c r="FM290" i="33"/>
  <c r="FL290" i="33"/>
  <c r="FK290" i="33"/>
  <c r="FJ290" i="33"/>
  <c r="FI290" i="33"/>
  <c r="FH290" i="33"/>
  <c r="FG290" i="33"/>
  <c r="FF290" i="33"/>
  <c r="FE290" i="33"/>
  <c r="FD290" i="33"/>
  <c r="FC290" i="33"/>
  <c r="FB290" i="33"/>
  <c r="FA290" i="33"/>
  <c r="EZ290" i="33"/>
  <c r="EY290" i="33"/>
  <c r="EX290" i="33"/>
  <c r="EW290" i="33"/>
  <c r="EV290" i="33"/>
  <c r="EU290" i="33"/>
  <c r="ET290" i="33"/>
  <c r="ES290" i="33"/>
  <c r="ER290" i="33"/>
  <c r="EQ290" i="33"/>
  <c r="EP290" i="33"/>
  <c r="EO290" i="33"/>
  <c r="EN290" i="33"/>
  <c r="EM290" i="33"/>
  <c r="EL290" i="33"/>
  <c r="EK290" i="33"/>
  <c r="EJ290" i="33"/>
  <c r="EI290" i="33"/>
  <c r="EH290" i="33"/>
  <c r="EG290" i="33"/>
  <c r="EF290" i="33"/>
  <c r="EE290" i="33"/>
  <c r="ED290" i="33"/>
  <c r="EC290" i="33"/>
  <c r="EB290" i="33"/>
  <c r="EA290" i="33"/>
  <c r="DZ290" i="33"/>
  <c r="DY290" i="33"/>
  <c r="DX290" i="33"/>
  <c r="DW290" i="33"/>
  <c r="DV290" i="33"/>
  <c r="DU290" i="33"/>
  <c r="DT290" i="33"/>
  <c r="DS290" i="33"/>
  <c r="DR290" i="33"/>
  <c r="DQ290" i="33"/>
  <c r="DP290" i="33"/>
  <c r="DO290" i="33"/>
  <c r="DN290" i="33"/>
  <c r="DM290" i="33"/>
  <c r="DL290" i="33"/>
  <c r="DK290" i="33"/>
  <c r="DJ290" i="33"/>
  <c r="DI290" i="33"/>
  <c r="DH290" i="33"/>
  <c r="DG290" i="33"/>
  <c r="DF290" i="33"/>
  <c r="DE290" i="33"/>
  <c r="DD290" i="33"/>
  <c r="DC290" i="33"/>
  <c r="DB290" i="33"/>
  <c r="DA290" i="33"/>
  <c r="CZ290" i="33"/>
  <c r="CY290" i="33"/>
  <c r="CX290" i="33"/>
  <c r="CW290" i="33"/>
  <c r="CV290" i="33"/>
  <c r="CU290" i="33"/>
  <c r="CT290" i="33"/>
  <c r="CS290" i="33"/>
  <c r="CR290" i="33"/>
  <c r="CQ290" i="33"/>
  <c r="CP290" i="33"/>
  <c r="CO290" i="33"/>
  <c r="CN290" i="33"/>
  <c r="CM290" i="33"/>
  <c r="CL290" i="33"/>
  <c r="CK290" i="33"/>
  <c r="CJ290" i="33"/>
  <c r="CI290" i="33"/>
  <c r="CH290" i="33"/>
  <c r="CG290" i="33"/>
  <c r="CF290" i="33"/>
  <c r="CE290" i="33"/>
  <c r="CD290" i="33"/>
  <c r="CC290" i="33"/>
  <c r="CB290" i="33"/>
  <c r="CA290" i="33"/>
  <c r="BZ290" i="33"/>
  <c r="BY290" i="33"/>
  <c r="BX290" i="33"/>
  <c r="BW290" i="33"/>
  <c r="BV290" i="33"/>
  <c r="BU290" i="33"/>
  <c r="BT290" i="33"/>
  <c r="BS290" i="33"/>
  <c r="BR290" i="33"/>
  <c r="BQ290" i="33"/>
  <c r="BP290" i="33"/>
  <c r="BO290" i="33"/>
  <c r="BN290" i="33"/>
  <c r="BM290" i="33"/>
  <c r="BL290" i="33"/>
  <c r="BK290" i="33"/>
  <c r="BJ290" i="33"/>
  <c r="BI290" i="33"/>
  <c r="BH290" i="33"/>
  <c r="BG290" i="33"/>
  <c r="BF290" i="33"/>
  <c r="BE290" i="33"/>
  <c r="BD290" i="33"/>
  <c r="BC290" i="33"/>
  <c r="BB290" i="33"/>
  <c r="BA290" i="33"/>
  <c r="AZ290" i="33"/>
  <c r="AY290" i="33"/>
  <c r="AX290" i="33"/>
  <c r="AW290" i="33"/>
  <c r="AV290" i="33"/>
  <c r="AU290" i="33"/>
  <c r="AT290" i="33"/>
  <c r="AS290" i="33"/>
  <c r="AR290" i="33"/>
  <c r="AQ290" i="33"/>
  <c r="AP290" i="33"/>
  <c r="AO290" i="33"/>
  <c r="AN290" i="33"/>
  <c r="AM290" i="33"/>
  <c r="AL290" i="33"/>
  <c r="AK290" i="33"/>
  <c r="AJ290" i="33"/>
  <c r="AI290" i="33"/>
  <c r="AH290" i="33"/>
  <c r="AG290" i="33"/>
  <c r="AF290" i="33"/>
  <c r="AE290" i="33"/>
  <c r="AD290" i="33"/>
  <c r="AC290" i="33"/>
  <c r="AB290" i="33"/>
  <c r="AA290" i="33"/>
  <c r="Z290" i="33"/>
  <c r="Y290" i="33"/>
  <c r="X290" i="33"/>
  <c r="W290" i="33"/>
  <c r="V290" i="33"/>
  <c r="U290" i="33"/>
  <c r="T290" i="33"/>
  <c r="S290" i="33"/>
  <c r="R290" i="33"/>
  <c r="Q290" i="33"/>
  <c r="P290" i="33"/>
  <c r="O290" i="33"/>
  <c r="N290" i="33"/>
  <c r="M290" i="33"/>
  <c r="L290" i="33"/>
  <c r="K290" i="33"/>
  <c r="J290" i="33"/>
  <c r="I290" i="33"/>
  <c r="H290" i="33"/>
  <c r="G290" i="33"/>
  <c r="F290" i="33"/>
  <c r="E290" i="33"/>
  <c r="D290" i="33"/>
  <c r="C290" i="33"/>
  <c r="B290" i="33"/>
  <c r="A290" i="33"/>
  <c r="IV289" i="33"/>
  <c r="IU289" i="33"/>
  <c r="IT289" i="33"/>
  <c r="IS289" i="33"/>
  <c r="IR289" i="33"/>
  <c r="IQ289" i="33"/>
  <c r="IP289" i="33"/>
  <c r="IO289" i="33"/>
  <c r="IN289" i="33"/>
  <c r="IM289" i="33"/>
  <c r="IL289" i="33"/>
  <c r="IK289" i="33"/>
  <c r="IJ289" i="33"/>
  <c r="II289" i="33"/>
  <c r="IH289" i="33"/>
  <c r="IG289" i="33"/>
  <c r="IF289" i="33"/>
  <c r="IE289" i="33"/>
  <c r="ID289" i="33"/>
  <c r="IC289" i="33"/>
  <c r="IB289" i="33"/>
  <c r="IA289" i="33"/>
  <c r="HZ289" i="33"/>
  <c r="HY289" i="33"/>
  <c r="HX289" i="33"/>
  <c r="HW289" i="33"/>
  <c r="HV289" i="33"/>
  <c r="HU289" i="33"/>
  <c r="HT289" i="33"/>
  <c r="HS289" i="33"/>
  <c r="HR289" i="33"/>
  <c r="HQ289" i="33"/>
  <c r="HP289" i="33"/>
  <c r="HO289" i="33"/>
  <c r="HN289" i="33"/>
  <c r="HM289" i="33"/>
  <c r="HL289" i="33"/>
  <c r="HK289" i="33"/>
  <c r="HJ289" i="33"/>
  <c r="HI289" i="33"/>
  <c r="HH289" i="33"/>
  <c r="HG289" i="33"/>
  <c r="HF289" i="33"/>
  <c r="HE289" i="33"/>
  <c r="HD289" i="33"/>
  <c r="HC289" i="33"/>
  <c r="HB289" i="33"/>
  <c r="HA289" i="33"/>
  <c r="GZ289" i="33"/>
  <c r="GY289" i="33"/>
  <c r="GX289" i="33"/>
  <c r="GW289" i="33"/>
  <c r="GV289" i="33"/>
  <c r="GU289" i="33"/>
  <c r="GT289" i="33"/>
  <c r="GS289" i="33"/>
  <c r="GR289" i="33"/>
  <c r="GQ289" i="33"/>
  <c r="GP289" i="33"/>
  <c r="GO289" i="33"/>
  <c r="GN289" i="33"/>
  <c r="GM289" i="33"/>
  <c r="GL289" i="33"/>
  <c r="GK289" i="33"/>
  <c r="GJ289" i="33"/>
  <c r="GI289" i="33"/>
  <c r="GH289" i="33"/>
  <c r="GG289" i="33"/>
  <c r="GF289" i="33"/>
  <c r="GE289" i="33"/>
  <c r="GD289" i="33"/>
  <c r="GC289" i="33"/>
  <c r="GB289" i="33"/>
  <c r="GA289" i="33"/>
  <c r="FZ289" i="33"/>
  <c r="FY289" i="33"/>
  <c r="FX289" i="33"/>
  <c r="FW289" i="33"/>
  <c r="FV289" i="33"/>
  <c r="FU289" i="33"/>
  <c r="FT289" i="33"/>
  <c r="FS289" i="33"/>
  <c r="FR289" i="33"/>
  <c r="FQ289" i="33"/>
  <c r="FP289" i="33"/>
  <c r="FO289" i="33"/>
  <c r="FN289" i="33"/>
  <c r="FM289" i="33"/>
  <c r="FL289" i="33"/>
  <c r="FK289" i="33"/>
  <c r="FJ289" i="33"/>
  <c r="FI289" i="33"/>
  <c r="FH289" i="33"/>
  <c r="FG289" i="33"/>
  <c r="FF289" i="33"/>
  <c r="FE289" i="33"/>
  <c r="FD289" i="33"/>
  <c r="FC289" i="33"/>
  <c r="FB289" i="33"/>
  <c r="FA289" i="33"/>
  <c r="EZ289" i="33"/>
  <c r="EY289" i="33"/>
  <c r="EX289" i="33"/>
  <c r="EW289" i="33"/>
  <c r="EV289" i="33"/>
  <c r="EU289" i="33"/>
  <c r="ET289" i="33"/>
  <c r="ES289" i="33"/>
  <c r="ER289" i="33"/>
  <c r="EQ289" i="33"/>
  <c r="EP289" i="33"/>
  <c r="EO289" i="33"/>
  <c r="EN289" i="33"/>
  <c r="EM289" i="33"/>
  <c r="EL289" i="33"/>
  <c r="EK289" i="33"/>
  <c r="EJ289" i="33"/>
  <c r="EI289" i="33"/>
  <c r="EH289" i="33"/>
  <c r="EG289" i="33"/>
  <c r="EF289" i="33"/>
  <c r="EE289" i="33"/>
  <c r="ED289" i="33"/>
  <c r="EC289" i="33"/>
  <c r="EB289" i="33"/>
  <c r="EA289" i="33"/>
  <c r="DZ289" i="33"/>
  <c r="DY289" i="33"/>
  <c r="DX289" i="33"/>
  <c r="DW289" i="33"/>
  <c r="DV289" i="33"/>
  <c r="DU289" i="33"/>
  <c r="DT289" i="33"/>
  <c r="DS289" i="33"/>
  <c r="DR289" i="33"/>
  <c r="DQ289" i="33"/>
  <c r="DP289" i="33"/>
  <c r="DO289" i="33"/>
  <c r="DN289" i="33"/>
  <c r="DM289" i="33"/>
  <c r="DL289" i="33"/>
  <c r="DK289" i="33"/>
  <c r="DJ289" i="33"/>
  <c r="DI289" i="33"/>
  <c r="DH289" i="33"/>
  <c r="DG289" i="33"/>
  <c r="DF289" i="33"/>
  <c r="DE289" i="33"/>
  <c r="DD289" i="33"/>
  <c r="DC289" i="33"/>
  <c r="DB289" i="33"/>
  <c r="DA289" i="33"/>
  <c r="CZ289" i="33"/>
  <c r="CY289" i="33"/>
  <c r="CX289" i="33"/>
  <c r="CW289" i="33"/>
  <c r="CV289" i="33"/>
  <c r="CU289" i="33"/>
  <c r="CT289" i="33"/>
  <c r="CS289" i="33"/>
  <c r="CR289" i="33"/>
  <c r="CQ289" i="33"/>
  <c r="CP289" i="33"/>
  <c r="CO289" i="33"/>
  <c r="CN289" i="33"/>
  <c r="CM289" i="33"/>
  <c r="CL289" i="33"/>
  <c r="CK289" i="33"/>
  <c r="CJ289" i="33"/>
  <c r="CI289" i="33"/>
  <c r="CH289" i="33"/>
  <c r="CG289" i="33"/>
  <c r="CF289" i="33"/>
  <c r="CE289" i="33"/>
  <c r="CD289" i="33"/>
  <c r="CC289" i="33"/>
  <c r="CB289" i="33"/>
  <c r="CA289" i="33"/>
  <c r="BZ289" i="33"/>
  <c r="BY289" i="33"/>
  <c r="BX289" i="33"/>
  <c r="BW289" i="33"/>
  <c r="BV289" i="33"/>
  <c r="BU289" i="33"/>
  <c r="BT289" i="33"/>
  <c r="BS289" i="33"/>
  <c r="BR289" i="33"/>
  <c r="BQ289" i="33"/>
  <c r="BP289" i="33"/>
  <c r="BO289" i="33"/>
  <c r="BN289" i="33"/>
  <c r="BM289" i="33"/>
  <c r="BL289" i="33"/>
  <c r="BK289" i="33"/>
  <c r="BJ289" i="33"/>
  <c r="BI289" i="33"/>
  <c r="BH289" i="33"/>
  <c r="BG289" i="33"/>
  <c r="BF289" i="33"/>
  <c r="BE289" i="33"/>
  <c r="BD289" i="33"/>
  <c r="BC289" i="33"/>
  <c r="BB289" i="33"/>
  <c r="BA289" i="33"/>
  <c r="AZ289" i="33"/>
  <c r="AY289" i="33"/>
  <c r="AX289" i="33"/>
  <c r="AW289" i="33"/>
  <c r="AV289" i="33"/>
  <c r="AU289" i="33"/>
  <c r="AT289" i="33"/>
  <c r="AS289" i="33"/>
  <c r="AR289" i="33"/>
  <c r="AQ289" i="33"/>
  <c r="AP289" i="33"/>
  <c r="AO289" i="33"/>
  <c r="AN289" i="33"/>
  <c r="AM289" i="33"/>
  <c r="AL289" i="33"/>
  <c r="AK289" i="33"/>
  <c r="AJ289" i="33"/>
  <c r="AI289" i="33"/>
  <c r="AH289" i="33"/>
  <c r="AG289" i="33"/>
  <c r="AF289" i="33"/>
  <c r="AE289" i="33"/>
  <c r="AD289" i="33"/>
  <c r="AC289" i="33"/>
  <c r="AB289" i="33"/>
  <c r="AA289" i="33"/>
  <c r="Z289" i="33"/>
  <c r="Y289" i="33"/>
  <c r="X289" i="33"/>
  <c r="W289" i="33"/>
  <c r="V289" i="33"/>
  <c r="U289" i="33"/>
  <c r="T289" i="33"/>
  <c r="S289" i="33"/>
  <c r="R289" i="33"/>
  <c r="Q289" i="33"/>
  <c r="P289" i="33"/>
  <c r="O289" i="33"/>
  <c r="N289" i="33"/>
  <c r="M289" i="33"/>
  <c r="L289" i="33"/>
  <c r="K289" i="33"/>
  <c r="J289" i="33"/>
  <c r="I289" i="33"/>
  <c r="H289" i="33"/>
  <c r="G289" i="33"/>
  <c r="F289" i="33"/>
  <c r="E289" i="33"/>
  <c r="D289" i="33"/>
  <c r="C289" i="33"/>
  <c r="B289" i="33"/>
  <c r="A289" i="33"/>
  <c r="IV288" i="33"/>
  <c r="IU288" i="33"/>
  <c r="IT288" i="33"/>
  <c r="IS288" i="33"/>
  <c r="IR288" i="33"/>
  <c r="IQ288" i="33"/>
  <c r="IP288" i="33"/>
  <c r="IO288" i="33"/>
  <c r="IN288" i="33"/>
  <c r="IM288" i="33"/>
  <c r="IL288" i="33"/>
  <c r="IK288" i="33"/>
  <c r="IJ288" i="33"/>
  <c r="II288" i="33"/>
  <c r="IH288" i="33"/>
  <c r="IG288" i="33"/>
  <c r="IF288" i="33"/>
  <c r="IE288" i="33"/>
  <c r="ID288" i="33"/>
  <c r="IC288" i="33"/>
  <c r="IB288" i="33"/>
  <c r="IA288" i="33"/>
  <c r="HZ288" i="33"/>
  <c r="HY288" i="33"/>
  <c r="HX288" i="33"/>
  <c r="HW288" i="33"/>
  <c r="HV288" i="33"/>
  <c r="HU288" i="33"/>
  <c r="HT288" i="33"/>
  <c r="HS288" i="33"/>
  <c r="HR288" i="33"/>
  <c r="HQ288" i="33"/>
  <c r="HP288" i="33"/>
  <c r="HO288" i="33"/>
  <c r="HN288" i="33"/>
  <c r="HM288" i="33"/>
  <c r="HL288" i="33"/>
  <c r="HK288" i="33"/>
  <c r="HJ288" i="33"/>
  <c r="HI288" i="33"/>
  <c r="HH288" i="33"/>
  <c r="HG288" i="33"/>
  <c r="HF288" i="33"/>
  <c r="HE288" i="33"/>
  <c r="HD288" i="33"/>
  <c r="HC288" i="33"/>
  <c r="HB288" i="33"/>
  <c r="HA288" i="33"/>
  <c r="GZ288" i="33"/>
  <c r="GY288" i="33"/>
  <c r="GX288" i="33"/>
  <c r="GW288" i="33"/>
  <c r="GV288" i="33"/>
  <c r="GU288" i="33"/>
  <c r="GT288" i="33"/>
  <c r="GS288" i="33"/>
  <c r="GR288" i="33"/>
  <c r="GQ288" i="33"/>
  <c r="GP288" i="33"/>
  <c r="GO288" i="33"/>
  <c r="GN288" i="33"/>
  <c r="GM288" i="33"/>
  <c r="GL288" i="33"/>
  <c r="GK288" i="33"/>
  <c r="GJ288" i="33"/>
  <c r="GI288" i="33"/>
  <c r="GH288" i="33"/>
  <c r="GG288" i="33"/>
  <c r="GF288" i="33"/>
  <c r="GE288" i="33"/>
  <c r="GD288" i="33"/>
  <c r="GC288" i="33"/>
  <c r="GB288" i="33"/>
  <c r="GA288" i="33"/>
  <c r="FZ288" i="33"/>
  <c r="FY288" i="33"/>
  <c r="FX288" i="33"/>
  <c r="FW288" i="33"/>
  <c r="FV288" i="33"/>
  <c r="FU288" i="33"/>
  <c r="FT288" i="33"/>
  <c r="FS288" i="33"/>
  <c r="FR288" i="33"/>
  <c r="FQ288" i="33"/>
  <c r="FP288" i="33"/>
  <c r="FO288" i="33"/>
  <c r="FN288" i="33"/>
  <c r="FM288" i="33"/>
  <c r="FL288" i="33"/>
  <c r="FK288" i="33"/>
  <c r="FJ288" i="33"/>
  <c r="FI288" i="33"/>
  <c r="FH288" i="33"/>
  <c r="FG288" i="33"/>
  <c r="FF288" i="33"/>
  <c r="FE288" i="33"/>
  <c r="FD288" i="33"/>
  <c r="FC288" i="33"/>
  <c r="FB288" i="33"/>
  <c r="FA288" i="33"/>
  <c r="EZ288" i="33"/>
  <c r="EY288" i="33"/>
  <c r="EX288" i="33"/>
  <c r="EW288" i="33"/>
  <c r="EV288" i="33"/>
  <c r="EU288" i="33"/>
  <c r="ET288" i="33"/>
  <c r="ES288" i="33"/>
  <c r="ER288" i="33"/>
  <c r="EQ288" i="33"/>
  <c r="EP288" i="33"/>
  <c r="EO288" i="33"/>
  <c r="EN288" i="33"/>
  <c r="EM288" i="33"/>
  <c r="EL288" i="33"/>
  <c r="EK288" i="33"/>
  <c r="EJ288" i="33"/>
  <c r="EI288" i="33"/>
  <c r="EH288" i="33"/>
  <c r="EG288" i="33"/>
  <c r="EF288" i="33"/>
  <c r="EE288" i="33"/>
  <c r="ED288" i="33"/>
  <c r="EC288" i="33"/>
  <c r="EB288" i="33"/>
  <c r="EA288" i="33"/>
  <c r="DZ288" i="33"/>
  <c r="DY288" i="33"/>
  <c r="DX288" i="33"/>
  <c r="DW288" i="33"/>
  <c r="DV288" i="33"/>
  <c r="DU288" i="33"/>
  <c r="DT288" i="33"/>
  <c r="DS288" i="33"/>
  <c r="DR288" i="33"/>
  <c r="DQ288" i="33"/>
  <c r="DP288" i="33"/>
  <c r="DO288" i="33"/>
  <c r="DN288" i="33"/>
  <c r="DM288" i="33"/>
  <c r="DL288" i="33"/>
  <c r="DK288" i="33"/>
  <c r="DJ288" i="33"/>
  <c r="DI288" i="33"/>
  <c r="DH288" i="33"/>
  <c r="DG288" i="33"/>
  <c r="DF288" i="33"/>
  <c r="DE288" i="33"/>
  <c r="DD288" i="33"/>
  <c r="DC288" i="33"/>
  <c r="DB288" i="33"/>
  <c r="DA288" i="33"/>
  <c r="CZ288" i="33"/>
  <c r="CY288" i="33"/>
  <c r="CX288" i="33"/>
  <c r="CW288" i="33"/>
  <c r="CV288" i="33"/>
  <c r="CU288" i="33"/>
  <c r="CT288" i="33"/>
  <c r="CS288" i="33"/>
  <c r="CR288" i="33"/>
  <c r="CQ288" i="33"/>
  <c r="CP288" i="33"/>
  <c r="CO288" i="33"/>
  <c r="CN288" i="33"/>
  <c r="CM288" i="33"/>
  <c r="CL288" i="33"/>
  <c r="CK288" i="33"/>
  <c r="CJ288" i="33"/>
  <c r="CI288" i="33"/>
  <c r="CH288" i="33"/>
  <c r="CG288" i="33"/>
  <c r="CF288" i="33"/>
  <c r="CE288" i="33"/>
  <c r="CD288" i="33"/>
  <c r="CC288" i="33"/>
  <c r="CB288" i="33"/>
  <c r="CA288" i="33"/>
  <c r="BZ288" i="33"/>
  <c r="BY288" i="33"/>
  <c r="BX288" i="33"/>
  <c r="BW288" i="33"/>
  <c r="BV288" i="33"/>
  <c r="BU288" i="33"/>
  <c r="BT288" i="33"/>
  <c r="BS288" i="33"/>
  <c r="BR288" i="33"/>
  <c r="BQ288" i="33"/>
  <c r="BP288" i="33"/>
  <c r="BO288" i="33"/>
  <c r="BN288" i="33"/>
  <c r="BM288" i="33"/>
  <c r="BL288" i="33"/>
  <c r="BK288" i="33"/>
  <c r="BJ288" i="33"/>
  <c r="BI288" i="33"/>
  <c r="BH288" i="33"/>
  <c r="BG288" i="33"/>
  <c r="BF288" i="33"/>
  <c r="BE288" i="33"/>
  <c r="BD288" i="33"/>
  <c r="BC288" i="33"/>
  <c r="BB288" i="33"/>
  <c r="BA288" i="33"/>
  <c r="AZ288" i="33"/>
  <c r="AY288" i="33"/>
  <c r="AX288" i="33"/>
  <c r="AW288" i="33"/>
  <c r="AV288" i="33"/>
  <c r="AU288" i="33"/>
  <c r="AT288" i="33"/>
  <c r="AS288" i="33"/>
  <c r="AR288" i="33"/>
  <c r="AQ288" i="33"/>
  <c r="AP288" i="33"/>
  <c r="AO288" i="33"/>
  <c r="AN288" i="33"/>
  <c r="AM288" i="33"/>
  <c r="AL288" i="33"/>
  <c r="AK288" i="33"/>
  <c r="AJ288" i="33"/>
  <c r="AI288" i="33"/>
  <c r="AH288" i="33"/>
  <c r="AG288" i="33"/>
  <c r="AF288" i="33"/>
  <c r="AE288" i="33"/>
  <c r="AD288" i="33"/>
  <c r="AC288" i="33"/>
  <c r="AB288" i="33"/>
  <c r="AA288" i="33"/>
  <c r="Z288" i="33"/>
  <c r="Y288" i="33"/>
  <c r="X288" i="33"/>
  <c r="W288" i="33"/>
  <c r="V288" i="33"/>
  <c r="U288" i="33"/>
  <c r="T288" i="33"/>
  <c r="S288" i="33"/>
  <c r="R288" i="33"/>
  <c r="Q288" i="33"/>
  <c r="P288" i="33"/>
  <c r="O288" i="33"/>
  <c r="N288" i="33"/>
  <c r="M288" i="33"/>
  <c r="L288" i="33"/>
  <c r="K288" i="33"/>
  <c r="J288" i="33"/>
  <c r="I288" i="33"/>
  <c r="H288" i="33"/>
  <c r="G288" i="33"/>
  <c r="F288" i="33"/>
  <c r="E288" i="33"/>
  <c r="D288" i="33"/>
  <c r="C288" i="33"/>
  <c r="B288" i="33"/>
  <c r="A288" i="33"/>
  <c r="IV287" i="33"/>
  <c r="IU287" i="33"/>
  <c r="IT287" i="33"/>
  <c r="IS287" i="33"/>
  <c r="IR287" i="33"/>
  <c r="IQ287" i="33"/>
  <c r="IP287" i="33"/>
  <c r="IO287" i="33"/>
  <c r="IN287" i="33"/>
  <c r="IM287" i="33"/>
  <c r="IL287" i="33"/>
  <c r="IK287" i="33"/>
  <c r="IJ287" i="33"/>
  <c r="II287" i="33"/>
  <c r="IH287" i="33"/>
  <c r="IG287" i="33"/>
  <c r="IF287" i="33"/>
  <c r="IE287" i="33"/>
  <c r="ID287" i="33"/>
  <c r="IC287" i="33"/>
  <c r="IB287" i="33"/>
  <c r="IA287" i="33"/>
  <c r="HZ287" i="33"/>
  <c r="HY287" i="33"/>
  <c r="HX287" i="33"/>
  <c r="HW287" i="33"/>
  <c r="HV287" i="33"/>
  <c r="HU287" i="33"/>
  <c r="HT287" i="33"/>
  <c r="HS287" i="33"/>
  <c r="HR287" i="33"/>
  <c r="HQ287" i="33"/>
  <c r="HP287" i="33"/>
  <c r="HO287" i="33"/>
  <c r="HN287" i="33"/>
  <c r="HM287" i="33"/>
  <c r="HL287" i="33"/>
  <c r="HK287" i="33"/>
  <c r="HJ287" i="33"/>
  <c r="HI287" i="33"/>
  <c r="HH287" i="33"/>
  <c r="HG287" i="33"/>
  <c r="HF287" i="33"/>
  <c r="HE287" i="33"/>
  <c r="HD287" i="33"/>
  <c r="HC287" i="33"/>
  <c r="HB287" i="33"/>
  <c r="HA287" i="33"/>
  <c r="GZ287" i="33"/>
  <c r="GY287" i="33"/>
  <c r="GX287" i="33"/>
  <c r="GW287" i="33"/>
  <c r="GV287" i="33"/>
  <c r="GU287" i="33"/>
  <c r="GT287" i="33"/>
  <c r="GS287" i="33"/>
  <c r="GR287" i="33"/>
  <c r="GQ287" i="33"/>
  <c r="GP287" i="33"/>
  <c r="GO287" i="33"/>
  <c r="GN287" i="33"/>
  <c r="GM287" i="33"/>
  <c r="GL287" i="33"/>
  <c r="GK287" i="33"/>
  <c r="GJ287" i="33"/>
  <c r="GI287" i="33"/>
  <c r="GH287" i="33"/>
  <c r="GG287" i="33"/>
  <c r="GF287" i="33"/>
  <c r="GE287" i="33"/>
  <c r="GD287" i="33"/>
  <c r="GC287" i="33"/>
  <c r="GB287" i="33"/>
  <c r="GA287" i="33"/>
  <c r="FZ287" i="33"/>
  <c r="FY287" i="33"/>
  <c r="FX287" i="33"/>
  <c r="FW287" i="33"/>
  <c r="FV287" i="33"/>
  <c r="FU287" i="33"/>
  <c r="FT287" i="33"/>
  <c r="FS287" i="33"/>
  <c r="FR287" i="33"/>
  <c r="FQ287" i="33"/>
  <c r="FP287" i="33"/>
  <c r="FO287" i="33"/>
  <c r="FN287" i="33"/>
  <c r="FM287" i="33"/>
  <c r="FL287" i="33"/>
  <c r="FK287" i="33"/>
  <c r="FJ287" i="33"/>
  <c r="FI287" i="33"/>
  <c r="FH287" i="33"/>
  <c r="FG287" i="33"/>
  <c r="FF287" i="33"/>
  <c r="FE287" i="33"/>
  <c r="FD287" i="33"/>
  <c r="FC287" i="33"/>
  <c r="FB287" i="33"/>
  <c r="FA287" i="33"/>
  <c r="EZ287" i="33"/>
  <c r="EY287" i="33"/>
  <c r="EX287" i="33"/>
  <c r="EW287" i="33"/>
  <c r="EV287" i="33"/>
  <c r="EU287" i="33"/>
  <c r="ET287" i="33"/>
  <c r="ES287" i="33"/>
  <c r="ER287" i="33"/>
  <c r="EQ287" i="33"/>
  <c r="EP287" i="33"/>
  <c r="EO287" i="33"/>
  <c r="EN287" i="33"/>
  <c r="EM287" i="33"/>
  <c r="EL287" i="33"/>
  <c r="EK287" i="33"/>
  <c r="EJ287" i="33"/>
  <c r="EI287" i="33"/>
  <c r="EH287" i="33"/>
  <c r="EG287" i="33"/>
  <c r="EF287" i="33"/>
  <c r="EE287" i="33"/>
  <c r="ED287" i="33"/>
  <c r="EC287" i="33"/>
  <c r="EB287" i="33"/>
  <c r="EA287" i="33"/>
  <c r="DZ287" i="33"/>
  <c r="DY287" i="33"/>
  <c r="DX287" i="33"/>
  <c r="DW287" i="33"/>
  <c r="DV287" i="33"/>
  <c r="DU287" i="33"/>
  <c r="DT287" i="33"/>
  <c r="DS287" i="33"/>
  <c r="DR287" i="33"/>
  <c r="DQ287" i="33"/>
  <c r="DP287" i="33"/>
  <c r="DO287" i="33"/>
  <c r="DN287" i="33"/>
  <c r="DM287" i="33"/>
  <c r="DL287" i="33"/>
  <c r="DK287" i="33"/>
  <c r="DJ287" i="33"/>
  <c r="DI287" i="33"/>
  <c r="DH287" i="33"/>
  <c r="DG287" i="33"/>
  <c r="DF287" i="33"/>
  <c r="DE287" i="33"/>
  <c r="DD287" i="33"/>
  <c r="DC287" i="33"/>
  <c r="DB287" i="33"/>
  <c r="DA287" i="33"/>
  <c r="CZ287" i="33"/>
  <c r="CY287" i="33"/>
  <c r="CX287" i="33"/>
  <c r="CW287" i="33"/>
  <c r="CV287" i="33"/>
  <c r="CU287" i="33"/>
  <c r="CT287" i="33"/>
  <c r="CS287" i="33"/>
  <c r="CR287" i="33"/>
  <c r="CQ287" i="33"/>
  <c r="CP287" i="33"/>
  <c r="CO287" i="33"/>
  <c r="CN287" i="33"/>
  <c r="CM287" i="33"/>
  <c r="CL287" i="33"/>
  <c r="CK287" i="33"/>
  <c r="CJ287" i="33"/>
  <c r="CI287" i="33"/>
  <c r="CH287" i="33"/>
  <c r="CG287" i="33"/>
  <c r="CF287" i="33"/>
  <c r="CE287" i="33"/>
  <c r="CD287" i="33"/>
  <c r="CC287" i="33"/>
  <c r="CB287" i="33"/>
  <c r="CA287" i="33"/>
  <c r="BZ287" i="33"/>
  <c r="BY287" i="33"/>
  <c r="BX287" i="33"/>
  <c r="BW287" i="33"/>
  <c r="BV287" i="33"/>
  <c r="BU287" i="33"/>
  <c r="BT287" i="33"/>
  <c r="BS287" i="33"/>
  <c r="BR287" i="33"/>
  <c r="BQ287" i="33"/>
  <c r="BP287" i="33"/>
  <c r="BO287" i="33"/>
  <c r="BN287" i="33"/>
  <c r="BM287" i="33"/>
  <c r="BL287" i="33"/>
  <c r="BK287" i="33"/>
  <c r="BJ287" i="33"/>
  <c r="BI287" i="33"/>
  <c r="BH287" i="33"/>
  <c r="BG287" i="33"/>
  <c r="BF287" i="33"/>
  <c r="BE287" i="33"/>
  <c r="BD287" i="33"/>
  <c r="BC287" i="33"/>
  <c r="BB287" i="33"/>
  <c r="BA287" i="33"/>
  <c r="AZ287" i="33"/>
  <c r="AY287" i="33"/>
  <c r="AX287" i="33"/>
  <c r="AW287" i="33"/>
  <c r="AV287" i="33"/>
  <c r="AU287" i="33"/>
  <c r="AT287" i="33"/>
  <c r="AS287" i="33"/>
  <c r="AR287" i="33"/>
  <c r="AQ287" i="33"/>
  <c r="AP287" i="33"/>
  <c r="AO287" i="33"/>
  <c r="AN287" i="33"/>
  <c r="AM287" i="33"/>
  <c r="AL287" i="33"/>
  <c r="AK287" i="33"/>
  <c r="AJ287" i="33"/>
  <c r="AI287" i="33"/>
  <c r="AH287" i="33"/>
  <c r="AG287" i="33"/>
  <c r="AF287" i="33"/>
  <c r="AE287" i="33"/>
  <c r="AD287" i="33"/>
  <c r="AC287" i="33"/>
  <c r="AB287" i="33"/>
  <c r="AA287" i="33"/>
  <c r="Z287" i="33"/>
  <c r="Y287" i="33"/>
  <c r="X287" i="33"/>
  <c r="W287" i="33"/>
  <c r="V287" i="33"/>
  <c r="U287" i="33"/>
  <c r="T287" i="33"/>
  <c r="S287" i="33"/>
  <c r="R287" i="33"/>
  <c r="Q287" i="33"/>
  <c r="P287" i="33"/>
  <c r="O287" i="33"/>
  <c r="N287" i="33"/>
  <c r="M287" i="33"/>
  <c r="L287" i="33"/>
  <c r="K287" i="33"/>
  <c r="J287" i="33"/>
  <c r="I287" i="33"/>
  <c r="H287" i="33"/>
  <c r="G287" i="33"/>
  <c r="F287" i="33"/>
  <c r="E287" i="33"/>
  <c r="D287" i="33"/>
  <c r="C287" i="33"/>
  <c r="B287" i="33"/>
  <c r="A287" i="33"/>
  <c r="IV286" i="33"/>
  <c r="IU286" i="33"/>
  <c r="IT286" i="33"/>
  <c r="IS286" i="33"/>
  <c r="IR286" i="33"/>
  <c r="IQ286" i="33"/>
  <c r="IP286" i="33"/>
  <c r="IO286" i="33"/>
  <c r="IN286" i="33"/>
  <c r="IM286" i="33"/>
  <c r="IL286" i="33"/>
  <c r="IK286" i="33"/>
  <c r="IJ286" i="33"/>
  <c r="II286" i="33"/>
  <c r="IH286" i="33"/>
  <c r="IG286" i="33"/>
  <c r="IF286" i="33"/>
  <c r="IE286" i="33"/>
  <c r="ID286" i="33"/>
  <c r="IC286" i="33"/>
  <c r="IB286" i="33"/>
  <c r="IA286" i="33"/>
  <c r="HZ286" i="33"/>
  <c r="HY286" i="33"/>
  <c r="HX286" i="33"/>
  <c r="HW286" i="33"/>
  <c r="HV286" i="33"/>
  <c r="HU286" i="33"/>
  <c r="HT286" i="33"/>
  <c r="HS286" i="33"/>
  <c r="HR286" i="33"/>
  <c r="HQ286" i="33"/>
  <c r="HP286" i="33"/>
  <c r="HO286" i="33"/>
  <c r="HN286" i="33"/>
  <c r="HM286" i="33"/>
  <c r="HL286" i="33"/>
  <c r="HK286" i="33"/>
  <c r="HJ286" i="33"/>
  <c r="HI286" i="33"/>
  <c r="HH286" i="33"/>
  <c r="HG286" i="33"/>
  <c r="HF286" i="33"/>
  <c r="HE286" i="33"/>
  <c r="HD286" i="33"/>
  <c r="HC286" i="33"/>
  <c r="HB286" i="33"/>
  <c r="HA286" i="33"/>
  <c r="GZ286" i="33"/>
  <c r="GY286" i="33"/>
  <c r="GX286" i="33"/>
  <c r="GW286" i="33"/>
  <c r="GV286" i="33"/>
  <c r="GU286" i="33"/>
  <c r="GT286" i="33"/>
  <c r="GS286" i="33"/>
  <c r="GR286" i="33"/>
  <c r="GQ286" i="33"/>
  <c r="GP286" i="33"/>
  <c r="GO286" i="33"/>
  <c r="GN286" i="33"/>
  <c r="GM286" i="33"/>
  <c r="GL286" i="33"/>
  <c r="GK286" i="33"/>
  <c r="GJ286" i="33"/>
  <c r="GI286" i="33"/>
  <c r="GH286" i="33"/>
  <c r="GG286" i="33"/>
  <c r="GF286" i="33"/>
  <c r="GE286" i="33"/>
  <c r="GD286" i="33"/>
  <c r="GC286" i="33"/>
  <c r="GB286" i="33"/>
  <c r="GA286" i="33"/>
  <c r="FZ286" i="33"/>
  <c r="FY286" i="33"/>
  <c r="FX286" i="33"/>
  <c r="FW286" i="33"/>
  <c r="FV286" i="33"/>
  <c r="FU286" i="33"/>
  <c r="FT286" i="33"/>
  <c r="FS286" i="33"/>
  <c r="FR286" i="33"/>
  <c r="FQ286" i="33"/>
  <c r="FP286" i="33"/>
  <c r="FO286" i="33"/>
  <c r="FN286" i="33"/>
  <c r="FM286" i="33"/>
  <c r="FL286" i="33"/>
  <c r="FK286" i="33"/>
  <c r="FJ286" i="33"/>
  <c r="FI286" i="33"/>
  <c r="FH286" i="33"/>
  <c r="FG286" i="33"/>
  <c r="FF286" i="33"/>
  <c r="FE286" i="33"/>
  <c r="FD286" i="33"/>
  <c r="FC286" i="33"/>
  <c r="FB286" i="33"/>
  <c r="FA286" i="33"/>
  <c r="EZ286" i="33"/>
  <c r="EY286" i="33"/>
  <c r="EX286" i="33"/>
  <c r="EW286" i="33"/>
  <c r="EV286" i="33"/>
  <c r="EU286" i="33"/>
  <c r="ET286" i="33"/>
  <c r="ES286" i="33"/>
  <c r="ER286" i="33"/>
  <c r="EQ286" i="33"/>
  <c r="EP286" i="33"/>
  <c r="EO286" i="33"/>
  <c r="EN286" i="33"/>
  <c r="EM286" i="33"/>
  <c r="EL286" i="33"/>
  <c r="EK286" i="33"/>
  <c r="EJ286" i="33"/>
  <c r="EI286" i="33"/>
  <c r="EH286" i="33"/>
  <c r="EG286" i="33"/>
  <c r="EF286" i="33"/>
  <c r="EE286" i="33"/>
  <c r="ED286" i="33"/>
  <c r="EC286" i="33"/>
  <c r="EB286" i="33"/>
  <c r="EA286" i="33"/>
  <c r="DZ286" i="33"/>
  <c r="DY286" i="33"/>
  <c r="DX286" i="33"/>
  <c r="DW286" i="33"/>
  <c r="DV286" i="33"/>
  <c r="DU286" i="33"/>
  <c r="DT286" i="33"/>
  <c r="DS286" i="33"/>
  <c r="DR286" i="33"/>
  <c r="DQ286" i="33"/>
  <c r="DP286" i="33"/>
  <c r="DO286" i="33"/>
  <c r="DN286" i="33"/>
  <c r="DM286" i="33"/>
  <c r="DL286" i="33"/>
  <c r="DK286" i="33"/>
  <c r="DJ286" i="33"/>
  <c r="DI286" i="33"/>
  <c r="DH286" i="33"/>
  <c r="DG286" i="33"/>
  <c r="DF286" i="33"/>
  <c r="DE286" i="33"/>
  <c r="DD286" i="33"/>
  <c r="DC286" i="33"/>
  <c r="DB286" i="33"/>
  <c r="DA286" i="33"/>
  <c r="CZ286" i="33"/>
  <c r="CY286" i="33"/>
  <c r="CX286" i="33"/>
  <c r="CW286" i="33"/>
  <c r="CV286" i="33"/>
  <c r="CU286" i="33"/>
  <c r="CT286" i="33"/>
  <c r="CS286" i="33"/>
  <c r="CR286" i="33"/>
  <c r="CQ286" i="33"/>
  <c r="CP286" i="33"/>
  <c r="CO286" i="33"/>
  <c r="CN286" i="33"/>
  <c r="CM286" i="33"/>
  <c r="CL286" i="33"/>
  <c r="CK286" i="33"/>
  <c r="CJ286" i="33"/>
  <c r="CI286" i="33"/>
  <c r="CH286" i="33"/>
  <c r="CG286" i="33"/>
  <c r="CF286" i="33"/>
  <c r="CE286" i="33"/>
  <c r="CD286" i="33"/>
  <c r="CC286" i="33"/>
  <c r="CB286" i="33"/>
  <c r="CA286" i="33"/>
  <c r="BZ286" i="33"/>
  <c r="BY286" i="33"/>
  <c r="BX286" i="33"/>
  <c r="BW286" i="33"/>
  <c r="BV286" i="33"/>
  <c r="BU286" i="33"/>
  <c r="BT286" i="33"/>
  <c r="BS286" i="33"/>
  <c r="BR286" i="33"/>
  <c r="BQ286" i="33"/>
  <c r="BP286" i="33"/>
  <c r="BO286" i="33"/>
  <c r="BN286" i="33"/>
  <c r="BM286" i="33"/>
  <c r="BL286" i="33"/>
  <c r="BK286" i="33"/>
  <c r="BJ286" i="33"/>
  <c r="BI286" i="33"/>
  <c r="BH286" i="33"/>
  <c r="BG286" i="33"/>
  <c r="BF286" i="33"/>
  <c r="BE286" i="33"/>
  <c r="BD286" i="33"/>
  <c r="BC286" i="33"/>
  <c r="BB286" i="33"/>
  <c r="BA286" i="33"/>
  <c r="AZ286" i="33"/>
  <c r="AY286" i="33"/>
  <c r="AX286" i="33"/>
  <c r="AW286" i="33"/>
  <c r="AV286" i="33"/>
  <c r="AU286" i="33"/>
  <c r="AT286" i="33"/>
  <c r="AS286" i="33"/>
  <c r="AR286" i="33"/>
  <c r="AQ286" i="33"/>
  <c r="AP286" i="33"/>
  <c r="AO286" i="33"/>
  <c r="AN286" i="33"/>
  <c r="AM286" i="33"/>
  <c r="AL286" i="33"/>
  <c r="AK286" i="33"/>
  <c r="AJ286" i="33"/>
  <c r="AI286" i="33"/>
  <c r="AH286" i="33"/>
  <c r="AG286" i="33"/>
  <c r="AF286" i="33"/>
  <c r="AE286" i="33"/>
  <c r="AD286" i="33"/>
  <c r="AC286" i="33"/>
  <c r="AB286" i="33"/>
  <c r="AA286" i="33"/>
  <c r="Z286" i="33"/>
  <c r="Y286" i="33"/>
  <c r="X286" i="33"/>
  <c r="W286" i="33"/>
  <c r="V286" i="33"/>
  <c r="U286" i="33"/>
  <c r="T286" i="33"/>
  <c r="S286" i="33"/>
  <c r="R286" i="33"/>
  <c r="Q286" i="33"/>
  <c r="P286" i="33"/>
  <c r="O286" i="33"/>
  <c r="N286" i="33"/>
  <c r="M286" i="33"/>
  <c r="L286" i="33"/>
  <c r="K286" i="33"/>
  <c r="J286" i="33"/>
  <c r="I286" i="33"/>
  <c r="H286" i="33"/>
  <c r="G286" i="33"/>
  <c r="F286" i="33"/>
  <c r="E286" i="33"/>
  <c r="D286" i="33"/>
  <c r="C286" i="33"/>
  <c r="B286" i="33"/>
  <c r="A286" i="33"/>
  <c r="IV285" i="33"/>
  <c r="IU285" i="33"/>
  <c r="IT285" i="33"/>
  <c r="IS285" i="33"/>
  <c r="IR285" i="33"/>
  <c r="IQ285" i="33"/>
  <c r="IP285" i="33"/>
  <c r="IO285" i="33"/>
  <c r="IN285" i="33"/>
  <c r="IM285" i="33"/>
  <c r="IL285" i="33"/>
  <c r="IK285" i="33"/>
  <c r="IJ285" i="33"/>
  <c r="II285" i="33"/>
  <c r="IH285" i="33"/>
  <c r="IG285" i="33"/>
  <c r="IF285" i="33"/>
  <c r="IE285" i="33"/>
  <c r="ID285" i="33"/>
  <c r="IC285" i="33"/>
  <c r="IB285" i="33"/>
  <c r="IA285" i="33"/>
  <c r="HZ285" i="33"/>
  <c r="HY285" i="33"/>
  <c r="HX285" i="33"/>
  <c r="HW285" i="33"/>
  <c r="HV285" i="33"/>
  <c r="HU285" i="33"/>
  <c r="HT285" i="33"/>
  <c r="HS285" i="33"/>
  <c r="HR285" i="33"/>
  <c r="HQ285" i="33"/>
  <c r="HP285" i="33"/>
  <c r="HO285" i="33"/>
  <c r="HN285" i="33"/>
  <c r="HM285" i="33"/>
  <c r="HL285" i="33"/>
  <c r="HK285" i="33"/>
  <c r="HJ285" i="33"/>
  <c r="HI285" i="33"/>
  <c r="HH285" i="33"/>
  <c r="HG285" i="33"/>
  <c r="HF285" i="33"/>
  <c r="HE285" i="33"/>
  <c r="HD285" i="33"/>
  <c r="HC285" i="33"/>
  <c r="HB285" i="33"/>
  <c r="HA285" i="33"/>
  <c r="GZ285" i="33"/>
  <c r="GY285" i="33"/>
  <c r="GX285" i="33"/>
  <c r="GW285" i="33"/>
  <c r="GV285" i="33"/>
  <c r="GU285" i="33"/>
  <c r="GT285" i="33"/>
  <c r="GS285" i="33"/>
  <c r="GR285" i="33"/>
  <c r="GQ285" i="33"/>
  <c r="GP285" i="33"/>
  <c r="GO285" i="33"/>
  <c r="GN285" i="33"/>
  <c r="GM285" i="33"/>
  <c r="GL285" i="33"/>
  <c r="GK285" i="33"/>
  <c r="GJ285" i="33"/>
  <c r="GI285" i="33"/>
  <c r="GH285" i="33"/>
  <c r="GG285" i="33"/>
  <c r="GF285" i="33"/>
  <c r="GE285" i="33"/>
  <c r="GD285" i="33"/>
  <c r="GC285" i="33"/>
  <c r="GB285" i="33"/>
  <c r="GA285" i="33"/>
  <c r="FZ285" i="33"/>
  <c r="FY285" i="33"/>
  <c r="FX285" i="33"/>
  <c r="FW285" i="33"/>
  <c r="FV285" i="33"/>
  <c r="FU285" i="33"/>
  <c r="FT285" i="33"/>
  <c r="FS285" i="33"/>
  <c r="FR285" i="33"/>
  <c r="FQ285" i="33"/>
  <c r="FP285" i="33"/>
  <c r="FO285" i="33"/>
  <c r="FN285" i="33"/>
  <c r="FM285" i="33"/>
  <c r="FL285" i="33"/>
  <c r="FK285" i="33"/>
  <c r="FJ285" i="33"/>
  <c r="FI285" i="33"/>
  <c r="FH285" i="33"/>
  <c r="FG285" i="33"/>
  <c r="FF285" i="33"/>
  <c r="FE285" i="33"/>
  <c r="FD285" i="33"/>
  <c r="FC285" i="33"/>
  <c r="FB285" i="33"/>
  <c r="FA285" i="33"/>
  <c r="EZ285" i="33"/>
  <c r="EY285" i="33"/>
  <c r="EX285" i="33"/>
  <c r="EW285" i="33"/>
  <c r="EV285" i="33"/>
  <c r="EU285" i="33"/>
  <c r="ET285" i="33"/>
  <c r="ES285" i="33"/>
  <c r="ER285" i="33"/>
  <c r="EQ285" i="33"/>
  <c r="EP285" i="33"/>
  <c r="EO285" i="33"/>
  <c r="EN285" i="33"/>
  <c r="EM285" i="33"/>
  <c r="EL285" i="33"/>
  <c r="EK285" i="33"/>
  <c r="EJ285" i="33"/>
  <c r="EI285" i="33"/>
  <c r="EH285" i="33"/>
  <c r="EG285" i="33"/>
  <c r="EF285" i="33"/>
  <c r="EE285" i="33"/>
  <c r="ED285" i="33"/>
  <c r="EC285" i="33"/>
  <c r="EB285" i="33"/>
  <c r="EA285" i="33"/>
  <c r="DZ285" i="33"/>
  <c r="DY285" i="33"/>
  <c r="DX285" i="33"/>
  <c r="DW285" i="33"/>
  <c r="DV285" i="33"/>
  <c r="DU285" i="33"/>
  <c r="DT285" i="33"/>
  <c r="DS285" i="33"/>
  <c r="DR285" i="33"/>
  <c r="DQ285" i="33"/>
  <c r="DP285" i="33"/>
  <c r="DO285" i="33"/>
  <c r="DN285" i="33"/>
  <c r="DM285" i="33"/>
  <c r="DL285" i="33"/>
  <c r="DK285" i="33"/>
  <c r="DJ285" i="33"/>
  <c r="DI285" i="33"/>
  <c r="DH285" i="33"/>
  <c r="DG285" i="33"/>
  <c r="DF285" i="33"/>
  <c r="DE285" i="33"/>
  <c r="DD285" i="33"/>
  <c r="DC285" i="33"/>
  <c r="DB285" i="33"/>
  <c r="DA285" i="33"/>
  <c r="CZ285" i="33"/>
  <c r="CY285" i="33"/>
  <c r="CX285" i="33"/>
  <c r="CW285" i="33"/>
  <c r="CV285" i="33"/>
  <c r="CU285" i="33"/>
  <c r="CT285" i="33"/>
  <c r="CS285" i="33"/>
  <c r="CR285" i="33"/>
  <c r="CQ285" i="33"/>
  <c r="CP285" i="33"/>
  <c r="CO285" i="33"/>
  <c r="CN285" i="33"/>
  <c r="CM285" i="33"/>
  <c r="CL285" i="33"/>
  <c r="CK285" i="33"/>
  <c r="CJ285" i="33"/>
  <c r="CI285" i="33"/>
  <c r="CH285" i="33"/>
  <c r="CG285" i="33"/>
  <c r="CF285" i="33"/>
  <c r="CE285" i="33"/>
  <c r="CD285" i="33"/>
  <c r="CC285" i="33"/>
  <c r="CB285" i="33"/>
  <c r="CA285" i="33"/>
  <c r="BZ285" i="33"/>
  <c r="BY285" i="33"/>
  <c r="BX285" i="33"/>
  <c r="BW285" i="33"/>
  <c r="BV285" i="33"/>
  <c r="BU285" i="33"/>
  <c r="BT285" i="33"/>
  <c r="BS285" i="33"/>
  <c r="BR285" i="33"/>
  <c r="BQ285" i="33"/>
  <c r="BP285" i="33"/>
  <c r="BO285" i="33"/>
  <c r="BN285" i="33"/>
  <c r="BM285" i="33"/>
  <c r="BL285" i="33"/>
  <c r="BK285" i="33"/>
  <c r="BJ285" i="33"/>
  <c r="BI285" i="33"/>
  <c r="BH285" i="33"/>
  <c r="BG285" i="33"/>
  <c r="BF285" i="33"/>
  <c r="BE285" i="33"/>
  <c r="BD285" i="33"/>
  <c r="BC285" i="33"/>
  <c r="BB285" i="33"/>
  <c r="BA285" i="33"/>
  <c r="AZ285" i="33"/>
  <c r="AY285" i="33"/>
  <c r="AX285" i="33"/>
  <c r="AW285" i="33"/>
  <c r="AV285" i="33"/>
  <c r="AU285" i="33"/>
  <c r="AT285" i="33"/>
  <c r="AS285" i="33"/>
  <c r="AR285" i="33"/>
  <c r="AQ285" i="33"/>
  <c r="AP285" i="33"/>
  <c r="AO285" i="33"/>
  <c r="AN285" i="33"/>
  <c r="AM285" i="33"/>
  <c r="AL285" i="33"/>
  <c r="AK285" i="33"/>
  <c r="AJ285" i="33"/>
  <c r="AI285" i="33"/>
  <c r="AH285" i="33"/>
  <c r="AG285" i="33"/>
  <c r="AF285" i="33"/>
  <c r="AE285" i="33"/>
  <c r="AD285" i="33"/>
  <c r="AC285" i="33"/>
  <c r="AB285" i="33"/>
  <c r="AA285" i="33"/>
  <c r="Z285" i="33"/>
  <c r="Y285" i="33"/>
  <c r="X285" i="33"/>
  <c r="W285" i="33"/>
  <c r="V285" i="33"/>
  <c r="U285" i="33"/>
  <c r="T285" i="33"/>
  <c r="S285" i="33"/>
  <c r="R285" i="33"/>
  <c r="Q285" i="33"/>
  <c r="P285" i="33"/>
  <c r="O285" i="33"/>
  <c r="N285" i="33"/>
  <c r="M285" i="33"/>
  <c r="L285" i="33"/>
  <c r="K285" i="33"/>
  <c r="J285" i="33"/>
  <c r="I285" i="33"/>
  <c r="H285" i="33"/>
  <c r="G285" i="33"/>
  <c r="F285" i="33"/>
  <c r="E285" i="33"/>
  <c r="D285" i="33"/>
  <c r="C285" i="33"/>
  <c r="B285" i="33"/>
  <c r="A285" i="33"/>
  <c r="IV284" i="33"/>
  <c r="IU284" i="33"/>
  <c r="IT284" i="33"/>
  <c r="IS284" i="33"/>
  <c r="IR284" i="33"/>
  <c r="IQ284" i="33"/>
  <c r="IP284" i="33"/>
  <c r="IO284" i="33"/>
  <c r="IN284" i="33"/>
  <c r="IM284" i="33"/>
  <c r="IL284" i="33"/>
  <c r="IK284" i="33"/>
  <c r="IJ284" i="33"/>
  <c r="II284" i="33"/>
  <c r="IH284" i="33"/>
  <c r="IG284" i="33"/>
  <c r="IF284" i="33"/>
  <c r="IE284" i="33"/>
  <c r="ID284" i="33"/>
  <c r="IC284" i="33"/>
  <c r="IB284" i="33"/>
  <c r="IA284" i="33"/>
  <c r="HZ284" i="33"/>
  <c r="HY284" i="33"/>
  <c r="HX284" i="33"/>
  <c r="HW284" i="33"/>
  <c r="HV284" i="33"/>
  <c r="HU284" i="33"/>
  <c r="HT284" i="33"/>
  <c r="HS284" i="33"/>
  <c r="HR284" i="33"/>
  <c r="HQ284" i="33"/>
  <c r="HP284" i="33"/>
  <c r="HO284" i="33"/>
  <c r="HN284" i="33"/>
  <c r="HM284" i="33"/>
  <c r="HL284" i="33"/>
  <c r="HK284" i="33"/>
  <c r="HJ284" i="33"/>
  <c r="HI284" i="33"/>
  <c r="HH284" i="33"/>
  <c r="HG284" i="33"/>
  <c r="HF284" i="33"/>
  <c r="HE284" i="33"/>
  <c r="HD284" i="33"/>
  <c r="HC284" i="33"/>
  <c r="HB284" i="33"/>
  <c r="HA284" i="33"/>
  <c r="GZ284" i="33"/>
  <c r="GY284" i="33"/>
  <c r="GX284" i="33"/>
  <c r="GW284" i="33"/>
  <c r="GV284" i="33"/>
  <c r="GU284" i="33"/>
  <c r="GT284" i="33"/>
  <c r="GS284" i="33"/>
  <c r="GR284" i="33"/>
  <c r="GQ284" i="33"/>
  <c r="GP284" i="33"/>
  <c r="GO284" i="33"/>
  <c r="GN284" i="33"/>
  <c r="GM284" i="33"/>
  <c r="GL284" i="33"/>
  <c r="GK284" i="33"/>
  <c r="GJ284" i="33"/>
  <c r="GI284" i="33"/>
  <c r="GH284" i="33"/>
  <c r="GG284" i="33"/>
  <c r="GF284" i="33"/>
  <c r="GE284" i="33"/>
  <c r="GD284" i="33"/>
  <c r="GC284" i="33"/>
  <c r="GB284" i="33"/>
  <c r="GA284" i="33"/>
  <c r="FZ284" i="33"/>
  <c r="FY284" i="33"/>
  <c r="FX284" i="33"/>
  <c r="FW284" i="33"/>
  <c r="FV284" i="33"/>
  <c r="FU284" i="33"/>
  <c r="FT284" i="33"/>
  <c r="FS284" i="33"/>
  <c r="FR284" i="33"/>
  <c r="FQ284" i="33"/>
  <c r="FP284" i="33"/>
  <c r="FO284" i="33"/>
  <c r="FN284" i="33"/>
  <c r="FM284" i="33"/>
  <c r="FL284" i="33"/>
  <c r="FK284" i="33"/>
  <c r="FJ284" i="33"/>
  <c r="FI284" i="33"/>
  <c r="FH284" i="33"/>
  <c r="FG284" i="33"/>
  <c r="FF284" i="33"/>
  <c r="FE284" i="33"/>
  <c r="FD284" i="33"/>
  <c r="FC284" i="33"/>
  <c r="FB284" i="33"/>
  <c r="FA284" i="33"/>
  <c r="EZ284" i="33"/>
  <c r="EY284" i="33"/>
  <c r="EX284" i="33"/>
  <c r="EW284" i="33"/>
  <c r="EV284" i="33"/>
  <c r="EU284" i="33"/>
  <c r="ET284" i="33"/>
  <c r="ES284" i="33"/>
  <c r="ER284" i="33"/>
  <c r="EQ284" i="33"/>
  <c r="EP284" i="33"/>
  <c r="EO284" i="33"/>
  <c r="EN284" i="33"/>
  <c r="EM284" i="33"/>
  <c r="EL284" i="33"/>
  <c r="EK284" i="33"/>
  <c r="EJ284" i="33"/>
  <c r="EI284" i="33"/>
  <c r="EH284" i="33"/>
  <c r="EG284" i="33"/>
  <c r="EF284" i="33"/>
  <c r="EE284" i="33"/>
  <c r="ED284" i="33"/>
  <c r="EC284" i="33"/>
  <c r="EB284" i="33"/>
  <c r="EA284" i="33"/>
  <c r="DZ284" i="33"/>
  <c r="DY284" i="33"/>
  <c r="DX284" i="33"/>
  <c r="DW284" i="33"/>
  <c r="DV284" i="33"/>
  <c r="DU284" i="33"/>
  <c r="DT284" i="33"/>
  <c r="DS284" i="33"/>
  <c r="DR284" i="33"/>
  <c r="DQ284" i="33"/>
  <c r="DP284" i="33"/>
  <c r="DO284" i="33"/>
  <c r="DN284" i="33"/>
  <c r="DM284" i="33"/>
  <c r="DL284" i="33"/>
  <c r="DK284" i="33"/>
  <c r="DJ284" i="33"/>
  <c r="DI284" i="33"/>
  <c r="DH284" i="33"/>
  <c r="DG284" i="33"/>
  <c r="DF284" i="33"/>
  <c r="DE284" i="33"/>
  <c r="DD284" i="33"/>
  <c r="DC284" i="33"/>
  <c r="DB284" i="33"/>
  <c r="DA284" i="33"/>
  <c r="CZ284" i="33"/>
  <c r="CY284" i="33"/>
  <c r="CX284" i="33"/>
  <c r="CW284" i="33"/>
  <c r="CV284" i="33"/>
  <c r="CU284" i="33"/>
  <c r="CT284" i="33"/>
  <c r="CS284" i="33"/>
  <c r="CR284" i="33"/>
  <c r="CQ284" i="33"/>
  <c r="CP284" i="33"/>
  <c r="CO284" i="33"/>
  <c r="CN284" i="33"/>
  <c r="CM284" i="33"/>
  <c r="CL284" i="33"/>
  <c r="CK284" i="33"/>
  <c r="CJ284" i="33"/>
  <c r="CI284" i="33"/>
  <c r="CH284" i="33"/>
  <c r="CG284" i="33"/>
  <c r="CF284" i="33"/>
  <c r="CE284" i="33"/>
  <c r="CD284" i="33"/>
  <c r="CC284" i="33"/>
  <c r="CB284" i="33"/>
  <c r="CA284" i="33"/>
  <c r="BZ284" i="33"/>
  <c r="BY284" i="33"/>
  <c r="BX284" i="33"/>
  <c r="BW284" i="33"/>
  <c r="BV284" i="33"/>
  <c r="BU284" i="33"/>
  <c r="BT284" i="33"/>
  <c r="BS284" i="33"/>
  <c r="BR284" i="33"/>
  <c r="BQ284" i="33"/>
  <c r="BP284" i="33"/>
  <c r="BO284" i="33"/>
  <c r="BN284" i="33"/>
  <c r="BM284" i="33"/>
  <c r="BL284" i="33"/>
  <c r="BK284" i="33"/>
  <c r="BJ284" i="33"/>
  <c r="BI284" i="33"/>
  <c r="BH284" i="33"/>
  <c r="BG284" i="33"/>
  <c r="BF284" i="33"/>
  <c r="BE284" i="33"/>
  <c r="BD284" i="33"/>
  <c r="BC284" i="33"/>
  <c r="BB284" i="33"/>
  <c r="BA284" i="33"/>
  <c r="AZ284" i="33"/>
  <c r="AY284" i="33"/>
  <c r="AX284" i="33"/>
  <c r="AW284" i="33"/>
  <c r="AV284" i="33"/>
  <c r="AU284" i="33"/>
  <c r="AT284" i="33"/>
  <c r="AS284" i="33"/>
  <c r="AR284" i="33"/>
  <c r="AQ284" i="33"/>
  <c r="AP284" i="33"/>
  <c r="AO284" i="33"/>
  <c r="AN284" i="33"/>
  <c r="AM284" i="33"/>
  <c r="AL284" i="33"/>
  <c r="AK284" i="33"/>
  <c r="AJ284" i="33"/>
  <c r="AI284" i="33"/>
  <c r="AH284" i="33"/>
  <c r="AG284" i="33"/>
  <c r="AF284" i="33"/>
  <c r="AE284" i="33"/>
  <c r="AD284" i="33"/>
  <c r="AC284" i="33"/>
  <c r="AB284" i="33"/>
  <c r="AA284" i="33"/>
  <c r="Z284" i="33"/>
  <c r="Y284" i="33"/>
  <c r="X284" i="33"/>
  <c r="W284" i="33"/>
  <c r="V284" i="33"/>
  <c r="U284" i="33"/>
  <c r="T284" i="33"/>
  <c r="S284" i="33"/>
  <c r="R284" i="33"/>
  <c r="Q284" i="33"/>
  <c r="P284" i="33"/>
  <c r="O284" i="33"/>
  <c r="N284" i="33"/>
  <c r="M284" i="33"/>
  <c r="L284" i="33"/>
  <c r="K284" i="33"/>
  <c r="J284" i="33"/>
  <c r="I284" i="33"/>
  <c r="H284" i="33"/>
  <c r="G284" i="33"/>
  <c r="F284" i="33"/>
  <c r="E284" i="33"/>
  <c r="D284" i="33"/>
  <c r="C284" i="33"/>
  <c r="B284" i="33"/>
  <c r="A284" i="33"/>
  <c r="IV283" i="33"/>
  <c r="IU283" i="33"/>
  <c r="IT283" i="33"/>
  <c r="IS283" i="33"/>
  <c r="IR283" i="33"/>
  <c r="IQ283" i="33"/>
  <c r="IP283" i="33"/>
  <c r="IO283" i="33"/>
  <c r="IN283" i="33"/>
  <c r="IM283" i="33"/>
  <c r="IL283" i="33"/>
  <c r="IK283" i="33"/>
  <c r="IJ283" i="33"/>
  <c r="II283" i="33"/>
  <c r="IH283" i="33"/>
  <c r="IG283" i="33"/>
  <c r="IF283" i="33"/>
  <c r="IE283" i="33"/>
  <c r="ID283" i="33"/>
  <c r="IC283" i="33"/>
  <c r="IB283" i="33"/>
  <c r="IA283" i="33"/>
  <c r="HZ283" i="33"/>
  <c r="HY283" i="33"/>
  <c r="HX283" i="33"/>
  <c r="HW283" i="33"/>
  <c r="HV283" i="33"/>
  <c r="HU283" i="33"/>
  <c r="HT283" i="33"/>
  <c r="HS283" i="33"/>
  <c r="HR283" i="33"/>
  <c r="HQ283" i="33"/>
  <c r="HP283" i="33"/>
  <c r="HO283" i="33"/>
  <c r="HN283" i="33"/>
  <c r="HM283" i="33"/>
  <c r="HL283" i="33"/>
  <c r="HK283" i="33"/>
  <c r="HJ283" i="33"/>
  <c r="HI283" i="33"/>
  <c r="HH283" i="33"/>
  <c r="HG283" i="33"/>
  <c r="HF283" i="33"/>
  <c r="HE283" i="33"/>
  <c r="HD283" i="33"/>
  <c r="HC283" i="33"/>
  <c r="HB283" i="33"/>
  <c r="HA283" i="33"/>
  <c r="GZ283" i="33"/>
  <c r="GY283" i="33"/>
  <c r="GX283" i="33"/>
  <c r="GW283" i="33"/>
  <c r="GV283" i="33"/>
  <c r="GU283" i="33"/>
  <c r="GT283" i="33"/>
  <c r="GS283" i="33"/>
  <c r="GR283" i="33"/>
  <c r="GQ283" i="33"/>
  <c r="GP283" i="33"/>
  <c r="GO283" i="33"/>
  <c r="GN283" i="33"/>
  <c r="GM283" i="33"/>
  <c r="GL283" i="33"/>
  <c r="GK283" i="33"/>
  <c r="GJ283" i="33"/>
  <c r="GI283" i="33"/>
  <c r="GH283" i="33"/>
  <c r="GG283" i="33"/>
  <c r="GF283" i="33"/>
  <c r="GE283" i="33"/>
  <c r="GD283" i="33"/>
  <c r="GC283" i="33"/>
  <c r="GB283" i="33"/>
  <c r="GA283" i="33"/>
  <c r="FZ283" i="33"/>
  <c r="FY283" i="33"/>
  <c r="FX283" i="33"/>
  <c r="FW283" i="33"/>
  <c r="FV283" i="33"/>
  <c r="FU283" i="33"/>
  <c r="FT283" i="33"/>
  <c r="FS283" i="33"/>
  <c r="FR283" i="33"/>
  <c r="FQ283" i="33"/>
  <c r="FP283" i="33"/>
  <c r="FO283" i="33"/>
  <c r="FN283" i="33"/>
  <c r="FM283" i="33"/>
  <c r="FL283" i="33"/>
  <c r="FK283" i="33"/>
  <c r="FJ283" i="33"/>
  <c r="FI283" i="33"/>
  <c r="FH283" i="33"/>
  <c r="FG283" i="33"/>
  <c r="FF283" i="33"/>
  <c r="FE283" i="33"/>
  <c r="FD283" i="33"/>
  <c r="FC283" i="33"/>
  <c r="FB283" i="33"/>
  <c r="FA283" i="33"/>
  <c r="EZ283" i="33"/>
  <c r="EY283" i="33"/>
  <c r="EX283" i="33"/>
  <c r="EW283" i="33"/>
  <c r="EV283" i="33"/>
  <c r="EU283" i="33"/>
  <c r="ET283" i="33"/>
  <c r="ES283" i="33"/>
  <c r="ER283" i="33"/>
  <c r="EQ283" i="33"/>
  <c r="EP283" i="33"/>
  <c r="EO283" i="33"/>
  <c r="EN283" i="33"/>
  <c r="EM283" i="33"/>
  <c r="EL283" i="33"/>
  <c r="EK283" i="33"/>
  <c r="EJ283" i="33"/>
  <c r="EI283" i="33"/>
  <c r="EH283" i="33"/>
  <c r="EG283" i="33"/>
  <c r="EF283" i="33"/>
  <c r="EE283" i="33"/>
  <c r="ED283" i="33"/>
  <c r="EC283" i="33"/>
  <c r="EB283" i="33"/>
  <c r="EA283" i="33"/>
  <c r="DZ283" i="33"/>
  <c r="DY283" i="33"/>
  <c r="DX283" i="33"/>
  <c r="DW283" i="33"/>
  <c r="DV283" i="33"/>
  <c r="DU283" i="33"/>
  <c r="DT283" i="33"/>
  <c r="DS283" i="33"/>
  <c r="DR283" i="33"/>
  <c r="DQ283" i="33"/>
  <c r="DP283" i="33"/>
  <c r="DO283" i="33"/>
  <c r="DN283" i="33"/>
  <c r="DM283" i="33"/>
  <c r="DL283" i="33"/>
  <c r="DK283" i="33"/>
  <c r="DJ283" i="33"/>
  <c r="DI283" i="33"/>
  <c r="DH283" i="33"/>
  <c r="DG283" i="33"/>
  <c r="DF283" i="33"/>
  <c r="DE283" i="33"/>
  <c r="DD283" i="33"/>
  <c r="DC283" i="33"/>
  <c r="DB283" i="33"/>
  <c r="DA283" i="33"/>
  <c r="CZ283" i="33"/>
  <c r="CY283" i="33"/>
  <c r="CX283" i="33"/>
  <c r="CW283" i="33"/>
  <c r="CV283" i="33"/>
  <c r="CU283" i="33"/>
  <c r="CT283" i="33"/>
  <c r="CS283" i="33"/>
  <c r="CR283" i="33"/>
  <c r="CQ283" i="33"/>
  <c r="CP283" i="33"/>
  <c r="CO283" i="33"/>
  <c r="CN283" i="33"/>
  <c r="CM283" i="33"/>
  <c r="CL283" i="33"/>
  <c r="CK283" i="33"/>
  <c r="CJ283" i="33"/>
  <c r="CI283" i="33"/>
  <c r="CH283" i="33"/>
  <c r="CG283" i="33"/>
  <c r="CF283" i="33"/>
  <c r="CE283" i="33"/>
  <c r="CD283" i="33"/>
  <c r="CC283" i="33"/>
  <c r="CB283" i="33"/>
  <c r="CA283" i="33"/>
  <c r="BZ283" i="33"/>
  <c r="BY283" i="33"/>
  <c r="BX283" i="33"/>
  <c r="BW283" i="33"/>
  <c r="BV283" i="33"/>
  <c r="BU283" i="33"/>
  <c r="BT283" i="33"/>
  <c r="BS283" i="33"/>
  <c r="BR283" i="33"/>
  <c r="BQ283" i="33"/>
  <c r="BP283" i="33"/>
  <c r="BO283" i="33"/>
  <c r="BN283" i="33"/>
  <c r="BM283" i="33"/>
  <c r="BL283" i="33"/>
  <c r="BK283" i="33"/>
  <c r="BJ283" i="33"/>
  <c r="BI283" i="33"/>
  <c r="BH283" i="33"/>
  <c r="BG283" i="33"/>
  <c r="BF283" i="33"/>
  <c r="BE283" i="33"/>
  <c r="BD283" i="33"/>
  <c r="BC283" i="33"/>
  <c r="BB283" i="33"/>
  <c r="BA283" i="33"/>
  <c r="AZ283" i="33"/>
  <c r="AY283" i="33"/>
  <c r="AX283" i="33"/>
  <c r="AW283" i="33"/>
  <c r="AV283" i="33"/>
  <c r="AU283" i="33"/>
  <c r="AT283" i="33"/>
  <c r="AS283" i="33"/>
  <c r="AR283" i="33"/>
  <c r="AQ283" i="33"/>
  <c r="AP283" i="33"/>
  <c r="AO283" i="33"/>
  <c r="AN283" i="33"/>
  <c r="AM283" i="33"/>
  <c r="AL283" i="33"/>
  <c r="AK283" i="33"/>
  <c r="AJ283" i="33"/>
  <c r="AI283" i="33"/>
  <c r="AH283" i="33"/>
  <c r="AG283" i="33"/>
  <c r="AF283" i="33"/>
  <c r="AE283" i="33"/>
  <c r="AD283" i="33"/>
  <c r="AC283" i="33"/>
  <c r="AB283" i="33"/>
  <c r="AA283" i="33"/>
  <c r="Z283" i="33"/>
  <c r="Y283" i="33"/>
  <c r="X283" i="33"/>
  <c r="W283" i="33"/>
  <c r="V283" i="33"/>
  <c r="U283" i="33"/>
  <c r="T283" i="33"/>
  <c r="S283" i="33"/>
  <c r="R283" i="33"/>
  <c r="Q283" i="33"/>
  <c r="P283" i="33"/>
  <c r="O283" i="33"/>
  <c r="N283" i="33"/>
  <c r="M283" i="33"/>
  <c r="L283" i="33"/>
  <c r="K283" i="33"/>
  <c r="J283" i="33"/>
  <c r="I283" i="33"/>
  <c r="H283" i="33"/>
  <c r="G283" i="33"/>
  <c r="F283" i="33"/>
  <c r="E283" i="33"/>
  <c r="D283" i="33"/>
  <c r="C283" i="33"/>
  <c r="B283" i="33"/>
  <c r="A283" i="33"/>
  <c r="IV282" i="33"/>
  <c r="IU282" i="33"/>
  <c r="IT282" i="33"/>
  <c r="IS282" i="33"/>
  <c r="IR282" i="33"/>
  <c r="IQ282" i="33"/>
  <c r="IP282" i="33"/>
  <c r="IO282" i="33"/>
  <c r="IN282" i="33"/>
  <c r="IM282" i="33"/>
  <c r="IL282" i="33"/>
  <c r="IK282" i="33"/>
  <c r="IJ282" i="33"/>
  <c r="II282" i="33"/>
  <c r="IH282" i="33"/>
  <c r="IG282" i="33"/>
  <c r="IF282" i="33"/>
  <c r="IE282" i="33"/>
  <c r="ID282" i="33"/>
  <c r="IC282" i="33"/>
  <c r="IB282" i="33"/>
  <c r="IA282" i="33"/>
  <c r="HZ282" i="33"/>
  <c r="HY282" i="33"/>
  <c r="HX282" i="33"/>
  <c r="HW282" i="33"/>
  <c r="HV282" i="33"/>
  <c r="HU282" i="33"/>
  <c r="HT282" i="33"/>
  <c r="HS282" i="33"/>
  <c r="HR282" i="33"/>
  <c r="HQ282" i="33"/>
  <c r="HP282" i="33"/>
  <c r="HO282" i="33"/>
  <c r="HN282" i="33"/>
  <c r="HM282" i="33"/>
  <c r="HL282" i="33"/>
  <c r="HK282" i="33"/>
  <c r="HJ282" i="33"/>
  <c r="HI282" i="33"/>
  <c r="HH282" i="33"/>
  <c r="HG282" i="33"/>
  <c r="HF282" i="33"/>
  <c r="HE282" i="33"/>
  <c r="HD282" i="33"/>
  <c r="HC282" i="33"/>
  <c r="HB282" i="33"/>
  <c r="HA282" i="33"/>
  <c r="GZ282" i="33"/>
  <c r="GY282" i="33"/>
  <c r="GX282" i="33"/>
  <c r="GW282" i="33"/>
  <c r="GV282" i="33"/>
  <c r="GU282" i="33"/>
  <c r="GT282" i="33"/>
  <c r="GS282" i="33"/>
  <c r="GR282" i="33"/>
  <c r="GQ282" i="33"/>
  <c r="GP282" i="33"/>
  <c r="GO282" i="33"/>
  <c r="GN282" i="33"/>
  <c r="GM282" i="33"/>
  <c r="GL282" i="33"/>
  <c r="GK282" i="33"/>
  <c r="GJ282" i="33"/>
  <c r="GI282" i="33"/>
  <c r="GH282" i="33"/>
  <c r="GG282" i="33"/>
  <c r="GF282" i="33"/>
  <c r="GE282" i="33"/>
  <c r="GD282" i="33"/>
  <c r="GC282" i="33"/>
  <c r="GB282" i="33"/>
  <c r="GA282" i="33"/>
  <c r="FZ282" i="33"/>
  <c r="FY282" i="33"/>
  <c r="FX282" i="33"/>
  <c r="FW282" i="33"/>
  <c r="FV282" i="33"/>
  <c r="FU282" i="33"/>
  <c r="FT282" i="33"/>
  <c r="FS282" i="33"/>
  <c r="FR282" i="33"/>
  <c r="FQ282" i="33"/>
  <c r="FP282" i="33"/>
  <c r="FO282" i="33"/>
  <c r="FN282" i="33"/>
  <c r="FM282" i="33"/>
  <c r="FL282" i="33"/>
  <c r="FK282" i="33"/>
  <c r="FJ282" i="33"/>
  <c r="FI282" i="33"/>
  <c r="FH282" i="33"/>
  <c r="FG282" i="33"/>
  <c r="FF282" i="33"/>
  <c r="FE282" i="33"/>
  <c r="FD282" i="33"/>
  <c r="FC282" i="33"/>
  <c r="FB282" i="33"/>
  <c r="FA282" i="33"/>
  <c r="EZ282" i="33"/>
  <c r="EY282" i="33"/>
  <c r="EX282" i="33"/>
  <c r="EW282" i="33"/>
  <c r="EV282" i="33"/>
  <c r="EU282" i="33"/>
  <c r="ET282" i="33"/>
  <c r="ES282" i="33"/>
  <c r="ER282" i="33"/>
  <c r="EQ282" i="33"/>
  <c r="EP282" i="33"/>
  <c r="EO282" i="33"/>
  <c r="EN282" i="33"/>
  <c r="EM282" i="33"/>
  <c r="EL282" i="33"/>
  <c r="EK282" i="33"/>
  <c r="EJ282" i="33"/>
  <c r="EI282" i="33"/>
  <c r="EH282" i="33"/>
  <c r="EG282" i="33"/>
  <c r="EF282" i="33"/>
  <c r="EE282" i="33"/>
  <c r="ED282" i="33"/>
  <c r="EC282" i="33"/>
  <c r="EB282" i="33"/>
  <c r="EA282" i="33"/>
  <c r="DZ282" i="33"/>
  <c r="DY282" i="33"/>
  <c r="DX282" i="33"/>
  <c r="DW282" i="33"/>
  <c r="DV282" i="33"/>
  <c r="DU282" i="33"/>
  <c r="DT282" i="33"/>
  <c r="DS282" i="33"/>
  <c r="DR282" i="33"/>
  <c r="DQ282" i="33"/>
  <c r="DP282" i="33"/>
  <c r="DO282" i="33"/>
  <c r="DN282" i="33"/>
  <c r="DM282" i="33"/>
  <c r="DL282" i="33"/>
  <c r="DK282" i="33"/>
  <c r="DJ282" i="33"/>
  <c r="DI282" i="33"/>
  <c r="DH282" i="33"/>
  <c r="DG282" i="33"/>
  <c r="DF282" i="33"/>
  <c r="DE282" i="33"/>
  <c r="DD282" i="33"/>
  <c r="DC282" i="33"/>
  <c r="DB282" i="33"/>
  <c r="DA282" i="33"/>
  <c r="CZ282" i="33"/>
  <c r="CY282" i="33"/>
  <c r="CX282" i="33"/>
  <c r="CW282" i="33"/>
  <c r="CV282" i="33"/>
  <c r="CU282" i="33"/>
  <c r="CT282" i="33"/>
  <c r="CS282" i="33"/>
  <c r="CR282" i="33"/>
  <c r="CQ282" i="33"/>
  <c r="CP282" i="33"/>
  <c r="CO282" i="33"/>
  <c r="CN282" i="33"/>
  <c r="CM282" i="33"/>
  <c r="CL282" i="33"/>
  <c r="CK282" i="33"/>
  <c r="CJ282" i="33"/>
  <c r="CI282" i="33"/>
  <c r="CH282" i="33"/>
  <c r="CG282" i="33"/>
  <c r="CF282" i="33"/>
  <c r="CE282" i="33"/>
  <c r="CD282" i="33"/>
  <c r="CC282" i="33"/>
  <c r="CB282" i="33"/>
  <c r="CA282" i="33"/>
  <c r="BZ282" i="33"/>
  <c r="BY282" i="33"/>
  <c r="BX282" i="33"/>
  <c r="BW282" i="33"/>
  <c r="BV282" i="33"/>
  <c r="BU282" i="33"/>
  <c r="BT282" i="33"/>
  <c r="BS282" i="33"/>
  <c r="BR282" i="33"/>
  <c r="BQ282" i="33"/>
  <c r="BP282" i="33"/>
  <c r="BO282" i="33"/>
  <c r="BN282" i="33"/>
  <c r="BM282" i="33"/>
  <c r="BL282" i="33"/>
  <c r="BK282" i="33"/>
  <c r="BJ282" i="33"/>
  <c r="BI282" i="33"/>
  <c r="BH282" i="33"/>
  <c r="BG282" i="33"/>
  <c r="BF282" i="33"/>
  <c r="BE282" i="33"/>
  <c r="BD282" i="33"/>
  <c r="BC282" i="33"/>
  <c r="BB282" i="33"/>
  <c r="BA282" i="33"/>
  <c r="AZ282" i="33"/>
  <c r="AY282" i="33"/>
  <c r="AX282" i="33"/>
  <c r="AW282" i="33"/>
  <c r="AV282" i="33"/>
  <c r="AU282" i="33"/>
  <c r="AT282" i="33"/>
  <c r="AS282" i="33"/>
  <c r="AR282" i="33"/>
  <c r="AQ282" i="33"/>
  <c r="AP282" i="33"/>
  <c r="AO282" i="33"/>
  <c r="AN282" i="33"/>
  <c r="AM282" i="33"/>
  <c r="AL282" i="33"/>
  <c r="AK282" i="33"/>
  <c r="AJ282" i="33"/>
  <c r="AI282" i="33"/>
  <c r="AH282" i="33"/>
  <c r="AG282" i="33"/>
  <c r="AF282" i="33"/>
  <c r="AE282" i="33"/>
  <c r="AD282" i="33"/>
  <c r="AC282" i="33"/>
  <c r="AB282" i="33"/>
  <c r="AA282" i="33"/>
  <c r="Z282" i="33"/>
  <c r="Y282" i="33"/>
  <c r="X282" i="33"/>
  <c r="W282" i="33"/>
  <c r="V282" i="33"/>
  <c r="U282" i="33"/>
  <c r="T282" i="33"/>
  <c r="S282" i="33"/>
  <c r="R282" i="33"/>
  <c r="Q282" i="33"/>
  <c r="P282" i="33"/>
  <c r="O282" i="33"/>
  <c r="N282" i="33"/>
  <c r="M282" i="33"/>
  <c r="L282" i="33"/>
  <c r="K282" i="33"/>
  <c r="J282" i="33"/>
  <c r="I282" i="33"/>
  <c r="H282" i="33"/>
  <c r="G282" i="33"/>
  <c r="F282" i="33"/>
  <c r="E282" i="33"/>
  <c r="D282" i="33"/>
  <c r="C282" i="33"/>
  <c r="B282" i="33"/>
  <c r="A282" i="33"/>
  <c r="IV281" i="33"/>
  <c r="IU281" i="33"/>
  <c r="IT281" i="33"/>
  <c r="IS281" i="33"/>
  <c r="IR281" i="33"/>
  <c r="IQ281" i="33"/>
  <c r="IP281" i="33"/>
  <c r="IO281" i="33"/>
  <c r="IN281" i="33"/>
  <c r="IM281" i="33"/>
  <c r="IL281" i="33"/>
  <c r="IK281" i="33"/>
  <c r="IJ281" i="33"/>
  <c r="II281" i="33"/>
  <c r="IH281" i="33"/>
  <c r="IG281" i="33"/>
  <c r="IF281" i="33"/>
  <c r="IE281" i="33"/>
  <c r="ID281" i="33"/>
  <c r="IC281" i="33"/>
  <c r="IB281" i="33"/>
  <c r="IA281" i="33"/>
  <c r="HZ281" i="33"/>
  <c r="HY281" i="33"/>
  <c r="HX281" i="33"/>
  <c r="HW281" i="33"/>
  <c r="HV281" i="33"/>
  <c r="HU281" i="33"/>
  <c r="HT281" i="33"/>
  <c r="HS281" i="33"/>
  <c r="HR281" i="33"/>
  <c r="HQ281" i="33"/>
  <c r="HP281" i="33"/>
  <c r="HO281" i="33"/>
  <c r="HN281" i="33"/>
  <c r="HM281" i="33"/>
  <c r="HL281" i="33"/>
  <c r="HK281" i="33"/>
  <c r="HJ281" i="33"/>
  <c r="HI281" i="33"/>
  <c r="HH281" i="33"/>
  <c r="HG281" i="33"/>
  <c r="HF281" i="33"/>
  <c r="HE281" i="33"/>
  <c r="HD281" i="33"/>
  <c r="HC281" i="33"/>
  <c r="HB281" i="33"/>
  <c r="HA281" i="33"/>
  <c r="GZ281" i="33"/>
  <c r="GY281" i="33"/>
  <c r="GX281" i="33"/>
  <c r="GW281" i="33"/>
  <c r="GV281" i="33"/>
  <c r="GU281" i="33"/>
  <c r="GT281" i="33"/>
  <c r="GS281" i="33"/>
  <c r="GR281" i="33"/>
  <c r="GQ281" i="33"/>
  <c r="GP281" i="33"/>
  <c r="GO281" i="33"/>
  <c r="GN281" i="33"/>
  <c r="GM281" i="33"/>
  <c r="GL281" i="33"/>
  <c r="GK281" i="33"/>
  <c r="GJ281" i="33"/>
  <c r="GI281" i="33"/>
  <c r="GH281" i="33"/>
  <c r="GG281" i="33"/>
  <c r="GF281" i="33"/>
  <c r="GE281" i="33"/>
  <c r="GD281" i="33"/>
  <c r="GC281" i="33"/>
  <c r="GB281" i="33"/>
  <c r="GA281" i="33"/>
  <c r="FZ281" i="33"/>
  <c r="FY281" i="33"/>
  <c r="FX281" i="33"/>
  <c r="FW281" i="33"/>
  <c r="FV281" i="33"/>
  <c r="FU281" i="33"/>
  <c r="FT281" i="33"/>
  <c r="FS281" i="33"/>
  <c r="FR281" i="33"/>
  <c r="FQ281" i="33"/>
  <c r="FP281" i="33"/>
  <c r="FO281" i="33"/>
  <c r="FN281" i="33"/>
  <c r="FM281" i="33"/>
  <c r="FL281" i="33"/>
  <c r="FK281" i="33"/>
  <c r="FJ281" i="33"/>
  <c r="FI281" i="33"/>
  <c r="FH281" i="33"/>
  <c r="FG281" i="33"/>
  <c r="FF281" i="33"/>
  <c r="FE281" i="33"/>
  <c r="FD281" i="33"/>
  <c r="FC281" i="33"/>
  <c r="FB281" i="33"/>
  <c r="FA281" i="33"/>
  <c r="EZ281" i="33"/>
  <c r="EY281" i="33"/>
  <c r="EX281" i="33"/>
  <c r="EW281" i="33"/>
  <c r="EV281" i="33"/>
  <c r="EU281" i="33"/>
  <c r="ET281" i="33"/>
  <c r="ES281" i="33"/>
  <c r="ER281" i="33"/>
  <c r="EQ281" i="33"/>
  <c r="EP281" i="33"/>
  <c r="EO281" i="33"/>
  <c r="EN281" i="33"/>
  <c r="EM281" i="33"/>
  <c r="EL281" i="33"/>
  <c r="EK281" i="33"/>
  <c r="EJ281" i="33"/>
  <c r="EI281" i="33"/>
  <c r="EH281" i="33"/>
  <c r="EG281" i="33"/>
  <c r="EF281" i="33"/>
  <c r="EE281" i="33"/>
  <c r="ED281" i="33"/>
  <c r="EC281" i="33"/>
  <c r="EB281" i="33"/>
  <c r="EA281" i="33"/>
  <c r="DZ281" i="33"/>
  <c r="DY281" i="33"/>
  <c r="DX281" i="33"/>
  <c r="DW281" i="33"/>
  <c r="DV281" i="33"/>
  <c r="DU281" i="33"/>
  <c r="DT281" i="33"/>
  <c r="DS281" i="33"/>
  <c r="DR281" i="33"/>
  <c r="DQ281" i="33"/>
  <c r="DP281" i="33"/>
  <c r="DO281" i="33"/>
  <c r="DN281" i="33"/>
  <c r="DM281" i="33"/>
  <c r="DL281" i="33"/>
  <c r="DK281" i="33"/>
  <c r="DJ281" i="33"/>
  <c r="DI281" i="33"/>
  <c r="DH281" i="33"/>
  <c r="DG281" i="33"/>
  <c r="DF281" i="33"/>
  <c r="DE281" i="33"/>
  <c r="DD281" i="33"/>
  <c r="DC281" i="33"/>
  <c r="DB281" i="33"/>
  <c r="DA281" i="33"/>
  <c r="CZ281" i="33"/>
  <c r="CY281" i="33"/>
  <c r="CX281" i="33"/>
  <c r="CW281" i="33"/>
  <c r="CV281" i="33"/>
  <c r="CU281" i="33"/>
  <c r="CT281" i="33"/>
  <c r="CS281" i="33"/>
  <c r="CR281" i="33"/>
  <c r="CQ281" i="33"/>
  <c r="CP281" i="33"/>
  <c r="CO281" i="33"/>
  <c r="CN281" i="33"/>
  <c r="CM281" i="33"/>
  <c r="CL281" i="33"/>
  <c r="CK281" i="33"/>
  <c r="CJ281" i="33"/>
  <c r="CI281" i="33"/>
  <c r="CH281" i="33"/>
  <c r="CG281" i="33"/>
  <c r="CF281" i="33"/>
  <c r="CE281" i="33"/>
  <c r="CD281" i="33"/>
  <c r="CC281" i="33"/>
  <c r="CB281" i="33"/>
  <c r="CA281" i="33"/>
  <c r="BZ281" i="33"/>
  <c r="BY281" i="33"/>
  <c r="BX281" i="33"/>
  <c r="BW281" i="33"/>
  <c r="BV281" i="33"/>
  <c r="BU281" i="33"/>
  <c r="BT281" i="33"/>
  <c r="BS281" i="33"/>
  <c r="BR281" i="33"/>
  <c r="BQ281" i="33"/>
  <c r="BP281" i="33"/>
  <c r="BO281" i="33"/>
  <c r="BN281" i="33"/>
  <c r="BM281" i="33"/>
  <c r="BL281" i="33"/>
  <c r="BK281" i="33"/>
  <c r="BJ281" i="33"/>
  <c r="BI281" i="33"/>
  <c r="BH281" i="33"/>
  <c r="BG281" i="33"/>
  <c r="BF281" i="33"/>
  <c r="BE281" i="33"/>
  <c r="BD281" i="33"/>
  <c r="BC281" i="33"/>
  <c r="BB281" i="33"/>
  <c r="BA281" i="33"/>
  <c r="AZ281" i="33"/>
  <c r="AY281" i="33"/>
  <c r="AX281" i="33"/>
  <c r="AW281" i="33"/>
  <c r="AV281" i="33"/>
  <c r="AU281" i="33"/>
  <c r="AT281" i="33"/>
  <c r="AS281" i="33"/>
  <c r="AR281" i="33"/>
  <c r="AQ281" i="33"/>
  <c r="AP281" i="33"/>
  <c r="AO281" i="33"/>
  <c r="AN281" i="33"/>
  <c r="AM281" i="33"/>
  <c r="AL281" i="33"/>
  <c r="AK281" i="33"/>
  <c r="AJ281" i="33"/>
  <c r="AI281" i="33"/>
  <c r="AH281" i="33"/>
  <c r="AG281" i="33"/>
  <c r="AF281" i="33"/>
  <c r="AE281" i="33"/>
  <c r="AD281" i="33"/>
  <c r="AC281" i="33"/>
  <c r="AB281" i="33"/>
  <c r="AA281" i="33"/>
  <c r="Z281" i="33"/>
  <c r="Y281" i="33"/>
  <c r="X281" i="33"/>
  <c r="W281" i="33"/>
  <c r="V281" i="33"/>
  <c r="U281" i="33"/>
  <c r="T281" i="33"/>
  <c r="S281" i="33"/>
  <c r="R281" i="33"/>
  <c r="Q281" i="33"/>
  <c r="P281" i="33"/>
  <c r="O281" i="33"/>
  <c r="N281" i="33"/>
  <c r="M281" i="33"/>
  <c r="L281" i="33"/>
  <c r="K281" i="33"/>
  <c r="J281" i="33"/>
  <c r="I281" i="33"/>
  <c r="H281" i="33"/>
  <c r="G281" i="33"/>
  <c r="F281" i="33"/>
  <c r="E281" i="33"/>
  <c r="D281" i="33"/>
  <c r="C281" i="33"/>
  <c r="B281" i="33"/>
  <c r="A281" i="33"/>
  <c r="IV280" i="33"/>
  <c r="IU280" i="33"/>
  <c r="IT280" i="33"/>
  <c r="IS280" i="33"/>
  <c r="IR280" i="33"/>
  <c r="IQ280" i="33"/>
  <c r="IP280" i="33"/>
  <c r="IO280" i="33"/>
  <c r="IN280" i="33"/>
  <c r="IM280" i="33"/>
  <c r="IL280" i="33"/>
  <c r="IK280" i="33"/>
  <c r="IJ280" i="33"/>
  <c r="II280" i="33"/>
  <c r="IH280" i="33"/>
  <c r="IG280" i="33"/>
  <c r="IF280" i="33"/>
  <c r="IE280" i="33"/>
  <c r="ID280" i="33"/>
  <c r="IC280" i="33"/>
  <c r="IB280" i="33"/>
  <c r="IA280" i="33"/>
  <c r="HZ280" i="33"/>
  <c r="HY280" i="33"/>
  <c r="HX280" i="33"/>
  <c r="HW280" i="33"/>
  <c r="HV280" i="33"/>
  <c r="HU280" i="33"/>
  <c r="HT280" i="33"/>
  <c r="HS280" i="33"/>
  <c r="HR280" i="33"/>
  <c r="HQ280" i="33"/>
  <c r="HP280" i="33"/>
  <c r="HO280" i="33"/>
  <c r="HN280" i="33"/>
  <c r="HM280" i="33"/>
  <c r="HL280" i="33"/>
  <c r="HK280" i="33"/>
  <c r="HJ280" i="33"/>
  <c r="HI280" i="33"/>
  <c r="HH280" i="33"/>
  <c r="HG280" i="33"/>
  <c r="HF280" i="33"/>
  <c r="HE280" i="33"/>
  <c r="HD280" i="33"/>
  <c r="HC280" i="33"/>
  <c r="HB280" i="33"/>
  <c r="HA280" i="33"/>
  <c r="GZ280" i="33"/>
  <c r="GY280" i="33"/>
  <c r="GX280" i="33"/>
  <c r="GW280" i="33"/>
  <c r="GV280" i="33"/>
  <c r="GU280" i="33"/>
  <c r="GT280" i="33"/>
  <c r="GS280" i="33"/>
  <c r="GR280" i="33"/>
  <c r="GQ280" i="33"/>
  <c r="GP280" i="33"/>
  <c r="GO280" i="33"/>
  <c r="GN280" i="33"/>
  <c r="GM280" i="33"/>
  <c r="GL280" i="33"/>
  <c r="GK280" i="33"/>
  <c r="GJ280" i="33"/>
  <c r="GI280" i="33"/>
  <c r="GH280" i="33"/>
  <c r="GG280" i="33"/>
  <c r="GF280" i="33"/>
  <c r="GE280" i="33"/>
  <c r="GD280" i="33"/>
  <c r="GC280" i="33"/>
  <c r="GB280" i="33"/>
  <c r="GA280" i="33"/>
  <c r="FZ280" i="33"/>
  <c r="FY280" i="33"/>
  <c r="FX280" i="33"/>
  <c r="FW280" i="33"/>
  <c r="FV280" i="33"/>
  <c r="FU280" i="33"/>
  <c r="FT280" i="33"/>
  <c r="FS280" i="33"/>
  <c r="FR280" i="33"/>
  <c r="FQ280" i="33"/>
  <c r="FP280" i="33"/>
  <c r="FO280" i="33"/>
  <c r="FN280" i="33"/>
  <c r="FM280" i="33"/>
  <c r="FL280" i="33"/>
  <c r="FK280" i="33"/>
  <c r="FJ280" i="33"/>
  <c r="FI280" i="33"/>
  <c r="FH280" i="33"/>
  <c r="FG280" i="33"/>
  <c r="FF280" i="33"/>
  <c r="FE280" i="33"/>
  <c r="FD280" i="33"/>
  <c r="FC280" i="33"/>
  <c r="FB280" i="33"/>
  <c r="FA280" i="33"/>
  <c r="EZ280" i="33"/>
  <c r="EY280" i="33"/>
  <c r="EX280" i="33"/>
  <c r="EW280" i="33"/>
  <c r="EV280" i="33"/>
  <c r="EU280" i="33"/>
  <c r="ET280" i="33"/>
  <c r="ES280" i="33"/>
  <c r="ER280" i="33"/>
  <c r="EQ280" i="33"/>
  <c r="EP280" i="33"/>
  <c r="EO280" i="33"/>
  <c r="EN280" i="33"/>
  <c r="EM280" i="33"/>
  <c r="EL280" i="33"/>
  <c r="EK280" i="33"/>
  <c r="EJ280" i="33"/>
  <c r="EI280" i="33"/>
  <c r="EH280" i="33"/>
  <c r="EG280" i="33"/>
  <c r="EF280" i="33"/>
  <c r="EE280" i="33"/>
  <c r="ED280" i="33"/>
  <c r="EC280" i="33"/>
  <c r="EB280" i="33"/>
  <c r="EA280" i="33"/>
  <c r="DZ280" i="33"/>
  <c r="DY280" i="33"/>
  <c r="DX280" i="33"/>
  <c r="DW280" i="33"/>
  <c r="DV280" i="33"/>
  <c r="DU280" i="33"/>
  <c r="DT280" i="33"/>
  <c r="DS280" i="33"/>
  <c r="DR280" i="33"/>
  <c r="DQ280" i="33"/>
  <c r="DP280" i="33"/>
  <c r="DO280" i="33"/>
  <c r="DN280" i="33"/>
  <c r="DM280" i="33"/>
  <c r="DL280" i="33"/>
  <c r="DK280" i="33"/>
  <c r="DJ280" i="33"/>
  <c r="DI280" i="33"/>
  <c r="DH280" i="33"/>
  <c r="DG280" i="33"/>
  <c r="DF280" i="33"/>
  <c r="DE280" i="33"/>
  <c r="DD280" i="33"/>
  <c r="DC280" i="33"/>
  <c r="DB280" i="33"/>
  <c r="DA280" i="33"/>
  <c r="CZ280" i="33"/>
  <c r="CY280" i="33"/>
  <c r="CX280" i="33"/>
  <c r="CW280" i="33"/>
  <c r="CV280" i="33"/>
  <c r="CU280" i="33"/>
  <c r="CT280" i="33"/>
  <c r="CS280" i="33"/>
  <c r="CR280" i="33"/>
  <c r="CQ280" i="33"/>
  <c r="CP280" i="33"/>
  <c r="CO280" i="33"/>
  <c r="CN280" i="33"/>
  <c r="CM280" i="33"/>
  <c r="CL280" i="33"/>
  <c r="CK280" i="33"/>
  <c r="CJ280" i="33"/>
  <c r="CI280" i="33"/>
  <c r="CH280" i="33"/>
  <c r="CG280" i="33"/>
  <c r="CF280" i="33"/>
  <c r="CE280" i="33"/>
  <c r="CD280" i="33"/>
  <c r="CC280" i="33"/>
  <c r="CB280" i="33"/>
  <c r="CA280" i="33"/>
  <c r="BZ280" i="33"/>
  <c r="BY280" i="33"/>
  <c r="BX280" i="33"/>
  <c r="BW280" i="33"/>
  <c r="BV280" i="33"/>
  <c r="BU280" i="33"/>
  <c r="BT280" i="33"/>
  <c r="BS280" i="33"/>
  <c r="BR280" i="33"/>
  <c r="BQ280" i="33"/>
  <c r="BP280" i="33"/>
  <c r="BO280" i="33"/>
  <c r="BN280" i="33"/>
  <c r="BM280" i="33"/>
  <c r="BL280" i="33"/>
  <c r="BK280" i="33"/>
  <c r="BJ280" i="33"/>
  <c r="BI280" i="33"/>
  <c r="BH280" i="33"/>
  <c r="BG280" i="33"/>
  <c r="BF280" i="33"/>
  <c r="BE280" i="33"/>
  <c r="BD280" i="33"/>
  <c r="BC280" i="33"/>
  <c r="BB280" i="33"/>
  <c r="BA280" i="33"/>
  <c r="AZ280" i="33"/>
  <c r="AY280" i="33"/>
  <c r="AX280" i="33"/>
  <c r="AW280" i="33"/>
  <c r="AV280" i="33"/>
  <c r="AU280" i="33"/>
  <c r="AT280" i="33"/>
  <c r="AS280" i="33"/>
  <c r="AR280" i="33"/>
  <c r="AQ280" i="33"/>
  <c r="AP280" i="33"/>
  <c r="AO280" i="33"/>
  <c r="AN280" i="33"/>
  <c r="AM280" i="33"/>
  <c r="AL280" i="33"/>
  <c r="AK280" i="33"/>
  <c r="AJ280" i="33"/>
  <c r="AI280" i="33"/>
  <c r="AH280" i="33"/>
  <c r="AG280" i="33"/>
  <c r="AF280" i="33"/>
  <c r="AE280" i="33"/>
  <c r="AD280" i="33"/>
  <c r="AC280" i="33"/>
  <c r="AB280" i="33"/>
  <c r="AA280" i="33"/>
  <c r="Z280" i="33"/>
  <c r="Y280" i="33"/>
  <c r="X280" i="33"/>
  <c r="W280" i="33"/>
  <c r="V280" i="33"/>
  <c r="U280" i="33"/>
  <c r="T280" i="33"/>
  <c r="S280" i="33"/>
  <c r="R280" i="33"/>
  <c r="Q280" i="33"/>
  <c r="P280" i="33"/>
  <c r="O280" i="33"/>
  <c r="N280" i="33"/>
  <c r="M280" i="33"/>
  <c r="L280" i="33"/>
  <c r="K280" i="33"/>
  <c r="J280" i="33"/>
  <c r="I280" i="33"/>
  <c r="H280" i="33"/>
  <c r="G280" i="33"/>
  <c r="F280" i="33"/>
  <c r="E280" i="33"/>
  <c r="D280" i="33"/>
  <c r="C280" i="33"/>
  <c r="B280" i="33"/>
  <c r="A280" i="33"/>
  <c r="IV279" i="33"/>
  <c r="IU279" i="33"/>
  <c r="IT279" i="33"/>
  <c r="IS279" i="33"/>
  <c r="IR279" i="33"/>
  <c r="IQ279" i="33"/>
  <c r="IP279" i="33"/>
  <c r="IO279" i="33"/>
  <c r="IN279" i="33"/>
  <c r="IM279" i="33"/>
  <c r="IL279" i="33"/>
  <c r="IK279" i="33"/>
  <c r="IJ279" i="33"/>
  <c r="II279" i="33"/>
  <c r="IH279" i="33"/>
  <c r="IG279" i="33"/>
  <c r="IF279" i="33"/>
  <c r="IE279" i="33"/>
  <c r="ID279" i="33"/>
  <c r="IC279" i="33"/>
  <c r="IB279" i="33"/>
  <c r="IA279" i="33"/>
  <c r="HZ279" i="33"/>
  <c r="HY279" i="33"/>
  <c r="HX279" i="33"/>
  <c r="HW279" i="33"/>
  <c r="HV279" i="33"/>
  <c r="HU279" i="33"/>
  <c r="HT279" i="33"/>
  <c r="HS279" i="33"/>
  <c r="HR279" i="33"/>
  <c r="HQ279" i="33"/>
  <c r="HP279" i="33"/>
  <c r="HO279" i="33"/>
  <c r="HN279" i="33"/>
  <c r="HM279" i="33"/>
  <c r="HL279" i="33"/>
  <c r="HK279" i="33"/>
  <c r="HJ279" i="33"/>
  <c r="HI279" i="33"/>
  <c r="HH279" i="33"/>
  <c r="HG279" i="33"/>
  <c r="HF279" i="33"/>
  <c r="HE279" i="33"/>
  <c r="HD279" i="33"/>
  <c r="HC279" i="33"/>
  <c r="HB279" i="33"/>
  <c r="HA279" i="33"/>
  <c r="GZ279" i="33"/>
  <c r="GY279" i="33"/>
  <c r="GX279" i="33"/>
  <c r="GW279" i="33"/>
  <c r="GV279" i="33"/>
  <c r="GU279" i="33"/>
  <c r="GT279" i="33"/>
  <c r="GS279" i="33"/>
  <c r="GR279" i="33"/>
  <c r="GQ279" i="33"/>
  <c r="GP279" i="33"/>
  <c r="GO279" i="33"/>
  <c r="GN279" i="33"/>
  <c r="GM279" i="33"/>
  <c r="GL279" i="33"/>
  <c r="GK279" i="33"/>
  <c r="GJ279" i="33"/>
  <c r="GI279" i="33"/>
  <c r="GH279" i="33"/>
  <c r="GG279" i="33"/>
  <c r="GF279" i="33"/>
  <c r="GE279" i="33"/>
  <c r="GD279" i="33"/>
  <c r="GC279" i="33"/>
  <c r="GB279" i="33"/>
  <c r="GA279" i="33"/>
  <c r="FZ279" i="33"/>
  <c r="FY279" i="33"/>
  <c r="FX279" i="33"/>
  <c r="FW279" i="33"/>
  <c r="FV279" i="33"/>
  <c r="FU279" i="33"/>
  <c r="FT279" i="33"/>
  <c r="FS279" i="33"/>
  <c r="FR279" i="33"/>
  <c r="FQ279" i="33"/>
  <c r="FP279" i="33"/>
  <c r="FO279" i="33"/>
  <c r="FN279" i="33"/>
  <c r="FM279" i="33"/>
  <c r="FL279" i="33"/>
  <c r="FK279" i="33"/>
  <c r="FJ279" i="33"/>
  <c r="FI279" i="33"/>
  <c r="FH279" i="33"/>
  <c r="FG279" i="33"/>
  <c r="FF279" i="33"/>
  <c r="FE279" i="33"/>
  <c r="FD279" i="33"/>
  <c r="FC279" i="33"/>
  <c r="FB279" i="33"/>
  <c r="FA279" i="33"/>
  <c r="EZ279" i="33"/>
  <c r="EY279" i="33"/>
  <c r="EX279" i="33"/>
  <c r="EW279" i="33"/>
  <c r="EV279" i="33"/>
  <c r="EU279" i="33"/>
  <c r="ET279" i="33"/>
  <c r="ES279" i="33"/>
  <c r="ER279" i="33"/>
  <c r="EQ279" i="33"/>
  <c r="EP279" i="33"/>
  <c r="EO279" i="33"/>
  <c r="EN279" i="33"/>
  <c r="EM279" i="33"/>
  <c r="EL279" i="33"/>
  <c r="EK279" i="33"/>
  <c r="EJ279" i="33"/>
  <c r="EI279" i="33"/>
  <c r="EH279" i="33"/>
  <c r="EG279" i="33"/>
  <c r="EF279" i="33"/>
  <c r="EE279" i="33"/>
  <c r="ED279" i="33"/>
  <c r="EC279" i="33"/>
  <c r="EB279" i="33"/>
  <c r="EA279" i="33"/>
  <c r="DZ279" i="33"/>
  <c r="DY279" i="33"/>
  <c r="DX279" i="33"/>
  <c r="DW279" i="33"/>
  <c r="DV279" i="33"/>
  <c r="DU279" i="33"/>
  <c r="DT279" i="33"/>
  <c r="DS279" i="33"/>
  <c r="DR279" i="33"/>
  <c r="DQ279" i="33"/>
  <c r="DP279" i="33"/>
  <c r="DO279" i="33"/>
  <c r="DN279" i="33"/>
  <c r="DM279" i="33"/>
  <c r="DL279" i="33"/>
  <c r="DK279" i="33"/>
  <c r="DJ279" i="33"/>
  <c r="DI279" i="33"/>
  <c r="DH279" i="33"/>
  <c r="DG279" i="33"/>
  <c r="DF279" i="33"/>
  <c r="DE279" i="33"/>
  <c r="DD279" i="33"/>
  <c r="DC279" i="33"/>
  <c r="DB279" i="33"/>
  <c r="DA279" i="33"/>
  <c r="CZ279" i="33"/>
  <c r="CY279" i="33"/>
  <c r="CX279" i="33"/>
  <c r="CW279" i="33"/>
  <c r="CV279" i="33"/>
  <c r="CU279" i="33"/>
  <c r="CT279" i="33"/>
  <c r="CS279" i="33"/>
  <c r="CR279" i="33"/>
  <c r="CQ279" i="33"/>
  <c r="CP279" i="33"/>
  <c r="CO279" i="33"/>
  <c r="CN279" i="33"/>
  <c r="CM279" i="33"/>
  <c r="CL279" i="33"/>
  <c r="CK279" i="33"/>
  <c r="CJ279" i="33"/>
  <c r="CI279" i="33"/>
  <c r="CH279" i="33"/>
  <c r="CG279" i="33"/>
  <c r="CF279" i="33"/>
  <c r="CE279" i="33"/>
  <c r="CD279" i="33"/>
  <c r="CC279" i="33"/>
  <c r="CB279" i="33"/>
  <c r="CA279" i="33"/>
  <c r="BZ279" i="33"/>
  <c r="BY279" i="33"/>
  <c r="BX279" i="33"/>
  <c r="BW279" i="33"/>
  <c r="BV279" i="33"/>
  <c r="BU279" i="33"/>
  <c r="BT279" i="33"/>
  <c r="BS279" i="33"/>
  <c r="BR279" i="33"/>
  <c r="BQ279" i="33"/>
  <c r="BP279" i="33"/>
  <c r="BO279" i="33"/>
  <c r="BN279" i="33"/>
  <c r="BM279" i="33"/>
  <c r="BL279" i="33"/>
  <c r="BK279" i="33"/>
  <c r="BJ279" i="33"/>
  <c r="BI279" i="33"/>
  <c r="BH279" i="33"/>
  <c r="BG279" i="33"/>
  <c r="BF279" i="33"/>
  <c r="BE279" i="33"/>
  <c r="BD279" i="33"/>
  <c r="BC279" i="33"/>
  <c r="BB279" i="33"/>
  <c r="BA279" i="33"/>
  <c r="AZ279" i="33"/>
  <c r="AY279" i="33"/>
  <c r="AX279" i="33"/>
  <c r="AW279" i="33"/>
  <c r="AV279" i="33"/>
  <c r="AU279" i="33"/>
  <c r="AT279" i="33"/>
  <c r="AS279" i="33"/>
  <c r="AR279" i="33"/>
  <c r="AQ279" i="33"/>
  <c r="AP279" i="33"/>
  <c r="AO279" i="33"/>
  <c r="AN279" i="33"/>
  <c r="AM279" i="33"/>
  <c r="AL279" i="33"/>
  <c r="AK279" i="33"/>
  <c r="AJ279" i="33"/>
  <c r="AI279" i="33"/>
  <c r="AH279" i="33"/>
  <c r="AG279" i="33"/>
  <c r="AF279" i="33"/>
  <c r="AE279" i="33"/>
  <c r="AD279" i="33"/>
  <c r="AC279" i="33"/>
  <c r="AB279" i="33"/>
  <c r="AA279" i="33"/>
  <c r="Z279" i="33"/>
  <c r="Y279" i="33"/>
  <c r="X279" i="33"/>
  <c r="W279" i="33"/>
  <c r="V279" i="33"/>
  <c r="U279" i="33"/>
  <c r="T279" i="33"/>
  <c r="S279" i="33"/>
  <c r="R279" i="33"/>
  <c r="Q279" i="33"/>
  <c r="P279" i="33"/>
  <c r="O279" i="33"/>
  <c r="N279" i="33"/>
  <c r="M279" i="33"/>
  <c r="L279" i="33"/>
  <c r="K279" i="33"/>
  <c r="J279" i="33"/>
  <c r="I279" i="33"/>
  <c r="H279" i="33"/>
  <c r="G279" i="33"/>
  <c r="F279" i="33"/>
  <c r="E279" i="33"/>
  <c r="D279" i="33"/>
  <c r="C279" i="33"/>
  <c r="B279" i="33"/>
  <c r="A279" i="33"/>
  <c r="IV278" i="33"/>
  <c r="IU278" i="33"/>
  <c r="IT278" i="33"/>
  <c r="IS278" i="33"/>
  <c r="IR278" i="33"/>
  <c r="IQ278" i="33"/>
  <c r="IP278" i="33"/>
  <c r="IO278" i="33"/>
  <c r="IN278" i="33"/>
  <c r="IM278" i="33"/>
  <c r="IL278" i="33"/>
  <c r="IK278" i="33"/>
  <c r="IJ278" i="33"/>
  <c r="II278" i="33"/>
  <c r="IH278" i="33"/>
  <c r="IG278" i="33"/>
  <c r="IF278" i="33"/>
  <c r="IE278" i="33"/>
  <c r="ID278" i="33"/>
  <c r="IC278" i="33"/>
  <c r="IB278" i="33"/>
  <c r="IA278" i="33"/>
  <c r="HZ278" i="33"/>
  <c r="HY278" i="33"/>
  <c r="HX278" i="33"/>
  <c r="HW278" i="33"/>
  <c r="HV278" i="33"/>
  <c r="HU278" i="33"/>
  <c r="HT278" i="33"/>
  <c r="HS278" i="33"/>
  <c r="HR278" i="33"/>
  <c r="HQ278" i="33"/>
  <c r="HP278" i="33"/>
  <c r="HO278" i="33"/>
  <c r="HN278" i="33"/>
  <c r="HM278" i="33"/>
  <c r="HL278" i="33"/>
  <c r="HK278" i="33"/>
  <c r="HJ278" i="33"/>
  <c r="HI278" i="33"/>
  <c r="HH278" i="33"/>
  <c r="HG278" i="33"/>
  <c r="HF278" i="33"/>
  <c r="HE278" i="33"/>
  <c r="HD278" i="33"/>
  <c r="HC278" i="33"/>
  <c r="HB278" i="33"/>
  <c r="HA278" i="33"/>
  <c r="GZ278" i="33"/>
  <c r="GY278" i="33"/>
  <c r="GX278" i="33"/>
  <c r="GW278" i="33"/>
  <c r="GV278" i="33"/>
  <c r="GU278" i="33"/>
  <c r="GT278" i="33"/>
  <c r="GS278" i="33"/>
  <c r="GR278" i="33"/>
  <c r="GQ278" i="33"/>
  <c r="GP278" i="33"/>
  <c r="GO278" i="33"/>
  <c r="GN278" i="33"/>
  <c r="GM278" i="33"/>
  <c r="GL278" i="33"/>
  <c r="GK278" i="33"/>
  <c r="GJ278" i="33"/>
  <c r="GI278" i="33"/>
  <c r="GH278" i="33"/>
  <c r="GG278" i="33"/>
  <c r="GF278" i="33"/>
  <c r="GE278" i="33"/>
  <c r="GD278" i="33"/>
  <c r="GC278" i="33"/>
  <c r="GB278" i="33"/>
  <c r="GA278" i="33"/>
  <c r="FZ278" i="33"/>
  <c r="FY278" i="33"/>
  <c r="FX278" i="33"/>
  <c r="FW278" i="33"/>
  <c r="FV278" i="33"/>
  <c r="FU278" i="33"/>
  <c r="FT278" i="33"/>
  <c r="FS278" i="33"/>
  <c r="FR278" i="33"/>
  <c r="FQ278" i="33"/>
  <c r="FP278" i="33"/>
  <c r="FO278" i="33"/>
  <c r="FN278" i="33"/>
  <c r="FM278" i="33"/>
  <c r="FL278" i="33"/>
  <c r="FK278" i="33"/>
  <c r="FJ278" i="33"/>
  <c r="FI278" i="33"/>
  <c r="FH278" i="33"/>
  <c r="FG278" i="33"/>
  <c r="FF278" i="33"/>
  <c r="FE278" i="33"/>
  <c r="FD278" i="33"/>
  <c r="FC278" i="33"/>
  <c r="FB278" i="33"/>
  <c r="FA278" i="33"/>
  <c r="EZ278" i="33"/>
  <c r="EY278" i="33"/>
  <c r="EX278" i="33"/>
  <c r="EW278" i="33"/>
  <c r="EV278" i="33"/>
  <c r="EU278" i="33"/>
  <c r="ET278" i="33"/>
  <c r="ES278" i="33"/>
  <c r="ER278" i="33"/>
  <c r="EQ278" i="33"/>
  <c r="EP278" i="33"/>
  <c r="EO278" i="33"/>
  <c r="EN278" i="33"/>
  <c r="EM278" i="33"/>
  <c r="EL278" i="33"/>
  <c r="EK278" i="33"/>
  <c r="EJ278" i="33"/>
  <c r="EI278" i="33"/>
  <c r="EH278" i="33"/>
  <c r="EG278" i="33"/>
  <c r="EF278" i="33"/>
  <c r="EE278" i="33"/>
  <c r="ED278" i="33"/>
  <c r="EC278" i="33"/>
  <c r="EB278" i="33"/>
  <c r="EA278" i="33"/>
  <c r="DZ278" i="33"/>
  <c r="DY278" i="33"/>
  <c r="DX278" i="33"/>
  <c r="DW278" i="33"/>
  <c r="DV278" i="33"/>
  <c r="DU278" i="33"/>
  <c r="DT278" i="33"/>
  <c r="DS278" i="33"/>
  <c r="DR278" i="33"/>
  <c r="DQ278" i="33"/>
  <c r="DP278" i="33"/>
  <c r="DO278" i="33"/>
  <c r="DN278" i="33"/>
  <c r="DM278" i="33"/>
  <c r="DL278" i="33"/>
  <c r="DK278" i="33"/>
  <c r="DJ278" i="33"/>
  <c r="DI278" i="33"/>
  <c r="DH278" i="33"/>
  <c r="DG278" i="33"/>
  <c r="DF278" i="33"/>
  <c r="DE278" i="33"/>
  <c r="DD278" i="33"/>
  <c r="DC278" i="33"/>
  <c r="DB278" i="33"/>
  <c r="DA278" i="33"/>
  <c r="CZ278" i="33"/>
  <c r="CY278" i="33"/>
  <c r="CX278" i="33"/>
  <c r="CW278" i="33"/>
  <c r="CV278" i="33"/>
  <c r="CU278" i="33"/>
  <c r="CT278" i="33"/>
  <c r="CS278" i="33"/>
  <c r="CR278" i="33"/>
  <c r="CQ278" i="33"/>
  <c r="CP278" i="33"/>
  <c r="CO278" i="33"/>
  <c r="CN278" i="33"/>
  <c r="CM278" i="33"/>
  <c r="CL278" i="33"/>
  <c r="CK278" i="33"/>
  <c r="CJ278" i="33"/>
  <c r="CI278" i="33"/>
  <c r="CH278" i="33"/>
  <c r="CG278" i="33"/>
  <c r="CF278" i="33"/>
  <c r="CE278" i="33"/>
  <c r="CD278" i="33"/>
  <c r="CC278" i="33"/>
  <c r="CB278" i="33"/>
  <c r="CA278" i="33"/>
  <c r="BZ278" i="33"/>
  <c r="BY278" i="33"/>
  <c r="BX278" i="33"/>
  <c r="BW278" i="33"/>
  <c r="BV278" i="33"/>
  <c r="BU278" i="33"/>
  <c r="BT278" i="33"/>
  <c r="BS278" i="33"/>
  <c r="BR278" i="33"/>
  <c r="BQ278" i="33"/>
  <c r="BP278" i="33"/>
  <c r="BO278" i="33"/>
  <c r="BN278" i="33"/>
  <c r="BM278" i="33"/>
  <c r="BL278" i="33"/>
  <c r="BK278" i="33"/>
  <c r="BJ278" i="33"/>
  <c r="BI278" i="33"/>
  <c r="BH278" i="33"/>
  <c r="BG278" i="33"/>
  <c r="BF278" i="33"/>
  <c r="BE278" i="33"/>
  <c r="BD278" i="33"/>
  <c r="BC278" i="33"/>
  <c r="BB278" i="33"/>
  <c r="BA278" i="33"/>
  <c r="AZ278" i="33"/>
  <c r="AY278" i="33"/>
  <c r="AX278" i="33"/>
  <c r="AW278" i="33"/>
  <c r="AV278" i="33"/>
  <c r="AU278" i="33"/>
  <c r="AT278" i="33"/>
  <c r="AS278" i="33"/>
  <c r="AR278" i="33"/>
  <c r="AQ278" i="33"/>
  <c r="AP278" i="33"/>
  <c r="AO278" i="33"/>
  <c r="AN278" i="33"/>
  <c r="AM278" i="33"/>
  <c r="AL278" i="33"/>
  <c r="AK278" i="33"/>
  <c r="AJ278" i="33"/>
  <c r="AI278" i="33"/>
  <c r="AH278" i="33"/>
  <c r="AG278" i="33"/>
  <c r="AF278" i="33"/>
  <c r="AE278" i="33"/>
  <c r="AD278" i="33"/>
  <c r="AC278" i="33"/>
  <c r="AB278" i="33"/>
  <c r="AA278" i="33"/>
  <c r="Z278" i="33"/>
  <c r="Y278" i="33"/>
  <c r="X278" i="33"/>
  <c r="W278" i="33"/>
  <c r="V278" i="33"/>
  <c r="U278" i="33"/>
  <c r="T278" i="33"/>
  <c r="S278" i="33"/>
  <c r="R278" i="33"/>
  <c r="Q278" i="33"/>
  <c r="P278" i="33"/>
  <c r="O278" i="33"/>
  <c r="N278" i="33"/>
  <c r="M278" i="33"/>
  <c r="L278" i="33"/>
  <c r="K278" i="33"/>
  <c r="J278" i="33"/>
  <c r="I278" i="33"/>
  <c r="H278" i="33"/>
  <c r="G278" i="33"/>
  <c r="F278" i="33"/>
  <c r="E278" i="33"/>
  <c r="D278" i="33"/>
  <c r="C278" i="33"/>
  <c r="B278" i="33"/>
  <c r="A278" i="33"/>
  <c r="IV277" i="33"/>
  <c r="IU277" i="33"/>
  <c r="IT277" i="33"/>
  <c r="IS277" i="33"/>
  <c r="IR277" i="33"/>
  <c r="IQ277" i="33"/>
  <c r="IP277" i="33"/>
  <c r="IO277" i="33"/>
  <c r="IN277" i="33"/>
  <c r="IM277" i="33"/>
  <c r="IL277" i="33"/>
  <c r="IK277" i="33"/>
  <c r="IJ277" i="33"/>
  <c r="II277" i="33"/>
  <c r="IH277" i="33"/>
  <c r="IG277" i="33"/>
  <c r="IF277" i="33"/>
  <c r="IE277" i="33"/>
  <c r="ID277" i="33"/>
  <c r="IC277" i="33"/>
  <c r="IB277" i="33"/>
  <c r="IA277" i="33"/>
  <c r="HZ277" i="33"/>
  <c r="HY277" i="33"/>
  <c r="HX277" i="33"/>
  <c r="HW277" i="33"/>
  <c r="HV277" i="33"/>
  <c r="HU277" i="33"/>
  <c r="HT277" i="33"/>
  <c r="HS277" i="33"/>
  <c r="HR277" i="33"/>
  <c r="HQ277" i="33"/>
  <c r="HP277" i="33"/>
  <c r="HO277" i="33"/>
  <c r="HN277" i="33"/>
  <c r="HM277" i="33"/>
  <c r="HL277" i="33"/>
  <c r="HK277" i="33"/>
  <c r="HJ277" i="33"/>
  <c r="HI277" i="33"/>
  <c r="HH277" i="33"/>
  <c r="HG277" i="33"/>
  <c r="HF277" i="33"/>
  <c r="HE277" i="33"/>
  <c r="HD277" i="33"/>
  <c r="HC277" i="33"/>
  <c r="HB277" i="33"/>
  <c r="HA277" i="33"/>
  <c r="GZ277" i="33"/>
  <c r="GY277" i="33"/>
  <c r="GX277" i="33"/>
  <c r="GW277" i="33"/>
  <c r="GV277" i="33"/>
  <c r="GU277" i="33"/>
  <c r="GT277" i="33"/>
  <c r="GS277" i="33"/>
  <c r="GR277" i="33"/>
  <c r="GQ277" i="33"/>
  <c r="GP277" i="33"/>
  <c r="GO277" i="33"/>
  <c r="GN277" i="33"/>
  <c r="GM277" i="33"/>
  <c r="GL277" i="33"/>
  <c r="GK277" i="33"/>
  <c r="GJ277" i="33"/>
  <c r="GI277" i="33"/>
  <c r="GH277" i="33"/>
  <c r="GG277" i="33"/>
  <c r="GF277" i="33"/>
  <c r="GE277" i="33"/>
  <c r="GD277" i="33"/>
  <c r="GC277" i="33"/>
  <c r="GB277" i="33"/>
  <c r="GA277" i="33"/>
  <c r="FZ277" i="33"/>
  <c r="FY277" i="33"/>
  <c r="FX277" i="33"/>
  <c r="FW277" i="33"/>
  <c r="FV277" i="33"/>
  <c r="FU277" i="33"/>
  <c r="FT277" i="33"/>
  <c r="FS277" i="33"/>
  <c r="FR277" i="33"/>
  <c r="FQ277" i="33"/>
  <c r="FP277" i="33"/>
  <c r="FO277" i="33"/>
  <c r="FN277" i="33"/>
  <c r="FM277" i="33"/>
  <c r="FL277" i="33"/>
  <c r="FK277" i="33"/>
  <c r="FJ277" i="33"/>
  <c r="FI277" i="33"/>
  <c r="FH277" i="33"/>
  <c r="FG277" i="33"/>
  <c r="FF277" i="33"/>
  <c r="FE277" i="33"/>
  <c r="FD277" i="33"/>
  <c r="FC277" i="33"/>
  <c r="FB277" i="33"/>
  <c r="FA277" i="33"/>
  <c r="EZ277" i="33"/>
  <c r="EY277" i="33"/>
  <c r="EX277" i="33"/>
  <c r="EW277" i="33"/>
  <c r="EV277" i="33"/>
  <c r="EU277" i="33"/>
  <c r="ET277" i="33"/>
  <c r="ES277" i="33"/>
  <c r="ER277" i="33"/>
  <c r="EQ277" i="33"/>
  <c r="EP277" i="33"/>
  <c r="EO277" i="33"/>
  <c r="EN277" i="33"/>
  <c r="EM277" i="33"/>
  <c r="EL277" i="33"/>
  <c r="EK277" i="33"/>
  <c r="EJ277" i="33"/>
  <c r="EI277" i="33"/>
  <c r="EH277" i="33"/>
  <c r="EG277" i="33"/>
  <c r="EF277" i="33"/>
  <c r="EE277" i="33"/>
  <c r="ED277" i="33"/>
  <c r="EC277" i="33"/>
  <c r="EB277" i="33"/>
  <c r="EA277" i="33"/>
  <c r="DZ277" i="33"/>
  <c r="DY277" i="33"/>
  <c r="DX277" i="33"/>
  <c r="DW277" i="33"/>
  <c r="DV277" i="33"/>
  <c r="DU277" i="33"/>
  <c r="DT277" i="33"/>
  <c r="DS277" i="33"/>
  <c r="DR277" i="33"/>
  <c r="DQ277" i="33"/>
  <c r="DP277" i="33"/>
  <c r="DO277" i="33"/>
  <c r="DN277" i="33"/>
  <c r="DM277" i="33"/>
  <c r="DL277" i="33"/>
  <c r="DK277" i="33"/>
  <c r="DJ277" i="33"/>
  <c r="DI277" i="33"/>
  <c r="DH277" i="33"/>
  <c r="DG277" i="33"/>
  <c r="DF277" i="33"/>
  <c r="DE277" i="33"/>
  <c r="DD277" i="33"/>
  <c r="DC277" i="33"/>
  <c r="DB277" i="33"/>
  <c r="DA277" i="33"/>
  <c r="CZ277" i="33"/>
  <c r="CY277" i="33"/>
  <c r="CX277" i="33"/>
  <c r="CW277" i="33"/>
  <c r="CV277" i="33"/>
  <c r="CU277" i="33"/>
  <c r="CT277" i="33"/>
  <c r="CS277" i="33"/>
  <c r="CR277" i="33"/>
  <c r="CQ277" i="33"/>
  <c r="CP277" i="33"/>
  <c r="CO277" i="33"/>
  <c r="CN277" i="33"/>
  <c r="CM277" i="33"/>
  <c r="CL277" i="33"/>
  <c r="CK277" i="33"/>
  <c r="CJ277" i="33"/>
  <c r="CI277" i="33"/>
  <c r="CH277" i="33"/>
  <c r="CG277" i="33"/>
  <c r="CF277" i="33"/>
  <c r="CE277" i="33"/>
  <c r="CD277" i="33"/>
  <c r="CC277" i="33"/>
  <c r="CB277" i="33"/>
  <c r="CA277" i="33"/>
  <c r="BZ277" i="33"/>
  <c r="BY277" i="33"/>
  <c r="BX277" i="33"/>
  <c r="BW277" i="33"/>
  <c r="BV277" i="33"/>
  <c r="BU277" i="33"/>
  <c r="BT277" i="33"/>
  <c r="BS277" i="33"/>
  <c r="BR277" i="33"/>
  <c r="BQ277" i="33"/>
  <c r="BP277" i="33"/>
  <c r="BO277" i="33"/>
  <c r="BN277" i="33"/>
  <c r="BM277" i="33"/>
  <c r="BL277" i="33"/>
  <c r="BK277" i="33"/>
  <c r="BJ277" i="33"/>
  <c r="BI277" i="33"/>
  <c r="BH277" i="33"/>
  <c r="BG277" i="33"/>
  <c r="BF277" i="33"/>
  <c r="BE277" i="33"/>
  <c r="BD277" i="33"/>
  <c r="BC277" i="33"/>
  <c r="BB277" i="33"/>
  <c r="BA277" i="33"/>
  <c r="AZ277" i="33"/>
  <c r="AY277" i="33"/>
  <c r="AX277" i="33"/>
  <c r="AW277" i="33"/>
  <c r="AV277" i="33"/>
  <c r="AU277" i="33"/>
  <c r="AT277" i="33"/>
  <c r="AS277" i="33"/>
  <c r="AR277" i="33"/>
  <c r="AQ277" i="33"/>
  <c r="AP277" i="33"/>
  <c r="AO277" i="33"/>
  <c r="AN277" i="33"/>
  <c r="AM277" i="33"/>
  <c r="AL277" i="33"/>
  <c r="AK277" i="33"/>
  <c r="AJ277" i="33"/>
  <c r="AI277" i="33"/>
  <c r="AH277" i="33"/>
  <c r="AG277" i="33"/>
  <c r="AF277" i="33"/>
  <c r="AE277" i="33"/>
  <c r="AD277" i="33"/>
  <c r="AC277" i="33"/>
  <c r="AB277" i="33"/>
  <c r="AA277" i="33"/>
  <c r="Z277" i="33"/>
  <c r="Y277" i="33"/>
  <c r="X277" i="33"/>
  <c r="W277" i="33"/>
  <c r="V277" i="33"/>
  <c r="U277" i="33"/>
  <c r="T277" i="33"/>
  <c r="S277" i="33"/>
  <c r="R277" i="33"/>
  <c r="Q277" i="33"/>
  <c r="P277" i="33"/>
  <c r="O277" i="33"/>
  <c r="N277" i="33"/>
  <c r="M277" i="33"/>
  <c r="L277" i="33"/>
  <c r="K277" i="33"/>
  <c r="J277" i="33"/>
  <c r="I277" i="33"/>
  <c r="H277" i="33"/>
  <c r="G277" i="33"/>
  <c r="F277" i="33"/>
  <c r="E277" i="33"/>
  <c r="D277" i="33"/>
  <c r="C277" i="33"/>
  <c r="B277" i="33"/>
  <c r="A277" i="33"/>
  <c r="IV276" i="33"/>
  <c r="IU276" i="33"/>
  <c r="IT276" i="33"/>
  <c r="IS276" i="33"/>
  <c r="IR276" i="33"/>
  <c r="IQ276" i="33"/>
  <c r="IP276" i="33"/>
  <c r="IO276" i="33"/>
  <c r="IN276" i="33"/>
  <c r="IM276" i="33"/>
  <c r="IL276" i="33"/>
  <c r="IK276" i="33"/>
  <c r="IJ276" i="33"/>
  <c r="II276" i="33"/>
  <c r="IH276" i="33"/>
  <c r="IG276" i="33"/>
  <c r="IF276" i="33"/>
  <c r="IE276" i="33"/>
  <c r="ID276" i="33"/>
  <c r="IC276" i="33"/>
  <c r="IB276" i="33"/>
  <c r="IA276" i="33"/>
  <c r="HZ276" i="33"/>
  <c r="HY276" i="33"/>
  <c r="HX276" i="33"/>
  <c r="HW276" i="33"/>
  <c r="HV276" i="33"/>
  <c r="HU276" i="33"/>
  <c r="HT276" i="33"/>
  <c r="HS276" i="33"/>
  <c r="HR276" i="33"/>
  <c r="HQ276" i="33"/>
  <c r="HP276" i="33"/>
  <c r="HO276" i="33"/>
  <c r="HN276" i="33"/>
  <c r="HM276" i="33"/>
  <c r="HL276" i="33"/>
  <c r="HK276" i="33"/>
  <c r="HJ276" i="33"/>
  <c r="HI276" i="33"/>
  <c r="HH276" i="33"/>
  <c r="HG276" i="33"/>
  <c r="HF276" i="33"/>
  <c r="HE276" i="33"/>
  <c r="HD276" i="33"/>
  <c r="HC276" i="33"/>
  <c r="HB276" i="33"/>
  <c r="HA276" i="33"/>
  <c r="GZ276" i="33"/>
  <c r="GY276" i="33"/>
  <c r="GX276" i="33"/>
  <c r="GW276" i="33"/>
  <c r="GV276" i="33"/>
  <c r="GU276" i="33"/>
  <c r="GT276" i="33"/>
  <c r="GS276" i="33"/>
  <c r="GR276" i="33"/>
  <c r="GQ276" i="33"/>
  <c r="GP276" i="33"/>
  <c r="GO276" i="33"/>
  <c r="GN276" i="33"/>
  <c r="GM276" i="33"/>
  <c r="GL276" i="33"/>
  <c r="GK276" i="33"/>
  <c r="GJ276" i="33"/>
  <c r="GI276" i="33"/>
  <c r="GH276" i="33"/>
  <c r="GG276" i="33"/>
  <c r="GF276" i="33"/>
  <c r="GE276" i="33"/>
  <c r="GD276" i="33"/>
  <c r="GC276" i="33"/>
  <c r="GB276" i="33"/>
  <c r="GA276" i="33"/>
  <c r="FZ276" i="33"/>
  <c r="FY276" i="33"/>
  <c r="FX276" i="33"/>
  <c r="FW276" i="33"/>
  <c r="FV276" i="33"/>
  <c r="FU276" i="33"/>
  <c r="FT276" i="33"/>
  <c r="FS276" i="33"/>
  <c r="FR276" i="33"/>
  <c r="FQ276" i="33"/>
  <c r="FP276" i="33"/>
  <c r="FO276" i="33"/>
  <c r="FN276" i="33"/>
  <c r="FM276" i="33"/>
  <c r="FL276" i="33"/>
  <c r="FK276" i="33"/>
  <c r="FJ276" i="33"/>
  <c r="FI276" i="33"/>
  <c r="FH276" i="33"/>
  <c r="FG276" i="33"/>
  <c r="FF276" i="33"/>
  <c r="FE276" i="33"/>
  <c r="FD276" i="33"/>
  <c r="FC276" i="33"/>
  <c r="FB276" i="33"/>
  <c r="FA276" i="33"/>
  <c r="EZ276" i="33"/>
  <c r="EY276" i="33"/>
  <c r="EX276" i="33"/>
  <c r="EW276" i="33"/>
  <c r="EV276" i="33"/>
  <c r="EU276" i="33"/>
  <c r="ET276" i="33"/>
  <c r="ES276" i="33"/>
  <c r="ER276" i="33"/>
  <c r="EQ276" i="33"/>
  <c r="EP276" i="33"/>
  <c r="EO276" i="33"/>
  <c r="EN276" i="33"/>
  <c r="EM276" i="33"/>
  <c r="EL276" i="33"/>
  <c r="EK276" i="33"/>
  <c r="EJ276" i="33"/>
  <c r="EI276" i="33"/>
  <c r="EH276" i="33"/>
  <c r="EG276" i="33"/>
  <c r="EF276" i="33"/>
  <c r="EE276" i="33"/>
  <c r="ED276" i="33"/>
  <c r="EC276" i="33"/>
  <c r="EB276" i="33"/>
  <c r="EA276" i="33"/>
  <c r="DZ276" i="33"/>
  <c r="DY276" i="33"/>
  <c r="DX276" i="33"/>
  <c r="DW276" i="33"/>
  <c r="DV276" i="33"/>
  <c r="DU276" i="33"/>
  <c r="DT276" i="33"/>
  <c r="DS276" i="33"/>
  <c r="DR276" i="33"/>
  <c r="DQ276" i="33"/>
  <c r="DP276" i="33"/>
  <c r="DO276" i="33"/>
  <c r="DN276" i="33"/>
  <c r="DM276" i="33"/>
  <c r="DL276" i="33"/>
  <c r="DK276" i="33"/>
  <c r="DJ276" i="33"/>
  <c r="DI276" i="33"/>
  <c r="DH276" i="33"/>
  <c r="DG276" i="33"/>
  <c r="DF276" i="33"/>
  <c r="DE276" i="33"/>
  <c r="DD276" i="33"/>
  <c r="DC276" i="33"/>
  <c r="DB276" i="33"/>
  <c r="DA276" i="33"/>
  <c r="CZ276" i="33"/>
  <c r="CY276" i="33"/>
  <c r="CX276" i="33"/>
  <c r="CW276" i="33"/>
  <c r="CV276" i="33"/>
  <c r="CU276" i="33"/>
  <c r="CT276" i="33"/>
  <c r="CS276" i="33"/>
  <c r="CR276" i="33"/>
  <c r="CQ276" i="33"/>
  <c r="CP276" i="33"/>
  <c r="CO276" i="33"/>
  <c r="CN276" i="33"/>
  <c r="CM276" i="33"/>
  <c r="CL276" i="33"/>
  <c r="CK276" i="33"/>
  <c r="CJ276" i="33"/>
  <c r="CI276" i="33"/>
  <c r="CH276" i="33"/>
  <c r="CG276" i="33"/>
  <c r="CF276" i="33"/>
  <c r="CE276" i="33"/>
  <c r="CD276" i="33"/>
  <c r="CC276" i="33"/>
  <c r="CB276" i="33"/>
  <c r="CA276" i="33"/>
  <c r="BZ276" i="33"/>
  <c r="BY276" i="33"/>
  <c r="BX276" i="33"/>
  <c r="BW276" i="33"/>
  <c r="BV276" i="33"/>
  <c r="BU276" i="33"/>
  <c r="BT276" i="33"/>
  <c r="BS276" i="33"/>
  <c r="BR276" i="33"/>
  <c r="BQ276" i="33"/>
  <c r="BP276" i="33"/>
  <c r="BO276" i="33"/>
  <c r="BN276" i="33"/>
  <c r="BM276" i="33"/>
  <c r="BL276" i="33"/>
  <c r="BK276" i="33"/>
  <c r="BJ276" i="33"/>
  <c r="BI276" i="33"/>
  <c r="BH276" i="33"/>
  <c r="BG276" i="33"/>
  <c r="BF276" i="33"/>
  <c r="BE276" i="33"/>
  <c r="BD276" i="33"/>
  <c r="BC276" i="33"/>
  <c r="BB276" i="33"/>
  <c r="BA276" i="33"/>
  <c r="AZ276" i="33"/>
  <c r="AY276" i="33"/>
  <c r="AX276" i="33"/>
  <c r="AW276" i="33"/>
  <c r="AV276" i="33"/>
  <c r="AU276" i="33"/>
  <c r="AT276" i="33"/>
  <c r="AS276" i="33"/>
  <c r="AR276" i="33"/>
  <c r="AQ276" i="33"/>
  <c r="AP276" i="33"/>
  <c r="AO276" i="33"/>
  <c r="AN276" i="33"/>
  <c r="AM276" i="33"/>
  <c r="AL276" i="33"/>
  <c r="AK276" i="33"/>
  <c r="AJ276" i="33"/>
  <c r="AI276" i="33"/>
  <c r="AH276" i="33"/>
  <c r="AG276" i="33"/>
  <c r="AF276" i="33"/>
  <c r="AE276" i="33"/>
  <c r="AD276" i="33"/>
  <c r="AC276" i="33"/>
  <c r="AB276" i="33"/>
  <c r="AA276" i="33"/>
  <c r="Z276" i="33"/>
  <c r="Y276" i="33"/>
  <c r="X276" i="33"/>
  <c r="W276" i="33"/>
  <c r="V276" i="33"/>
  <c r="U276" i="33"/>
  <c r="T276" i="33"/>
  <c r="S276" i="33"/>
  <c r="R276" i="33"/>
  <c r="Q276" i="33"/>
  <c r="P276" i="33"/>
  <c r="O276" i="33"/>
  <c r="N276" i="33"/>
  <c r="M276" i="33"/>
  <c r="L276" i="33"/>
  <c r="K276" i="33"/>
  <c r="J276" i="33"/>
  <c r="I276" i="33"/>
  <c r="H276" i="33"/>
  <c r="G276" i="33"/>
  <c r="F276" i="33"/>
  <c r="E276" i="33"/>
  <c r="D276" i="33"/>
  <c r="C276" i="33"/>
  <c r="B276" i="33"/>
  <c r="A276" i="33"/>
  <c r="IV275" i="33"/>
  <c r="IU275" i="33"/>
  <c r="IT275" i="33"/>
  <c r="IS275" i="33"/>
  <c r="IR275" i="33"/>
  <c r="IQ275" i="33"/>
  <c r="IP275" i="33"/>
  <c r="IO275" i="33"/>
  <c r="IN275" i="33"/>
  <c r="IM275" i="33"/>
  <c r="IL275" i="33"/>
  <c r="IK275" i="33"/>
  <c r="IJ275" i="33"/>
  <c r="II275" i="33"/>
  <c r="IH275" i="33"/>
  <c r="IG275" i="33"/>
  <c r="IF275" i="33"/>
  <c r="IE275" i="33"/>
  <c r="ID275" i="33"/>
  <c r="IC275" i="33"/>
  <c r="IB275" i="33"/>
  <c r="IA275" i="33"/>
  <c r="HZ275" i="33"/>
  <c r="HY275" i="33"/>
  <c r="HX275" i="33"/>
  <c r="HW275" i="33"/>
  <c r="HV275" i="33"/>
  <c r="HU275" i="33"/>
  <c r="HT275" i="33"/>
  <c r="HS275" i="33"/>
  <c r="HR275" i="33"/>
  <c r="HQ275" i="33"/>
  <c r="HP275" i="33"/>
  <c r="HO275" i="33"/>
  <c r="HN275" i="33"/>
  <c r="HM275" i="33"/>
  <c r="HL275" i="33"/>
  <c r="HK275" i="33"/>
  <c r="HJ275" i="33"/>
  <c r="HI275" i="33"/>
  <c r="HH275" i="33"/>
  <c r="HG275" i="33"/>
  <c r="HF275" i="33"/>
  <c r="HE275" i="33"/>
  <c r="HD275" i="33"/>
  <c r="HC275" i="33"/>
  <c r="HB275" i="33"/>
  <c r="HA275" i="33"/>
  <c r="GZ275" i="33"/>
  <c r="GY275" i="33"/>
  <c r="GX275" i="33"/>
  <c r="GW275" i="33"/>
  <c r="GV275" i="33"/>
  <c r="GU275" i="33"/>
  <c r="GT275" i="33"/>
  <c r="GS275" i="33"/>
  <c r="GR275" i="33"/>
  <c r="GQ275" i="33"/>
  <c r="GP275" i="33"/>
  <c r="GO275" i="33"/>
  <c r="GN275" i="33"/>
  <c r="GM275" i="33"/>
  <c r="GL275" i="33"/>
  <c r="GK275" i="33"/>
  <c r="GJ275" i="33"/>
  <c r="GI275" i="33"/>
  <c r="GH275" i="33"/>
  <c r="GG275" i="33"/>
  <c r="GF275" i="33"/>
  <c r="GE275" i="33"/>
  <c r="GD275" i="33"/>
  <c r="GC275" i="33"/>
  <c r="GB275" i="33"/>
  <c r="GA275" i="33"/>
  <c r="FZ275" i="33"/>
  <c r="FY275" i="33"/>
  <c r="FX275" i="33"/>
  <c r="FW275" i="33"/>
  <c r="FV275" i="33"/>
  <c r="FU275" i="33"/>
  <c r="FT275" i="33"/>
  <c r="FS275" i="33"/>
  <c r="FR275" i="33"/>
  <c r="FQ275" i="33"/>
  <c r="FP275" i="33"/>
  <c r="FO275" i="33"/>
  <c r="FN275" i="33"/>
  <c r="FM275" i="33"/>
  <c r="FL275" i="33"/>
  <c r="FK275" i="33"/>
  <c r="FJ275" i="33"/>
  <c r="FI275" i="33"/>
  <c r="FH275" i="33"/>
  <c r="FG275" i="33"/>
  <c r="FF275" i="33"/>
  <c r="FE275" i="33"/>
  <c r="FD275" i="33"/>
  <c r="FC275" i="33"/>
  <c r="FB275" i="33"/>
  <c r="FA275" i="33"/>
  <c r="EZ275" i="33"/>
  <c r="EY275" i="33"/>
  <c r="EX275" i="33"/>
  <c r="EW275" i="33"/>
  <c r="EV275" i="33"/>
  <c r="EU275" i="33"/>
  <c r="ET275" i="33"/>
  <c r="ES275" i="33"/>
  <c r="ER275" i="33"/>
  <c r="EQ275" i="33"/>
  <c r="EP275" i="33"/>
  <c r="EO275" i="33"/>
  <c r="EN275" i="33"/>
  <c r="EM275" i="33"/>
  <c r="EL275" i="33"/>
  <c r="EK275" i="33"/>
  <c r="EJ275" i="33"/>
  <c r="EI275" i="33"/>
  <c r="EH275" i="33"/>
  <c r="EG275" i="33"/>
  <c r="EF275" i="33"/>
  <c r="EE275" i="33"/>
  <c r="ED275" i="33"/>
  <c r="EC275" i="33"/>
  <c r="EB275" i="33"/>
  <c r="EA275" i="33"/>
  <c r="DZ275" i="33"/>
  <c r="DY275" i="33"/>
  <c r="DX275" i="33"/>
  <c r="DW275" i="33"/>
  <c r="DV275" i="33"/>
  <c r="DU275" i="33"/>
  <c r="DT275" i="33"/>
  <c r="DS275" i="33"/>
  <c r="DR275" i="33"/>
  <c r="DQ275" i="33"/>
  <c r="DP275" i="33"/>
  <c r="DO275" i="33"/>
  <c r="DN275" i="33"/>
  <c r="DM275" i="33"/>
  <c r="DL275" i="33"/>
  <c r="DK275" i="33"/>
  <c r="DJ275" i="33"/>
  <c r="DI275" i="33"/>
  <c r="DH275" i="33"/>
  <c r="DG275" i="33"/>
  <c r="DF275" i="33"/>
  <c r="DE275" i="33"/>
  <c r="DD275" i="33"/>
  <c r="DC275" i="33"/>
  <c r="DB275" i="33"/>
  <c r="DA275" i="33"/>
  <c r="CZ275" i="33"/>
  <c r="CY275" i="33"/>
  <c r="CX275" i="33"/>
  <c r="CW275" i="33"/>
  <c r="CV275" i="33"/>
  <c r="CU275" i="33"/>
  <c r="CT275" i="33"/>
  <c r="CS275" i="33"/>
  <c r="CR275" i="33"/>
  <c r="CQ275" i="33"/>
  <c r="CP275" i="33"/>
  <c r="CO275" i="33"/>
  <c r="CN275" i="33"/>
  <c r="CM275" i="33"/>
  <c r="CL275" i="33"/>
  <c r="CK275" i="33"/>
  <c r="CJ275" i="33"/>
  <c r="CI275" i="33"/>
  <c r="CH275" i="33"/>
  <c r="CG275" i="33"/>
  <c r="CF275" i="33"/>
  <c r="CE275" i="33"/>
  <c r="CD275" i="33"/>
  <c r="CC275" i="33"/>
  <c r="CB275" i="33"/>
  <c r="CA275" i="33"/>
  <c r="BZ275" i="33"/>
  <c r="BY275" i="33"/>
  <c r="BX275" i="33"/>
  <c r="BW275" i="33"/>
  <c r="BV275" i="33"/>
  <c r="BU275" i="33"/>
  <c r="BT275" i="33"/>
  <c r="BS275" i="33"/>
  <c r="BR275" i="33"/>
  <c r="BQ275" i="33"/>
  <c r="BP275" i="33"/>
  <c r="BO275" i="33"/>
  <c r="BN275" i="33"/>
  <c r="BM275" i="33"/>
  <c r="BL275" i="33"/>
  <c r="BK275" i="33"/>
  <c r="BJ275" i="33"/>
  <c r="BI275" i="33"/>
  <c r="BH275" i="33"/>
  <c r="BG275" i="33"/>
  <c r="BF275" i="33"/>
  <c r="BE275" i="33"/>
  <c r="BD275" i="33"/>
  <c r="BC275" i="33"/>
  <c r="BB275" i="33"/>
  <c r="BA275" i="33"/>
  <c r="AZ275" i="33"/>
  <c r="AY275" i="33"/>
  <c r="AX275" i="33"/>
  <c r="AW275" i="33"/>
  <c r="AV275" i="33"/>
  <c r="AU275" i="33"/>
  <c r="AT275" i="33"/>
  <c r="AS275" i="33"/>
  <c r="AR275" i="33"/>
  <c r="AQ275" i="33"/>
  <c r="AP275" i="33"/>
  <c r="AO275" i="33"/>
  <c r="AN275" i="33"/>
  <c r="AM275" i="33"/>
  <c r="AL275" i="33"/>
  <c r="AK275" i="33"/>
  <c r="AJ275" i="33"/>
  <c r="AI275" i="33"/>
  <c r="AH275" i="33"/>
  <c r="AG275" i="33"/>
  <c r="AF275" i="33"/>
  <c r="AE275" i="33"/>
  <c r="AD275" i="33"/>
  <c r="AC275" i="33"/>
  <c r="AB275" i="33"/>
  <c r="AA275" i="33"/>
  <c r="Z275" i="33"/>
  <c r="Y275" i="33"/>
  <c r="X275" i="33"/>
  <c r="W275" i="33"/>
  <c r="V275" i="33"/>
  <c r="U275" i="33"/>
  <c r="T275" i="33"/>
  <c r="S275" i="33"/>
  <c r="R275" i="33"/>
  <c r="Q275" i="33"/>
  <c r="P275" i="33"/>
  <c r="O275" i="33"/>
  <c r="N275" i="33"/>
  <c r="M275" i="33"/>
  <c r="L275" i="33"/>
  <c r="K275" i="33"/>
  <c r="J275" i="33"/>
  <c r="I275" i="33"/>
  <c r="H275" i="33"/>
  <c r="G275" i="33"/>
  <c r="F275" i="33"/>
  <c r="E275" i="33"/>
  <c r="D275" i="33"/>
  <c r="C275" i="33"/>
  <c r="B275" i="33"/>
  <c r="A275" i="33"/>
  <c r="IV274" i="33"/>
  <c r="IU274" i="33"/>
  <c r="IT274" i="33"/>
  <c r="IS274" i="33"/>
  <c r="IR274" i="33"/>
  <c r="IQ274" i="33"/>
  <c r="IP274" i="33"/>
  <c r="IO274" i="33"/>
  <c r="IN274" i="33"/>
  <c r="IM274" i="33"/>
  <c r="IL274" i="33"/>
  <c r="IK274" i="33"/>
  <c r="IJ274" i="33"/>
  <c r="II274" i="33"/>
  <c r="IH274" i="33"/>
  <c r="IG274" i="33"/>
  <c r="IF274" i="33"/>
  <c r="IE274" i="33"/>
  <c r="ID274" i="33"/>
  <c r="IC274" i="33"/>
  <c r="IB274" i="33"/>
  <c r="IA274" i="33"/>
  <c r="HZ274" i="33"/>
  <c r="HY274" i="33"/>
  <c r="HX274" i="33"/>
  <c r="HW274" i="33"/>
  <c r="HV274" i="33"/>
  <c r="HU274" i="33"/>
  <c r="HT274" i="33"/>
  <c r="HS274" i="33"/>
  <c r="HR274" i="33"/>
  <c r="HQ274" i="33"/>
  <c r="HP274" i="33"/>
  <c r="HO274" i="33"/>
  <c r="HN274" i="33"/>
  <c r="HM274" i="33"/>
  <c r="HL274" i="33"/>
  <c r="HK274" i="33"/>
  <c r="HJ274" i="33"/>
  <c r="HI274" i="33"/>
  <c r="HH274" i="33"/>
  <c r="HG274" i="33"/>
  <c r="HF274" i="33"/>
  <c r="HE274" i="33"/>
  <c r="HD274" i="33"/>
  <c r="HC274" i="33"/>
  <c r="HB274" i="33"/>
  <c r="HA274" i="33"/>
  <c r="GZ274" i="33"/>
  <c r="GY274" i="33"/>
  <c r="GX274" i="33"/>
  <c r="GW274" i="33"/>
  <c r="GV274" i="33"/>
  <c r="GU274" i="33"/>
  <c r="GT274" i="33"/>
  <c r="GS274" i="33"/>
  <c r="GR274" i="33"/>
  <c r="GQ274" i="33"/>
  <c r="GP274" i="33"/>
  <c r="GO274" i="33"/>
  <c r="GN274" i="33"/>
  <c r="GM274" i="33"/>
  <c r="GL274" i="33"/>
  <c r="GK274" i="33"/>
  <c r="GJ274" i="33"/>
  <c r="GI274" i="33"/>
  <c r="GH274" i="33"/>
  <c r="GG274" i="33"/>
  <c r="GF274" i="33"/>
  <c r="GE274" i="33"/>
  <c r="GD274" i="33"/>
  <c r="GC274" i="33"/>
  <c r="GB274" i="33"/>
  <c r="GA274" i="33"/>
  <c r="FZ274" i="33"/>
  <c r="FY274" i="33"/>
  <c r="FX274" i="33"/>
  <c r="FW274" i="33"/>
  <c r="FV274" i="33"/>
  <c r="FU274" i="33"/>
  <c r="FT274" i="33"/>
  <c r="FS274" i="33"/>
  <c r="FR274" i="33"/>
  <c r="FQ274" i="33"/>
  <c r="FP274" i="33"/>
  <c r="FO274" i="33"/>
  <c r="FN274" i="33"/>
  <c r="FM274" i="33"/>
  <c r="FL274" i="33"/>
  <c r="FK274" i="33"/>
  <c r="FJ274" i="33"/>
  <c r="FI274" i="33"/>
  <c r="FH274" i="33"/>
  <c r="FG274" i="33"/>
  <c r="FF274" i="33"/>
  <c r="FE274" i="33"/>
  <c r="FD274" i="33"/>
  <c r="FC274" i="33"/>
  <c r="FB274" i="33"/>
  <c r="FA274" i="33"/>
  <c r="EZ274" i="33"/>
  <c r="EY274" i="33"/>
  <c r="EX274" i="33"/>
  <c r="EW274" i="33"/>
  <c r="EV274" i="33"/>
  <c r="EU274" i="33"/>
  <c r="ET274" i="33"/>
  <c r="ES274" i="33"/>
  <c r="ER274" i="33"/>
  <c r="EQ274" i="33"/>
  <c r="EP274" i="33"/>
  <c r="EO274" i="33"/>
  <c r="EN274" i="33"/>
  <c r="EM274" i="33"/>
  <c r="EL274" i="33"/>
  <c r="EK274" i="33"/>
  <c r="EJ274" i="33"/>
  <c r="EI274" i="33"/>
  <c r="EH274" i="33"/>
  <c r="EG274" i="33"/>
  <c r="EF274" i="33"/>
  <c r="EE274" i="33"/>
  <c r="ED274" i="33"/>
  <c r="EC274" i="33"/>
  <c r="EB274" i="33"/>
  <c r="EA274" i="33"/>
  <c r="DZ274" i="33"/>
  <c r="DY274" i="33"/>
  <c r="DX274" i="33"/>
  <c r="DW274" i="33"/>
  <c r="DV274" i="33"/>
  <c r="DU274" i="33"/>
  <c r="DT274" i="33"/>
  <c r="DS274" i="33"/>
  <c r="DR274" i="33"/>
  <c r="DQ274" i="33"/>
  <c r="DP274" i="33"/>
  <c r="DO274" i="33"/>
  <c r="DN274" i="33"/>
  <c r="DM274" i="33"/>
  <c r="DL274" i="33"/>
  <c r="DK274" i="33"/>
  <c r="DJ274" i="33"/>
  <c r="DI274" i="33"/>
  <c r="DH274" i="33"/>
  <c r="DG274" i="33"/>
  <c r="DF274" i="33"/>
  <c r="DE274" i="33"/>
  <c r="DD274" i="33"/>
  <c r="DC274" i="33"/>
  <c r="DB274" i="33"/>
  <c r="DA274" i="33"/>
  <c r="CZ274" i="33"/>
  <c r="CY274" i="33"/>
  <c r="CX274" i="33"/>
  <c r="CW274" i="33"/>
  <c r="CV274" i="33"/>
  <c r="CU274" i="33"/>
  <c r="CT274" i="33"/>
  <c r="CS274" i="33"/>
  <c r="CR274" i="33"/>
  <c r="CQ274" i="33"/>
  <c r="CP274" i="33"/>
  <c r="CO274" i="33"/>
  <c r="CN274" i="33"/>
  <c r="CM274" i="33"/>
  <c r="CL274" i="33"/>
  <c r="CK274" i="33"/>
  <c r="CJ274" i="33"/>
  <c r="CI274" i="33"/>
  <c r="CH274" i="33"/>
  <c r="CG274" i="33"/>
  <c r="CF274" i="33"/>
  <c r="CE274" i="33"/>
  <c r="CD274" i="33"/>
  <c r="CC274" i="33"/>
  <c r="CB274" i="33"/>
  <c r="CA274" i="33"/>
  <c r="BZ274" i="33"/>
  <c r="BY274" i="33"/>
  <c r="BX274" i="33"/>
  <c r="BW274" i="33"/>
  <c r="BV274" i="33"/>
  <c r="BU274" i="33"/>
  <c r="BT274" i="33"/>
  <c r="BS274" i="33"/>
  <c r="BR274" i="33"/>
  <c r="BQ274" i="33"/>
  <c r="BP274" i="33"/>
  <c r="BO274" i="33"/>
  <c r="BN274" i="33"/>
  <c r="BM274" i="33"/>
  <c r="BL274" i="33"/>
  <c r="BK274" i="33"/>
  <c r="BJ274" i="33"/>
  <c r="BI274" i="33"/>
  <c r="BH274" i="33"/>
  <c r="BG274" i="33"/>
  <c r="BF274" i="33"/>
  <c r="BE274" i="33"/>
  <c r="BD274" i="33"/>
  <c r="BC274" i="33"/>
  <c r="BB274" i="33"/>
  <c r="BA274" i="33"/>
  <c r="AZ274" i="33"/>
  <c r="AY274" i="33"/>
  <c r="AX274" i="33"/>
  <c r="AW274" i="33"/>
  <c r="AV274" i="33"/>
  <c r="AU274" i="33"/>
  <c r="AT274" i="33"/>
  <c r="AS274" i="33"/>
  <c r="AR274" i="33"/>
  <c r="AQ274" i="33"/>
  <c r="AP274" i="33"/>
  <c r="AO274" i="33"/>
  <c r="AN274" i="33"/>
  <c r="AM274" i="33"/>
  <c r="AL274" i="33"/>
  <c r="AK274" i="33"/>
  <c r="AJ274" i="33"/>
  <c r="AI274" i="33"/>
  <c r="AH274" i="33"/>
  <c r="AG274" i="33"/>
  <c r="AF274" i="33"/>
  <c r="AE274" i="33"/>
  <c r="AD274" i="33"/>
  <c r="AC274" i="33"/>
  <c r="AB274" i="33"/>
  <c r="AA274" i="33"/>
  <c r="Z274" i="33"/>
  <c r="Y274" i="33"/>
  <c r="X274" i="33"/>
  <c r="W274" i="33"/>
  <c r="V274" i="33"/>
  <c r="U274" i="33"/>
  <c r="T274" i="33"/>
  <c r="S274" i="33"/>
  <c r="R274" i="33"/>
  <c r="Q274" i="33"/>
  <c r="P274" i="33"/>
  <c r="O274" i="33"/>
  <c r="N274" i="33"/>
  <c r="M274" i="33"/>
  <c r="L274" i="33"/>
  <c r="K274" i="33"/>
  <c r="J274" i="33"/>
  <c r="I274" i="33"/>
  <c r="H274" i="33"/>
  <c r="G274" i="33"/>
  <c r="F274" i="33"/>
  <c r="E274" i="33"/>
  <c r="D274" i="33"/>
  <c r="C274" i="33"/>
  <c r="B274" i="33"/>
  <c r="A274" i="33"/>
  <c r="IV273" i="33"/>
  <c r="IU273" i="33"/>
  <c r="IT273" i="33"/>
  <c r="IS273" i="33"/>
  <c r="IR273" i="33"/>
  <c r="IQ273" i="33"/>
  <c r="IP273" i="33"/>
  <c r="IO273" i="33"/>
  <c r="IN273" i="33"/>
  <c r="IM273" i="33"/>
  <c r="IL273" i="33"/>
  <c r="IK273" i="33"/>
  <c r="IJ273" i="33"/>
  <c r="II273" i="33"/>
  <c r="IH273" i="33"/>
  <c r="IG273" i="33"/>
  <c r="IF273" i="33"/>
  <c r="IE273" i="33"/>
  <c r="ID273" i="33"/>
  <c r="IC273" i="33"/>
  <c r="IB273" i="33"/>
  <c r="IA273" i="33"/>
  <c r="HZ273" i="33"/>
  <c r="HY273" i="33"/>
  <c r="HX273" i="33"/>
  <c r="HW273" i="33"/>
  <c r="HV273" i="33"/>
  <c r="HU273" i="33"/>
  <c r="HT273" i="33"/>
  <c r="HS273" i="33"/>
  <c r="HR273" i="33"/>
  <c r="HQ273" i="33"/>
  <c r="HP273" i="33"/>
  <c r="HO273" i="33"/>
  <c r="HN273" i="33"/>
  <c r="HM273" i="33"/>
  <c r="HL273" i="33"/>
  <c r="HK273" i="33"/>
  <c r="HJ273" i="33"/>
  <c r="HI273" i="33"/>
  <c r="HH273" i="33"/>
  <c r="HG273" i="33"/>
  <c r="HF273" i="33"/>
  <c r="HE273" i="33"/>
  <c r="HD273" i="33"/>
  <c r="HC273" i="33"/>
  <c r="HB273" i="33"/>
  <c r="HA273" i="33"/>
  <c r="GZ273" i="33"/>
  <c r="GY273" i="33"/>
  <c r="GX273" i="33"/>
  <c r="GW273" i="33"/>
  <c r="GV273" i="33"/>
  <c r="GU273" i="33"/>
  <c r="GT273" i="33"/>
  <c r="GS273" i="33"/>
  <c r="GR273" i="33"/>
  <c r="GQ273" i="33"/>
  <c r="GP273" i="33"/>
  <c r="GO273" i="33"/>
  <c r="GN273" i="33"/>
  <c r="GM273" i="33"/>
  <c r="GL273" i="33"/>
  <c r="GK273" i="33"/>
  <c r="GJ273" i="33"/>
  <c r="GI273" i="33"/>
  <c r="GH273" i="33"/>
  <c r="GG273" i="33"/>
  <c r="GF273" i="33"/>
  <c r="GE273" i="33"/>
  <c r="GD273" i="33"/>
  <c r="GC273" i="33"/>
  <c r="GB273" i="33"/>
  <c r="GA273" i="33"/>
  <c r="FZ273" i="33"/>
  <c r="FY273" i="33"/>
  <c r="FX273" i="33"/>
  <c r="FW273" i="33"/>
  <c r="FV273" i="33"/>
  <c r="FU273" i="33"/>
  <c r="FT273" i="33"/>
  <c r="FS273" i="33"/>
  <c r="FR273" i="33"/>
  <c r="FQ273" i="33"/>
  <c r="FP273" i="33"/>
  <c r="FO273" i="33"/>
  <c r="FN273" i="33"/>
  <c r="FM273" i="33"/>
  <c r="FL273" i="33"/>
  <c r="FK273" i="33"/>
  <c r="FJ273" i="33"/>
  <c r="FI273" i="33"/>
  <c r="FH273" i="33"/>
  <c r="FG273" i="33"/>
  <c r="FF273" i="33"/>
  <c r="FE273" i="33"/>
  <c r="FD273" i="33"/>
  <c r="FC273" i="33"/>
  <c r="FB273" i="33"/>
  <c r="FA273" i="33"/>
  <c r="EZ273" i="33"/>
  <c r="EY273" i="33"/>
  <c r="EX273" i="33"/>
  <c r="EW273" i="33"/>
  <c r="EV273" i="33"/>
  <c r="EU273" i="33"/>
  <c r="ET273" i="33"/>
  <c r="ES273" i="33"/>
  <c r="ER273" i="33"/>
  <c r="EQ273" i="33"/>
  <c r="EP273" i="33"/>
  <c r="EO273" i="33"/>
  <c r="EN273" i="33"/>
  <c r="EM273" i="33"/>
  <c r="EL273" i="33"/>
  <c r="EK273" i="33"/>
  <c r="EJ273" i="33"/>
  <c r="EI273" i="33"/>
  <c r="EH273" i="33"/>
  <c r="EG273" i="33"/>
  <c r="EF273" i="33"/>
  <c r="EE273" i="33"/>
  <c r="ED273" i="33"/>
  <c r="EC273" i="33"/>
  <c r="EB273" i="33"/>
  <c r="EA273" i="33"/>
  <c r="DZ273" i="33"/>
  <c r="DY273" i="33"/>
  <c r="DX273" i="33"/>
  <c r="DW273" i="33"/>
  <c r="DV273" i="33"/>
  <c r="DU273" i="33"/>
  <c r="DT273" i="33"/>
  <c r="DS273" i="33"/>
  <c r="DR273" i="33"/>
  <c r="DQ273" i="33"/>
  <c r="DP273" i="33"/>
  <c r="DO273" i="33"/>
  <c r="DN273" i="33"/>
  <c r="DM273" i="33"/>
  <c r="DL273" i="33"/>
  <c r="DK273" i="33"/>
  <c r="DJ273" i="33"/>
  <c r="DI273" i="33"/>
  <c r="DH273" i="33"/>
  <c r="DG273" i="33"/>
  <c r="DF273" i="33"/>
  <c r="DE273" i="33"/>
  <c r="DD273" i="33"/>
  <c r="DC273" i="33"/>
  <c r="DB273" i="33"/>
  <c r="DA273" i="33"/>
  <c r="CZ273" i="33"/>
  <c r="CY273" i="33"/>
  <c r="CX273" i="33"/>
  <c r="CW273" i="33"/>
  <c r="CV273" i="33"/>
  <c r="CU273" i="33"/>
  <c r="CT273" i="33"/>
  <c r="CS273" i="33"/>
  <c r="CR273" i="33"/>
  <c r="CQ273" i="33"/>
  <c r="CP273" i="33"/>
  <c r="CO273" i="33"/>
  <c r="CN273" i="33"/>
  <c r="CM273" i="33"/>
  <c r="CL273" i="33"/>
  <c r="CK273" i="33"/>
  <c r="CJ273" i="33"/>
  <c r="CI273" i="33"/>
  <c r="CH273" i="33"/>
  <c r="CG273" i="33"/>
  <c r="CF273" i="33"/>
  <c r="CE273" i="33"/>
  <c r="CD273" i="33"/>
  <c r="CC273" i="33"/>
  <c r="CB273" i="33"/>
  <c r="CA273" i="33"/>
  <c r="BZ273" i="33"/>
  <c r="BY273" i="33"/>
  <c r="BX273" i="33"/>
  <c r="BW273" i="33"/>
  <c r="BV273" i="33"/>
  <c r="BU273" i="33"/>
  <c r="BT273" i="33"/>
  <c r="BS273" i="33"/>
  <c r="BR273" i="33"/>
  <c r="BQ273" i="33"/>
  <c r="BP273" i="33"/>
  <c r="BO273" i="33"/>
  <c r="BN273" i="33"/>
  <c r="BM273" i="33"/>
  <c r="BL273" i="33"/>
  <c r="BK273" i="33"/>
  <c r="BJ273" i="33"/>
  <c r="BI273" i="33"/>
  <c r="BH273" i="33"/>
  <c r="BG273" i="33"/>
  <c r="BF273" i="33"/>
  <c r="BE273" i="33"/>
  <c r="BD273" i="33"/>
  <c r="BC273" i="33"/>
  <c r="BB273" i="33"/>
  <c r="BA273" i="33"/>
  <c r="AZ273" i="33"/>
  <c r="AY273" i="33"/>
  <c r="AX273" i="33"/>
  <c r="AW273" i="33"/>
  <c r="AV273" i="33"/>
  <c r="AU273" i="33"/>
  <c r="AT273" i="33"/>
  <c r="AS273" i="33"/>
  <c r="AR273" i="33"/>
  <c r="AQ273" i="33"/>
  <c r="AP273" i="33"/>
  <c r="AO273" i="33"/>
  <c r="AN273" i="33"/>
  <c r="AM273" i="33"/>
  <c r="AL273" i="33"/>
  <c r="AK273" i="33"/>
  <c r="AJ273" i="33"/>
  <c r="AI273" i="33"/>
  <c r="AH273" i="33"/>
  <c r="AG273" i="33"/>
  <c r="AF273" i="33"/>
  <c r="AE273" i="33"/>
  <c r="AD273" i="33"/>
  <c r="AC273" i="33"/>
  <c r="AB273" i="33"/>
  <c r="AA273" i="33"/>
  <c r="Z273" i="33"/>
  <c r="Y273" i="33"/>
  <c r="X273" i="33"/>
  <c r="W273" i="33"/>
  <c r="V273" i="33"/>
  <c r="U273" i="33"/>
  <c r="T273" i="33"/>
  <c r="S273" i="33"/>
  <c r="R273" i="33"/>
  <c r="Q273" i="33"/>
  <c r="P273" i="33"/>
  <c r="O273" i="33"/>
  <c r="N273" i="33"/>
  <c r="M273" i="33"/>
  <c r="L273" i="33"/>
  <c r="K273" i="33"/>
  <c r="J273" i="33"/>
  <c r="I273" i="33"/>
  <c r="H273" i="33"/>
  <c r="G273" i="33"/>
  <c r="F273" i="33"/>
  <c r="E273" i="33"/>
  <c r="D273" i="33"/>
  <c r="C273" i="33"/>
  <c r="B273" i="33"/>
  <c r="A273" i="33"/>
  <c r="IV272" i="33"/>
  <c r="IU272" i="33"/>
  <c r="IT272" i="33"/>
  <c r="IS272" i="33"/>
  <c r="IR272" i="33"/>
  <c r="IQ272" i="33"/>
  <c r="IP272" i="33"/>
  <c r="IO272" i="33"/>
  <c r="IN272" i="33"/>
  <c r="IM272" i="33"/>
  <c r="IL272" i="33"/>
  <c r="IK272" i="33"/>
  <c r="IJ272" i="33"/>
  <c r="II272" i="33"/>
  <c r="IH272" i="33"/>
  <c r="IG272" i="33"/>
  <c r="IF272" i="33"/>
  <c r="IE272" i="33"/>
  <c r="ID272" i="33"/>
  <c r="IC272" i="33"/>
  <c r="IB272" i="33"/>
  <c r="IA272" i="33"/>
  <c r="HZ272" i="33"/>
  <c r="HY272" i="33"/>
  <c r="HX272" i="33"/>
  <c r="HW272" i="33"/>
  <c r="HV272" i="33"/>
  <c r="HU272" i="33"/>
  <c r="HT272" i="33"/>
  <c r="HS272" i="33"/>
  <c r="HR272" i="33"/>
  <c r="HQ272" i="33"/>
  <c r="HP272" i="33"/>
  <c r="HO272" i="33"/>
  <c r="HN272" i="33"/>
  <c r="HM272" i="33"/>
  <c r="HL272" i="33"/>
  <c r="HK272" i="33"/>
  <c r="HJ272" i="33"/>
  <c r="HI272" i="33"/>
  <c r="HH272" i="33"/>
  <c r="HG272" i="33"/>
  <c r="HF272" i="33"/>
  <c r="HE272" i="33"/>
  <c r="HD272" i="33"/>
  <c r="HC272" i="33"/>
  <c r="HB272" i="33"/>
  <c r="HA272" i="33"/>
  <c r="GZ272" i="33"/>
  <c r="GY272" i="33"/>
  <c r="GX272" i="33"/>
  <c r="GW272" i="33"/>
  <c r="GV272" i="33"/>
  <c r="GU272" i="33"/>
  <c r="GT272" i="33"/>
  <c r="GS272" i="33"/>
  <c r="GR272" i="33"/>
  <c r="GQ272" i="33"/>
  <c r="GP272" i="33"/>
  <c r="GO272" i="33"/>
  <c r="GN272" i="33"/>
  <c r="GM272" i="33"/>
  <c r="GL272" i="33"/>
  <c r="GK272" i="33"/>
  <c r="GJ272" i="33"/>
  <c r="GI272" i="33"/>
  <c r="GH272" i="33"/>
  <c r="GG272" i="33"/>
  <c r="GF272" i="33"/>
  <c r="GE272" i="33"/>
  <c r="GD272" i="33"/>
  <c r="GC272" i="33"/>
  <c r="GB272" i="33"/>
  <c r="GA272" i="33"/>
  <c r="FZ272" i="33"/>
  <c r="FY272" i="33"/>
  <c r="FX272" i="33"/>
  <c r="FW272" i="33"/>
  <c r="FV272" i="33"/>
  <c r="FU272" i="33"/>
  <c r="FT272" i="33"/>
  <c r="FS272" i="33"/>
  <c r="FR272" i="33"/>
  <c r="FQ272" i="33"/>
  <c r="FP272" i="33"/>
  <c r="FO272" i="33"/>
  <c r="FN272" i="33"/>
  <c r="FM272" i="33"/>
  <c r="FL272" i="33"/>
  <c r="FK272" i="33"/>
  <c r="FJ272" i="33"/>
  <c r="FI272" i="33"/>
  <c r="FH272" i="33"/>
  <c r="FG272" i="33"/>
  <c r="FF272" i="33"/>
  <c r="FE272" i="33"/>
  <c r="FD272" i="33"/>
  <c r="FC272" i="33"/>
  <c r="FB272" i="33"/>
  <c r="FA272" i="33"/>
  <c r="EZ272" i="33"/>
  <c r="EY272" i="33"/>
  <c r="EX272" i="33"/>
  <c r="EW272" i="33"/>
  <c r="EV272" i="33"/>
  <c r="EU272" i="33"/>
  <c r="ET272" i="33"/>
  <c r="ES272" i="33"/>
  <c r="ER272" i="33"/>
  <c r="EQ272" i="33"/>
  <c r="EP272" i="33"/>
  <c r="EO272" i="33"/>
  <c r="EN272" i="33"/>
  <c r="EM272" i="33"/>
  <c r="EL272" i="33"/>
  <c r="EK272" i="33"/>
  <c r="EJ272" i="33"/>
  <c r="EI272" i="33"/>
  <c r="EH272" i="33"/>
  <c r="EG272" i="33"/>
  <c r="EF272" i="33"/>
  <c r="EE272" i="33"/>
  <c r="ED272" i="33"/>
  <c r="EC272" i="33"/>
  <c r="EB272" i="33"/>
  <c r="EA272" i="33"/>
  <c r="DZ272" i="33"/>
  <c r="DY272" i="33"/>
  <c r="DX272" i="33"/>
  <c r="DW272" i="33"/>
  <c r="DV272" i="33"/>
  <c r="DU272" i="33"/>
  <c r="DT272" i="33"/>
  <c r="DS272" i="33"/>
  <c r="DR272" i="33"/>
  <c r="DQ272" i="33"/>
  <c r="DP272" i="33"/>
  <c r="DO272" i="33"/>
  <c r="DN272" i="33"/>
  <c r="DM272" i="33"/>
  <c r="DL272" i="33"/>
  <c r="DK272" i="33"/>
  <c r="DJ272" i="33"/>
  <c r="DI272" i="33"/>
  <c r="DH272" i="33"/>
  <c r="DG272" i="33"/>
  <c r="DF272" i="33"/>
  <c r="DE272" i="33"/>
  <c r="DD272" i="33"/>
  <c r="DC272" i="33"/>
  <c r="DB272" i="33"/>
  <c r="DA272" i="33"/>
  <c r="CZ272" i="33"/>
  <c r="CY272" i="33"/>
  <c r="CX272" i="33"/>
  <c r="CW272" i="33"/>
  <c r="CV272" i="33"/>
  <c r="CU272" i="33"/>
  <c r="CT272" i="33"/>
  <c r="CS272" i="33"/>
  <c r="CR272" i="33"/>
  <c r="CQ272" i="33"/>
  <c r="CP272" i="33"/>
  <c r="CO272" i="33"/>
  <c r="CN272" i="33"/>
  <c r="CM272" i="33"/>
  <c r="CL272" i="33"/>
  <c r="CK272" i="33"/>
  <c r="CJ272" i="33"/>
  <c r="CI272" i="33"/>
  <c r="CH272" i="33"/>
  <c r="CG272" i="33"/>
  <c r="CF272" i="33"/>
  <c r="CE272" i="33"/>
  <c r="CD272" i="33"/>
  <c r="CC272" i="33"/>
  <c r="CB272" i="33"/>
  <c r="CA272" i="33"/>
  <c r="BZ272" i="33"/>
  <c r="BY272" i="33"/>
  <c r="BX272" i="33"/>
  <c r="BW272" i="33"/>
  <c r="BV272" i="33"/>
  <c r="BU272" i="33"/>
  <c r="BT272" i="33"/>
  <c r="BS272" i="33"/>
  <c r="BR272" i="33"/>
  <c r="BQ272" i="33"/>
  <c r="BP272" i="33"/>
  <c r="BO272" i="33"/>
  <c r="BN272" i="33"/>
  <c r="BM272" i="33"/>
  <c r="BL272" i="33"/>
  <c r="BK272" i="33"/>
  <c r="BJ272" i="33"/>
  <c r="BI272" i="33"/>
  <c r="BH272" i="33"/>
  <c r="BG272" i="33"/>
  <c r="BF272" i="33"/>
  <c r="BE272" i="33"/>
  <c r="BD272" i="33"/>
  <c r="BC272" i="33"/>
  <c r="BB272" i="33"/>
  <c r="BA272" i="33"/>
  <c r="AZ272" i="33"/>
  <c r="AY272" i="33"/>
  <c r="AX272" i="33"/>
  <c r="AW272" i="33"/>
  <c r="AV272" i="33"/>
  <c r="AU272" i="33"/>
  <c r="AT272" i="33"/>
  <c r="AS272" i="33"/>
  <c r="AR272" i="33"/>
  <c r="AQ272" i="33"/>
  <c r="AP272" i="33"/>
  <c r="AO272" i="33"/>
  <c r="AN272" i="33"/>
  <c r="AM272" i="33"/>
  <c r="AL272" i="33"/>
  <c r="AK272" i="33"/>
  <c r="AJ272" i="33"/>
  <c r="AI272" i="33"/>
  <c r="AH272" i="33"/>
  <c r="AG272" i="33"/>
  <c r="AF272" i="33"/>
  <c r="AE272" i="33"/>
  <c r="AD272" i="33"/>
  <c r="AC272" i="33"/>
  <c r="AB272" i="33"/>
  <c r="AA272" i="33"/>
  <c r="Z272" i="33"/>
  <c r="Y272" i="33"/>
  <c r="X272" i="33"/>
  <c r="W272" i="33"/>
  <c r="V272" i="33"/>
  <c r="U272" i="33"/>
  <c r="T272" i="33"/>
  <c r="S272" i="33"/>
  <c r="R272" i="33"/>
  <c r="Q272" i="33"/>
  <c r="P272" i="33"/>
  <c r="O272" i="33"/>
  <c r="N272" i="33"/>
  <c r="M272" i="33"/>
  <c r="L272" i="33"/>
  <c r="K272" i="33"/>
  <c r="J272" i="33"/>
  <c r="I272" i="33"/>
  <c r="H272" i="33"/>
  <c r="G272" i="33"/>
  <c r="F272" i="33"/>
  <c r="E272" i="33"/>
  <c r="D272" i="33"/>
  <c r="C272" i="33"/>
  <c r="B272" i="33"/>
  <c r="A272" i="33"/>
  <c r="IV271" i="33"/>
  <c r="IU271" i="33"/>
  <c r="IT271" i="33"/>
  <c r="IS271" i="33"/>
  <c r="IR271" i="33"/>
  <c r="IQ271" i="33"/>
  <c r="IP271" i="33"/>
  <c r="IO271" i="33"/>
  <c r="IN271" i="33"/>
  <c r="IM271" i="33"/>
  <c r="IL271" i="33"/>
  <c r="IK271" i="33"/>
  <c r="IJ271" i="33"/>
  <c r="II271" i="33"/>
  <c r="IH271" i="33"/>
  <c r="IG271" i="33"/>
  <c r="IF271" i="33"/>
  <c r="IE271" i="33"/>
  <c r="ID271" i="33"/>
  <c r="IC271" i="33"/>
  <c r="IB271" i="33"/>
  <c r="IA271" i="33"/>
  <c r="HZ271" i="33"/>
  <c r="HY271" i="33"/>
  <c r="HX271" i="33"/>
  <c r="HW271" i="33"/>
  <c r="HV271" i="33"/>
  <c r="HU271" i="33"/>
  <c r="HT271" i="33"/>
  <c r="HS271" i="33"/>
  <c r="HR271" i="33"/>
  <c r="HQ271" i="33"/>
  <c r="HP271" i="33"/>
  <c r="HO271" i="33"/>
  <c r="HN271" i="33"/>
  <c r="HM271" i="33"/>
  <c r="HL271" i="33"/>
  <c r="HK271" i="33"/>
  <c r="HJ271" i="33"/>
  <c r="HI271" i="33"/>
  <c r="HH271" i="33"/>
  <c r="HG271" i="33"/>
  <c r="HF271" i="33"/>
  <c r="HE271" i="33"/>
  <c r="HD271" i="33"/>
  <c r="HC271" i="33"/>
  <c r="HB271" i="33"/>
  <c r="HA271" i="33"/>
  <c r="GZ271" i="33"/>
  <c r="GY271" i="33"/>
  <c r="GX271" i="33"/>
  <c r="GW271" i="33"/>
  <c r="GV271" i="33"/>
  <c r="GU271" i="33"/>
  <c r="GT271" i="33"/>
  <c r="GS271" i="33"/>
  <c r="GR271" i="33"/>
  <c r="GQ271" i="33"/>
  <c r="GP271" i="33"/>
  <c r="GO271" i="33"/>
  <c r="GN271" i="33"/>
  <c r="GM271" i="33"/>
  <c r="GL271" i="33"/>
  <c r="GK271" i="33"/>
  <c r="GJ271" i="33"/>
  <c r="GI271" i="33"/>
  <c r="GH271" i="33"/>
  <c r="GG271" i="33"/>
  <c r="GF271" i="33"/>
  <c r="GE271" i="33"/>
  <c r="GD271" i="33"/>
  <c r="GC271" i="33"/>
  <c r="GB271" i="33"/>
  <c r="GA271" i="33"/>
  <c r="FZ271" i="33"/>
  <c r="FY271" i="33"/>
  <c r="FX271" i="33"/>
  <c r="FW271" i="33"/>
  <c r="FV271" i="33"/>
  <c r="FU271" i="33"/>
  <c r="FT271" i="33"/>
  <c r="FS271" i="33"/>
  <c r="FR271" i="33"/>
  <c r="FQ271" i="33"/>
  <c r="FP271" i="33"/>
  <c r="FO271" i="33"/>
  <c r="FN271" i="33"/>
  <c r="FM271" i="33"/>
  <c r="FL271" i="33"/>
  <c r="FK271" i="33"/>
  <c r="FJ271" i="33"/>
  <c r="FI271" i="33"/>
  <c r="FH271" i="33"/>
  <c r="FG271" i="33"/>
  <c r="FF271" i="33"/>
  <c r="FE271" i="33"/>
  <c r="FD271" i="33"/>
  <c r="FC271" i="33"/>
  <c r="FB271" i="33"/>
  <c r="FA271" i="33"/>
  <c r="EZ271" i="33"/>
  <c r="EY271" i="33"/>
  <c r="EX271" i="33"/>
  <c r="EW271" i="33"/>
  <c r="EV271" i="33"/>
  <c r="EU271" i="33"/>
  <c r="ET271" i="33"/>
  <c r="ES271" i="33"/>
  <c r="ER271" i="33"/>
  <c r="EQ271" i="33"/>
  <c r="EP271" i="33"/>
  <c r="EO271" i="33"/>
  <c r="EN271" i="33"/>
  <c r="EM271" i="33"/>
  <c r="EL271" i="33"/>
  <c r="EK271" i="33"/>
  <c r="EJ271" i="33"/>
  <c r="EI271" i="33"/>
  <c r="EH271" i="33"/>
  <c r="EG271" i="33"/>
  <c r="EF271" i="33"/>
  <c r="EE271" i="33"/>
  <c r="ED271" i="33"/>
  <c r="EC271" i="33"/>
  <c r="EB271" i="33"/>
  <c r="EA271" i="33"/>
  <c r="DZ271" i="33"/>
  <c r="DY271" i="33"/>
  <c r="DX271" i="33"/>
  <c r="DW271" i="33"/>
  <c r="DV271" i="33"/>
  <c r="DU271" i="33"/>
  <c r="DT271" i="33"/>
  <c r="DS271" i="33"/>
  <c r="DR271" i="33"/>
  <c r="DQ271" i="33"/>
  <c r="DP271" i="33"/>
  <c r="DO271" i="33"/>
  <c r="DN271" i="33"/>
  <c r="DM271" i="33"/>
  <c r="DL271" i="33"/>
  <c r="DK271" i="33"/>
  <c r="DJ271" i="33"/>
  <c r="DI271" i="33"/>
  <c r="DH271" i="33"/>
  <c r="DG271" i="33"/>
  <c r="DF271" i="33"/>
  <c r="DE271" i="33"/>
  <c r="DD271" i="33"/>
  <c r="DC271" i="33"/>
  <c r="DB271" i="33"/>
  <c r="DA271" i="33"/>
  <c r="CZ271" i="33"/>
  <c r="CY271" i="33"/>
  <c r="CX271" i="33"/>
  <c r="CW271" i="33"/>
  <c r="CV271" i="33"/>
  <c r="CU271" i="33"/>
  <c r="CT271" i="33"/>
  <c r="CS271" i="33"/>
  <c r="CR271" i="33"/>
  <c r="CQ271" i="33"/>
  <c r="CP271" i="33"/>
  <c r="CO271" i="33"/>
  <c r="CN271" i="33"/>
  <c r="CM271" i="33"/>
  <c r="CL271" i="33"/>
  <c r="CK271" i="33"/>
  <c r="CJ271" i="33"/>
  <c r="CI271" i="33"/>
  <c r="CH271" i="33"/>
  <c r="CG271" i="33"/>
  <c r="CF271" i="33"/>
  <c r="CE271" i="33"/>
  <c r="CD271" i="33"/>
  <c r="CC271" i="33"/>
  <c r="CB271" i="33"/>
  <c r="CA271" i="33"/>
  <c r="BZ271" i="33"/>
  <c r="BY271" i="33"/>
  <c r="BX271" i="33"/>
  <c r="BW271" i="33"/>
  <c r="BV271" i="33"/>
  <c r="BU271" i="33"/>
  <c r="BT271" i="33"/>
  <c r="BS271" i="33"/>
  <c r="BR271" i="33"/>
  <c r="BQ271" i="33"/>
  <c r="BP271" i="33"/>
  <c r="BO271" i="33"/>
  <c r="BN271" i="33"/>
  <c r="BM271" i="33"/>
  <c r="BL271" i="33"/>
  <c r="BK271" i="33"/>
  <c r="BJ271" i="33"/>
  <c r="BI271" i="33"/>
  <c r="BH271" i="33"/>
  <c r="BG271" i="33"/>
  <c r="BF271" i="33"/>
  <c r="BE271" i="33"/>
  <c r="BD271" i="33"/>
  <c r="BC271" i="33"/>
  <c r="BB271" i="33"/>
  <c r="BA271" i="33"/>
  <c r="AZ271" i="33"/>
  <c r="AY271" i="33"/>
  <c r="AX271" i="33"/>
  <c r="AW271" i="33"/>
  <c r="AV271" i="33"/>
  <c r="AU271" i="33"/>
  <c r="AT271" i="33"/>
  <c r="AS271" i="33"/>
  <c r="AR271" i="33"/>
  <c r="AQ271" i="33"/>
  <c r="AP271" i="33"/>
  <c r="AO271" i="33"/>
  <c r="AN271" i="33"/>
  <c r="AM271" i="33"/>
  <c r="AL271" i="33"/>
  <c r="AK271" i="33"/>
  <c r="AJ271" i="33"/>
  <c r="AI271" i="33"/>
  <c r="AH271" i="33"/>
  <c r="AG271" i="33"/>
  <c r="AF271" i="33"/>
  <c r="AE271" i="33"/>
  <c r="AD271" i="33"/>
  <c r="AC271" i="33"/>
  <c r="AB271" i="33"/>
  <c r="AA271" i="33"/>
  <c r="Z271" i="33"/>
  <c r="Y271" i="33"/>
  <c r="X271" i="33"/>
  <c r="W271" i="33"/>
  <c r="V271" i="33"/>
  <c r="U271" i="33"/>
  <c r="T271" i="33"/>
  <c r="S271" i="33"/>
  <c r="R271" i="33"/>
  <c r="Q271" i="33"/>
  <c r="P271" i="33"/>
  <c r="O271" i="33"/>
  <c r="N271" i="33"/>
  <c r="M271" i="33"/>
  <c r="L271" i="33"/>
  <c r="K271" i="33"/>
  <c r="J271" i="33"/>
  <c r="I271" i="33"/>
  <c r="H271" i="33"/>
  <c r="G271" i="33"/>
  <c r="F271" i="33"/>
  <c r="E271" i="33"/>
  <c r="D271" i="33"/>
  <c r="C271" i="33"/>
  <c r="B271" i="33"/>
  <c r="A271" i="33"/>
  <c r="IV270" i="33"/>
  <c r="IU270" i="33"/>
  <c r="IT270" i="33"/>
  <c r="IS270" i="33"/>
  <c r="IR270" i="33"/>
  <c r="IQ270" i="33"/>
  <c r="IP270" i="33"/>
  <c r="IO270" i="33"/>
  <c r="IN270" i="33"/>
  <c r="IM270" i="33"/>
  <c r="IL270" i="33"/>
  <c r="IK270" i="33"/>
  <c r="IJ270" i="33"/>
  <c r="II270" i="33"/>
  <c r="IH270" i="33"/>
  <c r="IG270" i="33"/>
  <c r="IF270" i="33"/>
  <c r="IE270" i="33"/>
  <c r="ID270" i="33"/>
  <c r="IC270" i="33"/>
  <c r="IB270" i="33"/>
  <c r="IA270" i="33"/>
  <c r="HZ270" i="33"/>
  <c r="HY270" i="33"/>
  <c r="HX270" i="33"/>
  <c r="HW270" i="33"/>
  <c r="HV270" i="33"/>
  <c r="HU270" i="33"/>
  <c r="HT270" i="33"/>
  <c r="HS270" i="33"/>
  <c r="HR270" i="33"/>
  <c r="HQ270" i="33"/>
  <c r="HP270" i="33"/>
  <c r="HO270" i="33"/>
  <c r="HN270" i="33"/>
  <c r="HM270" i="33"/>
  <c r="HL270" i="33"/>
  <c r="HK270" i="33"/>
  <c r="HJ270" i="33"/>
  <c r="HI270" i="33"/>
  <c r="HH270" i="33"/>
  <c r="HG270" i="33"/>
  <c r="HF270" i="33"/>
  <c r="HE270" i="33"/>
  <c r="HD270" i="33"/>
  <c r="HC270" i="33"/>
  <c r="HB270" i="33"/>
  <c r="HA270" i="33"/>
  <c r="GZ270" i="33"/>
  <c r="GY270" i="33"/>
  <c r="GX270" i="33"/>
  <c r="GW270" i="33"/>
  <c r="GV270" i="33"/>
  <c r="GU270" i="33"/>
  <c r="GT270" i="33"/>
  <c r="GS270" i="33"/>
  <c r="GR270" i="33"/>
  <c r="GQ270" i="33"/>
  <c r="GP270" i="33"/>
  <c r="GO270" i="33"/>
  <c r="GN270" i="33"/>
  <c r="GM270" i="33"/>
  <c r="GL270" i="33"/>
  <c r="GK270" i="33"/>
  <c r="GJ270" i="33"/>
  <c r="GI270" i="33"/>
  <c r="GH270" i="33"/>
  <c r="GG270" i="33"/>
  <c r="GF270" i="33"/>
  <c r="GE270" i="33"/>
  <c r="GD270" i="33"/>
  <c r="GC270" i="33"/>
  <c r="GB270" i="33"/>
  <c r="GA270" i="33"/>
  <c r="FZ270" i="33"/>
  <c r="FY270" i="33"/>
  <c r="FX270" i="33"/>
  <c r="FW270" i="33"/>
  <c r="FV270" i="33"/>
  <c r="FU270" i="33"/>
  <c r="FT270" i="33"/>
  <c r="FS270" i="33"/>
  <c r="FR270" i="33"/>
  <c r="FQ270" i="33"/>
  <c r="FP270" i="33"/>
  <c r="FO270" i="33"/>
  <c r="FN270" i="33"/>
  <c r="FM270" i="33"/>
  <c r="FL270" i="33"/>
  <c r="FK270" i="33"/>
  <c r="FJ270" i="33"/>
  <c r="FI270" i="33"/>
  <c r="FH270" i="33"/>
  <c r="FG270" i="33"/>
  <c r="FF270" i="33"/>
  <c r="FE270" i="33"/>
  <c r="FD270" i="33"/>
  <c r="FC270" i="33"/>
  <c r="FB270" i="33"/>
  <c r="FA270" i="33"/>
  <c r="EZ270" i="33"/>
  <c r="EY270" i="33"/>
  <c r="EX270" i="33"/>
  <c r="EW270" i="33"/>
  <c r="EV270" i="33"/>
  <c r="EU270" i="33"/>
  <c r="ET270" i="33"/>
  <c r="ES270" i="33"/>
  <c r="ER270" i="33"/>
  <c r="EQ270" i="33"/>
  <c r="EP270" i="33"/>
  <c r="EO270" i="33"/>
  <c r="EN270" i="33"/>
  <c r="EM270" i="33"/>
  <c r="EL270" i="33"/>
  <c r="EK270" i="33"/>
  <c r="EJ270" i="33"/>
  <c r="EI270" i="33"/>
  <c r="EH270" i="33"/>
  <c r="EG270" i="33"/>
  <c r="EF270" i="33"/>
  <c r="EE270" i="33"/>
  <c r="ED270" i="33"/>
  <c r="EC270" i="33"/>
  <c r="EB270" i="33"/>
  <c r="EA270" i="33"/>
  <c r="DZ270" i="33"/>
  <c r="DY270" i="33"/>
  <c r="DX270" i="33"/>
  <c r="DW270" i="33"/>
  <c r="DV270" i="33"/>
  <c r="DU270" i="33"/>
  <c r="DT270" i="33"/>
  <c r="DS270" i="33"/>
  <c r="DR270" i="33"/>
  <c r="DQ270" i="33"/>
  <c r="DP270" i="33"/>
  <c r="DO270" i="33"/>
  <c r="DN270" i="33"/>
  <c r="DM270" i="33"/>
  <c r="DL270" i="33"/>
  <c r="DK270" i="33"/>
  <c r="DJ270" i="33"/>
  <c r="DI270" i="33"/>
  <c r="DH270" i="33"/>
  <c r="DG270" i="33"/>
  <c r="DF270" i="33"/>
  <c r="DE270" i="33"/>
  <c r="DD270" i="33"/>
  <c r="DC270" i="33"/>
  <c r="DB270" i="33"/>
  <c r="DA270" i="33"/>
  <c r="CZ270" i="33"/>
  <c r="CY270" i="33"/>
  <c r="CX270" i="33"/>
  <c r="CW270" i="33"/>
  <c r="CV270" i="33"/>
  <c r="CU270" i="33"/>
  <c r="CT270" i="33"/>
  <c r="CS270" i="33"/>
  <c r="CR270" i="33"/>
  <c r="CQ270" i="33"/>
  <c r="CP270" i="33"/>
  <c r="CO270" i="33"/>
  <c r="CN270" i="33"/>
  <c r="CM270" i="33"/>
  <c r="CL270" i="33"/>
  <c r="CK270" i="33"/>
  <c r="CJ270" i="33"/>
  <c r="CI270" i="33"/>
  <c r="CH270" i="33"/>
  <c r="CG270" i="33"/>
  <c r="CF270" i="33"/>
  <c r="CE270" i="33"/>
  <c r="CD270" i="33"/>
  <c r="CC270" i="33"/>
  <c r="CB270" i="33"/>
  <c r="CA270" i="33"/>
  <c r="BZ270" i="33"/>
  <c r="BY270" i="33"/>
  <c r="BX270" i="33"/>
  <c r="BW270" i="33"/>
  <c r="BV270" i="33"/>
  <c r="BU270" i="33"/>
  <c r="BT270" i="33"/>
  <c r="BS270" i="33"/>
  <c r="BR270" i="33"/>
  <c r="BQ270" i="33"/>
  <c r="BP270" i="33"/>
  <c r="BO270" i="33"/>
  <c r="BN270" i="33"/>
  <c r="BM270" i="33"/>
  <c r="BL270" i="33"/>
  <c r="BK270" i="33"/>
  <c r="BJ270" i="33"/>
  <c r="BI270" i="33"/>
  <c r="BH270" i="33"/>
  <c r="BG270" i="33"/>
  <c r="BF270" i="33"/>
  <c r="BE270" i="33"/>
  <c r="BD270" i="33"/>
  <c r="BC270" i="33"/>
  <c r="BB270" i="33"/>
  <c r="BA270" i="33"/>
  <c r="AZ270" i="33"/>
  <c r="AY270" i="33"/>
  <c r="AX270" i="33"/>
  <c r="AW270" i="33"/>
  <c r="AV270" i="33"/>
  <c r="AU270" i="33"/>
  <c r="AT270" i="33"/>
  <c r="AS270" i="33"/>
  <c r="AR270" i="33"/>
  <c r="AQ270" i="33"/>
  <c r="AP270" i="33"/>
  <c r="AO270" i="33"/>
  <c r="AN270" i="33"/>
  <c r="AM270" i="33"/>
  <c r="AL270" i="33"/>
  <c r="AK270" i="33"/>
  <c r="AJ270" i="33"/>
  <c r="AI270" i="33"/>
  <c r="AH270" i="33"/>
  <c r="AG270" i="33"/>
  <c r="AF270" i="33"/>
  <c r="AE270" i="33"/>
  <c r="AD270" i="33"/>
  <c r="AC270" i="33"/>
  <c r="AB270" i="33"/>
  <c r="AA270" i="33"/>
  <c r="Z270" i="33"/>
  <c r="Y270" i="33"/>
  <c r="X270" i="33"/>
  <c r="W270" i="33"/>
  <c r="V270" i="33"/>
  <c r="U270" i="33"/>
  <c r="T270" i="33"/>
  <c r="S270" i="33"/>
  <c r="R270" i="33"/>
  <c r="Q270" i="33"/>
  <c r="P270" i="33"/>
  <c r="O270" i="33"/>
  <c r="N270" i="33"/>
  <c r="M270" i="33"/>
  <c r="L270" i="33"/>
  <c r="K270" i="33"/>
  <c r="J270" i="33"/>
  <c r="I270" i="33"/>
  <c r="H270" i="33"/>
  <c r="G270" i="33"/>
  <c r="F270" i="33"/>
  <c r="E270" i="33"/>
  <c r="D270" i="33"/>
  <c r="C270" i="33"/>
  <c r="B270" i="33"/>
  <c r="A270" i="33"/>
  <c r="IV269" i="33"/>
  <c r="IU269" i="33"/>
  <c r="IT269" i="33"/>
  <c r="IS269" i="33"/>
  <c r="IR269" i="33"/>
  <c r="IQ269" i="33"/>
  <c r="IP269" i="33"/>
  <c r="IO269" i="33"/>
  <c r="IN269" i="33"/>
  <c r="IM269" i="33"/>
  <c r="IL269" i="33"/>
  <c r="IK269" i="33"/>
  <c r="IJ269" i="33"/>
  <c r="II269" i="33"/>
  <c r="IH269" i="33"/>
  <c r="IG269" i="33"/>
  <c r="IF269" i="33"/>
  <c r="IE269" i="33"/>
  <c r="ID269" i="33"/>
  <c r="IC269" i="33"/>
  <c r="IB269" i="33"/>
  <c r="IA269" i="33"/>
  <c r="HZ269" i="33"/>
  <c r="HY269" i="33"/>
  <c r="HX269" i="33"/>
  <c r="HW269" i="33"/>
  <c r="HV269" i="33"/>
  <c r="HU269" i="33"/>
  <c r="HT269" i="33"/>
  <c r="HS269" i="33"/>
  <c r="HR269" i="33"/>
  <c r="HQ269" i="33"/>
  <c r="HP269" i="33"/>
  <c r="HO269" i="33"/>
  <c r="HN269" i="33"/>
  <c r="HM269" i="33"/>
  <c r="HL269" i="33"/>
  <c r="HK269" i="33"/>
  <c r="HJ269" i="33"/>
  <c r="HI269" i="33"/>
  <c r="HH269" i="33"/>
  <c r="HG269" i="33"/>
  <c r="HF269" i="33"/>
  <c r="HE269" i="33"/>
  <c r="HD269" i="33"/>
  <c r="HC269" i="33"/>
  <c r="HB269" i="33"/>
  <c r="HA269" i="33"/>
  <c r="GZ269" i="33"/>
  <c r="GY269" i="33"/>
  <c r="GX269" i="33"/>
  <c r="GW269" i="33"/>
  <c r="GV269" i="33"/>
  <c r="GU269" i="33"/>
  <c r="GT269" i="33"/>
  <c r="GS269" i="33"/>
  <c r="GR269" i="33"/>
  <c r="GQ269" i="33"/>
  <c r="GP269" i="33"/>
  <c r="GO269" i="33"/>
  <c r="GN269" i="33"/>
  <c r="GM269" i="33"/>
  <c r="GL269" i="33"/>
  <c r="GK269" i="33"/>
  <c r="GJ269" i="33"/>
  <c r="GI269" i="33"/>
  <c r="GH269" i="33"/>
  <c r="GG269" i="33"/>
  <c r="GF269" i="33"/>
  <c r="GE269" i="33"/>
  <c r="GD269" i="33"/>
  <c r="GC269" i="33"/>
  <c r="GB269" i="33"/>
  <c r="GA269" i="33"/>
  <c r="FZ269" i="33"/>
  <c r="FY269" i="33"/>
  <c r="FX269" i="33"/>
  <c r="FW269" i="33"/>
  <c r="FV269" i="33"/>
  <c r="FU269" i="33"/>
  <c r="FT269" i="33"/>
  <c r="FS269" i="33"/>
  <c r="FR269" i="33"/>
  <c r="FQ269" i="33"/>
  <c r="FP269" i="33"/>
  <c r="FO269" i="33"/>
  <c r="FN269" i="33"/>
  <c r="FM269" i="33"/>
  <c r="FL269" i="33"/>
  <c r="FK269" i="33"/>
  <c r="FJ269" i="33"/>
  <c r="FI269" i="33"/>
  <c r="FH269" i="33"/>
  <c r="FG269" i="33"/>
  <c r="FF269" i="33"/>
  <c r="FE269" i="33"/>
  <c r="FD269" i="33"/>
  <c r="FC269" i="33"/>
  <c r="FB269" i="33"/>
  <c r="FA269" i="33"/>
  <c r="EZ269" i="33"/>
  <c r="EY269" i="33"/>
  <c r="EX269" i="33"/>
  <c r="EW269" i="33"/>
  <c r="EV269" i="33"/>
  <c r="EU269" i="33"/>
  <c r="ET269" i="33"/>
  <c r="ES269" i="33"/>
  <c r="ER269" i="33"/>
  <c r="EQ269" i="33"/>
  <c r="EP269" i="33"/>
  <c r="EO269" i="33"/>
  <c r="EN269" i="33"/>
  <c r="EM269" i="33"/>
  <c r="EL269" i="33"/>
  <c r="EK269" i="33"/>
  <c r="EJ269" i="33"/>
  <c r="EI269" i="33"/>
  <c r="EH269" i="33"/>
  <c r="EG269" i="33"/>
  <c r="EF269" i="33"/>
  <c r="EE269" i="33"/>
  <c r="ED269" i="33"/>
  <c r="EC269" i="33"/>
  <c r="EB269" i="33"/>
  <c r="EA269" i="33"/>
  <c r="DZ269" i="33"/>
  <c r="DY269" i="33"/>
  <c r="DX269" i="33"/>
  <c r="DW269" i="33"/>
  <c r="DV269" i="33"/>
  <c r="DU269" i="33"/>
  <c r="DT269" i="33"/>
  <c r="DS269" i="33"/>
  <c r="DR269" i="33"/>
  <c r="DQ269" i="33"/>
  <c r="DP269" i="33"/>
  <c r="DO269" i="33"/>
  <c r="DN269" i="33"/>
  <c r="DM269" i="33"/>
  <c r="DL269" i="33"/>
  <c r="DK269" i="33"/>
  <c r="DJ269" i="33"/>
  <c r="DI269" i="33"/>
  <c r="DH269" i="33"/>
  <c r="DG269" i="33"/>
  <c r="DF269" i="33"/>
  <c r="DE269" i="33"/>
  <c r="DD269" i="33"/>
  <c r="DC269" i="33"/>
  <c r="DB269" i="33"/>
  <c r="DA269" i="33"/>
  <c r="CZ269" i="33"/>
  <c r="CY269" i="33"/>
  <c r="CX269" i="33"/>
  <c r="CW269" i="33"/>
  <c r="CV269" i="33"/>
  <c r="CU269" i="33"/>
  <c r="CT269" i="33"/>
  <c r="CS269" i="33"/>
  <c r="CR269" i="33"/>
  <c r="CQ269" i="33"/>
  <c r="CP269" i="33"/>
  <c r="CO269" i="33"/>
  <c r="CN269" i="33"/>
  <c r="CM269" i="33"/>
  <c r="CL269" i="33"/>
  <c r="CK269" i="33"/>
  <c r="CJ269" i="33"/>
  <c r="CI269" i="33"/>
  <c r="CH269" i="33"/>
  <c r="CG269" i="33"/>
  <c r="CF269" i="33"/>
  <c r="CE269" i="33"/>
  <c r="CD269" i="33"/>
  <c r="CC269" i="33"/>
  <c r="CB269" i="33"/>
  <c r="CA269" i="33"/>
  <c r="BZ269" i="33"/>
  <c r="BY269" i="33"/>
  <c r="BX269" i="33"/>
  <c r="BW269" i="33"/>
  <c r="BV269" i="33"/>
  <c r="BU269" i="33"/>
  <c r="BT269" i="33"/>
  <c r="BS269" i="33"/>
  <c r="BR269" i="33"/>
  <c r="BQ269" i="33"/>
  <c r="BP269" i="33"/>
  <c r="BO269" i="33"/>
  <c r="BN269" i="33"/>
  <c r="BM269" i="33"/>
  <c r="BL269" i="33"/>
  <c r="BK269" i="33"/>
  <c r="BJ269" i="33"/>
  <c r="BI269" i="33"/>
  <c r="BH269" i="33"/>
  <c r="BG269" i="33"/>
  <c r="BF269" i="33"/>
  <c r="BE269" i="33"/>
  <c r="BD269" i="33"/>
  <c r="BC269" i="33"/>
  <c r="BB269" i="33"/>
  <c r="BA269" i="33"/>
  <c r="AZ269" i="33"/>
  <c r="AY269" i="33"/>
  <c r="AX269" i="33"/>
  <c r="AW269" i="33"/>
  <c r="AV269" i="33"/>
  <c r="AU269" i="33"/>
  <c r="AT269" i="33"/>
  <c r="AS269" i="33"/>
  <c r="AR269" i="33"/>
  <c r="AQ269" i="33"/>
  <c r="AP269" i="33"/>
  <c r="AO269" i="33"/>
  <c r="AN269" i="33"/>
  <c r="AM269" i="33"/>
  <c r="AL269" i="33"/>
  <c r="AK269" i="33"/>
  <c r="AJ269" i="33"/>
  <c r="AI269" i="33"/>
  <c r="AH269" i="33"/>
  <c r="AG269" i="33"/>
  <c r="AF269" i="33"/>
  <c r="AE269" i="33"/>
  <c r="AD269" i="33"/>
  <c r="AC269" i="33"/>
  <c r="AB269" i="33"/>
  <c r="AA269" i="33"/>
  <c r="Z269" i="33"/>
  <c r="Y269" i="33"/>
  <c r="X269" i="33"/>
  <c r="W269" i="33"/>
  <c r="V269" i="33"/>
  <c r="U269" i="33"/>
  <c r="T269" i="33"/>
  <c r="S269" i="33"/>
  <c r="R269" i="33"/>
  <c r="Q269" i="33"/>
  <c r="P269" i="33"/>
  <c r="O269" i="33"/>
  <c r="N269" i="33"/>
  <c r="M269" i="33"/>
  <c r="L269" i="33"/>
  <c r="K269" i="33"/>
  <c r="J269" i="33"/>
  <c r="I269" i="33"/>
  <c r="H269" i="33"/>
  <c r="G269" i="33"/>
  <c r="F269" i="33"/>
  <c r="E269" i="33"/>
  <c r="D269" i="33"/>
  <c r="C269" i="33"/>
  <c r="B269" i="33"/>
  <c r="A269" i="33"/>
  <c r="IV268" i="33"/>
  <c r="IU268" i="33"/>
  <c r="IT268" i="33"/>
  <c r="IS268" i="33"/>
  <c r="IR268" i="33"/>
  <c r="IQ268" i="33"/>
  <c r="IP268" i="33"/>
  <c r="IO268" i="33"/>
  <c r="IN268" i="33"/>
  <c r="IM268" i="33"/>
  <c r="IL268" i="33"/>
  <c r="IK268" i="33"/>
  <c r="IJ268" i="33"/>
  <c r="II268" i="33"/>
  <c r="IH268" i="33"/>
  <c r="IG268" i="33"/>
  <c r="IF268" i="33"/>
  <c r="IE268" i="33"/>
  <c r="ID268" i="33"/>
  <c r="IC268" i="33"/>
  <c r="IB268" i="33"/>
  <c r="IA268" i="33"/>
  <c r="HZ268" i="33"/>
  <c r="HY268" i="33"/>
  <c r="HX268" i="33"/>
  <c r="HW268" i="33"/>
  <c r="HV268" i="33"/>
  <c r="HU268" i="33"/>
  <c r="HT268" i="33"/>
  <c r="HS268" i="33"/>
  <c r="HR268" i="33"/>
  <c r="HQ268" i="33"/>
  <c r="HP268" i="33"/>
  <c r="HO268" i="33"/>
  <c r="HN268" i="33"/>
  <c r="HM268" i="33"/>
  <c r="HL268" i="33"/>
  <c r="HK268" i="33"/>
  <c r="HJ268" i="33"/>
  <c r="HI268" i="33"/>
  <c r="HH268" i="33"/>
  <c r="HG268" i="33"/>
  <c r="HF268" i="33"/>
  <c r="HE268" i="33"/>
  <c r="HD268" i="33"/>
  <c r="HC268" i="33"/>
  <c r="HB268" i="33"/>
  <c r="HA268" i="33"/>
  <c r="GZ268" i="33"/>
  <c r="GY268" i="33"/>
  <c r="GX268" i="33"/>
  <c r="GW268" i="33"/>
  <c r="GV268" i="33"/>
  <c r="GU268" i="33"/>
  <c r="GT268" i="33"/>
  <c r="GS268" i="33"/>
  <c r="GR268" i="33"/>
  <c r="GQ268" i="33"/>
  <c r="GP268" i="33"/>
  <c r="GO268" i="33"/>
  <c r="GN268" i="33"/>
  <c r="GM268" i="33"/>
  <c r="GL268" i="33"/>
  <c r="GK268" i="33"/>
  <c r="GJ268" i="33"/>
  <c r="GI268" i="33"/>
  <c r="GH268" i="33"/>
  <c r="GG268" i="33"/>
  <c r="GF268" i="33"/>
  <c r="GE268" i="33"/>
  <c r="GD268" i="33"/>
  <c r="GC268" i="33"/>
  <c r="GB268" i="33"/>
  <c r="GA268" i="33"/>
  <c r="FZ268" i="33"/>
  <c r="FY268" i="33"/>
  <c r="FX268" i="33"/>
  <c r="FW268" i="33"/>
  <c r="FV268" i="33"/>
  <c r="FU268" i="33"/>
  <c r="FT268" i="33"/>
  <c r="FS268" i="33"/>
  <c r="FR268" i="33"/>
  <c r="FQ268" i="33"/>
  <c r="FP268" i="33"/>
  <c r="FO268" i="33"/>
  <c r="FN268" i="33"/>
  <c r="FM268" i="33"/>
  <c r="FL268" i="33"/>
  <c r="FK268" i="33"/>
  <c r="FJ268" i="33"/>
  <c r="FI268" i="33"/>
  <c r="FH268" i="33"/>
  <c r="FG268" i="33"/>
  <c r="FF268" i="33"/>
  <c r="FE268" i="33"/>
  <c r="FD268" i="33"/>
  <c r="FC268" i="33"/>
  <c r="FB268" i="33"/>
  <c r="FA268" i="33"/>
  <c r="EZ268" i="33"/>
  <c r="EY268" i="33"/>
  <c r="EX268" i="33"/>
  <c r="EW268" i="33"/>
  <c r="EV268" i="33"/>
  <c r="EU268" i="33"/>
  <c r="ET268" i="33"/>
  <c r="ES268" i="33"/>
  <c r="ER268" i="33"/>
  <c r="EQ268" i="33"/>
  <c r="EP268" i="33"/>
  <c r="EO268" i="33"/>
  <c r="EN268" i="33"/>
  <c r="EM268" i="33"/>
  <c r="EL268" i="33"/>
  <c r="EK268" i="33"/>
  <c r="EJ268" i="33"/>
  <c r="EI268" i="33"/>
  <c r="EH268" i="33"/>
  <c r="EG268" i="33"/>
  <c r="EF268" i="33"/>
  <c r="EE268" i="33"/>
  <c r="ED268" i="33"/>
  <c r="EC268" i="33"/>
  <c r="EB268" i="33"/>
  <c r="EA268" i="33"/>
  <c r="DZ268" i="33"/>
  <c r="DY268" i="33"/>
  <c r="DX268" i="33"/>
  <c r="DW268" i="33"/>
  <c r="DV268" i="33"/>
  <c r="DU268" i="33"/>
  <c r="DT268" i="33"/>
  <c r="DS268" i="33"/>
  <c r="DR268" i="33"/>
  <c r="DQ268" i="33"/>
  <c r="DP268" i="33"/>
  <c r="DO268" i="33"/>
  <c r="DN268" i="33"/>
  <c r="DM268" i="33"/>
  <c r="DL268" i="33"/>
  <c r="DK268" i="33"/>
  <c r="DJ268" i="33"/>
  <c r="DI268" i="33"/>
  <c r="DH268" i="33"/>
  <c r="DG268" i="33"/>
  <c r="DF268" i="33"/>
  <c r="DE268" i="33"/>
  <c r="DD268" i="33"/>
  <c r="DC268" i="33"/>
  <c r="DB268" i="33"/>
  <c r="DA268" i="33"/>
  <c r="CZ268" i="33"/>
  <c r="CY268" i="33"/>
  <c r="CX268" i="33"/>
  <c r="CW268" i="33"/>
  <c r="CV268" i="33"/>
  <c r="CU268" i="33"/>
  <c r="CT268" i="33"/>
  <c r="CS268" i="33"/>
  <c r="CR268" i="33"/>
  <c r="CQ268" i="33"/>
  <c r="CP268" i="33"/>
  <c r="CO268" i="33"/>
  <c r="CN268" i="33"/>
  <c r="CM268" i="33"/>
  <c r="CL268" i="33"/>
  <c r="CK268" i="33"/>
  <c r="CJ268" i="33"/>
  <c r="CI268" i="33"/>
  <c r="CH268" i="33"/>
  <c r="CG268" i="33"/>
  <c r="CF268" i="33"/>
  <c r="CE268" i="33"/>
  <c r="CD268" i="33"/>
  <c r="CC268" i="33"/>
  <c r="CB268" i="33"/>
  <c r="CA268" i="33"/>
  <c r="BZ268" i="33"/>
  <c r="BY268" i="33"/>
  <c r="BX268" i="33"/>
  <c r="BW268" i="33"/>
  <c r="BV268" i="33"/>
  <c r="BU268" i="33"/>
  <c r="BT268" i="33"/>
  <c r="BS268" i="33"/>
  <c r="BR268" i="33"/>
  <c r="BQ268" i="33"/>
  <c r="BP268" i="33"/>
  <c r="BO268" i="33"/>
  <c r="BN268" i="33"/>
  <c r="BM268" i="33"/>
  <c r="BL268" i="33"/>
  <c r="BK268" i="33"/>
  <c r="BJ268" i="33"/>
  <c r="BI268" i="33"/>
  <c r="BH268" i="33"/>
  <c r="BG268" i="33"/>
  <c r="BF268" i="33"/>
  <c r="BE268" i="33"/>
  <c r="BD268" i="33"/>
  <c r="BC268" i="33"/>
  <c r="BB268" i="33"/>
  <c r="BA268" i="33"/>
  <c r="AZ268" i="33"/>
  <c r="AY268" i="33"/>
  <c r="AX268" i="33"/>
  <c r="AW268" i="33"/>
  <c r="AV268" i="33"/>
  <c r="AU268" i="33"/>
  <c r="AT268" i="33"/>
  <c r="AS268" i="33"/>
  <c r="AR268" i="33"/>
  <c r="AQ268" i="33"/>
  <c r="AP268" i="33"/>
  <c r="AO268" i="33"/>
  <c r="AN268" i="33"/>
  <c r="AM268" i="33"/>
  <c r="AL268" i="33"/>
  <c r="AK268" i="33"/>
  <c r="AJ268" i="33"/>
  <c r="AI268" i="33"/>
  <c r="AH268" i="33"/>
  <c r="AG268" i="33"/>
  <c r="AF268" i="33"/>
  <c r="AE268" i="33"/>
  <c r="AD268" i="33"/>
  <c r="AC268" i="33"/>
  <c r="AB268" i="33"/>
  <c r="AA268" i="33"/>
  <c r="Z268" i="33"/>
  <c r="Y268" i="33"/>
  <c r="X268" i="33"/>
  <c r="W268" i="33"/>
  <c r="V268" i="33"/>
  <c r="U268" i="33"/>
  <c r="T268" i="33"/>
  <c r="S268" i="33"/>
  <c r="R268" i="33"/>
  <c r="Q268" i="33"/>
  <c r="P268" i="33"/>
  <c r="O268" i="33"/>
  <c r="N268" i="33"/>
  <c r="M268" i="33"/>
  <c r="L268" i="33"/>
  <c r="K268" i="33"/>
  <c r="J268" i="33"/>
  <c r="I268" i="33"/>
  <c r="H268" i="33"/>
  <c r="G268" i="33"/>
  <c r="F268" i="33"/>
  <c r="E268" i="33"/>
  <c r="D268" i="33"/>
  <c r="C268" i="33"/>
  <c r="B268" i="33"/>
  <c r="A268" i="33"/>
  <c r="IV267" i="33"/>
  <c r="IU267" i="33"/>
  <c r="IT267" i="33"/>
  <c r="IS267" i="33"/>
  <c r="IR267" i="33"/>
  <c r="IQ267" i="33"/>
  <c r="IP267" i="33"/>
  <c r="IO267" i="33"/>
  <c r="IN267" i="33"/>
  <c r="IM267" i="33"/>
  <c r="IL267" i="33"/>
  <c r="IK267" i="33"/>
  <c r="IJ267" i="33"/>
  <c r="II267" i="33"/>
  <c r="IH267" i="33"/>
  <c r="IG267" i="33"/>
  <c r="IF267" i="33"/>
  <c r="IE267" i="33"/>
  <c r="ID267" i="33"/>
  <c r="IC267" i="33"/>
  <c r="IB267" i="33"/>
  <c r="IA267" i="33"/>
  <c r="HZ267" i="33"/>
  <c r="HY267" i="33"/>
  <c r="HX267" i="33"/>
  <c r="HW267" i="33"/>
  <c r="HV267" i="33"/>
  <c r="HU267" i="33"/>
  <c r="HT267" i="33"/>
  <c r="HS267" i="33"/>
  <c r="HR267" i="33"/>
  <c r="HQ267" i="33"/>
  <c r="HP267" i="33"/>
  <c r="HO267" i="33"/>
  <c r="HN267" i="33"/>
  <c r="HM267" i="33"/>
  <c r="HL267" i="33"/>
  <c r="HK267" i="33"/>
  <c r="HJ267" i="33"/>
  <c r="HI267" i="33"/>
  <c r="HH267" i="33"/>
  <c r="HG267" i="33"/>
  <c r="HF267" i="33"/>
  <c r="HE267" i="33"/>
  <c r="HD267" i="33"/>
  <c r="HC267" i="33"/>
  <c r="HB267" i="33"/>
  <c r="HA267" i="33"/>
  <c r="GZ267" i="33"/>
  <c r="GY267" i="33"/>
  <c r="GX267" i="33"/>
  <c r="GW267" i="33"/>
  <c r="GV267" i="33"/>
  <c r="GU267" i="33"/>
  <c r="GT267" i="33"/>
  <c r="GS267" i="33"/>
  <c r="GR267" i="33"/>
  <c r="GQ267" i="33"/>
  <c r="GP267" i="33"/>
  <c r="GO267" i="33"/>
  <c r="GN267" i="33"/>
  <c r="GM267" i="33"/>
  <c r="GL267" i="33"/>
  <c r="GK267" i="33"/>
  <c r="GJ267" i="33"/>
  <c r="GI267" i="33"/>
  <c r="GH267" i="33"/>
  <c r="GG267" i="33"/>
  <c r="GF267" i="33"/>
  <c r="GE267" i="33"/>
  <c r="GD267" i="33"/>
  <c r="GC267" i="33"/>
  <c r="GB267" i="33"/>
  <c r="GA267" i="33"/>
  <c r="FZ267" i="33"/>
  <c r="FY267" i="33"/>
  <c r="FX267" i="33"/>
  <c r="FW267" i="33"/>
  <c r="FV267" i="33"/>
  <c r="FU267" i="33"/>
  <c r="FT267" i="33"/>
  <c r="FS267" i="33"/>
  <c r="FR267" i="33"/>
  <c r="FQ267" i="33"/>
  <c r="FP267" i="33"/>
  <c r="FO267" i="33"/>
  <c r="FN267" i="33"/>
  <c r="FM267" i="33"/>
  <c r="FL267" i="33"/>
  <c r="FK267" i="33"/>
  <c r="FJ267" i="33"/>
  <c r="FI267" i="33"/>
  <c r="FH267" i="33"/>
  <c r="FG267" i="33"/>
  <c r="FF267" i="33"/>
  <c r="FE267" i="33"/>
  <c r="FD267" i="33"/>
  <c r="FC267" i="33"/>
  <c r="FB267" i="33"/>
  <c r="FA267" i="33"/>
  <c r="EZ267" i="33"/>
  <c r="EY267" i="33"/>
  <c r="EX267" i="33"/>
  <c r="EW267" i="33"/>
  <c r="EV267" i="33"/>
  <c r="EU267" i="33"/>
  <c r="ET267" i="33"/>
  <c r="ES267" i="33"/>
  <c r="ER267" i="33"/>
  <c r="EQ267" i="33"/>
  <c r="EP267" i="33"/>
  <c r="EO267" i="33"/>
  <c r="EN267" i="33"/>
  <c r="EM267" i="33"/>
  <c r="EL267" i="33"/>
  <c r="EK267" i="33"/>
  <c r="EJ267" i="33"/>
  <c r="EI267" i="33"/>
  <c r="EH267" i="33"/>
  <c r="EG267" i="33"/>
  <c r="EF267" i="33"/>
  <c r="EE267" i="33"/>
  <c r="ED267" i="33"/>
  <c r="EC267" i="33"/>
  <c r="EB267" i="33"/>
  <c r="EA267" i="33"/>
  <c r="DZ267" i="33"/>
  <c r="DY267" i="33"/>
  <c r="DX267" i="33"/>
  <c r="DW267" i="33"/>
  <c r="DV267" i="33"/>
  <c r="DU267" i="33"/>
  <c r="DT267" i="33"/>
  <c r="DS267" i="33"/>
  <c r="DR267" i="33"/>
  <c r="DQ267" i="33"/>
  <c r="DP267" i="33"/>
  <c r="DO267" i="33"/>
  <c r="DN267" i="33"/>
  <c r="DM267" i="33"/>
  <c r="DL267" i="33"/>
  <c r="DK267" i="33"/>
  <c r="DJ267" i="33"/>
  <c r="DI267" i="33"/>
  <c r="DH267" i="33"/>
  <c r="DG267" i="33"/>
  <c r="DF267" i="33"/>
  <c r="DE267" i="33"/>
  <c r="DD267" i="33"/>
  <c r="DC267" i="33"/>
  <c r="DB267" i="33"/>
  <c r="DA267" i="33"/>
  <c r="CZ267" i="33"/>
  <c r="CY267" i="33"/>
  <c r="CX267" i="33"/>
  <c r="CW267" i="33"/>
  <c r="CV267" i="33"/>
  <c r="CU267" i="33"/>
  <c r="CT267" i="33"/>
  <c r="CS267" i="33"/>
  <c r="CR267" i="33"/>
  <c r="CQ267" i="33"/>
  <c r="CP267" i="33"/>
  <c r="CO267" i="33"/>
  <c r="CN267" i="33"/>
  <c r="CM267" i="33"/>
  <c r="CL267" i="33"/>
  <c r="CK267" i="33"/>
  <c r="CJ267" i="33"/>
  <c r="CI267" i="33"/>
  <c r="CH267" i="33"/>
  <c r="CG267" i="33"/>
  <c r="CF267" i="33"/>
  <c r="CE267" i="33"/>
  <c r="CD267" i="33"/>
  <c r="CC267" i="33"/>
  <c r="CB267" i="33"/>
  <c r="CA267" i="33"/>
  <c r="BZ267" i="33"/>
  <c r="BY267" i="33"/>
  <c r="BX267" i="33"/>
  <c r="BW267" i="33"/>
  <c r="BV267" i="33"/>
  <c r="BU267" i="33"/>
  <c r="BT267" i="33"/>
  <c r="BS267" i="33"/>
  <c r="BR267" i="33"/>
  <c r="BQ267" i="33"/>
  <c r="BP267" i="33"/>
  <c r="BO267" i="33"/>
  <c r="BN267" i="33"/>
  <c r="BM267" i="33"/>
  <c r="BL267" i="33"/>
  <c r="BK267" i="33"/>
  <c r="BJ267" i="33"/>
  <c r="BI267" i="33"/>
  <c r="BH267" i="33"/>
  <c r="BG267" i="33"/>
  <c r="BF267" i="33"/>
  <c r="BE267" i="33"/>
  <c r="BD267" i="33"/>
  <c r="BC267" i="33"/>
  <c r="BB267" i="33"/>
  <c r="BA267" i="33"/>
  <c r="AZ267" i="33"/>
  <c r="AY267" i="33"/>
  <c r="AX267" i="33"/>
  <c r="AW267" i="33"/>
  <c r="AV267" i="33"/>
  <c r="AU267" i="33"/>
  <c r="AT267" i="33"/>
  <c r="AS267" i="33"/>
  <c r="AR267" i="33"/>
  <c r="AQ267" i="33"/>
  <c r="AP267" i="33"/>
  <c r="AO267" i="33"/>
  <c r="AN267" i="33"/>
  <c r="AM267" i="33"/>
  <c r="AL267" i="33"/>
  <c r="AK267" i="33"/>
  <c r="AJ267" i="33"/>
  <c r="AI267" i="33"/>
  <c r="AH267" i="33"/>
  <c r="AG267" i="33"/>
  <c r="AF267" i="33"/>
  <c r="AE267" i="33"/>
  <c r="AD267" i="33"/>
  <c r="AC267" i="33"/>
  <c r="AB267" i="33"/>
  <c r="AA267" i="33"/>
  <c r="Z267" i="33"/>
  <c r="Y267" i="33"/>
  <c r="X267" i="33"/>
  <c r="W267" i="33"/>
  <c r="V267" i="33"/>
  <c r="U267" i="33"/>
  <c r="T267" i="33"/>
  <c r="S267" i="33"/>
  <c r="R267" i="33"/>
  <c r="Q267" i="33"/>
  <c r="P267" i="33"/>
  <c r="O267" i="33"/>
  <c r="N267" i="33"/>
  <c r="M267" i="33"/>
  <c r="L267" i="33"/>
  <c r="K267" i="33"/>
  <c r="J267" i="33"/>
  <c r="I267" i="33"/>
  <c r="H267" i="33"/>
  <c r="G267" i="33"/>
  <c r="F267" i="33"/>
  <c r="E267" i="33"/>
  <c r="D267" i="33"/>
  <c r="C267" i="33"/>
  <c r="B267" i="33"/>
  <c r="A267" i="33"/>
  <c r="IV266" i="33"/>
  <c r="IU266" i="33"/>
  <c r="IT266" i="33"/>
  <c r="IS266" i="33"/>
  <c r="IR266" i="33"/>
  <c r="IQ266" i="33"/>
  <c r="IP266" i="33"/>
  <c r="IO266" i="33"/>
  <c r="IN266" i="33"/>
  <c r="IM266" i="33"/>
  <c r="IL266" i="33"/>
  <c r="IK266" i="33"/>
  <c r="IJ266" i="33"/>
  <c r="II266" i="33"/>
  <c r="IH266" i="33"/>
  <c r="IG266" i="33"/>
  <c r="IF266" i="33"/>
  <c r="IE266" i="33"/>
  <c r="ID266" i="33"/>
  <c r="IC266" i="33"/>
  <c r="IB266" i="33"/>
  <c r="IA266" i="33"/>
  <c r="HZ266" i="33"/>
  <c r="HY266" i="33"/>
  <c r="HX266" i="33"/>
  <c r="HW266" i="33"/>
  <c r="HV266" i="33"/>
  <c r="HU266" i="33"/>
  <c r="HT266" i="33"/>
  <c r="HS266" i="33"/>
  <c r="HR266" i="33"/>
  <c r="HQ266" i="33"/>
  <c r="HP266" i="33"/>
  <c r="HO266" i="33"/>
  <c r="HN266" i="33"/>
  <c r="HM266" i="33"/>
  <c r="HL266" i="33"/>
  <c r="HK266" i="33"/>
  <c r="HJ266" i="33"/>
  <c r="HI266" i="33"/>
  <c r="HH266" i="33"/>
  <c r="HG266" i="33"/>
  <c r="HF266" i="33"/>
  <c r="HE266" i="33"/>
  <c r="HD266" i="33"/>
  <c r="HC266" i="33"/>
  <c r="HB266" i="33"/>
  <c r="HA266" i="33"/>
  <c r="GZ266" i="33"/>
  <c r="GY266" i="33"/>
  <c r="GX266" i="33"/>
  <c r="GW266" i="33"/>
  <c r="GV266" i="33"/>
  <c r="GU266" i="33"/>
  <c r="GT266" i="33"/>
  <c r="GS266" i="33"/>
  <c r="GR266" i="33"/>
  <c r="GQ266" i="33"/>
  <c r="GP266" i="33"/>
  <c r="GO266" i="33"/>
  <c r="GN266" i="33"/>
  <c r="GM266" i="33"/>
  <c r="GL266" i="33"/>
  <c r="GK266" i="33"/>
  <c r="GJ266" i="33"/>
  <c r="GI266" i="33"/>
  <c r="GH266" i="33"/>
  <c r="GG266" i="33"/>
  <c r="GF266" i="33"/>
  <c r="GE266" i="33"/>
  <c r="GD266" i="33"/>
  <c r="GC266" i="33"/>
  <c r="GB266" i="33"/>
  <c r="GA266" i="33"/>
  <c r="FZ266" i="33"/>
  <c r="FY266" i="33"/>
  <c r="FX266" i="33"/>
  <c r="FW266" i="33"/>
  <c r="FV266" i="33"/>
  <c r="FU266" i="33"/>
  <c r="FT266" i="33"/>
  <c r="FS266" i="33"/>
  <c r="FR266" i="33"/>
  <c r="FQ266" i="33"/>
  <c r="FP266" i="33"/>
  <c r="FO266" i="33"/>
  <c r="FN266" i="33"/>
  <c r="FM266" i="33"/>
  <c r="FL266" i="33"/>
  <c r="FK266" i="33"/>
  <c r="FJ266" i="33"/>
  <c r="FI266" i="33"/>
  <c r="FH266" i="33"/>
  <c r="FG266" i="33"/>
  <c r="FF266" i="33"/>
  <c r="FE266" i="33"/>
  <c r="FD266" i="33"/>
  <c r="FC266" i="33"/>
  <c r="FB266" i="33"/>
  <c r="FA266" i="33"/>
  <c r="EZ266" i="33"/>
  <c r="EY266" i="33"/>
  <c r="EX266" i="33"/>
  <c r="EW266" i="33"/>
  <c r="EV266" i="33"/>
  <c r="EU266" i="33"/>
  <c r="ET266" i="33"/>
  <c r="ES266" i="33"/>
  <c r="ER266" i="33"/>
  <c r="EQ266" i="33"/>
  <c r="EP266" i="33"/>
  <c r="EO266" i="33"/>
  <c r="EN266" i="33"/>
  <c r="EM266" i="33"/>
  <c r="EL266" i="33"/>
  <c r="EK266" i="33"/>
  <c r="EJ266" i="33"/>
  <c r="EI266" i="33"/>
  <c r="EH266" i="33"/>
  <c r="EG266" i="33"/>
  <c r="EF266" i="33"/>
  <c r="EE266" i="33"/>
  <c r="ED266" i="33"/>
  <c r="EC266" i="33"/>
  <c r="EB266" i="33"/>
  <c r="EA266" i="33"/>
  <c r="DZ266" i="33"/>
  <c r="DY266" i="33"/>
  <c r="DX266" i="33"/>
  <c r="DW266" i="33"/>
  <c r="DV266" i="33"/>
  <c r="DU266" i="33"/>
  <c r="DT266" i="33"/>
  <c r="DS266" i="33"/>
  <c r="DR266" i="33"/>
  <c r="DQ266" i="33"/>
  <c r="DP266" i="33"/>
  <c r="DO266" i="33"/>
  <c r="DN266" i="33"/>
  <c r="DM266" i="33"/>
  <c r="DL266" i="33"/>
  <c r="DK266" i="33"/>
  <c r="DJ266" i="33"/>
  <c r="DI266" i="33"/>
  <c r="DH266" i="33"/>
  <c r="DG266" i="33"/>
  <c r="DF266" i="33"/>
  <c r="DE266" i="33"/>
  <c r="DD266" i="33"/>
  <c r="DC266" i="33"/>
  <c r="DB266" i="33"/>
  <c r="DA266" i="33"/>
  <c r="CZ266" i="33"/>
  <c r="CY266" i="33"/>
  <c r="CX266" i="33"/>
  <c r="CW266" i="33"/>
  <c r="CV266" i="33"/>
  <c r="CU266" i="33"/>
  <c r="CT266" i="33"/>
  <c r="CS266" i="33"/>
  <c r="CR266" i="33"/>
  <c r="CQ266" i="33"/>
  <c r="CP266" i="33"/>
  <c r="CO266" i="33"/>
  <c r="CN266" i="33"/>
  <c r="CM266" i="33"/>
  <c r="CL266" i="33"/>
  <c r="CK266" i="33"/>
  <c r="CJ266" i="33"/>
  <c r="CI266" i="33"/>
  <c r="CH266" i="33"/>
  <c r="CG266" i="33"/>
  <c r="CF266" i="33"/>
  <c r="CE266" i="33"/>
  <c r="CD266" i="33"/>
  <c r="CC266" i="33"/>
  <c r="CB266" i="33"/>
  <c r="CA266" i="33"/>
  <c r="BZ266" i="33"/>
  <c r="BY266" i="33"/>
  <c r="BX266" i="33"/>
  <c r="BW266" i="33"/>
  <c r="BV266" i="33"/>
  <c r="BU266" i="33"/>
  <c r="BT266" i="33"/>
  <c r="BS266" i="33"/>
  <c r="BR266" i="33"/>
  <c r="BQ266" i="33"/>
  <c r="BP266" i="33"/>
  <c r="BO266" i="33"/>
  <c r="BN266" i="33"/>
  <c r="BM266" i="33"/>
  <c r="BL266" i="33"/>
  <c r="BK266" i="33"/>
  <c r="BJ266" i="33"/>
  <c r="BI266" i="33"/>
  <c r="BH266" i="33"/>
  <c r="BG266" i="33"/>
  <c r="BF266" i="33"/>
  <c r="BE266" i="33"/>
  <c r="BD266" i="33"/>
  <c r="BC266" i="33"/>
  <c r="BB266" i="33"/>
  <c r="BA266" i="33"/>
  <c r="AZ266" i="33"/>
  <c r="AY266" i="33"/>
  <c r="AX266" i="33"/>
  <c r="AW266" i="33"/>
  <c r="AV266" i="33"/>
  <c r="AU266" i="33"/>
  <c r="AT266" i="33"/>
  <c r="AS266" i="33"/>
  <c r="AR266" i="33"/>
  <c r="AQ266" i="33"/>
  <c r="AP266" i="33"/>
  <c r="AO266" i="33"/>
  <c r="AN266" i="33"/>
  <c r="AM266" i="33"/>
  <c r="AL266" i="33"/>
  <c r="AK266" i="33"/>
  <c r="AJ266" i="33"/>
  <c r="AI266" i="33"/>
  <c r="AH266" i="33"/>
  <c r="AG266" i="33"/>
  <c r="AF266" i="33"/>
  <c r="AE266" i="33"/>
  <c r="AD266" i="33"/>
  <c r="AC266" i="33"/>
  <c r="AB266" i="33"/>
  <c r="AA266" i="33"/>
  <c r="Z266" i="33"/>
  <c r="Y266" i="33"/>
  <c r="X266" i="33"/>
  <c r="W266" i="33"/>
  <c r="V266" i="33"/>
  <c r="U266" i="33"/>
  <c r="T266" i="33"/>
  <c r="S266" i="33"/>
  <c r="R266" i="33"/>
  <c r="Q266" i="33"/>
  <c r="P266" i="33"/>
  <c r="O266" i="33"/>
  <c r="N266" i="33"/>
  <c r="M266" i="33"/>
  <c r="L266" i="33"/>
  <c r="K266" i="33"/>
  <c r="J266" i="33"/>
  <c r="I266" i="33"/>
  <c r="H266" i="33"/>
  <c r="G266" i="33"/>
  <c r="F266" i="33"/>
  <c r="E266" i="33"/>
  <c r="D266" i="33"/>
  <c r="C266" i="33"/>
  <c r="B266" i="33"/>
  <c r="A266" i="33"/>
  <c r="IV265" i="33"/>
  <c r="IU265" i="33"/>
  <c r="IT265" i="33"/>
  <c r="IS265" i="33"/>
  <c r="IR265" i="33"/>
  <c r="IQ265" i="33"/>
  <c r="IP265" i="33"/>
  <c r="IO265" i="33"/>
  <c r="IN265" i="33"/>
  <c r="IM265" i="33"/>
  <c r="IL265" i="33"/>
  <c r="IK265" i="33"/>
  <c r="IJ265" i="33"/>
  <c r="II265" i="33"/>
  <c r="IH265" i="33"/>
  <c r="IG265" i="33"/>
  <c r="IF265" i="33"/>
  <c r="IE265" i="33"/>
  <c r="ID265" i="33"/>
  <c r="IC265" i="33"/>
  <c r="IB265" i="33"/>
  <c r="IA265" i="33"/>
  <c r="HZ265" i="33"/>
  <c r="HY265" i="33"/>
  <c r="HX265" i="33"/>
  <c r="HW265" i="33"/>
  <c r="HV265" i="33"/>
  <c r="HU265" i="33"/>
  <c r="HT265" i="33"/>
  <c r="HS265" i="33"/>
  <c r="HR265" i="33"/>
  <c r="HQ265" i="33"/>
  <c r="HP265" i="33"/>
  <c r="HO265" i="33"/>
  <c r="HN265" i="33"/>
  <c r="HM265" i="33"/>
  <c r="HL265" i="33"/>
  <c r="HK265" i="33"/>
  <c r="HJ265" i="33"/>
  <c r="HI265" i="33"/>
  <c r="HH265" i="33"/>
  <c r="HG265" i="33"/>
  <c r="HF265" i="33"/>
  <c r="HE265" i="33"/>
  <c r="HD265" i="33"/>
  <c r="HC265" i="33"/>
  <c r="HB265" i="33"/>
  <c r="HA265" i="33"/>
  <c r="GZ265" i="33"/>
  <c r="GY265" i="33"/>
  <c r="GX265" i="33"/>
  <c r="GW265" i="33"/>
  <c r="GV265" i="33"/>
  <c r="GU265" i="33"/>
  <c r="GT265" i="33"/>
  <c r="GS265" i="33"/>
  <c r="GR265" i="33"/>
  <c r="GQ265" i="33"/>
  <c r="GP265" i="33"/>
  <c r="GO265" i="33"/>
  <c r="GN265" i="33"/>
  <c r="GM265" i="33"/>
  <c r="GL265" i="33"/>
  <c r="GK265" i="33"/>
  <c r="GJ265" i="33"/>
  <c r="GI265" i="33"/>
  <c r="GH265" i="33"/>
  <c r="GG265" i="33"/>
  <c r="GF265" i="33"/>
  <c r="GE265" i="33"/>
  <c r="GD265" i="33"/>
  <c r="GC265" i="33"/>
  <c r="GB265" i="33"/>
  <c r="GA265" i="33"/>
  <c r="FZ265" i="33"/>
  <c r="FY265" i="33"/>
  <c r="FX265" i="33"/>
  <c r="FW265" i="33"/>
  <c r="FV265" i="33"/>
  <c r="FU265" i="33"/>
  <c r="FT265" i="33"/>
  <c r="FS265" i="33"/>
  <c r="FR265" i="33"/>
  <c r="FQ265" i="33"/>
  <c r="FP265" i="33"/>
  <c r="FO265" i="33"/>
  <c r="FN265" i="33"/>
  <c r="FM265" i="33"/>
  <c r="FL265" i="33"/>
  <c r="FK265" i="33"/>
  <c r="FJ265" i="33"/>
  <c r="FI265" i="33"/>
  <c r="FH265" i="33"/>
  <c r="FG265" i="33"/>
  <c r="FF265" i="33"/>
  <c r="FE265" i="33"/>
  <c r="FD265" i="33"/>
  <c r="FC265" i="33"/>
  <c r="FB265" i="33"/>
  <c r="FA265" i="33"/>
  <c r="EZ265" i="33"/>
  <c r="EY265" i="33"/>
  <c r="EX265" i="33"/>
  <c r="EW265" i="33"/>
  <c r="EV265" i="33"/>
  <c r="EU265" i="33"/>
  <c r="ET265" i="33"/>
  <c r="ES265" i="33"/>
  <c r="ER265" i="33"/>
  <c r="EQ265" i="33"/>
  <c r="EP265" i="33"/>
  <c r="EO265" i="33"/>
  <c r="EN265" i="33"/>
  <c r="EM265" i="33"/>
  <c r="EL265" i="33"/>
  <c r="EK265" i="33"/>
  <c r="EJ265" i="33"/>
  <c r="EI265" i="33"/>
  <c r="EH265" i="33"/>
  <c r="EG265" i="33"/>
  <c r="EF265" i="33"/>
  <c r="EE265" i="33"/>
  <c r="ED265" i="33"/>
  <c r="EC265" i="33"/>
  <c r="EB265" i="33"/>
  <c r="EA265" i="33"/>
  <c r="DZ265" i="33"/>
  <c r="DY265" i="33"/>
  <c r="DX265" i="33"/>
  <c r="DW265" i="33"/>
  <c r="DV265" i="33"/>
  <c r="DU265" i="33"/>
  <c r="DT265" i="33"/>
  <c r="DS265" i="33"/>
  <c r="DR265" i="33"/>
  <c r="DQ265" i="33"/>
  <c r="DP265" i="33"/>
  <c r="DO265" i="33"/>
  <c r="DN265" i="33"/>
  <c r="DM265" i="33"/>
  <c r="DL265" i="33"/>
  <c r="DK265" i="33"/>
  <c r="DJ265" i="33"/>
  <c r="DI265" i="33"/>
  <c r="DH265" i="33"/>
  <c r="DG265" i="33"/>
  <c r="DF265" i="33"/>
  <c r="DE265" i="33"/>
  <c r="DD265" i="33"/>
  <c r="DC265" i="33"/>
  <c r="DB265" i="33"/>
  <c r="DA265" i="33"/>
  <c r="CZ265" i="33"/>
  <c r="CY265" i="33"/>
  <c r="CX265" i="33"/>
  <c r="CW265" i="33"/>
  <c r="CV265" i="33"/>
  <c r="CU265" i="33"/>
  <c r="CT265" i="33"/>
  <c r="CS265" i="33"/>
  <c r="CR265" i="33"/>
  <c r="CQ265" i="33"/>
  <c r="CP265" i="33"/>
  <c r="CO265" i="33"/>
  <c r="CN265" i="33"/>
  <c r="CM265" i="33"/>
  <c r="CL265" i="33"/>
  <c r="CK265" i="33"/>
  <c r="CJ265" i="33"/>
  <c r="CI265" i="33"/>
  <c r="CH265" i="33"/>
  <c r="CG265" i="33"/>
  <c r="CF265" i="33"/>
  <c r="CE265" i="33"/>
  <c r="CD265" i="33"/>
  <c r="CC265" i="33"/>
  <c r="CB265" i="33"/>
  <c r="CA265" i="33"/>
  <c r="BZ265" i="33"/>
  <c r="BY265" i="33"/>
  <c r="BX265" i="33"/>
  <c r="BW265" i="33"/>
  <c r="BV265" i="33"/>
  <c r="BU265" i="33"/>
  <c r="BT265" i="33"/>
  <c r="BS265" i="33"/>
  <c r="BR265" i="33"/>
  <c r="BQ265" i="33"/>
  <c r="BP265" i="33"/>
  <c r="BO265" i="33"/>
  <c r="BN265" i="33"/>
  <c r="BM265" i="33"/>
  <c r="BL265" i="33"/>
  <c r="BK265" i="33"/>
  <c r="BJ265" i="33"/>
  <c r="BI265" i="33"/>
  <c r="BH265" i="33"/>
  <c r="BG265" i="33"/>
  <c r="BF265" i="33"/>
  <c r="BE265" i="33"/>
  <c r="BD265" i="33"/>
  <c r="BC265" i="33"/>
  <c r="BB265" i="33"/>
  <c r="BA265" i="33"/>
  <c r="AZ265" i="33"/>
  <c r="AY265" i="33"/>
  <c r="AX265" i="33"/>
  <c r="AW265" i="33"/>
  <c r="AV265" i="33"/>
  <c r="AU265" i="33"/>
  <c r="AT265" i="33"/>
  <c r="AS265" i="33"/>
  <c r="AR265" i="33"/>
  <c r="AQ265" i="33"/>
  <c r="AP265" i="33"/>
  <c r="AO265" i="33"/>
  <c r="AN265" i="33"/>
  <c r="AM265" i="33"/>
  <c r="AL265" i="33"/>
  <c r="AK265" i="33"/>
  <c r="AJ265" i="33"/>
  <c r="AI265" i="33"/>
  <c r="AH265" i="33"/>
  <c r="AG265" i="33"/>
  <c r="AF265" i="33"/>
  <c r="AE265" i="33"/>
  <c r="AD265" i="33"/>
  <c r="AC265" i="33"/>
  <c r="AB265" i="33"/>
  <c r="AA265" i="33"/>
  <c r="Z265" i="33"/>
  <c r="Y265" i="33"/>
  <c r="X265" i="33"/>
  <c r="W265" i="33"/>
  <c r="V265" i="33"/>
  <c r="U265" i="33"/>
  <c r="T265" i="33"/>
  <c r="S265" i="33"/>
  <c r="R265" i="33"/>
  <c r="Q265" i="33"/>
  <c r="P265" i="33"/>
  <c r="O265" i="33"/>
  <c r="N265" i="33"/>
  <c r="M265" i="33"/>
  <c r="L265" i="33"/>
  <c r="K265" i="33"/>
  <c r="J265" i="33"/>
  <c r="I265" i="33"/>
  <c r="H265" i="33"/>
  <c r="G265" i="33"/>
  <c r="F265" i="33"/>
  <c r="E265" i="33"/>
  <c r="D265" i="33"/>
  <c r="C265" i="33"/>
  <c r="B265" i="33"/>
  <c r="A265" i="33"/>
  <c r="IV264" i="33"/>
  <c r="IU264" i="33"/>
  <c r="IT264" i="33"/>
  <c r="IS264" i="33"/>
  <c r="IR264" i="33"/>
  <c r="IQ264" i="33"/>
  <c r="IP264" i="33"/>
  <c r="IO264" i="33"/>
  <c r="IN264" i="33"/>
  <c r="IM264" i="33"/>
  <c r="IL264" i="33"/>
  <c r="IK264" i="33"/>
  <c r="IJ264" i="33"/>
  <c r="II264" i="33"/>
  <c r="IH264" i="33"/>
  <c r="IG264" i="33"/>
  <c r="IF264" i="33"/>
  <c r="IE264" i="33"/>
  <c r="ID264" i="33"/>
  <c r="IC264" i="33"/>
  <c r="IB264" i="33"/>
  <c r="IA264" i="33"/>
  <c r="HZ264" i="33"/>
  <c r="HY264" i="33"/>
  <c r="HX264" i="33"/>
  <c r="HW264" i="33"/>
  <c r="HV264" i="33"/>
  <c r="HU264" i="33"/>
  <c r="HT264" i="33"/>
  <c r="HS264" i="33"/>
  <c r="HR264" i="33"/>
  <c r="HQ264" i="33"/>
  <c r="HP264" i="33"/>
  <c r="HO264" i="33"/>
  <c r="HN264" i="33"/>
  <c r="HM264" i="33"/>
  <c r="HL264" i="33"/>
  <c r="HK264" i="33"/>
  <c r="HJ264" i="33"/>
  <c r="HI264" i="33"/>
  <c r="HH264" i="33"/>
  <c r="HG264" i="33"/>
  <c r="HF264" i="33"/>
  <c r="HE264" i="33"/>
  <c r="HD264" i="33"/>
  <c r="HC264" i="33"/>
  <c r="HB264" i="33"/>
  <c r="HA264" i="33"/>
  <c r="GZ264" i="33"/>
  <c r="GY264" i="33"/>
  <c r="GX264" i="33"/>
  <c r="GW264" i="33"/>
  <c r="GV264" i="33"/>
  <c r="GU264" i="33"/>
  <c r="GT264" i="33"/>
  <c r="GS264" i="33"/>
  <c r="GR264" i="33"/>
  <c r="GQ264" i="33"/>
  <c r="GP264" i="33"/>
  <c r="GO264" i="33"/>
  <c r="GN264" i="33"/>
  <c r="GM264" i="33"/>
  <c r="GL264" i="33"/>
  <c r="GK264" i="33"/>
  <c r="GJ264" i="33"/>
  <c r="GI264" i="33"/>
  <c r="GH264" i="33"/>
  <c r="GG264" i="33"/>
  <c r="GF264" i="33"/>
  <c r="GE264" i="33"/>
  <c r="GD264" i="33"/>
  <c r="GC264" i="33"/>
  <c r="GB264" i="33"/>
  <c r="GA264" i="33"/>
  <c r="FZ264" i="33"/>
  <c r="FY264" i="33"/>
  <c r="FX264" i="33"/>
  <c r="FW264" i="33"/>
  <c r="FV264" i="33"/>
  <c r="FU264" i="33"/>
  <c r="FT264" i="33"/>
  <c r="FS264" i="33"/>
  <c r="FR264" i="33"/>
  <c r="FQ264" i="33"/>
  <c r="FP264" i="33"/>
  <c r="FO264" i="33"/>
  <c r="FN264" i="33"/>
  <c r="FM264" i="33"/>
  <c r="FL264" i="33"/>
  <c r="FK264" i="33"/>
  <c r="FJ264" i="33"/>
  <c r="FI264" i="33"/>
  <c r="FH264" i="33"/>
  <c r="FG264" i="33"/>
  <c r="FF264" i="33"/>
  <c r="FE264" i="33"/>
  <c r="FD264" i="33"/>
  <c r="FC264" i="33"/>
  <c r="FB264" i="33"/>
  <c r="FA264" i="33"/>
  <c r="EZ264" i="33"/>
  <c r="EY264" i="33"/>
  <c r="EX264" i="33"/>
  <c r="EW264" i="33"/>
  <c r="EV264" i="33"/>
  <c r="EU264" i="33"/>
  <c r="ET264" i="33"/>
  <c r="ES264" i="33"/>
  <c r="ER264" i="33"/>
  <c r="EQ264" i="33"/>
  <c r="EP264" i="33"/>
  <c r="EO264" i="33"/>
  <c r="EN264" i="33"/>
  <c r="EM264" i="33"/>
  <c r="EL264" i="33"/>
  <c r="EK264" i="33"/>
  <c r="EJ264" i="33"/>
  <c r="EI264" i="33"/>
  <c r="EH264" i="33"/>
  <c r="EG264" i="33"/>
  <c r="EF264" i="33"/>
  <c r="EE264" i="33"/>
  <c r="ED264" i="33"/>
  <c r="EC264" i="33"/>
  <c r="EB264" i="33"/>
  <c r="EA264" i="33"/>
  <c r="DZ264" i="33"/>
  <c r="DY264" i="33"/>
  <c r="DX264" i="33"/>
  <c r="DW264" i="33"/>
  <c r="DV264" i="33"/>
  <c r="DU264" i="33"/>
  <c r="DT264" i="33"/>
  <c r="DS264" i="33"/>
  <c r="DR264" i="33"/>
  <c r="DQ264" i="33"/>
  <c r="DP264" i="33"/>
  <c r="DO264" i="33"/>
  <c r="DN264" i="33"/>
  <c r="DM264" i="33"/>
  <c r="DL264" i="33"/>
  <c r="DK264" i="33"/>
  <c r="DJ264" i="33"/>
  <c r="DI264" i="33"/>
  <c r="DH264" i="33"/>
  <c r="DG264" i="33"/>
  <c r="DF264" i="33"/>
  <c r="DE264" i="33"/>
  <c r="DD264" i="33"/>
  <c r="DC264" i="33"/>
  <c r="DB264" i="33"/>
  <c r="DA264" i="33"/>
  <c r="CZ264" i="33"/>
  <c r="CY264" i="33"/>
  <c r="CX264" i="33"/>
  <c r="CW264" i="33"/>
  <c r="CV264" i="33"/>
  <c r="CU264" i="33"/>
  <c r="CT264" i="33"/>
  <c r="CS264" i="33"/>
  <c r="CR264" i="33"/>
  <c r="CQ264" i="33"/>
  <c r="CP264" i="33"/>
  <c r="CO264" i="33"/>
  <c r="CN264" i="33"/>
  <c r="CM264" i="33"/>
  <c r="CL264" i="33"/>
  <c r="CK264" i="33"/>
  <c r="CJ264" i="33"/>
  <c r="CI264" i="33"/>
  <c r="CH264" i="33"/>
  <c r="CG264" i="33"/>
  <c r="CF264" i="33"/>
  <c r="CE264" i="33"/>
  <c r="CD264" i="33"/>
  <c r="CC264" i="33"/>
  <c r="CB264" i="33"/>
  <c r="CA264" i="33"/>
  <c r="BZ264" i="33"/>
  <c r="BY264" i="33"/>
  <c r="BX264" i="33"/>
  <c r="BW264" i="33"/>
  <c r="BV264" i="33"/>
  <c r="BU264" i="33"/>
  <c r="BT264" i="33"/>
  <c r="BS264" i="33"/>
  <c r="BR264" i="33"/>
  <c r="BQ264" i="33"/>
  <c r="BP264" i="33"/>
  <c r="BO264" i="33"/>
  <c r="BN264" i="33"/>
  <c r="BM264" i="33"/>
  <c r="BL264" i="33"/>
  <c r="BK264" i="33"/>
  <c r="BJ264" i="33"/>
  <c r="BI264" i="33"/>
  <c r="BH264" i="33"/>
  <c r="BG264" i="33"/>
  <c r="BF264" i="33"/>
  <c r="BE264" i="33"/>
  <c r="BD264" i="33"/>
  <c r="BC264" i="33"/>
  <c r="BB264" i="33"/>
  <c r="BA264" i="33"/>
  <c r="AZ264" i="33"/>
  <c r="AY264" i="33"/>
  <c r="AX264" i="33"/>
  <c r="AW264" i="33"/>
  <c r="AV264" i="33"/>
  <c r="AU264" i="33"/>
  <c r="AT264" i="33"/>
  <c r="AS264" i="33"/>
  <c r="AR264" i="33"/>
  <c r="AQ264" i="33"/>
  <c r="AP264" i="33"/>
  <c r="AO264" i="33"/>
  <c r="AN264" i="33"/>
  <c r="AM264" i="33"/>
  <c r="AL264" i="33"/>
  <c r="AK264" i="33"/>
  <c r="AJ264" i="33"/>
  <c r="AI264" i="33"/>
  <c r="AH264" i="33"/>
  <c r="AG264" i="33"/>
  <c r="AF264" i="33"/>
  <c r="AE264" i="33"/>
  <c r="AD264" i="33"/>
  <c r="AC264" i="33"/>
  <c r="AB264" i="33"/>
  <c r="AA264" i="33"/>
  <c r="Z264" i="33"/>
  <c r="Y264" i="33"/>
  <c r="X264" i="33"/>
  <c r="W264" i="33"/>
  <c r="V264" i="33"/>
  <c r="U264" i="33"/>
  <c r="T264" i="33"/>
  <c r="S264" i="33"/>
  <c r="R264" i="33"/>
  <c r="Q264" i="33"/>
  <c r="P264" i="33"/>
  <c r="O264" i="33"/>
  <c r="N264" i="33"/>
  <c r="M264" i="33"/>
  <c r="L264" i="33"/>
  <c r="K264" i="33"/>
  <c r="J264" i="33"/>
  <c r="I264" i="33"/>
  <c r="H264" i="33"/>
  <c r="G264" i="33"/>
  <c r="F264" i="33"/>
  <c r="E264" i="33"/>
  <c r="D264" i="33"/>
  <c r="C264" i="33"/>
  <c r="B264" i="33"/>
  <c r="A264" i="33"/>
  <c r="IV263" i="33"/>
  <c r="IU263" i="33"/>
  <c r="IT263" i="33"/>
  <c r="IS263" i="33"/>
  <c r="IR263" i="33"/>
  <c r="IQ263" i="33"/>
  <c r="IP263" i="33"/>
  <c r="IO263" i="33"/>
  <c r="IN263" i="33"/>
  <c r="IM263" i="33"/>
  <c r="IL263" i="33"/>
  <c r="IK263" i="33"/>
  <c r="IJ263" i="33"/>
  <c r="II263" i="33"/>
  <c r="IH263" i="33"/>
  <c r="IG263" i="33"/>
  <c r="IF263" i="33"/>
  <c r="IE263" i="33"/>
  <c r="ID263" i="33"/>
  <c r="IC263" i="33"/>
  <c r="IB263" i="33"/>
  <c r="IA263" i="33"/>
  <c r="HZ263" i="33"/>
  <c r="HY263" i="33"/>
  <c r="HX263" i="33"/>
  <c r="HW263" i="33"/>
  <c r="HV263" i="33"/>
  <c r="HU263" i="33"/>
  <c r="HT263" i="33"/>
  <c r="HS263" i="33"/>
  <c r="HR263" i="33"/>
  <c r="HQ263" i="33"/>
  <c r="HP263" i="33"/>
  <c r="HO263" i="33"/>
  <c r="HN263" i="33"/>
  <c r="HM263" i="33"/>
  <c r="HL263" i="33"/>
  <c r="HK263" i="33"/>
  <c r="HJ263" i="33"/>
  <c r="HI263" i="33"/>
  <c r="HH263" i="33"/>
  <c r="HG263" i="33"/>
  <c r="HF263" i="33"/>
  <c r="HE263" i="33"/>
  <c r="HD263" i="33"/>
  <c r="HC263" i="33"/>
  <c r="HB263" i="33"/>
  <c r="HA263" i="33"/>
  <c r="GZ263" i="33"/>
  <c r="GY263" i="33"/>
  <c r="GX263" i="33"/>
  <c r="GW263" i="33"/>
  <c r="GV263" i="33"/>
  <c r="GU263" i="33"/>
  <c r="GT263" i="33"/>
  <c r="GS263" i="33"/>
  <c r="GR263" i="33"/>
  <c r="GQ263" i="33"/>
  <c r="GP263" i="33"/>
  <c r="GO263" i="33"/>
  <c r="GN263" i="33"/>
  <c r="GM263" i="33"/>
  <c r="GL263" i="33"/>
  <c r="GK263" i="33"/>
  <c r="GJ263" i="33"/>
  <c r="GI263" i="33"/>
  <c r="GH263" i="33"/>
  <c r="GG263" i="33"/>
  <c r="GF263" i="33"/>
  <c r="GE263" i="33"/>
  <c r="GD263" i="33"/>
  <c r="GC263" i="33"/>
  <c r="GB263" i="33"/>
  <c r="GA263" i="33"/>
  <c r="FZ263" i="33"/>
  <c r="FY263" i="33"/>
  <c r="FX263" i="33"/>
  <c r="FW263" i="33"/>
  <c r="FV263" i="33"/>
  <c r="FU263" i="33"/>
  <c r="FT263" i="33"/>
  <c r="FS263" i="33"/>
  <c r="FR263" i="33"/>
  <c r="FQ263" i="33"/>
  <c r="FP263" i="33"/>
  <c r="FO263" i="33"/>
  <c r="FN263" i="33"/>
  <c r="FM263" i="33"/>
  <c r="FL263" i="33"/>
  <c r="FK263" i="33"/>
  <c r="FJ263" i="33"/>
  <c r="FI263" i="33"/>
  <c r="FH263" i="33"/>
  <c r="FG263" i="33"/>
  <c r="FF263" i="33"/>
  <c r="FE263" i="33"/>
  <c r="FD263" i="33"/>
  <c r="FC263" i="33"/>
  <c r="FB263" i="33"/>
  <c r="FA263" i="33"/>
  <c r="EZ263" i="33"/>
  <c r="EY263" i="33"/>
  <c r="EX263" i="33"/>
  <c r="EW263" i="33"/>
  <c r="EV263" i="33"/>
  <c r="EU263" i="33"/>
  <c r="ET263" i="33"/>
  <c r="ES263" i="33"/>
  <c r="ER263" i="33"/>
  <c r="EQ263" i="33"/>
  <c r="EP263" i="33"/>
  <c r="EO263" i="33"/>
  <c r="EN263" i="33"/>
  <c r="EM263" i="33"/>
  <c r="EL263" i="33"/>
  <c r="EK263" i="33"/>
  <c r="EJ263" i="33"/>
  <c r="EI263" i="33"/>
  <c r="EH263" i="33"/>
  <c r="EG263" i="33"/>
  <c r="EF263" i="33"/>
  <c r="EE263" i="33"/>
  <c r="ED263" i="33"/>
  <c r="EC263" i="33"/>
  <c r="EB263" i="33"/>
  <c r="EA263" i="33"/>
  <c r="DZ263" i="33"/>
  <c r="DY263" i="33"/>
  <c r="DX263" i="33"/>
  <c r="DW263" i="33"/>
  <c r="DV263" i="33"/>
  <c r="DU263" i="33"/>
  <c r="DT263" i="33"/>
  <c r="DS263" i="33"/>
  <c r="DR263" i="33"/>
  <c r="DQ263" i="33"/>
  <c r="DP263" i="33"/>
  <c r="DO263" i="33"/>
  <c r="DN263" i="33"/>
  <c r="DM263" i="33"/>
  <c r="DL263" i="33"/>
  <c r="DK263" i="33"/>
  <c r="DJ263" i="33"/>
  <c r="DI263" i="33"/>
  <c r="DH263" i="33"/>
  <c r="DG263" i="33"/>
  <c r="DF263" i="33"/>
  <c r="DE263" i="33"/>
  <c r="DD263" i="33"/>
  <c r="DC263" i="33"/>
  <c r="DB263" i="33"/>
  <c r="DA263" i="33"/>
  <c r="CZ263" i="33"/>
  <c r="CY263" i="33"/>
  <c r="CX263" i="33"/>
  <c r="CW263" i="33"/>
  <c r="CV263" i="33"/>
  <c r="CU263" i="33"/>
  <c r="CT263" i="33"/>
  <c r="CS263" i="33"/>
  <c r="CR263" i="33"/>
  <c r="CQ263" i="33"/>
  <c r="CP263" i="33"/>
  <c r="CO263" i="33"/>
  <c r="CN263" i="33"/>
  <c r="CM263" i="33"/>
  <c r="CL263" i="33"/>
  <c r="CK263" i="33"/>
  <c r="CJ263" i="33"/>
  <c r="CI263" i="33"/>
  <c r="CH263" i="33"/>
  <c r="CG263" i="33"/>
  <c r="CF263" i="33"/>
  <c r="CE263" i="33"/>
  <c r="CD263" i="33"/>
  <c r="CC263" i="33"/>
  <c r="CB263" i="33"/>
  <c r="CA263" i="33"/>
  <c r="BZ263" i="33"/>
  <c r="BY263" i="33"/>
  <c r="BX263" i="33"/>
  <c r="BW263" i="33"/>
  <c r="BV263" i="33"/>
  <c r="BU263" i="33"/>
  <c r="BT263" i="33"/>
  <c r="BS263" i="33"/>
  <c r="BR263" i="33"/>
  <c r="BQ263" i="33"/>
  <c r="BP263" i="33"/>
  <c r="BO263" i="33"/>
  <c r="BN263" i="33"/>
  <c r="BM263" i="33"/>
  <c r="BL263" i="33"/>
  <c r="BK263" i="33"/>
  <c r="BJ263" i="33"/>
  <c r="BI263" i="33"/>
  <c r="BH263" i="33"/>
  <c r="BG263" i="33"/>
  <c r="BF263" i="33"/>
  <c r="BE263" i="33"/>
  <c r="BD263" i="33"/>
  <c r="BC263" i="33"/>
  <c r="BB263" i="33"/>
  <c r="BA263" i="33"/>
  <c r="AZ263" i="33"/>
  <c r="AY263" i="33"/>
  <c r="AX263" i="33"/>
  <c r="AW263" i="33"/>
  <c r="AV263" i="33"/>
  <c r="AU263" i="33"/>
  <c r="AT263" i="33"/>
  <c r="AS263" i="33"/>
  <c r="AR263" i="33"/>
  <c r="AQ263" i="33"/>
  <c r="AP263" i="33"/>
  <c r="AO263" i="33"/>
  <c r="AN263" i="33"/>
  <c r="AM263" i="33"/>
  <c r="AL263" i="33"/>
  <c r="AK263" i="33"/>
  <c r="AJ263" i="33"/>
  <c r="AI263" i="33"/>
  <c r="AH263" i="33"/>
  <c r="AG263" i="33"/>
  <c r="AF263" i="33"/>
  <c r="AE263" i="33"/>
  <c r="AD263" i="33"/>
  <c r="AC263" i="33"/>
  <c r="AB263" i="33"/>
  <c r="AA263" i="33"/>
  <c r="Z263" i="33"/>
  <c r="Y263" i="33"/>
  <c r="X263" i="33"/>
  <c r="W263" i="33"/>
  <c r="V263" i="33"/>
  <c r="U263" i="33"/>
  <c r="T263" i="33"/>
  <c r="S263" i="33"/>
  <c r="R263" i="33"/>
  <c r="Q263" i="33"/>
  <c r="P263" i="33"/>
  <c r="O263" i="33"/>
  <c r="N263" i="33"/>
  <c r="M263" i="33"/>
  <c r="L263" i="33"/>
  <c r="K263" i="33"/>
  <c r="J263" i="33"/>
  <c r="I263" i="33"/>
  <c r="H263" i="33"/>
  <c r="G263" i="33"/>
  <c r="F263" i="33"/>
  <c r="E263" i="33"/>
  <c r="D263" i="33"/>
  <c r="C263" i="33"/>
  <c r="B263" i="33"/>
  <c r="A263" i="33"/>
  <c r="IV262" i="33"/>
  <c r="IU262" i="33"/>
  <c r="IT262" i="33"/>
  <c r="IS262" i="33"/>
  <c r="IR262" i="33"/>
  <c r="IQ262" i="33"/>
  <c r="IP262" i="33"/>
  <c r="IO262" i="33"/>
  <c r="IN262" i="33"/>
  <c r="IM262" i="33"/>
  <c r="IL262" i="33"/>
  <c r="IK262" i="33"/>
  <c r="IJ262" i="33"/>
  <c r="II262" i="33"/>
  <c r="IH262" i="33"/>
  <c r="IG262" i="33"/>
  <c r="IF262" i="33"/>
  <c r="IE262" i="33"/>
  <c r="ID262" i="33"/>
  <c r="IC262" i="33"/>
  <c r="IB262" i="33"/>
  <c r="IA262" i="33"/>
  <c r="HZ262" i="33"/>
  <c r="HY262" i="33"/>
  <c r="HX262" i="33"/>
  <c r="HW262" i="33"/>
  <c r="HV262" i="33"/>
  <c r="HU262" i="33"/>
  <c r="HT262" i="33"/>
  <c r="HS262" i="33"/>
  <c r="HR262" i="33"/>
  <c r="HQ262" i="33"/>
  <c r="HP262" i="33"/>
  <c r="HO262" i="33"/>
  <c r="HN262" i="33"/>
  <c r="HM262" i="33"/>
  <c r="HL262" i="33"/>
  <c r="HK262" i="33"/>
  <c r="HJ262" i="33"/>
  <c r="HI262" i="33"/>
  <c r="HH262" i="33"/>
  <c r="HG262" i="33"/>
  <c r="HF262" i="33"/>
  <c r="HE262" i="33"/>
  <c r="HD262" i="33"/>
  <c r="HC262" i="33"/>
  <c r="HB262" i="33"/>
  <c r="HA262" i="33"/>
  <c r="GZ262" i="33"/>
  <c r="GY262" i="33"/>
  <c r="GX262" i="33"/>
  <c r="GW262" i="33"/>
  <c r="GV262" i="33"/>
  <c r="GU262" i="33"/>
  <c r="GT262" i="33"/>
  <c r="GS262" i="33"/>
  <c r="GR262" i="33"/>
  <c r="GQ262" i="33"/>
  <c r="GP262" i="33"/>
  <c r="GO262" i="33"/>
  <c r="GN262" i="33"/>
  <c r="GM262" i="33"/>
  <c r="GL262" i="33"/>
  <c r="GK262" i="33"/>
  <c r="GJ262" i="33"/>
  <c r="GI262" i="33"/>
  <c r="GH262" i="33"/>
  <c r="GG262" i="33"/>
  <c r="GF262" i="33"/>
  <c r="GE262" i="33"/>
  <c r="GD262" i="33"/>
  <c r="GC262" i="33"/>
  <c r="GB262" i="33"/>
  <c r="GA262" i="33"/>
  <c r="FZ262" i="33"/>
  <c r="FY262" i="33"/>
  <c r="FX262" i="33"/>
  <c r="FW262" i="33"/>
  <c r="FV262" i="33"/>
  <c r="FU262" i="33"/>
  <c r="FT262" i="33"/>
  <c r="FS262" i="33"/>
  <c r="FR262" i="33"/>
  <c r="FQ262" i="33"/>
  <c r="FP262" i="33"/>
  <c r="FO262" i="33"/>
  <c r="FN262" i="33"/>
  <c r="FM262" i="33"/>
  <c r="FL262" i="33"/>
  <c r="FK262" i="33"/>
  <c r="FJ262" i="33"/>
  <c r="FI262" i="33"/>
  <c r="FH262" i="33"/>
  <c r="FG262" i="33"/>
  <c r="FF262" i="33"/>
  <c r="FE262" i="33"/>
  <c r="FD262" i="33"/>
  <c r="FC262" i="33"/>
  <c r="FB262" i="33"/>
  <c r="FA262" i="33"/>
  <c r="EZ262" i="33"/>
  <c r="EY262" i="33"/>
  <c r="EX262" i="33"/>
  <c r="EW262" i="33"/>
  <c r="EV262" i="33"/>
  <c r="EU262" i="33"/>
  <c r="ET262" i="33"/>
  <c r="ES262" i="33"/>
  <c r="ER262" i="33"/>
  <c r="EQ262" i="33"/>
  <c r="EP262" i="33"/>
  <c r="EO262" i="33"/>
  <c r="EN262" i="33"/>
  <c r="EM262" i="33"/>
  <c r="EL262" i="33"/>
  <c r="EK262" i="33"/>
  <c r="EJ262" i="33"/>
  <c r="EI262" i="33"/>
  <c r="EH262" i="33"/>
  <c r="EG262" i="33"/>
  <c r="EF262" i="33"/>
  <c r="EE262" i="33"/>
  <c r="ED262" i="33"/>
  <c r="EC262" i="33"/>
  <c r="EB262" i="33"/>
  <c r="EA262" i="33"/>
  <c r="DZ262" i="33"/>
  <c r="DY262" i="33"/>
  <c r="DX262" i="33"/>
  <c r="DW262" i="33"/>
  <c r="DV262" i="33"/>
  <c r="DU262" i="33"/>
  <c r="DT262" i="33"/>
  <c r="DS262" i="33"/>
  <c r="DR262" i="33"/>
  <c r="DQ262" i="33"/>
  <c r="DP262" i="33"/>
  <c r="DO262" i="33"/>
  <c r="DN262" i="33"/>
  <c r="DM262" i="33"/>
  <c r="DL262" i="33"/>
  <c r="DK262" i="33"/>
  <c r="DJ262" i="33"/>
  <c r="DI262" i="33"/>
  <c r="DH262" i="33"/>
  <c r="DG262" i="33"/>
  <c r="DF262" i="33"/>
  <c r="DE262" i="33"/>
  <c r="DD262" i="33"/>
  <c r="DC262" i="33"/>
  <c r="DB262" i="33"/>
  <c r="DA262" i="33"/>
  <c r="CZ262" i="33"/>
  <c r="CY262" i="33"/>
  <c r="CX262" i="33"/>
  <c r="CW262" i="33"/>
  <c r="CV262" i="33"/>
  <c r="CU262" i="33"/>
  <c r="CT262" i="33"/>
  <c r="CS262" i="33"/>
  <c r="CR262" i="33"/>
  <c r="CQ262" i="33"/>
  <c r="CP262" i="33"/>
  <c r="CO262" i="33"/>
  <c r="CN262" i="33"/>
  <c r="CM262" i="33"/>
  <c r="CL262" i="33"/>
  <c r="CK262" i="33"/>
  <c r="CJ262" i="33"/>
  <c r="CI262" i="33"/>
  <c r="CH262" i="33"/>
  <c r="CG262" i="33"/>
  <c r="CF262" i="33"/>
  <c r="CE262" i="33"/>
  <c r="CD262" i="33"/>
  <c r="CC262" i="33"/>
  <c r="CB262" i="33"/>
  <c r="CA262" i="33"/>
  <c r="BZ262" i="33"/>
  <c r="BY262" i="33"/>
  <c r="BX262" i="33"/>
  <c r="BW262" i="33"/>
  <c r="BV262" i="33"/>
  <c r="BU262" i="33"/>
  <c r="BT262" i="33"/>
  <c r="BS262" i="33"/>
  <c r="BR262" i="33"/>
  <c r="BQ262" i="33"/>
  <c r="BP262" i="33"/>
  <c r="BO262" i="33"/>
  <c r="BN262" i="33"/>
  <c r="BM262" i="33"/>
  <c r="BL262" i="33"/>
  <c r="BK262" i="33"/>
  <c r="BJ262" i="33"/>
  <c r="BI262" i="33"/>
  <c r="BH262" i="33"/>
  <c r="BG262" i="33"/>
  <c r="BF262" i="33"/>
  <c r="BE262" i="33"/>
  <c r="BD262" i="33"/>
  <c r="BC262" i="33"/>
  <c r="BB262" i="33"/>
  <c r="BA262" i="33"/>
  <c r="AZ262" i="33"/>
  <c r="AY262" i="33"/>
  <c r="AX262" i="33"/>
  <c r="AW262" i="33"/>
  <c r="AV262" i="33"/>
  <c r="AU262" i="33"/>
  <c r="AT262" i="33"/>
  <c r="AS262" i="33"/>
  <c r="AR262" i="33"/>
  <c r="AQ262" i="33"/>
  <c r="AP262" i="33"/>
  <c r="AO262" i="33"/>
  <c r="AN262" i="33"/>
  <c r="AM262" i="33"/>
  <c r="AL262" i="33"/>
  <c r="AK262" i="33"/>
  <c r="AJ262" i="33"/>
  <c r="AI262" i="33"/>
  <c r="AH262" i="33"/>
  <c r="AG262" i="33"/>
  <c r="AF262" i="33"/>
  <c r="AE262" i="33"/>
  <c r="AD262" i="33"/>
  <c r="AC262" i="33"/>
  <c r="AB262" i="33"/>
  <c r="AA262" i="33"/>
  <c r="Z262" i="33"/>
  <c r="Y262" i="33"/>
  <c r="X262" i="33"/>
  <c r="W262" i="33"/>
  <c r="V262" i="33"/>
  <c r="U262" i="33"/>
  <c r="T262" i="33"/>
  <c r="S262" i="33"/>
  <c r="R262" i="33"/>
  <c r="Q262" i="33"/>
  <c r="P262" i="33"/>
  <c r="O262" i="33"/>
  <c r="N262" i="33"/>
  <c r="M262" i="33"/>
  <c r="L262" i="33"/>
  <c r="K262" i="33"/>
  <c r="J262" i="33"/>
  <c r="I262" i="33"/>
  <c r="H262" i="33"/>
  <c r="G262" i="33"/>
  <c r="F262" i="33"/>
  <c r="E262" i="33"/>
  <c r="D262" i="33"/>
  <c r="C262" i="33"/>
  <c r="B262" i="33"/>
  <c r="A262" i="33"/>
  <c r="IV261" i="33"/>
  <c r="IU261" i="33"/>
  <c r="IT261" i="33"/>
  <c r="IS261" i="33"/>
  <c r="IR261" i="33"/>
  <c r="IQ261" i="33"/>
  <c r="IP261" i="33"/>
  <c r="IO261" i="33"/>
  <c r="IN261" i="33"/>
  <c r="IM261" i="33"/>
  <c r="IL261" i="33"/>
  <c r="IK261" i="33"/>
  <c r="IJ261" i="33"/>
  <c r="II261" i="33"/>
  <c r="IH261" i="33"/>
  <c r="IG261" i="33"/>
  <c r="IF261" i="33"/>
  <c r="IE261" i="33"/>
  <c r="ID261" i="33"/>
  <c r="IC261" i="33"/>
  <c r="IB261" i="33"/>
  <c r="IA261" i="33"/>
  <c r="HZ261" i="33"/>
  <c r="HY261" i="33"/>
  <c r="HX261" i="33"/>
  <c r="HW261" i="33"/>
  <c r="HV261" i="33"/>
  <c r="HU261" i="33"/>
  <c r="HT261" i="33"/>
  <c r="HS261" i="33"/>
  <c r="HR261" i="33"/>
  <c r="HQ261" i="33"/>
  <c r="HP261" i="33"/>
  <c r="HO261" i="33"/>
  <c r="HN261" i="33"/>
  <c r="HM261" i="33"/>
  <c r="HL261" i="33"/>
  <c r="HK261" i="33"/>
  <c r="HJ261" i="33"/>
  <c r="HI261" i="33"/>
  <c r="HH261" i="33"/>
  <c r="HG261" i="33"/>
  <c r="HF261" i="33"/>
  <c r="HE261" i="33"/>
  <c r="HD261" i="33"/>
  <c r="HC261" i="33"/>
  <c r="HB261" i="33"/>
  <c r="HA261" i="33"/>
  <c r="GZ261" i="33"/>
  <c r="GY261" i="33"/>
  <c r="GX261" i="33"/>
  <c r="GW261" i="33"/>
  <c r="GV261" i="33"/>
  <c r="GU261" i="33"/>
  <c r="GT261" i="33"/>
  <c r="GS261" i="33"/>
  <c r="GR261" i="33"/>
  <c r="GQ261" i="33"/>
  <c r="GP261" i="33"/>
  <c r="GO261" i="33"/>
  <c r="GN261" i="33"/>
  <c r="GM261" i="33"/>
  <c r="GL261" i="33"/>
  <c r="GK261" i="33"/>
  <c r="GJ261" i="33"/>
  <c r="GI261" i="33"/>
  <c r="GH261" i="33"/>
  <c r="GG261" i="33"/>
  <c r="GF261" i="33"/>
  <c r="GE261" i="33"/>
  <c r="GD261" i="33"/>
  <c r="GC261" i="33"/>
  <c r="GB261" i="33"/>
  <c r="GA261" i="33"/>
  <c r="FZ261" i="33"/>
  <c r="FY261" i="33"/>
  <c r="FX261" i="33"/>
  <c r="FW261" i="33"/>
  <c r="FV261" i="33"/>
  <c r="FU261" i="33"/>
  <c r="FT261" i="33"/>
  <c r="FS261" i="33"/>
  <c r="FR261" i="33"/>
  <c r="FQ261" i="33"/>
  <c r="FP261" i="33"/>
  <c r="FO261" i="33"/>
  <c r="FN261" i="33"/>
  <c r="FM261" i="33"/>
  <c r="FL261" i="33"/>
  <c r="FK261" i="33"/>
  <c r="FJ261" i="33"/>
  <c r="FI261" i="33"/>
  <c r="FH261" i="33"/>
  <c r="FG261" i="33"/>
  <c r="FF261" i="33"/>
  <c r="FE261" i="33"/>
  <c r="FD261" i="33"/>
  <c r="FC261" i="33"/>
  <c r="FB261" i="33"/>
  <c r="FA261" i="33"/>
  <c r="EZ261" i="33"/>
  <c r="EY261" i="33"/>
  <c r="EX261" i="33"/>
  <c r="EW261" i="33"/>
  <c r="EV261" i="33"/>
  <c r="EU261" i="33"/>
  <c r="ET261" i="33"/>
  <c r="ES261" i="33"/>
  <c r="ER261" i="33"/>
  <c r="EQ261" i="33"/>
  <c r="EP261" i="33"/>
  <c r="EO261" i="33"/>
  <c r="EN261" i="33"/>
  <c r="EM261" i="33"/>
  <c r="EL261" i="33"/>
  <c r="EK261" i="33"/>
  <c r="EJ261" i="33"/>
  <c r="EI261" i="33"/>
  <c r="EH261" i="33"/>
  <c r="EG261" i="33"/>
  <c r="EF261" i="33"/>
  <c r="EE261" i="33"/>
  <c r="ED261" i="33"/>
  <c r="EC261" i="33"/>
  <c r="EB261" i="33"/>
  <c r="EA261" i="33"/>
  <c r="DZ261" i="33"/>
  <c r="DY261" i="33"/>
  <c r="DX261" i="33"/>
  <c r="DW261" i="33"/>
  <c r="DV261" i="33"/>
  <c r="DU261" i="33"/>
  <c r="DT261" i="33"/>
  <c r="DS261" i="33"/>
  <c r="DR261" i="33"/>
  <c r="DQ261" i="33"/>
  <c r="DP261" i="33"/>
  <c r="DO261" i="33"/>
  <c r="DN261" i="33"/>
  <c r="DM261" i="33"/>
  <c r="DL261" i="33"/>
  <c r="DK261" i="33"/>
  <c r="DJ261" i="33"/>
  <c r="DI261" i="33"/>
  <c r="DH261" i="33"/>
  <c r="DG261" i="33"/>
  <c r="DF261" i="33"/>
  <c r="DE261" i="33"/>
  <c r="DD261" i="33"/>
  <c r="DC261" i="33"/>
  <c r="DB261" i="33"/>
  <c r="DA261" i="33"/>
  <c r="CZ261" i="33"/>
  <c r="CY261" i="33"/>
  <c r="CX261" i="33"/>
  <c r="CW261" i="33"/>
  <c r="CV261" i="33"/>
  <c r="CU261" i="33"/>
  <c r="CT261" i="33"/>
  <c r="CS261" i="33"/>
  <c r="CR261" i="33"/>
  <c r="CQ261" i="33"/>
  <c r="CP261" i="33"/>
  <c r="CO261" i="33"/>
  <c r="CN261" i="33"/>
  <c r="CM261" i="33"/>
  <c r="CL261" i="33"/>
  <c r="CK261" i="33"/>
  <c r="CJ261" i="33"/>
  <c r="CI261" i="33"/>
  <c r="CH261" i="33"/>
  <c r="CG261" i="33"/>
  <c r="CF261" i="33"/>
  <c r="CE261" i="33"/>
  <c r="CD261" i="33"/>
  <c r="CC261" i="33"/>
  <c r="CB261" i="33"/>
  <c r="CA261" i="33"/>
  <c r="BZ261" i="33"/>
  <c r="BY261" i="33"/>
  <c r="BX261" i="33"/>
  <c r="BW261" i="33"/>
  <c r="BV261" i="33"/>
  <c r="BU261" i="33"/>
  <c r="BT261" i="33"/>
  <c r="BS261" i="33"/>
  <c r="BR261" i="33"/>
  <c r="BQ261" i="33"/>
  <c r="BP261" i="33"/>
  <c r="BO261" i="33"/>
  <c r="BN261" i="33"/>
  <c r="BM261" i="33"/>
  <c r="BL261" i="33"/>
  <c r="BK261" i="33"/>
  <c r="BJ261" i="33"/>
  <c r="BI261" i="33"/>
  <c r="BH261" i="33"/>
  <c r="BG261" i="33"/>
  <c r="BF261" i="33"/>
  <c r="BE261" i="33"/>
  <c r="BD261" i="33"/>
  <c r="BC261" i="33"/>
  <c r="BB261" i="33"/>
  <c r="BA261" i="33"/>
  <c r="AZ261" i="33"/>
  <c r="AY261" i="33"/>
  <c r="AX261" i="33"/>
  <c r="AW261" i="33"/>
  <c r="AV261" i="33"/>
  <c r="AU261" i="33"/>
  <c r="AT261" i="33"/>
  <c r="AS261" i="33"/>
  <c r="AR261" i="33"/>
  <c r="AQ261" i="33"/>
  <c r="AP261" i="33"/>
  <c r="AO261" i="33"/>
  <c r="AN261" i="33"/>
  <c r="AM261" i="33"/>
  <c r="AL261" i="33"/>
  <c r="AK261" i="33"/>
  <c r="AJ261" i="33"/>
  <c r="AI261" i="33"/>
  <c r="AH261" i="33"/>
  <c r="AG261" i="33"/>
  <c r="AF261" i="33"/>
  <c r="AE261" i="33"/>
  <c r="AD261" i="33"/>
  <c r="AC261" i="33"/>
  <c r="AB261" i="33"/>
  <c r="AA261" i="33"/>
  <c r="Z261" i="33"/>
  <c r="Y261" i="33"/>
  <c r="X261" i="33"/>
  <c r="W261" i="33"/>
  <c r="V261" i="33"/>
  <c r="U261" i="33"/>
  <c r="T261" i="33"/>
  <c r="S261" i="33"/>
  <c r="R261" i="33"/>
  <c r="Q261" i="33"/>
  <c r="P261" i="33"/>
  <c r="O261" i="33"/>
  <c r="N261" i="33"/>
  <c r="M261" i="33"/>
  <c r="L261" i="33"/>
  <c r="K261" i="33"/>
  <c r="J261" i="33"/>
  <c r="I261" i="33"/>
  <c r="H261" i="33"/>
  <c r="G261" i="33"/>
  <c r="F261" i="33"/>
  <c r="E261" i="33"/>
  <c r="D261" i="33"/>
  <c r="C261" i="33"/>
  <c r="B261" i="33"/>
  <c r="A261" i="33"/>
  <c r="IV260" i="33"/>
  <c r="IU260" i="33"/>
  <c r="IT260" i="33"/>
  <c r="IS260" i="33"/>
  <c r="IR260" i="33"/>
  <c r="IQ260" i="33"/>
  <c r="IP260" i="33"/>
  <c r="IO260" i="33"/>
  <c r="IN260" i="33"/>
  <c r="IM260" i="33"/>
  <c r="IL260" i="33"/>
  <c r="IK260" i="33"/>
  <c r="IJ260" i="33"/>
  <c r="II260" i="33"/>
  <c r="IH260" i="33"/>
  <c r="IG260" i="33"/>
  <c r="IF260" i="33"/>
  <c r="IE260" i="33"/>
  <c r="ID260" i="33"/>
  <c r="IC260" i="33"/>
  <c r="IB260" i="33"/>
  <c r="IA260" i="33"/>
  <c r="HZ260" i="33"/>
  <c r="HY260" i="33"/>
  <c r="HX260" i="33"/>
  <c r="HW260" i="33"/>
  <c r="HV260" i="33"/>
  <c r="HU260" i="33"/>
  <c r="HT260" i="33"/>
  <c r="HS260" i="33"/>
  <c r="HR260" i="33"/>
  <c r="HQ260" i="33"/>
  <c r="HP260" i="33"/>
  <c r="HO260" i="33"/>
  <c r="HN260" i="33"/>
  <c r="HM260" i="33"/>
  <c r="HL260" i="33"/>
  <c r="HK260" i="33"/>
  <c r="HJ260" i="33"/>
  <c r="HI260" i="33"/>
  <c r="HH260" i="33"/>
  <c r="HG260" i="33"/>
  <c r="HF260" i="33"/>
  <c r="HE260" i="33"/>
  <c r="HD260" i="33"/>
  <c r="HC260" i="33"/>
  <c r="HB260" i="33"/>
  <c r="HA260" i="33"/>
  <c r="GZ260" i="33"/>
  <c r="GY260" i="33"/>
  <c r="GX260" i="33"/>
  <c r="GW260" i="33"/>
  <c r="GV260" i="33"/>
  <c r="GU260" i="33"/>
  <c r="GT260" i="33"/>
  <c r="GS260" i="33"/>
  <c r="GR260" i="33"/>
  <c r="GQ260" i="33"/>
  <c r="GP260" i="33"/>
  <c r="GO260" i="33"/>
  <c r="GN260" i="33"/>
  <c r="GM260" i="33"/>
  <c r="GL260" i="33"/>
  <c r="GK260" i="33"/>
  <c r="GJ260" i="33"/>
  <c r="GI260" i="33"/>
  <c r="GH260" i="33"/>
  <c r="GG260" i="33"/>
  <c r="GF260" i="33"/>
  <c r="GE260" i="33"/>
  <c r="GD260" i="33"/>
  <c r="GC260" i="33"/>
  <c r="GB260" i="33"/>
  <c r="GA260" i="33"/>
  <c r="FZ260" i="33"/>
  <c r="FY260" i="33"/>
  <c r="FX260" i="33"/>
  <c r="FW260" i="33"/>
  <c r="FV260" i="33"/>
  <c r="FU260" i="33"/>
  <c r="FT260" i="33"/>
  <c r="FS260" i="33"/>
  <c r="FR260" i="33"/>
  <c r="FQ260" i="33"/>
  <c r="FP260" i="33"/>
  <c r="FO260" i="33"/>
  <c r="FN260" i="33"/>
  <c r="FM260" i="33"/>
  <c r="FL260" i="33"/>
  <c r="FK260" i="33"/>
  <c r="FJ260" i="33"/>
  <c r="FI260" i="33"/>
  <c r="FH260" i="33"/>
  <c r="FG260" i="33"/>
  <c r="FF260" i="33"/>
  <c r="FE260" i="33"/>
  <c r="FD260" i="33"/>
  <c r="FC260" i="33"/>
  <c r="FB260" i="33"/>
  <c r="FA260" i="33"/>
  <c r="EZ260" i="33"/>
  <c r="EY260" i="33"/>
  <c r="EX260" i="33"/>
  <c r="EW260" i="33"/>
  <c r="EV260" i="33"/>
  <c r="EU260" i="33"/>
  <c r="ET260" i="33"/>
  <c r="ES260" i="33"/>
  <c r="ER260" i="33"/>
  <c r="EQ260" i="33"/>
  <c r="EP260" i="33"/>
  <c r="EO260" i="33"/>
  <c r="EN260" i="33"/>
  <c r="EM260" i="33"/>
  <c r="EL260" i="33"/>
  <c r="EK260" i="33"/>
  <c r="EJ260" i="33"/>
  <c r="EI260" i="33"/>
  <c r="EH260" i="33"/>
  <c r="EG260" i="33"/>
  <c r="EF260" i="33"/>
  <c r="EE260" i="33"/>
  <c r="ED260" i="33"/>
  <c r="EC260" i="33"/>
  <c r="EB260" i="33"/>
  <c r="EA260" i="33"/>
  <c r="DZ260" i="33"/>
  <c r="DY260" i="33"/>
  <c r="DX260" i="33"/>
  <c r="DW260" i="33"/>
  <c r="DV260" i="33"/>
  <c r="DU260" i="33"/>
  <c r="DT260" i="33"/>
  <c r="DS260" i="33"/>
  <c r="DR260" i="33"/>
  <c r="DQ260" i="33"/>
  <c r="DP260" i="33"/>
  <c r="DO260" i="33"/>
  <c r="DN260" i="33"/>
  <c r="DM260" i="33"/>
  <c r="DL260" i="33"/>
  <c r="DK260" i="33"/>
  <c r="DJ260" i="33"/>
  <c r="DI260" i="33"/>
  <c r="DH260" i="33"/>
  <c r="DG260" i="33"/>
  <c r="DF260" i="33"/>
  <c r="DE260" i="33"/>
  <c r="DD260" i="33"/>
  <c r="DC260" i="33"/>
  <c r="DB260" i="33"/>
  <c r="DA260" i="33"/>
  <c r="CZ260" i="33"/>
  <c r="CY260" i="33"/>
  <c r="CX260" i="33"/>
  <c r="CW260" i="33"/>
  <c r="CV260" i="33"/>
  <c r="CU260" i="33"/>
  <c r="CT260" i="33"/>
  <c r="CS260" i="33"/>
  <c r="CR260" i="33"/>
  <c r="CQ260" i="33"/>
  <c r="CP260" i="33"/>
  <c r="CO260" i="33"/>
  <c r="CN260" i="33"/>
  <c r="CM260" i="33"/>
  <c r="CL260" i="33"/>
  <c r="CK260" i="33"/>
  <c r="CJ260" i="33"/>
  <c r="CI260" i="33"/>
  <c r="CH260" i="33"/>
  <c r="CG260" i="33"/>
  <c r="CF260" i="33"/>
  <c r="CE260" i="33"/>
  <c r="CD260" i="33"/>
  <c r="CC260" i="33"/>
  <c r="CB260" i="33"/>
  <c r="CA260" i="33"/>
  <c r="BZ260" i="33"/>
  <c r="BY260" i="33"/>
  <c r="BX260" i="33"/>
  <c r="BW260" i="33"/>
  <c r="BV260" i="33"/>
  <c r="BU260" i="33"/>
  <c r="BT260" i="33"/>
  <c r="BS260" i="33"/>
  <c r="BR260" i="33"/>
  <c r="BQ260" i="33"/>
  <c r="BP260" i="33"/>
  <c r="BO260" i="33"/>
  <c r="BN260" i="33"/>
  <c r="BM260" i="33"/>
  <c r="BL260" i="33"/>
  <c r="BK260" i="33"/>
  <c r="BJ260" i="33"/>
  <c r="BI260" i="33"/>
  <c r="BH260" i="33"/>
  <c r="BG260" i="33"/>
  <c r="BF260" i="33"/>
  <c r="BE260" i="33"/>
  <c r="BD260" i="33"/>
  <c r="BC260" i="33"/>
  <c r="BB260" i="33"/>
  <c r="BA260" i="33"/>
  <c r="AZ260" i="33"/>
  <c r="AY260" i="33"/>
  <c r="AX260" i="33"/>
  <c r="AW260" i="33"/>
  <c r="AV260" i="33"/>
  <c r="AU260" i="33"/>
  <c r="AT260" i="33"/>
  <c r="AS260" i="33"/>
  <c r="AR260" i="33"/>
  <c r="AQ260" i="33"/>
  <c r="AP260" i="33"/>
  <c r="AO260" i="33"/>
  <c r="AN260" i="33"/>
  <c r="AM260" i="33"/>
  <c r="AL260" i="33"/>
  <c r="AK260" i="33"/>
  <c r="AJ260" i="33"/>
  <c r="AI260" i="33"/>
  <c r="AH260" i="33"/>
  <c r="AG260" i="33"/>
  <c r="AF260" i="33"/>
  <c r="AE260" i="33"/>
  <c r="AD260" i="33"/>
  <c r="AC260" i="33"/>
  <c r="AB260" i="33"/>
  <c r="AA260" i="33"/>
  <c r="Z260" i="33"/>
  <c r="Y260" i="33"/>
  <c r="X260" i="33"/>
  <c r="W260" i="33"/>
  <c r="V260" i="33"/>
  <c r="U260" i="33"/>
  <c r="T260" i="33"/>
  <c r="S260" i="33"/>
  <c r="R260" i="33"/>
  <c r="Q260" i="33"/>
  <c r="P260" i="33"/>
  <c r="O260" i="33"/>
  <c r="N260" i="33"/>
  <c r="M260" i="33"/>
  <c r="L260" i="33"/>
  <c r="K260" i="33"/>
  <c r="J260" i="33"/>
  <c r="I260" i="33"/>
  <c r="H260" i="33"/>
  <c r="G260" i="33"/>
  <c r="F260" i="33"/>
  <c r="E260" i="33"/>
  <c r="D260" i="33"/>
  <c r="C260" i="33"/>
  <c r="B260" i="33"/>
  <c r="A260" i="33"/>
  <c r="IV259" i="33"/>
  <c r="IU259" i="33"/>
  <c r="IT259" i="33"/>
  <c r="IS259" i="33"/>
  <c r="IR259" i="33"/>
  <c r="IQ259" i="33"/>
  <c r="IP259" i="33"/>
  <c r="IO259" i="33"/>
  <c r="IN259" i="33"/>
  <c r="IM259" i="33"/>
  <c r="IL259" i="33"/>
  <c r="IK259" i="33"/>
  <c r="IJ259" i="33"/>
  <c r="II259" i="33"/>
  <c r="IH259" i="33"/>
  <c r="IG259" i="33"/>
  <c r="IF259" i="33"/>
  <c r="IE259" i="33"/>
  <c r="ID259" i="33"/>
  <c r="IC259" i="33"/>
  <c r="IB259" i="33"/>
  <c r="IA259" i="33"/>
  <c r="HZ259" i="33"/>
  <c r="HY259" i="33"/>
  <c r="HX259" i="33"/>
  <c r="HW259" i="33"/>
  <c r="HV259" i="33"/>
  <c r="HU259" i="33"/>
  <c r="HT259" i="33"/>
  <c r="HS259" i="33"/>
  <c r="HR259" i="33"/>
  <c r="HQ259" i="33"/>
  <c r="HP259" i="33"/>
  <c r="HO259" i="33"/>
  <c r="HN259" i="33"/>
  <c r="HM259" i="33"/>
  <c r="HL259" i="33"/>
  <c r="HK259" i="33"/>
  <c r="HJ259" i="33"/>
  <c r="HI259" i="33"/>
  <c r="HH259" i="33"/>
  <c r="HG259" i="33"/>
  <c r="HF259" i="33"/>
  <c r="HE259" i="33"/>
  <c r="HD259" i="33"/>
  <c r="HC259" i="33"/>
  <c r="HB259" i="33"/>
  <c r="HA259" i="33"/>
  <c r="GZ259" i="33"/>
  <c r="GY259" i="33"/>
  <c r="GX259" i="33"/>
  <c r="GW259" i="33"/>
  <c r="GV259" i="33"/>
  <c r="GU259" i="33"/>
  <c r="GT259" i="33"/>
  <c r="GS259" i="33"/>
  <c r="GR259" i="33"/>
  <c r="GQ259" i="33"/>
  <c r="GP259" i="33"/>
  <c r="GO259" i="33"/>
  <c r="GN259" i="33"/>
  <c r="GM259" i="33"/>
  <c r="GL259" i="33"/>
  <c r="GK259" i="33"/>
  <c r="GJ259" i="33"/>
  <c r="GI259" i="33"/>
  <c r="GH259" i="33"/>
  <c r="GG259" i="33"/>
  <c r="GF259" i="33"/>
  <c r="GE259" i="33"/>
  <c r="GD259" i="33"/>
  <c r="GC259" i="33"/>
  <c r="GB259" i="33"/>
  <c r="GA259" i="33"/>
  <c r="FZ259" i="33"/>
  <c r="FY259" i="33"/>
  <c r="FX259" i="33"/>
  <c r="FW259" i="33"/>
  <c r="FV259" i="33"/>
  <c r="FU259" i="33"/>
  <c r="FT259" i="33"/>
  <c r="FS259" i="33"/>
  <c r="FR259" i="33"/>
  <c r="FQ259" i="33"/>
  <c r="FP259" i="33"/>
  <c r="FO259" i="33"/>
  <c r="FN259" i="33"/>
  <c r="FM259" i="33"/>
  <c r="FL259" i="33"/>
  <c r="FK259" i="33"/>
  <c r="FJ259" i="33"/>
  <c r="FI259" i="33"/>
  <c r="FH259" i="33"/>
  <c r="FG259" i="33"/>
  <c r="FF259" i="33"/>
  <c r="FE259" i="33"/>
  <c r="FD259" i="33"/>
  <c r="FC259" i="33"/>
  <c r="FB259" i="33"/>
  <c r="FA259" i="33"/>
  <c r="EZ259" i="33"/>
  <c r="EY259" i="33"/>
  <c r="EX259" i="33"/>
  <c r="EW259" i="33"/>
  <c r="EV259" i="33"/>
  <c r="EU259" i="33"/>
  <c r="ET259" i="33"/>
  <c r="ES259" i="33"/>
  <c r="ER259" i="33"/>
  <c r="EQ259" i="33"/>
  <c r="EP259" i="33"/>
  <c r="EO259" i="33"/>
  <c r="EN259" i="33"/>
  <c r="EM259" i="33"/>
  <c r="EL259" i="33"/>
  <c r="EK259" i="33"/>
  <c r="EJ259" i="33"/>
  <c r="EI259" i="33"/>
  <c r="EH259" i="33"/>
  <c r="EG259" i="33"/>
  <c r="EF259" i="33"/>
  <c r="EE259" i="33"/>
  <c r="ED259" i="33"/>
  <c r="EC259" i="33"/>
  <c r="EB259" i="33"/>
  <c r="EA259" i="33"/>
  <c r="DZ259" i="33"/>
  <c r="DY259" i="33"/>
  <c r="DX259" i="33"/>
  <c r="DW259" i="33"/>
  <c r="DV259" i="33"/>
  <c r="DU259" i="33"/>
  <c r="DT259" i="33"/>
  <c r="DS259" i="33"/>
  <c r="DR259" i="33"/>
  <c r="DQ259" i="33"/>
  <c r="DP259" i="33"/>
  <c r="DO259" i="33"/>
  <c r="DN259" i="33"/>
  <c r="DM259" i="33"/>
  <c r="DL259" i="33"/>
  <c r="DK259" i="33"/>
  <c r="DJ259" i="33"/>
  <c r="DI259" i="33"/>
  <c r="DH259" i="33"/>
  <c r="DG259" i="33"/>
  <c r="DF259" i="33"/>
  <c r="DE259" i="33"/>
  <c r="DD259" i="33"/>
  <c r="DC259" i="33"/>
  <c r="DB259" i="33"/>
  <c r="DA259" i="33"/>
  <c r="CZ259" i="33"/>
  <c r="CY259" i="33"/>
  <c r="CX259" i="33"/>
  <c r="CW259" i="33"/>
  <c r="CV259" i="33"/>
  <c r="CU259" i="33"/>
  <c r="CT259" i="33"/>
  <c r="CS259" i="33"/>
  <c r="CR259" i="33"/>
  <c r="CQ259" i="33"/>
  <c r="CP259" i="33"/>
  <c r="CO259" i="33"/>
  <c r="CN259" i="33"/>
  <c r="CM259" i="33"/>
  <c r="CL259" i="33"/>
  <c r="CK259" i="33"/>
  <c r="CJ259" i="33"/>
  <c r="CI259" i="33"/>
  <c r="CH259" i="33"/>
  <c r="CG259" i="33"/>
  <c r="CF259" i="33"/>
  <c r="CE259" i="33"/>
  <c r="CD259" i="33"/>
  <c r="CC259" i="33"/>
  <c r="CB259" i="33"/>
  <c r="CA259" i="33"/>
  <c r="BZ259" i="33"/>
  <c r="BY259" i="33"/>
  <c r="BX259" i="33"/>
  <c r="BW259" i="33"/>
  <c r="BV259" i="33"/>
  <c r="BU259" i="33"/>
  <c r="BT259" i="33"/>
  <c r="BS259" i="33"/>
  <c r="BR259" i="33"/>
  <c r="BQ259" i="33"/>
  <c r="BP259" i="33"/>
  <c r="BO259" i="33"/>
  <c r="BN259" i="33"/>
  <c r="BM259" i="33"/>
  <c r="BL259" i="33"/>
  <c r="BK259" i="33"/>
  <c r="BJ259" i="33"/>
  <c r="BI259" i="33"/>
  <c r="BH259" i="33"/>
  <c r="BG259" i="33"/>
  <c r="BF259" i="33"/>
  <c r="BE259" i="33"/>
  <c r="BD259" i="33"/>
  <c r="BC259" i="33"/>
  <c r="BB259" i="33"/>
  <c r="BA259" i="33"/>
  <c r="AZ259" i="33"/>
  <c r="AY259" i="33"/>
  <c r="AX259" i="33"/>
  <c r="AW259" i="33"/>
  <c r="AV259" i="33"/>
  <c r="AU259" i="33"/>
  <c r="AT259" i="33"/>
  <c r="AS259" i="33"/>
  <c r="AR259" i="33"/>
  <c r="AQ259" i="33"/>
  <c r="AP259" i="33"/>
  <c r="AO259" i="33"/>
  <c r="AN259" i="33"/>
  <c r="AM259" i="33"/>
  <c r="AL259" i="33"/>
  <c r="AK259" i="33"/>
  <c r="AJ259" i="33"/>
  <c r="AI259" i="33"/>
  <c r="AH259" i="33"/>
  <c r="AG259" i="33"/>
  <c r="AF259" i="33"/>
  <c r="AE259" i="33"/>
  <c r="AD259" i="33"/>
  <c r="AC259" i="33"/>
  <c r="AB259" i="33"/>
  <c r="AA259" i="33"/>
  <c r="Z259" i="33"/>
  <c r="Y259" i="33"/>
  <c r="X259" i="33"/>
  <c r="W259" i="33"/>
  <c r="V259" i="33"/>
  <c r="U259" i="33"/>
  <c r="T259" i="33"/>
  <c r="S259" i="33"/>
  <c r="R259" i="33"/>
  <c r="Q259" i="33"/>
  <c r="P259" i="33"/>
  <c r="O259" i="33"/>
  <c r="N259" i="33"/>
  <c r="M259" i="33"/>
  <c r="L259" i="33"/>
  <c r="K259" i="33"/>
  <c r="J259" i="33"/>
  <c r="I259" i="33"/>
  <c r="H259" i="33"/>
  <c r="G259" i="33"/>
  <c r="F259" i="33"/>
  <c r="E259" i="33"/>
  <c r="D259" i="33"/>
  <c r="C259" i="33"/>
  <c r="B259" i="33"/>
  <c r="A259" i="33"/>
  <c r="IV258" i="33"/>
  <c r="IU258" i="33"/>
  <c r="IT258" i="33"/>
  <c r="IS258" i="33"/>
  <c r="IR258" i="33"/>
  <c r="IQ258" i="33"/>
  <c r="IP258" i="33"/>
  <c r="IO258" i="33"/>
  <c r="IN258" i="33"/>
  <c r="IM258" i="33"/>
  <c r="IL258" i="33"/>
  <c r="IK258" i="33"/>
  <c r="IJ258" i="33"/>
  <c r="II258" i="33"/>
  <c r="IH258" i="33"/>
  <c r="IG258" i="33"/>
  <c r="IF258" i="33"/>
  <c r="IE258" i="33"/>
  <c r="ID258" i="33"/>
  <c r="IC258" i="33"/>
  <c r="IB258" i="33"/>
  <c r="IA258" i="33"/>
  <c r="HZ258" i="33"/>
  <c r="HY258" i="33"/>
  <c r="HX258" i="33"/>
  <c r="HW258" i="33"/>
  <c r="HV258" i="33"/>
  <c r="HU258" i="33"/>
  <c r="HT258" i="33"/>
  <c r="HS258" i="33"/>
  <c r="HR258" i="33"/>
  <c r="HQ258" i="33"/>
  <c r="HP258" i="33"/>
  <c r="HO258" i="33"/>
  <c r="HN258" i="33"/>
  <c r="HM258" i="33"/>
  <c r="HL258" i="33"/>
  <c r="HK258" i="33"/>
  <c r="HJ258" i="33"/>
  <c r="HI258" i="33"/>
  <c r="HH258" i="33"/>
  <c r="HG258" i="33"/>
  <c r="HF258" i="33"/>
  <c r="HE258" i="33"/>
  <c r="HD258" i="33"/>
  <c r="HC258" i="33"/>
  <c r="HB258" i="33"/>
  <c r="HA258" i="33"/>
  <c r="GZ258" i="33"/>
  <c r="GY258" i="33"/>
  <c r="GX258" i="33"/>
  <c r="GW258" i="33"/>
  <c r="GV258" i="33"/>
  <c r="GU258" i="33"/>
  <c r="GT258" i="33"/>
  <c r="GS258" i="33"/>
  <c r="GR258" i="33"/>
  <c r="GQ258" i="33"/>
  <c r="GP258" i="33"/>
  <c r="GO258" i="33"/>
  <c r="GN258" i="33"/>
  <c r="GM258" i="33"/>
  <c r="GL258" i="33"/>
  <c r="GK258" i="33"/>
  <c r="GJ258" i="33"/>
  <c r="GI258" i="33"/>
  <c r="GH258" i="33"/>
  <c r="GG258" i="33"/>
  <c r="GF258" i="33"/>
  <c r="GE258" i="33"/>
  <c r="GD258" i="33"/>
  <c r="GC258" i="33"/>
  <c r="GB258" i="33"/>
  <c r="GA258" i="33"/>
  <c r="FZ258" i="33"/>
  <c r="FY258" i="33"/>
  <c r="FX258" i="33"/>
  <c r="FW258" i="33"/>
  <c r="FV258" i="33"/>
  <c r="FU258" i="33"/>
  <c r="FT258" i="33"/>
  <c r="FS258" i="33"/>
  <c r="FR258" i="33"/>
  <c r="FQ258" i="33"/>
  <c r="FP258" i="33"/>
  <c r="FO258" i="33"/>
  <c r="FN258" i="33"/>
  <c r="FM258" i="33"/>
  <c r="FL258" i="33"/>
  <c r="FK258" i="33"/>
  <c r="FJ258" i="33"/>
  <c r="FI258" i="33"/>
  <c r="FH258" i="33"/>
  <c r="FG258" i="33"/>
  <c r="FF258" i="33"/>
  <c r="FE258" i="33"/>
  <c r="FD258" i="33"/>
  <c r="FC258" i="33"/>
  <c r="FB258" i="33"/>
  <c r="FA258" i="33"/>
  <c r="EZ258" i="33"/>
  <c r="EY258" i="33"/>
  <c r="EX258" i="33"/>
  <c r="EW258" i="33"/>
  <c r="EV258" i="33"/>
  <c r="EU258" i="33"/>
  <c r="ET258" i="33"/>
  <c r="ES258" i="33"/>
  <c r="ER258" i="33"/>
  <c r="EQ258" i="33"/>
  <c r="EP258" i="33"/>
  <c r="EO258" i="33"/>
  <c r="EN258" i="33"/>
  <c r="EM258" i="33"/>
  <c r="EL258" i="33"/>
  <c r="EK258" i="33"/>
  <c r="EJ258" i="33"/>
  <c r="EI258" i="33"/>
  <c r="EH258" i="33"/>
  <c r="EG258" i="33"/>
  <c r="EF258" i="33"/>
  <c r="EE258" i="33"/>
  <c r="ED258" i="33"/>
  <c r="EC258" i="33"/>
  <c r="EB258" i="33"/>
  <c r="EA258" i="33"/>
  <c r="DZ258" i="33"/>
  <c r="DY258" i="33"/>
  <c r="DX258" i="33"/>
  <c r="DW258" i="33"/>
  <c r="DV258" i="33"/>
  <c r="DU258" i="33"/>
  <c r="DT258" i="33"/>
  <c r="DS258" i="33"/>
  <c r="DR258" i="33"/>
  <c r="DQ258" i="33"/>
  <c r="DP258" i="33"/>
  <c r="DO258" i="33"/>
  <c r="DN258" i="33"/>
  <c r="DM258" i="33"/>
  <c r="DL258" i="33"/>
  <c r="DK258" i="33"/>
  <c r="DJ258" i="33"/>
  <c r="DI258" i="33"/>
  <c r="DH258" i="33"/>
  <c r="DG258" i="33"/>
  <c r="DF258" i="33"/>
  <c r="DE258" i="33"/>
  <c r="DD258" i="33"/>
  <c r="DC258" i="33"/>
  <c r="DB258" i="33"/>
  <c r="DA258" i="33"/>
  <c r="CZ258" i="33"/>
  <c r="CY258" i="33"/>
  <c r="CX258" i="33"/>
  <c r="CW258" i="33"/>
  <c r="CV258" i="33"/>
  <c r="CU258" i="33"/>
  <c r="CT258" i="33"/>
  <c r="CS258" i="33"/>
  <c r="CR258" i="33"/>
  <c r="CQ258" i="33"/>
  <c r="CP258" i="33"/>
  <c r="CO258" i="33"/>
  <c r="CN258" i="33"/>
  <c r="CM258" i="33"/>
  <c r="CL258" i="33"/>
  <c r="CK258" i="33"/>
  <c r="CJ258" i="33"/>
  <c r="CI258" i="33"/>
  <c r="CH258" i="33"/>
  <c r="CG258" i="33"/>
  <c r="CF258" i="33"/>
  <c r="CE258" i="33"/>
  <c r="CD258" i="33"/>
  <c r="CC258" i="33"/>
  <c r="CB258" i="33"/>
  <c r="CA258" i="33"/>
  <c r="BZ258" i="33"/>
  <c r="BY258" i="33"/>
  <c r="BX258" i="33"/>
  <c r="BW258" i="33"/>
  <c r="BV258" i="33"/>
  <c r="BU258" i="33"/>
  <c r="BT258" i="33"/>
  <c r="BS258" i="33"/>
  <c r="BR258" i="33"/>
  <c r="BQ258" i="33"/>
  <c r="BP258" i="33"/>
  <c r="BO258" i="33"/>
  <c r="BN258" i="33"/>
  <c r="BM258" i="33"/>
  <c r="BL258" i="33"/>
  <c r="BK258" i="33"/>
  <c r="BJ258" i="33"/>
  <c r="BI258" i="33"/>
  <c r="BH258" i="33"/>
  <c r="BG258" i="33"/>
  <c r="BF258" i="33"/>
  <c r="BE258" i="33"/>
  <c r="BD258" i="33"/>
  <c r="BC258" i="33"/>
  <c r="BB258" i="33"/>
  <c r="BA258" i="33"/>
  <c r="AZ258" i="33"/>
  <c r="AY258" i="33"/>
  <c r="AX258" i="33"/>
  <c r="AW258" i="33"/>
  <c r="AV258" i="33"/>
  <c r="AU258" i="33"/>
  <c r="AT258" i="33"/>
  <c r="AS258" i="33"/>
  <c r="AR258" i="33"/>
  <c r="AQ258" i="33"/>
  <c r="AP258" i="33"/>
  <c r="AO258" i="33"/>
  <c r="AN258" i="33"/>
  <c r="AM258" i="33"/>
  <c r="AL258" i="33"/>
  <c r="AK258" i="33"/>
  <c r="AJ258" i="33"/>
  <c r="AI258" i="33"/>
  <c r="AH258" i="33"/>
  <c r="AG258" i="33"/>
  <c r="AF258" i="33"/>
  <c r="AE258" i="33"/>
  <c r="AD258" i="33"/>
  <c r="AC258" i="33"/>
  <c r="AB258" i="33"/>
  <c r="AA258" i="33"/>
  <c r="Z258" i="33"/>
  <c r="Y258" i="33"/>
  <c r="X258" i="33"/>
  <c r="W258" i="33"/>
  <c r="V258" i="33"/>
  <c r="U258" i="33"/>
  <c r="T258" i="33"/>
  <c r="S258" i="33"/>
  <c r="R258" i="33"/>
  <c r="Q258" i="33"/>
  <c r="P258" i="33"/>
  <c r="O258" i="33"/>
  <c r="N258" i="33"/>
  <c r="M258" i="33"/>
  <c r="L258" i="33"/>
  <c r="K258" i="33"/>
  <c r="J258" i="33"/>
  <c r="I258" i="33"/>
  <c r="H258" i="33"/>
  <c r="G258" i="33"/>
  <c r="F258" i="33"/>
  <c r="E258" i="33"/>
  <c r="D258" i="33"/>
  <c r="C258" i="33"/>
  <c r="B258" i="33"/>
  <c r="A258" i="33"/>
  <c r="IV257" i="33"/>
  <c r="IU257" i="33"/>
  <c r="IT257" i="33"/>
  <c r="IS257" i="33"/>
  <c r="IR257" i="33"/>
  <c r="IQ257" i="33"/>
  <c r="IP257" i="33"/>
  <c r="IO257" i="33"/>
  <c r="IN257" i="33"/>
  <c r="IM257" i="33"/>
  <c r="IL257" i="33"/>
  <c r="IK257" i="33"/>
  <c r="IJ257" i="33"/>
  <c r="II257" i="33"/>
  <c r="IH257" i="33"/>
  <c r="IG257" i="33"/>
  <c r="IF257" i="33"/>
  <c r="IE257" i="33"/>
  <c r="ID257" i="33"/>
  <c r="IC257" i="33"/>
  <c r="IB257" i="33"/>
  <c r="IA257" i="33"/>
  <c r="HZ257" i="33"/>
  <c r="HY257" i="33"/>
  <c r="HX257" i="33"/>
  <c r="HW257" i="33"/>
  <c r="HV257" i="33"/>
  <c r="HU257" i="33"/>
  <c r="HT257" i="33"/>
  <c r="HS257" i="33"/>
  <c r="HR257" i="33"/>
  <c r="HQ257" i="33"/>
  <c r="HP257" i="33"/>
  <c r="HO257" i="33"/>
  <c r="HN257" i="33"/>
  <c r="HM257" i="33"/>
  <c r="HL257" i="33"/>
  <c r="HK257" i="33"/>
  <c r="HJ257" i="33"/>
  <c r="HI257" i="33"/>
  <c r="HH257" i="33"/>
  <c r="HG257" i="33"/>
  <c r="HF257" i="33"/>
  <c r="HE257" i="33"/>
  <c r="HD257" i="33"/>
  <c r="HC257" i="33"/>
  <c r="HB257" i="33"/>
  <c r="HA257" i="33"/>
  <c r="GZ257" i="33"/>
  <c r="GY257" i="33"/>
  <c r="GX257" i="33"/>
  <c r="GW257" i="33"/>
  <c r="GV257" i="33"/>
  <c r="GU257" i="33"/>
  <c r="GT257" i="33"/>
  <c r="GS257" i="33"/>
  <c r="GR257" i="33"/>
  <c r="GQ257" i="33"/>
  <c r="GP257" i="33"/>
  <c r="GO257" i="33"/>
  <c r="GN257" i="33"/>
  <c r="GM257" i="33"/>
  <c r="GL257" i="33"/>
  <c r="GK257" i="33"/>
  <c r="GJ257" i="33"/>
  <c r="GI257" i="33"/>
  <c r="GH257" i="33"/>
  <c r="GG257" i="33"/>
  <c r="GF257" i="33"/>
  <c r="GE257" i="33"/>
  <c r="GD257" i="33"/>
  <c r="GC257" i="33"/>
  <c r="GB257" i="33"/>
  <c r="GA257" i="33"/>
  <c r="FZ257" i="33"/>
  <c r="FY257" i="33"/>
  <c r="FX257" i="33"/>
  <c r="FW257" i="33"/>
  <c r="FV257" i="33"/>
  <c r="FU257" i="33"/>
  <c r="FT257" i="33"/>
  <c r="FS257" i="33"/>
  <c r="FR257" i="33"/>
  <c r="FQ257" i="33"/>
  <c r="FP257" i="33"/>
  <c r="FO257" i="33"/>
  <c r="FN257" i="33"/>
  <c r="FM257" i="33"/>
  <c r="FL257" i="33"/>
  <c r="FK257" i="33"/>
  <c r="FJ257" i="33"/>
  <c r="FI257" i="33"/>
  <c r="FH257" i="33"/>
  <c r="FG257" i="33"/>
  <c r="FF257" i="33"/>
  <c r="FE257" i="33"/>
  <c r="FD257" i="33"/>
  <c r="FC257" i="33"/>
  <c r="FB257" i="33"/>
  <c r="FA257" i="33"/>
  <c r="EZ257" i="33"/>
  <c r="EY257" i="33"/>
  <c r="EX257" i="33"/>
  <c r="EW257" i="33"/>
  <c r="EV257" i="33"/>
  <c r="EU257" i="33"/>
  <c r="ET257" i="33"/>
  <c r="ES257" i="33"/>
  <c r="ER257" i="33"/>
  <c r="EQ257" i="33"/>
  <c r="EP257" i="33"/>
  <c r="EO257" i="33"/>
  <c r="EN257" i="33"/>
  <c r="EM257" i="33"/>
  <c r="EL257" i="33"/>
  <c r="EK257" i="33"/>
  <c r="EJ257" i="33"/>
  <c r="EI257" i="33"/>
  <c r="EH257" i="33"/>
  <c r="EG257" i="33"/>
  <c r="EF257" i="33"/>
  <c r="EE257" i="33"/>
  <c r="ED257" i="33"/>
  <c r="EC257" i="33"/>
  <c r="EB257" i="33"/>
  <c r="EA257" i="33"/>
  <c r="DZ257" i="33"/>
  <c r="DY257" i="33"/>
  <c r="DX257" i="33"/>
  <c r="DW257" i="33"/>
  <c r="DV257" i="33"/>
  <c r="DU257" i="33"/>
  <c r="DT257" i="33"/>
  <c r="DS257" i="33"/>
  <c r="DR257" i="33"/>
  <c r="DQ257" i="33"/>
  <c r="DP257" i="33"/>
  <c r="DO257" i="33"/>
  <c r="DN257" i="33"/>
  <c r="DM257" i="33"/>
  <c r="DL257" i="33"/>
  <c r="DK257" i="33"/>
  <c r="DJ257" i="33"/>
  <c r="DI257" i="33"/>
  <c r="DH257" i="33"/>
  <c r="DG257" i="33"/>
  <c r="DF257" i="33"/>
  <c r="DE257" i="33"/>
  <c r="DD257" i="33"/>
  <c r="DC257" i="33"/>
  <c r="DB257" i="33"/>
  <c r="DA257" i="33"/>
  <c r="CZ257" i="33"/>
  <c r="CY257" i="33"/>
  <c r="CX257" i="33"/>
  <c r="CW257" i="33"/>
  <c r="CV257" i="33"/>
  <c r="CU257" i="33"/>
  <c r="CT257" i="33"/>
  <c r="CS257" i="33"/>
  <c r="CR257" i="33"/>
  <c r="CQ257" i="33"/>
  <c r="CP257" i="33"/>
  <c r="CO257" i="33"/>
  <c r="CN257" i="33"/>
  <c r="CM257" i="33"/>
  <c r="CL257" i="33"/>
  <c r="CK257" i="33"/>
  <c r="CJ257" i="33"/>
  <c r="CI257" i="33"/>
  <c r="CH257" i="33"/>
  <c r="CG257" i="33"/>
  <c r="CF257" i="33"/>
  <c r="CE257" i="33"/>
  <c r="CD257" i="33"/>
  <c r="CC257" i="33"/>
  <c r="CB257" i="33"/>
  <c r="CA257" i="33"/>
  <c r="BZ257" i="33"/>
  <c r="BY257" i="33"/>
  <c r="BX257" i="33"/>
  <c r="BW257" i="33"/>
  <c r="BV257" i="33"/>
  <c r="BU257" i="33"/>
  <c r="BT257" i="33"/>
  <c r="BS257" i="33"/>
  <c r="BR257" i="33"/>
  <c r="BQ257" i="33"/>
  <c r="BP257" i="33"/>
  <c r="BO257" i="33"/>
  <c r="BN257" i="33"/>
  <c r="BM257" i="33"/>
  <c r="BL257" i="33"/>
  <c r="BK257" i="33"/>
  <c r="BJ257" i="33"/>
  <c r="BI257" i="33"/>
  <c r="BH257" i="33"/>
  <c r="BG257" i="33"/>
  <c r="BF257" i="33"/>
  <c r="BE257" i="33"/>
  <c r="BD257" i="33"/>
  <c r="BC257" i="33"/>
  <c r="BB257" i="33"/>
  <c r="BA257" i="33"/>
  <c r="AZ257" i="33"/>
  <c r="AY257" i="33"/>
  <c r="AX257" i="33"/>
  <c r="AW257" i="33"/>
  <c r="AV257" i="33"/>
  <c r="AU257" i="33"/>
  <c r="AT257" i="33"/>
  <c r="AS257" i="33"/>
  <c r="AR257" i="33"/>
  <c r="AQ257" i="33"/>
  <c r="AP257" i="33"/>
  <c r="AO257" i="33"/>
  <c r="AN257" i="33"/>
  <c r="AM257" i="33"/>
  <c r="AL257" i="33"/>
  <c r="AK257" i="33"/>
  <c r="AJ257" i="33"/>
  <c r="AI257" i="33"/>
  <c r="AH257" i="33"/>
  <c r="AG257" i="33"/>
  <c r="AF257" i="33"/>
  <c r="AE257" i="33"/>
  <c r="AD257" i="33"/>
  <c r="AC257" i="33"/>
  <c r="AB257" i="33"/>
  <c r="AA257" i="33"/>
  <c r="Z257" i="33"/>
  <c r="Y257" i="33"/>
  <c r="X257" i="33"/>
  <c r="W257" i="33"/>
  <c r="V257" i="33"/>
  <c r="U257" i="33"/>
  <c r="T257" i="33"/>
  <c r="S257" i="33"/>
  <c r="R257" i="33"/>
  <c r="Q257" i="33"/>
  <c r="P257" i="33"/>
  <c r="O257" i="33"/>
  <c r="N257" i="33"/>
  <c r="M257" i="33"/>
  <c r="L257" i="33"/>
  <c r="K257" i="33"/>
  <c r="J257" i="33"/>
  <c r="I257" i="33"/>
  <c r="H257" i="33"/>
  <c r="G257" i="33"/>
  <c r="F257" i="33"/>
  <c r="E257" i="33"/>
  <c r="D257" i="33"/>
  <c r="C257" i="33"/>
  <c r="B257" i="33"/>
  <c r="A257" i="33"/>
  <c r="IV256" i="33"/>
  <c r="IU256" i="33"/>
  <c r="IT256" i="33"/>
  <c r="IS256" i="33"/>
  <c r="IR256" i="33"/>
  <c r="IQ256" i="33"/>
  <c r="IP256" i="33"/>
  <c r="IO256" i="33"/>
  <c r="IN256" i="33"/>
  <c r="IM256" i="33"/>
  <c r="IL256" i="33"/>
  <c r="IK256" i="33"/>
  <c r="IJ256" i="33"/>
  <c r="II256" i="33"/>
  <c r="IH256" i="33"/>
  <c r="IG256" i="33"/>
  <c r="IF256" i="33"/>
  <c r="IE256" i="33"/>
  <c r="ID256" i="33"/>
  <c r="IC256" i="33"/>
  <c r="IB256" i="33"/>
  <c r="IA256" i="33"/>
  <c r="HZ256" i="33"/>
  <c r="HY256" i="33"/>
  <c r="HX256" i="33"/>
  <c r="HW256" i="33"/>
  <c r="HV256" i="33"/>
  <c r="HU256" i="33"/>
  <c r="HT256" i="33"/>
  <c r="HS256" i="33"/>
  <c r="HR256" i="33"/>
  <c r="HQ256" i="33"/>
  <c r="HP256" i="33"/>
  <c r="HO256" i="33"/>
  <c r="HN256" i="33"/>
  <c r="HM256" i="33"/>
  <c r="HL256" i="33"/>
  <c r="HK256" i="33"/>
  <c r="HJ256" i="33"/>
  <c r="HI256" i="33"/>
  <c r="HH256" i="33"/>
  <c r="HG256" i="33"/>
  <c r="HF256" i="33"/>
  <c r="HE256" i="33"/>
  <c r="HD256" i="33"/>
  <c r="HC256" i="33"/>
  <c r="HB256" i="33"/>
  <c r="HA256" i="33"/>
  <c r="GZ256" i="33"/>
  <c r="GY256" i="33"/>
  <c r="GX256" i="33"/>
  <c r="GW256" i="33"/>
  <c r="GV256" i="33"/>
  <c r="GU256" i="33"/>
  <c r="GT256" i="33"/>
  <c r="GS256" i="33"/>
  <c r="GR256" i="33"/>
  <c r="GQ256" i="33"/>
  <c r="GP256" i="33"/>
  <c r="GO256" i="33"/>
  <c r="GN256" i="33"/>
  <c r="GM256" i="33"/>
  <c r="GL256" i="33"/>
  <c r="GK256" i="33"/>
  <c r="GJ256" i="33"/>
  <c r="GI256" i="33"/>
  <c r="GH256" i="33"/>
  <c r="GG256" i="33"/>
  <c r="GF256" i="33"/>
  <c r="GE256" i="33"/>
  <c r="GD256" i="33"/>
  <c r="GC256" i="33"/>
  <c r="GB256" i="33"/>
  <c r="GA256" i="33"/>
  <c r="FZ256" i="33"/>
  <c r="FY256" i="33"/>
  <c r="FX256" i="33"/>
  <c r="FW256" i="33"/>
  <c r="FV256" i="33"/>
  <c r="FU256" i="33"/>
  <c r="FT256" i="33"/>
  <c r="FS256" i="33"/>
  <c r="FR256" i="33"/>
  <c r="FQ256" i="33"/>
  <c r="FP256" i="33"/>
  <c r="FO256" i="33"/>
  <c r="FN256" i="33"/>
  <c r="FM256" i="33"/>
  <c r="FL256" i="33"/>
  <c r="FK256" i="33"/>
  <c r="FJ256" i="33"/>
  <c r="FI256" i="33"/>
  <c r="FH256" i="33"/>
  <c r="FG256" i="33"/>
  <c r="FF256" i="33"/>
  <c r="FE256" i="33"/>
  <c r="FD256" i="33"/>
  <c r="FC256" i="33"/>
  <c r="FB256" i="33"/>
  <c r="FA256" i="33"/>
  <c r="EZ256" i="33"/>
  <c r="EY256" i="33"/>
  <c r="EX256" i="33"/>
  <c r="EW256" i="33"/>
  <c r="EV256" i="33"/>
  <c r="EU256" i="33"/>
  <c r="ET256" i="33"/>
  <c r="ES256" i="33"/>
  <c r="ER256" i="33"/>
  <c r="EQ256" i="33"/>
  <c r="EP256" i="33"/>
  <c r="EO256" i="33"/>
  <c r="EN256" i="33"/>
  <c r="EM256" i="33"/>
  <c r="EL256" i="33"/>
  <c r="EK256" i="33"/>
  <c r="EJ256" i="33"/>
  <c r="EI256" i="33"/>
  <c r="EH256" i="33"/>
  <c r="EG256" i="33"/>
  <c r="EF256" i="33"/>
  <c r="EE256" i="33"/>
  <c r="ED256" i="33"/>
  <c r="EC256" i="33"/>
  <c r="EB256" i="33"/>
  <c r="EA256" i="33"/>
  <c r="DZ256" i="33"/>
  <c r="DY256" i="33"/>
  <c r="DX256" i="33"/>
  <c r="DW256" i="33"/>
  <c r="DV256" i="33"/>
  <c r="DU256" i="33"/>
  <c r="DT256" i="33"/>
  <c r="DS256" i="33"/>
  <c r="DR256" i="33"/>
  <c r="DQ256" i="33"/>
  <c r="DP256" i="33"/>
  <c r="DO256" i="33"/>
  <c r="DN256" i="33"/>
  <c r="DM256" i="33"/>
  <c r="DL256" i="33"/>
  <c r="DK256" i="33"/>
  <c r="DJ256" i="33"/>
  <c r="DI256" i="33"/>
  <c r="DH256" i="33"/>
  <c r="DG256" i="33"/>
  <c r="DF256" i="33"/>
  <c r="DE256" i="33"/>
  <c r="DD256" i="33"/>
  <c r="DC256" i="33"/>
  <c r="DB256" i="33"/>
  <c r="DA256" i="33"/>
  <c r="CZ256" i="33"/>
  <c r="CY256" i="33"/>
  <c r="CX256" i="33"/>
  <c r="CW256" i="33"/>
  <c r="CV256" i="33"/>
  <c r="CU256" i="33"/>
  <c r="CT256" i="33"/>
  <c r="CS256" i="33"/>
  <c r="CR256" i="33"/>
  <c r="CQ256" i="33"/>
  <c r="CP256" i="33"/>
  <c r="CO256" i="33"/>
  <c r="CN256" i="33"/>
  <c r="CM256" i="33"/>
  <c r="CL256" i="33"/>
  <c r="CK256" i="33"/>
  <c r="CJ256" i="33"/>
  <c r="CI256" i="33"/>
  <c r="CH256" i="33"/>
  <c r="CG256" i="33"/>
  <c r="CF256" i="33"/>
  <c r="CE256" i="33"/>
  <c r="CD256" i="33"/>
  <c r="CC256" i="33"/>
  <c r="CB256" i="33"/>
  <c r="CA256" i="33"/>
  <c r="BZ256" i="33"/>
  <c r="BY256" i="33"/>
  <c r="BX256" i="33"/>
  <c r="BW256" i="33"/>
  <c r="BV256" i="33"/>
  <c r="BU256" i="33"/>
  <c r="BT256" i="33"/>
  <c r="BS256" i="33"/>
  <c r="BR256" i="33"/>
  <c r="BQ256" i="33"/>
  <c r="BP256" i="33"/>
  <c r="BO256" i="33"/>
  <c r="BN256" i="33"/>
  <c r="BM256" i="33"/>
  <c r="BL256" i="33"/>
  <c r="BK256" i="33"/>
  <c r="BJ256" i="33"/>
  <c r="BI256" i="33"/>
  <c r="BH256" i="33"/>
  <c r="BG256" i="33"/>
  <c r="BF256" i="33"/>
  <c r="BE256" i="33"/>
  <c r="BD256" i="33"/>
  <c r="BC256" i="33"/>
  <c r="BB256" i="33"/>
  <c r="BA256" i="33"/>
  <c r="AZ256" i="33"/>
  <c r="AY256" i="33"/>
  <c r="AX256" i="33"/>
  <c r="AW256" i="33"/>
  <c r="AV256" i="33"/>
  <c r="AU256" i="33"/>
  <c r="AT256" i="33"/>
  <c r="AS256" i="33"/>
  <c r="AR256" i="33"/>
  <c r="AQ256" i="33"/>
  <c r="AP256" i="33"/>
  <c r="AO256" i="33"/>
  <c r="AN256" i="33"/>
  <c r="AM256" i="33"/>
  <c r="AL256" i="33"/>
  <c r="AK256" i="33"/>
  <c r="AJ256" i="33"/>
  <c r="AI256" i="33"/>
  <c r="AH256" i="33"/>
  <c r="AG256" i="33"/>
  <c r="AF256" i="33"/>
  <c r="AE256" i="33"/>
  <c r="AD256" i="33"/>
  <c r="AC256" i="33"/>
  <c r="AB256" i="33"/>
  <c r="AA256" i="33"/>
  <c r="Z256" i="33"/>
  <c r="Y256" i="33"/>
  <c r="X256" i="33"/>
  <c r="W256" i="33"/>
  <c r="V256" i="33"/>
  <c r="U256" i="33"/>
  <c r="T256" i="33"/>
  <c r="S256" i="33"/>
  <c r="R256" i="33"/>
  <c r="Q256" i="33"/>
  <c r="P256" i="33"/>
  <c r="O256" i="33"/>
  <c r="N256" i="33"/>
  <c r="M256" i="33"/>
  <c r="L256" i="33"/>
  <c r="K256" i="33"/>
  <c r="J256" i="33"/>
  <c r="I256" i="33"/>
  <c r="H256" i="33"/>
  <c r="G256" i="33"/>
  <c r="F256" i="33"/>
  <c r="E256" i="33"/>
  <c r="D256" i="33"/>
  <c r="C256" i="33"/>
  <c r="B256" i="33"/>
  <c r="A256" i="33"/>
  <c r="IV255" i="33"/>
  <c r="IU255" i="33"/>
  <c r="IT255" i="33"/>
  <c r="IS255" i="33"/>
  <c r="IR255" i="33"/>
  <c r="IQ255" i="33"/>
  <c r="IP255" i="33"/>
  <c r="IO255" i="33"/>
  <c r="IN255" i="33"/>
  <c r="IM255" i="33"/>
  <c r="IL255" i="33"/>
  <c r="IK255" i="33"/>
  <c r="IJ255" i="33"/>
  <c r="II255" i="33"/>
  <c r="IH255" i="33"/>
  <c r="IG255" i="33"/>
  <c r="IF255" i="33"/>
  <c r="IE255" i="33"/>
  <c r="ID255" i="33"/>
  <c r="IC255" i="33"/>
  <c r="IB255" i="33"/>
  <c r="IA255" i="33"/>
  <c r="HZ255" i="33"/>
  <c r="HY255" i="33"/>
  <c r="HX255" i="33"/>
  <c r="HW255" i="33"/>
  <c r="HV255" i="33"/>
  <c r="HU255" i="33"/>
  <c r="HT255" i="33"/>
  <c r="HS255" i="33"/>
  <c r="HR255" i="33"/>
  <c r="HQ255" i="33"/>
  <c r="HP255" i="33"/>
  <c r="HO255" i="33"/>
  <c r="HN255" i="33"/>
  <c r="HM255" i="33"/>
  <c r="HL255" i="33"/>
  <c r="HK255" i="33"/>
  <c r="HJ255" i="33"/>
  <c r="HI255" i="33"/>
  <c r="HH255" i="33"/>
  <c r="HG255" i="33"/>
  <c r="HF255" i="33"/>
  <c r="HE255" i="33"/>
  <c r="HD255" i="33"/>
  <c r="HC255" i="33"/>
  <c r="HB255" i="33"/>
  <c r="HA255" i="33"/>
  <c r="GZ255" i="33"/>
  <c r="GY255" i="33"/>
  <c r="GX255" i="33"/>
  <c r="GW255" i="33"/>
  <c r="GV255" i="33"/>
  <c r="GU255" i="33"/>
  <c r="GT255" i="33"/>
  <c r="GS255" i="33"/>
  <c r="GR255" i="33"/>
  <c r="GQ255" i="33"/>
  <c r="GP255" i="33"/>
  <c r="GO255" i="33"/>
  <c r="GN255" i="33"/>
  <c r="GM255" i="33"/>
  <c r="GL255" i="33"/>
  <c r="GK255" i="33"/>
  <c r="GJ255" i="33"/>
  <c r="GI255" i="33"/>
  <c r="GH255" i="33"/>
  <c r="GG255" i="33"/>
  <c r="GF255" i="33"/>
  <c r="GE255" i="33"/>
  <c r="GD255" i="33"/>
  <c r="GC255" i="33"/>
  <c r="GB255" i="33"/>
  <c r="GA255" i="33"/>
  <c r="FZ255" i="33"/>
  <c r="FY255" i="33"/>
  <c r="FX255" i="33"/>
  <c r="FW255" i="33"/>
  <c r="FV255" i="33"/>
  <c r="FU255" i="33"/>
  <c r="FT255" i="33"/>
  <c r="FS255" i="33"/>
  <c r="FR255" i="33"/>
  <c r="FQ255" i="33"/>
  <c r="FP255" i="33"/>
  <c r="FO255" i="33"/>
  <c r="FN255" i="33"/>
  <c r="FM255" i="33"/>
  <c r="FL255" i="33"/>
  <c r="FK255" i="33"/>
  <c r="FJ255" i="33"/>
  <c r="FI255" i="33"/>
  <c r="FH255" i="33"/>
  <c r="FG255" i="33"/>
  <c r="FF255" i="33"/>
  <c r="FE255" i="33"/>
  <c r="FD255" i="33"/>
  <c r="FC255" i="33"/>
  <c r="FB255" i="33"/>
  <c r="FA255" i="33"/>
  <c r="EZ255" i="33"/>
  <c r="EY255" i="33"/>
  <c r="EX255" i="33"/>
  <c r="EW255" i="33"/>
  <c r="EV255" i="33"/>
  <c r="EU255" i="33"/>
  <c r="ET255" i="33"/>
  <c r="ES255" i="33"/>
  <c r="ER255" i="33"/>
  <c r="EQ255" i="33"/>
  <c r="EP255" i="33"/>
  <c r="EO255" i="33"/>
  <c r="EN255" i="33"/>
  <c r="EM255" i="33"/>
  <c r="EL255" i="33"/>
  <c r="EK255" i="33"/>
  <c r="EJ255" i="33"/>
  <c r="EI255" i="33"/>
  <c r="EH255" i="33"/>
  <c r="EG255" i="33"/>
  <c r="EF255" i="33"/>
  <c r="EE255" i="33"/>
  <c r="ED255" i="33"/>
  <c r="EC255" i="33"/>
  <c r="EB255" i="33"/>
  <c r="EA255" i="33"/>
  <c r="DZ255" i="33"/>
  <c r="DY255" i="33"/>
  <c r="DX255" i="33"/>
  <c r="DW255" i="33"/>
  <c r="DV255" i="33"/>
  <c r="DU255" i="33"/>
  <c r="DT255" i="33"/>
  <c r="DS255" i="33"/>
  <c r="DR255" i="33"/>
  <c r="DQ255" i="33"/>
  <c r="DP255" i="33"/>
  <c r="DO255" i="33"/>
  <c r="DN255" i="33"/>
  <c r="DM255" i="33"/>
  <c r="DL255" i="33"/>
  <c r="DK255" i="33"/>
  <c r="DJ255" i="33"/>
  <c r="DI255" i="33"/>
  <c r="DH255" i="33"/>
  <c r="DG255" i="33"/>
  <c r="DF255" i="33"/>
  <c r="DE255" i="33"/>
  <c r="DD255" i="33"/>
  <c r="DC255" i="33"/>
  <c r="DB255" i="33"/>
  <c r="DA255" i="33"/>
  <c r="CZ255" i="33"/>
  <c r="CY255" i="33"/>
  <c r="CX255" i="33"/>
  <c r="CW255" i="33"/>
  <c r="CV255" i="33"/>
  <c r="CU255" i="33"/>
  <c r="CT255" i="33"/>
  <c r="CS255" i="33"/>
  <c r="CR255" i="33"/>
  <c r="CQ255" i="33"/>
  <c r="CP255" i="33"/>
  <c r="CO255" i="33"/>
  <c r="CN255" i="33"/>
  <c r="CM255" i="33"/>
  <c r="CL255" i="33"/>
  <c r="CK255" i="33"/>
  <c r="CJ255" i="33"/>
  <c r="CI255" i="33"/>
  <c r="CH255" i="33"/>
  <c r="CG255" i="33"/>
  <c r="CF255" i="33"/>
  <c r="CE255" i="33"/>
  <c r="CD255" i="33"/>
  <c r="CC255" i="33"/>
  <c r="CB255" i="33"/>
  <c r="CA255" i="33"/>
  <c r="BZ255" i="33"/>
  <c r="BY255" i="33"/>
  <c r="BX255" i="33"/>
  <c r="BW255" i="33"/>
  <c r="BV255" i="33"/>
  <c r="BU255" i="33"/>
  <c r="BT255" i="33"/>
  <c r="BS255" i="33"/>
  <c r="BR255" i="33"/>
  <c r="BQ255" i="33"/>
  <c r="BP255" i="33"/>
  <c r="BO255" i="33"/>
  <c r="BN255" i="33"/>
  <c r="BM255" i="33"/>
  <c r="BL255" i="33"/>
  <c r="BK255" i="33"/>
  <c r="BJ255" i="33"/>
  <c r="BI255" i="33"/>
  <c r="BH255" i="33"/>
  <c r="BG255" i="33"/>
  <c r="BF255" i="33"/>
  <c r="BE255" i="33"/>
  <c r="BD255" i="33"/>
  <c r="BC255" i="33"/>
  <c r="BB255" i="33"/>
  <c r="BA255" i="33"/>
  <c r="AZ255" i="33"/>
  <c r="AY255" i="33"/>
  <c r="AX255" i="33"/>
  <c r="AW255" i="33"/>
  <c r="AV255" i="33"/>
  <c r="AU255" i="33"/>
  <c r="AT255" i="33"/>
  <c r="AS255" i="33"/>
  <c r="AR255" i="33"/>
  <c r="AQ255" i="33"/>
  <c r="AP255" i="33"/>
  <c r="AO255" i="33"/>
  <c r="AN255" i="33"/>
  <c r="AM255" i="33"/>
  <c r="AL255" i="33"/>
  <c r="AK255" i="33"/>
  <c r="AJ255" i="33"/>
  <c r="AI255" i="33"/>
  <c r="AH255" i="33"/>
  <c r="AG255" i="33"/>
  <c r="AF255" i="33"/>
  <c r="AE255" i="33"/>
  <c r="AD255" i="33"/>
  <c r="AC255" i="33"/>
  <c r="AB255" i="33"/>
  <c r="AA255" i="33"/>
  <c r="Z255" i="33"/>
  <c r="Y255" i="33"/>
  <c r="X255" i="33"/>
  <c r="W255" i="33"/>
  <c r="V255" i="33"/>
  <c r="U255" i="33"/>
  <c r="T255" i="33"/>
  <c r="S255" i="33"/>
  <c r="R255" i="33"/>
  <c r="Q255" i="33"/>
  <c r="P255" i="33"/>
  <c r="O255" i="33"/>
  <c r="N255" i="33"/>
  <c r="M255" i="33"/>
  <c r="L255" i="33"/>
  <c r="K255" i="33"/>
  <c r="J255" i="33"/>
  <c r="I255" i="33"/>
  <c r="H255" i="33"/>
  <c r="G255" i="33"/>
  <c r="F255" i="33"/>
  <c r="E255" i="33"/>
  <c r="D255" i="33"/>
  <c r="C255" i="33"/>
  <c r="B255" i="33"/>
  <c r="A255" i="33"/>
  <c r="IV254" i="33"/>
  <c r="IU254" i="33"/>
  <c r="IT254" i="33"/>
  <c r="IS254" i="33"/>
  <c r="IR254" i="33"/>
  <c r="IQ254" i="33"/>
  <c r="IP254" i="33"/>
  <c r="IO254" i="33"/>
  <c r="IN254" i="33"/>
  <c r="IM254" i="33"/>
  <c r="IL254" i="33"/>
  <c r="IK254" i="33"/>
  <c r="IJ254" i="33"/>
  <c r="II254" i="33"/>
  <c r="IH254" i="33"/>
  <c r="IG254" i="33"/>
  <c r="IF254" i="33"/>
  <c r="IE254" i="33"/>
  <c r="ID254" i="33"/>
  <c r="IC254" i="33"/>
  <c r="IB254" i="33"/>
  <c r="IA254" i="33"/>
  <c r="HZ254" i="33"/>
  <c r="HY254" i="33"/>
  <c r="HX254" i="33"/>
  <c r="HW254" i="33"/>
  <c r="HV254" i="33"/>
  <c r="HU254" i="33"/>
  <c r="HT254" i="33"/>
  <c r="HS254" i="33"/>
  <c r="HR254" i="33"/>
  <c r="HQ254" i="33"/>
  <c r="HP254" i="33"/>
  <c r="HO254" i="33"/>
  <c r="HN254" i="33"/>
  <c r="HM254" i="33"/>
  <c r="HL254" i="33"/>
  <c r="HK254" i="33"/>
  <c r="HJ254" i="33"/>
  <c r="HI254" i="33"/>
  <c r="HH254" i="33"/>
  <c r="HG254" i="33"/>
  <c r="HF254" i="33"/>
  <c r="HE254" i="33"/>
  <c r="HD254" i="33"/>
  <c r="HC254" i="33"/>
  <c r="HB254" i="33"/>
  <c r="HA254" i="33"/>
  <c r="GZ254" i="33"/>
  <c r="GY254" i="33"/>
  <c r="GX254" i="33"/>
  <c r="GW254" i="33"/>
  <c r="GV254" i="33"/>
  <c r="GU254" i="33"/>
  <c r="GT254" i="33"/>
  <c r="GS254" i="33"/>
  <c r="GR254" i="33"/>
  <c r="GQ254" i="33"/>
  <c r="GP254" i="33"/>
  <c r="GO254" i="33"/>
  <c r="GN254" i="33"/>
  <c r="GM254" i="33"/>
  <c r="GL254" i="33"/>
  <c r="GK254" i="33"/>
  <c r="GJ254" i="33"/>
  <c r="GI254" i="33"/>
  <c r="GH254" i="33"/>
  <c r="GG254" i="33"/>
  <c r="GF254" i="33"/>
  <c r="GE254" i="33"/>
  <c r="GD254" i="33"/>
  <c r="GC254" i="33"/>
  <c r="GB254" i="33"/>
  <c r="GA254" i="33"/>
  <c r="FZ254" i="33"/>
  <c r="FY254" i="33"/>
  <c r="FX254" i="33"/>
  <c r="FW254" i="33"/>
  <c r="FV254" i="33"/>
  <c r="FU254" i="33"/>
  <c r="FT254" i="33"/>
  <c r="FS254" i="33"/>
  <c r="FR254" i="33"/>
  <c r="FQ254" i="33"/>
  <c r="FP254" i="33"/>
  <c r="FO254" i="33"/>
  <c r="FN254" i="33"/>
  <c r="FM254" i="33"/>
  <c r="FL254" i="33"/>
  <c r="FK254" i="33"/>
  <c r="FJ254" i="33"/>
  <c r="FI254" i="33"/>
  <c r="FH254" i="33"/>
  <c r="FG254" i="33"/>
  <c r="FF254" i="33"/>
  <c r="FE254" i="33"/>
  <c r="FD254" i="33"/>
  <c r="FC254" i="33"/>
  <c r="FB254" i="33"/>
  <c r="FA254" i="33"/>
  <c r="EZ254" i="33"/>
  <c r="EY254" i="33"/>
  <c r="EX254" i="33"/>
  <c r="EW254" i="33"/>
  <c r="EV254" i="33"/>
  <c r="EU254" i="33"/>
  <c r="ET254" i="33"/>
  <c r="ES254" i="33"/>
  <c r="ER254" i="33"/>
  <c r="EQ254" i="33"/>
  <c r="EP254" i="33"/>
  <c r="EO254" i="33"/>
  <c r="EN254" i="33"/>
  <c r="EM254" i="33"/>
  <c r="EL254" i="33"/>
  <c r="EK254" i="33"/>
  <c r="EJ254" i="33"/>
  <c r="EI254" i="33"/>
  <c r="EH254" i="33"/>
  <c r="EG254" i="33"/>
  <c r="EF254" i="33"/>
  <c r="EE254" i="33"/>
  <c r="ED254" i="33"/>
  <c r="EC254" i="33"/>
  <c r="EB254" i="33"/>
  <c r="EA254" i="33"/>
  <c r="DZ254" i="33"/>
  <c r="DY254" i="33"/>
  <c r="DX254" i="33"/>
  <c r="DW254" i="33"/>
  <c r="DV254" i="33"/>
  <c r="DU254" i="33"/>
  <c r="DT254" i="33"/>
  <c r="DS254" i="33"/>
  <c r="DR254" i="33"/>
  <c r="DQ254" i="33"/>
  <c r="DP254" i="33"/>
  <c r="DO254" i="33"/>
  <c r="DN254" i="33"/>
  <c r="DM254" i="33"/>
  <c r="DL254" i="33"/>
  <c r="DK254" i="33"/>
  <c r="DJ254" i="33"/>
  <c r="DI254" i="33"/>
  <c r="DH254" i="33"/>
  <c r="DG254" i="33"/>
  <c r="DF254" i="33"/>
  <c r="DE254" i="33"/>
  <c r="DD254" i="33"/>
  <c r="DC254" i="33"/>
  <c r="DB254" i="33"/>
  <c r="DA254" i="33"/>
  <c r="CZ254" i="33"/>
  <c r="CY254" i="33"/>
  <c r="CX254" i="33"/>
  <c r="CW254" i="33"/>
  <c r="CV254" i="33"/>
  <c r="CU254" i="33"/>
  <c r="CT254" i="33"/>
  <c r="CS254" i="33"/>
  <c r="CR254" i="33"/>
  <c r="CQ254" i="33"/>
  <c r="CP254" i="33"/>
  <c r="CO254" i="33"/>
  <c r="CN254" i="33"/>
  <c r="CM254" i="33"/>
  <c r="CL254" i="33"/>
  <c r="CK254" i="33"/>
  <c r="CJ254" i="33"/>
  <c r="CI254" i="33"/>
  <c r="CH254" i="33"/>
  <c r="CG254" i="33"/>
  <c r="CF254" i="33"/>
  <c r="CE254" i="33"/>
  <c r="CD254" i="33"/>
  <c r="CC254" i="33"/>
  <c r="CB254" i="33"/>
  <c r="CA254" i="33"/>
  <c r="BZ254" i="33"/>
  <c r="BY254" i="33"/>
  <c r="BX254" i="33"/>
  <c r="BW254" i="33"/>
  <c r="BV254" i="33"/>
  <c r="BU254" i="33"/>
  <c r="BT254" i="33"/>
  <c r="BS254" i="33"/>
  <c r="BR254" i="33"/>
  <c r="BQ254" i="33"/>
  <c r="BP254" i="33"/>
  <c r="BO254" i="33"/>
  <c r="BN254" i="33"/>
  <c r="BM254" i="33"/>
  <c r="BL254" i="33"/>
  <c r="BK254" i="33"/>
  <c r="BJ254" i="33"/>
  <c r="BI254" i="33"/>
  <c r="BH254" i="33"/>
  <c r="BG254" i="33"/>
  <c r="BF254" i="33"/>
  <c r="BE254" i="33"/>
  <c r="BD254" i="33"/>
  <c r="BC254" i="33"/>
  <c r="BB254" i="33"/>
  <c r="BA254" i="33"/>
  <c r="AZ254" i="33"/>
  <c r="AY254" i="33"/>
  <c r="AX254" i="33"/>
  <c r="AW254" i="33"/>
  <c r="AV254" i="33"/>
  <c r="AU254" i="33"/>
  <c r="AT254" i="33"/>
  <c r="AS254" i="33"/>
  <c r="AR254" i="33"/>
  <c r="AQ254" i="33"/>
  <c r="AP254" i="33"/>
  <c r="AO254" i="33"/>
  <c r="AN254" i="33"/>
  <c r="AM254" i="33"/>
  <c r="AL254" i="33"/>
  <c r="AK254" i="33"/>
  <c r="AJ254" i="33"/>
  <c r="AI254" i="33"/>
  <c r="AH254" i="33"/>
  <c r="AG254" i="33"/>
  <c r="AF254" i="33"/>
  <c r="AE254" i="33"/>
  <c r="AD254" i="33"/>
  <c r="AC254" i="33"/>
  <c r="AB254" i="33"/>
  <c r="AA254" i="33"/>
  <c r="Z254" i="33"/>
  <c r="Y254" i="33"/>
  <c r="X254" i="33"/>
  <c r="W254" i="33"/>
  <c r="V254" i="33"/>
  <c r="U254" i="33"/>
  <c r="T254" i="33"/>
  <c r="S254" i="33"/>
  <c r="R254" i="33"/>
  <c r="Q254" i="33"/>
  <c r="P254" i="33"/>
  <c r="O254" i="33"/>
  <c r="N254" i="33"/>
  <c r="M254" i="33"/>
  <c r="L254" i="33"/>
  <c r="K254" i="33"/>
  <c r="J254" i="33"/>
  <c r="I254" i="33"/>
  <c r="H254" i="33"/>
  <c r="G254" i="33"/>
  <c r="F254" i="33"/>
  <c r="E254" i="33"/>
  <c r="D254" i="33"/>
  <c r="C254" i="33"/>
  <c r="B254" i="33"/>
  <c r="A254" i="33"/>
  <c r="IV253" i="33"/>
  <c r="IU253" i="33"/>
  <c r="IT253" i="33"/>
  <c r="IS253" i="33"/>
  <c r="IR253" i="33"/>
  <c r="IQ253" i="33"/>
  <c r="IP253" i="33"/>
  <c r="IO253" i="33"/>
  <c r="IN253" i="33"/>
  <c r="IM253" i="33"/>
  <c r="IL253" i="33"/>
  <c r="IK253" i="33"/>
  <c r="IJ253" i="33"/>
  <c r="II253" i="33"/>
  <c r="IH253" i="33"/>
  <c r="IG253" i="33"/>
  <c r="IF253" i="33"/>
  <c r="IE253" i="33"/>
  <c r="ID253" i="33"/>
  <c r="IC253" i="33"/>
  <c r="IB253" i="33"/>
  <c r="IA253" i="33"/>
  <c r="HZ253" i="33"/>
  <c r="HY253" i="33"/>
  <c r="HX253" i="33"/>
  <c r="HW253" i="33"/>
  <c r="HV253" i="33"/>
  <c r="HU253" i="33"/>
  <c r="HT253" i="33"/>
  <c r="HS253" i="33"/>
  <c r="HR253" i="33"/>
  <c r="HQ253" i="33"/>
  <c r="HP253" i="33"/>
  <c r="HO253" i="33"/>
  <c r="HN253" i="33"/>
  <c r="HM253" i="33"/>
  <c r="HL253" i="33"/>
  <c r="HK253" i="33"/>
  <c r="HJ253" i="33"/>
  <c r="HI253" i="33"/>
  <c r="HH253" i="33"/>
  <c r="HG253" i="33"/>
  <c r="HF253" i="33"/>
  <c r="HE253" i="33"/>
  <c r="HD253" i="33"/>
  <c r="HC253" i="33"/>
  <c r="HB253" i="33"/>
  <c r="HA253" i="33"/>
  <c r="GZ253" i="33"/>
  <c r="GY253" i="33"/>
  <c r="GX253" i="33"/>
  <c r="GW253" i="33"/>
  <c r="GV253" i="33"/>
  <c r="GU253" i="33"/>
  <c r="GT253" i="33"/>
  <c r="GS253" i="33"/>
  <c r="GR253" i="33"/>
  <c r="GQ253" i="33"/>
  <c r="GP253" i="33"/>
  <c r="GO253" i="33"/>
  <c r="GN253" i="33"/>
  <c r="GM253" i="33"/>
  <c r="GL253" i="33"/>
  <c r="GK253" i="33"/>
  <c r="GJ253" i="33"/>
  <c r="GI253" i="33"/>
  <c r="GH253" i="33"/>
  <c r="GG253" i="33"/>
  <c r="GF253" i="33"/>
  <c r="GE253" i="33"/>
  <c r="GD253" i="33"/>
  <c r="GC253" i="33"/>
  <c r="GB253" i="33"/>
  <c r="GA253" i="33"/>
  <c r="FZ253" i="33"/>
  <c r="FY253" i="33"/>
  <c r="FX253" i="33"/>
  <c r="FW253" i="33"/>
  <c r="FV253" i="33"/>
  <c r="FU253" i="33"/>
  <c r="FT253" i="33"/>
  <c r="FS253" i="33"/>
  <c r="FR253" i="33"/>
  <c r="FQ253" i="33"/>
  <c r="FP253" i="33"/>
  <c r="FO253" i="33"/>
  <c r="FN253" i="33"/>
  <c r="FM253" i="33"/>
  <c r="FL253" i="33"/>
  <c r="FK253" i="33"/>
  <c r="FJ253" i="33"/>
  <c r="FI253" i="33"/>
  <c r="FH253" i="33"/>
  <c r="FG253" i="33"/>
  <c r="FF253" i="33"/>
  <c r="FE253" i="33"/>
  <c r="FD253" i="33"/>
  <c r="FC253" i="33"/>
  <c r="FB253" i="33"/>
  <c r="FA253" i="33"/>
  <c r="EZ253" i="33"/>
  <c r="EY253" i="33"/>
  <c r="EX253" i="33"/>
  <c r="EW253" i="33"/>
  <c r="EV253" i="33"/>
  <c r="EU253" i="33"/>
  <c r="ET253" i="33"/>
  <c r="ES253" i="33"/>
  <c r="ER253" i="33"/>
  <c r="EQ253" i="33"/>
  <c r="EP253" i="33"/>
  <c r="EO253" i="33"/>
  <c r="EN253" i="33"/>
  <c r="EM253" i="33"/>
  <c r="EL253" i="33"/>
  <c r="EK253" i="33"/>
  <c r="EJ253" i="33"/>
  <c r="EI253" i="33"/>
  <c r="EH253" i="33"/>
  <c r="EG253" i="33"/>
  <c r="EF253" i="33"/>
  <c r="EE253" i="33"/>
  <c r="ED253" i="33"/>
  <c r="EC253" i="33"/>
  <c r="EB253" i="33"/>
  <c r="EA253" i="33"/>
  <c r="DZ253" i="33"/>
  <c r="DY253" i="33"/>
  <c r="DX253" i="33"/>
  <c r="DW253" i="33"/>
  <c r="DV253" i="33"/>
  <c r="DU253" i="33"/>
  <c r="DT253" i="33"/>
  <c r="DS253" i="33"/>
  <c r="DR253" i="33"/>
  <c r="DQ253" i="33"/>
  <c r="DP253" i="33"/>
  <c r="DO253" i="33"/>
  <c r="DN253" i="33"/>
  <c r="DM253" i="33"/>
  <c r="DL253" i="33"/>
  <c r="DK253" i="33"/>
  <c r="DJ253" i="33"/>
  <c r="DI253" i="33"/>
  <c r="DH253" i="33"/>
  <c r="DG253" i="33"/>
  <c r="DF253" i="33"/>
  <c r="DE253" i="33"/>
  <c r="DD253" i="33"/>
  <c r="DC253" i="33"/>
  <c r="DB253" i="33"/>
  <c r="DA253" i="33"/>
  <c r="CZ253" i="33"/>
  <c r="CY253" i="33"/>
  <c r="CX253" i="33"/>
  <c r="CW253" i="33"/>
  <c r="CV253" i="33"/>
  <c r="CU253" i="33"/>
  <c r="CT253" i="33"/>
  <c r="CS253" i="33"/>
  <c r="CR253" i="33"/>
  <c r="CQ253" i="33"/>
  <c r="CP253" i="33"/>
  <c r="CO253" i="33"/>
  <c r="CN253" i="33"/>
  <c r="CM253" i="33"/>
  <c r="CL253" i="33"/>
  <c r="CK253" i="33"/>
  <c r="CJ253" i="33"/>
  <c r="CI253" i="33"/>
  <c r="CH253" i="33"/>
  <c r="CG253" i="33"/>
  <c r="CF253" i="33"/>
  <c r="CE253" i="33"/>
  <c r="CD253" i="33"/>
  <c r="CC253" i="33"/>
  <c r="CB253" i="33"/>
  <c r="CA253" i="33"/>
  <c r="BZ253" i="33"/>
  <c r="BY253" i="33"/>
  <c r="BX253" i="33"/>
  <c r="BW253" i="33"/>
  <c r="BV253" i="33"/>
  <c r="BU253" i="33"/>
  <c r="BT253" i="33"/>
  <c r="BS253" i="33"/>
  <c r="BR253" i="33"/>
  <c r="BQ253" i="33"/>
  <c r="BP253" i="33"/>
  <c r="BO253" i="33"/>
  <c r="BN253" i="33"/>
  <c r="BM253" i="33"/>
  <c r="BL253" i="33"/>
  <c r="BK253" i="33"/>
  <c r="BJ253" i="33"/>
  <c r="BI253" i="33"/>
  <c r="BH253" i="33"/>
  <c r="BG253" i="33"/>
  <c r="BF253" i="33"/>
  <c r="BE253" i="33"/>
  <c r="BD253" i="33"/>
  <c r="BC253" i="33"/>
  <c r="BB253" i="33"/>
  <c r="BA253" i="33"/>
  <c r="AZ253" i="33"/>
  <c r="AY253" i="33"/>
  <c r="AX253" i="33"/>
  <c r="AW253" i="33"/>
  <c r="AV253" i="33"/>
  <c r="AU253" i="33"/>
  <c r="AT253" i="33"/>
  <c r="AS253" i="33"/>
  <c r="AR253" i="33"/>
  <c r="AQ253" i="33"/>
  <c r="AP253" i="33"/>
  <c r="AO253" i="33"/>
  <c r="AN253" i="33"/>
  <c r="AM253" i="33"/>
  <c r="AL253" i="33"/>
  <c r="AK253" i="33"/>
  <c r="AJ253" i="33"/>
  <c r="AI253" i="33"/>
  <c r="AH253" i="33"/>
  <c r="AG253" i="33"/>
  <c r="AF253" i="33"/>
  <c r="AE253" i="33"/>
  <c r="AD253" i="33"/>
  <c r="AC253" i="33"/>
  <c r="AB253" i="33"/>
  <c r="AA253" i="33"/>
  <c r="Z253" i="33"/>
  <c r="Y253" i="33"/>
  <c r="X253" i="33"/>
  <c r="W253" i="33"/>
  <c r="V253" i="33"/>
  <c r="U253" i="33"/>
  <c r="T253" i="33"/>
  <c r="S253" i="33"/>
  <c r="R253" i="33"/>
  <c r="Q253" i="33"/>
  <c r="P253" i="33"/>
  <c r="O253" i="33"/>
  <c r="N253" i="33"/>
  <c r="M253" i="33"/>
  <c r="L253" i="33"/>
  <c r="K253" i="33"/>
  <c r="J253" i="33"/>
  <c r="I253" i="33"/>
  <c r="H253" i="33"/>
  <c r="G253" i="33"/>
  <c r="F253" i="33"/>
  <c r="E253" i="33"/>
  <c r="D253" i="33"/>
  <c r="C253" i="33"/>
  <c r="B253" i="33"/>
  <c r="A253" i="33"/>
  <c r="IV252" i="33"/>
  <c r="IU252" i="33"/>
  <c r="IT252" i="33"/>
  <c r="IS252" i="33"/>
  <c r="IR252" i="33"/>
  <c r="IQ252" i="33"/>
  <c r="IP252" i="33"/>
  <c r="IO252" i="33"/>
  <c r="IN252" i="33"/>
  <c r="IM252" i="33"/>
  <c r="IL252" i="33"/>
  <c r="IK252" i="33"/>
  <c r="IJ252" i="33"/>
  <c r="II252" i="33"/>
  <c r="IH252" i="33"/>
  <c r="IG252" i="33"/>
  <c r="IF252" i="33"/>
  <c r="IE252" i="33"/>
  <c r="ID252" i="33"/>
  <c r="IC252" i="33"/>
  <c r="IB252" i="33"/>
  <c r="IA252" i="33"/>
  <c r="HZ252" i="33"/>
  <c r="HY252" i="33"/>
  <c r="HX252" i="33"/>
  <c r="HW252" i="33"/>
  <c r="HV252" i="33"/>
  <c r="HU252" i="33"/>
  <c r="HT252" i="33"/>
  <c r="HS252" i="33"/>
  <c r="HR252" i="33"/>
  <c r="HQ252" i="33"/>
  <c r="HP252" i="33"/>
  <c r="HO252" i="33"/>
  <c r="HN252" i="33"/>
  <c r="HM252" i="33"/>
  <c r="HL252" i="33"/>
  <c r="HK252" i="33"/>
  <c r="HJ252" i="33"/>
  <c r="HI252" i="33"/>
  <c r="HH252" i="33"/>
  <c r="HG252" i="33"/>
  <c r="HF252" i="33"/>
  <c r="HE252" i="33"/>
  <c r="HD252" i="33"/>
  <c r="HC252" i="33"/>
  <c r="HB252" i="33"/>
  <c r="HA252" i="33"/>
  <c r="GZ252" i="33"/>
  <c r="GY252" i="33"/>
  <c r="GX252" i="33"/>
  <c r="GW252" i="33"/>
  <c r="GV252" i="33"/>
  <c r="GU252" i="33"/>
  <c r="GT252" i="33"/>
  <c r="GS252" i="33"/>
  <c r="GR252" i="33"/>
  <c r="GQ252" i="33"/>
  <c r="GP252" i="33"/>
  <c r="GO252" i="33"/>
  <c r="GN252" i="33"/>
  <c r="GM252" i="33"/>
  <c r="GL252" i="33"/>
  <c r="GK252" i="33"/>
  <c r="GJ252" i="33"/>
  <c r="GI252" i="33"/>
  <c r="GH252" i="33"/>
  <c r="GG252" i="33"/>
  <c r="GF252" i="33"/>
  <c r="GE252" i="33"/>
  <c r="GD252" i="33"/>
  <c r="GC252" i="33"/>
  <c r="GB252" i="33"/>
  <c r="GA252" i="33"/>
  <c r="FZ252" i="33"/>
  <c r="FY252" i="33"/>
  <c r="FX252" i="33"/>
  <c r="FW252" i="33"/>
  <c r="FV252" i="33"/>
  <c r="FU252" i="33"/>
  <c r="FT252" i="33"/>
  <c r="FS252" i="33"/>
  <c r="FR252" i="33"/>
  <c r="FQ252" i="33"/>
  <c r="FP252" i="33"/>
  <c r="FO252" i="33"/>
  <c r="FN252" i="33"/>
  <c r="FM252" i="33"/>
  <c r="FL252" i="33"/>
  <c r="FK252" i="33"/>
  <c r="FJ252" i="33"/>
  <c r="FI252" i="33"/>
  <c r="FH252" i="33"/>
  <c r="FG252" i="33"/>
  <c r="FF252" i="33"/>
  <c r="FE252" i="33"/>
  <c r="FD252" i="33"/>
  <c r="FC252" i="33"/>
  <c r="FB252" i="33"/>
  <c r="FA252" i="33"/>
  <c r="EZ252" i="33"/>
  <c r="EY252" i="33"/>
  <c r="EX252" i="33"/>
  <c r="EW252" i="33"/>
  <c r="EV252" i="33"/>
  <c r="EU252" i="33"/>
  <c r="ET252" i="33"/>
  <c r="ES252" i="33"/>
  <c r="ER252" i="33"/>
  <c r="EQ252" i="33"/>
  <c r="EP252" i="33"/>
  <c r="EO252" i="33"/>
  <c r="EN252" i="33"/>
  <c r="EM252" i="33"/>
  <c r="EL252" i="33"/>
  <c r="EK252" i="33"/>
  <c r="EJ252" i="33"/>
  <c r="EI252" i="33"/>
  <c r="EH252" i="33"/>
  <c r="EG252" i="33"/>
  <c r="EF252" i="33"/>
  <c r="EE252" i="33"/>
  <c r="ED252" i="33"/>
  <c r="EC252" i="33"/>
  <c r="EB252" i="33"/>
  <c r="EA252" i="33"/>
  <c r="DZ252" i="33"/>
  <c r="DY252" i="33"/>
  <c r="DX252" i="33"/>
  <c r="DW252" i="33"/>
  <c r="DV252" i="33"/>
  <c r="DU252" i="33"/>
  <c r="DT252" i="33"/>
  <c r="DS252" i="33"/>
  <c r="DR252" i="33"/>
  <c r="DQ252" i="33"/>
  <c r="DP252" i="33"/>
  <c r="DO252" i="33"/>
  <c r="DN252" i="33"/>
  <c r="DM252" i="33"/>
  <c r="DL252" i="33"/>
  <c r="DK252" i="33"/>
  <c r="DJ252" i="33"/>
  <c r="DI252" i="33"/>
  <c r="DH252" i="33"/>
  <c r="DG252" i="33"/>
  <c r="DF252" i="33"/>
  <c r="DE252" i="33"/>
  <c r="DD252" i="33"/>
  <c r="DC252" i="33"/>
  <c r="DB252" i="33"/>
  <c r="DA252" i="33"/>
  <c r="CZ252" i="33"/>
  <c r="CY252" i="33"/>
  <c r="CX252" i="33"/>
  <c r="CW252" i="33"/>
  <c r="CV252" i="33"/>
  <c r="CU252" i="33"/>
  <c r="CT252" i="33"/>
  <c r="CS252" i="33"/>
  <c r="CR252" i="33"/>
  <c r="CQ252" i="33"/>
  <c r="CP252" i="33"/>
  <c r="CO252" i="33"/>
  <c r="CN252" i="33"/>
  <c r="CM252" i="33"/>
  <c r="CL252" i="33"/>
  <c r="CK252" i="33"/>
  <c r="CJ252" i="33"/>
  <c r="CI252" i="33"/>
  <c r="CH252" i="33"/>
  <c r="CG252" i="33"/>
  <c r="CF252" i="33"/>
  <c r="CE252" i="33"/>
  <c r="CD252" i="33"/>
  <c r="CC252" i="33"/>
  <c r="CB252" i="33"/>
  <c r="CA252" i="33"/>
  <c r="BZ252" i="33"/>
  <c r="BY252" i="33"/>
  <c r="BX252" i="33"/>
  <c r="BW252" i="33"/>
  <c r="BV252" i="33"/>
  <c r="BU252" i="33"/>
  <c r="BT252" i="33"/>
  <c r="BS252" i="33"/>
  <c r="BR252" i="33"/>
  <c r="BQ252" i="33"/>
  <c r="BP252" i="33"/>
  <c r="BO252" i="33"/>
  <c r="BN252" i="33"/>
  <c r="BM252" i="33"/>
  <c r="BL252" i="33"/>
  <c r="BK252" i="33"/>
  <c r="BJ252" i="33"/>
  <c r="BI252" i="33"/>
  <c r="BH252" i="33"/>
  <c r="BG252" i="33"/>
  <c r="BF252" i="33"/>
  <c r="BE252" i="33"/>
  <c r="BD252" i="33"/>
  <c r="BC252" i="33"/>
  <c r="BB252" i="33"/>
  <c r="BA252" i="33"/>
  <c r="AZ252" i="33"/>
  <c r="AY252" i="33"/>
  <c r="AX252" i="33"/>
  <c r="AW252" i="33"/>
  <c r="AV252" i="33"/>
  <c r="AU252" i="33"/>
  <c r="AT252" i="33"/>
  <c r="AS252" i="33"/>
  <c r="AR252" i="33"/>
  <c r="AQ252" i="33"/>
  <c r="AP252" i="33"/>
  <c r="AO252" i="33"/>
  <c r="AN252" i="33"/>
  <c r="AM252" i="33"/>
  <c r="AL252" i="33"/>
  <c r="AK252" i="33"/>
  <c r="AJ252" i="33"/>
  <c r="AI252" i="33"/>
  <c r="AH252" i="33"/>
  <c r="AG252" i="33"/>
  <c r="AF252" i="33"/>
  <c r="AE252" i="33"/>
  <c r="AD252" i="33"/>
  <c r="AC252" i="33"/>
  <c r="AB252" i="33"/>
  <c r="AA252" i="33"/>
  <c r="Z252" i="33"/>
  <c r="Y252" i="33"/>
  <c r="X252" i="33"/>
  <c r="W252" i="33"/>
  <c r="V252" i="33"/>
  <c r="U252" i="33"/>
  <c r="T252" i="33"/>
  <c r="S252" i="33"/>
  <c r="R252" i="33"/>
  <c r="Q252" i="33"/>
  <c r="P252" i="33"/>
  <c r="O252" i="33"/>
  <c r="N252" i="33"/>
  <c r="M252" i="33"/>
  <c r="L252" i="33"/>
  <c r="K252" i="33"/>
  <c r="J252" i="33"/>
  <c r="I252" i="33"/>
  <c r="H252" i="33"/>
  <c r="G252" i="33"/>
  <c r="F252" i="33"/>
  <c r="E252" i="33"/>
  <c r="D252" i="33"/>
  <c r="C252" i="33"/>
  <c r="B252" i="33"/>
  <c r="A252" i="33"/>
  <c r="IV251" i="33"/>
  <c r="IU251" i="33"/>
  <c r="IT251" i="33"/>
  <c r="IS251" i="33"/>
  <c r="IR251" i="33"/>
  <c r="IQ251" i="33"/>
  <c r="IP251" i="33"/>
  <c r="IO251" i="33"/>
  <c r="IN251" i="33"/>
  <c r="IM251" i="33"/>
  <c r="IL251" i="33"/>
  <c r="IK251" i="33"/>
  <c r="IJ251" i="33"/>
  <c r="II251" i="33"/>
  <c r="IH251" i="33"/>
  <c r="IG251" i="33"/>
  <c r="IF251" i="33"/>
  <c r="IE251" i="33"/>
  <c r="ID251" i="33"/>
  <c r="IC251" i="33"/>
  <c r="IB251" i="33"/>
  <c r="IA251" i="33"/>
  <c r="HZ251" i="33"/>
  <c r="HY251" i="33"/>
  <c r="HX251" i="33"/>
  <c r="HW251" i="33"/>
  <c r="HV251" i="33"/>
  <c r="HU251" i="33"/>
  <c r="HT251" i="33"/>
  <c r="HS251" i="33"/>
  <c r="HR251" i="33"/>
  <c r="HQ251" i="33"/>
  <c r="HP251" i="33"/>
  <c r="HO251" i="33"/>
  <c r="HN251" i="33"/>
  <c r="HM251" i="33"/>
  <c r="HL251" i="33"/>
  <c r="HK251" i="33"/>
  <c r="HJ251" i="33"/>
  <c r="HI251" i="33"/>
  <c r="HH251" i="33"/>
  <c r="HG251" i="33"/>
  <c r="HF251" i="33"/>
  <c r="HE251" i="33"/>
  <c r="HD251" i="33"/>
  <c r="HC251" i="33"/>
  <c r="HB251" i="33"/>
  <c r="HA251" i="33"/>
  <c r="GZ251" i="33"/>
  <c r="GY251" i="33"/>
  <c r="GX251" i="33"/>
  <c r="GW251" i="33"/>
  <c r="GV251" i="33"/>
  <c r="GU251" i="33"/>
  <c r="GT251" i="33"/>
  <c r="GS251" i="33"/>
  <c r="GR251" i="33"/>
  <c r="GQ251" i="33"/>
  <c r="GP251" i="33"/>
  <c r="GO251" i="33"/>
  <c r="GN251" i="33"/>
  <c r="GM251" i="33"/>
  <c r="GL251" i="33"/>
  <c r="GK251" i="33"/>
  <c r="GJ251" i="33"/>
  <c r="GI251" i="33"/>
  <c r="GH251" i="33"/>
  <c r="GG251" i="33"/>
  <c r="GF251" i="33"/>
  <c r="GE251" i="33"/>
  <c r="GD251" i="33"/>
  <c r="GC251" i="33"/>
  <c r="GB251" i="33"/>
  <c r="GA251" i="33"/>
  <c r="FZ251" i="33"/>
  <c r="FY251" i="33"/>
  <c r="FX251" i="33"/>
  <c r="FW251" i="33"/>
  <c r="FV251" i="33"/>
  <c r="FU251" i="33"/>
  <c r="FT251" i="33"/>
  <c r="FS251" i="33"/>
  <c r="FR251" i="33"/>
  <c r="FQ251" i="33"/>
  <c r="FP251" i="33"/>
  <c r="FO251" i="33"/>
  <c r="FN251" i="33"/>
  <c r="FM251" i="33"/>
  <c r="FL251" i="33"/>
  <c r="FK251" i="33"/>
  <c r="FJ251" i="33"/>
  <c r="FI251" i="33"/>
  <c r="FH251" i="33"/>
  <c r="FG251" i="33"/>
  <c r="FF251" i="33"/>
  <c r="FE251" i="33"/>
  <c r="FD251" i="33"/>
  <c r="FC251" i="33"/>
  <c r="FB251" i="33"/>
  <c r="FA251" i="33"/>
  <c r="EZ251" i="33"/>
  <c r="EY251" i="33"/>
  <c r="EX251" i="33"/>
  <c r="EW251" i="33"/>
  <c r="EV251" i="33"/>
  <c r="EU251" i="33"/>
  <c r="ET251" i="33"/>
  <c r="ES251" i="33"/>
  <c r="ER251" i="33"/>
  <c r="EQ251" i="33"/>
  <c r="EP251" i="33"/>
  <c r="EO251" i="33"/>
  <c r="EN251" i="33"/>
  <c r="EM251" i="33"/>
  <c r="EL251" i="33"/>
  <c r="EK251" i="33"/>
  <c r="EJ251" i="33"/>
  <c r="EI251" i="33"/>
  <c r="EH251" i="33"/>
  <c r="EG251" i="33"/>
  <c r="EF251" i="33"/>
  <c r="EE251" i="33"/>
  <c r="ED251" i="33"/>
  <c r="EC251" i="33"/>
  <c r="EB251" i="33"/>
  <c r="EA251" i="33"/>
  <c r="DZ251" i="33"/>
  <c r="DY251" i="33"/>
  <c r="DX251" i="33"/>
  <c r="DW251" i="33"/>
  <c r="DV251" i="33"/>
  <c r="DU251" i="33"/>
  <c r="DT251" i="33"/>
  <c r="DS251" i="33"/>
  <c r="DR251" i="33"/>
  <c r="DQ251" i="33"/>
  <c r="DP251" i="33"/>
  <c r="DO251" i="33"/>
  <c r="DN251" i="33"/>
  <c r="DM251" i="33"/>
  <c r="DL251" i="33"/>
  <c r="DK251" i="33"/>
  <c r="DJ251" i="33"/>
  <c r="DI251" i="33"/>
  <c r="DH251" i="33"/>
  <c r="DG251" i="33"/>
  <c r="DF251" i="33"/>
  <c r="DE251" i="33"/>
  <c r="DD251" i="33"/>
  <c r="DC251" i="33"/>
  <c r="DB251" i="33"/>
  <c r="DA251" i="33"/>
  <c r="CZ251" i="33"/>
  <c r="CY251" i="33"/>
  <c r="CX251" i="33"/>
  <c r="CW251" i="33"/>
  <c r="CV251" i="33"/>
  <c r="CU251" i="33"/>
  <c r="CT251" i="33"/>
  <c r="CS251" i="33"/>
  <c r="CR251" i="33"/>
  <c r="CQ251" i="33"/>
  <c r="CP251" i="33"/>
  <c r="CO251" i="33"/>
  <c r="CN251" i="33"/>
  <c r="CM251" i="33"/>
  <c r="CL251" i="33"/>
  <c r="CK251" i="33"/>
  <c r="CJ251" i="33"/>
  <c r="CI251" i="33"/>
  <c r="CH251" i="33"/>
  <c r="CG251" i="33"/>
  <c r="CF251" i="33"/>
  <c r="CE251" i="33"/>
  <c r="CD251" i="33"/>
  <c r="CC251" i="33"/>
  <c r="CB251" i="33"/>
  <c r="CA251" i="33"/>
  <c r="BZ251" i="33"/>
  <c r="BY251" i="33"/>
  <c r="BX251" i="33"/>
  <c r="BW251" i="33"/>
  <c r="BV251" i="33"/>
  <c r="BU251" i="33"/>
  <c r="BT251" i="33"/>
  <c r="BS251" i="33"/>
  <c r="BR251" i="33"/>
  <c r="BQ251" i="33"/>
  <c r="BP251" i="33"/>
  <c r="BO251" i="33"/>
  <c r="BN251" i="33"/>
  <c r="BM251" i="33"/>
  <c r="BL251" i="33"/>
  <c r="BK251" i="33"/>
  <c r="BJ251" i="33"/>
  <c r="BI251" i="33"/>
  <c r="BH251" i="33"/>
  <c r="BG251" i="33"/>
  <c r="BF251" i="33"/>
  <c r="BE251" i="33"/>
  <c r="BD251" i="33"/>
  <c r="BC251" i="33"/>
  <c r="BB251" i="33"/>
  <c r="BA251" i="33"/>
  <c r="AZ251" i="33"/>
  <c r="AY251" i="33"/>
  <c r="AX251" i="33"/>
  <c r="AW251" i="33"/>
  <c r="AV251" i="33"/>
  <c r="AU251" i="33"/>
  <c r="AT251" i="33"/>
  <c r="AS251" i="33"/>
  <c r="AR251" i="33"/>
  <c r="AQ251" i="33"/>
  <c r="AP251" i="33"/>
  <c r="AO251" i="33"/>
  <c r="AN251" i="33"/>
  <c r="AM251" i="33"/>
  <c r="AL251" i="33"/>
  <c r="AK251" i="33"/>
  <c r="AJ251" i="33"/>
  <c r="AI251" i="33"/>
  <c r="AH251" i="33"/>
  <c r="AG251" i="33"/>
  <c r="AF251" i="33"/>
  <c r="AE251" i="33"/>
  <c r="AD251" i="33"/>
  <c r="AC251" i="33"/>
  <c r="AB251" i="33"/>
  <c r="AA251" i="33"/>
  <c r="Z251" i="33"/>
  <c r="Y251" i="33"/>
  <c r="X251" i="33"/>
  <c r="W251" i="33"/>
  <c r="V251" i="33"/>
  <c r="U251" i="33"/>
  <c r="T251" i="33"/>
  <c r="S251" i="33"/>
  <c r="R251" i="33"/>
  <c r="Q251" i="33"/>
  <c r="P251" i="33"/>
  <c r="O251" i="33"/>
  <c r="N251" i="33"/>
  <c r="M251" i="33"/>
  <c r="L251" i="33"/>
  <c r="K251" i="33"/>
  <c r="J251" i="33"/>
  <c r="I251" i="33"/>
  <c r="H251" i="33"/>
  <c r="G251" i="33"/>
  <c r="F251" i="33"/>
  <c r="E251" i="33"/>
  <c r="D251" i="33"/>
  <c r="C251" i="33"/>
  <c r="B251" i="33"/>
  <c r="A251" i="33"/>
  <c r="IV250" i="33"/>
  <c r="IU250" i="33"/>
  <c r="IT250" i="33"/>
  <c r="IS250" i="33"/>
  <c r="IR250" i="33"/>
  <c r="IQ250" i="33"/>
  <c r="IP250" i="33"/>
  <c r="IO250" i="33"/>
  <c r="IN250" i="33"/>
  <c r="IM250" i="33"/>
  <c r="IL250" i="33"/>
  <c r="IK250" i="33"/>
  <c r="IJ250" i="33"/>
  <c r="II250" i="33"/>
  <c r="IH250" i="33"/>
  <c r="IG250" i="33"/>
  <c r="IF250" i="33"/>
  <c r="IE250" i="33"/>
  <c r="ID250" i="33"/>
  <c r="IC250" i="33"/>
  <c r="IB250" i="33"/>
  <c r="IA250" i="33"/>
  <c r="HZ250" i="33"/>
  <c r="HY250" i="33"/>
  <c r="HX250" i="33"/>
  <c r="HW250" i="33"/>
  <c r="HV250" i="33"/>
  <c r="HU250" i="33"/>
  <c r="HT250" i="33"/>
  <c r="HS250" i="33"/>
  <c r="HR250" i="33"/>
  <c r="HQ250" i="33"/>
  <c r="HP250" i="33"/>
  <c r="HO250" i="33"/>
  <c r="HN250" i="33"/>
  <c r="HM250" i="33"/>
  <c r="HL250" i="33"/>
  <c r="HK250" i="33"/>
  <c r="HJ250" i="33"/>
  <c r="HI250" i="33"/>
  <c r="HH250" i="33"/>
  <c r="HG250" i="33"/>
  <c r="HF250" i="33"/>
  <c r="HE250" i="33"/>
  <c r="HD250" i="33"/>
  <c r="HC250" i="33"/>
  <c r="HB250" i="33"/>
  <c r="HA250" i="33"/>
  <c r="GZ250" i="33"/>
  <c r="GY250" i="33"/>
  <c r="GX250" i="33"/>
  <c r="GW250" i="33"/>
  <c r="GV250" i="33"/>
  <c r="GU250" i="33"/>
  <c r="GT250" i="33"/>
  <c r="GS250" i="33"/>
  <c r="GR250" i="33"/>
  <c r="GQ250" i="33"/>
  <c r="GP250" i="33"/>
  <c r="GO250" i="33"/>
  <c r="GN250" i="33"/>
  <c r="GM250" i="33"/>
  <c r="GL250" i="33"/>
  <c r="GK250" i="33"/>
  <c r="GJ250" i="33"/>
  <c r="GI250" i="33"/>
  <c r="GH250" i="33"/>
  <c r="GG250" i="33"/>
  <c r="GF250" i="33"/>
  <c r="GE250" i="33"/>
  <c r="GD250" i="33"/>
  <c r="GC250" i="33"/>
  <c r="GB250" i="33"/>
  <c r="GA250" i="33"/>
  <c r="FZ250" i="33"/>
  <c r="FY250" i="33"/>
  <c r="FX250" i="33"/>
  <c r="FW250" i="33"/>
  <c r="FV250" i="33"/>
  <c r="FU250" i="33"/>
  <c r="FT250" i="33"/>
  <c r="FS250" i="33"/>
  <c r="FR250" i="33"/>
  <c r="FQ250" i="33"/>
  <c r="FP250" i="33"/>
  <c r="FO250" i="33"/>
  <c r="FN250" i="33"/>
  <c r="FM250" i="33"/>
  <c r="FL250" i="33"/>
  <c r="FK250" i="33"/>
  <c r="FJ250" i="33"/>
  <c r="FI250" i="33"/>
  <c r="FH250" i="33"/>
  <c r="FG250" i="33"/>
  <c r="FF250" i="33"/>
  <c r="FE250" i="33"/>
  <c r="FD250" i="33"/>
  <c r="FC250" i="33"/>
  <c r="FB250" i="33"/>
  <c r="FA250" i="33"/>
  <c r="EZ250" i="33"/>
  <c r="EY250" i="33"/>
  <c r="EX250" i="33"/>
  <c r="EW250" i="33"/>
  <c r="EV250" i="33"/>
  <c r="EU250" i="33"/>
  <c r="ET250" i="33"/>
  <c r="ES250" i="33"/>
  <c r="ER250" i="33"/>
  <c r="EQ250" i="33"/>
  <c r="EP250" i="33"/>
  <c r="EO250" i="33"/>
  <c r="EN250" i="33"/>
  <c r="EM250" i="33"/>
  <c r="EL250" i="33"/>
  <c r="EK250" i="33"/>
  <c r="EJ250" i="33"/>
  <c r="EI250" i="33"/>
  <c r="EH250" i="33"/>
  <c r="EG250" i="33"/>
  <c r="EF250" i="33"/>
  <c r="EE250" i="33"/>
  <c r="ED250" i="33"/>
  <c r="EC250" i="33"/>
  <c r="EB250" i="33"/>
  <c r="EA250" i="33"/>
  <c r="DZ250" i="33"/>
  <c r="DY250" i="33"/>
  <c r="DX250" i="33"/>
  <c r="DW250" i="33"/>
  <c r="DV250" i="33"/>
  <c r="DU250" i="33"/>
  <c r="DT250" i="33"/>
  <c r="DS250" i="33"/>
  <c r="DR250" i="33"/>
  <c r="DQ250" i="33"/>
  <c r="DP250" i="33"/>
  <c r="DO250" i="33"/>
  <c r="DN250" i="33"/>
  <c r="DM250" i="33"/>
  <c r="DL250" i="33"/>
  <c r="DK250" i="33"/>
  <c r="DJ250" i="33"/>
  <c r="DI250" i="33"/>
  <c r="DH250" i="33"/>
  <c r="DG250" i="33"/>
  <c r="DF250" i="33"/>
  <c r="DE250" i="33"/>
  <c r="DD250" i="33"/>
  <c r="DC250" i="33"/>
  <c r="DB250" i="33"/>
  <c r="DA250" i="33"/>
  <c r="CZ250" i="33"/>
  <c r="CY250" i="33"/>
  <c r="CX250" i="33"/>
  <c r="CW250" i="33"/>
  <c r="CV250" i="33"/>
  <c r="CU250" i="33"/>
  <c r="CT250" i="33"/>
  <c r="CS250" i="33"/>
  <c r="CR250" i="33"/>
  <c r="CQ250" i="33"/>
  <c r="CP250" i="33"/>
  <c r="CO250" i="33"/>
  <c r="CN250" i="33"/>
  <c r="CM250" i="33"/>
  <c r="CL250" i="33"/>
  <c r="CK250" i="33"/>
  <c r="CJ250" i="33"/>
  <c r="CI250" i="33"/>
  <c r="CH250" i="33"/>
  <c r="CG250" i="33"/>
  <c r="CF250" i="33"/>
  <c r="CE250" i="33"/>
  <c r="CD250" i="33"/>
  <c r="CC250" i="33"/>
  <c r="CB250" i="33"/>
  <c r="CA250" i="33"/>
  <c r="BZ250" i="33"/>
  <c r="BY250" i="33"/>
  <c r="BX250" i="33"/>
  <c r="BW250" i="33"/>
  <c r="BV250" i="33"/>
  <c r="BU250" i="33"/>
  <c r="BT250" i="33"/>
  <c r="BS250" i="33"/>
  <c r="BR250" i="33"/>
  <c r="BQ250" i="33"/>
  <c r="BP250" i="33"/>
  <c r="BO250" i="33"/>
  <c r="BN250" i="33"/>
  <c r="BM250" i="33"/>
  <c r="BL250" i="33"/>
  <c r="BK250" i="33"/>
  <c r="BJ250" i="33"/>
  <c r="BI250" i="33"/>
  <c r="BH250" i="33"/>
  <c r="BG250" i="33"/>
  <c r="BF250" i="33"/>
  <c r="BE250" i="33"/>
  <c r="BD250" i="33"/>
  <c r="BC250" i="33"/>
  <c r="BB250" i="33"/>
  <c r="BA250" i="33"/>
  <c r="AZ250" i="33"/>
  <c r="AY250" i="33"/>
  <c r="AX250" i="33"/>
  <c r="AW250" i="33"/>
  <c r="AV250" i="33"/>
  <c r="AU250" i="33"/>
  <c r="AT250" i="33"/>
  <c r="AS250" i="33"/>
  <c r="AR250" i="33"/>
  <c r="AQ250" i="33"/>
  <c r="AP250" i="33"/>
  <c r="AO250" i="33"/>
  <c r="AN250" i="33"/>
  <c r="AM250" i="33"/>
  <c r="AL250" i="33"/>
  <c r="AK250" i="33"/>
  <c r="AJ250" i="33"/>
  <c r="AI250" i="33"/>
  <c r="AH250" i="33"/>
  <c r="AG250" i="33"/>
  <c r="AF250" i="33"/>
  <c r="AE250" i="33"/>
  <c r="AD250" i="33"/>
  <c r="AC250" i="33"/>
  <c r="AB250" i="33"/>
  <c r="AA250" i="33"/>
  <c r="Z250" i="33"/>
  <c r="Y250" i="33"/>
  <c r="X250" i="33"/>
  <c r="W250" i="33"/>
  <c r="V250" i="33"/>
  <c r="U250" i="33"/>
  <c r="T250" i="33"/>
  <c r="S250" i="33"/>
  <c r="R250" i="33"/>
  <c r="Q250" i="33"/>
  <c r="P250" i="33"/>
  <c r="O250" i="33"/>
  <c r="N250" i="33"/>
  <c r="M250" i="33"/>
  <c r="L250" i="33"/>
  <c r="K250" i="33"/>
  <c r="J250" i="33"/>
  <c r="I250" i="33"/>
  <c r="H250" i="33"/>
  <c r="G250" i="33"/>
  <c r="F250" i="33"/>
  <c r="E250" i="33"/>
  <c r="D250" i="33"/>
  <c r="C250" i="33"/>
  <c r="B250" i="33"/>
  <c r="A250" i="33"/>
  <c r="IV249" i="33"/>
  <c r="IU249" i="33"/>
  <c r="IT249" i="33"/>
  <c r="IS249" i="33"/>
  <c r="IR249" i="33"/>
  <c r="IQ249" i="33"/>
  <c r="IP249" i="33"/>
  <c r="IO249" i="33"/>
  <c r="IN249" i="33"/>
  <c r="IM249" i="33"/>
  <c r="IL249" i="33"/>
  <c r="IK249" i="33"/>
  <c r="IJ249" i="33"/>
  <c r="II249" i="33"/>
  <c r="IH249" i="33"/>
  <c r="IG249" i="33"/>
  <c r="IF249" i="33"/>
  <c r="IE249" i="33"/>
  <c r="ID249" i="33"/>
  <c r="IC249" i="33"/>
  <c r="IB249" i="33"/>
  <c r="IA249" i="33"/>
  <c r="HZ249" i="33"/>
  <c r="HY249" i="33"/>
  <c r="HX249" i="33"/>
  <c r="HW249" i="33"/>
  <c r="HV249" i="33"/>
  <c r="HU249" i="33"/>
  <c r="HT249" i="33"/>
  <c r="HS249" i="33"/>
  <c r="HR249" i="33"/>
  <c r="HQ249" i="33"/>
  <c r="HP249" i="33"/>
  <c r="HO249" i="33"/>
  <c r="HN249" i="33"/>
  <c r="HM249" i="33"/>
  <c r="HL249" i="33"/>
  <c r="HK249" i="33"/>
  <c r="HJ249" i="33"/>
  <c r="HI249" i="33"/>
  <c r="HH249" i="33"/>
  <c r="HG249" i="33"/>
  <c r="HF249" i="33"/>
  <c r="HE249" i="33"/>
  <c r="HD249" i="33"/>
  <c r="HC249" i="33"/>
  <c r="HB249" i="33"/>
  <c r="HA249" i="33"/>
  <c r="GZ249" i="33"/>
  <c r="GY249" i="33"/>
  <c r="GX249" i="33"/>
  <c r="GW249" i="33"/>
  <c r="GV249" i="33"/>
  <c r="GU249" i="33"/>
  <c r="GT249" i="33"/>
  <c r="GS249" i="33"/>
  <c r="GR249" i="33"/>
  <c r="GQ249" i="33"/>
  <c r="GP249" i="33"/>
  <c r="GO249" i="33"/>
  <c r="GN249" i="33"/>
  <c r="GM249" i="33"/>
  <c r="GL249" i="33"/>
  <c r="GK249" i="33"/>
  <c r="GJ249" i="33"/>
  <c r="GI249" i="33"/>
  <c r="GH249" i="33"/>
  <c r="GG249" i="33"/>
  <c r="GF249" i="33"/>
  <c r="GE249" i="33"/>
  <c r="GD249" i="33"/>
  <c r="GC249" i="33"/>
  <c r="GB249" i="33"/>
  <c r="GA249" i="33"/>
  <c r="FZ249" i="33"/>
  <c r="FY249" i="33"/>
  <c r="FX249" i="33"/>
  <c r="FW249" i="33"/>
  <c r="FV249" i="33"/>
  <c r="FU249" i="33"/>
  <c r="FT249" i="33"/>
  <c r="FS249" i="33"/>
  <c r="FR249" i="33"/>
  <c r="FQ249" i="33"/>
  <c r="FP249" i="33"/>
  <c r="FO249" i="33"/>
  <c r="FN249" i="33"/>
  <c r="FM249" i="33"/>
  <c r="FL249" i="33"/>
  <c r="FK249" i="33"/>
  <c r="FJ249" i="33"/>
  <c r="FI249" i="33"/>
  <c r="FH249" i="33"/>
  <c r="FG249" i="33"/>
  <c r="FF249" i="33"/>
  <c r="FE249" i="33"/>
  <c r="FD249" i="33"/>
  <c r="FC249" i="33"/>
  <c r="FB249" i="33"/>
  <c r="FA249" i="33"/>
  <c r="EZ249" i="33"/>
  <c r="EY249" i="33"/>
  <c r="EX249" i="33"/>
  <c r="EW249" i="33"/>
  <c r="EV249" i="33"/>
  <c r="EU249" i="33"/>
  <c r="ET249" i="33"/>
  <c r="ES249" i="33"/>
  <c r="ER249" i="33"/>
  <c r="EQ249" i="33"/>
  <c r="EP249" i="33"/>
  <c r="EO249" i="33"/>
  <c r="EN249" i="33"/>
  <c r="EM249" i="33"/>
  <c r="EL249" i="33"/>
  <c r="EK249" i="33"/>
  <c r="EJ249" i="33"/>
  <c r="EI249" i="33"/>
  <c r="EH249" i="33"/>
  <c r="EG249" i="33"/>
  <c r="EF249" i="33"/>
  <c r="EE249" i="33"/>
  <c r="ED249" i="33"/>
  <c r="EC249" i="33"/>
  <c r="EB249" i="33"/>
  <c r="EA249" i="33"/>
  <c r="DZ249" i="33"/>
  <c r="DY249" i="33"/>
  <c r="DX249" i="33"/>
  <c r="DW249" i="33"/>
  <c r="DV249" i="33"/>
  <c r="DU249" i="33"/>
  <c r="DT249" i="33"/>
  <c r="DS249" i="33"/>
  <c r="DR249" i="33"/>
  <c r="DQ249" i="33"/>
  <c r="DP249" i="33"/>
  <c r="DO249" i="33"/>
  <c r="DN249" i="33"/>
  <c r="DM249" i="33"/>
  <c r="DL249" i="33"/>
  <c r="DK249" i="33"/>
  <c r="DJ249" i="33"/>
  <c r="DI249" i="33"/>
  <c r="DH249" i="33"/>
  <c r="DG249" i="33"/>
  <c r="DF249" i="33"/>
  <c r="DE249" i="33"/>
  <c r="DD249" i="33"/>
  <c r="DC249" i="33"/>
  <c r="DB249" i="33"/>
  <c r="DA249" i="33"/>
  <c r="CZ249" i="33"/>
  <c r="CY249" i="33"/>
  <c r="CX249" i="33"/>
  <c r="CW249" i="33"/>
  <c r="CV249" i="33"/>
  <c r="CU249" i="33"/>
  <c r="CT249" i="33"/>
  <c r="CS249" i="33"/>
  <c r="CR249" i="33"/>
  <c r="CQ249" i="33"/>
  <c r="CP249" i="33"/>
  <c r="CO249" i="33"/>
  <c r="CN249" i="33"/>
  <c r="CM249" i="33"/>
  <c r="CL249" i="33"/>
  <c r="CK249" i="33"/>
  <c r="CJ249" i="33"/>
  <c r="CI249" i="33"/>
  <c r="CH249" i="33"/>
  <c r="CG249" i="33"/>
  <c r="CF249" i="33"/>
  <c r="CE249" i="33"/>
  <c r="CD249" i="33"/>
  <c r="CC249" i="33"/>
  <c r="CB249" i="33"/>
  <c r="CA249" i="33"/>
  <c r="BZ249" i="33"/>
  <c r="BY249" i="33"/>
  <c r="BX249" i="33"/>
  <c r="BW249" i="33"/>
  <c r="BV249" i="33"/>
  <c r="BU249" i="33"/>
  <c r="BT249" i="33"/>
  <c r="BS249" i="33"/>
  <c r="BR249" i="33"/>
  <c r="BQ249" i="33"/>
  <c r="BP249" i="33"/>
  <c r="BO249" i="33"/>
  <c r="BN249" i="33"/>
  <c r="BM249" i="33"/>
  <c r="BL249" i="33"/>
  <c r="BK249" i="33"/>
  <c r="BJ249" i="33"/>
  <c r="BI249" i="33"/>
  <c r="BH249" i="33"/>
  <c r="BG249" i="33"/>
  <c r="BF249" i="33"/>
  <c r="BE249" i="33"/>
  <c r="BD249" i="33"/>
  <c r="BC249" i="33"/>
  <c r="BB249" i="33"/>
  <c r="BA249" i="33"/>
  <c r="AZ249" i="33"/>
  <c r="AY249" i="33"/>
  <c r="AX249" i="33"/>
  <c r="AW249" i="33"/>
  <c r="AV249" i="33"/>
  <c r="AU249" i="33"/>
  <c r="AT249" i="33"/>
  <c r="AS249" i="33"/>
  <c r="AR249" i="33"/>
  <c r="AQ249" i="33"/>
  <c r="AP249" i="33"/>
  <c r="AO249" i="33"/>
  <c r="AN249" i="33"/>
  <c r="AM249" i="33"/>
  <c r="AL249" i="33"/>
  <c r="AK249" i="33"/>
  <c r="AJ249" i="33"/>
  <c r="AI249" i="33"/>
  <c r="AH249" i="33"/>
  <c r="AG249" i="33"/>
  <c r="AF249" i="33"/>
  <c r="AE249" i="33"/>
  <c r="AD249" i="33"/>
  <c r="AC249" i="33"/>
  <c r="AB249" i="33"/>
  <c r="AA249" i="33"/>
  <c r="Z249" i="33"/>
  <c r="Y249" i="33"/>
  <c r="X249" i="33"/>
  <c r="W249" i="33"/>
  <c r="V249" i="33"/>
  <c r="U249" i="33"/>
  <c r="T249" i="33"/>
  <c r="S249" i="33"/>
  <c r="R249" i="33"/>
  <c r="Q249" i="33"/>
  <c r="P249" i="33"/>
  <c r="O249" i="33"/>
  <c r="N249" i="33"/>
  <c r="M249" i="33"/>
  <c r="L249" i="33"/>
  <c r="K249" i="33"/>
  <c r="J249" i="33"/>
  <c r="I249" i="33"/>
  <c r="H249" i="33"/>
  <c r="G249" i="33"/>
  <c r="F249" i="33"/>
  <c r="E249" i="33"/>
  <c r="D249" i="33"/>
  <c r="C249" i="33"/>
  <c r="B249" i="33"/>
  <c r="A249" i="33"/>
  <c r="IV248" i="33"/>
  <c r="IU248" i="33"/>
  <c r="IT248" i="33"/>
  <c r="IS248" i="33"/>
  <c r="IR248" i="33"/>
  <c r="IQ248" i="33"/>
  <c r="IP248" i="33"/>
  <c r="IO248" i="33"/>
  <c r="IN248" i="33"/>
  <c r="IM248" i="33"/>
  <c r="IL248" i="33"/>
  <c r="IK248" i="33"/>
  <c r="IJ248" i="33"/>
  <c r="II248" i="33"/>
  <c r="IH248" i="33"/>
  <c r="IG248" i="33"/>
  <c r="IF248" i="33"/>
  <c r="IE248" i="33"/>
  <c r="ID248" i="33"/>
  <c r="IC248" i="33"/>
  <c r="IB248" i="33"/>
  <c r="IA248" i="33"/>
  <c r="HZ248" i="33"/>
  <c r="HY248" i="33"/>
  <c r="HX248" i="33"/>
  <c r="HW248" i="33"/>
  <c r="HV248" i="33"/>
  <c r="HU248" i="33"/>
  <c r="HT248" i="33"/>
  <c r="HS248" i="33"/>
  <c r="HR248" i="33"/>
  <c r="HQ248" i="33"/>
  <c r="HP248" i="33"/>
  <c r="HO248" i="33"/>
  <c r="HN248" i="33"/>
  <c r="HM248" i="33"/>
  <c r="HL248" i="33"/>
  <c r="HK248" i="33"/>
  <c r="HJ248" i="33"/>
  <c r="HI248" i="33"/>
  <c r="HH248" i="33"/>
  <c r="HG248" i="33"/>
  <c r="HF248" i="33"/>
  <c r="HE248" i="33"/>
  <c r="HD248" i="33"/>
  <c r="HC248" i="33"/>
  <c r="HB248" i="33"/>
  <c r="HA248" i="33"/>
  <c r="GZ248" i="33"/>
  <c r="GY248" i="33"/>
  <c r="GX248" i="33"/>
  <c r="GW248" i="33"/>
  <c r="GV248" i="33"/>
  <c r="GU248" i="33"/>
  <c r="GT248" i="33"/>
  <c r="GS248" i="33"/>
  <c r="GR248" i="33"/>
  <c r="GQ248" i="33"/>
  <c r="GP248" i="33"/>
  <c r="GO248" i="33"/>
  <c r="GN248" i="33"/>
  <c r="GM248" i="33"/>
  <c r="GL248" i="33"/>
  <c r="GK248" i="33"/>
  <c r="GJ248" i="33"/>
  <c r="GI248" i="33"/>
  <c r="GH248" i="33"/>
  <c r="GG248" i="33"/>
  <c r="GF248" i="33"/>
  <c r="GE248" i="33"/>
  <c r="GD248" i="33"/>
  <c r="GC248" i="33"/>
  <c r="GB248" i="33"/>
  <c r="GA248" i="33"/>
  <c r="FZ248" i="33"/>
  <c r="FY248" i="33"/>
  <c r="FX248" i="33"/>
  <c r="FW248" i="33"/>
  <c r="FV248" i="33"/>
  <c r="FU248" i="33"/>
  <c r="FT248" i="33"/>
  <c r="FS248" i="33"/>
  <c r="FR248" i="33"/>
  <c r="FQ248" i="33"/>
  <c r="FP248" i="33"/>
  <c r="FO248" i="33"/>
  <c r="FN248" i="33"/>
  <c r="FM248" i="33"/>
  <c r="FL248" i="33"/>
  <c r="FK248" i="33"/>
  <c r="FJ248" i="33"/>
  <c r="FI248" i="33"/>
  <c r="FH248" i="33"/>
  <c r="FG248" i="33"/>
  <c r="FF248" i="33"/>
  <c r="FE248" i="33"/>
  <c r="FD248" i="33"/>
  <c r="FC248" i="33"/>
  <c r="FB248" i="33"/>
  <c r="FA248" i="33"/>
  <c r="EZ248" i="33"/>
  <c r="EY248" i="33"/>
  <c r="EX248" i="33"/>
  <c r="EW248" i="33"/>
  <c r="EV248" i="33"/>
  <c r="EU248" i="33"/>
  <c r="ET248" i="33"/>
  <c r="ES248" i="33"/>
  <c r="ER248" i="33"/>
  <c r="EQ248" i="33"/>
  <c r="EP248" i="33"/>
  <c r="EO248" i="33"/>
  <c r="EN248" i="33"/>
  <c r="EM248" i="33"/>
  <c r="EL248" i="33"/>
  <c r="EK248" i="33"/>
  <c r="EJ248" i="33"/>
  <c r="EI248" i="33"/>
  <c r="EH248" i="33"/>
  <c r="EG248" i="33"/>
  <c r="EF248" i="33"/>
  <c r="EE248" i="33"/>
  <c r="ED248" i="33"/>
  <c r="EC248" i="33"/>
  <c r="EB248" i="33"/>
  <c r="EA248" i="33"/>
  <c r="DZ248" i="33"/>
  <c r="DY248" i="33"/>
  <c r="DX248" i="33"/>
  <c r="DW248" i="33"/>
  <c r="DV248" i="33"/>
  <c r="DU248" i="33"/>
  <c r="DT248" i="33"/>
  <c r="DS248" i="33"/>
  <c r="DR248" i="33"/>
  <c r="DQ248" i="33"/>
  <c r="DP248" i="33"/>
  <c r="DO248" i="33"/>
  <c r="DN248" i="33"/>
  <c r="DM248" i="33"/>
  <c r="DL248" i="33"/>
  <c r="DK248" i="33"/>
  <c r="DJ248" i="33"/>
  <c r="DI248" i="33"/>
  <c r="DH248" i="33"/>
  <c r="DG248" i="33"/>
  <c r="DF248" i="33"/>
  <c r="DE248" i="33"/>
  <c r="DD248" i="33"/>
  <c r="DC248" i="33"/>
  <c r="DB248" i="33"/>
  <c r="DA248" i="33"/>
  <c r="CZ248" i="33"/>
  <c r="CY248" i="33"/>
  <c r="CX248" i="33"/>
  <c r="CW248" i="33"/>
  <c r="CV248" i="33"/>
  <c r="CU248" i="33"/>
  <c r="CT248" i="33"/>
  <c r="CS248" i="33"/>
  <c r="CR248" i="33"/>
  <c r="CQ248" i="33"/>
  <c r="CP248" i="33"/>
  <c r="CO248" i="33"/>
  <c r="CN248" i="33"/>
  <c r="CM248" i="33"/>
  <c r="CL248" i="33"/>
  <c r="CK248" i="33"/>
  <c r="CJ248" i="33"/>
  <c r="CI248" i="33"/>
  <c r="CH248" i="33"/>
  <c r="CG248" i="33"/>
  <c r="CF248" i="33"/>
  <c r="CE248" i="33"/>
  <c r="CD248" i="33"/>
  <c r="CC248" i="33"/>
  <c r="CB248" i="33"/>
  <c r="CA248" i="33"/>
  <c r="BZ248" i="33"/>
  <c r="BY248" i="33"/>
  <c r="BX248" i="33"/>
  <c r="BW248" i="33"/>
  <c r="BV248" i="33"/>
  <c r="BU248" i="33"/>
  <c r="BT248" i="33"/>
  <c r="BS248" i="33"/>
  <c r="BR248" i="33"/>
  <c r="BQ248" i="33"/>
  <c r="BP248" i="33"/>
  <c r="BO248" i="33"/>
  <c r="BN248" i="33"/>
  <c r="BM248" i="33"/>
  <c r="BL248" i="33"/>
  <c r="BK248" i="33"/>
  <c r="BJ248" i="33"/>
  <c r="BI248" i="33"/>
  <c r="BH248" i="33"/>
  <c r="BG248" i="33"/>
  <c r="BF248" i="33"/>
  <c r="BE248" i="33"/>
  <c r="BD248" i="33"/>
  <c r="BC248" i="33"/>
  <c r="BB248" i="33"/>
  <c r="BA248" i="33"/>
  <c r="AZ248" i="33"/>
  <c r="AY248" i="33"/>
  <c r="AX248" i="33"/>
  <c r="AW248" i="33"/>
  <c r="AV248" i="33"/>
  <c r="AU248" i="33"/>
  <c r="AT248" i="33"/>
  <c r="AS248" i="33"/>
  <c r="AR248" i="33"/>
  <c r="AQ248" i="33"/>
  <c r="AP248" i="33"/>
  <c r="AO248" i="33"/>
  <c r="AN248" i="33"/>
  <c r="AM248" i="33"/>
  <c r="AL248" i="33"/>
  <c r="AK248" i="33"/>
  <c r="AJ248" i="33"/>
  <c r="AI248" i="33"/>
  <c r="AH248" i="33"/>
  <c r="AG248" i="33"/>
  <c r="AF248" i="33"/>
  <c r="AE248" i="33"/>
  <c r="AD248" i="33"/>
  <c r="AC248" i="33"/>
  <c r="AB248" i="33"/>
  <c r="AA248" i="33"/>
  <c r="Z248" i="33"/>
  <c r="Y248" i="33"/>
  <c r="X248" i="33"/>
  <c r="W248" i="33"/>
  <c r="V248" i="33"/>
  <c r="U248" i="33"/>
  <c r="T248" i="33"/>
  <c r="S248" i="33"/>
  <c r="R248" i="33"/>
  <c r="Q248" i="33"/>
  <c r="P248" i="33"/>
  <c r="O248" i="33"/>
  <c r="N248" i="33"/>
  <c r="M248" i="33"/>
  <c r="L248" i="33"/>
  <c r="K248" i="33"/>
  <c r="J248" i="33"/>
  <c r="I248" i="33"/>
  <c r="H248" i="33"/>
  <c r="G248" i="33"/>
  <c r="F248" i="33"/>
  <c r="E248" i="33"/>
  <c r="D248" i="33"/>
  <c r="C248" i="33"/>
  <c r="B248" i="33"/>
  <c r="A248" i="33"/>
  <c r="IV247" i="33"/>
  <c r="IU247" i="33"/>
  <c r="IT247" i="33"/>
  <c r="IS247" i="33"/>
  <c r="IR247" i="33"/>
  <c r="IQ247" i="33"/>
  <c r="IP247" i="33"/>
  <c r="IO247" i="33"/>
  <c r="IN247" i="33"/>
  <c r="IM247" i="33"/>
  <c r="IL247" i="33"/>
  <c r="IK247" i="33"/>
  <c r="IJ247" i="33"/>
  <c r="II247" i="33"/>
  <c r="IH247" i="33"/>
  <c r="IG247" i="33"/>
  <c r="IF247" i="33"/>
  <c r="IE247" i="33"/>
  <c r="ID247" i="33"/>
  <c r="IC247" i="33"/>
  <c r="IB247" i="33"/>
  <c r="IA247" i="33"/>
  <c r="HZ247" i="33"/>
  <c r="HY247" i="33"/>
  <c r="HX247" i="33"/>
  <c r="HW247" i="33"/>
  <c r="HV247" i="33"/>
  <c r="HU247" i="33"/>
  <c r="HT247" i="33"/>
  <c r="HS247" i="33"/>
  <c r="HR247" i="33"/>
  <c r="HQ247" i="33"/>
  <c r="HP247" i="33"/>
  <c r="HO247" i="33"/>
  <c r="HN247" i="33"/>
  <c r="HM247" i="33"/>
  <c r="HL247" i="33"/>
  <c r="HK247" i="33"/>
  <c r="HJ247" i="33"/>
  <c r="HI247" i="33"/>
  <c r="HH247" i="33"/>
  <c r="HG247" i="33"/>
  <c r="HF247" i="33"/>
  <c r="HE247" i="33"/>
  <c r="HD247" i="33"/>
  <c r="HC247" i="33"/>
  <c r="HB247" i="33"/>
  <c r="HA247" i="33"/>
  <c r="GZ247" i="33"/>
  <c r="GY247" i="33"/>
  <c r="GX247" i="33"/>
  <c r="GW247" i="33"/>
  <c r="GV247" i="33"/>
  <c r="GU247" i="33"/>
  <c r="GT247" i="33"/>
  <c r="GS247" i="33"/>
  <c r="GR247" i="33"/>
  <c r="GQ247" i="33"/>
  <c r="GP247" i="33"/>
  <c r="GO247" i="33"/>
  <c r="GN247" i="33"/>
  <c r="GM247" i="33"/>
  <c r="GL247" i="33"/>
  <c r="GK247" i="33"/>
  <c r="GJ247" i="33"/>
  <c r="GI247" i="33"/>
  <c r="GH247" i="33"/>
  <c r="GG247" i="33"/>
  <c r="GF247" i="33"/>
  <c r="GE247" i="33"/>
  <c r="GD247" i="33"/>
  <c r="GC247" i="33"/>
  <c r="GB247" i="33"/>
  <c r="GA247" i="33"/>
  <c r="FZ247" i="33"/>
  <c r="FY247" i="33"/>
  <c r="FX247" i="33"/>
  <c r="FW247" i="33"/>
  <c r="FV247" i="33"/>
  <c r="FU247" i="33"/>
  <c r="FT247" i="33"/>
  <c r="FS247" i="33"/>
  <c r="FR247" i="33"/>
  <c r="FQ247" i="33"/>
  <c r="FP247" i="33"/>
  <c r="FO247" i="33"/>
  <c r="FN247" i="33"/>
  <c r="FM247" i="33"/>
  <c r="FL247" i="33"/>
  <c r="FK247" i="33"/>
  <c r="FJ247" i="33"/>
  <c r="FI247" i="33"/>
  <c r="FH247" i="33"/>
  <c r="FG247" i="33"/>
  <c r="FF247" i="33"/>
  <c r="FE247" i="33"/>
  <c r="FD247" i="33"/>
  <c r="FC247" i="33"/>
  <c r="FB247" i="33"/>
  <c r="FA247" i="33"/>
  <c r="EZ247" i="33"/>
  <c r="EY247" i="33"/>
  <c r="EX247" i="33"/>
  <c r="EW247" i="33"/>
  <c r="EV247" i="33"/>
  <c r="EU247" i="33"/>
  <c r="ET247" i="33"/>
  <c r="ES247" i="33"/>
  <c r="ER247" i="33"/>
  <c r="EQ247" i="33"/>
  <c r="EP247" i="33"/>
  <c r="EO247" i="33"/>
  <c r="EN247" i="33"/>
  <c r="EM247" i="33"/>
  <c r="EL247" i="33"/>
  <c r="EK247" i="33"/>
  <c r="EJ247" i="33"/>
  <c r="EI247" i="33"/>
  <c r="EH247" i="33"/>
  <c r="EG247" i="33"/>
  <c r="EF247" i="33"/>
  <c r="EE247" i="33"/>
  <c r="ED247" i="33"/>
  <c r="EC247" i="33"/>
  <c r="EB247" i="33"/>
  <c r="EA247" i="33"/>
  <c r="DZ247" i="33"/>
  <c r="DY247" i="33"/>
  <c r="DX247" i="33"/>
  <c r="DW247" i="33"/>
  <c r="DV247" i="33"/>
  <c r="DU247" i="33"/>
  <c r="DT247" i="33"/>
  <c r="DS247" i="33"/>
  <c r="DR247" i="33"/>
  <c r="DQ247" i="33"/>
  <c r="DP247" i="33"/>
  <c r="DO247" i="33"/>
  <c r="DN247" i="33"/>
  <c r="DM247" i="33"/>
  <c r="DL247" i="33"/>
  <c r="DK247" i="33"/>
  <c r="DJ247" i="33"/>
  <c r="DI247" i="33"/>
  <c r="DH247" i="33"/>
  <c r="DG247" i="33"/>
  <c r="DF247" i="33"/>
  <c r="DE247" i="33"/>
  <c r="DD247" i="33"/>
  <c r="DC247" i="33"/>
  <c r="DB247" i="33"/>
  <c r="DA247" i="33"/>
  <c r="CZ247" i="33"/>
  <c r="CY247" i="33"/>
  <c r="CX247" i="33"/>
  <c r="CW247" i="33"/>
  <c r="CV247" i="33"/>
  <c r="CU247" i="33"/>
  <c r="CT247" i="33"/>
  <c r="CS247" i="33"/>
  <c r="CR247" i="33"/>
  <c r="CQ247" i="33"/>
  <c r="CP247" i="33"/>
  <c r="CO247" i="33"/>
  <c r="CN247" i="33"/>
  <c r="CM247" i="33"/>
  <c r="CL247" i="33"/>
  <c r="CK247" i="33"/>
  <c r="CJ247" i="33"/>
  <c r="CI247" i="33"/>
  <c r="CH247" i="33"/>
  <c r="CG247" i="33"/>
  <c r="CF247" i="33"/>
  <c r="CE247" i="33"/>
  <c r="CD247" i="33"/>
  <c r="CC247" i="33"/>
  <c r="CB247" i="33"/>
  <c r="CA247" i="33"/>
  <c r="BZ247" i="33"/>
  <c r="BY247" i="33"/>
  <c r="BX247" i="33"/>
  <c r="BW247" i="33"/>
  <c r="BV247" i="33"/>
  <c r="BU247" i="33"/>
  <c r="BT247" i="33"/>
  <c r="BS247" i="33"/>
  <c r="BR247" i="33"/>
  <c r="BQ247" i="33"/>
  <c r="BP247" i="33"/>
  <c r="BO247" i="33"/>
  <c r="BN247" i="33"/>
  <c r="BM247" i="33"/>
  <c r="BL247" i="33"/>
  <c r="BK247" i="33"/>
  <c r="BJ247" i="33"/>
  <c r="BI247" i="33"/>
  <c r="BH247" i="33"/>
  <c r="BG247" i="33"/>
  <c r="BF247" i="33"/>
  <c r="BE247" i="33"/>
  <c r="BD247" i="33"/>
  <c r="BC247" i="33"/>
  <c r="BB247" i="33"/>
  <c r="BA247" i="33"/>
  <c r="AZ247" i="33"/>
  <c r="AY247" i="33"/>
  <c r="AX247" i="33"/>
  <c r="AW247" i="33"/>
  <c r="AV247" i="33"/>
  <c r="AU247" i="33"/>
  <c r="AT247" i="33"/>
  <c r="AS247" i="33"/>
  <c r="AR247" i="33"/>
  <c r="AQ247" i="33"/>
  <c r="AP247" i="33"/>
  <c r="AO247" i="33"/>
  <c r="AN247" i="33"/>
  <c r="AM247" i="33"/>
  <c r="AL247" i="33"/>
  <c r="AK247" i="33"/>
  <c r="AJ247" i="33"/>
  <c r="AI247" i="33"/>
  <c r="AH247" i="33"/>
  <c r="AG247" i="33"/>
  <c r="AF247" i="33"/>
  <c r="AE247" i="33"/>
  <c r="AD247" i="33"/>
  <c r="AC247" i="33"/>
  <c r="AB247" i="33"/>
  <c r="AA247" i="33"/>
  <c r="Z247" i="33"/>
  <c r="Y247" i="33"/>
  <c r="X247" i="33"/>
  <c r="W247" i="33"/>
  <c r="V247" i="33"/>
  <c r="U247" i="33"/>
  <c r="T247" i="33"/>
  <c r="S247" i="33"/>
  <c r="R247" i="33"/>
  <c r="Q247" i="33"/>
  <c r="P247" i="33"/>
  <c r="O247" i="33"/>
  <c r="N247" i="33"/>
  <c r="M247" i="33"/>
  <c r="L247" i="33"/>
  <c r="K247" i="33"/>
  <c r="J247" i="33"/>
  <c r="I247" i="33"/>
  <c r="H247" i="33"/>
  <c r="G247" i="33"/>
  <c r="F247" i="33"/>
  <c r="E247" i="33"/>
  <c r="D247" i="33"/>
  <c r="C247" i="33"/>
  <c r="B247" i="33"/>
  <c r="A247" i="33"/>
  <c r="IV246" i="33"/>
  <c r="IU246" i="33"/>
  <c r="IT246" i="33"/>
  <c r="IS246" i="33"/>
  <c r="IR246" i="33"/>
  <c r="IQ246" i="33"/>
  <c r="IP246" i="33"/>
  <c r="IO246" i="33"/>
  <c r="IN246" i="33"/>
  <c r="IM246" i="33"/>
  <c r="IL246" i="33"/>
  <c r="IK246" i="33"/>
  <c r="IJ246" i="33"/>
  <c r="II246" i="33"/>
  <c r="IH246" i="33"/>
  <c r="IG246" i="33"/>
  <c r="IF246" i="33"/>
  <c r="IE246" i="33"/>
  <c r="ID246" i="33"/>
  <c r="IC246" i="33"/>
  <c r="IB246" i="33"/>
  <c r="IA246" i="33"/>
  <c r="HZ246" i="33"/>
  <c r="HY246" i="33"/>
  <c r="HX246" i="33"/>
  <c r="HW246" i="33"/>
  <c r="HV246" i="33"/>
  <c r="HU246" i="33"/>
  <c r="HT246" i="33"/>
  <c r="HS246" i="33"/>
  <c r="HR246" i="33"/>
  <c r="HQ246" i="33"/>
  <c r="HP246" i="33"/>
  <c r="HO246" i="33"/>
  <c r="HN246" i="33"/>
  <c r="HM246" i="33"/>
  <c r="HL246" i="33"/>
  <c r="HK246" i="33"/>
  <c r="HJ246" i="33"/>
  <c r="HI246" i="33"/>
  <c r="HH246" i="33"/>
  <c r="HG246" i="33"/>
  <c r="HF246" i="33"/>
  <c r="HE246" i="33"/>
  <c r="HD246" i="33"/>
  <c r="HC246" i="33"/>
  <c r="HB246" i="33"/>
  <c r="HA246" i="33"/>
  <c r="GZ246" i="33"/>
  <c r="GY246" i="33"/>
  <c r="GX246" i="33"/>
  <c r="GW246" i="33"/>
  <c r="GV246" i="33"/>
  <c r="GU246" i="33"/>
  <c r="GT246" i="33"/>
  <c r="GS246" i="33"/>
  <c r="GR246" i="33"/>
  <c r="GQ246" i="33"/>
  <c r="GP246" i="33"/>
  <c r="GO246" i="33"/>
  <c r="GN246" i="33"/>
  <c r="GM246" i="33"/>
  <c r="GL246" i="33"/>
  <c r="GK246" i="33"/>
  <c r="GJ246" i="33"/>
  <c r="GI246" i="33"/>
  <c r="GH246" i="33"/>
  <c r="GG246" i="33"/>
  <c r="GF246" i="33"/>
  <c r="GE246" i="33"/>
  <c r="GD246" i="33"/>
  <c r="GC246" i="33"/>
  <c r="GB246" i="33"/>
  <c r="GA246" i="33"/>
  <c r="FZ246" i="33"/>
  <c r="FY246" i="33"/>
  <c r="FX246" i="33"/>
  <c r="FW246" i="33"/>
  <c r="FV246" i="33"/>
  <c r="FU246" i="33"/>
  <c r="FT246" i="33"/>
  <c r="FS246" i="33"/>
  <c r="FR246" i="33"/>
  <c r="FQ246" i="33"/>
  <c r="FP246" i="33"/>
  <c r="FO246" i="33"/>
  <c r="FN246" i="33"/>
  <c r="FM246" i="33"/>
  <c r="FL246" i="33"/>
  <c r="FK246" i="33"/>
  <c r="FJ246" i="33"/>
  <c r="FI246" i="33"/>
  <c r="FH246" i="33"/>
  <c r="FG246" i="33"/>
  <c r="FF246" i="33"/>
  <c r="FE246" i="33"/>
  <c r="FD246" i="33"/>
  <c r="FC246" i="33"/>
  <c r="FB246" i="33"/>
  <c r="FA246" i="33"/>
  <c r="EZ246" i="33"/>
  <c r="EY246" i="33"/>
  <c r="EX246" i="33"/>
  <c r="EW246" i="33"/>
  <c r="EV246" i="33"/>
  <c r="EU246" i="33"/>
  <c r="ET246" i="33"/>
  <c r="ES246" i="33"/>
  <c r="ER246" i="33"/>
  <c r="EQ246" i="33"/>
  <c r="EP246" i="33"/>
  <c r="EO246" i="33"/>
  <c r="EN246" i="33"/>
  <c r="EM246" i="33"/>
  <c r="EL246" i="33"/>
  <c r="EK246" i="33"/>
  <c r="EJ246" i="33"/>
  <c r="EI246" i="33"/>
  <c r="EH246" i="33"/>
  <c r="EG246" i="33"/>
  <c r="EF246" i="33"/>
  <c r="EE246" i="33"/>
  <c r="ED246" i="33"/>
  <c r="EC246" i="33"/>
  <c r="EB246" i="33"/>
  <c r="EA246" i="33"/>
  <c r="DZ246" i="33"/>
  <c r="DY246" i="33"/>
  <c r="DX246" i="33"/>
  <c r="DW246" i="33"/>
  <c r="DV246" i="33"/>
  <c r="DU246" i="33"/>
  <c r="DT246" i="33"/>
  <c r="DS246" i="33"/>
  <c r="DR246" i="33"/>
  <c r="DQ246" i="33"/>
  <c r="DP246" i="33"/>
  <c r="DO246" i="33"/>
  <c r="DN246" i="33"/>
  <c r="DM246" i="33"/>
  <c r="DL246" i="33"/>
  <c r="DK246" i="33"/>
  <c r="DJ246" i="33"/>
  <c r="DI246" i="33"/>
  <c r="DH246" i="33"/>
  <c r="DG246" i="33"/>
  <c r="DF246" i="33"/>
  <c r="DE246" i="33"/>
  <c r="DD246" i="33"/>
  <c r="DC246" i="33"/>
  <c r="DB246" i="33"/>
  <c r="DA246" i="33"/>
  <c r="CZ246" i="33"/>
  <c r="CY246" i="33"/>
  <c r="CX246" i="33"/>
  <c r="CW246" i="33"/>
  <c r="CV246" i="33"/>
  <c r="CU246" i="33"/>
  <c r="CT246" i="33"/>
  <c r="CS246" i="33"/>
  <c r="CR246" i="33"/>
  <c r="CQ246" i="33"/>
  <c r="CP246" i="33"/>
  <c r="CO246" i="33"/>
  <c r="CN246" i="33"/>
  <c r="CM246" i="33"/>
  <c r="CL246" i="33"/>
  <c r="CK246" i="33"/>
  <c r="CJ246" i="33"/>
  <c r="CI246" i="33"/>
  <c r="CH246" i="33"/>
  <c r="CG246" i="33"/>
  <c r="CF246" i="33"/>
  <c r="CE246" i="33"/>
  <c r="CD246" i="33"/>
  <c r="CC246" i="33"/>
  <c r="CB246" i="33"/>
  <c r="CA246" i="33"/>
  <c r="BZ246" i="33"/>
  <c r="BY246" i="33"/>
  <c r="BX246" i="33"/>
  <c r="BW246" i="33"/>
  <c r="BV246" i="33"/>
  <c r="BU246" i="33"/>
  <c r="BT246" i="33"/>
  <c r="BS246" i="33"/>
  <c r="BR246" i="33"/>
  <c r="BQ246" i="33"/>
  <c r="BP246" i="33"/>
  <c r="BO246" i="33"/>
  <c r="BN246" i="33"/>
  <c r="BM246" i="33"/>
  <c r="BL246" i="33"/>
  <c r="BK246" i="33"/>
  <c r="BJ246" i="33"/>
  <c r="BI246" i="33"/>
  <c r="BH246" i="33"/>
  <c r="BG246" i="33"/>
  <c r="BF246" i="33"/>
  <c r="BE246" i="33"/>
  <c r="BD246" i="33"/>
  <c r="BC246" i="33"/>
  <c r="BB246" i="33"/>
  <c r="BA246" i="33"/>
  <c r="AZ246" i="33"/>
  <c r="AY246" i="33"/>
  <c r="AX246" i="33"/>
  <c r="AW246" i="33"/>
  <c r="AV246" i="33"/>
  <c r="AU246" i="33"/>
  <c r="AT246" i="33"/>
  <c r="AS246" i="33"/>
  <c r="AR246" i="33"/>
  <c r="AQ246" i="33"/>
  <c r="AP246" i="33"/>
  <c r="AO246" i="33"/>
  <c r="AN246" i="33"/>
  <c r="AM246" i="33"/>
  <c r="AL246" i="33"/>
  <c r="AK246" i="33"/>
  <c r="AJ246" i="33"/>
  <c r="AI246" i="33"/>
  <c r="AH246" i="33"/>
  <c r="AG246" i="33"/>
  <c r="AF246" i="33"/>
  <c r="AE246" i="33"/>
  <c r="AD246" i="33"/>
  <c r="AC246" i="33"/>
  <c r="AB246" i="33"/>
  <c r="AA246" i="33"/>
  <c r="Z246" i="33"/>
  <c r="Y246" i="33"/>
  <c r="X246" i="33"/>
  <c r="W246" i="33"/>
  <c r="V246" i="33"/>
  <c r="U246" i="33"/>
  <c r="T246" i="33"/>
  <c r="S246" i="33"/>
  <c r="R246" i="33"/>
  <c r="Q246" i="33"/>
  <c r="P246" i="33"/>
  <c r="O246" i="33"/>
  <c r="N246" i="33"/>
  <c r="M246" i="33"/>
  <c r="L246" i="33"/>
  <c r="K246" i="33"/>
  <c r="J246" i="33"/>
  <c r="I246" i="33"/>
  <c r="H246" i="33"/>
  <c r="G246" i="33"/>
  <c r="F246" i="33"/>
  <c r="E246" i="33"/>
  <c r="D246" i="33"/>
  <c r="C246" i="33"/>
  <c r="B246" i="33"/>
  <c r="A246" i="33"/>
  <c r="IV245" i="33"/>
  <c r="IU245" i="33"/>
  <c r="IT245" i="33"/>
  <c r="IS245" i="33"/>
  <c r="IR245" i="33"/>
  <c r="IQ245" i="33"/>
  <c r="IP245" i="33"/>
  <c r="IO245" i="33"/>
  <c r="IN245" i="33"/>
  <c r="IM245" i="33"/>
  <c r="IL245" i="33"/>
  <c r="IK245" i="33"/>
  <c r="IJ245" i="33"/>
  <c r="II245" i="33"/>
  <c r="IH245" i="33"/>
  <c r="IG245" i="33"/>
  <c r="IF245" i="33"/>
  <c r="IE245" i="33"/>
  <c r="ID245" i="33"/>
  <c r="IC245" i="33"/>
  <c r="IB245" i="33"/>
  <c r="IA245" i="33"/>
  <c r="HZ245" i="33"/>
  <c r="HY245" i="33"/>
  <c r="HX245" i="33"/>
  <c r="HW245" i="33"/>
  <c r="HV245" i="33"/>
  <c r="HU245" i="33"/>
  <c r="HT245" i="33"/>
  <c r="HS245" i="33"/>
  <c r="HR245" i="33"/>
  <c r="HQ245" i="33"/>
  <c r="HP245" i="33"/>
  <c r="HO245" i="33"/>
  <c r="HN245" i="33"/>
  <c r="HM245" i="33"/>
  <c r="HL245" i="33"/>
  <c r="HK245" i="33"/>
  <c r="HJ245" i="33"/>
  <c r="HI245" i="33"/>
  <c r="HH245" i="33"/>
  <c r="HG245" i="33"/>
  <c r="HF245" i="33"/>
  <c r="HE245" i="33"/>
  <c r="HD245" i="33"/>
  <c r="HC245" i="33"/>
  <c r="HB245" i="33"/>
  <c r="HA245" i="33"/>
  <c r="GZ245" i="33"/>
  <c r="GY245" i="33"/>
  <c r="GX245" i="33"/>
  <c r="GW245" i="33"/>
  <c r="GV245" i="33"/>
  <c r="GU245" i="33"/>
  <c r="GT245" i="33"/>
  <c r="GS245" i="33"/>
  <c r="GR245" i="33"/>
  <c r="GQ245" i="33"/>
  <c r="GP245" i="33"/>
  <c r="GO245" i="33"/>
  <c r="GN245" i="33"/>
  <c r="GM245" i="33"/>
  <c r="GL245" i="33"/>
  <c r="GK245" i="33"/>
  <c r="GJ245" i="33"/>
  <c r="GI245" i="33"/>
  <c r="GH245" i="33"/>
  <c r="GG245" i="33"/>
  <c r="GF245" i="33"/>
  <c r="GE245" i="33"/>
  <c r="GD245" i="33"/>
  <c r="GC245" i="33"/>
  <c r="GB245" i="33"/>
  <c r="GA245" i="33"/>
  <c r="FZ245" i="33"/>
  <c r="FY245" i="33"/>
  <c r="FX245" i="33"/>
  <c r="FW245" i="33"/>
  <c r="FV245" i="33"/>
  <c r="FU245" i="33"/>
  <c r="FT245" i="33"/>
  <c r="FS245" i="33"/>
  <c r="FR245" i="33"/>
  <c r="FQ245" i="33"/>
  <c r="FP245" i="33"/>
  <c r="FO245" i="33"/>
  <c r="FN245" i="33"/>
  <c r="FM245" i="33"/>
  <c r="FL245" i="33"/>
  <c r="FK245" i="33"/>
  <c r="FJ245" i="33"/>
  <c r="FI245" i="33"/>
  <c r="FH245" i="33"/>
  <c r="FG245" i="33"/>
  <c r="FF245" i="33"/>
  <c r="FE245" i="33"/>
  <c r="FD245" i="33"/>
  <c r="FC245" i="33"/>
  <c r="FB245" i="33"/>
  <c r="FA245" i="33"/>
  <c r="EZ245" i="33"/>
  <c r="EY245" i="33"/>
  <c r="EX245" i="33"/>
  <c r="EW245" i="33"/>
  <c r="EV245" i="33"/>
  <c r="EU245" i="33"/>
  <c r="ET245" i="33"/>
  <c r="ES245" i="33"/>
  <c r="ER245" i="33"/>
  <c r="EQ245" i="33"/>
  <c r="EP245" i="33"/>
  <c r="EO245" i="33"/>
  <c r="EN245" i="33"/>
  <c r="EM245" i="33"/>
  <c r="EL245" i="33"/>
  <c r="EK245" i="33"/>
  <c r="EJ245" i="33"/>
  <c r="EI245" i="33"/>
  <c r="EH245" i="33"/>
  <c r="EG245" i="33"/>
  <c r="EF245" i="33"/>
  <c r="EE245" i="33"/>
  <c r="ED245" i="33"/>
  <c r="EC245" i="33"/>
  <c r="EB245" i="33"/>
  <c r="EA245" i="33"/>
  <c r="DZ245" i="33"/>
  <c r="DY245" i="33"/>
  <c r="DX245" i="33"/>
  <c r="DW245" i="33"/>
  <c r="DV245" i="33"/>
  <c r="DU245" i="33"/>
  <c r="DT245" i="33"/>
  <c r="DS245" i="33"/>
  <c r="DR245" i="33"/>
  <c r="DQ245" i="33"/>
  <c r="DP245" i="33"/>
  <c r="DO245" i="33"/>
  <c r="DN245" i="33"/>
  <c r="DM245" i="33"/>
  <c r="DL245" i="33"/>
  <c r="DK245" i="33"/>
  <c r="DJ245" i="33"/>
  <c r="DI245" i="33"/>
  <c r="DH245" i="33"/>
  <c r="DG245" i="33"/>
  <c r="DF245" i="33"/>
  <c r="DE245" i="33"/>
  <c r="DD245" i="33"/>
  <c r="DC245" i="33"/>
  <c r="DB245" i="33"/>
  <c r="DA245" i="33"/>
  <c r="CZ245" i="33"/>
  <c r="CY245" i="33"/>
  <c r="CX245" i="33"/>
  <c r="CW245" i="33"/>
  <c r="CV245" i="33"/>
  <c r="CU245" i="33"/>
  <c r="CT245" i="33"/>
  <c r="CS245" i="33"/>
  <c r="CR245" i="33"/>
  <c r="CQ245" i="33"/>
  <c r="CP245" i="33"/>
  <c r="CO245" i="33"/>
  <c r="CN245" i="33"/>
  <c r="CM245" i="33"/>
  <c r="CL245" i="33"/>
  <c r="CK245" i="33"/>
  <c r="CJ245" i="33"/>
  <c r="CI245" i="33"/>
  <c r="CH245" i="33"/>
  <c r="CG245" i="33"/>
  <c r="CF245" i="33"/>
  <c r="CE245" i="33"/>
  <c r="CD245" i="33"/>
  <c r="CC245" i="33"/>
  <c r="CB245" i="33"/>
  <c r="CA245" i="33"/>
  <c r="BZ245" i="33"/>
  <c r="BY245" i="33"/>
  <c r="BX245" i="33"/>
  <c r="BW245" i="33"/>
  <c r="BV245" i="33"/>
  <c r="BU245" i="33"/>
  <c r="BT245" i="33"/>
  <c r="BS245" i="33"/>
  <c r="BR245" i="33"/>
  <c r="BQ245" i="33"/>
  <c r="BP245" i="33"/>
  <c r="BO245" i="33"/>
  <c r="BN245" i="33"/>
  <c r="BM245" i="33"/>
  <c r="BL245" i="33"/>
  <c r="BK245" i="33"/>
  <c r="BJ245" i="33"/>
  <c r="BI245" i="33"/>
  <c r="BH245" i="33"/>
  <c r="BG245" i="33"/>
  <c r="BF245" i="33"/>
  <c r="BE245" i="33"/>
  <c r="BD245" i="33"/>
  <c r="BC245" i="33"/>
  <c r="BB245" i="33"/>
  <c r="BA245" i="33"/>
  <c r="AZ245" i="33"/>
  <c r="AY245" i="33"/>
  <c r="AX245" i="33"/>
  <c r="AW245" i="33"/>
  <c r="AV245" i="33"/>
  <c r="AU245" i="33"/>
  <c r="AT245" i="33"/>
  <c r="AS245" i="33"/>
  <c r="AR245" i="33"/>
  <c r="AQ245" i="33"/>
  <c r="AP245" i="33"/>
  <c r="AO245" i="33"/>
  <c r="AN245" i="33"/>
  <c r="AM245" i="33"/>
  <c r="AL245" i="33"/>
  <c r="AK245" i="33"/>
  <c r="AJ245" i="33"/>
  <c r="AI245" i="33"/>
  <c r="AH245" i="33"/>
  <c r="AG245" i="33"/>
  <c r="AF245" i="33"/>
  <c r="AE245" i="33"/>
  <c r="AD245" i="33"/>
  <c r="AC245" i="33"/>
  <c r="AB245" i="33"/>
  <c r="AA245" i="33"/>
  <c r="Z245" i="33"/>
  <c r="Y245" i="33"/>
  <c r="X245" i="33"/>
  <c r="W245" i="33"/>
  <c r="V245" i="33"/>
  <c r="U245" i="33"/>
  <c r="T245" i="33"/>
  <c r="S245" i="33"/>
  <c r="R245" i="33"/>
  <c r="Q245" i="33"/>
  <c r="P245" i="33"/>
  <c r="O245" i="33"/>
  <c r="N245" i="33"/>
  <c r="M245" i="33"/>
  <c r="L245" i="33"/>
  <c r="K245" i="33"/>
  <c r="J245" i="33"/>
  <c r="I245" i="33"/>
  <c r="H245" i="33"/>
  <c r="G245" i="33"/>
  <c r="F245" i="33"/>
  <c r="E245" i="33"/>
  <c r="D245" i="33"/>
  <c r="C245" i="33"/>
  <c r="B245" i="33"/>
  <c r="A245" i="33"/>
  <c r="IV244" i="33"/>
  <c r="IU244" i="33"/>
  <c r="IT244" i="33"/>
  <c r="IS244" i="33"/>
  <c r="IR244" i="33"/>
  <c r="IQ244" i="33"/>
  <c r="IP244" i="33"/>
  <c r="IO244" i="33"/>
  <c r="IN244" i="33"/>
  <c r="IM244" i="33"/>
  <c r="IL244" i="33"/>
  <c r="IK244" i="33"/>
  <c r="IJ244" i="33"/>
  <c r="II244" i="33"/>
  <c r="IH244" i="33"/>
  <c r="IG244" i="33"/>
  <c r="IF244" i="33"/>
  <c r="IE244" i="33"/>
  <c r="ID244" i="33"/>
  <c r="IC244" i="33"/>
  <c r="IB244" i="33"/>
  <c r="IA244" i="33"/>
  <c r="HZ244" i="33"/>
  <c r="HY244" i="33"/>
  <c r="HX244" i="33"/>
  <c r="HW244" i="33"/>
  <c r="HV244" i="33"/>
  <c r="HU244" i="33"/>
  <c r="HT244" i="33"/>
  <c r="HS244" i="33"/>
  <c r="HR244" i="33"/>
  <c r="HQ244" i="33"/>
  <c r="HP244" i="33"/>
  <c r="HO244" i="33"/>
  <c r="HN244" i="33"/>
  <c r="HM244" i="33"/>
  <c r="HL244" i="33"/>
  <c r="HK244" i="33"/>
  <c r="HJ244" i="33"/>
  <c r="HI244" i="33"/>
  <c r="HH244" i="33"/>
  <c r="HG244" i="33"/>
  <c r="HF244" i="33"/>
  <c r="HE244" i="33"/>
  <c r="HD244" i="33"/>
  <c r="HC244" i="33"/>
  <c r="HB244" i="33"/>
  <c r="HA244" i="33"/>
  <c r="GZ244" i="33"/>
  <c r="GY244" i="33"/>
  <c r="GX244" i="33"/>
  <c r="GW244" i="33"/>
  <c r="GV244" i="33"/>
  <c r="GU244" i="33"/>
  <c r="GT244" i="33"/>
  <c r="GS244" i="33"/>
  <c r="GR244" i="33"/>
  <c r="GQ244" i="33"/>
  <c r="GP244" i="33"/>
  <c r="GO244" i="33"/>
  <c r="GN244" i="33"/>
  <c r="GM244" i="33"/>
  <c r="GL244" i="33"/>
  <c r="GK244" i="33"/>
  <c r="GJ244" i="33"/>
  <c r="GI244" i="33"/>
  <c r="GH244" i="33"/>
  <c r="GG244" i="33"/>
  <c r="GF244" i="33"/>
  <c r="GE244" i="33"/>
  <c r="GD244" i="33"/>
  <c r="GC244" i="33"/>
  <c r="GB244" i="33"/>
  <c r="GA244" i="33"/>
  <c r="FZ244" i="33"/>
  <c r="FY244" i="33"/>
  <c r="FX244" i="33"/>
  <c r="FW244" i="33"/>
  <c r="FV244" i="33"/>
  <c r="FU244" i="33"/>
  <c r="FT244" i="33"/>
  <c r="FS244" i="33"/>
  <c r="FR244" i="33"/>
  <c r="FQ244" i="33"/>
  <c r="FP244" i="33"/>
  <c r="FO244" i="33"/>
  <c r="FN244" i="33"/>
  <c r="FM244" i="33"/>
  <c r="FL244" i="33"/>
  <c r="FK244" i="33"/>
  <c r="FJ244" i="33"/>
  <c r="FI244" i="33"/>
  <c r="FH244" i="33"/>
  <c r="FG244" i="33"/>
  <c r="FF244" i="33"/>
  <c r="FE244" i="33"/>
  <c r="FD244" i="33"/>
  <c r="FC244" i="33"/>
  <c r="FB244" i="33"/>
  <c r="FA244" i="33"/>
  <c r="EZ244" i="33"/>
  <c r="EY244" i="33"/>
  <c r="EX244" i="33"/>
  <c r="EW244" i="33"/>
  <c r="EV244" i="33"/>
  <c r="EU244" i="33"/>
  <c r="ET244" i="33"/>
  <c r="ES244" i="33"/>
  <c r="ER244" i="33"/>
  <c r="EQ244" i="33"/>
  <c r="EP244" i="33"/>
  <c r="EO244" i="33"/>
  <c r="EN244" i="33"/>
  <c r="EM244" i="33"/>
  <c r="EL244" i="33"/>
  <c r="EK244" i="33"/>
  <c r="EJ244" i="33"/>
  <c r="EI244" i="33"/>
  <c r="EH244" i="33"/>
  <c r="EG244" i="33"/>
  <c r="EF244" i="33"/>
  <c r="EE244" i="33"/>
  <c r="ED244" i="33"/>
  <c r="EC244" i="33"/>
  <c r="EB244" i="33"/>
  <c r="EA244" i="33"/>
  <c r="DZ244" i="33"/>
  <c r="DY244" i="33"/>
  <c r="DX244" i="33"/>
  <c r="DW244" i="33"/>
  <c r="DV244" i="33"/>
  <c r="DU244" i="33"/>
  <c r="DT244" i="33"/>
  <c r="DS244" i="33"/>
  <c r="DR244" i="33"/>
  <c r="DQ244" i="33"/>
  <c r="DP244" i="33"/>
  <c r="DO244" i="33"/>
  <c r="DN244" i="33"/>
  <c r="DM244" i="33"/>
  <c r="DL244" i="33"/>
  <c r="DK244" i="33"/>
  <c r="DJ244" i="33"/>
  <c r="DI244" i="33"/>
  <c r="DH244" i="33"/>
  <c r="DG244" i="33"/>
  <c r="DF244" i="33"/>
  <c r="DE244" i="33"/>
  <c r="DD244" i="33"/>
  <c r="DC244" i="33"/>
  <c r="DB244" i="33"/>
  <c r="DA244" i="33"/>
  <c r="CZ244" i="33"/>
  <c r="CY244" i="33"/>
  <c r="CX244" i="33"/>
  <c r="CW244" i="33"/>
  <c r="CV244" i="33"/>
  <c r="CU244" i="33"/>
  <c r="CT244" i="33"/>
  <c r="CS244" i="33"/>
  <c r="CR244" i="33"/>
  <c r="CQ244" i="33"/>
  <c r="CP244" i="33"/>
  <c r="CO244" i="33"/>
  <c r="CN244" i="33"/>
  <c r="CM244" i="33"/>
  <c r="CL244" i="33"/>
  <c r="CK244" i="33"/>
  <c r="CJ244" i="33"/>
  <c r="CI244" i="33"/>
  <c r="CH244" i="33"/>
  <c r="CG244" i="33"/>
  <c r="CF244" i="33"/>
  <c r="CE244" i="33"/>
  <c r="CD244" i="33"/>
  <c r="CC244" i="33"/>
  <c r="CB244" i="33"/>
  <c r="CA244" i="33"/>
  <c r="BZ244" i="33"/>
  <c r="BY244" i="33"/>
  <c r="BX244" i="33"/>
  <c r="BW244" i="33"/>
  <c r="BV244" i="33"/>
  <c r="BU244" i="33"/>
  <c r="BT244" i="33"/>
  <c r="BS244" i="33"/>
  <c r="BR244" i="33"/>
  <c r="BQ244" i="33"/>
  <c r="BP244" i="33"/>
  <c r="BO244" i="33"/>
  <c r="BN244" i="33"/>
  <c r="BM244" i="33"/>
  <c r="BL244" i="33"/>
  <c r="BK244" i="33"/>
  <c r="BJ244" i="33"/>
  <c r="BI244" i="33"/>
  <c r="BH244" i="33"/>
  <c r="BG244" i="33"/>
  <c r="BF244" i="33"/>
  <c r="BE244" i="33"/>
  <c r="BD244" i="33"/>
  <c r="BC244" i="33"/>
  <c r="BB244" i="33"/>
  <c r="BA244" i="33"/>
  <c r="AZ244" i="33"/>
  <c r="AY244" i="33"/>
  <c r="AX244" i="33"/>
  <c r="AW244" i="33"/>
  <c r="AV244" i="33"/>
  <c r="AU244" i="33"/>
  <c r="AT244" i="33"/>
  <c r="AS244" i="33"/>
  <c r="AR244" i="33"/>
  <c r="AQ244" i="33"/>
  <c r="AP244" i="33"/>
  <c r="AO244" i="33"/>
  <c r="AN244" i="33"/>
  <c r="AM244" i="33"/>
  <c r="AL244" i="33"/>
  <c r="AK244" i="33"/>
  <c r="AJ244" i="33"/>
  <c r="AI244" i="33"/>
  <c r="AH244" i="33"/>
  <c r="AG244" i="33"/>
  <c r="AF244" i="33"/>
  <c r="AE244" i="33"/>
  <c r="AD244" i="33"/>
  <c r="AC244" i="33"/>
  <c r="AB244" i="33"/>
  <c r="AA244" i="33"/>
  <c r="Z244" i="33"/>
  <c r="Y244" i="33"/>
  <c r="X244" i="33"/>
  <c r="W244" i="33"/>
  <c r="V244" i="33"/>
  <c r="U244" i="33"/>
  <c r="T244" i="33"/>
  <c r="S244" i="33"/>
  <c r="R244" i="33"/>
  <c r="Q244" i="33"/>
  <c r="P244" i="33"/>
  <c r="O244" i="33"/>
  <c r="N244" i="33"/>
  <c r="M244" i="33"/>
  <c r="L244" i="33"/>
  <c r="K244" i="33"/>
  <c r="J244" i="33"/>
  <c r="I244" i="33"/>
  <c r="H244" i="33"/>
  <c r="G244" i="33"/>
  <c r="F244" i="33"/>
  <c r="E244" i="33"/>
  <c r="D244" i="33"/>
  <c r="C244" i="33"/>
  <c r="B244" i="33"/>
  <c r="A244" i="33"/>
  <c r="IV243" i="33"/>
  <c r="IU243" i="33"/>
  <c r="IT243" i="33"/>
  <c r="IS243" i="33"/>
  <c r="IR243" i="33"/>
  <c r="IQ243" i="33"/>
  <c r="IP243" i="33"/>
  <c r="IO243" i="33"/>
  <c r="IN243" i="33"/>
  <c r="IM243" i="33"/>
  <c r="IL243" i="33"/>
  <c r="IK243" i="33"/>
  <c r="IJ243" i="33"/>
  <c r="II243" i="33"/>
  <c r="IH243" i="33"/>
  <c r="IG243" i="33"/>
  <c r="IF243" i="33"/>
  <c r="IE243" i="33"/>
  <c r="ID243" i="33"/>
  <c r="IC243" i="33"/>
  <c r="IB243" i="33"/>
  <c r="IA243" i="33"/>
  <c r="HZ243" i="33"/>
  <c r="HY243" i="33"/>
  <c r="HX243" i="33"/>
  <c r="HW243" i="33"/>
  <c r="HV243" i="33"/>
  <c r="HU243" i="33"/>
  <c r="HT243" i="33"/>
  <c r="HS243" i="33"/>
  <c r="HR243" i="33"/>
  <c r="HQ243" i="33"/>
  <c r="HP243" i="33"/>
  <c r="HO243" i="33"/>
  <c r="HN243" i="33"/>
  <c r="HM243" i="33"/>
  <c r="HL243" i="33"/>
  <c r="HK243" i="33"/>
  <c r="HJ243" i="33"/>
  <c r="HI243" i="33"/>
  <c r="HH243" i="33"/>
  <c r="HG243" i="33"/>
  <c r="HF243" i="33"/>
  <c r="HE243" i="33"/>
  <c r="HD243" i="33"/>
  <c r="HC243" i="33"/>
  <c r="HB243" i="33"/>
  <c r="HA243" i="33"/>
  <c r="GZ243" i="33"/>
  <c r="GY243" i="33"/>
  <c r="GX243" i="33"/>
  <c r="GW243" i="33"/>
  <c r="GV243" i="33"/>
  <c r="GU243" i="33"/>
  <c r="GT243" i="33"/>
  <c r="GS243" i="33"/>
  <c r="GR243" i="33"/>
  <c r="GQ243" i="33"/>
  <c r="GP243" i="33"/>
  <c r="GO243" i="33"/>
  <c r="GN243" i="33"/>
  <c r="GM243" i="33"/>
  <c r="GL243" i="33"/>
  <c r="GK243" i="33"/>
  <c r="GJ243" i="33"/>
  <c r="GI243" i="33"/>
  <c r="GH243" i="33"/>
  <c r="GG243" i="33"/>
  <c r="GF243" i="33"/>
  <c r="GE243" i="33"/>
  <c r="GD243" i="33"/>
  <c r="GC243" i="33"/>
  <c r="GB243" i="33"/>
  <c r="GA243" i="33"/>
  <c r="FZ243" i="33"/>
  <c r="FY243" i="33"/>
  <c r="FX243" i="33"/>
  <c r="FW243" i="33"/>
  <c r="FV243" i="33"/>
  <c r="FU243" i="33"/>
  <c r="FT243" i="33"/>
  <c r="FS243" i="33"/>
  <c r="FR243" i="33"/>
  <c r="FQ243" i="33"/>
  <c r="FP243" i="33"/>
  <c r="FO243" i="33"/>
  <c r="FN243" i="33"/>
  <c r="FM243" i="33"/>
  <c r="FL243" i="33"/>
  <c r="FK243" i="33"/>
  <c r="FJ243" i="33"/>
  <c r="FI243" i="33"/>
  <c r="FH243" i="33"/>
  <c r="FG243" i="33"/>
  <c r="FF243" i="33"/>
  <c r="FE243" i="33"/>
  <c r="FD243" i="33"/>
  <c r="FC243" i="33"/>
  <c r="FB243" i="33"/>
  <c r="FA243" i="33"/>
  <c r="EZ243" i="33"/>
  <c r="EY243" i="33"/>
  <c r="EX243" i="33"/>
  <c r="EW243" i="33"/>
  <c r="EV243" i="33"/>
  <c r="EU243" i="33"/>
  <c r="ET243" i="33"/>
  <c r="ES243" i="33"/>
  <c r="ER243" i="33"/>
  <c r="EQ243" i="33"/>
  <c r="EP243" i="33"/>
  <c r="EO243" i="33"/>
  <c r="EN243" i="33"/>
  <c r="EM243" i="33"/>
  <c r="EL243" i="33"/>
  <c r="EK243" i="33"/>
  <c r="EJ243" i="33"/>
  <c r="EI243" i="33"/>
  <c r="EH243" i="33"/>
  <c r="EG243" i="33"/>
  <c r="EF243" i="33"/>
  <c r="EE243" i="33"/>
  <c r="ED243" i="33"/>
  <c r="EC243" i="33"/>
  <c r="EB243" i="33"/>
  <c r="EA243" i="33"/>
  <c r="DZ243" i="33"/>
  <c r="DY243" i="33"/>
  <c r="DX243" i="33"/>
  <c r="DW243" i="33"/>
  <c r="DV243" i="33"/>
  <c r="DU243" i="33"/>
  <c r="DT243" i="33"/>
  <c r="DS243" i="33"/>
  <c r="DR243" i="33"/>
  <c r="DQ243" i="33"/>
  <c r="DP243" i="33"/>
  <c r="DO243" i="33"/>
  <c r="DN243" i="33"/>
  <c r="DM243" i="33"/>
  <c r="DL243" i="33"/>
  <c r="DK243" i="33"/>
  <c r="DJ243" i="33"/>
  <c r="DI243" i="33"/>
  <c r="DH243" i="33"/>
  <c r="DG243" i="33"/>
  <c r="DF243" i="33"/>
  <c r="DE243" i="33"/>
  <c r="DD243" i="33"/>
  <c r="DC243" i="33"/>
  <c r="DB243" i="33"/>
  <c r="DA243" i="33"/>
  <c r="CZ243" i="33"/>
  <c r="CY243" i="33"/>
  <c r="CX243" i="33"/>
  <c r="CW243" i="33"/>
  <c r="CV243" i="33"/>
  <c r="CU243" i="33"/>
  <c r="CT243" i="33"/>
  <c r="CS243" i="33"/>
  <c r="CR243" i="33"/>
  <c r="CQ243" i="33"/>
  <c r="CP243" i="33"/>
  <c r="CO243" i="33"/>
  <c r="CN243" i="33"/>
  <c r="CM243" i="33"/>
  <c r="CL243" i="33"/>
  <c r="CK243" i="33"/>
  <c r="CJ243" i="33"/>
  <c r="CI243" i="33"/>
  <c r="CH243" i="33"/>
  <c r="CG243" i="33"/>
  <c r="CF243" i="33"/>
  <c r="CE243" i="33"/>
  <c r="CD243" i="33"/>
  <c r="CC243" i="33"/>
  <c r="CB243" i="33"/>
  <c r="CA243" i="33"/>
  <c r="BZ243" i="33"/>
  <c r="BY243" i="33"/>
  <c r="BX243" i="33"/>
  <c r="BW243" i="33"/>
  <c r="BV243" i="33"/>
  <c r="BU243" i="33"/>
  <c r="BT243" i="33"/>
  <c r="BS243" i="33"/>
  <c r="BR243" i="33"/>
  <c r="BQ243" i="33"/>
  <c r="BP243" i="33"/>
  <c r="BO243" i="33"/>
  <c r="BN243" i="33"/>
  <c r="BM243" i="33"/>
  <c r="BL243" i="33"/>
  <c r="BK243" i="33"/>
  <c r="BJ243" i="33"/>
  <c r="BI243" i="33"/>
  <c r="BH243" i="33"/>
  <c r="BG243" i="33"/>
  <c r="BF243" i="33"/>
  <c r="BE243" i="33"/>
  <c r="BD243" i="33"/>
  <c r="BC243" i="33"/>
  <c r="BB243" i="33"/>
  <c r="BA243" i="33"/>
  <c r="AZ243" i="33"/>
  <c r="AY243" i="33"/>
  <c r="AX243" i="33"/>
  <c r="AW243" i="33"/>
  <c r="AV243" i="33"/>
  <c r="AU243" i="33"/>
  <c r="AT243" i="33"/>
  <c r="AS243" i="33"/>
  <c r="AR243" i="33"/>
  <c r="AQ243" i="33"/>
  <c r="AP243" i="33"/>
  <c r="AO243" i="33"/>
  <c r="AN243" i="33"/>
  <c r="AM243" i="33"/>
  <c r="AL243" i="33"/>
  <c r="AK243" i="33"/>
  <c r="AJ243" i="33"/>
  <c r="AI243" i="33"/>
  <c r="AH243" i="33"/>
  <c r="AG243" i="33"/>
  <c r="AF243" i="33"/>
  <c r="AE243" i="33"/>
  <c r="AD243" i="33"/>
  <c r="AC243" i="33"/>
  <c r="AB243" i="33"/>
  <c r="AA243" i="33"/>
  <c r="Z243" i="33"/>
  <c r="Y243" i="33"/>
  <c r="X243" i="33"/>
  <c r="W243" i="33"/>
  <c r="V243" i="33"/>
  <c r="U243" i="33"/>
  <c r="T243" i="33"/>
  <c r="S243" i="33"/>
  <c r="R243" i="33"/>
  <c r="Q243" i="33"/>
  <c r="P243" i="33"/>
  <c r="O243" i="33"/>
  <c r="N243" i="33"/>
  <c r="M243" i="33"/>
  <c r="L243" i="33"/>
  <c r="K243" i="33"/>
  <c r="J243" i="33"/>
  <c r="I243" i="33"/>
  <c r="H243" i="33"/>
  <c r="G243" i="33"/>
  <c r="F243" i="33"/>
  <c r="E243" i="33"/>
  <c r="D243" i="33"/>
  <c r="C243" i="33"/>
  <c r="B243" i="33"/>
  <c r="A243" i="33"/>
  <c r="IV242" i="33"/>
  <c r="IU242" i="33"/>
  <c r="IT242" i="33"/>
  <c r="IS242" i="33"/>
  <c r="IR242" i="33"/>
  <c r="IQ242" i="33"/>
  <c r="IP242" i="33"/>
  <c r="IO242" i="33"/>
  <c r="IN242" i="33"/>
  <c r="IM242" i="33"/>
  <c r="IL242" i="33"/>
  <c r="IK242" i="33"/>
  <c r="IJ242" i="33"/>
  <c r="II242" i="33"/>
  <c r="IH242" i="33"/>
  <c r="IG242" i="33"/>
  <c r="IF242" i="33"/>
  <c r="IE242" i="33"/>
  <c r="ID242" i="33"/>
  <c r="IC242" i="33"/>
  <c r="IB242" i="33"/>
  <c r="IA242" i="33"/>
  <c r="HZ242" i="33"/>
  <c r="HY242" i="33"/>
  <c r="HX242" i="33"/>
  <c r="HW242" i="33"/>
  <c r="HV242" i="33"/>
  <c r="HU242" i="33"/>
  <c r="HT242" i="33"/>
  <c r="HS242" i="33"/>
  <c r="HR242" i="33"/>
  <c r="HQ242" i="33"/>
  <c r="HP242" i="33"/>
  <c r="HO242" i="33"/>
  <c r="HN242" i="33"/>
  <c r="HM242" i="33"/>
  <c r="HL242" i="33"/>
  <c r="HK242" i="33"/>
  <c r="HJ242" i="33"/>
  <c r="HI242" i="33"/>
  <c r="HH242" i="33"/>
  <c r="HG242" i="33"/>
  <c r="HF242" i="33"/>
  <c r="HE242" i="33"/>
  <c r="HD242" i="33"/>
  <c r="HC242" i="33"/>
  <c r="HB242" i="33"/>
  <c r="HA242" i="33"/>
  <c r="GZ242" i="33"/>
  <c r="GY242" i="33"/>
  <c r="GX242" i="33"/>
  <c r="GW242" i="33"/>
  <c r="GV242" i="33"/>
  <c r="GU242" i="33"/>
  <c r="GT242" i="33"/>
  <c r="GS242" i="33"/>
  <c r="GR242" i="33"/>
  <c r="GQ242" i="33"/>
  <c r="GP242" i="33"/>
  <c r="GO242" i="33"/>
  <c r="GN242" i="33"/>
  <c r="GM242" i="33"/>
  <c r="GL242" i="33"/>
  <c r="GK242" i="33"/>
  <c r="GJ242" i="33"/>
  <c r="GI242" i="33"/>
  <c r="GH242" i="33"/>
  <c r="GG242" i="33"/>
  <c r="GF242" i="33"/>
  <c r="GE242" i="33"/>
  <c r="GD242" i="33"/>
  <c r="GC242" i="33"/>
  <c r="GB242" i="33"/>
  <c r="GA242" i="33"/>
  <c r="FZ242" i="33"/>
  <c r="FY242" i="33"/>
  <c r="FX242" i="33"/>
  <c r="FW242" i="33"/>
  <c r="FV242" i="33"/>
  <c r="FU242" i="33"/>
  <c r="FT242" i="33"/>
  <c r="FS242" i="33"/>
  <c r="FR242" i="33"/>
  <c r="FQ242" i="33"/>
  <c r="FP242" i="33"/>
  <c r="FO242" i="33"/>
  <c r="FN242" i="33"/>
  <c r="FM242" i="33"/>
  <c r="FL242" i="33"/>
  <c r="FK242" i="33"/>
  <c r="FJ242" i="33"/>
  <c r="FI242" i="33"/>
  <c r="FH242" i="33"/>
  <c r="FG242" i="33"/>
  <c r="FF242" i="33"/>
  <c r="FE242" i="33"/>
  <c r="FD242" i="33"/>
  <c r="FC242" i="33"/>
  <c r="FB242" i="33"/>
  <c r="FA242" i="33"/>
  <c r="EZ242" i="33"/>
  <c r="EY242" i="33"/>
  <c r="EX242" i="33"/>
  <c r="EW242" i="33"/>
  <c r="EV242" i="33"/>
  <c r="EU242" i="33"/>
  <c r="ET242" i="33"/>
  <c r="ES242" i="33"/>
  <c r="ER242" i="33"/>
  <c r="EQ242" i="33"/>
  <c r="EP242" i="33"/>
  <c r="EO242" i="33"/>
  <c r="EN242" i="33"/>
  <c r="EM242" i="33"/>
  <c r="EL242" i="33"/>
  <c r="EK242" i="33"/>
  <c r="EJ242" i="33"/>
  <c r="EI242" i="33"/>
  <c r="EH242" i="33"/>
  <c r="EG242" i="33"/>
  <c r="EF242" i="33"/>
  <c r="EE242" i="33"/>
  <c r="ED242" i="33"/>
  <c r="EC242" i="33"/>
  <c r="EB242" i="33"/>
  <c r="EA242" i="33"/>
  <c r="DZ242" i="33"/>
  <c r="DY242" i="33"/>
  <c r="DX242" i="33"/>
  <c r="DW242" i="33"/>
  <c r="DV242" i="33"/>
  <c r="DU242" i="33"/>
  <c r="DT242" i="33"/>
  <c r="DS242" i="33"/>
  <c r="DR242" i="33"/>
  <c r="DQ242" i="33"/>
  <c r="DP242" i="33"/>
  <c r="DO242" i="33"/>
  <c r="DN242" i="33"/>
  <c r="DM242" i="33"/>
  <c r="DL242" i="33"/>
  <c r="DK242" i="33"/>
  <c r="DJ242" i="33"/>
  <c r="DI242" i="33"/>
  <c r="DH242" i="33"/>
  <c r="DG242" i="33"/>
  <c r="DF242" i="33"/>
  <c r="DE242" i="33"/>
  <c r="DD242" i="33"/>
  <c r="DC242" i="33"/>
  <c r="DB242" i="33"/>
  <c r="DA242" i="33"/>
  <c r="CZ242" i="33"/>
  <c r="CY242" i="33"/>
  <c r="CX242" i="33"/>
  <c r="CW242" i="33"/>
  <c r="CV242" i="33"/>
  <c r="CU242" i="33"/>
  <c r="CT242" i="33"/>
  <c r="CS242" i="33"/>
  <c r="CR242" i="33"/>
  <c r="CQ242" i="33"/>
  <c r="CP242" i="33"/>
  <c r="CO242" i="33"/>
  <c r="CN242" i="33"/>
  <c r="CM242" i="33"/>
  <c r="CL242" i="33"/>
  <c r="CK242" i="33"/>
  <c r="CJ242" i="33"/>
  <c r="CI242" i="33"/>
  <c r="CH242" i="33"/>
  <c r="CG242" i="33"/>
  <c r="CF242" i="33"/>
  <c r="CE242" i="33"/>
  <c r="CD242" i="33"/>
  <c r="CC242" i="33"/>
  <c r="CB242" i="33"/>
  <c r="CA242" i="33"/>
  <c r="BZ242" i="33"/>
  <c r="BY242" i="33"/>
  <c r="BX242" i="33"/>
  <c r="BW242" i="33"/>
  <c r="BV242" i="33"/>
  <c r="BU242" i="33"/>
  <c r="BT242" i="33"/>
  <c r="BS242" i="33"/>
  <c r="BR242" i="33"/>
  <c r="BQ242" i="33"/>
  <c r="BP242" i="33"/>
  <c r="BO242" i="33"/>
  <c r="BN242" i="33"/>
  <c r="BM242" i="33"/>
  <c r="BL242" i="33"/>
  <c r="BK242" i="33"/>
  <c r="BJ242" i="33"/>
  <c r="BI242" i="33"/>
  <c r="BH242" i="33"/>
  <c r="BG242" i="33"/>
  <c r="BF242" i="33"/>
  <c r="BE242" i="33"/>
  <c r="BD242" i="33"/>
  <c r="BC242" i="33"/>
  <c r="BB242" i="33"/>
  <c r="BA242" i="33"/>
  <c r="AZ242" i="33"/>
  <c r="AY242" i="33"/>
  <c r="AX242" i="33"/>
  <c r="AW242" i="33"/>
  <c r="AV242" i="33"/>
  <c r="AU242" i="33"/>
  <c r="AT242" i="33"/>
  <c r="AS242" i="33"/>
  <c r="AR242" i="33"/>
  <c r="AQ242" i="33"/>
  <c r="AP242" i="33"/>
  <c r="AO242" i="33"/>
  <c r="AN242" i="33"/>
  <c r="AM242" i="33"/>
  <c r="AL242" i="33"/>
  <c r="AK242" i="33"/>
  <c r="AJ242" i="33"/>
  <c r="AI242" i="33"/>
  <c r="AH242" i="33"/>
  <c r="AG242" i="33"/>
  <c r="AF242" i="33"/>
  <c r="AE242" i="33"/>
  <c r="AD242" i="33"/>
  <c r="AC242" i="33"/>
  <c r="AB242" i="33"/>
  <c r="AA242" i="33"/>
  <c r="Z242" i="33"/>
  <c r="Y242" i="33"/>
  <c r="X242" i="33"/>
  <c r="W242" i="33"/>
  <c r="V242" i="33"/>
  <c r="U242" i="33"/>
  <c r="T242" i="33"/>
  <c r="S242" i="33"/>
  <c r="R242" i="33"/>
  <c r="Q242" i="33"/>
  <c r="P242" i="33"/>
  <c r="O242" i="33"/>
  <c r="N242" i="33"/>
  <c r="M242" i="33"/>
  <c r="L242" i="33"/>
  <c r="K242" i="33"/>
  <c r="J242" i="33"/>
  <c r="I242" i="33"/>
  <c r="H242" i="33"/>
  <c r="G242" i="33"/>
  <c r="F242" i="33"/>
  <c r="E242" i="33"/>
  <c r="D242" i="33"/>
  <c r="C242" i="33"/>
  <c r="B242" i="33"/>
  <c r="A242" i="33"/>
  <c r="IV241" i="33"/>
  <c r="IU241" i="33"/>
  <c r="IT241" i="33"/>
  <c r="IS241" i="33"/>
  <c r="IR241" i="33"/>
  <c r="IQ241" i="33"/>
  <c r="IP241" i="33"/>
  <c r="IO241" i="33"/>
  <c r="IN241" i="33"/>
  <c r="IM241" i="33"/>
  <c r="IL241" i="33"/>
  <c r="IK241" i="33"/>
  <c r="IJ241" i="33"/>
  <c r="II241" i="33"/>
  <c r="IH241" i="33"/>
  <c r="IG241" i="33"/>
  <c r="IF241" i="33"/>
  <c r="IE241" i="33"/>
  <c r="ID241" i="33"/>
  <c r="IC241" i="33"/>
  <c r="IB241" i="33"/>
  <c r="IA241" i="33"/>
  <c r="HZ241" i="33"/>
  <c r="HY241" i="33"/>
  <c r="HX241" i="33"/>
  <c r="HW241" i="33"/>
  <c r="HV241" i="33"/>
  <c r="HU241" i="33"/>
  <c r="HT241" i="33"/>
  <c r="HS241" i="33"/>
  <c r="HR241" i="33"/>
  <c r="HQ241" i="33"/>
  <c r="HP241" i="33"/>
  <c r="HO241" i="33"/>
  <c r="HN241" i="33"/>
  <c r="HM241" i="33"/>
  <c r="HL241" i="33"/>
  <c r="HK241" i="33"/>
  <c r="HJ241" i="33"/>
  <c r="HI241" i="33"/>
  <c r="HH241" i="33"/>
  <c r="HG241" i="33"/>
  <c r="HF241" i="33"/>
  <c r="HE241" i="33"/>
  <c r="HD241" i="33"/>
  <c r="HC241" i="33"/>
  <c r="HB241" i="33"/>
  <c r="HA241" i="33"/>
  <c r="GZ241" i="33"/>
  <c r="GY241" i="33"/>
  <c r="GX241" i="33"/>
  <c r="GW241" i="33"/>
  <c r="GV241" i="33"/>
  <c r="GU241" i="33"/>
  <c r="GT241" i="33"/>
  <c r="GS241" i="33"/>
  <c r="GR241" i="33"/>
  <c r="GQ241" i="33"/>
  <c r="GP241" i="33"/>
  <c r="GO241" i="33"/>
  <c r="GN241" i="33"/>
  <c r="GM241" i="33"/>
  <c r="GL241" i="33"/>
  <c r="GK241" i="33"/>
  <c r="GJ241" i="33"/>
  <c r="GI241" i="33"/>
  <c r="GH241" i="33"/>
  <c r="GG241" i="33"/>
  <c r="GF241" i="33"/>
  <c r="GE241" i="33"/>
  <c r="GD241" i="33"/>
  <c r="GC241" i="33"/>
  <c r="GB241" i="33"/>
  <c r="GA241" i="33"/>
  <c r="FZ241" i="33"/>
  <c r="FY241" i="33"/>
  <c r="FX241" i="33"/>
  <c r="FW241" i="33"/>
  <c r="FV241" i="33"/>
  <c r="FU241" i="33"/>
  <c r="FT241" i="33"/>
  <c r="FS241" i="33"/>
  <c r="FR241" i="33"/>
  <c r="FQ241" i="33"/>
  <c r="FP241" i="33"/>
  <c r="FO241" i="33"/>
  <c r="FN241" i="33"/>
  <c r="FM241" i="33"/>
  <c r="FL241" i="33"/>
  <c r="FK241" i="33"/>
  <c r="FJ241" i="33"/>
  <c r="FI241" i="33"/>
  <c r="FH241" i="33"/>
  <c r="FG241" i="33"/>
  <c r="FF241" i="33"/>
  <c r="FE241" i="33"/>
  <c r="FD241" i="33"/>
  <c r="FC241" i="33"/>
  <c r="FB241" i="33"/>
  <c r="FA241" i="33"/>
  <c r="EZ241" i="33"/>
  <c r="EY241" i="33"/>
  <c r="EX241" i="33"/>
  <c r="EW241" i="33"/>
  <c r="EV241" i="33"/>
  <c r="EU241" i="33"/>
  <c r="ET241" i="33"/>
  <c r="ES241" i="33"/>
  <c r="ER241" i="33"/>
  <c r="EQ241" i="33"/>
  <c r="EP241" i="33"/>
  <c r="EO241" i="33"/>
  <c r="EN241" i="33"/>
  <c r="EM241" i="33"/>
  <c r="EL241" i="33"/>
  <c r="EK241" i="33"/>
  <c r="EJ241" i="33"/>
  <c r="EI241" i="33"/>
  <c r="EH241" i="33"/>
  <c r="EG241" i="33"/>
  <c r="EF241" i="33"/>
  <c r="EE241" i="33"/>
  <c r="ED241" i="33"/>
  <c r="EC241" i="33"/>
  <c r="EB241" i="33"/>
  <c r="EA241" i="33"/>
  <c r="DZ241" i="33"/>
  <c r="DY241" i="33"/>
  <c r="DX241" i="33"/>
  <c r="DW241" i="33"/>
  <c r="DV241" i="33"/>
  <c r="DU241" i="33"/>
  <c r="DT241" i="33"/>
  <c r="DS241" i="33"/>
  <c r="DR241" i="33"/>
  <c r="DQ241" i="33"/>
  <c r="DP241" i="33"/>
  <c r="DO241" i="33"/>
  <c r="DN241" i="33"/>
  <c r="DM241" i="33"/>
  <c r="DL241" i="33"/>
  <c r="DK241" i="33"/>
  <c r="DJ241" i="33"/>
  <c r="DI241" i="33"/>
  <c r="DH241" i="33"/>
  <c r="DG241" i="33"/>
  <c r="DF241" i="33"/>
  <c r="DE241" i="33"/>
  <c r="DD241" i="33"/>
  <c r="DC241" i="33"/>
  <c r="DB241" i="33"/>
  <c r="DA241" i="33"/>
  <c r="CZ241" i="33"/>
  <c r="CY241" i="33"/>
  <c r="CX241" i="33"/>
  <c r="CW241" i="33"/>
  <c r="CV241" i="33"/>
  <c r="CU241" i="33"/>
  <c r="CT241" i="33"/>
  <c r="CS241" i="33"/>
  <c r="CR241" i="33"/>
  <c r="CQ241" i="33"/>
  <c r="CP241" i="33"/>
  <c r="CO241" i="33"/>
  <c r="CN241" i="33"/>
  <c r="CM241" i="33"/>
  <c r="CL241" i="33"/>
  <c r="CK241" i="33"/>
  <c r="CJ241" i="33"/>
  <c r="CI241" i="33"/>
  <c r="CH241" i="33"/>
  <c r="CG241" i="33"/>
  <c r="CF241" i="33"/>
  <c r="CE241" i="33"/>
  <c r="CD241" i="33"/>
  <c r="CC241" i="33"/>
  <c r="CB241" i="33"/>
  <c r="CA241" i="33"/>
  <c r="BZ241" i="33"/>
  <c r="BY241" i="33"/>
  <c r="BX241" i="33"/>
  <c r="BW241" i="33"/>
  <c r="BV241" i="33"/>
  <c r="BU241" i="33"/>
  <c r="BT241" i="33"/>
  <c r="BS241" i="33"/>
  <c r="BR241" i="33"/>
  <c r="BQ241" i="33"/>
  <c r="BP241" i="33"/>
  <c r="BO241" i="33"/>
  <c r="BN241" i="33"/>
  <c r="BM241" i="33"/>
  <c r="BL241" i="33"/>
  <c r="BK241" i="33"/>
  <c r="BJ241" i="33"/>
  <c r="BI241" i="33"/>
  <c r="BH241" i="33"/>
  <c r="BG241" i="33"/>
  <c r="BF241" i="33"/>
  <c r="BE241" i="33"/>
  <c r="BD241" i="33"/>
  <c r="BC241" i="33"/>
  <c r="BB241" i="33"/>
  <c r="BA241" i="33"/>
  <c r="AZ241" i="33"/>
  <c r="AY241" i="33"/>
  <c r="AX241" i="33"/>
  <c r="AW241" i="33"/>
  <c r="AV241" i="33"/>
  <c r="AU241" i="33"/>
  <c r="AT241" i="33"/>
  <c r="AS241" i="33"/>
  <c r="AR241" i="33"/>
  <c r="AQ241" i="33"/>
  <c r="AP241" i="33"/>
  <c r="AO241" i="33"/>
  <c r="AN241" i="33"/>
  <c r="AM241" i="33"/>
  <c r="AL241" i="33"/>
  <c r="AK241" i="33"/>
  <c r="AJ241" i="33"/>
  <c r="AI241" i="33"/>
  <c r="AH241" i="33"/>
  <c r="AG241" i="33"/>
  <c r="AF241" i="33"/>
  <c r="AE241" i="33"/>
  <c r="AD241" i="33"/>
  <c r="AC241" i="33"/>
  <c r="AB241" i="33"/>
  <c r="AA241" i="33"/>
  <c r="Z241" i="33"/>
  <c r="Y241" i="33"/>
  <c r="X241" i="33"/>
  <c r="W241" i="33"/>
  <c r="V241" i="33"/>
  <c r="U241" i="33"/>
  <c r="T241" i="33"/>
  <c r="S241" i="33"/>
  <c r="R241" i="33"/>
  <c r="Q241" i="33"/>
  <c r="P241" i="33"/>
  <c r="O241" i="33"/>
  <c r="N241" i="33"/>
  <c r="M241" i="33"/>
  <c r="L241" i="33"/>
  <c r="K241" i="33"/>
  <c r="J241" i="33"/>
  <c r="I241" i="33"/>
  <c r="H241" i="33"/>
  <c r="G241" i="33"/>
  <c r="F241" i="33"/>
  <c r="E241" i="33"/>
  <c r="D241" i="33"/>
  <c r="C241" i="33"/>
  <c r="B241" i="33"/>
  <c r="A241" i="33"/>
  <c r="IV240" i="33"/>
  <c r="IU240" i="33"/>
  <c r="IT240" i="33"/>
  <c r="IS240" i="33"/>
  <c r="IR240" i="33"/>
  <c r="IQ240" i="33"/>
  <c r="IP240" i="33"/>
  <c r="IO240" i="33"/>
  <c r="IN240" i="33"/>
  <c r="IM240" i="33"/>
  <c r="IL240" i="33"/>
  <c r="IK240" i="33"/>
  <c r="IJ240" i="33"/>
  <c r="II240" i="33"/>
  <c r="IH240" i="33"/>
  <c r="IG240" i="33"/>
  <c r="IF240" i="33"/>
  <c r="IE240" i="33"/>
  <c r="ID240" i="33"/>
  <c r="IC240" i="33"/>
  <c r="IB240" i="33"/>
  <c r="IA240" i="33"/>
  <c r="HZ240" i="33"/>
  <c r="HY240" i="33"/>
  <c r="HX240" i="33"/>
  <c r="HW240" i="33"/>
  <c r="HV240" i="33"/>
  <c r="HU240" i="33"/>
  <c r="HT240" i="33"/>
  <c r="HS240" i="33"/>
  <c r="HR240" i="33"/>
  <c r="HQ240" i="33"/>
  <c r="HP240" i="33"/>
  <c r="HO240" i="33"/>
  <c r="HN240" i="33"/>
  <c r="HM240" i="33"/>
  <c r="HL240" i="33"/>
  <c r="HK240" i="33"/>
  <c r="HJ240" i="33"/>
  <c r="HI240" i="33"/>
  <c r="HH240" i="33"/>
  <c r="HG240" i="33"/>
  <c r="HF240" i="33"/>
  <c r="HE240" i="33"/>
  <c r="HD240" i="33"/>
  <c r="HC240" i="33"/>
  <c r="HB240" i="33"/>
  <c r="HA240" i="33"/>
  <c r="GZ240" i="33"/>
  <c r="GY240" i="33"/>
  <c r="GX240" i="33"/>
  <c r="GW240" i="33"/>
  <c r="GV240" i="33"/>
  <c r="GU240" i="33"/>
  <c r="GT240" i="33"/>
  <c r="GS240" i="33"/>
  <c r="GR240" i="33"/>
  <c r="GQ240" i="33"/>
  <c r="GP240" i="33"/>
  <c r="GO240" i="33"/>
  <c r="GN240" i="33"/>
  <c r="GM240" i="33"/>
  <c r="GL240" i="33"/>
  <c r="GK240" i="33"/>
  <c r="GJ240" i="33"/>
  <c r="GI240" i="33"/>
  <c r="GH240" i="33"/>
  <c r="GG240" i="33"/>
  <c r="GF240" i="33"/>
  <c r="GE240" i="33"/>
  <c r="GD240" i="33"/>
  <c r="GC240" i="33"/>
  <c r="GB240" i="33"/>
  <c r="GA240" i="33"/>
  <c r="FZ240" i="33"/>
  <c r="FY240" i="33"/>
  <c r="FX240" i="33"/>
  <c r="FW240" i="33"/>
  <c r="FV240" i="33"/>
  <c r="FU240" i="33"/>
  <c r="FT240" i="33"/>
  <c r="FS240" i="33"/>
  <c r="FR240" i="33"/>
  <c r="FQ240" i="33"/>
  <c r="FP240" i="33"/>
  <c r="FO240" i="33"/>
  <c r="FN240" i="33"/>
  <c r="FM240" i="33"/>
  <c r="FL240" i="33"/>
  <c r="FK240" i="33"/>
  <c r="FJ240" i="33"/>
  <c r="FI240" i="33"/>
  <c r="FH240" i="33"/>
  <c r="FG240" i="33"/>
  <c r="FF240" i="33"/>
  <c r="FE240" i="33"/>
  <c r="FD240" i="33"/>
  <c r="FC240" i="33"/>
  <c r="FB240" i="33"/>
  <c r="FA240" i="33"/>
  <c r="EZ240" i="33"/>
  <c r="EY240" i="33"/>
  <c r="EX240" i="33"/>
  <c r="EW240" i="33"/>
  <c r="EV240" i="33"/>
  <c r="EU240" i="33"/>
  <c r="ET240" i="33"/>
  <c r="ES240" i="33"/>
  <c r="ER240" i="33"/>
  <c r="EQ240" i="33"/>
  <c r="EP240" i="33"/>
  <c r="EO240" i="33"/>
  <c r="EN240" i="33"/>
  <c r="EM240" i="33"/>
  <c r="EL240" i="33"/>
  <c r="EK240" i="33"/>
  <c r="EJ240" i="33"/>
  <c r="EI240" i="33"/>
  <c r="EH240" i="33"/>
  <c r="EG240" i="33"/>
  <c r="EF240" i="33"/>
  <c r="EE240" i="33"/>
  <c r="ED240" i="33"/>
  <c r="EC240" i="33"/>
  <c r="EB240" i="33"/>
  <c r="EA240" i="33"/>
  <c r="DZ240" i="33"/>
  <c r="DY240" i="33"/>
  <c r="DX240" i="33"/>
  <c r="DW240" i="33"/>
  <c r="DV240" i="33"/>
  <c r="DU240" i="33"/>
  <c r="DT240" i="33"/>
  <c r="DS240" i="33"/>
  <c r="DR240" i="33"/>
  <c r="DQ240" i="33"/>
  <c r="DP240" i="33"/>
  <c r="DO240" i="33"/>
  <c r="DN240" i="33"/>
  <c r="DM240" i="33"/>
  <c r="DL240" i="33"/>
  <c r="DK240" i="33"/>
  <c r="DJ240" i="33"/>
  <c r="DI240" i="33"/>
  <c r="DH240" i="33"/>
  <c r="DG240" i="33"/>
  <c r="DF240" i="33"/>
  <c r="DE240" i="33"/>
  <c r="DD240" i="33"/>
  <c r="DC240" i="33"/>
  <c r="DB240" i="33"/>
  <c r="DA240" i="33"/>
  <c r="CZ240" i="33"/>
  <c r="CY240" i="33"/>
  <c r="CX240" i="33"/>
  <c r="CW240" i="33"/>
  <c r="CV240" i="33"/>
  <c r="CU240" i="33"/>
  <c r="CT240" i="33"/>
  <c r="CS240" i="33"/>
  <c r="CR240" i="33"/>
  <c r="CQ240" i="33"/>
  <c r="CP240" i="33"/>
  <c r="CO240" i="33"/>
  <c r="CN240" i="33"/>
  <c r="CM240" i="33"/>
  <c r="CL240" i="33"/>
  <c r="CK240" i="33"/>
  <c r="CJ240" i="33"/>
  <c r="CI240" i="33"/>
  <c r="CH240" i="33"/>
  <c r="CG240" i="33"/>
  <c r="CF240" i="33"/>
  <c r="CE240" i="33"/>
  <c r="CD240" i="33"/>
  <c r="CC240" i="33"/>
  <c r="CB240" i="33"/>
  <c r="CA240" i="33"/>
  <c r="BZ240" i="33"/>
  <c r="BY240" i="33"/>
  <c r="BX240" i="33"/>
  <c r="BW240" i="33"/>
  <c r="BV240" i="33"/>
  <c r="BU240" i="33"/>
  <c r="BT240" i="33"/>
  <c r="BS240" i="33"/>
  <c r="BR240" i="33"/>
  <c r="BQ240" i="33"/>
  <c r="BP240" i="33"/>
  <c r="BO240" i="33"/>
  <c r="BN240" i="33"/>
  <c r="BM240" i="33"/>
  <c r="BL240" i="33"/>
  <c r="BK240" i="33"/>
  <c r="BJ240" i="33"/>
  <c r="BI240" i="33"/>
  <c r="BH240" i="33"/>
  <c r="BG240" i="33"/>
  <c r="BF240" i="33"/>
  <c r="BE240" i="33"/>
  <c r="BD240" i="33"/>
  <c r="BC240" i="33"/>
  <c r="BB240" i="33"/>
  <c r="BA240" i="33"/>
  <c r="AZ240" i="33"/>
  <c r="AY240" i="33"/>
  <c r="AX240" i="33"/>
  <c r="AW240" i="33"/>
  <c r="AV240" i="33"/>
  <c r="AU240" i="33"/>
  <c r="AT240" i="33"/>
  <c r="AS240" i="33"/>
  <c r="AR240" i="33"/>
  <c r="AQ240" i="33"/>
  <c r="AP240" i="33"/>
  <c r="AO240" i="33"/>
  <c r="AN240" i="33"/>
  <c r="AM240" i="33"/>
  <c r="AL240" i="33"/>
  <c r="AK240" i="33"/>
  <c r="AJ240" i="33"/>
  <c r="AI240" i="33"/>
  <c r="AH240" i="33"/>
  <c r="AG240" i="33"/>
  <c r="AF240" i="33"/>
  <c r="AE240" i="33"/>
  <c r="AD240" i="33"/>
  <c r="AC240" i="33"/>
  <c r="AB240" i="33"/>
  <c r="AA240" i="33"/>
  <c r="Z240" i="33"/>
  <c r="Y240" i="33"/>
  <c r="X240" i="33"/>
  <c r="W240" i="33"/>
  <c r="V240" i="33"/>
  <c r="U240" i="33"/>
  <c r="T240" i="33"/>
  <c r="S240" i="33"/>
  <c r="R240" i="33"/>
  <c r="Q240" i="33"/>
  <c r="P240" i="33"/>
  <c r="O240" i="33"/>
  <c r="N240" i="33"/>
  <c r="M240" i="33"/>
  <c r="L240" i="33"/>
  <c r="K240" i="33"/>
  <c r="J240" i="33"/>
  <c r="I240" i="33"/>
  <c r="H240" i="33"/>
  <c r="G240" i="33"/>
  <c r="F240" i="33"/>
  <c r="E240" i="33"/>
  <c r="D240" i="33"/>
  <c r="C240" i="33"/>
  <c r="B240" i="33"/>
  <c r="A240" i="33"/>
  <c r="IV239" i="33"/>
  <c r="IU239" i="33"/>
  <c r="IT239" i="33"/>
  <c r="IS239" i="33"/>
  <c r="IR239" i="33"/>
  <c r="IQ239" i="33"/>
  <c r="IP239" i="33"/>
  <c r="IO239" i="33"/>
  <c r="IN239" i="33"/>
  <c r="IM239" i="33"/>
  <c r="IL239" i="33"/>
  <c r="IK239" i="33"/>
  <c r="IJ239" i="33"/>
  <c r="II239" i="33"/>
  <c r="IH239" i="33"/>
  <c r="IG239" i="33"/>
  <c r="IF239" i="33"/>
  <c r="IE239" i="33"/>
  <c r="ID239" i="33"/>
  <c r="IC239" i="33"/>
  <c r="IB239" i="33"/>
  <c r="IA239" i="33"/>
  <c r="HZ239" i="33"/>
  <c r="HY239" i="33"/>
  <c r="HX239" i="33"/>
  <c r="HW239" i="33"/>
  <c r="HV239" i="33"/>
  <c r="HU239" i="33"/>
  <c r="HT239" i="33"/>
  <c r="HS239" i="33"/>
  <c r="HR239" i="33"/>
  <c r="HQ239" i="33"/>
  <c r="HP239" i="33"/>
  <c r="HO239" i="33"/>
  <c r="HN239" i="33"/>
  <c r="HM239" i="33"/>
  <c r="HL239" i="33"/>
  <c r="HK239" i="33"/>
  <c r="HJ239" i="33"/>
  <c r="HI239" i="33"/>
  <c r="HH239" i="33"/>
  <c r="HG239" i="33"/>
  <c r="HF239" i="33"/>
  <c r="HE239" i="33"/>
  <c r="HD239" i="33"/>
  <c r="HC239" i="33"/>
  <c r="HB239" i="33"/>
  <c r="HA239" i="33"/>
  <c r="GZ239" i="33"/>
  <c r="GY239" i="33"/>
  <c r="GX239" i="33"/>
  <c r="GW239" i="33"/>
  <c r="GV239" i="33"/>
  <c r="GU239" i="33"/>
  <c r="GT239" i="33"/>
  <c r="GS239" i="33"/>
  <c r="GR239" i="33"/>
  <c r="GQ239" i="33"/>
  <c r="GP239" i="33"/>
  <c r="GO239" i="33"/>
  <c r="GN239" i="33"/>
  <c r="GM239" i="33"/>
  <c r="GL239" i="33"/>
  <c r="GK239" i="33"/>
  <c r="GJ239" i="33"/>
  <c r="GI239" i="33"/>
  <c r="GH239" i="33"/>
  <c r="GG239" i="33"/>
  <c r="GF239" i="33"/>
  <c r="GE239" i="33"/>
  <c r="GD239" i="33"/>
  <c r="GC239" i="33"/>
  <c r="GB239" i="33"/>
  <c r="GA239" i="33"/>
  <c r="FZ239" i="33"/>
  <c r="FY239" i="33"/>
  <c r="FX239" i="33"/>
  <c r="FW239" i="33"/>
  <c r="FV239" i="33"/>
  <c r="FU239" i="33"/>
  <c r="FT239" i="33"/>
  <c r="FS239" i="33"/>
  <c r="FR239" i="33"/>
  <c r="FQ239" i="33"/>
  <c r="FP239" i="33"/>
  <c r="FO239" i="33"/>
  <c r="FN239" i="33"/>
  <c r="FM239" i="33"/>
  <c r="FL239" i="33"/>
  <c r="FK239" i="33"/>
  <c r="FJ239" i="33"/>
  <c r="FI239" i="33"/>
  <c r="FH239" i="33"/>
  <c r="FG239" i="33"/>
  <c r="FF239" i="33"/>
  <c r="FE239" i="33"/>
  <c r="FD239" i="33"/>
  <c r="FC239" i="33"/>
  <c r="FB239" i="33"/>
  <c r="FA239" i="33"/>
  <c r="EZ239" i="33"/>
  <c r="EY239" i="33"/>
  <c r="EX239" i="33"/>
  <c r="EW239" i="33"/>
  <c r="EV239" i="33"/>
  <c r="EU239" i="33"/>
  <c r="ET239" i="33"/>
  <c r="ES239" i="33"/>
  <c r="ER239" i="33"/>
  <c r="EQ239" i="33"/>
  <c r="EP239" i="33"/>
  <c r="EO239" i="33"/>
  <c r="EN239" i="33"/>
  <c r="EM239" i="33"/>
  <c r="EL239" i="33"/>
  <c r="EK239" i="33"/>
  <c r="EJ239" i="33"/>
  <c r="EI239" i="33"/>
  <c r="EH239" i="33"/>
  <c r="EG239" i="33"/>
  <c r="EF239" i="33"/>
  <c r="EE239" i="33"/>
  <c r="ED239" i="33"/>
  <c r="EC239" i="33"/>
  <c r="EB239" i="33"/>
  <c r="EA239" i="33"/>
  <c r="DZ239" i="33"/>
  <c r="DY239" i="33"/>
  <c r="DX239" i="33"/>
  <c r="DW239" i="33"/>
  <c r="DV239" i="33"/>
  <c r="DU239" i="33"/>
  <c r="DT239" i="33"/>
  <c r="DS239" i="33"/>
  <c r="DR239" i="33"/>
  <c r="DQ239" i="33"/>
  <c r="DP239" i="33"/>
  <c r="DO239" i="33"/>
  <c r="DN239" i="33"/>
  <c r="DM239" i="33"/>
  <c r="DL239" i="33"/>
  <c r="DK239" i="33"/>
  <c r="DJ239" i="33"/>
  <c r="DI239" i="33"/>
  <c r="DH239" i="33"/>
  <c r="DG239" i="33"/>
  <c r="DF239" i="33"/>
  <c r="DE239" i="33"/>
  <c r="DD239" i="33"/>
  <c r="DC239" i="33"/>
  <c r="DB239" i="33"/>
  <c r="DA239" i="33"/>
  <c r="CZ239" i="33"/>
  <c r="CY239" i="33"/>
  <c r="CX239" i="33"/>
  <c r="CW239" i="33"/>
  <c r="CV239" i="33"/>
  <c r="CU239" i="33"/>
  <c r="CT239" i="33"/>
  <c r="CS239" i="33"/>
  <c r="CR239" i="33"/>
  <c r="CQ239" i="33"/>
  <c r="CP239" i="33"/>
  <c r="CO239" i="33"/>
  <c r="CN239" i="33"/>
  <c r="CM239" i="33"/>
  <c r="CL239" i="33"/>
  <c r="CK239" i="33"/>
  <c r="CJ239" i="33"/>
  <c r="CI239" i="33"/>
  <c r="CH239" i="33"/>
  <c r="CG239" i="33"/>
  <c r="CF239" i="33"/>
  <c r="CE239" i="33"/>
  <c r="CD239" i="33"/>
  <c r="CC239" i="33"/>
  <c r="CB239" i="33"/>
  <c r="CA239" i="33"/>
  <c r="BZ239" i="33"/>
  <c r="BY239" i="33"/>
  <c r="BX239" i="33"/>
  <c r="BW239" i="33"/>
  <c r="BV239" i="33"/>
  <c r="BU239" i="33"/>
  <c r="BT239" i="33"/>
  <c r="BS239" i="33"/>
  <c r="BR239" i="33"/>
  <c r="BQ239" i="33"/>
  <c r="BP239" i="33"/>
  <c r="BO239" i="33"/>
  <c r="BN239" i="33"/>
  <c r="BM239" i="33"/>
  <c r="BL239" i="33"/>
  <c r="BK239" i="33"/>
  <c r="BJ239" i="33"/>
  <c r="BI239" i="33"/>
  <c r="BH239" i="33"/>
  <c r="BG239" i="33"/>
  <c r="BF239" i="33"/>
  <c r="BE239" i="33"/>
  <c r="BD239" i="33"/>
  <c r="BC239" i="33"/>
  <c r="BB239" i="33"/>
  <c r="BA239" i="33"/>
  <c r="AZ239" i="33"/>
  <c r="AY239" i="33"/>
  <c r="AX239" i="33"/>
  <c r="AW239" i="33"/>
  <c r="AV239" i="33"/>
  <c r="AU239" i="33"/>
  <c r="AT239" i="33"/>
  <c r="AS239" i="33"/>
  <c r="AR239" i="33"/>
  <c r="AQ239" i="33"/>
  <c r="AP239" i="33"/>
  <c r="AO239" i="33"/>
  <c r="AN239" i="33"/>
  <c r="AM239" i="33"/>
  <c r="AL239" i="33"/>
  <c r="AK239" i="33"/>
  <c r="AJ239" i="33"/>
  <c r="AI239" i="33"/>
  <c r="AH239" i="33"/>
  <c r="AG239" i="33"/>
  <c r="AF239" i="33"/>
  <c r="AE239" i="33"/>
  <c r="AD239" i="33"/>
  <c r="AC239" i="33"/>
  <c r="AB239" i="33"/>
  <c r="AA239" i="33"/>
  <c r="Z239" i="33"/>
  <c r="Y239" i="33"/>
  <c r="X239" i="33"/>
  <c r="W239" i="33"/>
  <c r="V239" i="33"/>
  <c r="U239" i="33"/>
  <c r="T239" i="33"/>
  <c r="S239" i="33"/>
  <c r="R239" i="33"/>
  <c r="Q239" i="33"/>
  <c r="P239" i="33"/>
  <c r="O239" i="33"/>
  <c r="N239" i="33"/>
  <c r="M239" i="33"/>
  <c r="L239" i="33"/>
  <c r="K239" i="33"/>
  <c r="J239" i="33"/>
  <c r="I239" i="33"/>
  <c r="H239" i="33"/>
  <c r="G239" i="33"/>
  <c r="F239" i="33"/>
  <c r="E239" i="33"/>
  <c r="D239" i="33"/>
  <c r="C239" i="33"/>
  <c r="B239" i="33"/>
  <c r="A239" i="33"/>
  <c r="IV238" i="33"/>
  <c r="IU238" i="33"/>
  <c r="IT238" i="33"/>
  <c r="IS238" i="33"/>
  <c r="IR238" i="33"/>
  <c r="IQ238" i="33"/>
  <c r="IP238" i="33"/>
  <c r="IO238" i="33"/>
  <c r="IN238" i="33"/>
  <c r="IM238" i="33"/>
  <c r="IL238" i="33"/>
  <c r="IK238" i="33"/>
  <c r="IJ238" i="33"/>
  <c r="II238" i="33"/>
  <c r="IH238" i="33"/>
  <c r="IG238" i="33"/>
  <c r="IF238" i="33"/>
  <c r="IE238" i="33"/>
  <c r="ID238" i="33"/>
  <c r="IC238" i="33"/>
  <c r="IB238" i="33"/>
  <c r="IA238" i="33"/>
  <c r="HZ238" i="33"/>
  <c r="HY238" i="33"/>
  <c r="HX238" i="33"/>
  <c r="HW238" i="33"/>
  <c r="HV238" i="33"/>
  <c r="HU238" i="33"/>
  <c r="HT238" i="33"/>
  <c r="HS238" i="33"/>
  <c r="HR238" i="33"/>
  <c r="HQ238" i="33"/>
  <c r="HP238" i="33"/>
  <c r="HO238" i="33"/>
  <c r="HN238" i="33"/>
  <c r="HM238" i="33"/>
  <c r="HL238" i="33"/>
  <c r="HK238" i="33"/>
  <c r="HJ238" i="33"/>
  <c r="HI238" i="33"/>
  <c r="HH238" i="33"/>
  <c r="HG238" i="33"/>
  <c r="HF238" i="33"/>
  <c r="HE238" i="33"/>
  <c r="HD238" i="33"/>
  <c r="HC238" i="33"/>
  <c r="HB238" i="33"/>
  <c r="HA238" i="33"/>
  <c r="GZ238" i="33"/>
  <c r="GY238" i="33"/>
  <c r="GX238" i="33"/>
  <c r="GW238" i="33"/>
  <c r="GV238" i="33"/>
  <c r="GU238" i="33"/>
  <c r="GT238" i="33"/>
  <c r="GS238" i="33"/>
  <c r="GR238" i="33"/>
  <c r="GQ238" i="33"/>
  <c r="GP238" i="33"/>
  <c r="GO238" i="33"/>
  <c r="GN238" i="33"/>
  <c r="GM238" i="33"/>
  <c r="GL238" i="33"/>
  <c r="GK238" i="33"/>
  <c r="GJ238" i="33"/>
  <c r="GI238" i="33"/>
  <c r="GH238" i="33"/>
  <c r="GG238" i="33"/>
  <c r="GF238" i="33"/>
  <c r="GE238" i="33"/>
  <c r="GD238" i="33"/>
  <c r="GC238" i="33"/>
  <c r="GB238" i="33"/>
  <c r="GA238" i="33"/>
  <c r="FZ238" i="33"/>
  <c r="FY238" i="33"/>
  <c r="FX238" i="33"/>
  <c r="FW238" i="33"/>
  <c r="FV238" i="33"/>
  <c r="FU238" i="33"/>
  <c r="FT238" i="33"/>
  <c r="FS238" i="33"/>
  <c r="FR238" i="33"/>
  <c r="FQ238" i="33"/>
  <c r="FP238" i="33"/>
  <c r="FO238" i="33"/>
  <c r="FN238" i="33"/>
  <c r="FM238" i="33"/>
  <c r="FL238" i="33"/>
  <c r="FK238" i="33"/>
  <c r="FJ238" i="33"/>
  <c r="FI238" i="33"/>
  <c r="FH238" i="33"/>
  <c r="FG238" i="33"/>
  <c r="FF238" i="33"/>
  <c r="FE238" i="33"/>
  <c r="FD238" i="33"/>
  <c r="FC238" i="33"/>
  <c r="FB238" i="33"/>
  <c r="FA238" i="33"/>
  <c r="EZ238" i="33"/>
  <c r="EY238" i="33"/>
  <c r="EX238" i="33"/>
  <c r="EW238" i="33"/>
  <c r="EV238" i="33"/>
  <c r="EU238" i="33"/>
  <c r="ET238" i="33"/>
  <c r="ES238" i="33"/>
  <c r="ER238" i="33"/>
  <c r="EQ238" i="33"/>
  <c r="EP238" i="33"/>
  <c r="EO238" i="33"/>
  <c r="EN238" i="33"/>
  <c r="EM238" i="33"/>
  <c r="EL238" i="33"/>
  <c r="EK238" i="33"/>
  <c r="EJ238" i="33"/>
  <c r="EI238" i="33"/>
  <c r="EH238" i="33"/>
  <c r="EG238" i="33"/>
  <c r="EF238" i="33"/>
  <c r="EE238" i="33"/>
  <c r="ED238" i="33"/>
  <c r="EC238" i="33"/>
  <c r="EB238" i="33"/>
  <c r="EA238" i="33"/>
  <c r="DZ238" i="33"/>
  <c r="DY238" i="33"/>
  <c r="DX238" i="33"/>
  <c r="DW238" i="33"/>
  <c r="DV238" i="33"/>
  <c r="DU238" i="33"/>
  <c r="DT238" i="33"/>
  <c r="DS238" i="33"/>
  <c r="DR238" i="33"/>
  <c r="DQ238" i="33"/>
  <c r="DP238" i="33"/>
  <c r="DO238" i="33"/>
  <c r="DN238" i="33"/>
  <c r="DM238" i="33"/>
  <c r="DL238" i="33"/>
  <c r="DK238" i="33"/>
  <c r="DJ238" i="33"/>
  <c r="DI238" i="33"/>
  <c r="DH238" i="33"/>
  <c r="DG238" i="33"/>
  <c r="DF238" i="33"/>
  <c r="DE238" i="33"/>
  <c r="DD238" i="33"/>
  <c r="DC238" i="33"/>
  <c r="DB238" i="33"/>
  <c r="DA238" i="33"/>
  <c r="CZ238" i="33"/>
  <c r="CY238" i="33"/>
  <c r="CX238" i="33"/>
  <c r="CW238" i="33"/>
  <c r="CV238" i="33"/>
  <c r="CU238" i="33"/>
  <c r="CT238" i="33"/>
  <c r="CS238" i="33"/>
  <c r="CR238" i="33"/>
  <c r="CQ238" i="33"/>
  <c r="CP238" i="33"/>
  <c r="CO238" i="33"/>
  <c r="CN238" i="33"/>
  <c r="CM238" i="33"/>
  <c r="CL238" i="33"/>
  <c r="CK238" i="33"/>
  <c r="CJ238" i="33"/>
  <c r="CI238" i="33"/>
  <c r="CH238" i="33"/>
  <c r="CG238" i="33"/>
  <c r="CF238" i="33"/>
  <c r="CE238" i="33"/>
  <c r="CD238" i="33"/>
  <c r="CC238" i="33"/>
  <c r="CB238" i="33"/>
  <c r="CA238" i="33"/>
  <c r="BZ238" i="33"/>
  <c r="BY238" i="33"/>
  <c r="BX238" i="33"/>
  <c r="BW238" i="33"/>
  <c r="BV238" i="33"/>
  <c r="BU238" i="33"/>
  <c r="BT238" i="33"/>
  <c r="BS238" i="33"/>
  <c r="BR238" i="33"/>
  <c r="BQ238" i="33"/>
  <c r="BP238" i="33"/>
  <c r="BO238" i="33"/>
  <c r="BN238" i="33"/>
  <c r="BM238" i="33"/>
  <c r="BL238" i="33"/>
  <c r="BK238" i="33"/>
  <c r="BJ238" i="33"/>
  <c r="BI238" i="33"/>
  <c r="BH238" i="33"/>
  <c r="BG238" i="33"/>
  <c r="BF238" i="33"/>
  <c r="BE238" i="33"/>
  <c r="BD238" i="33"/>
  <c r="BC238" i="33"/>
  <c r="BB238" i="33"/>
  <c r="BA238" i="33"/>
  <c r="AZ238" i="33"/>
  <c r="AY238" i="33"/>
  <c r="AX238" i="33"/>
  <c r="AW238" i="33"/>
  <c r="AV238" i="33"/>
  <c r="AU238" i="33"/>
  <c r="AT238" i="33"/>
  <c r="AS238" i="33"/>
  <c r="AR238" i="33"/>
  <c r="AQ238" i="33"/>
  <c r="AP238" i="33"/>
  <c r="AO238" i="33"/>
  <c r="AN238" i="33"/>
  <c r="AM238" i="33"/>
  <c r="AL238" i="33"/>
  <c r="AK238" i="33"/>
  <c r="AJ238" i="33"/>
  <c r="AI238" i="33"/>
  <c r="AH238" i="33"/>
  <c r="AG238" i="33"/>
  <c r="AF238" i="33"/>
  <c r="AE238" i="33"/>
  <c r="AD238" i="33"/>
  <c r="AC238" i="33"/>
  <c r="AB238" i="33"/>
  <c r="AA238" i="33"/>
  <c r="Z238" i="33"/>
  <c r="Y238" i="33"/>
  <c r="X238" i="33"/>
  <c r="W238" i="33"/>
  <c r="V238" i="33"/>
  <c r="U238" i="33"/>
  <c r="T238" i="33"/>
  <c r="S238" i="33"/>
  <c r="R238" i="33"/>
  <c r="Q238" i="33"/>
  <c r="P238" i="33"/>
  <c r="O238" i="33"/>
  <c r="N238" i="33"/>
  <c r="M238" i="33"/>
  <c r="L238" i="33"/>
  <c r="K238" i="33"/>
  <c r="J238" i="33"/>
  <c r="I238" i="33"/>
  <c r="H238" i="33"/>
  <c r="G238" i="33"/>
  <c r="F238" i="33"/>
  <c r="E238" i="33"/>
  <c r="D238" i="33"/>
  <c r="C238" i="33"/>
  <c r="B238" i="33"/>
  <c r="A238" i="33"/>
  <c r="IV237" i="33"/>
  <c r="IU237" i="33"/>
  <c r="IT237" i="33"/>
  <c r="IS237" i="33"/>
  <c r="IR237" i="33"/>
  <c r="IQ237" i="33"/>
  <c r="IP237" i="33"/>
  <c r="IO237" i="33"/>
  <c r="IN237" i="33"/>
  <c r="IM237" i="33"/>
  <c r="IL237" i="33"/>
  <c r="IK237" i="33"/>
  <c r="IJ237" i="33"/>
  <c r="II237" i="33"/>
  <c r="IH237" i="33"/>
  <c r="IG237" i="33"/>
  <c r="IF237" i="33"/>
  <c r="IE237" i="33"/>
  <c r="ID237" i="33"/>
  <c r="IC237" i="33"/>
  <c r="IB237" i="33"/>
  <c r="IA237" i="33"/>
  <c r="HZ237" i="33"/>
  <c r="HY237" i="33"/>
  <c r="HX237" i="33"/>
  <c r="HW237" i="33"/>
  <c r="HV237" i="33"/>
  <c r="HU237" i="33"/>
  <c r="HT237" i="33"/>
  <c r="HS237" i="33"/>
  <c r="HR237" i="33"/>
  <c r="HQ237" i="33"/>
  <c r="HP237" i="33"/>
  <c r="HO237" i="33"/>
  <c r="HN237" i="33"/>
  <c r="HM237" i="33"/>
  <c r="HL237" i="33"/>
  <c r="HK237" i="33"/>
  <c r="HJ237" i="33"/>
  <c r="HI237" i="33"/>
  <c r="HH237" i="33"/>
  <c r="HG237" i="33"/>
  <c r="HF237" i="33"/>
  <c r="HE237" i="33"/>
  <c r="HD237" i="33"/>
  <c r="HC237" i="33"/>
  <c r="HB237" i="33"/>
  <c r="HA237" i="33"/>
  <c r="GZ237" i="33"/>
  <c r="GY237" i="33"/>
  <c r="GX237" i="33"/>
  <c r="GW237" i="33"/>
  <c r="GV237" i="33"/>
  <c r="GU237" i="33"/>
  <c r="GT237" i="33"/>
  <c r="GS237" i="33"/>
  <c r="GR237" i="33"/>
  <c r="GQ237" i="33"/>
  <c r="GP237" i="33"/>
  <c r="GO237" i="33"/>
  <c r="GN237" i="33"/>
  <c r="GM237" i="33"/>
  <c r="GL237" i="33"/>
  <c r="GK237" i="33"/>
  <c r="GJ237" i="33"/>
  <c r="GI237" i="33"/>
  <c r="GH237" i="33"/>
  <c r="GG237" i="33"/>
  <c r="GF237" i="33"/>
  <c r="GE237" i="33"/>
  <c r="GD237" i="33"/>
  <c r="GC237" i="33"/>
  <c r="GB237" i="33"/>
  <c r="GA237" i="33"/>
  <c r="FZ237" i="33"/>
  <c r="FY237" i="33"/>
  <c r="FX237" i="33"/>
  <c r="FW237" i="33"/>
  <c r="FV237" i="33"/>
  <c r="FU237" i="33"/>
  <c r="FT237" i="33"/>
  <c r="FS237" i="33"/>
  <c r="FR237" i="33"/>
  <c r="FQ237" i="33"/>
  <c r="FP237" i="33"/>
  <c r="FO237" i="33"/>
  <c r="FN237" i="33"/>
  <c r="FM237" i="33"/>
  <c r="FL237" i="33"/>
  <c r="FK237" i="33"/>
  <c r="FJ237" i="33"/>
  <c r="FI237" i="33"/>
  <c r="FH237" i="33"/>
  <c r="FG237" i="33"/>
  <c r="FF237" i="33"/>
  <c r="FE237" i="33"/>
  <c r="FD237" i="33"/>
  <c r="FC237" i="33"/>
  <c r="FB237" i="33"/>
  <c r="FA237" i="33"/>
  <c r="EZ237" i="33"/>
  <c r="EY237" i="33"/>
  <c r="EX237" i="33"/>
  <c r="EW237" i="33"/>
  <c r="EV237" i="33"/>
  <c r="EU237" i="33"/>
  <c r="ET237" i="33"/>
  <c r="ES237" i="33"/>
  <c r="ER237" i="33"/>
  <c r="EQ237" i="33"/>
  <c r="EP237" i="33"/>
  <c r="EO237" i="33"/>
  <c r="EN237" i="33"/>
  <c r="EM237" i="33"/>
  <c r="EL237" i="33"/>
  <c r="EK237" i="33"/>
  <c r="EJ237" i="33"/>
  <c r="EI237" i="33"/>
  <c r="EH237" i="33"/>
  <c r="EG237" i="33"/>
  <c r="EF237" i="33"/>
  <c r="EE237" i="33"/>
  <c r="ED237" i="33"/>
  <c r="EC237" i="33"/>
  <c r="EB237" i="33"/>
  <c r="EA237" i="33"/>
  <c r="DZ237" i="33"/>
  <c r="DY237" i="33"/>
  <c r="DX237" i="33"/>
  <c r="DW237" i="33"/>
  <c r="DV237" i="33"/>
  <c r="DU237" i="33"/>
  <c r="DT237" i="33"/>
  <c r="DS237" i="33"/>
  <c r="DR237" i="33"/>
  <c r="DQ237" i="33"/>
  <c r="DP237" i="33"/>
  <c r="DO237" i="33"/>
  <c r="DN237" i="33"/>
  <c r="DM237" i="33"/>
  <c r="DL237" i="33"/>
  <c r="DK237" i="33"/>
  <c r="DJ237" i="33"/>
  <c r="DI237" i="33"/>
  <c r="DH237" i="33"/>
  <c r="DG237" i="33"/>
  <c r="DF237" i="33"/>
  <c r="DE237" i="33"/>
  <c r="DD237" i="33"/>
  <c r="DC237" i="33"/>
  <c r="DB237" i="33"/>
  <c r="DA237" i="33"/>
  <c r="CZ237" i="33"/>
  <c r="CY237" i="33"/>
  <c r="CX237" i="33"/>
  <c r="CW237" i="33"/>
  <c r="CV237" i="33"/>
  <c r="CU237" i="33"/>
  <c r="CT237" i="33"/>
  <c r="CS237" i="33"/>
  <c r="CR237" i="33"/>
  <c r="CQ237" i="33"/>
  <c r="CP237" i="33"/>
  <c r="CO237" i="33"/>
  <c r="CN237" i="33"/>
  <c r="CM237" i="33"/>
  <c r="CL237" i="33"/>
  <c r="CK237" i="33"/>
  <c r="CJ237" i="33"/>
  <c r="CI237" i="33"/>
  <c r="CH237" i="33"/>
  <c r="CG237" i="33"/>
  <c r="CF237" i="33"/>
  <c r="CE237" i="33"/>
  <c r="CD237" i="33"/>
  <c r="CC237" i="33"/>
  <c r="CB237" i="33"/>
  <c r="CA237" i="33"/>
  <c r="BZ237" i="33"/>
  <c r="BY237" i="33"/>
  <c r="BX237" i="33"/>
  <c r="BW237" i="33"/>
  <c r="BV237" i="33"/>
  <c r="BU237" i="33"/>
  <c r="BT237" i="33"/>
  <c r="BS237" i="33"/>
  <c r="BR237" i="33"/>
  <c r="BQ237" i="33"/>
  <c r="BP237" i="33"/>
  <c r="BO237" i="33"/>
  <c r="BN237" i="33"/>
  <c r="BM237" i="33"/>
  <c r="BL237" i="33"/>
  <c r="BK237" i="33"/>
  <c r="BJ237" i="33"/>
  <c r="BI237" i="33"/>
  <c r="BH237" i="33"/>
  <c r="BG237" i="33"/>
  <c r="BF237" i="33"/>
  <c r="BE237" i="33"/>
  <c r="BD237" i="33"/>
  <c r="BC237" i="33"/>
  <c r="BB237" i="33"/>
  <c r="BA237" i="33"/>
  <c r="AZ237" i="33"/>
  <c r="AY237" i="33"/>
  <c r="AX237" i="33"/>
  <c r="AW237" i="33"/>
  <c r="AV237" i="33"/>
  <c r="AU237" i="33"/>
  <c r="AT237" i="33"/>
  <c r="AS237" i="33"/>
  <c r="AR237" i="33"/>
  <c r="AQ237" i="33"/>
  <c r="AP237" i="33"/>
  <c r="AO237" i="33"/>
  <c r="AN237" i="33"/>
  <c r="AM237" i="33"/>
  <c r="AL237" i="33"/>
  <c r="AK237" i="33"/>
  <c r="AJ237" i="33"/>
  <c r="AI237" i="33"/>
  <c r="AH237" i="33"/>
  <c r="AG237" i="33"/>
  <c r="AF237" i="33"/>
  <c r="AE237" i="33"/>
  <c r="AD237" i="33"/>
  <c r="AC237" i="33"/>
  <c r="AB237" i="33"/>
  <c r="AA237" i="33"/>
  <c r="Z237" i="33"/>
  <c r="Y237" i="33"/>
  <c r="X237" i="33"/>
  <c r="W237" i="33"/>
  <c r="V237" i="33"/>
  <c r="U237" i="33"/>
  <c r="T237" i="33"/>
  <c r="S237" i="33"/>
  <c r="R237" i="33"/>
  <c r="Q237" i="33"/>
  <c r="P237" i="33"/>
  <c r="O237" i="33"/>
  <c r="N237" i="33"/>
  <c r="M237" i="33"/>
  <c r="L237" i="33"/>
  <c r="K237" i="33"/>
  <c r="J237" i="33"/>
  <c r="I237" i="33"/>
  <c r="H237" i="33"/>
  <c r="G237" i="33"/>
  <c r="F237" i="33"/>
  <c r="E237" i="33"/>
  <c r="D237" i="33"/>
  <c r="C237" i="33"/>
  <c r="B237" i="33"/>
  <c r="A237" i="33"/>
  <c r="IV236" i="33"/>
  <c r="IU236" i="33"/>
  <c r="IT236" i="33"/>
  <c r="IS236" i="33"/>
  <c r="IR236" i="33"/>
  <c r="IQ236" i="33"/>
  <c r="IP236" i="33"/>
  <c r="IO236" i="33"/>
  <c r="IN236" i="33"/>
  <c r="IM236" i="33"/>
  <c r="IL236" i="33"/>
  <c r="IK236" i="33"/>
  <c r="IJ236" i="33"/>
  <c r="II236" i="33"/>
  <c r="IH236" i="33"/>
  <c r="IG236" i="33"/>
  <c r="IF236" i="33"/>
  <c r="IE236" i="33"/>
  <c r="ID236" i="33"/>
  <c r="IC236" i="33"/>
  <c r="IB236" i="33"/>
  <c r="IA236" i="33"/>
  <c r="HZ236" i="33"/>
  <c r="HY236" i="33"/>
  <c r="HX236" i="33"/>
  <c r="HW236" i="33"/>
  <c r="HV236" i="33"/>
  <c r="HU236" i="33"/>
  <c r="HT236" i="33"/>
  <c r="HS236" i="33"/>
  <c r="HR236" i="33"/>
  <c r="HQ236" i="33"/>
  <c r="HP236" i="33"/>
  <c r="HO236" i="33"/>
  <c r="HN236" i="33"/>
  <c r="HM236" i="33"/>
  <c r="HL236" i="33"/>
  <c r="HK236" i="33"/>
  <c r="HJ236" i="33"/>
  <c r="HI236" i="33"/>
  <c r="HH236" i="33"/>
  <c r="HG236" i="33"/>
  <c r="HF236" i="33"/>
  <c r="HE236" i="33"/>
  <c r="HD236" i="33"/>
  <c r="HC236" i="33"/>
  <c r="HB236" i="33"/>
  <c r="HA236" i="33"/>
  <c r="GZ236" i="33"/>
  <c r="GY236" i="33"/>
  <c r="GX236" i="33"/>
  <c r="GW236" i="33"/>
  <c r="GV236" i="33"/>
  <c r="GU236" i="33"/>
  <c r="GT236" i="33"/>
  <c r="GS236" i="33"/>
  <c r="GR236" i="33"/>
  <c r="GQ236" i="33"/>
  <c r="GP236" i="33"/>
  <c r="GO236" i="33"/>
  <c r="GN236" i="33"/>
  <c r="GM236" i="33"/>
  <c r="GL236" i="33"/>
  <c r="GK236" i="33"/>
  <c r="GJ236" i="33"/>
  <c r="GI236" i="33"/>
  <c r="GH236" i="33"/>
  <c r="GG236" i="33"/>
  <c r="GF236" i="33"/>
  <c r="GE236" i="33"/>
  <c r="GD236" i="33"/>
  <c r="GC236" i="33"/>
  <c r="GB236" i="33"/>
  <c r="GA236" i="33"/>
  <c r="FZ236" i="33"/>
  <c r="FY236" i="33"/>
  <c r="FX236" i="33"/>
  <c r="FW236" i="33"/>
  <c r="FV236" i="33"/>
  <c r="FU236" i="33"/>
  <c r="FT236" i="33"/>
  <c r="FS236" i="33"/>
  <c r="FR236" i="33"/>
  <c r="FQ236" i="33"/>
  <c r="FP236" i="33"/>
  <c r="FO236" i="33"/>
  <c r="FN236" i="33"/>
  <c r="FM236" i="33"/>
  <c r="FL236" i="33"/>
  <c r="FK236" i="33"/>
  <c r="FJ236" i="33"/>
  <c r="FI236" i="33"/>
  <c r="FH236" i="33"/>
  <c r="FG236" i="33"/>
  <c r="FF236" i="33"/>
  <c r="FE236" i="33"/>
  <c r="FD236" i="33"/>
  <c r="FC236" i="33"/>
  <c r="FB236" i="33"/>
  <c r="FA236" i="33"/>
  <c r="EZ236" i="33"/>
  <c r="EY236" i="33"/>
  <c r="EX236" i="33"/>
  <c r="EW236" i="33"/>
  <c r="EV236" i="33"/>
  <c r="EU236" i="33"/>
  <c r="ET236" i="33"/>
  <c r="ES236" i="33"/>
  <c r="ER236" i="33"/>
  <c r="EQ236" i="33"/>
  <c r="EP236" i="33"/>
  <c r="EO236" i="33"/>
  <c r="EN236" i="33"/>
  <c r="EM236" i="33"/>
  <c r="EL236" i="33"/>
  <c r="EK236" i="33"/>
  <c r="EJ236" i="33"/>
  <c r="EI236" i="33"/>
  <c r="EH236" i="33"/>
  <c r="EG236" i="33"/>
  <c r="EF236" i="33"/>
  <c r="EE236" i="33"/>
  <c r="ED236" i="33"/>
  <c r="EC236" i="33"/>
  <c r="EB236" i="33"/>
  <c r="EA236" i="33"/>
  <c r="DZ236" i="33"/>
  <c r="DY236" i="33"/>
  <c r="DX236" i="33"/>
  <c r="DW236" i="33"/>
  <c r="DV236" i="33"/>
  <c r="DU236" i="33"/>
  <c r="DT236" i="33"/>
  <c r="DS236" i="33"/>
  <c r="DR236" i="33"/>
  <c r="DQ236" i="33"/>
  <c r="DP236" i="33"/>
  <c r="DO236" i="33"/>
  <c r="DN236" i="33"/>
  <c r="DM236" i="33"/>
  <c r="DL236" i="33"/>
  <c r="DK236" i="33"/>
  <c r="DJ236" i="33"/>
  <c r="DI236" i="33"/>
  <c r="DH236" i="33"/>
  <c r="DG236" i="33"/>
  <c r="DF236" i="33"/>
  <c r="DE236" i="33"/>
  <c r="DD236" i="33"/>
  <c r="DC236" i="33"/>
  <c r="DB236" i="33"/>
  <c r="DA236" i="33"/>
  <c r="CZ236" i="33"/>
  <c r="CY236" i="33"/>
  <c r="CX236" i="33"/>
  <c r="CW236" i="33"/>
  <c r="CV236" i="33"/>
  <c r="CU236" i="33"/>
  <c r="CT236" i="33"/>
  <c r="CS236" i="33"/>
  <c r="CR236" i="33"/>
  <c r="CQ236" i="33"/>
  <c r="CP236" i="33"/>
  <c r="CO236" i="33"/>
  <c r="CN236" i="33"/>
  <c r="CM236" i="33"/>
  <c r="CL236" i="33"/>
  <c r="CK236" i="33"/>
  <c r="CJ236" i="33"/>
  <c r="CI236" i="33"/>
  <c r="CH236" i="33"/>
  <c r="CG236" i="33"/>
  <c r="CF236" i="33"/>
  <c r="CE236" i="33"/>
  <c r="CD236" i="33"/>
  <c r="CC236" i="33"/>
  <c r="CB236" i="33"/>
  <c r="CA236" i="33"/>
  <c r="BZ236" i="33"/>
  <c r="BY236" i="33"/>
  <c r="BX236" i="33"/>
  <c r="BW236" i="33"/>
  <c r="BV236" i="33"/>
  <c r="BU236" i="33"/>
  <c r="BT236" i="33"/>
  <c r="BS236" i="33"/>
  <c r="BR236" i="33"/>
  <c r="BQ236" i="33"/>
  <c r="BP236" i="33"/>
  <c r="BO236" i="33"/>
  <c r="BN236" i="33"/>
  <c r="BM236" i="33"/>
  <c r="BL236" i="33"/>
  <c r="BK236" i="33"/>
  <c r="BJ236" i="33"/>
  <c r="BI236" i="33"/>
  <c r="BH236" i="33"/>
  <c r="BG236" i="33"/>
  <c r="BF236" i="33"/>
  <c r="BE236" i="33"/>
  <c r="BD236" i="33"/>
  <c r="BC236" i="33"/>
  <c r="BB236" i="33"/>
  <c r="BA236" i="33"/>
  <c r="AZ236" i="33"/>
  <c r="AY236" i="33"/>
  <c r="AX236" i="33"/>
  <c r="AW236" i="33"/>
  <c r="AV236" i="33"/>
  <c r="AU236" i="33"/>
  <c r="AT236" i="33"/>
  <c r="AS236" i="33"/>
  <c r="AR236" i="33"/>
  <c r="AQ236" i="33"/>
  <c r="AP236" i="33"/>
  <c r="AO236" i="33"/>
  <c r="AN236" i="33"/>
  <c r="AM236" i="33"/>
  <c r="AL236" i="33"/>
  <c r="AK236" i="33"/>
  <c r="AJ236" i="33"/>
  <c r="AI236" i="33"/>
  <c r="AH236" i="33"/>
  <c r="AG236" i="33"/>
  <c r="AF236" i="33"/>
  <c r="AE236" i="33"/>
  <c r="AD236" i="33"/>
  <c r="AC236" i="33"/>
  <c r="AB236" i="33"/>
  <c r="AA236" i="33"/>
  <c r="Z236" i="33"/>
  <c r="Y236" i="33"/>
  <c r="X236" i="33"/>
  <c r="W236" i="33"/>
  <c r="V236" i="33"/>
  <c r="U236" i="33"/>
  <c r="T236" i="33"/>
  <c r="S236" i="33"/>
  <c r="R236" i="33"/>
  <c r="Q236" i="33"/>
  <c r="P236" i="33"/>
  <c r="O236" i="33"/>
  <c r="N236" i="33"/>
  <c r="M236" i="33"/>
  <c r="L236" i="33"/>
  <c r="K236" i="33"/>
  <c r="J236" i="33"/>
  <c r="I236" i="33"/>
  <c r="H236" i="33"/>
  <c r="G236" i="33"/>
  <c r="F236" i="33"/>
  <c r="E236" i="33"/>
  <c r="D236" i="33"/>
  <c r="C236" i="33"/>
  <c r="B236" i="33"/>
  <c r="A236" i="33"/>
  <c r="IV235" i="33"/>
  <c r="IU235" i="33"/>
  <c r="IT235" i="33"/>
  <c r="IS235" i="33"/>
  <c r="IR235" i="33"/>
  <c r="IQ235" i="33"/>
  <c r="IP235" i="33"/>
  <c r="IO235" i="33"/>
  <c r="IN235" i="33"/>
  <c r="IM235" i="33"/>
  <c r="IL235" i="33"/>
  <c r="IK235" i="33"/>
  <c r="IJ235" i="33"/>
  <c r="II235" i="33"/>
  <c r="IH235" i="33"/>
  <c r="IG235" i="33"/>
  <c r="IF235" i="33"/>
  <c r="IE235" i="33"/>
  <c r="ID235" i="33"/>
  <c r="IC235" i="33"/>
  <c r="IB235" i="33"/>
  <c r="IA235" i="33"/>
  <c r="HZ235" i="33"/>
  <c r="HY235" i="33"/>
  <c r="HX235" i="33"/>
  <c r="HW235" i="33"/>
  <c r="HV235" i="33"/>
  <c r="HU235" i="33"/>
  <c r="HT235" i="33"/>
  <c r="HS235" i="33"/>
  <c r="HR235" i="33"/>
  <c r="HQ235" i="33"/>
  <c r="HP235" i="33"/>
  <c r="HO235" i="33"/>
  <c r="HN235" i="33"/>
  <c r="HM235" i="33"/>
  <c r="HL235" i="33"/>
  <c r="HK235" i="33"/>
  <c r="HJ235" i="33"/>
  <c r="HI235" i="33"/>
  <c r="HH235" i="33"/>
  <c r="HG235" i="33"/>
  <c r="HF235" i="33"/>
  <c r="HE235" i="33"/>
  <c r="HD235" i="33"/>
  <c r="HC235" i="33"/>
  <c r="HB235" i="33"/>
  <c r="HA235" i="33"/>
  <c r="GZ235" i="33"/>
  <c r="GY235" i="33"/>
  <c r="GX235" i="33"/>
  <c r="GW235" i="33"/>
  <c r="GV235" i="33"/>
  <c r="GU235" i="33"/>
  <c r="GT235" i="33"/>
  <c r="GS235" i="33"/>
  <c r="GR235" i="33"/>
  <c r="GQ235" i="33"/>
  <c r="GP235" i="33"/>
  <c r="GO235" i="33"/>
  <c r="GN235" i="33"/>
  <c r="GM235" i="33"/>
  <c r="GL235" i="33"/>
  <c r="GK235" i="33"/>
  <c r="GJ235" i="33"/>
  <c r="GI235" i="33"/>
  <c r="GH235" i="33"/>
  <c r="GG235" i="33"/>
  <c r="GF235" i="33"/>
  <c r="GE235" i="33"/>
  <c r="GD235" i="33"/>
  <c r="GC235" i="33"/>
  <c r="GB235" i="33"/>
  <c r="GA235" i="33"/>
  <c r="FZ235" i="33"/>
  <c r="FY235" i="33"/>
  <c r="FX235" i="33"/>
  <c r="FW235" i="33"/>
  <c r="FV235" i="33"/>
  <c r="FU235" i="33"/>
  <c r="FT235" i="33"/>
  <c r="FS235" i="33"/>
  <c r="FR235" i="33"/>
  <c r="FQ235" i="33"/>
  <c r="FP235" i="33"/>
  <c r="FO235" i="33"/>
  <c r="FN235" i="33"/>
  <c r="FM235" i="33"/>
  <c r="FL235" i="33"/>
  <c r="FK235" i="33"/>
  <c r="FJ235" i="33"/>
  <c r="FI235" i="33"/>
  <c r="FH235" i="33"/>
  <c r="FG235" i="33"/>
  <c r="FF235" i="33"/>
  <c r="FE235" i="33"/>
  <c r="FD235" i="33"/>
  <c r="FC235" i="33"/>
  <c r="FB235" i="33"/>
  <c r="FA235" i="33"/>
  <c r="EZ235" i="33"/>
  <c r="EY235" i="33"/>
  <c r="EX235" i="33"/>
  <c r="EW235" i="33"/>
  <c r="EV235" i="33"/>
  <c r="EU235" i="33"/>
  <c r="ET235" i="33"/>
  <c r="ES235" i="33"/>
  <c r="ER235" i="33"/>
  <c r="EQ235" i="33"/>
  <c r="EP235" i="33"/>
  <c r="EO235" i="33"/>
  <c r="EN235" i="33"/>
  <c r="EM235" i="33"/>
  <c r="EL235" i="33"/>
  <c r="EK235" i="33"/>
  <c r="EJ235" i="33"/>
  <c r="EI235" i="33"/>
  <c r="EH235" i="33"/>
  <c r="EG235" i="33"/>
  <c r="EF235" i="33"/>
  <c r="EE235" i="33"/>
  <c r="ED235" i="33"/>
  <c r="EC235" i="33"/>
  <c r="EB235" i="33"/>
  <c r="EA235" i="33"/>
  <c r="DZ235" i="33"/>
  <c r="DY235" i="33"/>
  <c r="DX235" i="33"/>
  <c r="DW235" i="33"/>
  <c r="DV235" i="33"/>
  <c r="DU235" i="33"/>
  <c r="DT235" i="33"/>
  <c r="DS235" i="33"/>
  <c r="DR235" i="33"/>
  <c r="DQ235" i="33"/>
  <c r="DP235" i="33"/>
  <c r="DO235" i="33"/>
  <c r="DN235" i="33"/>
  <c r="DM235" i="33"/>
  <c r="DL235" i="33"/>
  <c r="DK235" i="33"/>
  <c r="DJ235" i="33"/>
  <c r="DI235" i="33"/>
  <c r="DH235" i="33"/>
  <c r="DG235" i="33"/>
  <c r="DF235" i="33"/>
  <c r="DE235" i="33"/>
  <c r="DD235" i="33"/>
  <c r="DC235" i="33"/>
  <c r="DB235" i="33"/>
  <c r="DA235" i="33"/>
  <c r="CZ235" i="33"/>
  <c r="CY235" i="33"/>
  <c r="CX235" i="33"/>
  <c r="CW235" i="33"/>
  <c r="CV235" i="33"/>
  <c r="CU235" i="33"/>
  <c r="CT235" i="33"/>
  <c r="CS235" i="33"/>
  <c r="CR235" i="33"/>
  <c r="CQ235" i="33"/>
  <c r="CP235" i="33"/>
  <c r="CO235" i="33"/>
  <c r="CN235" i="33"/>
  <c r="CM235" i="33"/>
  <c r="CL235" i="33"/>
  <c r="CK235" i="33"/>
  <c r="CJ235" i="33"/>
  <c r="CI235" i="33"/>
  <c r="CH235" i="33"/>
  <c r="CG235" i="33"/>
  <c r="CF235" i="33"/>
  <c r="CE235" i="33"/>
  <c r="CD235" i="33"/>
  <c r="CC235" i="33"/>
  <c r="CB235" i="33"/>
  <c r="CA235" i="33"/>
  <c r="BZ235" i="33"/>
  <c r="BY235" i="33"/>
  <c r="BX235" i="33"/>
  <c r="BW235" i="33"/>
  <c r="BV235" i="33"/>
  <c r="BU235" i="33"/>
  <c r="BT235" i="33"/>
  <c r="BS235" i="33"/>
  <c r="BR235" i="33"/>
  <c r="BQ235" i="33"/>
  <c r="BP235" i="33"/>
  <c r="BO235" i="33"/>
  <c r="BN235" i="33"/>
  <c r="BM235" i="33"/>
  <c r="BL235" i="33"/>
  <c r="BK235" i="33"/>
  <c r="BJ235" i="33"/>
  <c r="BI235" i="33"/>
  <c r="BH235" i="33"/>
  <c r="BG235" i="33"/>
  <c r="BF235" i="33"/>
  <c r="BE235" i="33"/>
  <c r="BD235" i="33"/>
  <c r="BC235" i="33"/>
  <c r="BB235" i="33"/>
  <c r="BA235" i="33"/>
  <c r="AZ235" i="33"/>
  <c r="AY235" i="33"/>
  <c r="AX235" i="33"/>
  <c r="AW235" i="33"/>
  <c r="AV235" i="33"/>
  <c r="AU235" i="33"/>
  <c r="AT235" i="33"/>
  <c r="AS235" i="33"/>
  <c r="AR235" i="33"/>
  <c r="AQ235" i="33"/>
  <c r="AP235" i="33"/>
  <c r="AO235" i="33"/>
  <c r="AN235" i="33"/>
  <c r="AM235" i="33"/>
  <c r="AL235" i="33"/>
  <c r="AK235" i="33"/>
  <c r="AJ235" i="33"/>
  <c r="AI235" i="33"/>
  <c r="AH235" i="33"/>
  <c r="AG235" i="33"/>
  <c r="AF235" i="33"/>
  <c r="AE235" i="33"/>
  <c r="AD235" i="33"/>
  <c r="AC235" i="33"/>
  <c r="AB235" i="33"/>
  <c r="AA235" i="33"/>
  <c r="Z235" i="33"/>
  <c r="Y235" i="33"/>
  <c r="X235" i="33"/>
  <c r="W235" i="33"/>
  <c r="V235" i="33"/>
  <c r="U235" i="33"/>
  <c r="T235" i="33"/>
  <c r="S235" i="33"/>
  <c r="R235" i="33"/>
  <c r="Q235" i="33"/>
  <c r="P235" i="33"/>
  <c r="O235" i="33"/>
  <c r="N235" i="33"/>
  <c r="M235" i="33"/>
  <c r="L235" i="33"/>
  <c r="K235" i="33"/>
  <c r="J235" i="33"/>
  <c r="I235" i="33"/>
  <c r="H235" i="33"/>
  <c r="G235" i="33"/>
  <c r="F235" i="33"/>
  <c r="E235" i="33"/>
  <c r="D235" i="33"/>
  <c r="C235" i="33"/>
  <c r="B235" i="33"/>
  <c r="A235" i="33"/>
  <c r="IV234" i="33"/>
  <c r="IU234" i="33"/>
  <c r="IT234" i="33"/>
  <c r="IS234" i="33"/>
  <c r="IR234" i="33"/>
  <c r="IQ234" i="33"/>
  <c r="IP234" i="33"/>
  <c r="IO234" i="33"/>
  <c r="IN234" i="33"/>
  <c r="IM234" i="33"/>
  <c r="IL234" i="33"/>
  <c r="IK234" i="33"/>
  <c r="IJ234" i="33"/>
  <c r="II234" i="33"/>
  <c r="IH234" i="33"/>
  <c r="IG234" i="33"/>
  <c r="IF234" i="33"/>
  <c r="IE234" i="33"/>
  <c r="ID234" i="33"/>
  <c r="IC234" i="33"/>
  <c r="IB234" i="33"/>
  <c r="IA234" i="33"/>
  <c r="HZ234" i="33"/>
  <c r="HY234" i="33"/>
  <c r="HX234" i="33"/>
  <c r="HW234" i="33"/>
  <c r="HV234" i="33"/>
  <c r="HU234" i="33"/>
  <c r="HT234" i="33"/>
  <c r="HS234" i="33"/>
  <c r="HR234" i="33"/>
  <c r="HQ234" i="33"/>
  <c r="HP234" i="33"/>
  <c r="HO234" i="33"/>
  <c r="HN234" i="33"/>
  <c r="HM234" i="33"/>
  <c r="HL234" i="33"/>
  <c r="HK234" i="33"/>
  <c r="HJ234" i="33"/>
  <c r="HI234" i="33"/>
  <c r="HH234" i="33"/>
  <c r="HG234" i="33"/>
  <c r="HF234" i="33"/>
  <c r="HE234" i="33"/>
  <c r="HD234" i="33"/>
  <c r="HC234" i="33"/>
  <c r="HB234" i="33"/>
  <c r="HA234" i="33"/>
  <c r="GZ234" i="33"/>
  <c r="GY234" i="33"/>
  <c r="GX234" i="33"/>
  <c r="GW234" i="33"/>
  <c r="GV234" i="33"/>
  <c r="GU234" i="33"/>
  <c r="GT234" i="33"/>
  <c r="GS234" i="33"/>
  <c r="GR234" i="33"/>
  <c r="GQ234" i="33"/>
  <c r="GP234" i="33"/>
  <c r="GO234" i="33"/>
  <c r="GN234" i="33"/>
  <c r="GM234" i="33"/>
  <c r="GL234" i="33"/>
  <c r="GK234" i="33"/>
  <c r="GJ234" i="33"/>
  <c r="GI234" i="33"/>
  <c r="GH234" i="33"/>
  <c r="GG234" i="33"/>
  <c r="GF234" i="33"/>
  <c r="GE234" i="33"/>
  <c r="GD234" i="33"/>
  <c r="GC234" i="33"/>
  <c r="GB234" i="33"/>
  <c r="GA234" i="33"/>
  <c r="FZ234" i="33"/>
  <c r="FY234" i="33"/>
  <c r="FX234" i="33"/>
  <c r="FW234" i="33"/>
  <c r="FV234" i="33"/>
  <c r="FU234" i="33"/>
  <c r="FT234" i="33"/>
  <c r="FS234" i="33"/>
  <c r="FR234" i="33"/>
  <c r="FQ234" i="33"/>
  <c r="FP234" i="33"/>
  <c r="FO234" i="33"/>
  <c r="FN234" i="33"/>
  <c r="FM234" i="33"/>
  <c r="FL234" i="33"/>
  <c r="FK234" i="33"/>
  <c r="FJ234" i="33"/>
  <c r="FI234" i="33"/>
  <c r="FH234" i="33"/>
  <c r="FG234" i="33"/>
  <c r="FF234" i="33"/>
  <c r="FE234" i="33"/>
  <c r="FD234" i="33"/>
  <c r="FC234" i="33"/>
  <c r="FB234" i="33"/>
  <c r="FA234" i="33"/>
  <c r="EZ234" i="33"/>
  <c r="EY234" i="33"/>
  <c r="EX234" i="33"/>
  <c r="EW234" i="33"/>
  <c r="EV234" i="33"/>
  <c r="EU234" i="33"/>
  <c r="ET234" i="33"/>
  <c r="ES234" i="33"/>
  <c r="ER234" i="33"/>
  <c r="EQ234" i="33"/>
  <c r="EP234" i="33"/>
  <c r="EO234" i="33"/>
  <c r="EN234" i="33"/>
  <c r="EM234" i="33"/>
  <c r="EL234" i="33"/>
  <c r="EK234" i="33"/>
  <c r="EJ234" i="33"/>
  <c r="EI234" i="33"/>
  <c r="EH234" i="33"/>
  <c r="EG234" i="33"/>
  <c r="EF234" i="33"/>
  <c r="EE234" i="33"/>
  <c r="ED234" i="33"/>
  <c r="EC234" i="33"/>
  <c r="EB234" i="33"/>
  <c r="EA234" i="33"/>
  <c r="DZ234" i="33"/>
  <c r="DY234" i="33"/>
  <c r="DX234" i="33"/>
  <c r="DW234" i="33"/>
  <c r="DV234" i="33"/>
  <c r="DU234" i="33"/>
  <c r="DT234" i="33"/>
  <c r="DS234" i="33"/>
  <c r="DR234" i="33"/>
  <c r="DQ234" i="33"/>
  <c r="DP234" i="33"/>
  <c r="DO234" i="33"/>
  <c r="DN234" i="33"/>
  <c r="DM234" i="33"/>
  <c r="DL234" i="33"/>
  <c r="DK234" i="33"/>
  <c r="DJ234" i="33"/>
  <c r="DI234" i="33"/>
  <c r="DH234" i="33"/>
  <c r="DG234" i="33"/>
  <c r="DF234" i="33"/>
  <c r="DE234" i="33"/>
  <c r="DD234" i="33"/>
  <c r="DC234" i="33"/>
  <c r="DB234" i="33"/>
  <c r="DA234" i="33"/>
  <c r="CZ234" i="33"/>
  <c r="CY234" i="33"/>
  <c r="CX234" i="33"/>
  <c r="CW234" i="33"/>
  <c r="CV234" i="33"/>
  <c r="CU234" i="33"/>
  <c r="CT234" i="33"/>
  <c r="CS234" i="33"/>
  <c r="CR234" i="33"/>
  <c r="CQ234" i="33"/>
  <c r="CP234" i="33"/>
  <c r="CO234" i="33"/>
  <c r="CN234" i="33"/>
  <c r="CM234" i="33"/>
  <c r="CL234" i="33"/>
  <c r="CK234" i="33"/>
  <c r="CJ234" i="33"/>
  <c r="CI234" i="33"/>
  <c r="CH234" i="33"/>
  <c r="CG234" i="33"/>
  <c r="CF234" i="33"/>
  <c r="CE234" i="33"/>
  <c r="CD234" i="33"/>
  <c r="CC234" i="33"/>
  <c r="CB234" i="33"/>
  <c r="CA234" i="33"/>
  <c r="BZ234" i="33"/>
  <c r="BY234" i="33"/>
  <c r="BX234" i="33"/>
  <c r="BW234" i="33"/>
  <c r="BV234" i="33"/>
  <c r="BU234" i="33"/>
  <c r="BT234" i="33"/>
  <c r="BS234" i="33"/>
  <c r="BR234" i="33"/>
  <c r="BQ234" i="33"/>
  <c r="BP234" i="33"/>
  <c r="BO234" i="33"/>
  <c r="BN234" i="33"/>
  <c r="BM234" i="33"/>
  <c r="BL234" i="33"/>
  <c r="BK234" i="33"/>
  <c r="BJ234" i="33"/>
  <c r="BI234" i="33"/>
  <c r="BH234" i="33"/>
  <c r="BG234" i="33"/>
  <c r="BF234" i="33"/>
  <c r="BE234" i="33"/>
  <c r="BD234" i="33"/>
  <c r="BC234" i="33"/>
  <c r="BB234" i="33"/>
  <c r="BA234" i="33"/>
  <c r="AZ234" i="33"/>
  <c r="AY234" i="33"/>
  <c r="AX234" i="33"/>
  <c r="AW234" i="33"/>
  <c r="AV234" i="33"/>
  <c r="AU234" i="33"/>
  <c r="AT234" i="33"/>
  <c r="AS234" i="33"/>
  <c r="AR234" i="33"/>
  <c r="AQ234" i="33"/>
  <c r="AP234" i="33"/>
  <c r="AO234" i="33"/>
  <c r="AN234" i="33"/>
  <c r="AM234" i="33"/>
  <c r="AL234" i="33"/>
  <c r="AK234" i="33"/>
  <c r="AJ234" i="33"/>
  <c r="AI234" i="33"/>
  <c r="AH234" i="33"/>
  <c r="AG234" i="33"/>
  <c r="AF234" i="33"/>
  <c r="AE234" i="33"/>
  <c r="AD234" i="33"/>
  <c r="AC234" i="33"/>
  <c r="AB234" i="33"/>
  <c r="AA234" i="33"/>
  <c r="Z234" i="33"/>
  <c r="Y234" i="33"/>
  <c r="X234" i="33"/>
  <c r="W234" i="33"/>
  <c r="V234" i="33"/>
  <c r="U234" i="33"/>
  <c r="T234" i="33"/>
  <c r="S234" i="33"/>
  <c r="R234" i="33"/>
  <c r="Q234" i="33"/>
  <c r="P234" i="33"/>
  <c r="O234" i="33"/>
  <c r="N234" i="33"/>
  <c r="M234" i="33"/>
  <c r="L234" i="33"/>
  <c r="K234" i="33"/>
  <c r="J234" i="33"/>
  <c r="I234" i="33"/>
  <c r="H234" i="33"/>
  <c r="G234" i="33"/>
  <c r="F234" i="33"/>
  <c r="E234" i="33"/>
  <c r="D234" i="33"/>
  <c r="C234" i="33"/>
  <c r="B234" i="33"/>
  <c r="A234" i="33"/>
  <c r="IV233" i="33"/>
  <c r="IU233" i="33"/>
  <c r="IT233" i="33"/>
  <c r="IS233" i="33"/>
  <c r="IR233" i="33"/>
  <c r="IQ233" i="33"/>
  <c r="IP233" i="33"/>
  <c r="IO233" i="33"/>
  <c r="IN233" i="33"/>
  <c r="IM233" i="33"/>
  <c r="IL233" i="33"/>
  <c r="IK233" i="33"/>
  <c r="IJ233" i="33"/>
  <c r="II233" i="33"/>
  <c r="IH233" i="33"/>
  <c r="IG233" i="33"/>
  <c r="IF233" i="33"/>
  <c r="IE233" i="33"/>
  <c r="ID233" i="33"/>
  <c r="IC233" i="33"/>
  <c r="IB233" i="33"/>
  <c r="IA233" i="33"/>
  <c r="HZ233" i="33"/>
  <c r="HY233" i="33"/>
  <c r="HX233" i="33"/>
  <c r="HW233" i="33"/>
  <c r="HV233" i="33"/>
  <c r="HU233" i="33"/>
  <c r="HT233" i="33"/>
  <c r="HS233" i="33"/>
  <c r="HR233" i="33"/>
  <c r="HQ233" i="33"/>
  <c r="HP233" i="33"/>
  <c r="HO233" i="33"/>
  <c r="HN233" i="33"/>
  <c r="HM233" i="33"/>
  <c r="HL233" i="33"/>
  <c r="HK233" i="33"/>
  <c r="HJ233" i="33"/>
  <c r="HI233" i="33"/>
  <c r="HH233" i="33"/>
  <c r="HG233" i="33"/>
  <c r="HF233" i="33"/>
  <c r="HE233" i="33"/>
  <c r="HD233" i="33"/>
  <c r="HC233" i="33"/>
  <c r="HB233" i="33"/>
  <c r="HA233" i="33"/>
  <c r="GZ233" i="33"/>
  <c r="GY233" i="33"/>
  <c r="GX233" i="33"/>
  <c r="GW233" i="33"/>
  <c r="GV233" i="33"/>
  <c r="GU233" i="33"/>
  <c r="GT233" i="33"/>
  <c r="GS233" i="33"/>
  <c r="GR233" i="33"/>
  <c r="GQ233" i="33"/>
  <c r="GP233" i="33"/>
  <c r="GO233" i="33"/>
  <c r="GN233" i="33"/>
  <c r="GM233" i="33"/>
  <c r="GL233" i="33"/>
  <c r="GK233" i="33"/>
  <c r="GJ233" i="33"/>
  <c r="GI233" i="33"/>
  <c r="GH233" i="33"/>
  <c r="GG233" i="33"/>
  <c r="GF233" i="33"/>
  <c r="GE233" i="33"/>
  <c r="GD233" i="33"/>
  <c r="GC233" i="33"/>
  <c r="GB233" i="33"/>
  <c r="GA233" i="33"/>
  <c r="FZ233" i="33"/>
  <c r="FY233" i="33"/>
  <c r="FX233" i="33"/>
  <c r="FW233" i="33"/>
  <c r="FV233" i="33"/>
  <c r="FU233" i="33"/>
  <c r="FT233" i="33"/>
  <c r="FS233" i="33"/>
  <c r="FR233" i="33"/>
  <c r="FQ233" i="33"/>
  <c r="FP233" i="33"/>
  <c r="FO233" i="33"/>
  <c r="FN233" i="33"/>
  <c r="FM233" i="33"/>
  <c r="FL233" i="33"/>
  <c r="FK233" i="33"/>
  <c r="FJ233" i="33"/>
  <c r="FI233" i="33"/>
  <c r="FH233" i="33"/>
  <c r="FG233" i="33"/>
  <c r="FF233" i="33"/>
  <c r="FE233" i="33"/>
  <c r="FD233" i="33"/>
  <c r="FC233" i="33"/>
  <c r="FB233" i="33"/>
  <c r="FA233" i="33"/>
  <c r="EZ233" i="33"/>
  <c r="EY233" i="33"/>
  <c r="EX233" i="33"/>
  <c r="EW233" i="33"/>
  <c r="EV233" i="33"/>
  <c r="EU233" i="33"/>
  <c r="ET233" i="33"/>
  <c r="ES233" i="33"/>
  <c r="ER233" i="33"/>
  <c r="EQ233" i="33"/>
  <c r="EP233" i="33"/>
  <c r="EO233" i="33"/>
  <c r="EN233" i="33"/>
  <c r="EM233" i="33"/>
  <c r="EL233" i="33"/>
  <c r="EK233" i="33"/>
  <c r="EJ233" i="33"/>
  <c r="EI233" i="33"/>
  <c r="EH233" i="33"/>
  <c r="EG233" i="33"/>
  <c r="EF233" i="33"/>
  <c r="EE233" i="33"/>
  <c r="ED233" i="33"/>
  <c r="EC233" i="33"/>
  <c r="EB233" i="33"/>
  <c r="EA233" i="33"/>
  <c r="DZ233" i="33"/>
  <c r="DY233" i="33"/>
  <c r="DX233" i="33"/>
  <c r="DW233" i="33"/>
  <c r="DV233" i="33"/>
  <c r="DU233" i="33"/>
  <c r="DT233" i="33"/>
  <c r="DS233" i="33"/>
  <c r="DR233" i="33"/>
  <c r="DQ233" i="33"/>
  <c r="DP233" i="33"/>
  <c r="DO233" i="33"/>
  <c r="DN233" i="33"/>
  <c r="DM233" i="33"/>
  <c r="DL233" i="33"/>
  <c r="DK233" i="33"/>
  <c r="DJ233" i="33"/>
  <c r="DI233" i="33"/>
  <c r="DH233" i="33"/>
  <c r="DG233" i="33"/>
  <c r="DF233" i="33"/>
  <c r="DE233" i="33"/>
  <c r="DD233" i="33"/>
  <c r="DC233" i="33"/>
  <c r="DB233" i="33"/>
  <c r="DA233" i="33"/>
  <c r="CZ233" i="33"/>
  <c r="CY233" i="33"/>
  <c r="CX233" i="33"/>
  <c r="CW233" i="33"/>
  <c r="CV233" i="33"/>
  <c r="CU233" i="33"/>
  <c r="CT233" i="33"/>
  <c r="CS233" i="33"/>
  <c r="CR233" i="33"/>
  <c r="CQ233" i="33"/>
  <c r="CP233" i="33"/>
  <c r="CO233" i="33"/>
  <c r="CN233" i="33"/>
  <c r="CM233" i="33"/>
  <c r="CL233" i="33"/>
  <c r="CK233" i="33"/>
  <c r="CJ233" i="33"/>
  <c r="CI233" i="33"/>
  <c r="CH233" i="33"/>
  <c r="CG233" i="33"/>
  <c r="CF233" i="33"/>
  <c r="CE233" i="33"/>
  <c r="CD233" i="33"/>
  <c r="CC233" i="33"/>
  <c r="CB233" i="33"/>
  <c r="CA233" i="33"/>
  <c r="BZ233" i="33"/>
  <c r="BY233" i="33"/>
  <c r="BX233" i="33"/>
  <c r="BW233" i="33"/>
  <c r="BV233" i="33"/>
  <c r="BU233" i="33"/>
  <c r="BT233" i="33"/>
  <c r="BS233" i="33"/>
  <c r="BR233" i="33"/>
  <c r="BQ233" i="33"/>
  <c r="BP233" i="33"/>
  <c r="BO233" i="33"/>
  <c r="BN233" i="33"/>
  <c r="BM233" i="33"/>
  <c r="BL233" i="33"/>
  <c r="BK233" i="33"/>
  <c r="BJ233" i="33"/>
  <c r="BI233" i="33"/>
  <c r="BH233" i="33"/>
  <c r="BG233" i="33"/>
  <c r="BF233" i="33"/>
  <c r="BE233" i="33"/>
  <c r="BD233" i="33"/>
  <c r="BC233" i="33"/>
  <c r="BB233" i="33"/>
  <c r="BA233" i="33"/>
  <c r="AZ233" i="33"/>
  <c r="AY233" i="33"/>
  <c r="AX233" i="33"/>
  <c r="AW233" i="33"/>
  <c r="AV233" i="33"/>
  <c r="AU233" i="33"/>
  <c r="AT233" i="33"/>
  <c r="AS233" i="33"/>
  <c r="AR233" i="33"/>
  <c r="AQ233" i="33"/>
  <c r="AP233" i="33"/>
  <c r="AO233" i="33"/>
  <c r="AN233" i="33"/>
  <c r="AM233" i="33"/>
  <c r="AL233" i="33"/>
  <c r="AK233" i="33"/>
  <c r="AJ233" i="33"/>
  <c r="AI233" i="33"/>
  <c r="AH233" i="33"/>
  <c r="AG233" i="33"/>
  <c r="AF233" i="33"/>
  <c r="AE233" i="33"/>
  <c r="AD233" i="33"/>
  <c r="AC233" i="33"/>
  <c r="AB233" i="33"/>
  <c r="AA233" i="33"/>
  <c r="Z233" i="33"/>
  <c r="Y233" i="33"/>
  <c r="X233" i="33"/>
  <c r="W233" i="33"/>
  <c r="V233" i="33"/>
  <c r="U233" i="33"/>
  <c r="T233" i="33"/>
  <c r="S233" i="33"/>
  <c r="R233" i="33"/>
  <c r="Q233" i="33"/>
  <c r="P233" i="33"/>
  <c r="O233" i="33"/>
  <c r="N233" i="33"/>
  <c r="M233" i="33"/>
  <c r="L233" i="33"/>
  <c r="K233" i="33"/>
  <c r="J233" i="33"/>
  <c r="I233" i="33"/>
  <c r="H233" i="33"/>
  <c r="G233" i="33"/>
  <c r="F233" i="33"/>
  <c r="E233" i="33"/>
  <c r="D233" i="33"/>
  <c r="C233" i="33"/>
  <c r="B233" i="33"/>
  <c r="A233" i="33"/>
  <c r="IV232" i="33"/>
  <c r="IU232" i="33"/>
  <c r="IT232" i="33"/>
  <c r="IS232" i="33"/>
  <c r="IR232" i="33"/>
  <c r="IQ232" i="33"/>
  <c r="IP232" i="33"/>
  <c r="IO232" i="33"/>
  <c r="IN232" i="33"/>
  <c r="IM232" i="33"/>
  <c r="IL232" i="33"/>
  <c r="IK232" i="33"/>
  <c r="IJ232" i="33"/>
  <c r="II232" i="33"/>
  <c r="IH232" i="33"/>
  <c r="IG232" i="33"/>
  <c r="IF232" i="33"/>
  <c r="IE232" i="33"/>
  <c r="ID232" i="33"/>
  <c r="IC232" i="33"/>
  <c r="IB232" i="33"/>
  <c r="IA232" i="33"/>
  <c r="HZ232" i="33"/>
  <c r="HY232" i="33"/>
  <c r="HX232" i="33"/>
  <c r="HW232" i="33"/>
  <c r="HV232" i="33"/>
  <c r="HU232" i="33"/>
  <c r="HT232" i="33"/>
  <c r="HS232" i="33"/>
  <c r="HR232" i="33"/>
  <c r="HQ232" i="33"/>
  <c r="HP232" i="33"/>
  <c r="HO232" i="33"/>
  <c r="HN232" i="33"/>
  <c r="HM232" i="33"/>
  <c r="HL232" i="33"/>
  <c r="HK232" i="33"/>
  <c r="HJ232" i="33"/>
  <c r="HI232" i="33"/>
  <c r="HH232" i="33"/>
  <c r="HG232" i="33"/>
  <c r="HF232" i="33"/>
  <c r="HE232" i="33"/>
  <c r="HD232" i="33"/>
  <c r="HC232" i="33"/>
  <c r="HB232" i="33"/>
  <c r="HA232" i="33"/>
  <c r="GZ232" i="33"/>
  <c r="GY232" i="33"/>
  <c r="GX232" i="33"/>
  <c r="GW232" i="33"/>
  <c r="GV232" i="33"/>
  <c r="GU232" i="33"/>
  <c r="GT232" i="33"/>
  <c r="GS232" i="33"/>
  <c r="GR232" i="33"/>
  <c r="GQ232" i="33"/>
  <c r="GP232" i="33"/>
  <c r="GO232" i="33"/>
  <c r="GN232" i="33"/>
  <c r="GM232" i="33"/>
  <c r="GL232" i="33"/>
  <c r="GK232" i="33"/>
  <c r="GJ232" i="33"/>
  <c r="GI232" i="33"/>
  <c r="GH232" i="33"/>
  <c r="GG232" i="33"/>
  <c r="GF232" i="33"/>
  <c r="GE232" i="33"/>
  <c r="GD232" i="33"/>
  <c r="GC232" i="33"/>
  <c r="GB232" i="33"/>
  <c r="GA232" i="33"/>
  <c r="FZ232" i="33"/>
  <c r="FY232" i="33"/>
  <c r="FX232" i="33"/>
  <c r="FW232" i="33"/>
  <c r="FV232" i="33"/>
  <c r="FU232" i="33"/>
  <c r="FT232" i="33"/>
  <c r="FS232" i="33"/>
  <c r="FR232" i="33"/>
  <c r="FQ232" i="33"/>
  <c r="FP232" i="33"/>
  <c r="FO232" i="33"/>
  <c r="FN232" i="33"/>
  <c r="FM232" i="33"/>
  <c r="FL232" i="33"/>
  <c r="FK232" i="33"/>
  <c r="FJ232" i="33"/>
  <c r="FI232" i="33"/>
  <c r="FH232" i="33"/>
  <c r="FG232" i="33"/>
  <c r="FF232" i="33"/>
  <c r="FE232" i="33"/>
  <c r="FD232" i="33"/>
  <c r="FC232" i="33"/>
  <c r="FB232" i="33"/>
  <c r="FA232" i="33"/>
  <c r="EZ232" i="33"/>
  <c r="EY232" i="33"/>
  <c r="EX232" i="33"/>
  <c r="EW232" i="33"/>
  <c r="EV232" i="33"/>
  <c r="EU232" i="33"/>
  <c r="ET232" i="33"/>
  <c r="ES232" i="33"/>
  <c r="ER232" i="33"/>
  <c r="EQ232" i="33"/>
  <c r="EP232" i="33"/>
  <c r="EO232" i="33"/>
  <c r="EN232" i="33"/>
  <c r="EM232" i="33"/>
  <c r="EL232" i="33"/>
  <c r="EK232" i="33"/>
  <c r="EJ232" i="33"/>
  <c r="EI232" i="33"/>
  <c r="EH232" i="33"/>
  <c r="EG232" i="33"/>
  <c r="EF232" i="33"/>
  <c r="EE232" i="33"/>
  <c r="ED232" i="33"/>
  <c r="EC232" i="33"/>
  <c r="EB232" i="33"/>
  <c r="EA232" i="33"/>
  <c r="DZ232" i="33"/>
  <c r="DY232" i="33"/>
  <c r="DX232" i="33"/>
  <c r="DW232" i="33"/>
  <c r="DV232" i="33"/>
  <c r="DU232" i="33"/>
  <c r="DT232" i="33"/>
  <c r="DS232" i="33"/>
  <c r="DR232" i="33"/>
  <c r="DQ232" i="33"/>
  <c r="DP232" i="33"/>
  <c r="DO232" i="33"/>
  <c r="DN232" i="33"/>
  <c r="DM232" i="33"/>
  <c r="DL232" i="33"/>
  <c r="DK232" i="33"/>
  <c r="DJ232" i="33"/>
  <c r="DI232" i="33"/>
  <c r="DH232" i="33"/>
  <c r="DG232" i="33"/>
  <c r="DF232" i="33"/>
  <c r="DE232" i="33"/>
  <c r="DD232" i="33"/>
  <c r="DC232" i="33"/>
  <c r="DB232" i="33"/>
  <c r="DA232" i="33"/>
  <c r="CZ232" i="33"/>
  <c r="CY232" i="33"/>
  <c r="CX232" i="33"/>
  <c r="CW232" i="33"/>
  <c r="CV232" i="33"/>
  <c r="CU232" i="33"/>
  <c r="CT232" i="33"/>
  <c r="CS232" i="33"/>
  <c r="CR232" i="33"/>
  <c r="CQ232" i="33"/>
  <c r="CP232" i="33"/>
  <c r="CO232" i="33"/>
  <c r="CN232" i="33"/>
  <c r="CM232" i="33"/>
  <c r="CL232" i="33"/>
  <c r="CK232" i="33"/>
  <c r="CJ232" i="33"/>
  <c r="CI232" i="33"/>
  <c r="CH232" i="33"/>
  <c r="CG232" i="33"/>
  <c r="CF232" i="33"/>
  <c r="CE232" i="33"/>
  <c r="CD232" i="33"/>
  <c r="CC232" i="33"/>
  <c r="CB232" i="33"/>
  <c r="CA232" i="33"/>
  <c r="BZ232" i="33"/>
  <c r="BY232" i="33"/>
  <c r="BX232" i="33"/>
  <c r="BW232" i="33"/>
  <c r="BV232" i="33"/>
  <c r="BU232" i="33"/>
  <c r="BT232" i="33"/>
  <c r="BS232" i="33"/>
  <c r="BR232" i="33"/>
  <c r="BQ232" i="33"/>
  <c r="BP232" i="33"/>
  <c r="BO232" i="33"/>
  <c r="BN232" i="33"/>
  <c r="BM232" i="33"/>
  <c r="BL232" i="33"/>
  <c r="BK232" i="33"/>
  <c r="BJ232" i="33"/>
  <c r="BI232" i="33"/>
  <c r="BH232" i="33"/>
  <c r="BG232" i="33"/>
  <c r="BF232" i="33"/>
  <c r="BE232" i="33"/>
  <c r="BD232" i="33"/>
  <c r="BC232" i="33"/>
  <c r="BB232" i="33"/>
  <c r="BA232" i="33"/>
  <c r="AZ232" i="33"/>
  <c r="AY232" i="33"/>
  <c r="AX232" i="33"/>
  <c r="AW232" i="33"/>
  <c r="AV232" i="33"/>
  <c r="AU232" i="33"/>
  <c r="AT232" i="33"/>
  <c r="AS232" i="33"/>
  <c r="AR232" i="33"/>
  <c r="AQ232" i="33"/>
  <c r="AP232" i="33"/>
  <c r="AO232" i="33"/>
  <c r="AN232" i="33"/>
  <c r="AM232" i="33"/>
  <c r="AL232" i="33"/>
  <c r="AK232" i="33"/>
  <c r="AJ232" i="33"/>
  <c r="AI232" i="33"/>
  <c r="AH232" i="33"/>
  <c r="AG232" i="33"/>
  <c r="AF232" i="33"/>
  <c r="AE232" i="33"/>
  <c r="AD232" i="33"/>
  <c r="AC232" i="33"/>
  <c r="AB232" i="33"/>
  <c r="AA232" i="33"/>
  <c r="Z232" i="33"/>
  <c r="Y232" i="33"/>
  <c r="X232" i="33"/>
  <c r="W232" i="33"/>
  <c r="V232" i="33"/>
  <c r="U232" i="33"/>
  <c r="T232" i="33"/>
  <c r="S232" i="33"/>
  <c r="R232" i="33"/>
  <c r="Q232" i="33"/>
  <c r="P232" i="33"/>
  <c r="O232" i="33"/>
  <c r="N232" i="33"/>
  <c r="M232" i="33"/>
  <c r="L232" i="33"/>
  <c r="K232" i="33"/>
  <c r="J232" i="33"/>
  <c r="I232" i="33"/>
  <c r="H232" i="33"/>
  <c r="G232" i="33"/>
  <c r="F232" i="33"/>
  <c r="E232" i="33"/>
  <c r="D232" i="33"/>
  <c r="C232" i="33"/>
  <c r="B232" i="33"/>
  <c r="A232" i="33"/>
  <c r="IV231" i="33"/>
  <c r="IU231" i="33"/>
  <c r="IT231" i="33"/>
  <c r="IS231" i="33"/>
  <c r="IR231" i="33"/>
  <c r="IQ231" i="33"/>
  <c r="IP231" i="33"/>
  <c r="IO231" i="33"/>
  <c r="IN231" i="33"/>
  <c r="IM231" i="33"/>
  <c r="IL231" i="33"/>
  <c r="IK231" i="33"/>
  <c r="IJ231" i="33"/>
  <c r="II231" i="33"/>
  <c r="IH231" i="33"/>
  <c r="IG231" i="33"/>
  <c r="IF231" i="33"/>
  <c r="IE231" i="33"/>
  <c r="ID231" i="33"/>
  <c r="IC231" i="33"/>
  <c r="IB231" i="33"/>
  <c r="IA231" i="33"/>
  <c r="HZ231" i="33"/>
  <c r="HY231" i="33"/>
  <c r="HX231" i="33"/>
  <c r="HW231" i="33"/>
  <c r="HV231" i="33"/>
  <c r="HU231" i="33"/>
  <c r="HT231" i="33"/>
  <c r="HS231" i="33"/>
  <c r="HR231" i="33"/>
  <c r="HQ231" i="33"/>
  <c r="HP231" i="33"/>
  <c r="HO231" i="33"/>
  <c r="HN231" i="33"/>
  <c r="HM231" i="33"/>
  <c r="HL231" i="33"/>
  <c r="HK231" i="33"/>
  <c r="HJ231" i="33"/>
  <c r="HI231" i="33"/>
  <c r="HH231" i="33"/>
  <c r="HG231" i="33"/>
  <c r="HF231" i="33"/>
  <c r="HE231" i="33"/>
  <c r="HD231" i="33"/>
  <c r="HC231" i="33"/>
  <c r="HB231" i="33"/>
  <c r="HA231" i="33"/>
  <c r="GZ231" i="33"/>
  <c r="GY231" i="33"/>
  <c r="GX231" i="33"/>
  <c r="GW231" i="33"/>
  <c r="GV231" i="33"/>
  <c r="GU231" i="33"/>
  <c r="GT231" i="33"/>
  <c r="GS231" i="33"/>
  <c r="GR231" i="33"/>
  <c r="GQ231" i="33"/>
  <c r="GP231" i="33"/>
  <c r="GO231" i="33"/>
  <c r="GN231" i="33"/>
  <c r="GM231" i="33"/>
  <c r="GL231" i="33"/>
  <c r="GK231" i="33"/>
  <c r="GJ231" i="33"/>
  <c r="GI231" i="33"/>
  <c r="GH231" i="33"/>
  <c r="GG231" i="33"/>
  <c r="GF231" i="33"/>
  <c r="GE231" i="33"/>
  <c r="GD231" i="33"/>
  <c r="GC231" i="33"/>
  <c r="GB231" i="33"/>
  <c r="GA231" i="33"/>
  <c r="FZ231" i="33"/>
  <c r="FY231" i="33"/>
  <c r="FX231" i="33"/>
  <c r="FW231" i="33"/>
  <c r="FV231" i="33"/>
  <c r="FU231" i="33"/>
  <c r="FT231" i="33"/>
  <c r="FS231" i="33"/>
  <c r="FR231" i="33"/>
  <c r="FQ231" i="33"/>
  <c r="FP231" i="33"/>
  <c r="FO231" i="33"/>
  <c r="FN231" i="33"/>
  <c r="FM231" i="33"/>
  <c r="FL231" i="33"/>
  <c r="FK231" i="33"/>
  <c r="FJ231" i="33"/>
  <c r="FI231" i="33"/>
  <c r="FH231" i="33"/>
  <c r="FG231" i="33"/>
  <c r="FF231" i="33"/>
  <c r="FE231" i="33"/>
  <c r="FD231" i="33"/>
  <c r="FC231" i="33"/>
  <c r="FB231" i="33"/>
  <c r="FA231" i="33"/>
  <c r="EZ231" i="33"/>
  <c r="EY231" i="33"/>
  <c r="EX231" i="33"/>
  <c r="EW231" i="33"/>
  <c r="EV231" i="33"/>
  <c r="EU231" i="33"/>
  <c r="ET231" i="33"/>
  <c r="ES231" i="33"/>
  <c r="ER231" i="33"/>
  <c r="EQ231" i="33"/>
  <c r="EP231" i="33"/>
  <c r="EO231" i="33"/>
  <c r="EN231" i="33"/>
  <c r="EM231" i="33"/>
  <c r="EL231" i="33"/>
  <c r="EK231" i="33"/>
  <c r="EJ231" i="33"/>
  <c r="EI231" i="33"/>
  <c r="EH231" i="33"/>
  <c r="EG231" i="33"/>
  <c r="EF231" i="33"/>
  <c r="EE231" i="33"/>
  <c r="ED231" i="33"/>
  <c r="EC231" i="33"/>
  <c r="EB231" i="33"/>
  <c r="EA231" i="33"/>
  <c r="DZ231" i="33"/>
  <c r="DY231" i="33"/>
  <c r="DX231" i="33"/>
  <c r="DW231" i="33"/>
  <c r="DV231" i="33"/>
  <c r="DU231" i="33"/>
  <c r="DT231" i="33"/>
  <c r="DS231" i="33"/>
  <c r="DR231" i="33"/>
  <c r="DQ231" i="33"/>
  <c r="DP231" i="33"/>
  <c r="DO231" i="33"/>
  <c r="DN231" i="33"/>
  <c r="DM231" i="33"/>
  <c r="DL231" i="33"/>
  <c r="DK231" i="33"/>
  <c r="DJ231" i="33"/>
  <c r="DI231" i="33"/>
  <c r="DH231" i="33"/>
  <c r="DG231" i="33"/>
  <c r="DF231" i="33"/>
  <c r="DE231" i="33"/>
  <c r="DD231" i="33"/>
  <c r="DC231" i="33"/>
  <c r="DB231" i="33"/>
  <c r="DA231" i="33"/>
  <c r="CZ231" i="33"/>
  <c r="CY231" i="33"/>
  <c r="CX231" i="33"/>
  <c r="CW231" i="33"/>
  <c r="CV231" i="33"/>
  <c r="CU231" i="33"/>
  <c r="CT231" i="33"/>
  <c r="CS231" i="33"/>
  <c r="CR231" i="33"/>
  <c r="CQ231" i="33"/>
  <c r="CP231" i="33"/>
  <c r="CO231" i="33"/>
  <c r="CN231" i="33"/>
  <c r="CM231" i="33"/>
  <c r="CL231" i="33"/>
  <c r="CK231" i="33"/>
  <c r="CJ231" i="33"/>
  <c r="CI231" i="33"/>
  <c r="CH231" i="33"/>
  <c r="CG231" i="33"/>
  <c r="CF231" i="33"/>
  <c r="CE231" i="33"/>
  <c r="CD231" i="33"/>
  <c r="CC231" i="33"/>
  <c r="CB231" i="33"/>
  <c r="CA231" i="33"/>
  <c r="BZ231" i="33"/>
  <c r="BY231" i="33"/>
  <c r="BX231" i="33"/>
  <c r="BW231" i="33"/>
  <c r="BV231" i="33"/>
  <c r="BU231" i="33"/>
  <c r="BT231" i="33"/>
  <c r="BS231" i="33"/>
  <c r="BR231" i="33"/>
  <c r="BQ231" i="33"/>
  <c r="BP231" i="33"/>
  <c r="BO231" i="33"/>
  <c r="BN231" i="33"/>
  <c r="BM231" i="33"/>
  <c r="BL231" i="33"/>
  <c r="BK231" i="33"/>
  <c r="BJ231" i="33"/>
  <c r="BI231" i="33"/>
  <c r="BH231" i="33"/>
  <c r="BG231" i="33"/>
  <c r="BF231" i="33"/>
  <c r="BE231" i="33"/>
  <c r="BD231" i="33"/>
  <c r="BC231" i="33"/>
  <c r="BB231" i="33"/>
  <c r="BA231" i="33"/>
  <c r="AZ231" i="33"/>
  <c r="AY231" i="33"/>
  <c r="AX231" i="33"/>
  <c r="AW231" i="33"/>
  <c r="AV231" i="33"/>
  <c r="AU231" i="33"/>
  <c r="AT231" i="33"/>
  <c r="AS231" i="33"/>
  <c r="AR231" i="33"/>
  <c r="AQ231" i="33"/>
  <c r="AP231" i="33"/>
  <c r="AO231" i="33"/>
  <c r="AN231" i="33"/>
  <c r="AM231" i="33"/>
  <c r="AL231" i="33"/>
  <c r="AK231" i="33"/>
  <c r="AJ231" i="33"/>
  <c r="AI231" i="33"/>
  <c r="AH231" i="33"/>
  <c r="AG231" i="33"/>
  <c r="AF231" i="33"/>
  <c r="AE231" i="33"/>
  <c r="AD231" i="33"/>
  <c r="AC231" i="33"/>
  <c r="AB231" i="33"/>
  <c r="AA231" i="33"/>
  <c r="Z231" i="33"/>
  <c r="Y231" i="33"/>
  <c r="X231" i="33"/>
  <c r="W231" i="33"/>
  <c r="V231" i="33"/>
  <c r="U231" i="33"/>
  <c r="T231" i="33"/>
  <c r="S231" i="33"/>
  <c r="R231" i="33"/>
  <c r="Q231" i="33"/>
  <c r="P231" i="33"/>
  <c r="O231" i="33"/>
  <c r="N231" i="33"/>
  <c r="M231" i="33"/>
  <c r="L231" i="33"/>
  <c r="K231" i="33"/>
  <c r="J231" i="33"/>
  <c r="I231" i="33"/>
  <c r="H231" i="33"/>
  <c r="G231" i="33"/>
  <c r="F231" i="33"/>
  <c r="E231" i="33"/>
  <c r="D231" i="33"/>
  <c r="C231" i="33"/>
  <c r="B231" i="33"/>
  <c r="A231" i="33"/>
  <c r="IV230" i="33"/>
  <c r="IU230" i="33"/>
  <c r="IT230" i="33"/>
  <c r="IS230" i="33"/>
  <c r="IR230" i="33"/>
  <c r="IQ230" i="33"/>
  <c r="IP230" i="33"/>
  <c r="IO230" i="33"/>
  <c r="IN230" i="33"/>
  <c r="IM230" i="33"/>
  <c r="IL230" i="33"/>
  <c r="IK230" i="33"/>
  <c r="IJ230" i="33"/>
  <c r="II230" i="33"/>
  <c r="IH230" i="33"/>
  <c r="IG230" i="33"/>
  <c r="IF230" i="33"/>
  <c r="IE230" i="33"/>
  <c r="ID230" i="33"/>
  <c r="IC230" i="33"/>
  <c r="IB230" i="33"/>
  <c r="IA230" i="33"/>
  <c r="HZ230" i="33"/>
  <c r="HY230" i="33"/>
  <c r="HX230" i="33"/>
  <c r="HW230" i="33"/>
  <c r="HV230" i="33"/>
  <c r="HU230" i="33"/>
  <c r="HT230" i="33"/>
  <c r="HS230" i="33"/>
  <c r="HR230" i="33"/>
  <c r="HQ230" i="33"/>
  <c r="HP230" i="33"/>
  <c r="HO230" i="33"/>
  <c r="HN230" i="33"/>
  <c r="HM230" i="33"/>
  <c r="HL230" i="33"/>
  <c r="HK230" i="33"/>
  <c r="HJ230" i="33"/>
  <c r="HI230" i="33"/>
  <c r="HH230" i="33"/>
  <c r="HG230" i="33"/>
  <c r="HF230" i="33"/>
  <c r="HE230" i="33"/>
  <c r="HD230" i="33"/>
  <c r="HC230" i="33"/>
  <c r="HB230" i="33"/>
  <c r="HA230" i="33"/>
  <c r="GZ230" i="33"/>
  <c r="GY230" i="33"/>
  <c r="GX230" i="33"/>
  <c r="GW230" i="33"/>
  <c r="GV230" i="33"/>
  <c r="GU230" i="33"/>
  <c r="GT230" i="33"/>
  <c r="GS230" i="33"/>
  <c r="GR230" i="33"/>
  <c r="GQ230" i="33"/>
  <c r="GP230" i="33"/>
  <c r="GO230" i="33"/>
  <c r="GN230" i="33"/>
  <c r="GM230" i="33"/>
  <c r="GL230" i="33"/>
  <c r="GK230" i="33"/>
  <c r="GJ230" i="33"/>
  <c r="GI230" i="33"/>
  <c r="GH230" i="33"/>
  <c r="GG230" i="33"/>
  <c r="GF230" i="33"/>
  <c r="GE230" i="33"/>
  <c r="GD230" i="33"/>
  <c r="GC230" i="33"/>
  <c r="GB230" i="33"/>
  <c r="GA230" i="33"/>
  <c r="FZ230" i="33"/>
  <c r="FY230" i="33"/>
  <c r="FX230" i="33"/>
  <c r="FW230" i="33"/>
  <c r="FV230" i="33"/>
  <c r="FU230" i="33"/>
  <c r="FT230" i="33"/>
  <c r="FS230" i="33"/>
  <c r="FR230" i="33"/>
  <c r="FQ230" i="33"/>
  <c r="FP230" i="33"/>
  <c r="FO230" i="33"/>
  <c r="FN230" i="33"/>
  <c r="FM230" i="33"/>
  <c r="FL230" i="33"/>
  <c r="FK230" i="33"/>
  <c r="FJ230" i="33"/>
  <c r="FI230" i="33"/>
  <c r="FH230" i="33"/>
  <c r="FG230" i="33"/>
  <c r="FF230" i="33"/>
  <c r="FE230" i="33"/>
  <c r="FD230" i="33"/>
  <c r="FC230" i="33"/>
  <c r="FB230" i="33"/>
  <c r="FA230" i="33"/>
  <c r="EZ230" i="33"/>
  <c r="EY230" i="33"/>
  <c r="EX230" i="33"/>
  <c r="EW230" i="33"/>
  <c r="EV230" i="33"/>
  <c r="EU230" i="33"/>
  <c r="ET230" i="33"/>
  <c r="ES230" i="33"/>
  <c r="ER230" i="33"/>
  <c r="EQ230" i="33"/>
  <c r="EP230" i="33"/>
  <c r="EO230" i="33"/>
  <c r="EN230" i="33"/>
  <c r="EM230" i="33"/>
  <c r="EL230" i="33"/>
  <c r="EK230" i="33"/>
  <c r="EJ230" i="33"/>
  <c r="EI230" i="33"/>
  <c r="EH230" i="33"/>
  <c r="EG230" i="33"/>
  <c r="EF230" i="33"/>
  <c r="EE230" i="33"/>
  <c r="ED230" i="33"/>
  <c r="EC230" i="33"/>
  <c r="EB230" i="33"/>
  <c r="EA230" i="33"/>
  <c r="DZ230" i="33"/>
  <c r="DY230" i="33"/>
  <c r="DX230" i="33"/>
  <c r="DW230" i="33"/>
  <c r="DV230" i="33"/>
  <c r="DU230" i="33"/>
  <c r="DT230" i="33"/>
  <c r="DS230" i="33"/>
  <c r="DR230" i="33"/>
  <c r="DQ230" i="33"/>
  <c r="DP230" i="33"/>
  <c r="DO230" i="33"/>
  <c r="DN230" i="33"/>
  <c r="DM230" i="33"/>
  <c r="DL230" i="33"/>
  <c r="DK230" i="33"/>
  <c r="DJ230" i="33"/>
  <c r="DI230" i="33"/>
  <c r="DH230" i="33"/>
  <c r="DG230" i="33"/>
  <c r="DF230" i="33"/>
  <c r="DE230" i="33"/>
  <c r="DD230" i="33"/>
  <c r="DC230" i="33"/>
  <c r="DB230" i="33"/>
  <c r="DA230" i="33"/>
  <c r="CZ230" i="33"/>
  <c r="CY230" i="33"/>
  <c r="CX230" i="33"/>
  <c r="CW230" i="33"/>
  <c r="CV230" i="33"/>
  <c r="CU230" i="33"/>
  <c r="CT230" i="33"/>
  <c r="CS230" i="33"/>
  <c r="CR230" i="33"/>
  <c r="CQ230" i="33"/>
  <c r="CP230" i="33"/>
  <c r="CO230" i="33"/>
  <c r="CN230" i="33"/>
  <c r="CM230" i="33"/>
  <c r="CL230" i="33"/>
  <c r="CK230" i="33"/>
  <c r="CJ230" i="33"/>
  <c r="CI230" i="33"/>
  <c r="CH230" i="33"/>
  <c r="CG230" i="33"/>
  <c r="CF230" i="33"/>
  <c r="CE230" i="33"/>
  <c r="CD230" i="33"/>
  <c r="CC230" i="33"/>
  <c r="CB230" i="33"/>
  <c r="CA230" i="33"/>
  <c r="BZ230" i="33"/>
  <c r="BY230" i="33"/>
  <c r="BX230" i="33"/>
  <c r="BW230" i="33"/>
  <c r="BV230" i="33"/>
  <c r="BU230" i="33"/>
  <c r="BT230" i="33"/>
  <c r="BS230" i="33"/>
  <c r="BR230" i="33"/>
  <c r="BQ230" i="33"/>
  <c r="BP230" i="33"/>
  <c r="BO230" i="33"/>
  <c r="BN230" i="33"/>
  <c r="BM230" i="33"/>
  <c r="BL230" i="33"/>
  <c r="BK230" i="33"/>
  <c r="BJ230" i="33"/>
  <c r="BI230" i="33"/>
  <c r="BH230" i="33"/>
  <c r="BG230" i="33"/>
  <c r="BF230" i="33"/>
  <c r="BE230" i="33"/>
  <c r="BD230" i="33"/>
  <c r="BC230" i="33"/>
  <c r="BB230" i="33"/>
  <c r="BA230" i="33"/>
  <c r="AZ230" i="33"/>
  <c r="AY230" i="33"/>
  <c r="AX230" i="33"/>
  <c r="AW230" i="33"/>
  <c r="AV230" i="33"/>
  <c r="AU230" i="33"/>
  <c r="AT230" i="33"/>
  <c r="AS230" i="33"/>
  <c r="AR230" i="33"/>
  <c r="AQ230" i="33"/>
  <c r="AP230" i="33"/>
  <c r="AO230" i="33"/>
  <c r="AN230" i="33"/>
  <c r="AM230" i="33"/>
  <c r="AL230" i="33"/>
  <c r="AK230" i="33"/>
  <c r="AJ230" i="33"/>
  <c r="AI230" i="33"/>
  <c r="AH230" i="33"/>
  <c r="AG230" i="33"/>
  <c r="AF230" i="33"/>
  <c r="AE230" i="33"/>
  <c r="AD230" i="33"/>
  <c r="AC230" i="33"/>
  <c r="AB230" i="33"/>
  <c r="AA230" i="33"/>
  <c r="Z230" i="33"/>
  <c r="Y230" i="33"/>
  <c r="X230" i="33"/>
  <c r="W230" i="33"/>
  <c r="V230" i="33"/>
  <c r="U230" i="33"/>
  <c r="T230" i="33"/>
  <c r="S230" i="33"/>
  <c r="R230" i="33"/>
  <c r="Q230" i="33"/>
  <c r="P230" i="33"/>
  <c r="O230" i="33"/>
  <c r="N230" i="33"/>
  <c r="M230" i="33"/>
  <c r="L230" i="33"/>
  <c r="K230" i="33"/>
  <c r="J230" i="33"/>
  <c r="I230" i="33"/>
  <c r="H230" i="33"/>
  <c r="G230" i="33"/>
  <c r="F230" i="33"/>
  <c r="E230" i="33"/>
  <c r="D230" i="33"/>
  <c r="C230" i="33"/>
  <c r="B230" i="33"/>
  <c r="A230" i="33"/>
  <c r="IV229" i="33"/>
  <c r="IU229" i="33"/>
  <c r="IT229" i="33"/>
  <c r="IS229" i="33"/>
  <c r="IR229" i="33"/>
  <c r="IQ229" i="33"/>
  <c r="IP229" i="33"/>
  <c r="IO229" i="33"/>
  <c r="IN229" i="33"/>
  <c r="IM229" i="33"/>
  <c r="IL229" i="33"/>
  <c r="IK229" i="33"/>
  <c r="IJ229" i="33"/>
  <c r="II229" i="33"/>
  <c r="IH229" i="33"/>
  <c r="IG229" i="33"/>
  <c r="IF229" i="33"/>
  <c r="IE229" i="33"/>
  <c r="ID229" i="33"/>
  <c r="IC229" i="33"/>
  <c r="IB229" i="33"/>
  <c r="IA229" i="33"/>
  <c r="HZ229" i="33"/>
  <c r="HY229" i="33"/>
  <c r="HX229" i="33"/>
  <c r="HW229" i="33"/>
  <c r="HV229" i="33"/>
  <c r="HU229" i="33"/>
  <c r="HT229" i="33"/>
  <c r="HS229" i="33"/>
  <c r="HR229" i="33"/>
  <c r="HQ229" i="33"/>
  <c r="HP229" i="33"/>
  <c r="HO229" i="33"/>
  <c r="HN229" i="33"/>
  <c r="HM229" i="33"/>
  <c r="HL229" i="33"/>
  <c r="HK229" i="33"/>
  <c r="HJ229" i="33"/>
  <c r="HI229" i="33"/>
  <c r="HH229" i="33"/>
  <c r="HG229" i="33"/>
  <c r="HF229" i="33"/>
  <c r="HE229" i="33"/>
  <c r="HD229" i="33"/>
  <c r="HC229" i="33"/>
  <c r="HB229" i="33"/>
  <c r="HA229" i="33"/>
  <c r="GZ229" i="33"/>
  <c r="GY229" i="33"/>
  <c r="GX229" i="33"/>
  <c r="GW229" i="33"/>
  <c r="GV229" i="33"/>
  <c r="GU229" i="33"/>
  <c r="GT229" i="33"/>
  <c r="GS229" i="33"/>
  <c r="GR229" i="33"/>
  <c r="GQ229" i="33"/>
  <c r="GP229" i="33"/>
  <c r="GO229" i="33"/>
  <c r="GN229" i="33"/>
  <c r="GM229" i="33"/>
  <c r="GL229" i="33"/>
  <c r="GK229" i="33"/>
  <c r="GJ229" i="33"/>
  <c r="GI229" i="33"/>
  <c r="GH229" i="33"/>
  <c r="GG229" i="33"/>
  <c r="GF229" i="33"/>
  <c r="GE229" i="33"/>
  <c r="GD229" i="33"/>
  <c r="GC229" i="33"/>
  <c r="GB229" i="33"/>
  <c r="GA229" i="33"/>
  <c r="FZ229" i="33"/>
  <c r="FY229" i="33"/>
  <c r="FX229" i="33"/>
  <c r="FW229" i="33"/>
  <c r="FV229" i="33"/>
  <c r="FU229" i="33"/>
  <c r="FT229" i="33"/>
  <c r="FS229" i="33"/>
  <c r="FR229" i="33"/>
  <c r="FQ229" i="33"/>
  <c r="FP229" i="33"/>
  <c r="FO229" i="33"/>
  <c r="FN229" i="33"/>
  <c r="FM229" i="33"/>
  <c r="FL229" i="33"/>
  <c r="FK229" i="33"/>
  <c r="FJ229" i="33"/>
  <c r="FI229" i="33"/>
  <c r="FH229" i="33"/>
  <c r="FG229" i="33"/>
  <c r="FF229" i="33"/>
  <c r="FE229" i="33"/>
  <c r="FD229" i="33"/>
  <c r="FC229" i="33"/>
  <c r="FB229" i="33"/>
  <c r="FA229" i="33"/>
  <c r="EZ229" i="33"/>
  <c r="EY229" i="33"/>
  <c r="EX229" i="33"/>
  <c r="EW229" i="33"/>
  <c r="EV229" i="33"/>
  <c r="EU229" i="33"/>
  <c r="ET229" i="33"/>
  <c r="ES229" i="33"/>
  <c r="ER229" i="33"/>
  <c r="EQ229" i="33"/>
  <c r="EP229" i="33"/>
  <c r="EO229" i="33"/>
  <c r="EN229" i="33"/>
  <c r="EM229" i="33"/>
  <c r="EL229" i="33"/>
  <c r="EK229" i="33"/>
  <c r="EJ229" i="33"/>
  <c r="EI229" i="33"/>
  <c r="EH229" i="33"/>
  <c r="EG229" i="33"/>
  <c r="EF229" i="33"/>
  <c r="EE229" i="33"/>
  <c r="ED229" i="33"/>
  <c r="EC229" i="33"/>
  <c r="EB229" i="33"/>
  <c r="EA229" i="33"/>
  <c r="DZ229" i="33"/>
  <c r="DY229" i="33"/>
  <c r="DX229" i="33"/>
  <c r="DW229" i="33"/>
  <c r="DV229" i="33"/>
  <c r="DU229" i="33"/>
  <c r="DT229" i="33"/>
  <c r="DS229" i="33"/>
  <c r="DR229" i="33"/>
  <c r="DQ229" i="33"/>
  <c r="DP229" i="33"/>
  <c r="DO229" i="33"/>
  <c r="DN229" i="33"/>
  <c r="DM229" i="33"/>
  <c r="DL229" i="33"/>
  <c r="DK229" i="33"/>
  <c r="DJ229" i="33"/>
  <c r="DI229" i="33"/>
  <c r="DH229" i="33"/>
  <c r="DG229" i="33"/>
  <c r="DF229" i="33"/>
  <c r="DE229" i="33"/>
  <c r="DD229" i="33"/>
  <c r="DC229" i="33"/>
  <c r="DB229" i="33"/>
  <c r="DA229" i="33"/>
  <c r="CZ229" i="33"/>
  <c r="CY229" i="33"/>
  <c r="CX229" i="33"/>
  <c r="CW229" i="33"/>
  <c r="CV229" i="33"/>
  <c r="CU229" i="33"/>
  <c r="CT229" i="33"/>
  <c r="CS229" i="33"/>
  <c r="CR229" i="33"/>
  <c r="CQ229" i="33"/>
  <c r="CP229" i="33"/>
  <c r="CO229" i="33"/>
  <c r="CN229" i="33"/>
  <c r="CM229" i="33"/>
  <c r="CL229" i="33"/>
  <c r="CK229" i="33"/>
  <c r="CJ229" i="33"/>
  <c r="CI229" i="33"/>
  <c r="CH229" i="33"/>
  <c r="CG229" i="33"/>
  <c r="CF229" i="33"/>
  <c r="CE229" i="33"/>
  <c r="CD229" i="33"/>
  <c r="CC229" i="33"/>
  <c r="CB229" i="33"/>
  <c r="CA229" i="33"/>
  <c r="BZ229" i="33"/>
  <c r="BY229" i="33"/>
  <c r="BX229" i="33"/>
  <c r="BW229" i="33"/>
  <c r="BV229" i="33"/>
  <c r="BU229" i="33"/>
  <c r="BT229" i="33"/>
  <c r="BS229" i="33"/>
  <c r="BR229" i="33"/>
  <c r="BQ229" i="33"/>
  <c r="BP229" i="33"/>
  <c r="BO229" i="33"/>
  <c r="BN229" i="33"/>
  <c r="BM229" i="33"/>
  <c r="BL229" i="33"/>
  <c r="BK229" i="33"/>
  <c r="BJ229" i="33"/>
  <c r="BI229" i="33"/>
  <c r="BH229" i="33"/>
  <c r="BG229" i="33"/>
  <c r="BF229" i="33"/>
  <c r="BE229" i="33"/>
  <c r="BD229" i="33"/>
  <c r="BC229" i="33"/>
  <c r="BB229" i="33"/>
  <c r="BA229" i="33"/>
  <c r="AZ229" i="33"/>
  <c r="AY229" i="33"/>
  <c r="AX229" i="33"/>
  <c r="AW229" i="33"/>
  <c r="AV229" i="33"/>
  <c r="AU229" i="33"/>
  <c r="AT229" i="33"/>
  <c r="AS229" i="33"/>
  <c r="AR229" i="33"/>
  <c r="AQ229" i="33"/>
  <c r="AP229" i="33"/>
  <c r="AO229" i="33"/>
  <c r="AN229" i="33"/>
  <c r="AM229" i="33"/>
  <c r="AL229" i="33"/>
  <c r="AK229" i="33"/>
  <c r="AJ229" i="33"/>
  <c r="AI229" i="33"/>
  <c r="AH229" i="33"/>
  <c r="AG229" i="33"/>
  <c r="AF229" i="33"/>
  <c r="AE229" i="33"/>
  <c r="AD229" i="33"/>
  <c r="AC229" i="33"/>
  <c r="AB229" i="33"/>
  <c r="AA229" i="33"/>
  <c r="Z229" i="33"/>
  <c r="Y229" i="33"/>
  <c r="X229" i="33"/>
  <c r="W229" i="33"/>
  <c r="V229" i="33"/>
  <c r="U229" i="33"/>
  <c r="T229" i="33"/>
  <c r="S229" i="33"/>
  <c r="R229" i="33"/>
  <c r="Q229" i="33"/>
  <c r="P229" i="33"/>
  <c r="O229" i="33"/>
  <c r="N229" i="33"/>
  <c r="M229" i="33"/>
  <c r="L229" i="33"/>
  <c r="K229" i="33"/>
  <c r="J229" i="33"/>
  <c r="I229" i="33"/>
  <c r="H229" i="33"/>
  <c r="G229" i="33"/>
  <c r="F229" i="33"/>
  <c r="E229" i="33"/>
  <c r="D229" i="33"/>
  <c r="C229" i="33"/>
  <c r="B229" i="33"/>
  <c r="A229" i="33"/>
  <c r="IV228" i="33"/>
  <c r="IU228" i="33"/>
  <c r="IT228" i="33"/>
  <c r="IS228" i="33"/>
  <c r="IR228" i="33"/>
  <c r="IQ228" i="33"/>
  <c r="IP228" i="33"/>
  <c r="IO228" i="33"/>
  <c r="IN228" i="33"/>
  <c r="IM228" i="33"/>
  <c r="IL228" i="33"/>
  <c r="IK228" i="33"/>
  <c r="IJ228" i="33"/>
  <c r="II228" i="33"/>
  <c r="IH228" i="33"/>
  <c r="IG228" i="33"/>
  <c r="IF228" i="33"/>
  <c r="IE228" i="33"/>
  <c r="ID228" i="33"/>
  <c r="IC228" i="33"/>
  <c r="IB228" i="33"/>
  <c r="IA228" i="33"/>
  <c r="HZ228" i="33"/>
  <c r="HY228" i="33"/>
  <c r="HX228" i="33"/>
  <c r="HW228" i="33"/>
  <c r="HV228" i="33"/>
  <c r="HU228" i="33"/>
  <c r="HT228" i="33"/>
  <c r="HS228" i="33"/>
  <c r="HR228" i="33"/>
  <c r="HQ228" i="33"/>
  <c r="HP228" i="33"/>
  <c r="HO228" i="33"/>
  <c r="HN228" i="33"/>
  <c r="HM228" i="33"/>
  <c r="HL228" i="33"/>
  <c r="HK228" i="33"/>
  <c r="HJ228" i="33"/>
  <c r="HI228" i="33"/>
  <c r="HH228" i="33"/>
  <c r="HG228" i="33"/>
  <c r="HF228" i="33"/>
  <c r="HE228" i="33"/>
  <c r="HD228" i="33"/>
  <c r="HC228" i="33"/>
  <c r="HB228" i="33"/>
  <c r="HA228" i="33"/>
  <c r="GZ228" i="33"/>
  <c r="GY228" i="33"/>
  <c r="GX228" i="33"/>
  <c r="GW228" i="33"/>
  <c r="GV228" i="33"/>
  <c r="GU228" i="33"/>
  <c r="GT228" i="33"/>
  <c r="GS228" i="33"/>
  <c r="GR228" i="33"/>
  <c r="GQ228" i="33"/>
  <c r="GP228" i="33"/>
  <c r="GO228" i="33"/>
  <c r="GN228" i="33"/>
  <c r="GM228" i="33"/>
  <c r="GL228" i="33"/>
  <c r="GK228" i="33"/>
  <c r="GJ228" i="33"/>
  <c r="GI228" i="33"/>
  <c r="GH228" i="33"/>
  <c r="GG228" i="33"/>
  <c r="GF228" i="33"/>
  <c r="GE228" i="33"/>
  <c r="GD228" i="33"/>
  <c r="GC228" i="33"/>
  <c r="GB228" i="33"/>
  <c r="GA228" i="33"/>
  <c r="FZ228" i="33"/>
  <c r="FY228" i="33"/>
  <c r="FX228" i="33"/>
  <c r="FW228" i="33"/>
  <c r="FV228" i="33"/>
  <c r="FU228" i="33"/>
  <c r="FT228" i="33"/>
  <c r="FS228" i="33"/>
  <c r="FR228" i="33"/>
  <c r="FQ228" i="33"/>
  <c r="FP228" i="33"/>
  <c r="FO228" i="33"/>
  <c r="FN228" i="33"/>
  <c r="FM228" i="33"/>
  <c r="FL228" i="33"/>
  <c r="FK228" i="33"/>
  <c r="FJ228" i="33"/>
  <c r="FI228" i="33"/>
  <c r="FH228" i="33"/>
  <c r="FG228" i="33"/>
  <c r="FF228" i="33"/>
  <c r="FE228" i="33"/>
  <c r="FD228" i="33"/>
  <c r="FC228" i="33"/>
  <c r="FB228" i="33"/>
  <c r="FA228" i="33"/>
  <c r="EZ228" i="33"/>
  <c r="EY228" i="33"/>
  <c r="EX228" i="33"/>
  <c r="EW228" i="33"/>
  <c r="EV228" i="33"/>
  <c r="EU228" i="33"/>
  <c r="ET228" i="33"/>
  <c r="ES228" i="33"/>
  <c r="ER228" i="33"/>
  <c r="EQ228" i="33"/>
  <c r="EP228" i="33"/>
  <c r="EO228" i="33"/>
  <c r="EN228" i="33"/>
  <c r="EM228" i="33"/>
  <c r="EL228" i="33"/>
  <c r="EK228" i="33"/>
  <c r="EJ228" i="33"/>
  <c r="EI228" i="33"/>
  <c r="EH228" i="33"/>
  <c r="EG228" i="33"/>
  <c r="EF228" i="33"/>
  <c r="EE228" i="33"/>
  <c r="ED228" i="33"/>
  <c r="EC228" i="33"/>
  <c r="EB228" i="33"/>
  <c r="EA228" i="33"/>
  <c r="DZ228" i="33"/>
  <c r="DY228" i="33"/>
  <c r="DX228" i="33"/>
  <c r="DW228" i="33"/>
  <c r="DV228" i="33"/>
  <c r="DU228" i="33"/>
  <c r="DT228" i="33"/>
  <c r="DS228" i="33"/>
  <c r="DR228" i="33"/>
  <c r="DQ228" i="33"/>
  <c r="DP228" i="33"/>
  <c r="DO228" i="33"/>
  <c r="DN228" i="33"/>
  <c r="DM228" i="33"/>
  <c r="DL228" i="33"/>
  <c r="DK228" i="33"/>
  <c r="DJ228" i="33"/>
  <c r="DI228" i="33"/>
  <c r="DH228" i="33"/>
  <c r="DG228" i="33"/>
  <c r="DF228" i="33"/>
  <c r="DE228" i="33"/>
  <c r="DD228" i="33"/>
  <c r="DC228" i="33"/>
  <c r="DB228" i="33"/>
  <c r="DA228" i="33"/>
  <c r="CZ228" i="33"/>
  <c r="CY228" i="33"/>
  <c r="CX228" i="33"/>
  <c r="CW228" i="33"/>
  <c r="CV228" i="33"/>
  <c r="CU228" i="33"/>
  <c r="CT228" i="33"/>
  <c r="CS228" i="33"/>
  <c r="CR228" i="33"/>
  <c r="CQ228" i="33"/>
  <c r="CP228" i="33"/>
  <c r="CO228" i="33"/>
  <c r="CN228" i="33"/>
  <c r="CM228" i="33"/>
  <c r="CL228" i="33"/>
  <c r="CK228" i="33"/>
  <c r="CJ228" i="33"/>
  <c r="CI228" i="33"/>
  <c r="CH228" i="33"/>
  <c r="CG228" i="33"/>
  <c r="CF228" i="33"/>
  <c r="CE228" i="33"/>
  <c r="CD228" i="33"/>
  <c r="CC228" i="33"/>
  <c r="CB228" i="33"/>
  <c r="CA228" i="33"/>
  <c r="BZ228" i="33"/>
  <c r="BY228" i="33"/>
  <c r="BX228" i="33"/>
  <c r="BW228" i="33"/>
  <c r="BV228" i="33"/>
  <c r="BU228" i="33"/>
  <c r="BT228" i="33"/>
  <c r="BS228" i="33"/>
  <c r="BR228" i="33"/>
  <c r="BQ228" i="33"/>
  <c r="BP228" i="33"/>
  <c r="BO228" i="33"/>
  <c r="BN228" i="33"/>
  <c r="BM228" i="33"/>
  <c r="BL228" i="33"/>
  <c r="BK228" i="33"/>
  <c r="BJ228" i="33"/>
  <c r="BI228" i="33"/>
  <c r="BH228" i="33"/>
  <c r="BG228" i="33"/>
  <c r="BF228" i="33"/>
  <c r="BE228" i="33"/>
  <c r="BD228" i="33"/>
  <c r="BC228" i="33"/>
  <c r="BB228" i="33"/>
  <c r="BA228" i="33"/>
  <c r="AZ228" i="33"/>
  <c r="AY228" i="33"/>
  <c r="AX228" i="33"/>
  <c r="AW228" i="33"/>
  <c r="AV228" i="33"/>
  <c r="AU228" i="33"/>
  <c r="AT228" i="33"/>
  <c r="AS228" i="33"/>
  <c r="AR228" i="33"/>
  <c r="AQ228" i="33"/>
  <c r="AP228" i="33"/>
  <c r="AO228" i="33"/>
  <c r="AN228" i="33"/>
  <c r="AM228" i="33"/>
  <c r="AL228" i="33"/>
  <c r="AK228" i="33"/>
  <c r="AJ228" i="33"/>
  <c r="AI228" i="33"/>
  <c r="AH228" i="33"/>
  <c r="AG228" i="33"/>
  <c r="AF228" i="33"/>
  <c r="AE228" i="33"/>
  <c r="AD228" i="33"/>
  <c r="AC228" i="33"/>
  <c r="AB228" i="33"/>
  <c r="AA228" i="33"/>
  <c r="Z228" i="33"/>
  <c r="Y228" i="33"/>
  <c r="X228" i="33"/>
  <c r="W228" i="33"/>
  <c r="V228" i="33"/>
  <c r="U228" i="33"/>
  <c r="T228" i="33"/>
  <c r="S228" i="33"/>
  <c r="R228" i="33"/>
  <c r="Q228" i="33"/>
  <c r="P228" i="33"/>
  <c r="O228" i="33"/>
  <c r="N228" i="33"/>
  <c r="M228" i="33"/>
  <c r="L228" i="33"/>
  <c r="K228" i="33"/>
  <c r="J228" i="33"/>
  <c r="I228" i="33"/>
  <c r="H228" i="33"/>
  <c r="G228" i="33"/>
  <c r="F228" i="33"/>
  <c r="E228" i="33"/>
  <c r="D228" i="33"/>
  <c r="C228" i="33"/>
  <c r="B228" i="33"/>
  <c r="A228" i="33"/>
  <c r="IV227" i="33"/>
  <c r="IU227" i="33"/>
  <c r="IT227" i="33"/>
  <c r="IS227" i="33"/>
  <c r="IR227" i="33"/>
  <c r="IQ227" i="33"/>
  <c r="IP227" i="33"/>
  <c r="IO227" i="33"/>
  <c r="IN227" i="33"/>
  <c r="IM227" i="33"/>
  <c r="IL227" i="33"/>
  <c r="IK227" i="33"/>
  <c r="IJ227" i="33"/>
  <c r="II227" i="33"/>
  <c r="IH227" i="33"/>
  <c r="IG227" i="33"/>
  <c r="IF227" i="33"/>
  <c r="IE227" i="33"/>
  <c r="ID227" i="33"/>
  <c r="IC227" i="33"/>
  <c r="IB227" i="33"/>
  <c r="IA227" i="33"/>
  <c r="HZ227" i="33"/>
  <c r="HY227" i="33"/>
  <c r="HX227" i="33"/>
  <c r="HW227" i="33"/>
  <c r="HV227" i="33"/>
  <c r="HU227" i="33"/>
  <c r="HT227" i="33"/>
  <c r="HS227" i="33"/>
  <c r="HR227" i="33"/>
  <c r="HQ227" i="33"/>
  <c r="HP227" i="33"/>
  <c r="HO227" i="33"/>
  <c r="HN227" i="33"/>
  <c r="HM227" i="33"/>
  <c r="HL227" i="33"/>
  <c r="HK227" i="33"/>
  <c r="HJ227" i="33"/>
  <c r="HI227" i="33"/>
  <c r="HH227" i="33"/>
  <c r="HG227" i="33"/>
  <c r="HF227" i="33"/>
  <c r="HE227" i="33"/>
  <c r="HD227" i="33"/>
  <c r="HC227" i="33"/>
  <c r="HB227" i="33"/>
  <c r="HA227" i="33"/>
  <c r="GZ227" i="33"/>
  <c r="GY227" i="33"/>
  <c r="GX227" i="33"/>
  <c r="GW227" i="33"/>
  <c r="GV227" i="33"/>
  <c r="GU227" i="33"/>
  <c r="GT227" i="33"/>
  <c r="GS227" i="33"/>
  <c r="GR227" i="33"/>
  <c r="GQ227" i="33"/>
  <c r="GP227" i="33"/>
  <c r="GO227" i="33"/>
  <c r="GN227" i="33"/>
  <c r="GM227" i="33"/>
  <c r="GL227" i="33"/>
  <c r="GK227" i="33"/>
  <c r="GJ227" i="33"/>
  <c r="GI227" i="33"/>
  <c r="GH227" i="33"/>
  <c r="GG227" i="33"/>
  <c r="GF227" i="33"/>
  <c r="GE227" i="33"/>
  <c r="GD227" i="33"/>
  <c r="GC227" i="33"/>
  <c r="GB227" i="33"/>
  <c r="GA227" i="33"/>
  <c r="FZ227" i="33"/>
  <c r="FY227" i="33"/>
  <c r="FX227" i="33"/>
  <c r="FW227" i="33"/>
  <c r="FV227" i="33"/>
  <c r="FU227" i="33"/>
  <c r="FT227" i="33"/>
  <c r="FS227" i="33"/>
  <c r="FR227" i="33"/>
  <c r="FQ227" i="33"/>
  <c r="FP227" i="33"/>
  <c r="FO227" i="33"/>
  <c r="FN227" i="33"/>
  <c r="FM227" i="33"/>
  <c r="FL227" i="33"/>
  <c r="FK227" i="33"/>
  <c r="FJ227" i="33"/>
  <c r="FI227" i="33"/>
  <c r="FH227" i="33"/>
  <c r="FG227" i="33"/>
  <c r="FF227" i="33"/>
  <c r="FE227" i="33"/>
  <c r="FD227" i="33"/>
  <c r="FC227" i="33"/>
  <c r="FB227" i="33"/>
  <c r="FA227" i="33"/>
  <c r="EZ227" i="33"/>
  <c r="EY227" i="33"/>
  <c r="EX227" i="33"/>
  <c r="EW227" i="33"/>
  <c r="EV227" i="33"/>
  <c r="EU227" i="33"/>
  <c r="ET227" i="33"/>
  <c r="ES227" i="33"/>
  <c r="ER227" i="33"/>
  <c r="EQ227" i="33"/>
  <c r="EP227" i="33"/>
  <c r="EO227" i="33"/>
  <c r="EN227" i="33"/>
  <c r="EM227" i="33"/>
  <c r="EL227" i="33"/>
  <c r="EK227" i="33"/>
  <c r="EJ227" i="33"/>
  <c r="EI227" i="33"/>
  <c r="EH227" i="33"/>
  <c r="EG227" i="33"/>
  <c r="EF227" i="33"/>
  <c r="EE227" i="33"/>
  <c r="ED227" i="33"/>
  <c r="EC227" i="33"/>
  <c r="EB227" i="33"/>
  <c r="EA227" i="33"/>
  <c r="DZ227" i="33"/>
  <c r="DY227" i="33"/>
  <c r="DX227" i="33"/>
  <c r="DW227" i="33"/>
  <c r="DV227" i="33"/>
  <c r="DU227" i="33"/>
  <c r="DT227" i="33"/>
  <c r="DS227" i="33"/>
  <c r="DR227" i="33"/>
  <c r="DQ227" i="33"/>
  <c r="DP227" i="33"/>
  <c r="DO227" i="33"/>
  <c r="DN227" i="33"/>
  <c r="DM227" i="33"/>
  <c r="DL227" i="33"/>
  <c r="DK227" i="33"/>
  <c r="DJ227" i="33"/>
  <c r="DI227" i="33"/>
  <c r="DH227" i="33"/>
  <c r="DG227" i="33"/>
  <c r="DF227" i="33"/>
  <c r="DE227" i="33"/>
  <c r="DD227" i="33"/>
  <c r="DC227" i="33"/>
  <c r="DB227" i="33"/>
  <c r="DA227" i="33"/>
  <c r="CZ227" i="33"/>
  <c r="CY227" i="33"/>
  <c r="CX227" i="33"/>
  <c r="CW227" i="33"/>
  <c r="CV227" i="33"/>
  <c r="CU227" i="33"/>
  <c r="CT227" i="33"/>
  <c r="CS227" i="33"/>
  <c r="CR227" i="33"/>
  <c r="CQ227" i="33"/>
  <c r="CP227" i="33"/>
  <c r="CO227" i="33"/>
  <c r="CN227" i="33"/>
  <c r="CM227" i="33"/>
  <c r="CL227" i="33"/>
  <c r="CK227" i="33"/>
  <c r="CJ227" i="33"/>
  <c r="CI227" i="33"/>
  <c r="CH227" i="33"/>
  <c r="CG227" i="33"/>
  <c r="CF227" i="33"/>
  <c r="CE227" i="33"/>
  <c r="CD227" i="33"/>
  <c r="CC227" i="33"/>
  <c r="CB227" i="33"/>
  <c r="CA227" i="33"/>
  <c r="BZ227" i="33"/>
  <c r="BY227" i="33"/>
  <c r="BX227" i="33"/>
  <c r="BW227" i="33"/>
  <c r="BV227" i="33"/>
  <c r="BU227" i="33"/>
  <c r="BT227" i="33"/>
  <c r="BS227" i="33"/>
  <c r="BR227" i="33"/>
  <c r="BQ227" i="33"/>
  <c r="BP227" i="33"/>
  <c r="BO227" i="33"/>
  <c r="BN227" i="33"/>
  <c r="BM227" i="33"/>
  <c r="BL227" i="33"/>
  <c r="BK227" i="33"/>
  <c r="BJ227" i="33"/>
  <c r="BI227" i="33"/>
  <c r="BH227" i="33"/>
  <c r="BG227" i="33"/>
  <c r="BF227" i="33"/>
  <c r="BE227" i="33"/>
  <c r="BD227" i="33"/>
  <c r="BC227" i="33"/>
  <c r="BB227" i="33"/>
  <c r="BA227" i="33"/>
  <c r="AZ227" i="33"/>
  <c r="AY227" i="33"/>
  <c r="AX227" i="33"/>
  <c r="AW227" i="33"/>
  <c r="AV227" i="33"/>
  <c r="AU227" i="33"/>
  <c r="AT227" i="33"/>
  <c r="AS227" i="33"/>
  <c r="AR227" i="33"/>
  <c r="AQ227" i="33"/>
  <c r="AP227" i="33"/>
  <c r="AO227" i="33"/>
  <c r="AN227" i="33"/>
  <c r="AM227" i="33"/>
  <c r="AL227" i="33"/>
  <c r="AK227" i="33"/>
  <c r="AJ227" i="33"/>
  <c r="AI227" i="33"/>
  <c r="AH227" i="33"/>
  <c r="AG227" i="33"/>
  <c r="AF227" i="33"/>
  <c r="AE227" i="33"/>
  <c r="AD227" i="33"/>
  <c r="AC227" i="33"/>
  <c r="AB227" i="33"/>
  <c r="AA227" i="33"/>
  <c r="Z227" i="33"/>
  <c r="Y227" i="33"/>
  <c r="X227" i="33"/>
  <c r="W227" i="33"/>
  <c r="V227" i="33"/>
  <c r="U227" i="33"/>
  <c r="T227" i="33"/>
  <c r="S227" i="33"/>
  <c r="R227" i="33"/>
  <c r="Q227" i="33"/>
  <c r="P227" i="33"/>
  <c r="O227" i="33"/>
  <c r="N227" i="33"/>
  <c r="M227" i="33"/>
  <c r="L227" i="33"/>
  <c r="K227" i="33"/>
  <c r="J227" i="33"/>
  <c r="I227" i="33"/>
  <c r="H227" i="33"/>
  <c r="G227" i="33"/>
  <c r="F227" i="33"/>
  <c r="E227" i="33"/>
  <c r="D227" i="33"/>
  <c r="C227" i="33"/>
  <c r="B227" i="33"/>
  <c r="A227" i="33"/>
  <c r="IV226" i="33"/>
  <c r="IU226" i="33"/>
  <c r="IT226" i="33"/>
  <c r="IS226" i="33"/>
  <c r="IR226" i="33"/>
  <c r="IQ226" i="33"/>
  <c r="IP226" i="33"/>
  <c r="IO226" i="33"/>
  <c r="IN226" i="33"/>
  <c r="IM226" i="33"/>
  <c r="IL226" i="33"/>
  <c r="IK226" i="33"/>
  <c r="IJ226" i="33"/>
  <c r="II226" i="33"/>
  <c r="IH226" i="33"/>
  <c r="IG226" i="33"/>
  <c r="IF226" i="33"/>
  <c r="IE226" i="33"/>
  <c r="ID226" i="33"/>
  <c r="IC226" i="33"/>
  <c r="IB226" i="33"/>
  <c r="IA226" i="33"/>
  <c r="HZ226" i="33"/>
  <c r="HY226" i="33"/>
  <c r="HX226" i="33"/>
  <c r="HW226" i="33"/>
  <c r="HV226" i="33"/>
  <c r="HU226" i="33"/>
  <c r="HT226" i="33"/>
  <c r="HS226" i="33"/>
  <c r="HR226" i="33"/>
  <c r="HQ226" i="33"/>
  <c r="HP226" i="33"/>
  <c r="HO226" i="33"/>
  <c r="HN226" i="33"/>
  <c r="HM226" i="33"/>
  <c r="HL226" i="33"/>
  <c r="HK226" i="33"/>
  <c r="HJ226" i="33"/>
  <c r="HI226" i="33"/>
  <c r="HH226" i="33"/>
  <c r="HG226" i="33"/>
  <c r="HF226" i="33"/>
  <c r="HE226" i="33"/>
  <c r="HD226" i="33"/>
  <c r="HC226" i="33"/>
  <c r="HB226" i="33"/>
  <c r="HA226" i="33"/>
  <c r="GZ226" i="33"/>
  <c r="GY226" i="33"/>
  <c r="GX226" i="33"/>
  <c r="GW226" i="33"/>
  <c r="GV226" i="33"/>
  <c r="GU226" i="33"/>
  <c r="GT226" i="33"/>
  <c r="GS226" i="33"/>
  <c r="GR226" i="33"/>
  <c r="GQ226" i="33"/>
  <c r="GP226" i="33"/>
  <c r="GO226" i="33"/>
  <c r="GN226" i="33"/>
  <c r="GM226" i="33"/>
  <c r="GL226" i="33"/>
  <c r="GK226" i="33"/>
  <c r="GJ226" i="33"/>
  <c r="GI226" i="33"/>
  <c r="GH226" i="33"/>
  <c r="GG226" i="33"/>
  <c r="GF226" i="33"/>
  <c r="GE226" i="33"/>
  <c r="GD226" i="33"/>
  <c r="GC226" i="33"/>
  <c r="GB226" i="33"/>
  <c r="GA226" i="33"/>
  <c r="FZ226" i="33"/>
  <c r="FY226" i="33"/>
  <c r="FX226" i="33"/>
  <c r="FW226" i="33"/>
  <c r="FV226" i="33"/>
  <c r="FU226" i="33"/>
  <c r="FT226" i="33"/>
  <c r="FS226" i="33"/>
  <c r="FR226" i="33"/>
  <c r="FQ226" i="33"/>
  <c r="FP226" i="33"/>
  <c r="FO226" i="33"/>
  <c r="FN226" i="33"/>
  <c r="FM226" i="33"/>
  <c r="FL226" i="33"/>
  <c r="FK226" i="33"/>
  <c r="FJ226" i="33"/>
  <c r="FI226" i="33"/>
  <c r="FH226" i="33"/>
  <c r="FG226" i="33"/>
  <c r="FF226" i="33"/>
  <c r="FE226" i="33"/>
  <c r="FD226" i="33"/>
  <c r="FC226" i="33"/>
  <c r="FB226" i="33"/>
  <c r="FA226" i="33"/>
  <c r="EZ226" i="33"/>
  <c r="EY226" i="33"/>
  <c r="EX226" i="33"/>
  <c r="EW226" i="33"/>
  <c r="EV226" i="33"/>
  <c r="EU226" i="33"/>
  <c r="ET226" i="33"/>
  <c r="ES226" i="33"/>
  <c r="ER226" i="33"/>
  <c r="EQ226" i="33"/>
  <c r="EP226" i="33"/>
  <c r="EO226" i="33"/>
  <c r="EN226" i="33"/>
  <c r="EM226" i="33"/>
  <c r="EL226" i="33"/>
  <c r="EK226" i="33"/>
  <c r="EJ226" i="33"/>
  <c r="EI226" i="33"/>
  <c r="EH226" i="33"/>
  <c r="EG226" i="33"/>
  <c r="EF226" i="33"/>
  <c r="EE226" i="33"/>
  <c r="ED226" i="33"/>
  <c r="EC226" i="33"/>
  <c r="EB226" i="33"/>
  <c r="EA226" i="33"/>
  <c r="DZ226" i="33"/>
  <c r="DY226" i="33"/>
  <c r="DX226" i="33"/>
  <c r="DW226" i="33"/>
  <c r="DV226" i="33"/>
  <c r="DU226" i="33"/>
  <c r="DT226" i="33"/>
  <c r="DS226" i="33"/>
  <c r="DR226" i="33"/>
  <c r="DQ226" i="33"/>
  <c r="DP226" i="33"/>
  <c r="DO226" i="33"/>
  <c r="DN226" i="33"/>
  <c r="DM226" i="33"/>
  <c r="DL226" i="33"/>
  <c r="DK226" i="33"/>
  <c r="DJ226" i="33"/>
  <c r="DI226" i="33"/>
  <c r="DH226" i="33"/>
  <c r="DG226" i="33"/>
  <c r="DF226" i="33"/>
  <c r="DE226" i="33"/>
  <c r="DD226" i="33"/>
  <c r="DC226" i="33"/>
  <c r="DB226" i="33"/>
  <c r="DA226" i="33"/>
  <c r="CZ226" i="33"/>
  <c r="CY226" i="33"/>
  <c r="CX226" i="33"/>
  <c r="CW226" i="33"/>
  <c r="CV226" i="33"/>
  <c r="CU226" i="33"/>
  <c r="CT226" i="33"/>
  <c r="CS226" i="33"/>
  <c r="CR226" i="33"/>
  <c r="CQ226" i="33"/>
  <c r="CP226" i="33"/>
  <c r="CO226" i="33"/>
  <c r="CN226" i="33"/>
  <c r="CM226" i="33"/>
  <c r="CL226" i="33"/>
  <c r="CK226" i="33"/>
  <c r="CJ226" i="33"/>
  <c r="CI226" i="33"/>
  <c r="CH226" i="33"/>
  <c r="CG226" i="33"/>
  <c r="CF226" i="33"/>
  <c r="CE226" i="33"/>
  <c r="CD226" i="33"/>
  <c r="CC226" i="33"/>
  <c r="CB226" i="33"/>
  <c r="CA226" i="33"/>
  <c r="BZ226" i="33"/>
  <c r="BY226" i="33"/>
  <c r="BX226" i="33"/>
  <c r="BW226" i="33"/>
  <c r="BV226" i="33"/>
  <c r="BU226" i="33"/>
  <c r="BT226" i="33"/>
  <c r="BS226" i="33"/>
  <c r="BR226" i="33"/>
  <c r="BQ226" i="33"/>
  <c r="BP226" i="33"/>
  <c r="BO226" i="33"/>
  <c r="BN226" i="33"/>
  <c r="BM226" i="33"/>
  <c r="BL226" i="33"/>
  <c r="BK226" i="33"/>
  <c r="BJ226" i="33"/>
  <c r="BI226" i="33"/>
  <c r="BH226" i="33"/>
  <c r="BG226" i="33"/>
  <c r="BF226" i="33"/>
  <c r="BE226" i="33"/>
  <c r="BD226" i="33"/>
  <c r="BC226" i="33"/>
  <c r="BB226" i="33"/>
  <c r="BA226" i="33"/>
  <c r="AZ226" i="33"/>
  <c r="AY226" i="33"/>
  <c r="AX226" i="33"/>
  <c r="AW226" i="33"/>
  <c r="AV226" i="33"/>
  <c r="AU226" i="33"/>
  <c r="AT226" i="33"/>
  <c r="AS226" i="33"/>
  <c r="AR226" i="33"/>
  <c r="AQ226" i="33"/>
  <c r="AP226" i="33"/>
  <c r="AO226" i="33"/>
  <c r="AN226" i="33"/>
  <c r="AM226" i="33"/>
  <c r="AL226" i="33"/>
  <c r="AK226" i="33"/>
  <c r="AJ226" i="33"/>
  <c r="AI226" i="33"/>
  <c r="AH226" i="33"/>
  <c r="AG226" i="33"/>
  <c r="AF226" i="33"/>
  <c r="AE226" i="33"/>
  <c r="AD226" i="33"/>
  <c r="AC226" i="33"/>
  <c r="AB226" i="33"/>
  <c r="AA226" i="33"/>
  <c r="Z226" i="33"/>
  <c r="Y226" i="33"/>
  <c r="X226" i="33"/>
  <c r="W226" i="33"/>
  <c r="V226" i="33"/>
  <c r="U226" i="33"/>
  <c r="T226" i="33"/>
  <c r="S226" i="33"/>
  <c r="R226" i="33"/>
  <c r="Q226" i="33"/>
  <c r="P226" i="33"/>
  <c r="O226" i="33"/>
  <c r="N226" i="33"/>
  <c r="M226" i="33"/>
  <c r="L226" i="33"/>
  <c r="K226" i="33"/>
  <c r="J226" i="33"/>
  <c r="I226" i="33"/>
  <c r="H226" i="33"/>
  <c r="G226" i="33"/>
  <c r="F226" i="33"/>
  <c r="E226" i="33"/>
  <c r="D226" i="33"/>
  <c r="C226" i="33"/>
  <c r="B226" i="33"/>
  <c r="A226" i="33"/>
  <c r="IV225" i="33"/>
  <c r="IU225" i="33"/>
  <c r="IT225" i="33"/>
  <c r="IS225" i="33"/>
  <c r="IR225" i="33"/>
  <c r="IQ225" i="33"/>
  <c r="IP225" i="33"/>
  <c r="IO225" i="33"/>
  <c r="IN225" i="33"/>
  <c r="IM225" i="33"/>
  <c r="IL225" i="33"/>
  <c r="IK225" i="33"/>
  <c r="IJ225" i="33"/>
  <c r="II225" i="33"/>
  <c r="IH225" i="33"/>
  <c r="IG225" i="33"/>
  <c r="IF225" i="33"/>
  <c r="IE225" i="33"/>
  <c r="ID225" i="33"/>
  <c r="IC225" i="33"/>
  <c r="IB225" i="33"/>
  <c r="IA225" i="33"/>
  <c r="HZ225" i="33"/>
  <c r="HY225" i="33"/>
  <c r="HX225" i="33"/>
  <c r="HW225" i="33"/>
  <c r="HV225" i="33"/>
  <c r="HU225" i="33"/>
  <c r="HT225" i="33"/>
  <c r="HS225" i="33"/>
  <c r="HR225" i="33"/>
  <c r="HQ225" i="33"/>
  <c r="HP225" i="33"/>
  <c r="HO225" i="33"/>
  <c r="HN225" i="33"/>
  <c r="HM225" i="33"/>
  <c r="HL225" i="33"/>
  <c r="HK225" i="33"/>
  <c r="HJ225" i="33"/>
  <c r="HI225" i="33"/>
  <c r="HH225" i="33"/>
  <c r="HG225" i="33"/>
  <c r="HF225" i="33"/>
  <c r="HE225" i="33"/>
  <c r="HD225" i="33"/>
  <c r="HC225" i="33"/>
  <c r="HB225" i="33"/>
  <c r="HA225" i="33"/>
  <c r="GZ225" i="33"/>
  <c r="GY225" i="33"/>
  <c r="GX225" i="33"/>
  <c r="GW225" i="33"/>
  <c r="GV225" i="33"/>
  <c r="GU225" i="33"/>
  <c r="GT225" i="33"/>
  <c r="GS225" i="33"/>
  <c r="GR225" i="33"/>
  <c r="GQ225" i="33"/>
  <c r="GP225" i="33"/>
  <c r="GO225" i="33"/>
  <c r="GN225" i="33"/>
  <c r="GM225" i="33"/>
  <c r="GL225" i="33"/>
  <c r="GK225" i="33"/>
  <c r="GJ225" i="33"/>
  <c r="GI225" i="33"/>
  <c r="GH225" i="33"/>
  <c r="GG225" i="33"/>
  <c r="GF225" i="33"/>
  <c r="GE225" i="33"/>
  <c r="GD225" i="33"/>
  <c r="GC225" i="33"/>
  <c r="GB225" i="33"/>
  <c r="GA225" i="33"/>
  <c r="FZ225" i="33"/>
  <c r="FY225" i="33"/>
  <c r="FX225" i="33"/>
  <c r="FW225" i="33"/>
  <c r="FV225" i="33"/>
  <c r="FU225" i="33"/>
  <c r="FT225" i="33"/>
  <c r="FS225" i="33"/>
  <c r="FR225" i="33"/>
  <c r="FQ225" i="33"/>
  <c r="FP225" i="33"/>
  <c r="FO225" i="33"/>
  <c r="FN225" i="33"/>
  <c r="FM225" i="33"/>
  <c r="FL225" i="33"/>
  <c r="FK225" i="33"/>
  <c r="FJ225" i="33"/>
  <c r="FI225" i="33"/>
  <c r="FH225" i="33"/>
  <c r="FG225" i="33"/>
  <c r="FF225" i="33"/>
  <c r="FE225" i="33"/>
  <c r="FD225" i="33"/>
  <c r="FC225" i="33"/>
  <c r="FB225" i="33"/>
  <c r="FA225" i="33"/>
  <c r="EZ225" i="33"/>
  <c r="EY225" i="33"/>
  <c r="EX225" i="33"/>
  <c r="EW225" i="33"/>
  <c r="EV225" i="33"/>
  <c r="EU225" i="33"/>
  <c r="ET225" i="33"/>
  <c r="ES225" i="33"/>
  <c r="ER225" i="33"/>
  <c r="EQ225" i="33"/>
  <c r="EP225" i="33"/>
  <c r="EO225" i="33"/>
  <c r="EN225" i="33"/>
  <c r="EM225" i="33"/>
  <c r="EL225" i="33"/>
  <c r="EK225" i="33"/>
  <c r="EJ225" i="33"/>
  <c r="EI225" i="33"/>
  <c r="EH225" i="33"/>
  <c r="EG225" i="33"/>
  <c r="EF225" i="33"/>
  <c r="EE225" i="33"/>
  <c r="ED225" i="33"/>
  <c r="EC225" i="33"/>
  <c r="EB225" i="33"/>
  <c r="EA225" i="33"/>
  <c r="DZ225" i="33"/>
  <c r="DY225" i="33"/>
  <c r="DX225" i="33"/>
  <c r="DW225" i="33"/>
  <c r="DV225" i="33"/>
  <c r="DU225" i="33"/>
  <c r="DT225" i="33"/>
  <c r="DS225" i="33"/>
  <c r="DR225" i="33"/>
  <c r="DQ225" i="33"/>
  <c r="DP225" i="33"/>
  <c r="DO225" i="33"/>
  <c r="DN225" i="33"/>
  <c r="DM225" i="33"/>
  <c r="DL225" i="33"/>
  <c r="DK225" i="33"/>
  <c r="DJ225" i="33"/>
  <c r="DI225" i="33"/>
  <c r="DH225" i="33"/>
  <c r="DG225" i="33"/>
  <c r="DF225" i="33"/>
  <c r="DE225" i="33"/>
  <c r="DD225" i="33"/>
  <c r="DC225" i="33"/>
  <c r="DB225" i="33"/>
  <c r="DA225" i="33"/>
  <c r="CZ225" i="33"/>
  <c r="CY225" i="33"/>
  <c r="CX225" i="33"/>
  <c r="CW225" i="33"/>
  <c r="CV225" i="33"/>
  <c r="CU225" i="33"/>
  <c r="CT225" i="33"/>
  <c r="CS225" i="33"/>
  <c r="CR225" i="33"/>
  <c r="CQ225" i="33"/>
  <c r="CP225" i="33"/>
  <c r="CO225" i="33"/>
  <c r="CN225" i="33"/>
  <c r="CM225" i="33"/>
  <c r="CL225" i="33"/>
  <c r="CK225" i="33"/>
  <c r="CJ225" i="33"/>
  <c r="CI225" i="33"/>
  <c r="CH225" i="33"/>
  <c r="CG225" i="33"/>
  <c r="CF225" i="33"/>
  <c r="CE225" i="33"/>
  <c r="CD225" i="33"/>
  <c r="CC225" i="33"/>
  <c r="CB225" i="33"/>
  <c r="CA225" i="33"/>
  <c r="BZ225" i="33"/>
  <c r="BY225" i="33"/>
  <c r="BX225" i="33"/>
  <c r="BW225" i="33"/>
  <c r="BV225" i="33"/>
  <c r="BU225" i="33"/>
  <c r="BT225" i="33"/>
  <c r="BS225" i="33"/>
  <c r="BR225" i="33"/>
  <c r="BQ225" i="33"/>
  <c r="BP225" i="33"/>
  <c r="BO225" i="33"/>
  <c r="BN225" i="33"/>
  <c r="BM225" i="33"/>
  <c r="BL225" i="33"/>
  <c r="BK225" i="33"/>
  <c r="BJ225" i="33"/>
  <c r="BI225" i="33"/>
  <c r="BH225" i="33"/>
  <c r="BG225" i="33"/>
  <c r="BF225" i="33"/>
  <c r="BE225" i="33"/>
  <c r="BD225" i="33"/>
  <c r="BC225" i="33"/>
  <c r="BB225" i="33"/>
  <c r="BA225" i="33"/>
  <c r="AZ225" i="33"/>
  <c r="AY225" i="33"/>
  <c r="AX225" i="33"/>
  <c r="AW225" i="33"/>
  <c r="AV225" i="33"/>
  <c r="AU225" i="33"/>
  <c r="AT225" i="33"/>
  <c r="AS225" i="33"/>
  <c r="AR225" i="33"/>
  <c r="AQ225" i="33"/>
  <c r="AP225" i="33"/>
  <c r="AO225" i="33"/>
  <c r="AN225" i="33"/>
  <c r="AM225" i="33"/>
  <c r="AL225" i="33"/>
  <c r="AK225" i="33"/>
  <c r="AJ225" i="33"/>
  <c r="AI225" i="33"/>
  <c r="AH225" i="33"/>
  <c r="AG225" i="33"/>
  <c r="AF225" i="33"/>
  <c r="AE225" i="33"/>
  <c r="AD225" i="33"/>
  <c r="AC225" i="33"/>
  <c r="AB225" i="33"/>
  <c r="AA225" i="33"/>
  <c r="Z225" i="33"/>
  <c r="Y225" i="33"/>
  <c r="X225" i="33"/>
  <c r="W225" i="33"/>
  <c r="V225" i="33"/>
  <c r="U225" i="33"/>
  <c r="T225" i="33"/>
  <c r="S225" i="33"/>
  <c r="R225" i="33"/>
  <c r="Q225" i="33"/>
  <c r="P225" i="33"/>
  <c r="O225" i="33"/>
  <c r="N225" i="33"/>
  <c r="M225" i="33"/>
  <c r="L225" i="33"/>
  <c r="K225" i="33"/>
  <c r="J225" i="33"/>
  <c r="I225" i="33"/>
  <c r="H225" i="33"/>
  <c r="G225" i="33"/>
  <c r="F225" i="33"/>
  <c r="E225" i="33"/>
  <c r="D225" i="33"/>
  <c r="C225" i="33"/>
  <c r="B225" i="33"/>
  <c r="A225" i="33"/>
  <c r="IV224" i="33"/>
  <c r="IU224" i="33"/>
  <c r="IT224" i="33"/>
  <c r="IS224" i="33"/>
  <c r="IR224" i="33"/>
  <c r="IQ224" i="33"/>
  <c r="IP224" i="33"/>
  <c r="IO224" i="33"/>
  <c r="IN224" i="33"/>
  <c r="IM224" i="33"/>
  <c r="IL224" i="33"/>
  <c r="IK224" i="33"/>
  <c r="IJ224" i="33"/>
  <c r="II224" i="33"/>
  <c r="IH224" i="33"/>
  <c r="IG224" i="33"/>
  <c r="IF224" i="33"/>
  <c r="IE224" i="33"/>
  <c r="ID224" i="33"/>
  <c r="IC224" i="33"/>
  <c r="IB224" i="33"/>
  <c r="IA224" i="33"/>
  <c r="HZ224" i="33"/>
  <c r="HY224" i="33"/>
  <c r="HX224" i="33"/>
  <c r="HW224" i="33"/>
  <c r="HV224" i="33"/>
  <c r="HU224" i="33"/>
  <c r="HT224" i="33"/>
  <c r="HS224" i="33"/>
  <c r="HR224" i="33"/>
  <c r="HQ224" i="33"/>
  <c r="HP224" i="33"/>
  <c r="HO224" i="33"/>
  <c r="HN224" i="33"/>
  <c r="HM224" i="33"/>
  <c r="HL224" i="33"/>
  <c r="HK224" i="33"/>
  <c r="HJ224" i="33"/>
  <c r="HI224" i="33"/>
  <c r="HH224" i="33"/>
  <c r="HG224" i="33"/>
  <c r="HF224" i="33"/>
  <c r="HE224" i="33"/>
  <c r="HD224" i="33"/>
  <c r="HC224" i="33"/>
  <c r="HB224" i="33"/>
  <c r="HA224" i="33"/>
  <c r="GZ224" i="33"/>
  <c r="GY224" i="33"/>
  <c r="GX224" i="33"/>
  <c r="GW224" i="33"/>
  <c r="GV224" i="33"/>
  <c r="GU224" i="33"/>
  <c r="GT224" i="33"/>
  <c r="GS224" i="33"/>
  <c r="GR224" i="33"/>
  <c r="GQ224" i="33"/>
  <c r="GP224" i="33"/>
  <c r="GO224" i="33"/>
  <c r="GN224" i="33"/>
  <c r="GM224" i="33"/>
  <c r="GL224" i="33"/>
  <c r="GK224" i="33"/>
  <c r="GJ224" i="33"/>
  <c r="GI224" i="33"/>
  <c r="GH224" i="33"/>
  <c r="GG224" i="33"/>
  <c r="GF224" i="33"/>
  <c r="GE224" i="33"/>
  <c r="GD224" i="33"/>
  <c r="GC224" i="33"/>
  <c r="GB224" i="33"/>
  <c r="GA224" i="33"/>
  <c r="FZ224" i="33"/>
  <c r="FY224" i="33"/>
  <c r="FX224" i="33"/>
  <c r="FW224" i="33"/>
  <c r="FV224" i="33"/>
  <c r="FU224" i="33"/>
  <c r="FT224" i="33"/>
  <c r="FS224" i="33"/>
  <c r="FR224" i="33"/>
  <c r="FQ224" i="33"/>
  <c r="FP224" i="33"/>
  <c r="FO224" i="33"/>
  <c r="FN224" i="33"/>
  <c r="FM224" i="33"/>
  <c r="FL224" i="33"/>
  <c r="FK224" i="33"/>
  <c r="FJ224" i="33"/>
  <c r="FI224" i="33"/>
  <c r="FH224" i="33"/>
  <c r="FG224" i="33"/>
  <c r="FF224" i="33"/>
  <c r="FE224" i="33"/>
  <c r="FD224" i="33"/>
  <c r="FC224" i="33"/>
  <c r="FB224" i="33"/>
  <c r="FA224" i="33"/>
  <c r="EZ224" i="33"/>
  <c r="EY224" i="33"/>
  <c r="EX224" i="33"/>
  <c r="EW224" i="33"/>
  <c r="EV224" i="33"/>
  <c r="EU224" i="33"/>
  <c r="ET224" i="33"/>
  <c r="ES224" i="33"/>
  <c r="ER224" i="33"/>
  <c r="EQ224" i="33"/>
  <c r="EP224" i="33"/>
  <c r="EO224" i="33"/>
  <c r="EN224" i="33"/>
  <c r="EM224" i="33"/>
  <c r="EL224" i="33"/>
  <c r="EK224" i="33"/>
  <c r="EJ224" i="33"/>
  <c r="EI224" i="33"/>
  <c r="EH224" i="33"/>
  <c r="EG224" i="33"/>
  <c r="EF224" i="33"/>
  <c r="EE224" i="33"/>
  <c r="ED224" i="33"/>
  <c r="EC224" i="33"/>
  <c r="EB224" i="33"/>
  <c r="EA224" i="33"/>
  <c r="DZ224" i="33"/>
  <c r="DY224" i="33"/>
  <c r="DX224" i="33"/>
  <c r="DW224" i="33"/>
  <c r="DV224" i="33"/>
  <c r="DU224" i="33"/>
  <c r="DT224" i="33"/>
  <c r="DS224" i="33"/>
  <c r="DR224" i="33"/>
  <c r="DQ224" i="33"/>
  <c r="DP224" i="33"/>
  <c r="DO224" i="33"/>
  <c r="DN224" i="33"/>
  <c r="DM224" i="33"/>
  <c r="DL224" i="33"/>
  <c r="DK224" i="33"/>
  <c r="DJ224" i="33"/>
  <c r="DI224" i="33"/>
  <c r="DH224" i="33"/>
  <c r="DG224" i="33"/>
  <c r="DF224" i="33"/>
  <c r="DE224" i="33"/>
  <c r="DD224" i="33"/>
  <c r="DC224" i="33"/>
  <c r="DB224" i="33"/>
  <c r="DA224" i="33"/>
  <c r="CZ224" i="33"/>
  <c r="CY224" i="33"/>
  <c r="CX224" i="33"/>
  <c r="CW224" i="33"/>
  <c r="CV224" i="33"/>
  <c r="CU224" i="33"/>
  <c r="CT224" i="33"/>
  <c r="CS224" i="33"/>
  <c r="CR224" i="33"/>
  <c r="CQ224" i="33"/>
  <c r="CP224" i="33"/>
  <c r="CO224" i="33"/>
  <c r="CN224" i="33"/>
  <c r="CM224" i="33"/>
  <c r="CL224" i="33"/>
  <c r="CK224" i="33"/>
  <c r="CJ224" i="33"/>
  <c r="CI224" i="33"/>
  <c r="CH224" i="33"/>
  <c r="CG224" i="33"/>
  <c r="CF224" i="33"/>
  <c r="CE224" i="33"/>
  <c r="CD224" i="33"/>
  <c r="CC224" i="33"/>
  <c r="CB224" i="33"/>
  <c r="CA224" i="33"/>
  <c r="BZ224" i="33"/>
  <c r="BY224" i="33"/>
  <c r="BX224" i="33"/>
  <c r="BW224" i="33"/>
  <c r="BV224" i="33"/>
  <c r="BU224" i="33"/>
  <c r="BT224" i="33"/>
  <c r="BS224" i="33"/>
  <c r="BR224" i="33"/>
  <c r="BQ224" i="33"/>
  <c r="BP224" i="33"/>
  <c r="BO224" i="33"/>
  <c r="BN224" i="33"/>
  <c r="BM224" i="33"/>
  <c r="BL224" i="33"/>
  <c r="BK224" i="33"/>
  <c r="BJ224" i="33"/>
  <c r="BI224" i="33"/>
  <c r="BH224" i="33"/>
  <c r="BG224" i="33"/>
  <c r="BF224" i="33"/>
  <c r="BE224" i="33"/>
  <c r="BD224" i="33"/>
  <c r="BC224" i="33"/>
  <c r="BB224" i="33"/>
  <c r="BA224" i="33"/>
  <c r="AZ224" i="33"/>
  <c r="AY224" i="33"/>
  <c r="AX224" i="33"/>
  <c r="AW224" i="33"/>
  <c r="AV224" i="33"/>
  <c r="AU224" i="33"/>
  <c r="AT224" i="33"/>
  <c r="AS224" i="33"/>
  <c r="AR224" i="33"/>
  <c r="AQ224" i="33"/>
  <c r="AP224" i="33"/>
  <c r="AO224" i="33"/>
  <c r="AN224" i="33"/>
  <c r="AM224" i="33"/>
  <c r="AL224" i="33"/>
  <c r="AK224" i="33"/>
  <c r="AJ224" i="33"/>
  <c r="AI224" i="33"/>
  <c r="AH224" i="33"/>
  <c r="AG224" i="33"/>
  <c r="AF224" i="33"/>
  <c r="AE224" i="33"/>
  <c r="AD224" i="33"/>
  <c r="AC224" i="33"/>
  <c r="AB224" i="33"/>
  <c r="AA224" i="33"/>
  <c r="Z224" i="33"/>
  <c r="Y224" i="33"/>
  <c r="X224" i="33"/>
  <c r="W224" i="33"/>
  <c r="V224" i="33"/>
  <c r="U224" i="33"/>
  <c r="T224" i="33"/>
  <c r="S224" i="33"/>
  <c r="R224" i="33"/>
  <c r="Q224" i="33"/>
  <c r="P224" i="33"/>
  <c r="O224" i="33"/>
  <c r="N224" i="33"/>
  <c r="M224" i="33"/>
  <c r="L224" i="33"/>
  <c r="K224" i="33"/>
  <c r="J224" i="33"/>
  <c r="I224" i="33"/>
  <c r="H224" i="33"/>
  <c r="G224" i="33"/>
  <c r="F224" i="33"/>
  <c r="E224" i="33"/>
  <c r="D224" i="33"/>
  <c r="C224" i="33"/>
  <c r="B224" i="33"/>
  <c r="A224" i="33"/>
  <c r="IV223" i="33"/>
  <c r="IU223" i="33"/>
  <c r="IT223" i="33"/>
  <c r="IS223" i="33"/>
  <c r="IR223" i="33"/>
  <c r="IQ223" i="33"/>
  <c r="IP223" i="33"/>
  <c r="IO223" i="33"/>
  <c r="IN223" i="33"/>
  <c r="IM223" i="33"/>
  <c r="IL223" i="33"/>
  <c r="IK223" i="33"/>
  <c r="IJ223" i="33"/>
  <c r="II223" i="33"/>
  <c r="IH223" i="33"/>
  <c r="IG223" i="33"/>
  <c r="IF223" i="33"/>
  <c r="IE223" i="33"/>
  <c r="ID223" i="33"/>
  <c r="IC223" i="33"/>
  <c r="IB223" i="33"/>
  <c r="IA223" i="33"/>
  <c r="HZ223" i="33"/>
  <c r="HY223" i="33"/>
  <c r="HX223" i="33"/>
  <c r="HW223" i="33"/>
  <c r="HV223" i="33"/>
  <c r="HU223" i="33"/>
  <c r="HT223" i="33"/>
  <c r="HS223" i="33"/>
  <c r="HR223" i="33"/>
  <c r="HQ223" i="33"/>
  <c r="HP223" i="33"/>
  <c r="HO223" i="33"/>
  <c r="HN223" i="33"/>
  <c r="HM223" i="33"/>
  <c r="HL223" i="33"/>
  <c r="HK223" i="33"/>
  <c r="HJ223" i="33"/>
  <c r="HI223" i="33"/>
  <c r="HH223" i="33"/>
  <c r="HG223" i="33"/>
  <c r="HF223" i="33"/>
  <c r="HE223" i="33"/>
  <c r="HD223" i="33"/>
  <c r="HC223" i="33"/>
  <c r="HB223" i="33"/>
  <c r="HA223" i="33"/>
  <c r="GZ223" i="33"/>
  <c r="GY223" i="33"/>
  <c r="GX223" i="33"/>
  <c r="GW223" i="33"/>
  <c r="GV223" i="33"/>
  <c r="GU223" i="33"/>
  <c r="GT223" i="33"/>
  <c r="GS223" i="33"/>
  <c r="GR223" i="33"/>
  <c r="GQ223" i="33"/>
  <c r="GP223" i="33"/>
  <c r="GO223" i="33"/>
  <c r="GN223" i="33"/>
  <c r="GM223" i="33"/>
  <c r="GL223" i="33"/>
  <c r="GK223" i="33"/>
  <c r="GJ223" i="33"/>
  <c r="GI223" i="33"/>
  <c r="GH223" i="33"/>
  <c r="GG223" i="33"/>
  <c r="GF223" i="33"/>
  <c r="GE223" i="33"/>
  <c r="GD223" i="33"/>
  <c r="GC223" i="33"/>
  <c r="GB223" i="33"/>
  <c r="GA223" i="33"/>
  <c r="FZ223" i="33"/>
  <c r="FY223" i="33"/>
  <c r="FX223" i="33"/>
  <c r="FW223" i="33"/>
  <c r="FV223" i="33"/>
  <c r="FU223" i="33"/>
  <c r="FT223" i="33"/>
  <c r="FS223" i="33"/>
  <c r="FR223" i="33"/>
  <c r="FQ223" i="33"/>
  <c r="FP223" i="33"/>
  <c r="FO223" i="33"/>
  <c r="FN223" i="33"/>
  <c r="FM223" i="33"/>
  <c r="FL223" i="33"/>
  <c r="FK223" i="33"/>
  <c r="FJ223" i="33"/>
  <c r="FI223" i="33"/>
  <c r="FH223" i="33"/>
  <c r="FG223" i="33"/>
  <c r="FF223" i="33"/>
  <c r="FE223" i="33"/>
  <c r="FD223" i="33"/>
  <c r="FC223" i="33"/>
  <c r="FB223" i="33"/>
  <c r="FA223" i="33"/>
  <c r="EZ223" i="33"/>
  <c r="EY223" i="33"/>
  <c r="EX223" i="33"/>
  <c r="EW223" i="33"/>
  <c r="EV223" i="33"/>
  <c r="EU223" i="33"/>
  <c r="ET223" i="33"/>
  <c r="ES223" i="33"/>
  <c r="ER223" i="33"/>
  <c r="EQ223" i="33"/>
  <c r="EP223" i="33"/>
  <c r="EO223" i="33"/>
  <c r="EN223" i="33"/>
  <c r="EM223" i="33"/>
  <c r="EL223" i="33"/>
  <c r="EK223" i="33"/>
  <c r="EJ223" i="33"/>
  <c r="EI223" i="33"/>
  <c r="EH223" i="33"/>
  <c r="EG223" i="33"/>
  <c r="EF223" i="33"/>
  <c r="EE223" i="33"/>
  <c r="ED223" i="33"/>
  <c r="EC223" i="33"/>
  <c r="EB223" i="33"/>
  <c r="EA223" i="33"/>
  <c r="DZ223" i="33"/>
  <c r="DY223" i="33"/>
  <c r="DX223" i="33"/>
  <c r="DW223" i="33"/>
  <c r="DV223" i="33"/>
  <c r="DU223" i="33"/>
  <c r="DT223" i="33"/>
  <c r="DS223" i="33"/>
  <c r="DR223" i="33"/>
  <c r="DQ223" i="33"/>
  <c r="DP223" i="33"/>
  <c r="DO223" i="33"/>
  <c r="DN223" i="33"/>
  <c r="DM223" i="33"/>
  <c r="DL223" i="33"/>
  <c r="DK223" i="33"/>
  <c r="DJ223" i="33"/>
  <c r="DI223" i="33"/>
  <c r="DH223" i="33"/>
  <c r="DG223" i="33"/>
  <c r="DF223" i="33"/>
  <c r="DE223" i="33"/>
  <c r="DD223" i="33"/>
  <c r="DC223" i="33"/>
  <c r="DB223" i="33"/>
  <c r="DA223" i="33"/>
  <c r="CZ223" i="33"/>
  <c r="CY223" i="33"/>
  <c r="CX223" i="33"/>
  <c r="CW223" i="33"/>
  <c r="CV223" i="33"/>
  <c r="CU223" i="33"/>
  <c r="CT223" i="33"/>
  <c r="CS223" i="33"/>
  <c r="CR223" i="33"/>
  <c r="CQ223" i="33"/>
  <c r="CP223" i="33"/>
  <c r="CO223" i="33"/>
  <c r="CN223" i="33"/>
  <c r="CM223" i="33"/>
  <c r="CL223" i="33"/>
  <c r="CK223" i="33"/>
  <c r="CJ223" i="33"/>
  <c r="CI223" i="33"/>
  <c r="CH223" i="33"/>
  <c r="CG223" i="33"/>
  <c r="CF223" i="33"/>
  <c r="CE223" i="33"/>
  <c r="CD223" i="33"/>
  <c r="CC223" i="33"/>
  <c r="CB223" i="33"/>
  <c r="CA223" i="33"/>
  <c r="BZ223" i="33"/>
  <c r="BY223" i="33"/>
  <c r="BX223" i="33"/>
  <c r="BW223" i="33"/>
  <c r="BV223" i="33"/>
  <c r="BU223" i="33"/>
  <c r="BT223" i="33"/>
  <c r="BS223" i="33"/>
  <c r="BR223" i="33"/>
  <c r="BQ223" i="33"/>
  <c r="BP223" i="33"/>
  <c r="BO223" i="33"/>
  <c r="BN223" i="33"/>
  <c r="BM223" i="33"/>
  <c r="BL223" i="33"/>
  <c r="BK223" i="33"/>
  <c r="BJ223" i="33"/>
  <c r="BI223" i="33"/>
  <c r="BH223" i="33"/>
  <c r="BG223" i="33"/>
  <c r="BF223" i="33"/>
  <c r="BE223" i="33"/>
  <c r="BD223" i="33"/>
  <c r="BC223" i="33"/>
  <c r="BB223" i="33"/>
  <c r="BA223" i="33"/>
  <c r="AZ223" i="33"/>
  <c r="AY223" i="33"/>
  <c r="AX223" i="33"/>
  <c r="AW223" i="33"/>
  <c r="AV223" i="33"/>
  <c r="AU223" i="33"/>
  <c r="AT223" i="33"/>
  <c r="AS223" i="33"/>
  <c r="AR223" i="33"/>
  <c r="AQ223" i="33"/>
  <c r="AP223" i="33"/>
  <c r="AO223" i="33"/>
  <c r="AN223" i="33"/>
  <c r="AM223" i="33"/>
  <c r="AL223" i="33"/>
  <c r="AK223" i="33"/>
  <c r="AJ223" i="33"/>
  <c r="AI223" i="33"/>
  <c r="AH223" i="33"/>
  <c r="AG223" i="33"/>
  <c r="AF223" i="33"/>
  <c r="AE223" i="33"/>
  <c r="AD223" i="33"/>
  <c r="AC223" i="33"/>
  <c r="AB223" i="33"/>
  <c r="AA223" i="33"/>
  <c r="Z223" i="33"/>
  <c r="Y223" i="33"/>
  <c r="X223" i="33"/>
  <c r="W223" i="33"/>
  <c r="V223" i="33"/>
  <c r="U223" i="33"/>
  <c r="T223" i="33"/>
  <c r="S223" i="33"/>
  <c r="R223" i="33"/>
  <c r="Q223" i="33"/>
  <c r="P223" i="33"/>
  <c r="O223" i="33"/>
  <c r="N223" i="33"/>
  <c r="M223" i="33"/>
  <c r="L223" i="33"/>
  <c r="K223" i="33"/>
  <c r="J223" i="33"/>
  <c r="I223" i="33"/>
  <c r="H223" i="33"/>
  <c r="G223" i="33"/>
  <c r="F223" i="33"/>
  <c r="E223" i="33"/>
  <c r="D223" i="33"/>
  <c r="C223" i="33"/>
  <c r="B223" i="33"/>
  <c r="A223" i="33"/>
  <c r="IV222" i="33"/>
  <c r="IU222" i="33"/>
  <c r="IT222" i="33"/>
  <c r="IS222" i="33"/>
  <c r="IR222" i="33"/>
  <c r="IQ222" i="33"/>
  <c r="IP222" i="33"/>
  <c r="IO222" i="33"/>
  <c r="IN222" i="33"/>
  <c r="IM222" i="33"/>
  <c r="IL222" i="33"/>
  <c r="IK222" i="33"/>
  <c r="IJ222" i="33"/>
  <c r="II222" i="33"/>
  <c r="IH222" i="33"/>
  <c r="IG222" i="33"/>
  <c r="IF222" i="33"/>
  <c r="IE222" i="33"/>
  <c r="ID222" i="33"/>
  <c r="IC222" i="33"/>
  <c r="IB222" i="33"/>
  <c r="IA222" i="33"/>
  <c r="HZ222" i="33"/>
  <c r="HY222" i="33"/>
  <c r="HX222" i="33"/>
  <c r="HW222" i="33"/>
  <c r="HV222" i="33"/>
  <c r="HU222" i="33"/>
  <c r="HT222" i="33"/>
  <c r="HS222" i="33"/>
  <c r="HR222" i="33"/>
  <c r="HQ222" i="33"/>
  <c r="HP222" i="33"/>
  <c r="HO222" i="33"/>
  <c r="HN222" i="33"/>
  <c r="HM222" i="33"/>
  <c r="HL222" i="33"/>
  <c r="HK222" i="33"/>
  <c r="HJ222" i="33"/>
  <c r="HI222" i="33"/>
  <c r="HH222" i="33"/>
  <c r="HG222" i="33"/>
  <c r="HF222" i="33"/>
  <c r="HE222" i="33"/>
  <c r="HD222" i="33"/>
  <c r="HC222" i="33"/>
  <c r="HB222" i="33"/>
  <c r="HA222" i="33"/>
  <c r="GZ222" i="33"/>
  <c r="GY222" i="33"/>
  <c r="GX222" i="33"/>
  <c r="GW222" i="33"/>
  <c r="GV222" i="33"/>
  <c r="GU222" i="33"/>
  <c r="GT222" i="33"/>
  <c r="GS222" i="33"/>
  <c r="GR222" i="33"/>
  <c r="GQ222" i="33"/>
  <c r="GP222" i="33"/>
  <c r="GO222" i="33"/>
  <c r="GN222" i="33"/>
  <c r="GM222" i="33"/>
  <c r="GL222" i="33"/>
  <c r="GK222" i="33"/>
  <c r="GJ222" i="33"/>
  <c r="GI222" i="33"/>
  <c r="GH222" i="33"/>
  <c r="GG222" i="33"/>
  <c r="GF222" i="33"/>
  <c r="GE222" i="33"/>
  <c r="GD222" i="33"/>
  <c r="GC222" i="33"/>
  <c r="GB222" i="33"/>
  <c r="GA222" i="33"/>
  <c r="FZ222" i="33"/>
  <c r="FY222" i="33"/>
  <c r="FX222" i="33"/>
  <c r="FW222" i="33"/>
  <c r="FV222" i="33"/>
  <c r="FU222" i="33"/>
  <c r="FT222" i="33"/>
  <c r="FS222" i="33"/>
  <c r="FR222" i="33"/>
  <c r="FQ222" i="33"/>
  <c r="FP222" i="33"/>
  <c r="FO222" i="33"/>
  <c r="FN222" i="33"/>
  <c r="FM222" i="33"/>
  <c r="FL222" i="33"/>
  <c r="FK222" i="33"/>
  <c r="FJ222" i="33"/>
  <c r="FI222" i="33"/>
  <c r="FH222" i="33"/>
  <c r="FG222" i="33"/>
  <c r="FF222" i="33"/>
  <c r="FE222" i="33"/>
  <c r="FD222" i="33"/>
  <c r="FC222" i="33"/>
  <c r="FB222" i="33"/>
  <c r="FA222" i="33"/>
  <c r="EZ222" i="33"/>
  <c r="EY222" i="33"/>
  <c r="EX222" i="33"/>
  <c r="EW222" i="33"/>
  <c r="EV222" i="33"/>
  <c r="EU222" i="33"/>
  <c r="ET222" i="33"/>
  <c r="ES222" i="33"/>
  <c r="ER222" i="33"/>
  <c r="EQ222" i="33"/>
  <c r="EP222" i="33"/>
  <c r="EO222" i="33"/>
  <c r="EN222" i="33"/>
  <c r="EM222" i="33"/>
  <c r="EL222" i="33"/>
  <c r="EK222" i="33"/>
  <c r="EJ222" i="33"/>
  <c r="EI222" i="33"/>
  <c r="EH222" i="33"/>
  <c r="EG222" i="33"/>
  <c r="EF222" i="33"/>
  <c r="EE222" i="33"/>
  <c r="ED222" i="33"/>
  <c r="EC222" i="33"/>
  <c r="EB222" i="33"/>
  <c r="EA222" i="33"/>
  <c r="DZ222" i="33"/>
  <c r="DY222" i="33"/>
  <c r="DX222" i="33"/>
  <c r="DW222" i="33"/>
  <c r="DV222" i="33"/>
  <c r="DU222" i="33"/>
  <c r="DT222" i="33"/>
  <c r="DS222" i="33"/>
  <c r="DR222" i="33"/>
  <c r="DQ222" i="33"/>
  <c r="DP222" i="33"/>
  <c r="DO222" i="33"/>
  <c r="DN222" i="33"/>
  <c r="DM222" i="33"/>
  <c r="DL222" i="33"/>
  <c r="DK222" i="33"/>
  <c r="DJ222" i="33"/>
  <c r="DI222" i="33"/>
  <c r="DH222" i="33"/>
  <c r="DG222" i="33"/>
  <c r="DF222" i="33"/>
  <c r="DE222" i="33"/>
  <c r="DD222" i="33"/>
  <c r="DC222" i="33"/>
  <c r="DB222" i="33"/>
  <c r="DA222" i="33"/>
  <c r="CZ222" i="33"/>
  <c r="CY222" i="33"/>
  <c r="CX222" i="33"/>
  <c r="CW222" i="33"/>
  <c r="CV222" i="33"/>
  <c r="CU222" i="33"/>
  <c r="CT222" i="33"/>
  <c r="CS222" i="33"/>
  <c r="CR222" i="33"/>
  <c r="CQ222" i="33"/>
  <c r="CP222" i="33"/>
  <c r="CO222" i="33"/>
  <c r="CN222" i="33"/>
  <c r="CM222" i="33"/>
  <c r="CL222" i="33"/>
  <c r="CK222" i="33"/>
  <c r="CJ222" i="33"/>
  <c r="CI222" i="33"/>
  <c r="CH222" i="33"/>
  <c r="CG222" i="33"/>
  <c r="CF222" i="33"/>
  <c r="CE222" i="33"/>
  <c r="CD222" i="33"/>
  <c r="CC222" i="33"/>
  <c r="CB222" i="33"/>
  <c r="CA222" i="33"/>
  <c r="BZ222" i="33"/>
  <c r="BY222" i="33"/>
  <c r="BX222" i="33"/>
  <c r="BW222" i="33"/>
  <c r="BV222" i="33"/>
  <c r="BU222" i="33"/>
  <c r="BT222" i="33"/>
  <c r="BS222" i="33"/>
  <c r="BR222" i="33"/>
  <c r="BQ222" i="33"/>
  <c r="BP222" i="33"/>
  <c r="BO222" i="33"/>
  <c r="BN222" i="33"/>
  <c r="BM222" i="33"/>
  <c r="BL222" i="33"/>
  <c r="BK222" i="33"/>
  <c r="BJ222" i="33"/>
  <c r="BI222" i="33"/>
  <c r="BH222" i="33"/>
  <c r="BG222" i="33"/>
  <c r="BF222" i="33"/>
  <c r="BE222" i="33"/>
  <c r="BD222" i="33"/>
  <c r="BC222" i="33"/>
  <c r="BB222" i="33"/>
  <c r="BA222" i="33"/>
  <c r="AZ222" i="33"/>
  <c r="AY222" i="33"/>
  <c r="AX222" i="33"/>
  <c r="AW222" i="33"/>
  <c r="AV222" i="33"/>
  <c r="AU222" i="33"/>
  <c r="AT222" i="33"/>
  <c r="AS222" i="33"/>
  <c r="AR222" i="33"/>
  <c r="AQ222" i="33"/>
  <c r="AP222" i="33"/>
  <c r="AO222" i="33"/>
  <c r="AN222" i="33"/>
  <c r="AM222" i="33"/>
  <c r="AL222" i="33"/>
  <c r="AK222" i="33"/>
  <c r="AJ222" i="33"/>
  <c r="AI222" i="33"/>
  <c r="AH222" i="33"/>
  <c r="AG222" i="33"/>
  <c r="AF222" i="33"/>
  <c r="AE222" i="33"/>
  <c r="AD222" i="33"/>
  <c r="AC222" i="33"/>
  <c r="AB222" i="33"/>
  <c r="AA222" i="33"/>
  <c r="Z222" i="33"/>
  <c r="Y222" i="33"/>
  <c r="X222" i="33"/>
  <c r="W222" i="33"/>
  <c r="V222" i="33"/>
  <c r="U222" i="33"/>
  <c r="T222" i="33"/>
  <c r="S222" i="33"/>
  <c r="R222" i="33"/>
  <c r="Q222" i="33"/>
  <c r="P222" i="33"/>
  <c r="O222" i="33"/>
  <c r="N222" i="33"/>
  <c r="M222" i="33"/>
  <c r="L222" i="33"/>
  <c r="K222" i="33"/>
  <c r="J222" i="33"/>
  <c r="I222" i="33"/>
  <c r="H222" i="33"/>
  <c r="G222" i="33"/>
  <c r="F222" i="33"/>
  <c r="E222" i="33"/>
  <c r="D222" i="33"/>
  <c r="C222" i="33"/>
  <c r="B222" i="33"/>
  <c r="A222" i="33"/>
  <c r="IV221" i="33"/>
  <c r="IU221" i="33"/>
  <c r="IT221" i="33"/>
  <c r="IS221" i="33"/>
  <c r="IR221" i="33"/>
  <c r="IQ221" i="33"/>
  <c r="IP221" i="33"/>
  <c r="IO221" i="33"/>
  <c r="IN221" i="33"/>
  <c r="IM221" i="33"/>
  <c r="IL221" i="33"/>
  <c r="IK221" i="33"/>
  <c r="IJ221" i="33"/>
  <c r="II221" i="33"/>
  <c r="IH221" i="33"/>
  <c r="IG221" i="33"/>
  <c r="IF221" i="33"/>
  <c r="IE221" i="33"/>
  <c r="ID221" i="33"/>
  <c r="IC221" i="33"/>
  <c r="IB221" i="33"/>
  <c r="IA221" i="33"/>
  <c r="HZ221" i="33"/>
  <c r="HY221" i="33"/>
  <c r="HX221" i="33"/>
  <c r="HW221" i="33"/>
  <c r="HV221" i="33"/>
  <c r="HU221" i="33"/>
  <c r="HT221" i="33"/>
  <c r="HS221" i="33"/>
  <c r="HR221" i="33"/>
  <c r="HQ221" i="33"/>
  <c r="HP221" i="33"/>
  <c r="HO221" i="33"/>
  <c r="HN221" i="33"/>
  <c r="HM221" i="33"/>
  <c r="HL221" i="33"/>
  <c r="HK221" i="33"/>
  <c r="HJ221" i="33"/>
  <c r="HI221" i="33"/>
  <c r="HH221" i="33"/>
  <c r="HG221" i="33"/>
  <c r="HF221" i="33"/>
  <c r="HE221" i="33"/>
  <c r="HD221" i="33"/>
  <c r="HC221" i="33"/>
  <c r="HB221" i="33"/>
  <c r="HA221" i="33"/>
  <c r="GZ221" i="33"/>
  <c r="GY221" i="33"/>
  <c r="GX221" i="33"/>
  <c r="GW221" i="33"/>
  <c r="GV221" i="33"/>
  <c r="GU221" i="33"/>
  <c r="GT221" i="33"/>
  <c r="GS221" i="33"/>
  <c r="GR221" i="33"/>
  <c r="GQ221" i="33"/>
  <c r="GP221" i="33"/>
  <c r="GO221" i="33"/>
  <c r="GN221" i="33"/>
  <c r="GM221" i="33"/>
  <c r="GL221" i="33"/>
  <c r="GK221" i="33"/>
  <c r="GJ221" i="33"/>
  <c r="GI221" i="33"/>
  <c r="GH221" i="33"/>
  <c r="GG221" i="33"/>
  <c r="GF221" i="33"/>
  <c r="GE221" i="33"/>
  <c r="GD221" i="33"/>
  <c r="GC221" i="33"/>
  <c r="GB221" i="33"/>
  <c r="GA221" i="33"/>
  <c r="FZ221" i="33"/>
  <c r="FY221" i="33"/>
  <c r="FX221" i="33"/>
  <c r="FW221" i="33"/>
  <c r="FV221" i="33"/>
  <c r="FU221" i="33"/>
  <c r="FT221" i="33"/>
  <c r="FS221" i="33"/>
  <c r="FR221" i="33"/>
  <c r="FQ221" i="33"/>
  <c r="FP221" i="33"/>
  <c r="FO221" i="33"/>
  <c r="FN221" i="33"/>
  <c r="FM221" i="33"/>
  <c r="FL221" i="33"/>
  <c r="FK221" i="33"/>
  <c r="FJ221" i="33"/>
  <c r="FI221" i="33"/>
  <c r="FH221" i="33"/>
  <c r="FG221" i="33"/>
  <c r="FF221" i="33"/>
  <c r="FE221" i="33"/>
  <c r="FD221" i="33"/>
  <c r="FC221" i="33"/>
  <c r="FB221" i="33"/>
  <c r="FA221" i="33"/>
  <c r="EZ221" i="33"/>
  <c r="EY221" i="33"/>
  <c r="EX221" i="33"/>
  <c r="EW221" i="33"/>
  <c r="EV221" i="33"/>
  <c r="EU221" i="33"/>
  <c r="ET221" i="33"/>
  <c r="ES221" i="33"/>
  <c r="ER221" i="33"/>
  <c r="EQ221" i="33"/>
  <c r="EP221" i="33"/>
  <c r="EO221" i="33"/>
  <c r="EN221" i="33"/>
  <c r="EM221" i="33"/>
  <c r="EL221" i="33"/>
  <c r="EK221" i="33"/>
  <c r="EJ221" i="33"/>
  <c r="EI221" i="33"/>
  <c r="EH221" i="33"/>
  <c r="EG221" i="33"/>
  <c r="EF221" i="33"/>
  <c r="EE221" i="33"/>
  <c r="ED221" i="33"/>
  <c r="EC221" i="33"/>
  <c r="EB221" i="33"/>
  <c r="EA221" i="33"/>
  <c r="DZ221" i="33"/>
  <c r="DY221" i="33"/>
  <c r="DX221" i="33"/>
  <c r="DW221" i="33"/>
  <c r="DV221" i="33"/>
  <c r="DU221" i="33"/>
  <c r="DT221" i="33"/>
  <c r="DS221" i="33"/>
  <c r="DR221" i="33"/>
  <c r="DQ221" i="33"/>
  <c r="DP221" i="33"/>
  <c r="DO221" i="33"/>
  <c r="DN221" i="33"/>
  <c r="DM221" i="33"/>
  <c r="DL221" i="33"/>
  <c r="DK221" i="33"/>
  <c r="DJ221" i="33"/>
  <c r="DI221" i="33"/>
  <c r="DH221" i="33"/>
  <c r="DG221" i="33"/>
  <c r="DF221" i="33"/>
  <c r="DE221" i="33"/>
  <c r="DD221" i="33"/>
  <c r="DC221" i="33"/>
  <c r="DB221" i="33"/>
  <c r="DA221" i="33"/>
  <c r="CZ221" i="33"/>
  <c r="CY221" i="33"/>
  <c r="CX221" i="33"/>
  <c r="CW221" i="33"/>
  <c r="CV221" i="33"/>
  <c r="CU221" i="33"/>
  <c r="CT221" i="33"/>
  <c r="CS221" i="33"/>
  <c r="CR221" i="33"/>
  <c r="CQ221" i="33"/>
  <c r="CP221" i="33"/>
  <c r="CO221" i="33"/>
  <c r="CN221" i="33"/>
  <c r="CM221" i="33"/>
  <c r="CL221" i="33"/>
  <c r="CK221" i="33"/>
  <c r="CJ221" i="33"/>
  <c r="CI221" i="33"/>
  <c r="CH221" i="33"/>
  <c r="CG221" i="33"/>
  <c r="CF221" i="33"/>
  <c r="CE221" i="33"/>
  <c r="CD221" i="33"/>
  <c r="CC221" i="33"/>
  <c r="CB221" i="33"/>
  <c r="CA221" i="33"/>
  <c r="BZ221" i="33"/>
  <c r="BY221" i="33"/>
  <c r="BX221" i="33"/>
  <c r="BW221" i="33"/>
  <c r="BV221" i="33"/>
  <c r="BU221" i="33"/>
  <c r="BT221" i="33"/>
  <c r="BS221" i="33"/>
  <c r="BR221" i="33"/>
  <c r="BQ221" i="33"/>
  <c r="BP221" i="33"/>
  <c r="BO221" i="33"/>
  <c r="BN221" i="33"/>
  <c r="BM221" i="33"/>
  <c r="BL221" i="33"/>
  <c r="BK221" i="33"/>
  <c r="BJ221" i="33"/>
  <c r="BI221" i="33"/>
  <c r="BH221" i="33"/>
  <c r="BG221" i="33"/>
  <c r="BF221" i="33"/>
  <c r="BE221" i="33"/>
  <c r="BD221" i="33"/>
  <c r="BC221" i="33"/>
  <c r="BB221" i="33"/>
  <c r="BA221" i="33"/>
  <c r="AZ221" i="33"/>
  <c r="AY221" i="33"/>
  <c r="AX221" i="33"/>
  <c r="AW221" i="33"/>
  <c r="AV221" i="33"/>
  <c r="AU221" i="33"/>
  <c r="AT221" i="33"/>
  <c r="AS221" i="33"/>
  <c r="AR221" i="33"/>
  <c r="AQ221" i="33"/>
  <c r="AP221" i="33"/>
  <c r="AO221" i="33"/>
  <c r="AN221" i="33"/>
  <c r="AM221" i="33"/>
  <c r="AL221" i="33"/>
  <c r="AK221" i="33"/>
  <c r="AJ221" i="33"/>
  <c r="AI221" i="33"/>
  <c r="AH221" i="33"/>
  <c r="AG221" i="33"/>
  <c r="AF221" i="33"/>
  <c r="AE221" i="33"/>
  <c r="AD221" i="33"/>
  <c r="AC221" i="33"/>
  <c r="AB221" i="33"/>
  <c r="AA221" i="33"/>
  <c r="Z221" i="33"/>
  <c r="Y221" i="33"/>
  <c r="X221" i="33"/>
  <c r="W221" i="33"/>
  <c r="V221" i="33"/>
  <c r="U221" i="33"/>
  <c r="T221" i="33"/>
  <c r="S221" i="33"/>
  <c r="R221" i="33"/>
  <c r="Q221" i="33"/>
  <c r="P221" i="33"/>
  <c r="O221" i="33"/>
  <c r="N221" i="33"/>
  <c r="M221" i="33"/>
  <c r="L221" i="33"/>
  <c r="K221" i="33"/>
  <c r="J221" i="33"/>
  <c r="I221" i="33"/>
  <c r="H221" i="33"/>
  <c r="G221" i="33"/>
  <c r="F221" i="33"/>
  <c r="E221" i="33"/>
  <c r="D221" i="33"/>
  <c r="C221" i="33"/>
  <c r="B221" i="33"/>
  <c r="A221" i="33"/>
  <c r="IV220" i="33"/>
  <c r="IU220" i="33"/>
  <c r="IT220" i="33"/>
  <c r="IS220" i="33"/>
  <c r="IR220" i="33"/>
  <c r="IQ220" i="33"/>
  <c r="IP220" i="33"/>
  <c r="IO220" i="33"/>
  <c r="IN220" i="33"/>
  <c r="IM220" i="33"/>
  <c r="IL220" i="33"/>
  <c r="IK220" i="33"/>
  <c r="IJ220" i="33"/>
  <c r="II220" i="33"/>
  <c r="IH220" i="33"/>
  <c r="IG220" i="33"/>
  <c r="IF220" i="33"/>
  <c r="IE220" i="33"/>
  <c r="ID220" i="33"/>
  <c r="IC220" i="33"/>
  <c r="IB220" i="33"/>
  <c r="IA220" i="33"/>
  <c r="HZ220" i="33"/>
  <c r="HY220" i="33"/>
  <c r="HX220" i="33"/>
  <c r="HW220" i="33"/>
  <c r="HV220" i="33"/>
  <c r="HU220" i="33"/>
  <c r="HT220" i="33"/>
  <c r="HS220" i="33"/>
  <c r="HR220" i="33"/>
  <c r="HQ220" i="33"/>
  <c r="HP220" i="33"/>
  <c r="HO220" i="33"/>
  <c r="HN220" i="33"/>
  <c r="HM220" i="33"/>
  <c r="HL220" i="33"/>
  <c r="HK220" i="33"/>
  <c r="HJ220" i="33"/>
  <c r="HI220" i="33"/>
  <c r="HH220" i="33"/>
  <c r="HG220" i="33"/>
  <c r="HF220" i="33"/>
  <c r="HE220" i="33"/>
  <c r="HD220" i="33"/>
  <c r="HC220" i="33"/>
  <c r="HB220" i="33"/>
  <c r="HA220" i="33"/>
  <c r="GZ220" i="33"/>
  <c r="GY220" i="33"/>
  <c r="GX220" i="33"/>
  <c r="GW220" i="33"/>
  <c r="GV220" i="33"/>
  <c r="GU220" i="33"/>
  <c r="GT220" i="33"/>
  <c r="GS220" i="33"/>
  <c r="GR220" i="33"/>
  <c r="GQ220" i="33"/>
  <c r="GP220" i="33"/>
  <c r="GO220" i="33"/>
  <c r="GN220" i="33"/>
  <c r="GM220" i="33"/>
  <c r="GL220" i="33"/>
  <c r="GK220" i="33"/>
  <c r="GJ220" i="33"/>
  <c r="GI220" i="33"/>
  <c r="GH220" i="33"/>
  <c r="GG220" i="33"/>
  <c r="GF220" i="33"/>
  <c r="GE220" i="33"/>
  <c r="GD220" i="33"/>
  <c r="GC220" i="33"/>
  <c r="GB220" i="33"/>
  <c r="GA220" i="33"/>
  <c r="FZ220" i="33"/>
  <c r="FY220" i="33"/>
  <c r="FX220" i="33"/>
  <c r="FW220" i="33"/>
  <c r="FV220" i="33"/>
  <c r="FU220" i="33"/>
  <c r="FT220" i="33"/>
  <c r="FS220" i="33"/>
  <c r="FR220" i="33"/>
  <c r="FQ220" i="33"/>
  <c r="FP220" i="33"/>
  <c r="FO220" i="33"/>
  <c r="FN220" i="33"/>
  <c r="FM220" i="33"/>
  <c r="FL220" i="33"/>
  <c r="FK220" i="33"/>
  <c r="FJ220" i="33"/>
  <c r="FI220" i="33"/>
  <c r="FH220" i="33"/>
  <c r="FG220" i="33"/>
  <c r="FF220" i="33"/>
  <c r="FE220" i="33"/>
  <c r="FD220" i="33"/>
  <c r="FC220" i="33"/>
  <c r="FB220" i="33"/>
  <c r="FA220" i="33"/>
  <c r="EZ220" i="33"/>
  <c r="EY220" i="33"/>
  <c r="EX220" i="33"/>
  <c r="EW220" i="33"/>
  <c r="EV220" i="33"/>
  <c r="EU220" i="33"/>
  <c r="ET220" i="33"/>
  <c r="ES220" i="33"/>
  <c r="ER220" i="33"/>
  <c r="EQ220" i="33"/>
  <c r="EP220" i="33"/>
  <c r="EO220" i="33"/>
  <c r="EN220" i="33"/>
  <c r="EM220" i="33"/>
  <c r="EL220" i="33"/>
  <c r="EK220" i="33"/>
  <c r="EJ220" i="33"/>
  <c r="EI220" i="33"/>
  <c r="EH220" i="33"/>
  <c r="EG220" i="33"/>
  <c r="EF220" i="33"/>
  <c r="EE220" i="33"/>
  <c r="ED220" i="33"/>
  <c r="EC220" i="33"/>
  <c r="EB220" i="33"/>
  <c r="EA220" i="33"/>
  <c r="DZ220" i="33"/>
  <c r="DY220" i="33"/>
  <c r="DX220" i="33"/>
  <c r="DW220" i="33"/>
  <c r="DV220" i="33"/>
  <c r="DU220" i="33"/>
  <c r="DT220" i="33"/>
  <c r="DS220" i="33"/>
  <c r="DR220" i="33"/>
  <c r="DQ220" i="33"/>
  <c r="DP220" i="33"/>
  <c r="DO220" i="33"/>
  <c r="DN220" i="33"/>
  <c r="DM220" i="33"/>
  <c r="DL220" i="33"/>
  <c r="DK220" i="33"/>
  <c r="DJ220" i="33"/>
  <c r="DI220" i="33"/>
  <c r="DH220" i="33"/>
  <c r="DG220" i="33"/>
  <c r="DF220" i="33"/>
  <c r="DE220" i="33"/>
  <c r="DD220" i="33"/>
  <c r="DC220" i="33"/>
  <c r="DB220" i="33"/>
  <c r="DA220" i="33"/>
  <c r="CZ220" i="33"/>
  <c r="CY220" i="33"/>
  <c r="CX220" i="33"/>
  <c r="CW220" i="33"/>
  <c r="CV220" i="33"/>
  <c r="CU220" i="33"/>
  <c r="CT220" i="33"/>
  <c r="CS220" i="33"/>
  <c r="CR220" i="33"/>
  <c r="CQ220" i="33"/>
  <c r="CP220" i="33"/>
  <c r="CO220" i="33"/>
  <c r="CN220" i="33"/>
  <c r="CM220" i="33"/>
  <c r="CL220" i="33"/>
  <c r="CK220" i="33"/>
  <c r="CJ220" i="33"/>
  <c r="CI220" i="33"/>
  <c r="CH220" i="33"/>
  <c r="CG220" i="33"/>
  <c r="CF220" i="33"/>
  <c r="CE220" i="33"/>
  <c r="CD220" i="33"/>
  <c r="CC220" i="33"/>
  <c r="CB220" i="33"/>
  <c r="CA220" i="33"/>
  <c r="BZ220" i="33"/>
  <c r="BY220" i="33"/>
  <c r="BX220" i="33"/>
  <c r="BW220" i="33"/>
  <c r="BV220" i="33"/>
  <c r="BU220" i="33"/>
  <c r="BT220" i="33"/>
  <c r="BS220" i="33"/>
  <c r="BR220" i="33"/>
  <c r="BQ220" i="33"/>
  <c r="BP220" i="33"/>
  <c r="BO220" i="33"/>
  <c r="BN220" i="33"/>
  <c r="BM220" i="33"/>
  <c r="BL220" i="33"/>
  <c r="BK220" i="33"/>
  <c r="BJ220" i="33"/>
  <c r="BI220" i="33"/>
  <c r="BH220" i="33"/>
  <c r="BG220" i="33"/>
  <c r="BF220" i="33"/>
  <c r="BE220" i="33"/>
  <c r="BD220" i="33"/>
  <c r="BC220" i="33"/>
  <c r="BB220" i="33"/>
  <c r="BA220" i="33"/>
  <c r="AZ220" i="33"/>
  <c r="AY220" i="33"/>
  <c r="AX220" i="33"/>
  <c r="AW220" i="33"/>
  <c r="AV220" i="33"/>
  <c r="AU220" i="33"/>
  <c r="AT220" i="33"/>
  <c r="AS220" i="33"/>
  <c r="AR220" i="33"/>
  <c r="AQ220" i="33"/>
  <c r="AP220" i="33"/>
  <c r="AO220" i="33"/>
  <c r="AN220" i="33"/>
  <c r="AM220" i="33"/>
  <c r="AL220" i="33"/>
  <c r="AK220" i="33"/>
  <c r="AJ220" i="33"/>
  <c r="AI220" i="33"/>
  <c r="AH220" i="33"/>
  <c r="AG220" i="33"/>
  <c r="AF220" i="33"/>
  <c r="AE220" i="33"/>
  <c r="AD220" i="33"/>
  <c r="AC220" i="33"/>
  <c r="AB220" i="33"/>
  <c r="AA220" i="33"/>
  <c r="Z220" i="33"/>
  <c r="Y220" i="33"/>
  <c r="X220" i="33"/>
  <c r="W220" i="33"/>
  <c r="V220" i="33"/>
  <c r="U220" i="33"/>
  <c r="T220" i="33"/>
  <c r="S220" i="33"/>
  <c r="R220" i="33"/>
  <c r="Q220" i="33"/>
  <c r="P220" i="33"/>
  <c r="O220" i="33"/>
  <c r="N220" i="33"/>
  <c r="M220" i="33"/>
  <c r="L220" i="33"/>
  <c r="K220" i="33"/>
  <c r="J220" i="33"/>
  <c r="I220" i="33"/>
  <c r="H220" i="33"/>
  <c r="G220" i="33"/>
  <c r="F220" i="33"/>
  <c r="E220" i="33"/>
  <c r="D220" i="33"/>
  <c r="C220" i="33"/>
  <c r="B220" i="33"/>
  <c r="A220" i="33"/>
  <c r="IV219" i="33"/>
  <c r="IU219" i="33"/>
  <c r="IT219" i="33"/>
  <c r="IS219" i="33"/>
  <c r="IR219" i="33"/>
  <c r="IQ219" i="33"/>
  <c r="IP219" i="33"/>
  <c r="IO219" i="33"/>
  <c r="IN219" i="33"/>
  <c r="IM219" i="33"/>
  <c r="IL219" i="33"/>
  <c r="IK219" i="33"/>
  <c r="IJ219" i="33"/>
  <c r="II219" i="33"/>
  <c r="IH219" i="33"/>
  <c r="IG219" i="33"/>
  <c r="IF219" i="33"/>
  <c r="IE219" i="33"/>
  <c r="ID219" i="33"/>
  <c r="IC219" i="33"/>
  <c r="IB219" i="33"/>
  <c r="IA219" i="33"/>
  <c r="HZ219" i="33"/>
  <c r="HY219" i="33"/>
  <c r="HX219" i="33"/>
  <c r="HW219" i="33"/>
  <c r="HV219" i="33"/>
  <c r="HU219" i="33"/>
  <c r="HT219" i="33"/>
  <c r="HS219" i="33"/>
  <c r="HR219" i="33"/>
  <c r="HQ219" i="33"/>
  <c r="HP219" i="33"/>
  <c r="HO219" i="33"/>
  <c r="HN219" i="33"/>
  <c r="HM219" i="33"/>
  <c r="HL219" i="33"/>
  <c r="HK219" i="33"/>
  <c r="HJ219" i="33"/>
  <c r="HI219" i="33"/>
  <c r="HH219" i="33"/>
  <c r="HG219" i="33"/>
  <c r="HF219" i="33"/>
  <c r="HE219" i="33"/>
  <c r="HD219" i="33"/>
  <c r="HC219" i="33"/>
  <c r="HB219" i="33"/>
  <c r="HA219" i="33"/>
  <c r="GZ219" i="33"/>
  <c r="GY219" i="33"/>
  <c r="GX219" i="33"/>
  <c r="GW219" i="33"/>
  <c r="GV219" i="33"/>
  <c r="GU219" i="33"/>
  <c r="GT219" i="33"/>
  <c r="GS219" i="33"/>
  <c r="GR219" i="33"/>
  <c r="GQ219" i="33"/>
  <c r="GP219" i="33"/>
  <c r="GO219" i="33"/>
  <c r="GN219" i="33"/>
  <c r="GM219" i="33"/>
  <c r="GL219" i="33"/>
  <c r="GK219" i="33"/>
  <c r="GJ219" i="33"/>
  <c r="GI219" i="33"/>
  <c r="GH219" i="33"/>
  <c r="GG219" i="33"/>
  <c r="GF219" i="33"/>
  <c r="GE219" i="33"/>
  <c r="GD219" i="33"/>
  <c r="GC219" i="33"/>
  <c r="GB219" i="33"/>
  <c r="GA219" i="33"/>
  <c r="FZ219" i="33"/>
  <c r="FY219" i="33"/>
  <c r="FX219" i="33"/>
  <c r="FW219" i="33"/>
  <c r="FV219" i="33"/>
  <c r="FU219" i="33"/>
  <c r="FT219" i="33"/>
  <c r="FS219" i="33"/>
  <c r="FR219" i="33"/>
  <c r="FQ219" i="33"/>
  <c r="FP219" i="33"/>
  <c r="FO219" i="33"/>
  <c r="FN219" i="33"/>
  <c r="FM219" i="33"/>
  <c r="FL219" i="33"/>
  <c r="FK219" i="33"/>
  <c r="FJ219" i="33"/>
  <c r="FI219" i="33"/>
  <c r="FH219" i="33"/>
  <c r="FG219" i="33"/>
  <c r="FF219" i="33"/>
  <c r="FE219" i="33"/>
  <c r="FD219" i="33"/>
  <c r="FC219" i="33"/>
  <c r="FB219" i="33"/>
  <c r="FA219" i="33"/>
  <c r="EZ219" i="33"/>
  <c r="EY219" i="33"/>
  <c r="EX219" i="33"/>
  <c r="EW219" i="33"/>
  <c r="EV219" i="33"/>
  <c r="EU219" i="33"/>
  <c r="ET219" i="33"/>
  <c r="ES219" i="33"/>
  <c r="ER219" i="33"/>
  <c r="EQ219" i="33"/>
  <c r="EP219" i="33"/>
  <c r="EO219" i="33"/>
  <c r="EN219" i="33"/>
  <c r="EM219" i="33"/>
  <c r="EL219" i="33"/>
  <c r="EK219" i="33"/>
  <c r="EJ219" i="33"/>
  <c r="EI219" i="33"/>
  <c r="EH219" i="33"/>
  <c r="EG219" i="33"/>
  <c r="EF219" i="33"/>
  <c r="EE219" i="33"/>
  <c r="ED219" i="33"/>
  <c r="EC219" i="33"/>
  <c r="EB219" i="33"/>
  <c r="EA219" i="33"/>
  <c r="DZ219" i="33"/>
  <c r="DY219" i="33"/>
  <c r="DX219" i="33"/>
  <c r="DW219" i="33"/>
  <c r="DV219" i="33"/>
  <c r="DU219" i="33"/>
  <c r="DT219" i="33"/>
  <c r="DS219" i="33"/>
  <c r="DR219" i="33"/>
  <c r="DQ219" i="33"/>
  <c r="DP219" i="33"/>
  <c r="DO219" i="33"/>
  <c r="DN219" i="33"/>
  <c r="DM219" i="33"/>
  <c r="DL219" i="33"/>
  <c r="DK219" i="33"/>
  <c r="DJ219" i="33"/>
  <c r="DI219" i="33"/>
  <c r="DH219" i="33"/>
  <c r="DG219" i="33"/>
  <c r="DF219" i="33"/>
  <c r="DE219" i="33"/>
  <c r="DD219" i="33"/>
  <c r="DC219" i="33"/>
  <c r="DB219" i="33"/>
  <c r="DA219" i="33"/>
  <c r="CZ219" i="33"/>
  <c r="CY219" i="33"/>
  <c r="CX219" i="33"/>
  <c r="CW219" i="33"/>
  <c r="CV219" i="33"/>
  <c r="CU219" i="33"/>
  <c r="CT219" i="33"/>
  <c r="CS219" i="33"/>
  <c r="CR219" i="33"/>
  <c r="CQ219" i="33"/>
  <c r="CP219" i="33"/>
  <c r="CO219" i="33"/>
  <c r="CN219" i="33"/>
  <c r="CM219" i="33"/>
  <c r="CL219" i="33"/>
  <c r="CK219" i="33"/>
  <c r="CJ219" i="33"/>
  <c r="CI219" i="33"/>
  <c r="CH219" i="33"/>
  <c r="CG219" i="33"/>
  <c r="CF219" i="33"/>
  <c r="CE219" i="33"/>
  <c r="CD219" i="33"/>
  <c r="CC219" i="33"/>
  <c r="CB219" i="33"/>
  <c r="CA219" i="33"/>
  <c r="BZ219" i="33"/>
  <c r="BY219" i="33"/>
  <c r="BX219" i="33"/>
  <c r="BW219" i="33"/>
  <c r="BV219" i="33"/>
  <c r="BU219" i="33"/>
  <c r="BT219" i="33"/>
  <c r="BS219" i="33"/>
  <c r="BR219" i="33"/>
  <c r="BQ219" i="33"/>
  <c r="BP219" i="33"/>
  <c r="BO219" i="33"/>
  <c r="BN219" i="33"/>
  <c r="BM219" i="33"/>
  <c r="BL219" i="33"/>
  <c r="BK219" i="33"/>
  <c r="BJ219" i="33"/>
  <c r="BI219" i="33"/>
  <c r="BH219" i="33"/>
  <c r="BG219" i="33"/>
  <c r="BF219" i="33"/>
  <c r="BE219" i="33"/>
  <c r="BD219" i="33"/>
  <c r="BC219" i="33"/>
  <c r="BB219" i="33"/>
  <c r="BA219" i="33"/>
  <c r="AZ219" i="33"/>
  <c r="AY219" i="33"/>
  <c r="AX219" i="33"/>
  <c r="AW219" i="33"/>
  <c r="AV219" i="33"/>
  <c r="AU219" i="33"/>
  <c r="AT219" i="33"/>
  <c r="AS219" i="33"/>
  <c r="AR219" i="33"/>
  <c r="AQ219" i="33"/>
  <c r="AP219" i="33"/>
  <c r="AO219" i="33"/>
  <c r="AN219" i="33"/>
  <c r="AM219" i="33"/>
  <c r="AL219" i="33"/>
  <c r="AK219" i="33"/>
  <c r="AJ219" i="33"/>
  <c r="AI219" i="33"/>
  <c r="AH219" i="33"/>
  <c r="AG219" i="33"/>
  <c r="AF219" i="33"/>
  <c r="AE219" i="33"/>
  <c r="AD219" i="33"/>
  <c r="AC219" i="33"/>
  <c r="AB219" i="33"/>
  <c r="AA219" i="33"/>
  <c r="Z219" i="33"/>
  <c r="Y219" i="33"/>
  <c r="X219" i="33"/>
  <c r="W219" i="33"/>
  <c r="V219" i="33"/>
  <c r="U219" i="33"/>
  <c r="T219" i="33"/>
  <c r="S219" i="33"/>
  <c r="R219" i="33"/>
  <c r="Q219" i="33"/>
  <c r="P219" i="33"/>
  <c r="O219" i="33"/>
  <c r="N219" i="33"/>
  <c r="M219" i="33"/>
  <c r="L219" i="33"/>
  <c r="K219" i="33"/>
  <c r="J219" i="33"/>
  <c r="I219" i="33"/>
  <c r="H219" i="33"/>
  <c r="G219" i="33"/>
  <c r="F219" i="33"/>
  <c r="E219" i="33"/>
  <c r="D219" i="33"/>
  <c r="C219" i="33"/>
  <c r="B219" i="33"/>
  <c r="A219" i="33"/>
  <c r="IV218" i="33"/>
  <c r="IU218" i="33"/>
  <c r="IT218" i="33"/>
  <c r="IS218" i="33"/>
  <c r="IR218" i="33"/>
  <c r="IQ218" i="33"/>
  <c r="IP218" i="33"/>
  <c r="IO218" i="33"/>
  <c r="IN218" i="33"/>
  <c r="IM218" i="33"/>
  <c r="IL218" i="33"/>
  <c r="IK218" i="33"/>
  <c r="IJ218" i="33"/>
  <c r="II218" i="33"/>
  <c r="IH218" i="33"/>
  <c r="IG218" i="33"/>
  <c r="IF218" i="33"/>
  <c r="IE218" i="33"/>
  <c r="ID218" i="33"/>
  <c r="IC218" i="33"/>
  <c r="IB218" i="33"/>
  <c r="IA218" i="33"/>
  <c r="HZ218" i="33"/>
  <c r="HY218" i="33"/>
  <c r="HX218" i="33"/>
  <c r="HW218" i="33"/>
  <c r="HV218" i="33"/>
  <c r="HU218" i="33"/>
  <c r="HT218" i="33"/>
  <c r="HS218" i="33"/>
  <c r="HR218" i="33"/>
  <c r="HQ218" i="33"/>
  <c r="HP218" i="33"/>
  <c r="HO218" i="33"/>
  <c r="HN218" i="33"/>
  <c r="HM218" i="33"/>
  <c r="HL218" i="33"/>
  <c r="HK218" i="33"/>
  <c r="HJ218" i="33"/>
  <c r="HI218" i="33"/>
  <c r="HH218" i="33"/>
  <c r="HG218" i="33"/>
  <c r="HF218" i="33"/>
  <c r="HE218" i="33"/>
  <c r="HD218" i="33"/>
  <c r="HC218" i="33"/>
  <c r="HB218" i="33"/>
  <c r="HA218" i="33"/>
  <c r="GZ218" i="33"/>
  <c r="GY218" i="33"/>
  <c r="GX218" i="33"/>
  <c r="GW218" i="33"/>
  <c r="GV218" i="33"/>
  <c r="GU218" i="33"/>
  <c r="GT218" i="33"/>
  <c r="GS218" i="33"/>
  <c r="GR218" i="33"/>
  <c r="GQ218" i="33"/>
  <c r="GP218" i="33"/>
  <c r="GO218" i="33"/>
  <c r="GN218" i="33"/>
  <c r="GM218" i="33"/>
  <c r="GL218" i="33"/>
  <c r="GK218" i="33"/>
  <c r="GJ218" i="33"/>
  <c r="GI218" i="33"/>
  <c r="GH218" i="33"/>
  <c r="GG218" i="33"/>
  <c r="GF218" i="33"/>
  <c r="GE218" i="33"/>
  <c r="GD218" i="33"/>
  <c r="GC218" i="33"/>
  <c r="GB218" i="33"/>
  <c r="GA218" i="33"/>
  <c r="FZ218" i="33"/>
  <c r="FY218" i="33"/>
  <c r="FX218" i="33"/>
  <c r="FW218" i="33"/>
  <c r="FV218" i="33"/>
  <c r="FU218" i="33"/>
  <c r="FT218" i="33"/>
  <c r="FS218" i="33"/>
  <c r="FR218" i="33"/>
  <c r="FQ218" i="33"/>
  <c r="FP218" i="33"/>
  <c r="FO218" i="33"/>
  <c r="FN218" i="33"/>
  <c r="FM218" i="33"/>
  <c r="FL218" i="33"/>
  <c r="FK218" i="33"/>
  <c r="FJ218" i="33"/>
  <c r="FI218" i="33"/>
  <c r="FH218" i="33"/>
  <c r="FG218" i="33"/>
  <c r="FF218" i="33"/>
  <c r="FE218" i="33"/>
  <c r="FD218" i="33"/>
  <c r="FC218" i="33"/>
  <c r="FB218" i="33"/>
  <c r="FA218" i="33"/>
  <c r="EZ218" i="33"/>
  <c r="EY218" i="33"/>
  <c r="EX218" i="33"/>
  <c r="EW218" i="33"/>
  <c r="EV218" i="33"/>
  <c r="EU218" i="33"/>
  <c r="ET218" i="33"/>
  <c r="ES218" i="33"/>
  <c r="ER218" i="33"/>
  <c r="EQ218" i="33"/>
  <c r="EP218" i="33"/>
  <c r="EO218" i="33"/>
  <c r="EN218" i="33"/>
  <c r="EM218" i="33"/>
  <c r="EL218" i="33"/>
  <c r="EK218" i="33"/>
  <c r="EJ218" i="33"/>
  <c r="EI218" i="33"/>
  <c r="EH218" i="33"/>
  <c r="EG218" i="33"/>
  <c r="EF218" i="33"/>
  <c r="EE218" i="33"/>
  <c r="ED218" i="33"/>
  <c r="EC218" i="33"/>
  <c r="EB218" i="33"/>
  <c r="EA218" i="33"/>
  <c r="DZ218" i="33"/>
  <c r="DY218" i="33"/>
  <c r="DX218" i="33"/>
  <c r="DW218" i="33"/>
  <c r="DV218" i="33"/>
  <c r="DU218" i="33"/>
  <c r="DT218" i="33"/>
  <c r="DS218" i="33"/>
  <c r="DR218" i="33"/>
  <c r="DQ218" i="33"/>
  <c r="DP218" i="33"/>
  <c r="DO218" i="33"/>
  <c r="DN218" i="33"/>
  <c r="DM218" i="33"/>
  <c r="DL218" i="33"/>
  <c r="DK218" i="33"/>
  <c r="DJ218" i="33"/>
  <c r="DI218" i="33"/>
  <c r="DH218" i="33"/>
  <c r="DG218" i="33"/>
  <c r="DF218" i="33"/>
  <c r="DE218" i="33"/>
  <c r="DD218" i="33"/>
  <c r="DC218" i="33"/>
  <c r="DB218" i="33"/>
  <c r="DA218" i="33"/>
  <c r="CZ218" i="33"/>
  <c r="CY218" i="33"/>
  <c r="CX218" i="33"/>
  <c r="CW218" i="33"/>
  <c r="CV218" i="33"/>
  <c r="CU218" i="33"/>
  <c r="CT218" i="33"/>
  <c r="CS218" i="33"/>
  <c r="CR218" i="33"/>
  <c r="CQ218" i="33"/>
  <c r="CP218" i="33"/>
  <c r="CO218" i="33"/>
  <c r="CN218" i="33"/>
  <c r="CM218" i="33"/>
  <c r="CL218" i="33"/>
  <c r="CK218" i="33"/>
  <c r="CJ218" i="33"/>
  <c r="CI218" i="33"/>
  <c r="CH218" i="33"/>
  <c r="CG218" i="33"/>
  <c r="CF218" i="33"/>
  <c r="CE218" i="33"/>
  <c r="CD218" i="33"/>
  <c r="CC218" i="33"/>
  <c r="CB218" i="33"/>
  <c r="CA218" i="33"/>
  <c r="BZ218" i="33"/>
  <c r="BY218" i="33"/>
  <c r="BX218" i="33"/>
  <c r="BW218" i="33"/>
  <c r="BV218" i="33"/>
  <c r="BU218" i="33"/>
  <c r="BT218" i="33"/>
  <c r="BS218" i="33"/>
  <c r="BR218" i="33"/>
  <c r="BQ218" i="33"/>
  <c r="BP218" i="33"/>
  <c r="BO218" i="33"/>
  <c r="BN218" i="33"/>
  <c r="BM218" i="33"/>
  <c r="BL218" i="33"/>
  <c r="BK218" i="33"/>
  <c r="BJ218" i="33"/>
  <c r="BI218" i="33"/>
  <c r="BH218" i="33"/>
  <c r="BG218" i="33"/>
  <c r="BF218" i="33"/>
  <c r="BE218" i="33"/>
  <c r="BD218" i="33"/>
  <c r="BC218" i="33"/>
  <c r="BB218" i="33"/>
  <c r="BA218" i="33"/>
  <c r="AZ218" i="33"/>
  <c r="AY218" i="33"/>
  <c r="AX218" i="33"/>
  <c r="AW218" i="33"/>
  <c r="AV218" i="33"/>
  <c r="AU218" i="33"/>
  <c r="AT218" i="33"/>
  <c r="AS218" i="33"/>
  <c r="AR218" i="33"/>
  <c r="AQ218" i="33"/>
  <c r="AP218" i="33"/>
  <c r="AO218" i="33"/>
  <c r="AN218" i="33"/>
  <c r="AM218" i="33"/>
  <c r="AL218" i="33"/>
  <c r="AK218" i="33"/>
  <c r="AJ218" i="33"/>
  <c r="AI218" i="33"/>
  <c r="AH218" i="33"/>
  <c r="AG218" i="33"/>
  <c r="AF218" i="33"/>
  <c r="AE218" i="33"/>
  <c r="AD218" i="33"/>
  <c r="AC218" i="33"/>
  <c r="AB218" i="33"/>
  <c r="AA218" i="33"/>
  <c r="Z218" i="33"/>
  <c r="Y218" i="33"/>
  <c r="X218" i="33"/>
  <c r="W218" i="33"/>
  <c r="V218" i="33"/>
  <c r="U218" i="33"/>
  <c r="T218" i="33"/>
  <c r="S218" i="33"/>
  <c r="R218" i="33"/>
  <c r="Q218" i="33"/>
  <c r="P218" i="33"/>
  <c r="O218" i="33"/>
  <c r="N218" i="33"/>
  <c r="M218" i="33"/>
  <c r="L218" i="33"/>
  <c r="K218" i="33"/>
  <c r="J218" i="33"/>
  <c r="I218" i="33"/>
  <c r="H218" i="33"/>
  <c r="G218" i="33"/>
  <c r="F218" i="33"/>
  <c r="E218" i="33"/>
  <c r="D218" i="33"/>
  <c r="C218" i="33"/>
  <c r="B218" i="33"/>
  <c r="A218" i="33"/>
  <c r="IV217" i="33"/>
  <c r="IU217" i="33"/>
  <c r="IT217" i="33"/>
  <c r="IS217" i="33"/>
  <c r="IR217" i="33"/>
  <c r="IQ217" i="33"/>
  <c r="IP217" i="33"/>
  <c r="IO217" i="33"/>
  <c r="IN217" i="33"/>
  <c r="IM217" i="33"/>
  <c r="IL217" i="33"/>
  <c r="IK217" i="33"/>
  <c r="IJ217" i="33"/>
  <c r="II217" i="33"/>
  <c r="IH217" i="33"/>
  <c r="IG217" i="33"/>
  <c r="IF217" i="33"/>
  <c r="IE217" i="33"/>
  <c r="ID217" i="33"/>
  <c r="IC217" i="33"/>
  <c r="IB217" i="33"/>
  <c r="IA217" i="33"/>
  <c r="HZ217" i="33"/>
  <c r="HY217" i="33"/>
  <c r="HX217" i="33"/>
  <c r="HW217" i="33"/>
  <c r="HV217" i="33"/>
  <c r="HU217" i="33"/>
  <c r="HT217" i="33"/>
  <c r="HS217" i="33"/>
  <c r="HR217" i="33"/>
  <c r="HQ217" i="33"/>
  <c r="HP217" i="33"/>
  <c r="HO217" i="33"/>
  <c r="HN217" i="33"/>
  <c r="HM217" i="33"/>
  <c r="HL217" i="33"/>
  <c r="HK217" i="33"/>
  <c r="HJ217" i="33"/>
  <c r="HI217" i="33"/>
  <c r="HH217" i="33"/>
  <c r="HG217" i="33"/>
  <c r="HF217" i="33"/>
  <c r="HE217" i="33"/>
  <c r="HD217" i="33"/>
  <c r="HC217" i="33"/>
  <c r="HB217" i="33"/>
  <c r="HA217" i="33"/>
  <c r="GZ217" i="33"/>
  <c r="GY217" i="33"/>
  <c r="GX217" i="33"/>
  <c r="GW217" i="33"/>
  <c r="GV217" i="33"/>
  <c r="GU217" i="33"/>
  <c r="GT217" i="33"/>
  <c r="GS217" i="33"/>
  <c r="GR217" i="33"/>
  <c r="GQ217" i="33"/>
  <c r="GP217" i="33"/>
  <c r="GO217" i="33"/>
  <c r="GN217" i="33"/>
  <c r="GM217" i="33"/>
  <c r="GL217" i="33"/>
  <c r="GK217" i="33"/>
  <c r="GJ217" i="33"/>
  <c r="GI217" i="33"/>
  <c r="GH217" i="33"/>
  <c r="GG217" i="33"/>
  <c r="GF217" i="33"/>
  <c r="GE217" i="33"/>
  <c r="GD217" i="33"/>
  <c r="GC217" i="33"/>
  <c r="GB217" i="33"/>
  <c r="GA217" i="33"/>
  <c r="FZ217" i="33"/>
  <c r="FY217" i="33"/>
  <c r="FX217" i="33"/>
  <c r="FW217" i="33"/>
  <c r="FV217" i="33"/>
  <c r="FU217" i="33"/>
  <c r="FT217" i="33"/>
  <c r="FS217" i="33"/>
  <c r="FR217" i="33"/>
  <c r="FQ217" i="33"/>
  <c r="FP217" i="33"/>
  <c r="FO217" i="33"/>
  <c r="FN217" i="33"/>
  <c r="FM217" i="33"/>
  <c r="FL217" i="33"/>
  <c r="FK217" i="33"/>
  <c r="FJ217" i="33"/>
  <c r="FI217" i="33"/>
  <c r="FH217" i="33"/>
  <c r="FG217" i="33"/>
  <c r="FF217" i="33"/>
  <c r="FE217" i="33"/>
  <c r="FD217" i="33"/>
  <c r="FC217" i="33"/>
  <c r="FB217" i="33"/>
  <c r="FA217" i="33"/>
  <c r="EZ217" i="33"/>
  <c r="EY217" i="33"/>
  <c r="EX217" i="33"/>
  <c r="EW217" i="33"/>
  <c r="EV217" i="33"/>
  <c r="EU217" i="33"/>
  <c r="ET217" i="33"/>
  <c r="ES217" i="33"/>
  <c r="ER217" i="33"/>
  <c r="EQ217" i="33"/>
  <c r="EP217" i="33"/>
  <c r="EO217" i="33"/>
  <c r="EN217" i="33"/>
  <c r="EM217" i="33"/>
  <c r="EL217" i="33"/>
  <c r="EK217" i="33"/>
  <c r="EJ217" i="33"/>
  <c r="EI217" i="33"/>
  <c r="EH217" i="33"/>
  <c r="EG217" i="33"/>
  <c r="EF217" i="33"/>
  <c r="EE217" i="33"/>
  <c r="ED217" i="33"/>
  <c r="EC217" i="33"/>
  <c r="EB217" i="33"/>
  <c r="EA217" i="33"/>
  <c r="DZ217" i="33"/>
  <c r="DY217" i="33"/>
  <c r="DX217" i="33"/>
  <c r="DW217" i="33"/>
  <c r="DV217" i="33"/>
  <c r="DU217" i="33"/>
  <c r="DT217" i="33"/>
  <c r="DS217" i="33"/>
  <c r="DR217" i="33"/>
  <c r="DQ217" i="33"/>
  <c r="DP217" i="33"/>
  <c r="DO217" i="33"/>
  <c r="DN217" i="33"/>
  <c r="DM217" i="33"/>
  <c r="DL217" i="33"/>
  <c r="DK217" i="33"/>
  <c r="DJ217" i="33"/>
  <c r="DI217" i="33"/>
  <c r="DH217" i="33"/>
  <c r="DG217" i="33"/>
  <c r="DF217" i="33"/>
  <c r="DE217" i="33"/>
  <c r="DD217" i="33"/>
  <c r="DC217" i="33"/>
  <c r="DB217" i="33"/>
  <c r="DA217" i="33"/>
  <c r="CZ217" i="33"/>
  <c r="CY217" i="33"/>
  <c r="CX217" i="33"/>
  <c r="CW217" i="33"/>
  <c r="CV217" i="33"/>
  <c r="CU217" i="33"/>
  <c r="CT217" i="33"/>
  <c r="CS217" i="33"/>
  <c r="CR217" i="33"/>
  <c r="CQ217" i="33"/>
  <c r="CP217" i="33"/>
  <c r="CO217" i="33"/>
  <c r="CN217" i="33"/>
  <c r="CM217" i="33"/>
  <c r="CL217" i="33"/>
  <c r="CK217" i="33"/>
  <c r="CJ217" i="33"/>
  <c r="CI217" i="33"/>
  <c r="CH217" i="33"/>
  <c r="CG217" i="33"/>
  <c r="CF217" i="33"/>
  <c r="CE217" i="33"/>
  <c r="CD217" i="33"/>
  <c r="CC217" i="33"/>
  <c r="CB217" i="33"/>
  <c r="CA217" i="33"/>
  <c r="BZ217" i="33"/>
  <c r="BY217" i="33"/>
  <c r="BX217" i="33"/>
  <c r="BW217" i="33"/>
  <c r="BV217" i="33"/>
  <c r="BU217" i="33"/>
  <c r="BT217" i="33"/>
  <c r="BS217" i="33"/>
  <c r="BR217" i="33"/>
  <c r="BQ217" i="33"/>
  <c r="BP217" i="33"/>
  <c r="BO217" i="33"/>
  <c r="BN217" i="33"/>
  <c r="BM217" i="33"/>
  <c r="BL217" i="33"/>
  <c r="BK217" i="33"/>
  <c r="BJ217" i="33"/>
  <c r="BI217" i="33"/>
  <c r="BH217" i="33"/>
  <c r="BG217" i="33"/>
  <c r="BF217" i="33"/>
  <c r="BE217" i="33"/>
  <c r="BD217" i="33"/>
  <c r="BC217" i="33"/>
  <c r="BB217" i="33"/>
  <c r="BA217" i="33"/>
  <c r="AZ217" i="33"/>
  <c r="AY217" i="33"/>
  <c r="AX217" i="33"/>
  <c r="AW217" i="33"/>
  <c r="AV217" i="33"/>
  <c r="AU217" i="33"/>
  <c r="AT217" i="33"/>
  <c r="AS217" i="33"/>
  <c r="AR217" i="33"/>
  <c r="AQ217" i="33"/>
  <c r="AP217" i="33"/>
  <c r="AO217" i="33"/>
  <c r="AN217" i="33"/>
  <c r="AM217" i="33"/>
  <c r="AL217" i="33"/>
  <c r="AK217" i="33"/>
  <c r="AJ217" i="33"/>
  <c r="AI217" i="33"/>
  <c r="AH217" i="33"/>
  <c r="AG217" i="33"/>
  <c r="AF217" i="33"/>
  <c r="AE217" i="33"/>
  <c r="AD217" i="33"/>
  <c r="AC217" i="33"/>
  <c r="AB217" i="33"/>
  <c r="AA217" i="33"/>
  <c r="Z217" i="33"/>
  <c r="Y217" i="33"/>
  <c r="X217" i="33"/>
  <c r="W217" i="33"/>
  <c r="V217" i="33"/>
  <c r="U217" i="33"/>
  <c r="T217" i="33"/>
  <c r="S217" i="33"/>
  <c r="R217" i="33"/>
  <c r="Q217" i="33"/>
  <c r="P217" i="33"/>
  <c r="O217" i="33"/>
  <c r="N217" i="33"/>
  <c r="M217" i="33"/>
  <c r="L217" i="33"/>
  <c r="K217" i="33"/>
  <c r="J217" i="33"/>
  <c r="I217" i="33"/>
  <c r="H217" i="33"/>
  <c r="G217" i="33"/>
  <c r="F217" i="33"/>
  <c r="E217" i="33"/>
  <c r="D217" i="33"/>
  <c r="C217" i="33"/>
  <c r="B217" i="33"/>
  <c r="A217" i="33"/>
  <c r="IV216" i="33"/>
  <c r="IU216" i="33"/>
  <c r="IT216" i="33"/>
  <c r="IS216" i="33"/>
  <c r="IR216" i="33"/>
  <c r="IQ216" i="33"/>
  <c r="IP216" i="33"/>
  <c r="IO216" i="33"/>
  <c r="IN216" i="33"/>
  <c r="IM216" i="33"/>
  <c r="IL216" i="33"/>
  <c r="IK216" i="33"/>
  <c r="IJ216" i="33"/>
  <c r="II216" i="33"/>
  <c r="IH216" i="33"/>
  <c r="IG216" i="33"/>
  <c r="IF216" i="33"/>
  <c r="IE216" i="33"/>
  <c r="ID216" i="33"/>
  <c r="IC216" i="33"/>
  <c r="IB216" i="33"/>
  <c r="IA216" i="33"/>
  <c r="HZ216" i="33"/>
  <c r="HY216" i="33"/>
  <c r="HX216" i="33"/>
  <c r="HW216" i="33"/>
  <c r="HV216" i="33"/>
  <c r="HU216" i="33"/>
  <c r="HT216" i="33"/>
  <c r="HS216" i="33"/>
  <c r="HR216" i="33"/>
  <c r="HQ216" i="33"/>
  <c r="HP216" i="33"/>
  <c r="HO216" i="33"/>
  <c r="HN216" i="33"/>
  <c r="HM216" i="33"/>
  <c r="HL216" i="33"/>
  <c r="HK216" i="33"/>
  <c r="HJ216" i="33"/>
  <c r="HI216" i="33"/>
  <c r="HH216" i="33"/>
  <c r="HG216" i="33"/>
  <c r="HF216" i="33"/>
  <c r="HE216" i="33"/>
  <c r="HD216" i="33"/>
  <c r="HC216" i="33"/>
  <c r="HB216" i="33"/>
  <c r="HA216" i="33"/>
  <c r="GZ216" i="33"/>
  <c r="GY216" i="33"/>
  <c r="GX216" i="33"/>
  <c r="GW216" i="33"/>
  <c r="GV216" i="33"/>
  <c r="GU216" i="33"/>
  <c r="GT216" i="33"/>
  <c r="GS216" i="33"/>
  <c r="GR216" i="33"/>
  <c r="GQ216" i="33"/>
  <c r="GP216" i="33"/>
  <c r="GO216" i="33"/>
  <c r="GN216" i="33"/>
  <c r="GM216" i="33"/>
  <c r="GL216" i="33"/>
  <c r="GK216" i="33"/>
  <c r="GJ216" i="33"/>
  <c r="GI216" i="33"/>
  <c r="GH216" i="33"/>
  <c r="GG216" i="33"/>
  <c r="GF216" i="33"/>
  <c r="GE216" i="33"/>
  <c r="GD216" i="33"/>
  <c r="GC216" i="33"/>
  <c r="GB216" i="33"/>
  <c r="GA216" i="33"/>
  <c r="FZ216" i="33"/>
  <c r="FY216" i="33"/>
  <c r="FX216" i="33"/>
  <c r="FW216" i="33"/>
  <c r="FV216" i="33"/>
  <c r="FU216" i="33"/>
  <c r="FT216" i="33"/>
  <c r="FS216" i="33"/>
  <c r="FR216" i="33"/>
  <c r="FQ216" i="33"/>
  <c r="FP216" i="33"/>
  <c r="FO216" i="33"/>
  <c r="FN216" i="33"/>
  <c r="FM216" i="33"/>
  <c r="FL216" i="33"/>
  <c r="FK216" i="33"/>
  <c r="FJ216" i="33"/>
  <c r="FI216" i="33"/>
  <c r="FH216" i="33"/>
  <c r="FG216" i="33"/>
  <c r="FF216" i="33"/>
  <c r="FE216" i="33"/>
  <c r="FD216" i="33"/>
  <c r="FC216" i="33"/>
  <c r="FB216" i="33"/>
  <c r="FA216" i="33"/>
  <c r="EZ216" i="33"/>
  <c r="EY216" i="33"/>
  <c r="EX216" i="33"/>
  <c r="EW216" i="33"/>
  <c r="EV216" i="33"/>
  <c r="EU216" i="33"/>
  <c r="ET216" i="33"/>
  <c r="ES216" i="33"/>
  <c r="ER216" i="33"/>
  <c r="EQ216" i="33"/>
  <c r="EP216" i="33"/>
  <c r="EO216" i="33"/>
  <c r="EN216" i="33"/>
  <c r="EM216" i="33"/>
  <c r="EL216" i="33"/>
  <c r="EK216" i="33"/>
  <c r="EJ216" i="33"/>
  <c r="EI216" i="33"/>
  <c r="EH216" i="33"/>
  <c r="EG216" i="33"/>
  <c r="EF216" i="33"/>
  <c r="EE216" i="33"/>
  <c r="ED216" i="33"/>
  <c r="EC216" i="33"/>
  <c r="EB216" i="33"/>
  <c r="EA216" i="33"/>
  <c r="DZ216" i="33"/>
  <c r="DY216" i="33"/>
  <c r="DX216" i="33"/>
  <c r="DW216" i="33"/>
  <c r="DV216" i="33"/>
  <c r="DU216" i="33"/>
  <c r="DT216" i="33"/>
  <c r="DS216" i="33"/>
  <c r="DR216" i="33"/>
  <c r="DQ216" i="33"/>
  <c r="DP216" i="33"/>
  <c r="DO216" i="33"/>
  <c r="DN216" i="33"/>
  <c r="DM216" i="33"/>
  <c r="DL216" i="33"/>
  <c r="DK216" i="33"/>
  <c r="DJ216" i="33"/>
  <c r="DI216" i="33"/>
  <c r="DH216" i="33"/>
  <c r="DG216" i="33"/>
  <c r="DF216" i="33"/>
  <c r="DE216" i="33"/>
  <c r="DD216" i="33"/>
  <c r="DC216" i="33"/>
  <c r="DB216" i="33"/>
  <c r="DA216" i="33"/>
  <c r="CZ216" i="33"/>
  <c r="CY216" i="33"/>
  <c r="CX216" i="33"/>
  <c r="CW216" i="33"/>
  <c r="CV216" i="33"/>
  <c r="CU216" i="33"/>
  <c r="CT216" i="33"/>
  <c r="CS216" i="33"/>
  <c r="CR216" i="33"/>
  <c r="CQ216" i="33"/>
  <c r="CP216" i="33"/>
  <c r="CO216" i="33"/>
  <c r="CN216" i="33"/>
  <c r="CM216" i="33"/>
  <c r="CL216" i="33"/>
  <c r="CK216" i="33"/>
  <c r="CJ216" i="33"/>
  <c r="CI216" i="33"/>
  <c r="CH216" i="33"/>
  <c r="CG216" i="33"/>
  <c r="CF216" i="33"/>
  <c r="CE216" i="33"/>
  <c r="CD216" i="33"/>
  <c r="CC216" i="33"/>
  <c r="CB216" i="33"/>
  <c r="CA216" i="33"/>
  <c r="BZ216" i="33"/>
  <c r="BY216" i="33"/>
  <c r="BX216" i="33"/>
  <c r="BW216" i="33"/>
  <c r="BV216" i="33"/>
  <c r="BU216" i="33"/>
  <c r="BT216" i="33"/>
  <c r="BS216" i="33"/>
  <c r="BR216" i="33"/>
  <c r="BQ216" i="33"/>
  <c r="BP216" i="33"/>
  <c r="BO216" i="33"/>
  <c r="BN216" i="33"/>
  <c r="BM216" i="33"/>
  <c r="BL216" i="33"/>
  <c r="BK216" i="33"/>
  <c r="BJ216" i="33"/>
  <c r="BI216" i="33"/>
  <c r="BH216" i="33"/>
  <c r="BG216" i="33"/>
  <c r="BF216" i="33"/>
  <c r="BE216" i="33"/>
  <c r="BD216" i="33"/>
  <c r="BC216" i="33"/>
  <c r="BB216" i="33"/>
  <c r="BA216" i="33"/>
  <c r="AZ216" i="33"/>
  <c r="AY216" i="33"/>
  <c r="AX216" i="33"/>
  <c r="AW216" i="33"/>
  <c r="AV216" i="33"/>
  <c r="AU216" i="33"/>
  <c r="AT216" i="33"/>
  <c r="AS216" i="33"/>
  <c r="AR216" i="33"/>
  <c r="AQ216" i="33"/>
  <c r="AP216" i="33"/>
  <c r="AO216" i="33"/>
  <c r="AN216" i="33"/>
  <c r="AM216" i="33"/>
  <c r="AL216" i="33"/>
  <c r="AK216" i="33"/>
  <c r="AJ216" i="33"/>
  <c r="AI216" i="33"/>
  <c r="AH216" i="33"/>
  <c r="AG216" i="33"/>
  <c r="AF216" i="33"/>
  <c r="AE216" i="33"/>
  <c r="AD216" i="33"/>
  <c r="AC216" i="33"/>
  <c r="AB216" i="33"/>
  <c r="AA216" i="33"/>
  <c r="Z216" i="33"/>
  <c r="Y216" i="33"/>
  <c r="X216" i="33"/>
  <c r="W216" i="33"/>
  <c r="V216" i="33"/>
  <c r="U216" i="33"/>
  <c r="T216" i="33"/>
  <c r="S216" i="33"/>
  <c r="R216" i="33"/>
  <c r="Q216" i="33"/>
  <c r="P216" i="33"/>
  <c r="O216" i="33"/>
  <c r="N216" i="33"/>
  <c r="M216" i="33"/>
  <c r="L216" i="33"/>
  <c r="K216" i="33"/>
  <c r="J216" i="33"/>
  <c r="I216" i="33"/>
  <c r="H216" i="33"/>
  <c r="G216" i="33"/>
  <c r="F216" i="33"/>
  <c r="E216" i="33"/>
  <c r="D216" i="33"/>
  <c r="C216" i="33"/>
  <c r="B216" i="33"/>
  <c r="A216" i="33"/>
  <c r="IV215" i="33"/>
  <c r="IU215" i="33"/>
  <c r="IT215" i="33"/>
  <c r="IS215" i="33"/>
  <c r="IR215" i="33"/>
  <c r="IQ215" i="33"/>
  <c r="IP215" i="33"/>
  <c r="IO215" i="33"/>
  <c r="IN215" i="33"/>
  <c r="IM215" i="33"/>
  <c r="IL215" i="33"/>
  <c r="IK215" i="33"/>
  <c r="IJ215" i="33"/>
  <c r="II215" i="33"/>
  <c r="IH215" i="33"/>
  <c r="IG215" i="33"/>
  <c r="IF215" i="33"/>
  <c r="IE215" i="33"/>
  <c r="ID215" i="33"/>
  <c r="IC215" i="33"/>
  <c r="IB215" i="33"/>
  <c r="IA215" i="33"/>
  <c r="HZ215" i="33"/>
  <c r="HY215" i="33"/>
  <c r="HX215" i="33"/>
  <c r="HW215" i="33"/>
  <c r="HV215" i="33"/>
  <c r="HU215" i="33"/>
  <c r="HT215" i="33"/>
  <c r="HS215" i="33"/>
  <c r="HR215" i="33"/>
  <c r="HQ215" i="33"/>
  <c r="HP215" i="33"/>
  <c r="HO215" i="33"/>
  <c r="HN215" i="33"/>
  <c r="HM215" i="33"/>
  <c r="HL215" i="33"/>
  <c r="HK215" i="33"/>
  <c r="HJ215" i="33"/>
  <c r="HI215" i="33"/>
  <c r="HH215" i="33"/>
  <c r="HG215" i="33"/>
  <c r="HF215" i="33"/>
  <c r="HE215" i="33"/>
  <c r="HD215" i="33"/>
  <c r="HC215" i="33"/>
  <c r="HB215" i="33"/>
  <c r="HA215" i="33"/>
  <c r="GZ215" i="33"/>
  <c r="GY215" i="33"/>
  <c r="GX215" i="33"/>
  <c r="GW215" i="33"/>
  <c r="GV215" i="33"/>
  <c r="GU215" i="33"/>
  <c r="GT215" i="33"/>
  <c r="GS215" i="33"/>
  <c r="GR215" i="33"/>
  <c r="GQ215" i="33"/>
  <c r="GP215" i="33"/>
  <c r="GO215" i="33"/>
  <c r="GN215" i="33"/>
  <c r="GM215" i="33"/>
  <c r="GL215" i="33"/>
  <c r="GK215" i="33"/>
  <c r="GJ215" i="33"/>
  <c r="GI215" i="33"/>
  <c r="GH215" i="33"/>
  <c r="GG215" i="33"/>
  <c r="GF215" i="33"/>
  <c r="GE215" i="33"/>
  <c r="GD215" i="33"/>
  <c r="GC215" i="33"/>
  <c r="GB215" i="33"/>
  <c r="GA215" i="33"/>
  <c r="FZ215" i="33"/>
  <c r="FY215" i="33"/>
  <c r="FX215" i="33"/>
  <c r="FW215" i="33"/>
  <c r="FV215" i="33"/>
  <c r="FU215" i="33"/>
  <c r="FT215" i="33"/>
  <c r="FS215" i="33"/>
  <c r="FR215" i="33"/>
  <c r="FQ215" i="33"/>
  <c r="FP215" i="33"/>
  <c r="FO215" i="33"/>
  <c r="FN215" i="33"/>
  <c r="FM215" i="33"/>
  <c r="FL215" i="33"/>
  <c r="FK215" i="33"/>
  <c r="FJ215" i="33"/>
  <c r="FI215" i="33"/>
  <c r="FH215" i="33"/>
  <c r="FG215" i="33"/>
  <c r="FF215" i="33"/>
  <c r="FE215" i="33"/>
  <c r="FD215" i="33"/>
  <c r="FC215" i="33"/>
  <c r="FB215" i="33"/>
  <c r="FA215" i="33"/>
  <c r="EZ215" i="33"/>
  <c r="EY215" i="33"/>
  <c r="EX215" i="33"/>
  <c r="EW215" i="33"/>
  <c r="EV215" i="33"/>
  <c r="EU215" i="33"/>
  <c r="ET215" i="33"/>
  <c r="ES215" i="33"/>
  <c r="ER215" i="33"/>
  <c r="EQ215" i="33"/>
  <c r="EP215" i="33"/>
  <c r="EO215" i="33"/>
  <c r="EN215" i="33"/>
  <c r="EM215" i="33"/>
  <c r="EL215" i="33"/>
  <c r="EK215" i="33"/>
  <c r="EJ215" i="33"/>
  <c r="EI215" i="33"/>
  <c r="EH215" i="33"/>
  <c r="EG215" i="33"/>
  <c r="EF215" i="33"/>
  <c r="EE215" i="33"/>
  <c r="ED215" i="33"/>
  <c r="EC215" i="33"/>
  <c r="EB215" i="33"/>
  <c r="EA215" i="33"/>
  <c r="DZ215" i="33"/>
  <c r="DY215" i="33"/>
  <c r="DX215" i="33"/>
  <c r="DW215" i="33"/>
  <c r="DV215" i="33"/>
  <c r="DU215" i="33"/>
  <c r="DT215" i="33"/>
  <c r="DS215" i="33"/>
  <c r="DR215" i="33"/>
  <c r="DQ215" i="33"/>
  <c r="DP215" i="33"/>
  <c r="DO215" i="33"/>
  <c r="DN215" i="33"/>
  <c r="DM215" i="33"/>
  <c r="DL215" i="33"/>
  <c r="DK215" i="33"/>
  <c r="DJ215" i="33"/>
  <c r="DI215" i="33"/>
  <c r="DH215" i="33"/>
  <c r="DG215" i="33"/>
  <c r="DF215" i="33"/>
  <c r="DE215" i="33"/>
  <c r="DD215" i="33"/>
  <c r="DC215" i="33"/>
  <c r="DB215" i="33"/>
  <c r="DA215" i="33"/>
  <c r="CZ215" i="33"/>
  <c r="CY215" i="33"/>
  <c r="CX215" i="33"/>
  <c r="CW215" i="33"/>
  <c r="CV215" i="33"/>
  <c r="CU215" i="33"/>
  <c r="CT215" i="33"/>
  <c r="CS215" i="33"/>
  <c r="CR215" i="33"/>
  <c r="CQ215" i="33"/>
  <c r="CP215" i="33"/>
  <c r="CO215" i="33"/>
  <c r="CN215" i="33"/>
  <c r="CM215" i="33"/>
  <c r="CL215" i="33"/>
  <c r="CK215" i="33"/>
  <c r="CJ215" i="33"/>
  <c r="CI215" i="33"/>
  <c r="CH215" i="33"/>
  <c r="CG215" i="33"/>
  <c r="CF215" i="33"/>
  <c r="CE215" i="33"/>
  <c r="CD215" i="33"/>
  <c r="CC215" i="33"/>
  <c r="CB215" i="33"/>
  <c r="CA215" i="33"/>
  <c r="BZ215" i="33"/>
  <c r="BY215" i="33"/>
  <c r="BX215" i="33"/>
  <c r="BW215" i="33"/>
  <c r="BV215" i="33"/>
  <c r="BU215" i="33"/>
  <c r="BT215" i="33"/>
  <c r="BS215" i="33"/>
  <c r="BR215" i="33"/>
  <c r="BQ215" i="33"/>
  <c r="BP215" i="33"/>
  <c r="BO215" i="33"/>
  <c r="BN215" i="33"/>
  <c r="BM215" i="33"/>
  <c r="BL215" i="33"/>
  <c r="BK215" i="33"/>
  <c r="BJ215" i="33"/>
  <c r="BI215" i="33"/>
  <c r="BH215" i="33"/>
  <c r="BG215" i="33"/>
  <c r="BF215" i="33"/>
  <c r="BE215" i="33"/>
  <c r="BD215" i="33"/>
  <c r="BC215" i="33"/>
  <c r="BB215" i="33"/>
  <c r="BA215" i="33"/>
  <c r="AZ215" i="33"/>
  <c r="AY215" i="33"/>
  <c r="AX215" i="33"/>
  <c r="AW215" i="33"/>
  <c r="AV215" i="33"/>
  <c r="AU215" i="33"/>
  <c r="AT215" i="33"/>
  <c r="AS215" i="33"/>
  <c r="AR215" i="33"/>
  <c r="AQ215" i="33"/>
  <c r="AP215" i="33"/>
  <c r="AO215" i="33"/>
  <c r="AN215" i="33"/>
  <c r="AM215" i="33"/>
  <c r="AL215" i="33"/>
  <c r="AK215" i="33"/>
  <c r="AJ215" i="33"/>
  <c r="AI215" i="33"/>
  <c r="AH215" i="33"/>
  <c r="AG215" i="33"/>
  <c r="AF215" i="33"/>
  <c r="AE215" i="33"/>
  <c r="AD215" i="33"/>
  <c r="AC215" i="33"/>
  <c r="AB215" i="33"/>
  <c r="AA215" i="33"/>
  <c r="Z215" i="33"/>
  <c r="Y215" i="33"/>
  <c r="X215" i="33"/>
  <c r="W215" i="33"/>
  <c r="V215" i="33"/>
  <c r="U215" i="33"/>
  <c r="T215" i="33"/>
  <c r="S215" i="33"/>
  <c r="R215" i="33"/>
  <c r="Q215" i="33"/>
  <c r="P215" i="33"/>
  <c r="O215" i="33"/>
  <c r="N215" i="33"/>
  <c r="M215" i="33"/>
  <c r="L215" i="33"/>
  <c r="K215" i="33"/>
  <c r="J215" i="33"/>
  <c r="I215" i="33"/>
  <c r="H215" i="33"/>
  <c r="G215" i="33"/>
  <c r="F215" i="33"/>
  <c r="E215" i="33"/>
  <c r="D215" i="33"/>
  <c r="C215" i="33"/>
  <c r="B215" i="33"/>
  <c r="A215" i="33"/>
  <c r="IV214" i="33"/>
  <c r="IU214" i="33"/>
  <c r="IT214" i="33"/>
  <c r="IS214" i="33"/>
  <c r="IR214" i="33"/>
  <c r="IQ214" i="33"/>
  <c r="IP214" i="33"/>
  <c r="IO214" i="33"/>
  <c r="IN214" i="33"/>
  <c r="IM214" i="33"/>
  <c r="IL214" i="33"/>
  <c r="IK214" i="33"/>
  <c r="IJ214" i="33"/>
  <c r="II214" i="33"/>
  <c r="IH214" i="33"/>
  <c r="IG214" i="33"/>
  <c r="IF214" i="33"/>
  <c r="IE214" i="33"/>
  <c r="ID214" i="33"/>
  <c r="IC214" i="33"/>
  <c r="IB214" i="33"/>
  <c r="IA214" i="33"/>
  <c r="HZ214" i="33"/>
  <c r="HY214" i="33"/>
  <c r="HX214" i="33"/>
  <c r="HW214" i="33"/>
  <c r="HV214" i="33"/>
  <c r="HU214" i="33"/>
  <c r="HT214" i="33"/>
  <c r="HS214" i="33"/>
  <c r="HR214" i="33"/>
  <c r="HQ214" i="33"/>
  <c r="HP214" i="33"/>
  <c r="HO214" i="33"/>
  <c r="HN214" i="33"/>
  <c r="HM214" i="33"/>
  <c r="HL214" i="33"/>
  <c r="HK214" i="33"/>
  <c r="HJ214" i="33"/>
  <c r="HI214" i="33"/>
  <c r="HH214" i="33"/>
  <c r="HG214" i="33"/>
  <c r="HF214" i="33"/>
  <c r="HE214" i="33"/>
  <c r="HD214" i="33"/>
  <c r="HC214" i="33"/>
  <c r="HB214" i="33"/>
  <c r="HA214" i="33"/>
  <c r="GZ214" i="33"/>
  <c r="GY214" i="33"/>
  <c r="GX214" i="33"/>
  <c r="GW214" i="33"/>
  <c r="GV214" i="33"/>
  <c r="GU214" i="33"/>
  <c r="GT214" i="33"/>
  <c r="GS214" i="33"/>
  <c r="GR214" i="33"/>
  <c r="GQ214" i="33"/>
  <c r="GP214" i="33"/>
  <c r="GO214" i="33"/>
  <c r="GN214" i="33"/>
  <c r="GM214" i="33"/>
  <c r="GL214" i="33"/>
  <c r="GK214" i="33"/>
  <c r="GJ214" i="33"/>
  <c r="GI214" i="33"/>
  <c r="GH214" i="33"/>
  <c r="GG214" i="33"/>
  <c r="GF214" i="33"/>
  <c r="GE214" i="33"/>
  <c r="GD214" i="33"/>
  <c r="GC214" i="33"/>
  <c r="GB214" i="33"/>
  <c r="GA214" i="33"/>
  <c r="FZ214" i="33"/>
  <c r="FY214" i="33"/>
  <c r="FX214" i="33"/>
  <c r="FW214" i="33"/>
  <c r="FV214" i="33"/>
  <c r="FU214" i="33"/>
  <c r="FT214" i="33"/>
  <c r="FS214" i="33"/>
  <c r="FR214" i="33"/>
  <c r="FQ214" i="33"/>
  <c r="FP214" i="33"/>
  <c r="FO214" i="33"/>
  <c r="FN214" i="33"/>
  <c r="FM214" i="33"/>
  <c r="FL214" i="33"/>
  <c r="FK214" i="33"/>
  <c r="FJ214" i="33"/>
  <c r="FI214" i="33"/>
  <c r="FH214" i="33"/>
  <c r="FG214" i="33"/>
  <c r="FF214" i="33"/>
  <c r="FE214" i="33"/>
  <c r="FD214" i="33"/>
  <c r="FC214" i="33"/>
  <c r="FB214" i="33"/>
  <c r="FA214" i="33"/>
  <c r="EZ214" i="33"/>
  <c r="EY214" i="33"/>
  <c r="EX214" i="33"/>
  <c r="EW214" i="33"/>
  <c r="EV214" i="33"/>
  <c r="EU214" i="33"/>
  <c r="ET214" i="33"/>
  <c r="ES214" i="33"/>
  <c r="ER214" i="33"/>
  <c r="EQ214" i="33"/>
  <c r="EP214" i="33"/>
  <c r="EO214" i="33"/>
  <c r="EN214" i="33"/>
  <c r="EM214" i="33"/>
  <c r="EL214" i="33"/>
  <c r="EK214" i="33"/>
  <c r="EJ214" i="33"/>
  <c r="EI214" i="33"/>
  <c r="EH214" i="33"/>
  <c r="EG214" i="33"/>
  <c r="EF214" i="33"/>
  <c r="EE214" i="33"/>
  <c r="ED214" i="33"/>
  <c r="EC214" i="33"/>
  <c r="EB214" i="33"/>
  <c r="EA214" i="33"/>
  <c r="DZ214" i="33"/>
  <c r="DY214" i="33"/>
  <c r="DX214" i="33"/>
  <c r="DW214" i="33"/>
  <c r="DV214" i="33"/>
  <c r="DU214" i="33"/>
  <c r="DT214" i="33"/>
  <c r="DS214" i="33"/>
  <c r="DR214" i="33"/>
  <c r="DQ214" i="33"/>
  <c r="DP214" i="33"/>
  <c r="DO214" i="33"/>
  <c r="DN214" i="33"/>
  <c r="DM214" i="33"/>
  <c r="DL214" i="33"/>
  <c r="DK214" i="33"/>
  <c r="DJ214" i="33"/>
  <c r="DI214" i="33"/>
  <c r="DH214" i="33"/>
  <c r="DG214" i="33"/>
  <c r="DF214" i="33"/>
  <c r="DE214" i="33"/>
  <c r="DD214" i="33"/>
  <c r="DC214" i="33"/>
  <c r="DB214" i="33"/>
  <c r="DA214" i="33"/>
  <c r="CZ214" i="33"/>
  <c r="CY214" i="33"/>
  <c r="CX214" i="33"/>
  <c r="CW214" i="33"/>
  <c r="CV214" i="33"/>
  <c r="CU214" i="33"/>
  <c r="CT214" i="33"/>
  <c r="CS214" i="33"/>
  <c r="CR214" i="33"/>
  <c r="CQ214" i="33"/>
  <c r="CP214" i="33"/>
  <c r="CO214" i="33"/>
  <c r="CN214" i="33"/>
  <c r="CM214" i="33"/>
  <c r="CL214" i="33"/>
  <c r="CK214" i="33"/>
  <c r="CJ214" i="33"/>
  <c r="CI214" i="33"/>
  <c r="CH214" i="33"/>
  <c r="CG214" i="33"/>
  <c r="CF214" i="33"/>
  <c r="CE214" i="33"/>
  <c r="CD214" i="33"/>
  <c r="CC214" i="33"/>
  <c r="CB214" i="33"/>
  <c r="CA214" i="33"/>
  <c r="BZ214" i="33"/>
  <c r="BY214" i="33"/>
  <c r="BX214" i="33"/>
  <c r="BW214" i="33"/>
  <c r="BV214" i="33"/>
  <c r="BU214" i="33"/>
  <c r="BT214" i="33"/>
  <c r="BS214" i="33"/>
  <c r="BR214" i="33"/>
  <c r="BQ214" i="33"/>
  <c r="BP214" i="33"/>
  <c r="BO214" i="33"/>
  <c r="BN214" i="33"/>
  <c r="BM214" i="33"/>
  <c r="BL214" i="33"/>
  <c r="BK214" i="33"/>
  <c r="BJ214" i="33"/>
  <c r="BI214" i="33"/>
  <c r="BH214" i="33"/>
  <c r="BG214" i="33"/>
  <c r="BF214" i="33"/>
  <c r="BE214" i="33"/>
  <c r="BD214" i="33"/>
  <c r="BC214" i="33"/>
  <c r="BB214" i="33"/>
  <c r="BA214" i="33"/>
  <c r="AZ214" i="33"/>
  <c r="AY214" i="33"/>
  <c r="AX214" i="33"/>
  <c r="AW214" i="33"/>
  <c r="AV214" i="33"/>
  <c r="AU214" i="33"/>
  <c r="AT214" i="33"/>
  <c r="AS214" i="33"/>
  <c r="AR214" i="33"/>
  <c r="AQ214" i="33"/>
  <c r="AP214" i="33"/>
  <c r="AO214" i="33"/>
  <c r="AN214" i="33"/>
  <c r="AM214" i="33"/>
  <c r="AL214" i="33"/>
  <c r="AK214" i="33"/>
  <c r="AJ214" i="33"/>
  <c r="AI214" i="33"/>
  <c r="AH214" i="33"/>
  <c r="AG214" i="33"/>
  <c r="AF214" i="33"/>
  <c r="AE214" i="33"/>
  <c r="AD214" i="33"/>
  <c r="AC214" i="33"/>
  <c r="AB214" i="33"/>
  <c r="AA214" i="33"/>
  <c r="Z214" i="33"/>
  <c r="Y214" i="33"/>
  <c r="X214" i="33"/>
  <c r="W214" i="33"/>
  <c r="V214" i="33"/>
  <c r="U214" i="33"/>
  <c r="T214" i="33"/>
  <c r="S214" i="33"/>
  <c r="R214" i="33"/>
  <c r="Q214" i="33"/>
  <c r="P214" i="33"/>
  <c r="O214" i="33"/>
  <c r="N214" i="33"/>
  <c r="M214" i="33"/>
  <c r="L214" i="33"/>
  <c r="K214" i="33"/>
  <c r="J214" i="33"/>
  <c r="I214" i="33"/>
  <c r="H214" i="33"/>
  <c r="G214" i="33"/>
  <c r="F214" i="33"/>
  <c r="E214" i="33"/>
  <c r="D214" i="33"/>
  <c r="C214" i="33"/>
  <c r="B214" i="33"/>
  <c r="A214" i="33"/>
  <c r="IV213" i="33"/>
  <c r="IU213" i="33"/>
  <c r="IT213" i="33"/>
  <c r="IS213" i="33"/>
  <c r="IR213" i="33"/>
  <c r="IQ213" i="33"/>
  <c r="IP213" i="33"/>
  <c r="IO213" i="33"/>
  <c r="IN213" i="33"/>
  <c r="IM213" i="33"/>
  <c r="IL213" i="33"/>
  <c r="IK213" i="33"/>
  <c r="IJ213" i="33"/>
  <c r="II213" i="33"/>
  <c r="IH213" i="33"/>
  <c r="IG213" i="33"/>
  <c r="IF213" i="33"/>
  <c r="IE213" i="33"/>
  <c r="ID213" i="33"/>
  <c r="IC213" i="33"/>
  <c r="IB213" i="33"/>
  <c r="IA213" i="33"/>
  <c r="HZ213" i="33"/>
  <c r="HY213" i="33"/>
  <c r="HX213" i="33"/>
  <c r="HW213" i="33"/>
  <c r="HV213" i="33"/>
  <c r="HU213" i="33"/>
  <c r="HT213" i="33"/>
  <c r="HS213" i="33"/>
  <c r="HR213" i="33"/>
  <c r="HQ213" i="33"/>
  <c r="HP213" i="33"/>
  <c r="HO213" i="33"/>
  <c r="HN213" i="33"/>
  <c r="HM213" i="33"/>
  <c r="HL213" i="33"/>
  <c r="HK213" i="33"/>
  <c r="HJ213" i="33"/>
  <c r="HI213" i="33"/>
  <c r="HH213" i="33"/>
  <c r="HG213" i="33"/>
  <c r="HF213" i="33"/>
  <c r="HE213" i="33"/>
  <c r="HD213" i="33"/>
  <c r="HC213" i="33"/>
  <c r="HB213" i="33"/>
  <c r="HA213" i="33"/>
  <c r="GZ213" i="33"/>
  <c r="GY213" i="33"/>
  <c r="GX213" i="33"/>
  <c r="GW213" i="33"/>
  <c r="GV213" i="33"/>
  <c r="GU213" i="33"/>
  <c r="GT213" i="33"/>
  <c r="GS213" i="33"/>
  <c r="GR213" i="33"/>
  <c r="GQ213" i="33"/>
  <c r="GP213" i="33"/>
  <c r="GO213" i="33"/>
  <c r="GN213" i="33"/>
  <c r="GM213" i="33"/>
  <c r="GL213" i="33"/>
  <c r="GK213" i="33"/>
  <c r="GJ213" i="33"/>
  <c r="GI213" i="33"/>
  <c r="GH213" i="33"/>
  <c r="GG213" i="33"/>
  <c r="GF213" i="33"/>
  <c r="GE213" i="33"/>
  <c r="GD213" i="33"/>
  <c r="GC213" i="33"/>
  <c r="GB213" i="33"/>
  <c r="GA213" i="33"/>
  <c r="FZ213" i="33"/>
  <c r="FY213" i="33"/>
  <c r="FX213" i="33"/>
  <c r="FW213" i="33"/>
  <c r="FV213" i="33"/>
  <c r="FU213" i="33"/>
  <c r="FT213" i="33"/>
  <c r="FS213" i="33"/>
  <c r="FR213" i="33"/>
  <c r="FQ213" i="33"/>
  <c r="FP213" i="33"/>
  <c r="FO213" i="33"/>
  <c r="FN213" i="33"/>
  <c r="FM213" i="33"/>
  <c r="FL213" i="33"/>
  <c r="FK213" i="33"/>
  <c r="FJ213" i="33"/>
  <c r="FI213" i="33"/>
  <c r="FH213" i="33"/>
  <c r="FG213" i="33"/>
  <c r="FF213" i="33"/>
  <c r="FE213" i="33"/>
  <c r="FD213" i="33"/>
  <c r="FC213" i="33"/>
  <c r="FB213" i="33"/>
  <c r="FA213" i="33"/>
  <c r="EZ213" i="33"/>
  <c r="EY213" i="33"/>
  <c r="EX213" i="33"/>
  <c r="EW213" i="33"/>
  <c r="EV213" i="33"/>
  <c r="EU213" i="33"/>
  <c r="ET213" i="33"/>
  <c r="ES213" i="33"/>
  <c r="ER213" i="33"/>
  <c r="EQ213" i="33"/>
  <c r="EP213" i="33"/>
  <c r="EO213" i="33"/>
  <c r="EN213" i="33"/>
  <c r="EM213" i="33"/>
  <c r="EL213" i="33"/>
  <c r="EK213" i="33"/>
  <c r="EJ213" i="33"/>
  <c r="EI213" i="33"/>
  <c r="EH213" i="33"/>
  <c r="EG213" i="33"/>
  <c r="EF213" i="33"/>
  <c r="EE213" i="33"/>
  <c r="ED213" i="33"/>
  <c r="EC213" i="33"/>
  <c r="EB213" i="33"/>
  <c r="EA213" i="33"/>
  <c r="DZ213" i="33"/>
  <c r="DY213" i="33"/>
  <c r="DX213" i="33"/>
  <c r="DW213" i="33"/>
  <c r="DV213" i="33"/>
  <c r="DU213" i="33"/>
  <c r="DT213" i="33"/>
  <c r="DS213" i="33"/>
  <c r="DR213" i="33"/>
  <c r="DQ213" i="33"/>
  <c r="DP213" i="33"/>
  <c r="DO213" i="33"/>
  <c r="DN213" i="33"/>
  <c r="DM213" i="33"/>
  <c r="DL213" i="33"/>
  <c r="DK213" i="33"/>
  <c r="DJ213" i="33"/>
  <c r="DI213" i="33"/>
  <c r="DH213" i="33"/>
  <c r="DG213" i="33"/>
  <c r="DF213" i="33"/>
  <c r="DE213" i="33"/>
  <c r="DD213" i="33"/>
  <c r="DC213" i="33"/>
  <c r="DB213" i="33"/>
  <c r="DA213" i="33"/>
  <c r="CZ213" i="33"/>
  <c r="CY213" i="33"/>
  <c r="CX213" i="33"/>
  <c r="CW213" i="33"/>
  <c r="CV213" i="33"/>
  <c r="CU213" i="33"/>
  <c r="CT213" i="33"/>
  <c r="CS213" i="33"/>
  <c r="CR213" i="33"/>
  <c r="CQ213" i="33"/>
  <c r="CP213" i="33"/>
  <c r="CO213" i="33"/>
  <c r="CN213" i="33"/>
  <c r="CM213" i="33"/>
  <c r="CL213" i="33"/>
  <c r="CK213" i="33"/>
  <c r="CJ213" i="33"/>
  <c r="CI213" i="33"/>
  <c r="CH213" i="33"/>
  <c r="CG213" i="33"/>
  <c r="CF213" i="33"/>
  <c r="CE213" i="33"/>
  <c r="CD213" i="33"/>
  <c r="CC213" i="33"/>
  <c r="CB213" i="33"/>
  <c r="CA213" i="33"/>
  <c r="BZ213" i="33"/>
  <c r="BY213" i="33"/>
  <c r="BX213" i="33"/>
  <c r="BW213" i="33"/>
  <c r="BV213" i="33"/>
  <c r="BU213" i="33"/>
  <c r="BT213" i="33"/>
  <c r="BS213" i="33"/>
  <c r="BR213" i="33"/>
  <c r="BQ213" i="33"/>
  <c r="BP213" i="33"/>
  <c r="BO213" i="33"/>
  <c r="BN213" i="33"/>
  <c r="BM213" i="33"/>
  <c r="BL213" i="33"/>
  <c r="BK213" i="33"/>
  <c r="BJ213" i="33"/>
  <c r="BI213" i="33"/>
  <c r="BH213" i="33"/>
  <c r="BG213" i="33"/>
  <c r="BF213" i="33"/>
  <c r="BE213" i="33"/>
  <c r="BD213" i="33"/>
  <c r="BC213" i="33"/>
  <c r="BB213" i="33"/>
  <c r="BA213" i="33"/>
  <c r="AZ213" i="33"/>
  <c r="AY213" i="33"/>
  <c r="AX213" i="33"/>
  <c r="AW213" i="33"/>
  <c r="AV213" i="33"/>
  <c r="AU213" i="33"/>
  <c r="AT213" i="33"/>
  <c r="AS213" i="33"/>
  <c r="AR213" i="33"/>
  <c r="AQ213" i="33"/>
  <c r="AP213" i="33"/>
  <c r="AO213" i="33"/>
  <c r="AN213" i="33"/>
  <c r="AM213" i="33"/>
  <c r="AL213" i="33"/>
  <c r="AK213" i="33"/>
  <c r="AJ213" i="33"/>
  <c r="AI213" i="33"/>
  <c r="AH213" i="33"/>
  <c r="AG213" i="33"/>
  <c r="AF213" i="33"/>
  <c r="AE213" i="33"/>
  <c r="AD213" i="33"/>
  <c r="AC213" i="33"/>
  <c r="AB213" i="33"/>
  <c r="AA213" i="33"/>
  <c r="Z213" i="33"/>
  <c r="Y213" i="33"/>
  <c r="X213" i="33"/>
  <c r="W213" i="33"/>
  <c r="V213" i="33"/>
  <c r="U213" i="33"/>
  <c r="T213" i="33"/>
  <c r="S213" i="33"/>
  <c r="R213" i="33"/>
  <c r="Q213" i="33"/>
  <c r="P213" i="33"/>
  <c r="O213" i="33"/>
  <c r="N213" i="33"/>
  <c r="M213" i="33"/>
  <c r="L213" i="33"/>
  <c r="K213" i="33"/>
  <c r="J213" i="33"/>
  <c r="I213" i="33"/>
  <c r="H213" i="33"/>
  <c r="G213" i="33"/>
  <c r="F213" i="33"/>
  <c r="E213" i="33"/>
  <c r="D213" i="33"/>
  <c r="C213" i="33"/>
  <c r="B213" i="33"/>
  <c r="A213" i="33"/>
  <c r="IV212" i="33"/>
  <c r="IU212" i="33"/>
  <c r="IT212" i="33"/>
  <c r="IS212" i="33"/>
  <c r="IR212" i="33"/>
  <c r="IQ212" i="33"/>
  <c r="IP212" i="33"/>
  <c r="IO212" i="33"/>
  <c r="IN212" i="33"/>
  <c r="IM212" i="33"/>
  <c r="IL212" i="33"/>
  <c r="IK212" i="33"/>
  <c r="IJ212" i="33"/>
  <c r="II212" i="33"/>
  <c r="IH212" i="33"/>
  <c r="IG212" i="33"/>
  <c r="IF212" i="33"/>
  <c r="IE212" i="33"/>
  <c r="ID212" i="33"/>
  <c r="IC212" i="33"/>
  <c r="IB212" i="33"/>
  <c r="IA212" i="33"/>
  <c r="HZ212" i="33"/>
  <c r="HY212" i="33"/>
  <c r="HX212" i="33"/>
  <c r="HW212" i="33"/>
  <c r="HV212" i="33"/>
  <c r="HU212" i="33"/>
  <c r="HT212" i="33"/>
  <c r="HS212" i="33"/>
  <c r="HR212" i="33"/>
  <c r="HQ212" i="33"/>
  <c r="HP212" i="33"/>
  <c r="HO212" i="33"/>
  <c r="HN212" i="33"/>
  <c r="HM212" i="33"/>
  <c r="HL212" i="33"/>
  <c r="HK212" i="33"/>
  <c r="HJ212" i="33"/>
  <c r="HI212" i="33"/>
  <c r="HH212" i="33"/>
  <c r="HG212" i="33"/>
  <c r="HF212" i="33"/>
  <c r="HE212" i="33"/>
  <c r="HD212" i="33"/>
  <c r="HC212" i="33"/>
  <c r="HB212" i="33"/>
  <c r="HA212" i="33"/>
  <c r="GZ212" i="33"/>
  <c r="GY212" i="33"/>
  <c r="GX212" i="33"/>
  <c r="GW212" i="33"/>
  <c r="GV212" i="33"/>
  <c r="GU212" i="33"/>
  <c r="GT212" i="33"/>
  <c r="GS212" i="33"/>
  <c r="GR212" i="33"/>
  <c r="GQ212" i="33"/>
  <c r="GP212" i="33"/>
  <c r="GO212" i="33"/>
  <c r="GN212" i="33"/>
  <c r="GM212" i="33"/>
  <c r="GL212" i="33"/>
  <c r="GK212" i="33"/>
  <c r="GJ212" i="33"/>
  <c r="GI212" i="33"/>
  <c r="GH212" i="33"/>
  <c r="GG212" i="33"/>
  <c r="GF212" i="33"/>
  <c r="GE212" i="33"/>
  <c r="GD212" i="33"/>
  <c r="GC212" i="33"/>
  <c r="GB212" i="33"/>
  <c r="GA212" i="33"/>
  <c r="FZ212" i="33"/>
  <c r="FY212" i="33"/>
  <c r="FX212" i="33"/>
  <c r="FW212" i="33"/>
  <c r="FV212" i="33"/>
  <c r="FU212" i="33"/>
  <c r="FT212" i="33"/>
  <c r="FS212" i="33"/>
  <c r="FR212" i="33"/>
  <c r="FQ212" i="33"/>
  <c r="FP212" i="33"/>
  <c r="FO212" i="33"/>
  <c r="FN212" i="33"/>
  <c r="FM212" i="33"/>
  <c r="FL212" i="33"/>
  <c r="FK212" i="33"/>
  <c r="FJ212" i="33"/>
  <c r="FI212" i="33"/>
  <c r="FH212" i="33"/>
  <c r="FG212" i="33"/>
  <c r="FF212" i="33"/>
  <c r="FE212" i="33"/>
  <c r="FD212" i="33"/>
  <c r="FC212" i="33"/>
  <c r="FB212" i="33"/>
  <c r="FA212" i="33"/>
  <c r="EZ212" i="33"/>
  <c r="EY212" i="33"/>
  <c r="EX212" i="33"/>
  <c r="EW212" i="33"/>
  <c r="EV212" i="33"/>
  <c r="EU212" i="33"/>
  <c r="ET212" i="33"/>
  <c r="ES212" i="33"/>
  <c r="ER212" i="33"/>
  <c r="EQ212" i="33"/>
  <c r="EP212" i="33"/>
  <c r="EO212" i="33"/>
  <c r="EN212" i="33"/>
  <c r="EM212" i="33"/>
  <c r="EL212" i="33"/>
  <c r="EK212" i="33"/>
  <c r="EJ212" i="33"/>
  <c r="EI212" i="33"/>
  <c r="EH212" i="33"/>
  <c r="EG212" i="33"/>
  <c r="EF212" i="33"/>
  <c r="EE212" i="33"/>
  <c r="ED212" i="33"/>
  <c r="EC212" i="33"/>
  <c r="EB212" i="33"/>
  <c r="EA212" i="33"/>
  <c r="DZ212" i="33"/>
  <c r="DY212" i="33"/>
  <c r="DX212" i="33"/>
  <c r="DW212" i="33"/>
  <c r="DV212" i="33"/>
  <c r="DU212" i="33"/>
  <c r="DT212" i="33"/>
  <c r="DS212" i="33"/>
  <c r="DR212" i="33"/>
  <c r="DQ212" i="33"/>
  <c r="DP212" i="33"/>
  <c r="DO212" i="33"/>
  <c r="DN212" i="33"/>
  <c r="DM212" i="33"/>
  <c r="DL212" i="33"/>
  <c r="DK212" i="33"/>
  <c r="DJ212" i="33"/>
  <c r="DI212" i="33"/>
  <c r="DH212" i="33"/>
  <c r="DG212" i="33"/>
  <c r="DF212" i="33"/>
  <c r="DE212" i="33"/>
  <c r="DD212" i="33"/>
  <c r="DC212" i="33"/>
  <c r="DB212" i="33"/>
  <c r="DA212" i="33"/>
  <c r="CZ212" i="33"/>
  <c r="CY212" i="33"/>
  <c r="CX212" i="33"/>
  <c r="CW212" i="33"/>
  <c r="CV212" i="33"/>
  <c r="CU212" i="33"/>
  <c r="CT212" i="33"/>
  <c r="CS212" i="33"/>
  <c r="CR212" i="33"/>
  <c r="CQ212" i="33"/>
  <c r="CP212" i="33"/>
  <c r="CO212" i="33"/>
  <c r="CN212" i="33"/>
  <c r="CM212" i="33"/>
  <c r="CL212" i="33"/>
  <c r="CK212" i="33"/>
  <c r="CJ212" i="33"/>
  <c r="CI212" i="33"/>
  <c r="CH212" i="33"/>
  <c r="CG212" i="33"/>
  <c r="CF212" i="33"/>
  <c r="CE212" i="33"/>
  <c r="CD212" i="33"/>
  <c r="CC212" i="33"/>
  <c r="CB212" i="33"/>
  <c r="CA212" i="33"/>
  <c r="BZ212" i="33"/>
  <c r="BY212" i="33"/>
  <c r="BX212" i="33"/>
  <c r="BW212" i="33"/>
  <c r="BV212" i="33"/>
  <c r="BU212" i="33"/>
  <c r="BT212" i="33"/>
  <c r="BS212" i="33"/>
  <c r="BR212" i="33"/>
  <c r="BQ212" i="33"/>
  <c r="BP212" i="33"/>
  <c r="BO212" i="33"/>
  <c r="BN212" i="33"/>
  <c r="BM212" i="33"/>
  <c r="BL212" i="33"/>
  <c r="BK212" i="33"/>
  <c r="BJ212" i="33"/>
  <c r="BI212" i="33"/>
  <c r="BH212" i="33"/>
  <c r="BG212" i="33"/>
  <c r="BF212" i="33"/>
  <c r="BE212" i="33"/>
  <c r="BD212" i="33"/>
  <c r="BC212" i="33"/>
  <c r="BB212" i="33"/>
  <c r="BA212" i="33"/>
  <c r="AZ212" i="33"/>
  <c r="AY212" i="33"/>
  <c r="AX212" i="33"/>
  <c r="AW212" i="33"/>
  <c r="AV212" i="33"/>
  <c r="AU212" i="33"/>
  <c r="AT212" i="33"/>
  <c r="AS212" i="33"/>
  <c r="AR212" i="33"/>
  <c r="AQ212" i="33"/>
  <c r="AP212" i="33"/>
  <c r="AO212" i="33"/>
  <c r="AN212" i="33"/>
  <c r="AM212" i="33"/>
  <c r="AL212" i="33"/>
  <c r="AK212" i="33"/>
  <c r="AJ212" i="33"/>
  <c r="AI212" i="33"/>
  <c r="AH212" i="33"/>
  <c r="AG212" i="33"/>
  <c r="AF212" i="33"/>
  <c r="AE212" i="33"/>
  <c r="AD212" i="33"/>
  <c r="AC212" i="33"/>
  <c r="AB212" i="33"/>
  <c r="AA212" i="33"/>
  <c r="Z212" i="33"/>
  <c r="Y212" i="33"/>
  <c r="X212" i="33"/>
  <c r="W212" i="33"/>
  <c r="V212" i="33"/>
  <c r="U212" i="33"/>
  <c r="T212" i="33"/>
  <c r="S212" i="33"/>
  <c r="R212" i="33"/>
  <c r="Q212" i="33"/>
  <c r="P212" i="33"/>
  <c r="O212" i="33"/>
  <c r="N212" i="33"/>
  <c r="M212" i="33"/>
  <c r="L212" i="33"/>
  <c r="K212" i="33"/>
  <c r="J212" i="33"/>
  <c r="I212" i="33"/>
  <c r="H212" i="33"/>
  <c r="G212" i="33"/>
  <c r="F212" i="33"/>
  <c r="E212" i="33"/>
  <c r="D212" i="33"/>
  <c r="C212" i="33"/>
  <c r="B212" i="33"/>
  <c r="A212" i="33"/>
  <c r="IV211" i="33"/>
  <c r="IU211" i="33"/>
  <c r="IT211" i="33"/>
  <c r="IS211" i="33"/>
  <c r="IR211" i="33"/>
  <c r="IQ211" i="33"/>
  <c r="IP211" i="33"/>
  <c r="IO211" i="33"/>
  <c r="IN211" i="33"/>
  <c r="IM211" i="33"/>
  <c r="IL211" i="33"/>
  <c r="IK211" i="33"/>
  <c r="IJ211" i="33"/>
  <c r="II211" i="33"/>
  <c r="IH211" i="33"/>
  <c r="IG211" i="33"/>
  <c r="IF211" i="33"/>
  <c r="IE211" i="33"/>
  <c r="ID211" i="33"/>
  <c r="IC211" i="33"/>
  <c r="IB211" i="33"/>
  <c r="IA211" i="33"/>
  <c r="HZ211" i="33"/>
  <c r="HY211" i="33"/>
  <c r="HX211" i="33"/>
  <c r="HW211" i="33"/>
  <c r="HV211" i="33"/>
  <c r="HU211" i="33"/>
  <c r="HT211" i="33"/>
  <c r="HS211" i="33"/>
  <c r="HR211" i="33"/>
  <c r="HQ211" i="33"/>
  <c r="HP211" i="33"/>
  <c r="HO211" i="33"/>
  <c r="HN211" i="33"/>
  <c r="HM211" i="33"/>
  <c r="HL211" i="33"/>
  <c r="HK211" i="33"/>
  <c r="HJ211" i="33"/>
  <c r="HI211" i="33"/>
  <c r="HH211" i="33"/>
  <c r="HG211" i="33"/>
  <c r="HF211" i="33"/>
  <c r="HE211" i="33"/>
  <c r="HD211" i="33"/>
  <c r="HC211" i="33"/>
  <c r="HB211" i="33"/>
  <c r="HA211" i="33"/>
  <c r="GZ211" i="33"/>
  <c r="GY211" i="33"/>
  <c r="GX211" i="33"/>
  <c r="GW211" i="33"/>
  <c r="GV211" i="33"/>
  <c r="GU211" i="33"/>
  <c r="GT211" i="33"/>
  <c r="GS211" i="33"/>
  <c r="GR211" i="33"/>
  <c r="GQ211" i="33"/>
  <c r="GP211" i="33"/>
  <c r="GO211" i="33"/>
  <c r="GN211" i="33"/>
  <c r="GM211" i="33"/>
  <c r="GL211" i="33"/>
  <c r="GK211" i="33"/>
  <c r="GJ211" i="33"/>
  <c r="GI211" i="33"/>
  <c r="GH211" i="33"/>
  <c r="GG211" i="33"/>
  <c r="GF211" i="33"/>
  <c r="GE211" i="33"/>
  <c r="GD211" i="33"/>
  <c r="GC211" i="33"/>
  <c r="GB211" i="33"/>
  <c r="GA211" i="33"/>
  <c r="FZ211" i="33"/>
  <c r="FY211" i="33"/>
  <c r="FX211" i="33"/>
  <c r="FW211" i="33"/>
  <c r="FV211" i="33"/>
  <c r="FU211" i="33"/>
  <c r="FT211" i="33"/>
  <c r="FS211" i="33"/>
  <c r="FR211" i="33"/>
  <c r="FQ211" i="33"/>
  <c r="FP211" i="33"/>
  <c r="FO211" i="33"/>
  <c r="FN211" i="33"/>
  <c r="FM211" i="33"/>
  <c r="FL211" i="33"/>
  <c r="FK211" i="33"/>
  <c r="FJ211" i="33"/>
  <c r="FI211" i="33"/>
  <c r="FH211" i="33"/>
  <c r="FG211" i="33"/>
  <c r="FF211" i="33"/>
  <c r="FE211" i="33"/>
  <c r="FD211" i="33"/>
  <c r="FC211" i="33"/>
  <c r="FB211" i="33"/>
  <c r="FA211" i="33"/>
  <c r="EZ211" i="33"/>
  <c r="EY211" i="33"/>
  <c r="EX211" i="33"/>
  <c r="EW211" i="33"/>
  <c r="EV211" i="33"/>
  <c r="EU211" i="33"/>
  <c r="ET211" i="33"/>
  <c r="ES211" i="33"/>
  <c r="ER211" i="33"/>
  <c r="EQ211" i="33"/>
  <c r="EP211" i="33"/>
  <c r="EO211" i="33"/>
  <c r="EN211" i="33"/>
  <c r="EM211" i="33"/>
  <c r="EL211" i="33"/>
  <c r="EK211" i="33"/>
  <c r="EJ211" i="33"/>
  <c r="EI211" i="33"/>
  <c r="EH211" i="33"/>
  <c r="EG211" i="33"/>
  <c r="EF211" i="33"/>
  <c r="EE211" i="33"/>
  <c r="ED211" i="33"/>
  <c r="EC211" i="33"/>
  <c r="EB211" i="33"/>
  <c r="EA211" i="33"/>
  <c r="DZ211" i="33"/>
  <c r="DY211" i="33"/>
  <c r="DX211" i="33"/>
  <c r="DW211" i="33"/>
  <c r="DV211" i="33"/>
  <c r="DU211" i="33"/>
  <c r="DT211" i="33"/>
  <c r="DS211" i="33"/>
  <c r="DR211" i="33"/>
  <c r="DQ211" i="33"/>
  <c r="DP211" i="33"/>
  <c r="DO211" i="33"/>
  <c r="DN211" i="33"/>
  <c r="DM211" i="33"/>
  <c r="DL211" i="33"/>
  <c r="DK211" i="33"/>
  <c r="DJ211" i="33"/>
  <c r="DI211" i="33"/>
  <c r="DH211" i="33"/>
  <c r="DG211" i="33"/>
  <c r="DF211" i="33"/>
  <c r="DE211" i="33"/>
  <c r="DD211" i="33"/>
  <c r="DC211" i="33"/>
  <c r="DB211" i="33"/>
  <c r="DA211" i="33"/>
  <c r="CZ211" i="33"/>
  <c r="CY211" i="33"/>
  <c r="CX211" i="33"/>
  <c r="CW211" i="33"/>
  <c r="CV211" i="33"/>
  <c r="CU211" i="33"/>
  <c r="CT211" i="33"/>
  <c r="CS211" i="33"/>
  <c r="CR211" i="33"/>
  <c r="CQ211" i="33"/>
  <c r="CP211" i="33"/>
  <c r="CO211" i="33"/>
  <c r="CN211" i="33"/>
  <c r="CM211" i="33"/>
  <c r="CL211" i="33"/>
  <c r="CK211" i="33"/>
  <c r="CJ211" i="33"/>
  <c r="CI211" i="33"/>
  <c r="CH211" i="33"/>
  <c r="CG211" i="33"/>
  <c r="CF211" i="33"/>
  <c r="CE211" i="33"/>
  <c r="CD211" i="33"/>
  <c r="CC211" i="33"/>
  <c r="CB211" i="33"/>
  <c r="CA211" i="33"/>
  <c r="BZ211" i="33"/>
  <c r="BY211" i="33"/>
  <c r="BX211" i="33"/>
  <c r="BW211" i="33"/>
  <c r="BV211" i="33"/>
  <c r="BU211" i="33"/>
  <c r="BT211" i="33"/>
  <c r="BS211" i="33"/>
  <c r="BR211" i="33"/>
  <c r="BQ211" i="33"/>
  <c r="BP211" i="33"/>
  <c r="BO211" i="33"/>
  <c r="BN211" i="33"/>
  <c r="BM211" i="33"/>
  <c r="BL211" i="33"/>
  <c r="BK211" i="33"/>
  <c r="BJ211" i="33"/>
  <c r="BI211" i="33"/>
  <c r="BH211" i="33"/>
  <c r="BG211" i="33"/>
  <c r="BF211" i="33"/>
  <c r="BE211" i="33"/>
  <c r="BD211" i="33"/>
  <c r="BC211" i="33"/>
  <c r="BB211" i="33"/>
  <c r="BA211" i="33"/>
  <c r="AZ211" i="33"/>
  <c r="AY211" i="33"/>
  <c r="AX211" i="33"/>
  <c r="AW211" i="33"/>
  <c r="AV211" i="33"/>
  <c r="AU211" i="33"/>
  <c r="AT211" i="33"/>
  <c r="AS211" i="33"/>
  <c r="AR211" i="33"/>
  <c r="AQ211" i="33"/>
  <c r="AP211" i="33"/>
  <c r="AO211" i="33"/>
  <c r="AN211" i="33"/>
  <c r="AM211" i="33"/>
  <c r="AL211" i="33"/>
  <c r="AK211" i="33"/>
  <c r="AJ211" i="33"/>
  <c r="AI211" i="33"/>
  <c r="AH211" i="33"/>
  <c r="AG211" i="33"/>
  <c r="AF211" i="33"/>
  <c r="AE211" i="33"/>
  <c r="AD211" i="33"/>
  <c r="AC211" i="33"/>
  <c r="AB211" i="33"/>
  <c r="AA211" i="33"/>
  <c r="Z211" i="33"/>
  <c r="Y211" i="33"/>
  <c r="X211" i="33"/>
  <c r="W211" i="33"/>
  <c r="V211" i="33"/>
  <c r="U211" i="33"/>
  <c r="T211" i="33"/>
  <c r="S211" i="33"/>
  <c r="R211" i="33"/>
  <c r="Q211" i="33"/>
  <c r="P211" i="33"/>
  <c r="O211" i="33"/>
  <c r="N211" i="33"/>
  <c r="M211" i="33"/>
  <c r="L211" i="33"/>
  <c r="K211" i="33"/>
  <c r="J211" i="33"/>
  <c r="I211" i="33"/>
  <c r="H211" i="33"/>
  <c r="G211" i="33"/>
  <c r="F211" i="33"/>
  <c r="E211" i="33"/>
  <c r="D211" i="33"/>
  <c r="C211" i="33"/>
  <c r="B211" i="33"/>
  <c r="A211" i="33"/>
  <c r="IV210" i="33"/>
  <c r="IU210" i="33"/>
  <c r="IT210" i="33"/>
  <c r="IS210" i="33"/>
  <c r="IR210" i="33"/>
  <c r="IQ210" i="33"/>
  <c r="IP210" i="33"/>
  <c r="IO210" i="33"/>
  <c r="IN210" i="33"/>
  <c r="IM210" i="33"/>
  <c r="IL210" i="33"/>
  <c r="IK210" i="33"/>
  <c r="IJ210" i="33"/>
  <c r="II210" i="33"/>
  <c r="IH210" i="33"/>
  <c r="IG210" i="33"/>
  <c r="IF210" i="33"/>
  <c r="IE210" i="33"/>
  <c r="ID210" i="33"/>
  <c r="IC210" i="33"/>
  <c r="IB210" i="33"/>
  <c r="IA210" i="33"/>
  <c r="HZ210" i="33"/>
  <c r="HY210" i="33"/>
  <c r="HX210" i="33"/>
  <c r="HW210" i="33"/>
  <c r="HV210" i="33"/>
  <c r="HU210" i="33"/>
  <c r="HT210" i="33"/>
  <c r="HS210" i="33"/>
  <c r="HR210" i="33"/>
  <c r="HQ210" i="33"/>
  <c r="HP210" i="33"/>
  <c r="HO210" i="33"/>
  <c r="HN210" i="33"/>
  <c r="HM210" i="33"/>
  <c r="HL210" i="33"/>
  <c r="HK210" i="33"/>
  <c r="HJ210" i="33"/>
  <c r="HI210" i="33"/>
  <c r="HH210" i="33"/>
  <c r="HG210" i="33"/>
  <c r="HF210" i="33"/>
  <c r="HE210" i="33"/>
  <c r="HD210" i="33"/>
  <c r="HC210" i="33"/>
  <c r="HB210" i="33"/>
  <c r="HA210" i="33"/>
  <c r="GZ210" i="33"/>
  <c r="GY210" i="33"/>
  <c r="GX210" i="33"/>
  <c r="GW210" i="33"/>
  <c r="GV210" i="33"/>
  <c r="GU210" i="33"/>
  <c r="GT210" i="33"/>
  <c r="GS210" i="33"/>
  <c r="GR210" i="33"/>
  <c r="GQ210" i="33"/>
  <c r="GP210" i="33"/>
  <c r="GO210" i="33"/>
  <c r="GN210" i="33"/>
  <c r="GM210" i="33"/>
  <c r="GL210" i="33"/>
  <c r="GK210" i="33"/>
  <c r="GJ210" i="33"/>
  <c r="GI210" i="33"/>
  <c r="GH210" i="33"/>
  <c r="GG210" i="33"/>
  <c r="GF210" i="33"/>
  <c r="GE210" i="33"/>
  <c r="GD210" i="33"/>
  <c r="GC210" i="33"/>
  <c r="GB210" i="33"/>
  <c r="GA210" i="33"/>
  <c r="FZ210" i="33"/>
  <c r="FY210" i="33"/>
  <c r="FX210" i="33"/>
  <c r="FW210" i="33"/>
  <c r="FV210" i="33"/>
  <c r="FU210" i="33"/>
  <c r="FT210" i="33"/>
  <c r="FS210" i="33"/>
  <c r="FR210" i="33"/>
  <c r="FQ210" i="33"/>
  <c r="FP210" i="33"/>
  <c r="FO210" i="33"/>
  <c r="FN210" i="33"/>
  <c r="FM210" i="33"/>
  <c r="FL210" i="33"/>
  <c r="FK210" i="33"/>
  <c r="FJ210" i="33"/>
  <c r="FI210" i="33"/>
  <c r="FH210" i="33"/>
  <c r="FG210" i="33"/>
  <c r="FF210" i="33"/>
  <c r="FE210" i="33"/>
  <c r="FD210" i="33"/>
  <c r="FC210" i="33"/>
  <c r="FB210" i="33"/>
  <c r="FA210" i="33"/>
  <c r="EZ210" i="33"/>
  <c r="EY210" i="33"/>
  <c r="EX210" i="33"/>
  <c r="EW210" i="33"/>
  <c r="EV210" i="33"/>
  <c r="EU210" i="33"/>
  <c r="ET210" i="33"/>
  <c r="ES210" i="33"/>
  <c r="ER210" i="33"/>
  <c r="EQ210" i="33"/>
  <c r="EP210" i="33"/>
  <c r="EO210" i="33"/>
  <c r="EN210" i="33"/>
  <c r="EM210" i="33"/>
  <c r="EL210" i="33"/>
  <c r="EK210" i="33"/>
  <c r="EJ210" i="33"/>
  <c r="EI210" i="33"/>
  <c r="EH210" i="33"/>
  <c r="EG210" i="33"/>
  <c r="EF210" i="33"/>
  <c r="EE210" i="33"/>
  <c r="ED210" i="33"/>
  <c r="EC210" i="33"/>
  <c r="EB210" i="33"/>
  <c r="EA210" i="33"/>
  <c r="DZ210" i="33"/>
  <c r="DY210" i="33"/>
  <c r="DX210" i="33"/>
  <c r="DW210" i="33"/>
  <c r="DV210" i="33"/>
  <c r="DU210" i="33"/>
  <c r="DT210" i="33"/>
  <c r="DS210" i="33"/>
  <c r="DR210" i="33"/>
  <c r="DQ210" i="33"/>
  <c r="DP210" i="33"/>
  <c r="DO210" i="33"/>
  <c r="DN210" i="33"/>
  <c r="DM210" i="33"/>
  <c r="DL210" i="33"/>
  <c r="DK210" i="33"/>
  <c r="DJ210" i="33"/>
  <c r="DI210" i="33"/>
  <c r="DH210" i="33"/>
  <c r="DG210" i="33"/>
  <c r="DF210" i="33"/>
  <c r="DE210" i="33"/>
  <c r="DD210" i="33"/>
  <c r="DC210" i="33"/>
  <c r="DB210" i="33"/>
  <c r="DA210" i="33"/>
  <c r="CZ210" i="33"/>
  <c r="CY210" i="33"/>
  <c r="CX210" i="33"/>
  <c r="CW210" i="33"/>
  <c r="CV210" i="33"/>
  <c r="CU210" i="33"/>
  <c r="CT210" i="33"/>
  <c r="CS210" i="33"/>
  <c r="CR210" i="33"/>
  <c r="CQ210" i="33"/>
  <c r="CP210" i="33"/>
  <c r="CO210" i="33"/>
  <c r="CN210" i="33"/>
  <c r="CM210" i="33"/>
  <c r="CL210" i="33"/>
  <c r="CK210" i="33"/>
  <c r="CJ210" i="33"/>
  <c r="CI210" i="33"/>
  <c r="CH210" i="33"/>
  <c r="CG210" i="33"/>
  <c r="CF210" i="33"/>
  <c r="CE210" i="33"/>
  <c r="CD210" i="33"/>
  <c r="CC210" i="33"/>
  <c r="CB210" i="33"/>
  <c r="CA210" i="33"/>
  <c r="BZ210" i="33"/>
  <c r="BY210" i="33"/>
  <c r="BX210" i="33"/>
  <c r="BW210" i="33"/>
  <c r="BV210" i="33"/>
  <c r="BU210" i="33"/>
  <c r="BT210" i="33"/>
  <c r="BS210" i="33"/>
  <c r="BR210" i="33"/>
  <c r="BQ210" i="33"/>
  <c r="BP210" i="33"/>
  <c r="BO210" i="33"/>
  <c r="BN210" i="33"/>
  <c r="BM210" i="33"/>
  <c r="BL210" i="33"/>
  <c r="BK210" i="33"/>
  <c r="BJ210" i="33"/>
  <c r="BI210" i="33"/>
  <c r="BH210" i="33"/>
  <c r="BG210" i="33"/>
  <c r="BF210" i="33"/>
  <c r="BE210" i="33"/>
  <c r="BD210" i="33"/>
  <c r="BC210" i="33"/>
  <c r="BB210" i="33"/>
  <c r="BA210" i="33"/>
  <c r="AZ210" i="33"/>
  <c r="AY210" i="33"/>
  <c r="AX210" i="33"/>
  <c r="AW210" i="33"/>
  <c r="AV210" i="33"/>
  <c r="AU210" i="33"/>
  <c r="AT210" i="33"/>
  <c r="AS210" i="33"/>
  <c r="AR210" i="33"/>
  <c r="AQ210" i="33"/>
  <c r="AP210" i="33"/>
  <c r="AO210" i="33"/>
  <c r="AN210" i="33"/>
  <c r="AM210" i="33"/>
  <c r="AL210" i="33"/>
  <c r="AK210" i="33"/>
  <c r="AJ210" i="33"/>
  <c r="AI210" i="33"/>
  <c r="AH210" i="33"/>
  <c r="AG210" i="33"/>
  <c r="AF210" i="33"/>
  <c r="AE210" i="33"/>
  <c r="AD210" i="33"/>
  <c r="AC210" i="33"/>
  <c r="AB210" i="33"/>
  <c r="AA210" i="33"/>
  <c r="Z210" i="33"/>
  <c r="Y210" i="33"/>
  <c r="X210" i="33"/>
  <c r="W210" i="33"/>
  <c r="V210" i="33"/>
  <c r="U210" i="33"/>
  <c r="T210" i="33"/>
  <c r="S210" i="33"/>
  <c r="R210" i="33"/>
  <c r="Q210" i="33"/>
  <c r="P210" i="33"/>
  <c r="O210" i="33"/>
  <c r="N210" i="33"/>
  <c r="M210" i="33"/>
  <c r="L210" i="33"/>
  <c r="K210" i="33"/>
  <c r="J210" i="33"/>
  <c r="I210" i="33"/>
  <c r="H210" i="33"/>
  <c r="G210" i="33"/>
  <c r="F210" i="33"/>
  <c r="E210" i="33"/>
  <c r="D210" i="33"/>
  <c r="C210" i="33"/>
  <c r="B210" i="33"/>
  <c r="A210" i="33"/>
  <c r="IV209" i="33"/>
  <c r="IU209" i="33"/>
  <c r="IT209" i="33"/>
  <c r="IS209" i="33"/>
  <c r="IR209" i="33"/>
  <c r="IQ209" i="33"/>
  <c r="IP209" i="33"/>
  <c r="IO209" i="33"/>
  <c r="IN209" i="33"/>
  <c r="IM209" i="33"/>
  <c r="IL209" i="33"/>
  <c r="IK209" i="33"/>
  <c r="IJ209" i="33"/>
  <c r="II209" i="33"/>
  <c r="IH209" i="33"/>
  <c r="IG209" i="33"/>
  <c r="IF209" i="33"/>
  <c r="IE209" i="33"/>
  <c r="ID209" i="33"/>
  <c r="IC209" i="33"/>
  <c r="IB209" i="33"/>
  <c r="IA209" i="33"/>
  <c r="HZ209" i="33"/>
  <c r="HY209" i="33"/>
  <c r="HX209" i="33"/>
  <c r="HW209" i="33"/>
  <c r="HV209" i="33"/>
  <c r="HU209" i="33"/>
  <c r="HT209" i="33"/>
  <c r="HS209" i="33"/>
  <c r="HR209" i="33"/>
  <c r="HQ209" i="33"/>
  <c r="HP209" i="33"/>
  <c r="HO209" i="33"/>
  <c r="HN209" i="33"/>
  <c r="HM209" i="33"/>
  <c r="HL209" i="33"/>
  <c r="HK209" i="33"/>
  <c r="HJ209" i="33"/>
  <c r="HI209" i="33"/>
  <c r="HH209" i="33"/>
  <c r="HG209" i="33"/>
  <c r="HF209" i="33"/>
  <c r="HE209" i="33"/>
  <c r="HD209" i="33"/>
  <c r="HC209" i="33"/>
  <c r="HB209" i="33"/>
  <c r="HA209" i="33"/>
  <c r="GZ209" i="33"/>
  <c r="GY209" i="33"/>
  <c r="GX209" i="33"/>
  <c r="GW209" i="33"/>
  <c r="GV209" i="33"/>
  <c r="GU209" i="33"/>
  <c r="GT209" i="33"/>
  <c r="GS209" i="33"/>
  <c r="GR209" i="33"/>
  <c r="GQ209" i="33"/>
  <c r="GP209" i="33"/>
  <c r="GO209" i="33"/>
  <c r="GN209" i="33"/>
  <c r="GM209" i="33"/>
  <c r="GL209" i="33"/>
  <c r="GK209" i="33"/>
  <c r="GJ209" i="33"/>
  <c r="GI209" i="33"/>
  <c r="GH209" i="33"/>
  <c r="GG209" i="33"/>
  <c r="GF209" i="33"/>
  <c r="GE209" i="33"/>
  <c r="GD209" i="33"/>
  <c r="GC209" i="33"/>
  <c r="GB209" i="33"/>
  <c r="GA209" i="33"/>
  <c r="FZ209" i="33"/>
  <c r="FY209" i="33"/>
  <c r="FX209" i="33"/>
  <c r="FW209" i="33"/>
  <c r="FV209" i="33"/>
  <c r="FU209" i="33"/>
  <c r="FT209" i="33"/>
  <c r="FS209" i="33"/>
  <c r="FR209" i="33"/>
  <c r="FQ209" i="33"/>
  <c r="FP209" i="33"/>
  <c r="FO209" i="33"/>
  <c r="FN209" i="33"/>
  <c r="FM209" i="33"/>
  <c r="FL209" i="33"/>
  <c r="FK209" i="33"/>
  <c r="FJ209" i="33"/>
  <c r="FI209" i="33"/>
  <c r="FH209" i="33"/>
  <c r="FG209" i="33"/>
  <c r="FF209" i="33"/>
  <c r="FE209" i="33"/>
  <c r="FD209" i="33"/>
  <c r="FC209" i="33"/>
  <c r="FB209" i="33"/>
  <c r="FA209" i="33"/>
  <c r="EZ209" i="33"/>
  <c r="EY209" i="33"/>
  <c r="EX209" i="33"/>
  <c r="EW209" i="33"/>
  <c r="EV209" i="33"/>
  <c r="EU209" i="33"/>
  <c r="ET209" i="33"/>
  <c r="ES209" i="33"/>
  <c r="ER209" i="33"/>
  <c r="EQ209" i="33"/>
  <c r="EP209" i="33"/>
  <c r="EO209" i="33"/>
  <c r="EN209" i="33"/>
  <c r="EM209" i="33"/>
  <c r="EL209" i="33"/>
  <c r="EK209" i="33"/>
  <c r="EJ209" i="33"/>
  <c r="EI209" i="33"/>
  <c r="EH209" i="33"/>
  <c r="EG209" i="33"/>
  <c r="EF209" i="33"/>
  <c r="EE209" i="33"/>
  <c r="ED209" i="33"/>
  <c r="EC209" i="33"/>
  <c r="EB209" i="33"/>
  <c r="EA209" i="33"/>
  <c r="DZ209" i="33"/>
  <c r="DY209" i="33"/>
  <c r="DX209" i="33"/>
  <c r="DW209" i="33"/>
  <c r="DV209" i="33"/>
  <c r="DU209" i="33"/>
  <c r="DT209" i="33"/>
  <c r="DS209" i="33"/>
  <c r="DR209" i="33"/>
  <c r="DQ209" i="33"/>
  <c r="DP209" i="33"/>
  <c r="DO209" i="33"/>
  <c r="DN209" i="33"/>
  <c r="DM209" i="33"/>
  <c r="DL209" i="33"/>
  <c r="DK209" i="33"/>
  <c r="DJ209" i="33"/>
  <c r="DI209" i="33"/>
  <c r="DH209" i="33"/>
  <c r="DG209" i="33"/>
  <c r="DF209" i="33"/>
  <c r="DE209" i="33"/>
  <c r="DD209" i="33"/>
  <c r="DC209" i="33"/>
  <c r="DB209" i="33"/>
  <c r="DA209" i="33"/>
  <c r="CZ209" i="33"/>
  <c r="CY209" i="33"/>
  <c r="CX209" i="33"/>
  <c r="CW209" i="33"/>
  <c r="CV209" i="33"/>
  <c r="CU209" i="33"/>
  <c r="CT209" i="33"/>
  <c r="CS209" i="33"/>
  <c r="CR209" i="33"/>
  <c r="CQ209" i="33"/>
  <c r="CP209" i="33"/>
  <c r="CO209" i="33"/>
  <c r="CN209" i="33"/>
  <c r="CM209" i="33"/>
  <c r="CL209" i="33"/>
  <c r="CK209" i="33"/>
  <c r="CJ209" i="33"/>
  <c r="CI209" i="33"/>
  <c r="CH209" i="33"/>
  <c r="CG209" i="33"/>
  <c r="CF209" i="33"/>
  <c r="CE209" i="33"/>
  <c r="CD209" i="33"/>
  <c r="CC209" i="33"/>
  <c r="CB209" i="33"/>
  <c r="CA209" i="33"/>
  <c r="BZ209" i="33"/>
  <c r="BY209" i="33"/>
  <c r="BX209" i="33"/>
  <c r="BW209" i="33"/>
  <c r="BV209" i="33"/>
  <c r="BU209" i="33"/>
  <c r="BT209" i="33"/>
  <c r="BS209" i="33"/>
  <c r="BR209" i="33"/>
  <c r="BQ209" i="33"/>
  <c r="BP209" i="33"/>
  <c r="BO209" i="33"/>
  <c r="BN209" i="33"/>
  <c r="BM209" i="33"/>
  <c r="BL209" i="33"/>
  <c r="BK209" i="33"/>
  <c r="BJ209" i="33"/>
  <c r="BI209" i="33"/>
  <c r="BH209" i="33"/>
  <c r="BG209" i="33"/>
  <c r="BF209" i="33"/>
  <c r="BE209" i="33"/>
  <c r="BD209" i="33"/>
  <c r="BC209" i="33"/>
  <c r="BB209" i="33"/>
  <c r="BA209" i="33"/>
  <c r="AZ209" i="33"/>
  <c r="AY209" i="33"/>
  <c r="AX209" i="33"/>
  <c r="AW209" i="33"/>
  <c r="AV209" i="33"/>
  <c r="AU209" i="33"/>
  <c r="AT209" i="33"/>
  <c r="AS209" i="33"/>
  <c r="AR209" i="33"/>
  <c r="AQ209" i="33"/>
  <c r="AP209" i="33"/>
  <c r="AO209" i="33"/>
  <c r="AN209" i="33"/>
  <c r="AM209" i="33"/>
  <c r="AL209" i="33"/>
  <c r="AK209" i="33"/>
  <c r="AJ209" i="33"/>
  <c r="AI209" i="33"/>
  <c r="AH209" i="33"/>
  <c r="AG209" i="33"/>
  <c r="AF209" i="33"/>
  <c r="AE209" i="33"/>
  <c r="AD209" i="33"/>
  <c r="AC209" i="33"/>
  <c r="AB209" i="33"/>
  <c r="AA209" i="33"/>
  <c r="Z209" i="33"/>
  <c r="Y209" i="33"/>
  <c r="X209" i="33"/>
  <c r="W209" i="33"/>
  <c r="V209" i="33"/>
  <c r="U209" i="33"/>
  <c r="T209" i="33"/>
  <c r="S209" i="33"/>
  <c r="R209" i="33"/>
  <c r="Q209" i="33"/>
  <c r="P209" i="33"/>
  <c r="O209" i="33"/>
  <c r="N209" i="33"/>
  <c r="M209" i="33"/>
  <c r="L209" i="33"/>
  <c r="K209" i="33"/>
  <c r="J209" i="33"/>
  <c r="I209" i="33"/>
  <c r="H209" i="33"/>
  <c r="G209" i="33"/>
  <c r="F209" i="33"/>
  <c r="E209" i="33"/>
  <c r="D209" i="33"/>
  <c r="C209" i="33"/>
  <c r="B209" i="33"/>
  <c r="A209" i="33"/>
  <c r="IV208" i="33"/>
  <c r="IU208" i="33"/>
  <c r="IT208" i="33"/>
  <c r="IS208" i="33"/>
  <c r="IR208" i="33"/>
  <c r="IQ208" i="33"/>
  <c r="IP208" i="33"/>
  <c r="IO208" i="33"/>
  <c r="IN208" i="33"/>
  <c r="IM208" i="33"/>
  <c r="IL208" i="33"/>
  <c r="IK208" i="33"/>
  <c r="IJ208" i="33"/>
  <c r="II208" i="33"/>
  <c r="IH208" i="33"/>
  <c r="IG208" i="33"/>
  <c r="IF208" i="33"/>
  <c r="IE208" i="33"/>
  <c r="ID208" i="33"/>
  <c r="IC208" i="33"/>
  <c r="IB208" i="33"/>
  <c r="IA208" i="33"/>
  <c r="HZ208" i="33"/>
  <c r="HY208" i="33"/>
  <c r="HX208" i="33"/>
  <c r="HW208" i="33"/>
  <c r="HV208" i="33"/>
  <c r="HU208" i="33"/>
  <c r="HT208" i="33"/>
  <c r="HS208" i="33"/>
  <c r="HR208" i="33"/>
  <c r="HQ208" i="33"/>
  <c r="HP208" i="33"/>
  <c r="HO208" i="33"/>
  <c r="HN208" i="33"/>
  <c r="HM208" i="33"/>
  <c r="HL208" i="33"/>
  <c r="HK208" i="33"/>
  <c r="HJ208" i="33"/>
  <c r="HI208" i="33"/>
  <c r="HH208" i="33"/>
  <c r="HG208" i="33"/>
  <c r="HF208" i="33"/>
  <c r="HE208" i="33"/>
  <c r="HD208" i="33"/>
  <c r="HC208" i="33"/>
  <c r="HB208" i="33"/>
  <c r="HA208" i="33"/>
  <c r="GZ208" i="33"/>
  <c r="GY208" i="33"/>
  <c r="GX208" i="33"/>
  <c r="GW208" i="33"/>
  <c r="GV208" i="33"/>
  <c r="GU208" i="33"/>
  <c r="GT208" i="33"/>
  <c r="GS208" i="33"/>
  <c r="GR208" i="33"/>
  <c r="GQ208" i="33"/>
  <c r="GP208" i="33"/>
  <c r="GO208" i="33"/>
  <c r="GN208" i="33"/>
  <c r="GM208" i="33"/>
  <c r="GL208" i="33"/>
  <c r="GK208" i="33"/>
  <c r="GJ208" i="33"/>
  <c r="GI208" i="33"/>
  <c r="GH208" i="33"/>
  <c r="GG208" i="33"/>
  <c r="GF208" i="33"/>
  <c r="GE208" i="33"/>
  <c r="GD208" i="33"/>
  <c r="GC208" i="33"/>
  <c r="GB208" i="33"/>
  <c r="GA208" i="33"/>
  <c r="FZ208" i="33"/>
  <c r="FY208" i="33"/>
  <c r="FX208" i="33"/>
  <c r="FW208" i="33"/>
  <c r="FV208" i="33"/>
  <c r="FU208" i="33"/>
  <c r="FT208" i="33"/>
  <c r="FS208" i="33"/>
  <c r="FR208" i="33"/>
  <c r="FQ208" i="33"/>
  <c r="FP208" i="33"/>
  <c r="FO208" i="33"/>
  <c r="FN208" i="33"/>
  <c r="FM208" i="33"/>
  <c r="FL208" i="33"/>
  <c r="FK208" i="33"/>
  <c r="FJ208" i="33"/>
  <c r="FI208" i="33"/>
  <c r="FH208" i="33"/>
  <c r="FG208" i="33"/>
  <c r="FF208" i="33"/>
  <c r="FE208" i="33"/>
  <c r="FD208" i="33"/>
  <c r="FC208" i="33"/>
  <c r="FB208" i="33"/>
  <c r="FA208" i="33"/>
  <c r="EZ208" i="33"/>
  <c r="EY208" i="33"/>
  <c r="EX208" i="33"/>
  <c r="EW208" i="33"/>
  <c r="EV208" i="33"/>
  <c r="EU208" i="33"/>
  <c r="ET208" i="33"/>
  <c r="ES208" i="33"/>
  <c r="ER208" i="33"/>
  <c r="EQ208" i="33"/>
  <c r="EP208" i="33"/>
  <c r="EO208" i="33"/>
  <c r="EN208" i="33"/>
  <c r="EM208" i="33"/>
  <c r="EL208" i="33"/>
  <c r="EK208" i="33"/>
  <c r="EJ208" i="33"/>
  <c r="EI208" i="33"/>
  <c r="EH208" i="33"/>
  <c r="EG208" i="33"/>
  <c r="EF208" i="33"/>
  <c r="EE208" i="33"/>
  <c r="ED208" i="33"/>
  <c r="EC208" i="33"/>
  <c r="EB208" i="33"/>
  <c r="EA208" i="33"/>
  <c r="DZ208" i="33"/>
  <c r="DY208" i="33"/>
  <c r="DX208" i="33"/>
  <c r="DW208" i="33"/>
  <c r="DV208" i="33"/>
  <c r="DU208" i="33"/>
  <c r="DT208" i="33"/>
  <c r="DS208" i="33"/>
  <c r="DR208" i="33"/>
  <c r="DQ208" i="33"/>
  <c r="DP208" i="33"/>
  <c r="DO208" i="33"/>
  <c r="DN208" i="33"/>
  <c r="DM208" i="33"/>
  <c r="DL208" i="33"/>
  <c r="DK208" i="33"/>
  <c r="DJ208" i="33"/>
  <c r="DI208" i="33"/>
  <c r="DH208" i="33"/>
  <c r="DG208" i="33"/>
  <c r="DF208" i="33"/>
  <c r="DE208" i="33"/>
  <c r="DD208" i="33"/>
  <c r="DC208" i="33"/>
  <c r="DB208" i="33"/>
  <c r="DA208" i="33"/>
  <c r="CZ208" i="33"/>
  <c r="CY208" i="33"/>
  <c r="CX208" i="33"/>
  <c r="CW208" i="33"/>
  <c r="CV208" i="33"/>
  <c r="CU208" i="33"/>
  <c r="CT208" i="33"/>
  <c r="CS208" i="33"/>
  <c r="CR208" i="33"/>
  <c r="CQ208" i="33"/>
  <c r="CP208" i="33"/>
  <c r="CO208" i="33"/>
  <c r="CN208" i="33"/>
  <c r="CM208" i="33"/>
  <c r="CL208" i="33"/>
  <c r="CK208" i="33"/>
  <c r="CJ208" i="33"/>
  <c r="CI208" i="33"/>
  <c r="CH208" i="33"/>
  <c r="CG208" i="33"/>
  <c r="CF208" i="33"/>
  <c r="CE208" i="33"/>
  <c r="CD208" i="33"/>
  <c r="CC208" i="33"/>
  <c r="CB208" i="33"/>
  <c r="CA208" i="33"/>
  <c r="BZ208" i="33"/>
  <c r="BY208" i="33"/>
  <c r="BX208" i="33"/>
  <c r="BW208" i="33"/>
  <c r="BV208" i="33"/>
  <c r="BU208" i="33"/>
  <c r="BT208" i="33"/>
  <c r="BS208" i="33"/>
  <c r="BR208" i="33"/>
  <c r="BQ208" i="33"/>
  <c r="BP208" i="33"/>
  <c r="BO208" i="33"/>
  <c r="BN208" i="33"/>
  <c r="BM208" i="33"/>
  <c r="BL208" i="33"/>
  <c r="BK208" i="33"/>
  <c r="BJ208" i="33"/>
  <c r="BI208" i="33"/>
  <c r="BH208" i="33"/>
  <c r="BG208" i="33"/>
  <c r="BF208" i="33"/>
  <c r="BE208" i="33"/>
  <c r="BD208" i="33"/>
  <c r="BC208" i="33"/>
  <c r="BB208" i="33"/>
  <c r="BA208" i="33"/>
  <c r="AZ208" i="33"/>
  <c r="AY208" i="33"/>
  <c r="AX208" i="33"/>
  <c r="AW208" i="33"/>
  <c r="AV208" i="33"/>
  <c r="AU208" i="33"/>
  <c r="AT208" i="33"/>
  <c r="AS208" i="33"/>
  <c r="AR208" i="33"/>
  <c r="AQ208" i="33"/>
  <c r="AP208" i="33"/>
  <c r="AO208" i="33"/>
  <c r="AN208" i="33"/>
  <c r="AM208" i="33"/>
  <c r="AL208" i="33"/>
  <c r="AK208" i="33"/>
  <c r="AJ208" i="33"/>
  <c r="AI208" i="33"/>
  <c r="AH208" i="33"/>
  <c r="AG208" i="33"/>
  <c r="AF208" i="33"/>
  <c r="AE208" i="33"/>
  <c r="AD208" i="33"/>
  <c r="AC208" i="33"/>
  <c r="AB208" i="33"/>
  <c r="AA208" i="33"/>
  <c r="Z208" i="33"/>
  <c r="Y208" i="33"/>
  <c r="X208" i="33"/>
  <c r="W208" i="33"/>
  <c r="V208" i="33"/>
  <c r="U208" i="33"/>
  <c r="T208" i="33"/>
  <c r="S208" i="33"/>
  <c r="R208" i="33"/>
  <c r="Q208" i="33"/>
  <c r="P208" i="33"/>
  <c r="O208" i="33"/>
  <c r="N208" i="33"/>
  <c r="M208" i="33"/>
  <c r="L208" i="33"/>
  <c r="K208" i="33"/>
  <c r="J208" i="33"/>
  <c r="I208" i="33"/>
  <c r="H208" i="33"/>
  <c r="G208" i="33"/>
  <c r="F208" i="33"/>
  <c r="E208" i="33"/>
  <c r="D208" i="33"/>
  <c r="C208" i="33"/>
  <c r="B208" i="33"/>
  <c r="A208" i="33"/>
  <c r="IV207" i="33"/>
  <c r="IU207" i="33"/>
  <c r="IT207" i="33"/>
  <c r="IS207" i="33"/>
  <c r="IR207" i="33"/>
  <c r="IQ207" i="33"/>
  <c r="IP207" i="33"/>
  <c r="IO207" i="33"/>
  <c r="IN207" i="33"/>
  <c r="IM207" i="33"/>
  <c r="IL207" i="33"/>
  <c r="IK207" i="33"/>
  <c r="IJ207" i="33"/>
  <c r="II207" i="33"/>
  <c r="IH207" i="33"/>
  <c r="IG207" i="33"/>
  <c r="IF207" i="33"/>
  <c r="IE207" i="33"/>
  <c r="ID207" i="33"/>
  <c r="IC207" i="33"/>
  <c r="IB207" i="33"/>
  <c r="IA207" i="33"/>
  <c r="HZ207" i="33"/>
  <c r="HY207" i="33"/>
  <c r="HX207" i="33"/>
  <c r="HW207" i="33"/>
  <c r="HV207" i="33"/>
  <c r="HU207" i="33"/>
  <c r="HT207" i="33"/>
  <c r="HS207" i="33"/>
  <c r="HR207" i="33"/>
  <c r="HQ207" i="33"/>
  <c r="HP207" i="33"/>
  <c r="HO207" i="33"/>
  <c r="HN207" i="33"/>
  <c r="HM207" i="33"/>
  <c r="HL207" i="33"/>
  <c r="HK207" i="33"/>
  <c r="HJ207" i="33"/>
  <c r="HI207" i="33"/>
  <c r="HH207" i="33"/>
  <c r="HG207" i="33"/>
  <c r="HF207" i="33"/>
  <c r="HE207" i="33"/>
  <c r="HD207" i="33"/>
  <c r="HC207" i="33"/>
  <c r="HB207" i="33"/>
  <c r="HA207" i="33"/>
  <c r="GZ207" i="33"/>
  <c r="GY207" i="33"/>
  <c r="GX207" i="33"/>
  <c r="GW207" i="33"/>
  <c r="GV207" i="33"/>
  <c r="GU207" i="33"/>
  <c r="GT207" i="33"/>
  <c r="GS207" i="33"/>
  <c r="GR207" i="33"/>
  <c r="GQ207" i="33"/>
  <c r="GP207" i="33"/>
  <c r="GO207" i="33"/>
  <c r="GN207" i="33"/>
  <c r="GM207" i="33"/>
  <c r="GL207" i="33"/>
  <c r="GK207" i="33"/>
  <c r="GJ207" i="33"/>
  <c r="GI207" i="33"/>
  <c r="GH207" i="33"/>
  <c r="GG207" i="33"/>
  <c r="GF207" i="33"/>
  <c r="GE207" i="33"/>
  <c r="GD207" i="33"/>
  <c r="GC207" i="33"/>
  <c r="GB207" i="33"/>
  <c r="GA207" i="33"/>
  <c r="FZ207" i="33"/>
  <c r="FY207" i="33"/>
  <c r="FX207" i="33"/>
  <c r="FW207" i="33"/>
  <c r="FV207" i="33"/>
  <c r="FU207" i="33"/>
  <c r="FT207" i="33"/>
  <c r="FS207" i="33"/>
  <c r="FR207" i="33"/>
  <c r="FQ207" i="33"/>
  <c r="FP207" i="33"/>
  <c r="FO207" i="33"/>
  <c r="FN207" i="33"/>
  <c r="FM207" i="33"/>
  <c r="FL207" i="33"/>
  <c r="FK207" i="33"/>
  <c r="FJ207" i="33"/>
  <c r="FI207" i="33"/>
  <c r="FH207" i="33"/>
  <c r="FG207" i="33"/>
  <c r="FF207" i="33"/>
  <c r="FE207" i="33"/>
  <c r="FD207" i="33"/>
  <c r="FC207" i="33"/>
  <c r="FB207" i="33"/>
  <c r="FA207" i="33"/>
  <c r="EZ207" i="33"/>
  <c r="EY207" i="33"/>
  <c r="EX207" i="33"/>
  <c r="EW207" i="33"/>
  <c r="EV207" i="33"/>
  <c r="EU207" i="33"/>
  <c r="ET207" i="33"/>
  <c r="ES207" i="33"/>
  <c r="ER207" i="33"/>
  <c r="EQ207" i="33"/>
  <c r="EP207" i="33"/>
  <c r="EO207" i="33"/>
  <c r="EN207" i="33"/>
  <c r="EM207" i="33"/>
  <c r="EL207" i="33"/>
  <c r="EK207" i="33"/>
  <c r="EJ207" i="33"/>
  <c r="EI207" i="33"/>
  <c r="EH207" i="33"/>
  <c r="EG207" i="33"/>
  <c r="EF207" i="33"/>
  <c r="EE207" i="33"/>
  <c r="ED207" i="33"/>
  <c r="EC207" i="33"/>
  <c r="EB207" i="33"/>
  <c r="EA207" i="33"/>
  <c r="DZ207" i="33"/>
  <c r="DY207" i="33"/>
  <c r="DX207" i="33"/>
  <c r="DW207" i="33"/>
  <c r="DV207" i="33"/>
  <c r="DU207" i="33"/>
  <c r="DT207" i="33"/>
  <c r="DS207" i="33"/>
  <c r="DR207" i="33"/>
  <c r="DQ207" i="33"/>
  <c r="DP207" i="33"/>
  <c r="DO207" i="33"/>
  <c r="DN207" i="33"/>
  <c r="DM207" i="33"/>
  <c r="DL207" i="33"/>
  <c r="DK207" i="33"/>
  <c r="DJ207" i="33"/>
  <c r="DI207" i="33"/>
  <c r="DH207" i="33"/>
  <c r="DG207" i="33"/>
  <c r="DF207" i="33"/>
  <c r="DE207" i="33"/>
  <c r="DD207" i="33"/>
  <c r="DC207" i="33"/>
  <c r="DB207" i="33"/>
  <c r="DA207" i="33"/>
  <c r="CZ207" i="33"/>
  <c r="CY207" i="33"/>
  <c r="CX207" i="33"/>
  <c r="CW207" i="33"/>
  <c r="CV207" i="33"/>
  <c r="CU207" i="33"/>
  <c r="CT207" i="33"/>
  <c r="CS207" i="33"/>
  <c r="CR207" i="33"/>
  <c r="CQ207" i="33"/>
  <c r="CP207" i="33"/>
  <c r="CO207" i="33"/>
  <c r="CN207" i="33"/>
  <c r="CM207" i="33"/>
  <c r="CL207" i="33"/>
  <c r="CK207" i="33"/>
  <c r="CJ207" i="33"/>
  <c r="CI207" i="33"/>
  <c r="CH207" i="33"/>
  <c r="CG207" i="33"/>
  <c r="CF207" i="33"/>
  <c r="CE207" i="33"/>
  <c r="CD207" i="33"/>
  <c r="CC207" i="33"/>
  <c r="CB207" i="33"/>
  <c r="CA207" i="33"/>
  <c r="BZ207" i="33"/>
  <c r="BY207" i="33"/>
  <c r="BX207" i="33"/>
  <c r="BW207" i="33"/>
  <c r="BV207" i="33"/>
  <c r="BU207" i="33"/>
  <c r="BT207" i="33"/>
  <c r="BS207" i="33"/>
  <c r="BR207" i="33"/>
  <c r="BQ207" i="33"/>
  <c r="BP207" i="33"/>
  <c r="BO207" i="33"/>
  <c r="BN207" i="33"/>
  <c r="BM207" i="33"/>
  <c r="BL207" i="33"/>
  <c r="BK207" i="33"/>
  <c r="BJ207" i="33"/>
  <c r="BI207" i="33"/>
  <c r="BH207" i="33"/>
  <c r="BG207" i="33"/>
  <c r="BF207" i="33"/>
  <c r="BE207" i="33"/>
  <c r="BD207" i="33"/>
  <c r="BC207" i="33"/>
  <c r="BB207" i="33"/>
  <c r="BA207" i="33"/>
  <c r="AZ207" i="33"/>
  <c r="AY207" i="33"/>
  <c r="AX207" i="33"/>
  <c r="AW207" i="33"/>
  <c r="AV207" i="33"/>
  <c r="AU207" i="33"/>
  <c r="AT207" i="33"/>
  <c r="AS207" i="33"/>
  <c r="AR207" i="33"/>
  <c r="AQ207" i="33"/>
  <c r="AP207" i="33"/>
  <c r="AO207" i="33"/>
  <c r="AN207" i="33"/>
  <c r="AM207" i="33"/>
  <c r="AL207" i="33"/>
  <c r="AK207" i="33"/>
  <c r="AJ207" i="33"/>
  <c r="AI207" i="33"/>
  <c r="AH207" i="33"/>
  <c r="AG207" i="33"/>
  <c r="AF207" i="33"/>
  <c r="AE207" i="33"/>
  <c r="AD207" i="33"/>
  <c r="AC207" i="33"/>
  <c r="AB207" i="33"/>
  <c r="AA207" i="33"/>
  <c r="Z207" i="33"/>
  <c r="Y207" i="33"/>
  <c r="X207" i="33"/>
  <c r="W207" i="33"/>
  <c r="V207" i="33"/>
  <c r="U207" i="33"/>
  <c r="T207" i="33"/>
  <c r="S207" i="33"/>
  <c r="R207" i="33"/>
  <c r="Q207" i="33"/>
  <c r="P207" i="33"/>
  <c r="O207" i="33"/>
  <c r="N207" i="33"/>
  <c r="M207" i="33"/>
  <c r="L207" i="33"/>
  <c r="K207" i="33"/>
  <c r="J207" i="33"/>
  <c r="I207" i="33"/>
  <c r="H207" i="33"/>
  <c r="G207" i="33"/>
  <c r="F207" i="33"/>
  <c r="E207" i="33"/>
  <c r="D207" i="33"/>
  <c r="C207" i="33"/>
  <c r="B207" i="33"/>
  <c r="A207" i="33"/>
  <c r="IV206" i="33"/>
  <c r="IU206" i="33"/>
  <c r="IT206" i="33"/>
  <c r="IS206" i="33"/>
  <c r="IR206" i="33"/>
  <c r="IQ206" i="33"/>
  <c r="IP206" i="33"/>
  <c r="IO206" i="33"/>
  <c r="IN206" i="33"/>
  <c r="IM206" i="33"/>
  <c r="IL206" i="33"/>
  <c r="IK206" i="33"/>
  <c r="IJ206" i="33"/>
  <c r="II206" i="33"/>
  <c r="IH206" i="33"/>
  <c r="IG206" i="33"/>
  <c r="IF206" i="33"/>
  <c r="IE206" i="33"/>
  <c r="ID206" i="33"/>
  <c r="IC206" i="33"/>
  <c r="IB206" i="33"/>
  <c r="IA206" i="33"/>
  <c r="HZ206" i="33"/>
  <c r="HY206" i="33"/>
  <c r="HX206" i="33"/>
  <c r="HW206" i="33"/>
  <c r="HV206" i="33"/>
  <c r="HU206" i="33"/>
  <c r="HT206" i="33"/>
  <c r="HS206" i="33"/>
  <c r="HR206" i="33"/>
  <c r="HQ206" i="33"/>
  <c r="HP206" i="33"/>
  <c r="HO206" i="33"/>
  <c r="HN206" i="33"/>
  <c r="HM206" i="33"/>
  <c r="HL206" i="33"/>
  <c r="HK206" i="33"/>
  <c r="HJ206" i="33"/>
  <c r="HI206" i="33"/>
  <c r="HH206" i="33"/>
  <c r="HG206" i="33"/>
  <c r="HF206" i="33"/>
  <c r="HE206" i="33"/>
  <c r="HD206" i="33"/>
  <c r="HC206" i="33"/>
  <c r="HB206" i="33"/>
  <c r="HA206" i="33"/>
  <c r="GZ206" i="33"/>
  <c r="GY206" i="33"/>
  <c r="GX206" i="33"/>
  <c r="GW206" i="33"/>
  <c r="GV206" i="33"/>
  <c r="GU206" i="33"/>
  <c r="GT206" i="33"/>
  <c r="GS206" i="33"/>
  <c r="GR206" i="33"/>
  <c r="GQ206" i="33"/>
  <c r="GP206" i="33"/>
  <c r="GO206" i="33"/>
  <c r="GN206" i="33"/>
  <c r="GM206" i="33"/>
  <c r="GL206" i="33"/>
  <c r="GK206" i="33"/>
  <c r="GJ206" i="33"/>
  <c r="GI206" i="33"/>
  <c r="GH206" i="33"/>
  <c r="GG206" i="33"/>
  <c r="GF206" i="33"/>
  <c r="GE206" i="33"/>
  <c r="GD206" i="33"/>
  <c r="GC206" i="33"/>
  <c r="GB206" i="33"/>
  <c r="GA206" i="33"/>
  <c r="FZ206" i="33"/>
  <c r="FY206" i="33"/>
  <c r="FX206" i="33"/>
  <c r="FW206" i="33"/>
  <c r="FV206" i="33"/>
  <c r="FU206" i="33"/>
  <c r="FT206" i="33"/>
  <c r="FS206" i="33"/>
  <c r="FR206" i="33"/>
  <c r="FQ206" i="33"/>
  <c r="FP206" i="33"/>
  <c r="FO206" i="33"/>
  <c r="FN206" i="33"/>
  <c r="FM206" i="33"/>
  <c r="FL206" i="33"/>
  <c r="FK206" i="33"/>
  <c r="FJ206" i="33"/>
  <c r="FI206" i="33"/>
  <c r="FH206" i="33"/>
  <c r="FG206" i="33"/>
  <c r="FF206" i="33"/>
  <c r="FE206" i="33"/>
  <c r="FD206" i="33"/>
  <c r="FC206" i="33"/>
  <c r="FB206" i="33"/>
  <c r="FA206" i="33"/>
  <c r="EZ206" i="33"/>
  <c r="EY206" i="33"/>
  <c r="EX206" i="33"/>
  <c r="EW206" i="33"/>
  <c r="EV206" i="33"/>
  <c r="EU206" i="33"/>
  <c r="ET206" i="33"/>
  <c r="ES206" i="33"/>
  <c r="ER206" i="33"/>
  <c r="EQ206" i="33"/>
  <c r="EP206" i="33"/>
  <c r="EO206" i="33"/>
  <c r="EN206" i="33"/>
  <c r="EM206" i="33"/>
  <c r="EL206" i="33"/>
  <c r="EK206" i="33"/>
  <c r="EJ206" i="33"/>
  <c r="EI206" i="33"/>
  <c r="EH206" i="33"/>
  <c r="EG206" i="33"/>
  <c r="EF206" i="33"/>
  <c r="EE206" i="33"/>
  <c r="ED206" i="33"/>
  <c r="EC206" i="33"/>
  <c r="EB206" i="33"/>
  <c r="EA206" i="33"/>
  <c r="DZ206" i="33"/>
  <c r="DY206" i="33"/>
  <c r="DX206" i="33"/>
  <c r="DW206" i="33"/>
  <c r="DV206" i="33"/>
  <c r="DU206" i="33"/>
  <c r="DT206" i="33"/>
  <c r="DS206" i="33"/>
  <c r="DR206" i="33"/>
  <c r="DQ206" i="33"/>
  <c r="DP206" i="33"/>
  <c r="DO206" i="33"/>
  <c r="DN206" i="33"/>
  <c r="DM206" i="33"/>
  <c r="DL206" i="33"/>
  <c r="DK206" i="33"/>
  <c r="DJ206" i="33"/>
  <c r="DI206" i="33"/>
  <c r="DH206" i="33"/>
  <c r="DG206" i="33"/>
  <c r="DF206" i="33"/>
  <c r="DE206" i="33"/>
  <c r="DD206" i="33"/>
  <c r="DC206" i="33"/>
  <c r="DB206" i="33"/>
  <c r="DA206" i="33"/>
  <c r="CZ206" i="33"/>
  <c r="CY206" i="33"/>
  <c r="CX206" i="33"/>
  <c r="CW206" i="33"/>
  <c r="CV206" i="33"/>
  <c r="CU206" i="33"/>
  <c r="CT206" i="33"/>
  <c r="CS206" i="33"/>
  <c r="CR206" i="33"/>
  <c r="CQ206" i="33"/>
  <c r="CP206" i="33"/>
  <c r="CO206" i="33"/>
  <c r="CN206" i="33"/>
  <c r="CM206" i="33"/>
  <c r="CL206" i="33"/>
  <c r="CK206" i="33"/>
  <c r="CJ206" i="33"/>
  <c r="CI206" i="33"/>
  <c r="CH206" i="33"/>
  <c r="CG206" i="33"/>
  <c r="CF206" i="33"/>
  <c r="CE206" i="33"/>
  <c r="CD206" i="33"/>
  <c r="CC206" i="33"/>
  <c r="CB206" i="33"/>
  <c r="CA206" i="33"/>
  <c r="BZ206" i="33"/>
  <c r="BY206" i="33"/>
  <c r="BX206" i="33"/>
  <c r="BW206" i="33"/>
  <c r="BV206" i="33"/>
  <c r="BU206" i="33"/>
  <c r="BT206" i="33"/>
  <c r="BS206" i="33"/>
  <c r="BR206" i="33"/>
  <c r="BQ206" i="33"/>
  <c r="BP206" i="33"/>
  <c r="BO206" i="33"/>
  <c r="BN206" i="33"/>
  <c r="BM206" i="33"/>
  <c r="BL206" i="33"/>
  <c r="BK206" i="33"/>
  <c r="BJ206" i="33"/>
  <c r="BI206" i="33"/>
  <c r="BH206" i="33"/>
  <c r="BG206" i="33"/>
  <c r="BF206" i="33"/>
  <c r="BE206" i="33"/>
  <c r="BD206" i="33"/>
  <c r="BC206" i="33"/>
  <c r="BB206" i="33"/>
  <c r="BA206" i="33"/>
  <c r="AZ206" i="33"/>
  <c r="AY206" i="33"/>
  <c r="AX206" i="33"/>
  <c r="AW206" i="33"/>
  <c r="AV206" i="33"/>
  <c r="AU206" i="33"/>
  <c r="AT206" i="33"/>
  <c r="AS206" i="33"/>
  <c r="AR206" i="33"/>
  <c r="AQ206" i="33"/>
  <c r="AP206" i="33"/>
  <c r="AO206" i="33"/>
  <c r="AN206" i="33"/>
  <c r="AM206" i="33"/>
  <c r="AL206" i="33"/>
  <c r="AK206" i="33"/>
  <c r="AJ206" i="33"/>
  <c r="AI206" i="33"/>
  <c r="AH206" i="33"/>
  <c r="AG206" i="33"/>
  <c r="AF206" i="33"/>
  <c r="AE206" i="33"/>
  <c r="AD206" i="33"/>
  <c r="AC206" i="33"/>
  <c r="AB206" i="33"/>
  <c r="AA206" i="33"/>
  <c r="Z206" i="33"/>
  <c r="Y206" i="33"/>
  <c r="X206" i="33"/>
  <c r="W206" i="33"/>
  <c r="V206" i="33"/>
  <c r="U206" i="33"/>
  <c r="T206" i="33"/>
  <c r="S206" i="33"/>
  <c r="R206" i="33"/>
  <c r="Q206" i="33"/>
  <c r="P206" i="33"/>
  <c r="O206" i="33"/>
  <c r="N206" i="33"/>
  <c r="M206" i="33"/>
  <c r="L206" i="33"/>
  <c r="K206" i="33"/>
  <c r="J206" i="33"/>
  <c r="I206" i="33"/>
  <c r="H206" i="33"/>
  <c r="G206" i="33"/>
  <c r="F206" i="33"/>
  <c r="E206" i="33"/>
  <c r="D206" i="33"/>
  <c r="C206" i="33"/>
  <c r="B206" i="33"/>
  <c r="A206" i="33"/>
  <c r="IV205" i="33"/>
  <c r="IU205" i="33"/>
  <c r="IT205" i="33"/>
  <c r="IS205" i="33"/>
  <c r="IR205" i="33"/>
  <c r="IQ205" i="33"/>
  <c r="IP205" i="33"/>
  <c r="IO205" i="33"/>
  <c r="IN205" i="33"/>
  <c r="IM205" i="33"/>
  <c r="IL205" i="33"/>
  <c r="IK205" i="33"/>
  <c r="IJ205" i="33"/>
  <c r="II205" i="33"/>
  <c r="IH205" i="33"/>
  <c r="IG205" i="33"/>
  <c r="IF205" i="33"/>
  <c r="IE205" i="33"/>
  <c r="ID205" i="33"/>
  <c r="IC205" i="33"/>
  <c r="IB205" i="33"/>
  <c r="IA205" i="33"/>
  <c r="HZ205" i="33"/>
  <c r="HY205" i="33"/>
  <c r="HX205" i="33"/>
  <c r="HW205" i="33"/>
  <c r="HV205" i="33"/>
  <c r="HU205" i="33"/>
  <c r="HT205" i="33"/>
  <c r="HS205" i="33"/>
  <c r="HR205" i="33"/>
  <c r="HQ205" i="33"/>
  <c r="HP205" i="33"/>
  <c r="HO205" i="33"/>
  <c r="HN205" i="33"/>
  <c r="HM205" i="33"/>
  <c r="HL205" i="33"/>
  <c r="HK205" i="33"/>
  <c r="HJ205" i="33"/>
  <c r="HI205" i="33"/>
  <c r="HH205" i="33"/>
  <c r="HG205" i="33"/>
  <c r="HF205" i="33"/>
  <c r="HE205" i="33"/>
  <c r="HD205" i="33"/>
  <c r="HC205" i="33"/>
  <c r="HB205" i="33"/>
  <c r="HA205" i="33"/>
  <c r="GZ205" i="33"/>
  <c r="GY205" i="33"/>
  <c r="GX205" i="33"/>
  <c r="GW205" i="33"/>
  <c r="GV205" i="33"/>
  <c r="GU205" i="33"/>
  <c r="GT205" i="33"/>
  <c r="GS205" i="33"/>
  <c r="GR205" i="33"/>
  <c r="GQ205" i="33"/>
  <c r="GP205" i="33"/>
  <c r="GO205" i="33"/>
  <c r="GN205" i="33"/>
  <c r="GM205" i="33"/>
  <c r="GL205" i="33"/>
  <c r="GK205" i="33"/>
  <c r="GJ205" i="33"/>
  <c r="GI205" i="33"/>
  <c r="GH205" i="33"/>
  <c r="GG205" i="33"/>
  <c r="GF205" i="33"/>
  <c r="GE205" i="33"/>
  <c r="GD205" i="33"/>
  <c r="GC205" i="33"/>
  <c r="GB205" i="33"/>
  <c r="GA205" i="33"/>
  <c r="FZ205" i="33"/>
  <c r="FY205" i="33"/>
  <c r="FX205" i="33"/>
  <c r="FW205" i="33"/>
  <c r="FV205" i="33"/>
  <c r="FU205" i="33"/>
  <c r="FT205" i="33"/>
  <c r="FS205" i="33"/>
  <c r="FR205" i="33"/>
  <c r="FQ205" i="33"/>
  <c r="FP205" i="33"/>
  <c r="FO205" i="33"/>
  <c r="FN205" i="33"/>
  <c r="FM205" i="33"/>
  <c r="FL205" i="33"/>
  <c r="FK205" i="33"/>
  <c r="FJ205" i="33"/>
  <c r="FI205" i="33"/>
  <c r="FH205" i="33"/>
  <c r="FG205" i="33"/>
  <c r="FF205" i="33"/>
  <c r="FE205" i="33"/>
  <c r="FD205" i="33"/>
  <c r="FC205" i="33"/>
  <c r="FB205" i="33"/>
  <c r="FA205" i="33"/>
  <c r="EZ205" i="33"/>
  <c r="EY205" i="33"/>
  <c r="EX205" i="33"/>
  <c r="EW205" i="33"/>
  <c r="EV205" i="33"/>
  <c r="EU205" i="33"/>
  <c r="ET205" i="33"/>
  <c r="ES205" i="33"/>
  <c r="ER205" i="33"/>
  <c r="EQ205" i="33"/>
  <c r="EP205" i="33"/>
  <c r="EO205" i="33"/>
  <c r="EN205" i="33"/>
  <c r="EM205" i="33"/>
  <c r="EL205" i="33"/>
  <c r="EK205" i="33"/>
  <c r="EJ205" i="33"/>
  <c r="EI205" i="33"/>
  <c r="EH205" i="33"/>
  <c r="EG205" i="33"/>
  <c r="EF205" i="33"/>
  <c r="EE205" i="33"/>
  <c r="ED205" i="33"/>
  <c r="EC205" i="33"/>
  <c r="EB205" i="33"/>
  <c r="EA205" i="33"/>
  <c r="DZ205" i="33"/>
  <c r="DY205" i="33"/>
  <c r="DX205" i="33"/>
  <c r="DW205" i="33"/>
  <c r="DV205" i="33"/>
  <c r="DU205" i="33"/>
  <c r="DT205" i="33"/>
  <c r="DS205" i="33"/>
  <c r="DR205" i="33"/>
  <c r="DQ205" i="33"/>
  <c r="DP205" i="33"/>
  <c r="DO205" i="33"/>
  <c r="DN205" i="33"/>
  <c r="DM205" i="33"/>
  <c r="DL205" i="33"/>
  <c r="DK205" i="33"/>
  <c r="DJ205" i="33"/>
  <c r="DI205" i="33"/>
  <c r="DH205" i="33"/>
  <c r="DG205" i="33"/>
  <c r="DF205" i="33"/>
  <c r="DE205" i="33"/>
  <c r="DD205" i="33"/>
  <c r="DC205" i="33"/>
  <c r="DB205" i="33"/>
  <c r="DA205" i="33"/>
  <c r="CZ205" i="33"/>
  <c r="CY205" i="33"/>
  <c r="CX205" i="33"/>
  <c r="CW205" i="33"/>
  <c r="CV205" i="33"/>
  <c r="CU205" i="33"/>
  <c r="CT205" i="33"/>
  <c r="CS205" i="33"/>
  <c r="CR205" i="33"/>
  <c r="CQ205" i="33"/>
  <c r="CP205" i="33"/>
  <c r="CO205" i="33"/>
  <c r="CN205" i="33"/>
  <c r="CM205" i="33"/>
  <c r="CL205" i="33"/>
  <c r="CK205" i="33"/>
  <c r="CJ205" i="33"/>
  <c r="CI205" i="33"/>
  <c r="CH205" i="33"/>
  <c r="CG205" i="33"/>
  <c r="CF205" i="33"/>
  <c r="CE205" i="33"/>
  <c r="CD205" i="33"/>
  <c r="CC205" i="33"/>
  <c r="CB205" i="33"/>
  <c r="CA205" i="33"/>
  <c r="BZ205" i="33"/>
  <c r="BY205" i="33"/>
  <c r="BX205" i="33"/>
  <c r="BW205" i="33"/>
  <c r="BV205" i="33"/>
  <c r="BU205" i="33"/>
  <c r="BT205" i="33"/>
  <c r="BS205" i="33"/>
  <c r="BR205" i="33"/>
  <c r="BQ205" i="33"/>
  <c r="BP205" i="33"/>
  <c r="BO205" i="33"/>
  <c r="BN205" i="33"/>
  <c r="BM205" i="33"/>
  <c r="BL205" i="33"/>
  <c r="BK205" i="33"/>
  <c r="BJ205" i="33"/>
  <c r="BI205" i="33"/>
  <c r="BH205" i="33"/>
  <c r="BG205" i="33"/>
  <c r="BF205" i="33"/>
  <c r="BE205" i="33"/>
  <c r="BD205" i="33"/>
  <c r="BC205" i="33"/>
  <c r="BB205" i="33"/>
  <c r="BA205" i="33"/>
  <c r="AZ205" i="33"/>
  <c r="AY205" i="33"/>
  <c r="AX205" i="33"/>
  <c r="AW205" i="33"/>
  <c r="AV205" i="33"/>
  <c r="AU205" i="33"/>
  <c r="AT205" i="33"/>
  <c r="AS205" i="33"/>
  <c r="AR205" i="33"/>
  <c r="AQ205" i="33"/>
  <c r="AP205" i="33"/>
  <c r="AO205" i="33"/>
  <c r="AN205" i="33"/>
  <c r="AM205" i="33"/>
  <c r="AL205" i="33"/>
  <c r="AK205" i="33"/>
  <c r="AJ205" i="33"/>
  <c r="AI205" i="33"/>
  <c r="AH205" i="33"/>
  <c r="AG205" i="33"/>
  <c r="AF205" i="33"/>
  <c r="AE205" i="33"/>
  <c r="AD205" i="33"/>
  <c r="AC205" i="33"/>
  <c r="AB205" i="33"/>
  <c r="AA205" i="33"/>
  <c r="Z205" i="33"/>
  <c r="Y205" i="33"/>
  <c r="X205" i="33"/>
  <c r="W205" i="33"/>
  <c r="V205" i="33"/>
  <c r="U205" i="33"/>
  <c r="T205" i="33"/>
  <c r="S205" i="33"/>
  <c r="R205" i="33"/>
  <c r="Q205" i="33"/>
  <c r="P205" i="33"/>
  <c r="O205" i="33"/>
  <c r="N205" i="33"/>
  <c r="M205" i="33"/>
  <c r="L205" i="33"/>
  <c r="K205" i="33"/>
  <c r="J205" i="33"/>
  <c r="I205" i="33"/>
  <c r="H205" i="33"/>
  <c r="G205" i="33"/>
  <c r="F205" i="33"/>
  <c r="E205" i="33"/>
  <c r="D205" i="33"/>
  <c r="C205" i="33"/>
  <c r="B205" i="33"/>
  <c r="A205" i="33"/>
  <c r="IV204" i="33"/>
  <c r="IU204" i="33"/>
  <c r="IT204" i="33"/>
  <c r="IS204" i="33"/>
  <c r="IR204" i="33"/>
  <c r="IQ204" i="33"/>
  <c r="IP204" i="33"/>
  <c r="IO204" i="33"/>
  <c r="IN204" i="33"/>
  <c r="IM204" i="33"/>
  <c r="IL204" i="33"/>
  <c r="IK204" i="33"/>
  <c r="IJ204" i="33"/>
  <c r="II204" i="33"/>
  <c r="IH204" i="33"/>
  <c r="IG204" i="33"/>
  <c r="IF204" i="33"/>
  <c r="IE204" i="33"/>
  <c r="ID204" i="33"/>
  <c r="IC204" i="33"/>
  <c r="IB204" i="33"/>
  <c r="IA204" i="33"/>
  <c r="HZ204" i="33"/>
  <c r="HY204" i="33"/>
  <c r="HX204" i="33"/>
  <c r="HW204" i="33"/>
  <c r="HV204" i="33"/>
  <c r="HU204" i="33"/>
  <c r="HT204" i="33"/>
  <c r="HS204" i="33"/>
  <c r="HR204" i="33"/>
  <c r="HQ204" i="33"/>
  <c r="HP204" i="33"/>
  <c r="HO204" i="33"/>
  <c r="HN204" i="33"/>
  <c r="HM204" i="33"/>
  <c r="HL204" i="33"/>
  <c r="HK204" i="33"/>
  <c r="HJ204" i="33"/>
  <c r="HI204" i="33"/>
  <c r="HH204" i="33"/>
  <c r="HG204" i="33"/>
  <c r="HF204" i="33"/>
  <c r="HE204" i="33"/>
  <c r="HD204" i="33"/>
  <c r="HC204" i="33"/>
  <c r="HB204" i="33"/>
  <c r="HA204" i="33"/>
  <c r="GZ204" i="33"/>
  <c r="GY204" i="33"/>
  <c r="GX204" i="33"/>
  <c r="GW204" i="33"/>
  <c r="GV204" i="33"/>
  <c r="GU204" i="33"/>
  <c r="GT204" i="33"/>
  <c r="GS204" i="33"/>
  <c r="GR204" i="33"/>
  <c r="GQ204" i="33"/>
  <c r="GP204" i="33"/>
  <c r="GO204" i="33"/>
  <c r="GN204" i="33"/>
  <c r="GM204" i="33"/>
  <c r="GL204" i="33"/>
  <c r="GK204" i="33"/>
  <c r="GJ204" i="33"/>
  <c r="GI204" i="33"/>
  <c r="GH204" i="33"/>
  <c r="GG204" i="33"/>
  <c r="GF204" i="33"/>
  <c r="GE204" i="33"/>
  <c r="GD204" i="33"/>
  <c r="GC204" i="33"/>
  <c r="GB204" i="33"/>
  <c r="GA204" i="33"/>
  <c r="FZ204" i="33"/>
  <c r="FY204" i="33"/>
  <c r="FX204" i="33"/>
  <c r="FW204" i="33"/>
  <c r="FV204" i="33"/>
  <c r="FU204" i="33"/>
  <c r="FT204" i="33"/>
  <c r="FS204" i="33"/>
  <c r="FR204" i="33"/>
  <c r="FQ204" i="33"/>
  <c r="FP204" i="33"/>
  <c r="FO204" i="33"/>
  <c r="FN204" i="33"/>
  <c r="FM204" i="33"/>
  <c r="FL204" i="33"/>
  <c r="FK204" i="33"/>
  <c r="FJ204" i="33"/>
  <c r="FI204" i="33"/>
  <c r="FH204" i="33"/>
  <c r="FG204" i="33"/>
  <c r="FF204" i="33"/>
  <c r="FE204" i="33"/>
  <c r="FD204" i="33"/>
  <c r="FC204" i="33"/>
  <c r="FB204" i="33"/>
  <c r="FA204" i="33"/>
  <c r="EZ204" i="33"/>
  <c r="EY204" i="33"/>
  <c r="EX204" i="33"/>
  <c r="EW204" i="33"/>
  <c r="EV204" i="33"/>
  <c r="EU204" i="33"/>
  <c r="ET204" i="33"/>
  <c r="ES204" i="33"/>
  <c r="ER204" i="33"/>
  <c r="EQ204" i="33"/>
  <c r="EP204" i="33"/>
  <c r="EO204" i="33"/>
  <c r="EN204" i="33"/>
  <c r="EM204" i="33"/>
  <c r="EL204" i="33"/>
  <c r="EK204" i="33"/>
  <c r="EJ204" i="33"/>
  <c r="EI204" i="33"/>
  <c r="EH204" i="33"/>
  <c r="EG204" i="33"/>
  <c r="EF204" i="33"/>
  <c r="EE204" i="33"/>
  <c r="ED204" i="33"/>
  <c r="EC204" i="33"/>
  <c r="EB204" i="33"/>
  <c r="EA204" i="33"/>
  <c r="DZ204" i="33"/>
  <c r="DY204" i="33"/>
  <c r="DX204" i="33"/>
  <c r="DW204" i="33"/>
  <c r="DV204" i="33"/>
  <c r="DU204" i="33"/>
  <c r="DT204" i="33"/>
  <c r="DS204" i="33"/>
  <c r="DR204" i="33"/>
  <c r="DQ204" i="33"/>
  <c r="DP204" i="33"/>
  <c r="DO204" i="33"/>
  <c r="DN204" i="33"/>
  <c r="DM204" i="33"/>
  <c r="DL204" i="33"/>
  <c r="DK204" i="33"/>
  <c r="DJ204" i="33"/>
  <c r="DI204" i="33"/>
  <c r="DH204" i="33"/>
  <c r="DG204" i="33"/>
  <c r="DF204" i="33"/>
  <c r="DE204" i="33"/>
  <c r="DD204" i="33"/>
  <c r="DC204" i="33"/>
  <c r="DB204" i="33"/>
  <c r="DA204" i="33"/>
  <c r="CZ204" i="33"/>
  <c r="CY204" i="33"/>
  <c r="CX204" i="33"/>
  <c r="CW204" i="33"/>
  <c r="CV204" i="33"/>
  <c r="CU204" i="33"/>
  <c r="CT204" i="33"/>
  <c r="CS204" i="33"/>
  <c r="CR204" i="33"/>
  <c r="CQ204" i="33"/>
  <c r="CP204" i="33"/>
  <c r="CO204" i="33"/>
  <c r="CN204" i="33"/>
  <c r="CM204" i="33"/>
  <c r="CL204" i="33"/>
  <c r="CK204" i="33"/>
  <c r="CJ204" i="33"/>
  <c r="CI204" i="33"/>
  <c r="CH204" i="33"/>
  <c r="CG204" i="33"/>
  <c r="CF204" i="33"/>
  <c r="CE204" i="33"/>
  <c r="CD204" i="33"/>
  <c r="CC204" i="33"/>
  <c r="CB204" i="33"/>
  <c r="CA204" i="33"/>
  <c r="BZ204" i="33"/>
  <c r="BY204" i="33"/>
  <c r="BX204" i="33"/>
  <c r="BW204" i="33"/>
  <c r="BV204" i="33"/>
  <c r="BU204" i="33"/>
  <c r="BT204" i="33"/>
  <c r="BS204" i="33"/>
  <c r="BR204" i="33"/>
  <c r="BQ204" i="33"/>
  <c r="BP204" i="33"/>
  <c r="BO204" i="33"/>
  <c r="BN204" i="33"/>
  <c r="BM204" i="33"/>
  <c r="BL204" i="33"/>
  <c r="BK204" i="33"/>
  <c r="BJ204" i="33"/>
  <c r="BI204" i="33"/>
  <c r="BH204" i="33"/>
  <c r="BG204" i="33"/>
  <c r="BF204" i="33"/>
  <c r="BE204" i="33"/>
  <c r="BD204" i="33"/>
  <c r="BC204" i="33"/>
  <c r="BB204" i="33"/>
  <c r="BA204" i="33"/>
  <c r="AZ204" i="33"/>
  <c r="AY204" i="33"/>
  <c r="AX204" i="33"/>
  <c r="AW204" i="33"/>
  <c r="AV204" i="33"/>
  <c r="AU204" i="33"/>
  <c r="AT204" i="33"/>
  <c r="AS204" i="33"/>
  <c r="AR204" i="33"/>
  <c r="AQ204" i="33"/>
  <c r="AP204" i="33"/>
  <c r="AO204" i="33"/>
  <c r="AN204" i="33"/>
  <c r="AM204" i="33"/>
  <c r="AL204" i="33"/>
  <c r="AK204" i="33"/>
  <c r="AJ204" i="33"/>
  <c r="AI204" i="33"/>
  <c r="AH204" i="33"/>
  <c r="AG204" i="33"/>
  <c r="AF204" i="33"/>
  <c r="AE204" i="33"/>
  <c r="AD204" i="33"/>
  <c r="AC204" i="33"/>
  <c r="AB204" i="33"/>
  <c r="AA204" i="33"/>
  <c r="Z204" i="33"/>
  <c r="Y204" i="33"/>
  <c r="X204" i="33"/>
  <c r="W204" i="33"/>
  <c r="V204" i="33"/>
  <c r="U204" i="33"/>
  <c r="T204" i="33"/>
  <c r="S204" i="33"/>
  <c r="R204" i="33"/>
  <c r="Q204" i="33"/>
  <c r="P204" i="33"/>
  <c r="O204" i="33"/>
  <c r="N204" i="33"/>
  <c r="M204" i="33"/>
  <c r="L204" i="33"/>
  <c r="K204" i="33"/>
  <c r="J204" i="33"/>
  <c r="I204" i="33"/>
  <c r="H204" i="33"/>
  <c r="G204" i="33"/>
  <c r="F204" i="33"/>
  <c r="E204" i="33"/>
  <c r="D204" i="33"/>
  <c r="C204" i="33"/>
  <c r="B204" i="33"/>
  <c r="A204" i="33"/>
  <c r="IV203" i="33"/>
  <c r="IU203" i="33"/>
  <c r="IT203" i="33"/>
  <c r="IS203" i="33"/>
  <c r="IR203" i="33"/>
  <c r="IQ203" i="33"/>
  <c r="IP203" i="33"/>
  <c r="IO203" i="33"/>
  <c r="IN203" i="33"/>
  <c r="IM203" i="33"/>
  <c r="IL203" i="33"/>
  <c r="IK203" i="33"/>
  <c r="IJ203" i="33"/>
  <c r="II203" i="33"/>
  <c r="IH203" i="33"/>
  <c r="IG203" i="33"/>
  <c r="IF203" i="33"/>
  <c r="IE203" i="33"/>
  <c r="ID203" i="33"/>
  <c r="IC203" i="33"/>
  <c r="IB203" i="33"/>
  <c r="IA203" i="33"/>
  <c r="HZ203" i="33"/>
  <c r="HY203" i="33"/>
  <c r="HX203" i="33"/>
  <c r="HW203" i="33"/>
  <c r="HV203" i="33"/>
  <c r="HU203" i="33"/>
  <c r="HT203" i="33"/>
  <c r="HS203" i="33"/>
  <c r="HR203" i="33"/>
  <c r="HQ203" i="33"/>
  <c r="HP203" i="33"/>
  <c r="HO203" i="33"/>
  <c r="HN203" i="33"/>
  <c r="HM203" i="33"/>
  <c r="HL203" i="33"/>
  <c r="HK203" i="33"/>
  <c r="HJ203" i="33"/>
  <c r="HI203" i="33"/>
  <c r="HH203" i="33"/>
  <c r="HG203" i="33"/>
  <c r="HF203" i="33"/>
  <c r="HE203" i="33"/>
  <c r="HD203" i="33"/>
  <c r="HC203" i="33"/>
  <c r="HB203" i="33"/>
  <c r="HA203" i="33"/>
  <c r="GZ203" i="33"/>
  <c r="GY203" i="33"/>
  <c r="GX203" i="33"/>
  <c r="GW203" i="33"/>
  <c r="GV203" i="33"/>
  <c r="GU203" i="33"/>
  <c r="GT203" i="33"/>
  <c r="GS203" i="33"/>
  <c r="GR203" i="33"/>
  <c r="GQ203" i="33"/>
  <c r="GP203" i="33"/>
  <c r="GO203" i="33"/>
  <c r="GN203" i="33"/>
  <c r="GM203" i="33"/>
  <c r="GL203" i="33"/>
  <c r="GK203" i="33"/>
  <c r="GJ203" i="33"/>
  <c r="GI203" i="33"/>
  <c r="GH203" i="33"/>
  <c r="GG203" i="33"/>
  <c r="GF203" i="33"/>
  <c r="GE203" i="33"/>
  <c r="GD203" i="33"/>
  <c r="GC203" i="33"/>
  <c r="GB203" i="33"/>
  <c r="GA203" i="33"/>
  <c r="FZ203" i="33"/>
  <c r="FY203" i="33"/>
  <c r="FX203" i="33"/>
  <c r="FW203" i="33"/>
  <c r="FV203" i="33"/>
  <c r="FU203" i="33"/>
  <c r="FT203" i="33"/>
  <c r="FS203" i="33"/>
  <c r="FR203" i="33"/>
  <c r="FQ203" i="33"/>
  <c r="FP203" i="33"/>
  <c r="FO203" i="33"/>
  <c r="FN203" i="33"/>
  <c r="FM203" i="33"/>
  <c r="FL203" i="33"/>
  <c r="FK203" i="33"/>
  <c r="FJ203" i="33"/>
  <c r="FI203" i="33"/>
  <c r="FH203" i="33"/>
  <c r="FG203" i="33"/>
  <c r="FF203" i="33"/>
  <c r="FE203" i="33"/>
  <c r="FD203" i="33"/>
  <c r="FC203" i="33"/>
  <c r="FB203" i="33"/>
  <c r="FA203" i="33"/>
  <c r="EZ203" i="33"/>
  <c r="EY203" i="33"/>
  <c r="EX203" i="33"/>
  <c r="EW203" i="33"/>
  <c r="EV203" i="33"/>
  <c r="EU203" i="33"/>
  <c r="ET203" i="33"/>
  <c r="ES203" i="33"/>
  <c r="ER203" i="33"/>
  <c r="EQ203" i="33"/>
  <c r="EP203" i="33"/>
  <c r="EO203" i="33"/>
  <c r="EN203" i="33"/>
  <c r="EM203" i="33"/>
  <c r="EL203" i="33"/>
  <c r="EK203" i="33"/>
  <c r="EJ203" i="33"/>
  <c r="EI203" i="33"/>
  <c r="EH203" i="33"/>
  <c r="EG203" i="33"/>
  <c r="EF203" i="33"/>
  <c r="EE203" i="33"/>
  <c r="ED203" i="33"/>
  <c r="EC203" i="33"/>
  <c r="EB203" i="33"/>
  <c r="EA203" i="33"/>
  <c r="DZ203" i="33"/>
  <c r="DY203" i="33"/>
  <c r="DX203" i="33"/>
  <c r="DW203" i="33"/>
  <c r="DV203" i="33"/>
  <c r="DU203" i="33"/>
  <c r="DT203" i="33"/>
  <c r="DS203" i="33"/>
  <c r="DR203" i="33"/>
  <c r="DQ203" i="33"/>
  <c r="DP203" i="33"/>
  <c r="DO203" i="33"/>
  <c r="DN203" i="33"/>
  <c r="DM203" i="33"/>
  <c r="DL203" i="33"/>
  <c r="DK203" i="33"/>
  <c r="DJ203" i="33"/>
  <c r="DI203" i="33"/>
  <c r="DH203" i="33"/>
  <c r="DG203" i="33"/>
  <c r="DF203" i="33"/>
  <c r="DE203" i="33"/>
  <c r="DD203" i="33"/>
  <c r="DC203" i="33"/>
  <c r="DB203" i="33"/>
  <c r="DA203" i="33"/>
  <c r="CZ203" i="33"/>
  <c r="CY203" i="33"/>
  <c r="CX203" i="33"/>
  <c r="CW203" i="33"/>
  <c r="CV203" i="33"/>
  <c r="CU203" i="33"/>
  <c r="CT203" i="33"/>
  <c r="CS203" i="33"/>
  <c r="CR203" i="33"/>
  <c r="CQ203" i="33"/>
  <c r="CP203" i="33"/>
  <c r="CO203" i="33"/>
  <c r="CN203" i="33"/>
  <c r="CM203" i="33"/>
  <c r="CL203" i="33"/>
  <c r="CK203" i="33"/>
  <c r="CJ203" i="33"/>
  <c r="CI203" i="33"/>
  <c r="CH203" i="33"/>
  <c r="CG203" i="33"/>
  <c r="CF203" i="33"/>
  <c r="CE203" i="33"/>
  <c r="CD203" i="33"/>
  <c r="CC203" i="33"/>
  <c r="CB203" i="33"/>
  <c r="CA203" i="33"/>
  <c r="BZ203" i="33"/>
  <c r="BY203" i="33"/>
  <c r="BX203" i="33"/>
  <c r="BW203" i="33"/>
  <c r="BV203" i="33"/>
  <c r="BU203" i="33"/>
  <c r="BT203" i="33"/>
  <c r="BS203" i="33"/>
  <c r="BR203" i="33"/>
  <c r="BQ203" i="33"/>
  <c r="BP203" i="33"/>
  <c r="BO203" i="33"/>
  <c r="BN203" i="33"/>
  <c r="BM203" i="33"/>
  <c r="BL203" i="33"/>
  <c r="BK203" i="33"/>
  <c r="BJ203" i="33"/>
  <c r="BI203" i="33"/>
  <c r="BH203" i="33"/>
  <c r="BG203" i="33"/>
  <c r="BF203" i="33"/>
  <c r="BE203" i="33"/>
  <c r="BD203" i="33"/>
  <c r="BC203" i="33"/>
  <c r="BB203" i="33"/>
  <c r="BA203" i="33"/>
  <c r="AZ203" i="33"/>
  <c r="AY203" i="33"/>
  <c r="AX203" i="33"/>
  <c r="AW203" i="33"/>
  <c r="AV203" i="33"/>
  <c r="AU203" i="33"/>
  <c r="AT203" i="33"/>
  <c r="AS203" i="33"/>
  <c r="AR203" i="33"/>
  <c r="AQ203" i="33"/>
  <c r="AP203" i="33"/>
  <c r="AO203" i="33"/>
  <c r="AN203" i="33"/>
  <c r="AM203" i="33"/>
  <c r="AL203" i="33"/>
  <c r="AK203" i="33"/>
  <c r="AJ203" i="33"/>
  <c r="AI203" i="33"/>
  <c r="AH203" i="33"/>
  <c r="AG203" i="33"/>
  <c r="AF203" i="33"/>
  <c r="AE203" i="33"/>
  <c r="AD203" i="33"/>
  <c r="AC203" i="33"/>
  <c r="AB203" i="33"/>
  <c r="AA203" i="33"/>
  <c r="Z203" i="33"/>
  <c r="Y203" i="33"/>
  <c r="X203" i="33"/>
  <c r="W203" i="33"/>
  <c r="V203" i="33"/>
  <c r="U203" i="33"/>
  <c r="T203" i="33"/>
  <c r="S203" i="33"/>
  <c r="R203" i="33"/>
  <c r="Q203" i="33"/>
  <c r="P203" i="33"/>
  <c r="O203" i="33"/>
  <c r="N203" i="33"/>
  <c r="M203" i="33"/>
  <c r="L203" i="33"/>
  <c r="K203" i="33"/>
  <c r="J203" i="33"/>
  <c r="I203" i="33"/>
  <c r="H203" i="33"/>
  <c r="G203" i="33"/>
  <c r="F203" i="33"/>
  <c r="E203" i="33"/>
  <c r="D203" i="33"/>
  <c r="C203" i="33"/>
  <c r="B203" i="33"/>
  <c r="A203" i="33"/>
  <c r="IV202" i="33"/>
  <c r="IU202" i="33"/>
  <c r="IT202" i="33"/>
  <c r="IS202" i="33"/>
  <c r="IR202" i="33"/>
  <c r="IQ202" i="33"/>
  <c r="IP202" i="33"/>
  <c r="IO202" i="33"/>
  <c r="IN202" i="33"/>
  <c r="IM202" i="33"/>
  <c r="IL202" i="33"/>
  <c r="IK202" i="33"/>
  <c r="IJ202" i="33"/>
  <c r="II202" i="33"/>
  <c r="IH202" i="33"/>
  <c r="IG202" i="33"/>
  <c r="IF202" i="33"/>
  <c r="IE202" i="33"/>
  <c r="ID202" i="33"/>
  <c r="IC202" i="33"/>
  <c r="IB202" i="33"/>
  <c r="IA202" i="33"/>
  <c r="HZ202" i="33"/>
  <c r="HY202" i="33"/>
  <c r="HX202" i="33"/>
  <c r="HW202" i="33"/>
  <c r="HV202" i="33"/>
  <c r="HU202" i="33"/>
  <c r="HT202" i="33"/>
  <c r="HS202" i="33"/>
  <c r="HR202" i="33"/>
  <c r="HQ202" i="33"/>
  <c r="HP202" i="33"/>
  <c r="HO202" i="33"/>
  <c r="HN202" i="33"/>
  <c r="HM202" i="33"/>
  <c r="HL202" i="33"/>
  <c r="HK202" i="33"/>
  <c r="HJ202" i="33"/>
  <c r="HI202" i="33"/>
  <c r="HH202" i="33"/>
  <c r="HG202" i="33"/>
  <c r="HF202" i="33"/>
  <c r="HE202" i="33"/>
  <c r="HD202" i="33"/>
  <c r="HC202" i="33"/>
  <c r="HB202" i="33"/>
  <c r="HA202" i="33"/>
  <c r="GZ202" i="33"/>
  <c r="GY202" i="33"/>
  <c r="GX202" i="33"/>
  <c r="GW202" i="33"/>
  <c r="GV202" i="33"/>
  <c r="GU202" i="33"/>
  <c r="GT202" i="33"/>
  <c r="GS202" i="33"/>
  <c r="GR202" i="33"/>
  <c r="GQ202" i="33"/>
  <c r="GP202" i="33"/>
  <c r="GO202" i="33"/>
  <c r="GN202" i="33"/>
  <c r="GM202" i="33"/>
  <c r="GL202" i="33"/>
  <c r="GK202" i="33"/>
  <c r="GJ202" i="33"/>
  <c r="GI202" i="33"/>
  <c r="GH202" i="33"/>
  <c r="GG202" i="33"/>
  <c r="GF202" i="33"/>
  <c r="GE202" i="33"/>
  <c r="GD202" i="33"/>
  <c r="GC202" i="33"/>
  <c r="GB202" i="33"/>
  <c r="GA202" i="33"/>
  <c r="FZ202" i="33"/>
  <c r="FY202" i="33"/>
  <c r="FX202" i="33"/>
  <c r="FW202" i="33"/>
  <c r="FV202" i="33"/>
  <c r="FU202" i="33"/>
  <c r="FT202" i="33"/>
  <c r="FS202" i="33"/>
  <c r="FR202" i="33"/>
  <c r="FQ202" i="33"/>
  <c r="FP202" i="33"/>
  <c r="FO202" i="33"/>
  <c r="FN202" i="33"/>
  <c r="FM202" i="33"/>
  <c r="FL202" i="33"/>
  <c r="FK202" i="33"/>
  <c r="FJ202" i="33"/>
  <c r="FI202" i="33"/>
  <c r="FH202" i="33"/>
  <c r="FG202" i="33"/>
  <c r="FF202" i="33"/>
  <c r="FE202" i="33"/>
  <c r="FD202" i="33"/>
  <c r="FC202" i="33"/>
  <c r="FB202" i="33"/>
  <c r="FA202" i="33"/>
  <c r="EZ202" i="33"/>
  <c r="EY202" i="33"/>
  <c r="EX202" i="33"/>
  <c r="EW202" i="33"/>
  <c r="EV202" i="33"/>
  <c r="EU202" i="33"/>
  <c r="ET202" i="33"/>
  <c r="ES202" i="33"/>
  <c r="ER202" i="33"/>
  <c r="EQ202" i="33"/>
  <c r="EP202" i="33"/>
  <c r="EO202" i="33"/>
  <c r="EN202" i="33"/>
  <c r="EM202" i="33"/>
  <c r="EL202" i="33"/>
  <c r="EK202" i="33"/>
  <c r="EJ202" i="33"/>
  <c r="EI202" i="33"/>
  <c r="EH202" i="33"/>
  <c r="EG202" i="33"/>
  <c r="EF202" i="33"/>
  <c r="EE202" i="33"/>
  <c r="ED202" i="33"/>
  <c r="EC202" i="33"/>
  <c r="EB202" i="33"/>
  <c r="EA202" i="33"/>
  <c r="DZ202" i="33"/>
  <c r="DY202" i="33"/>
  <c r="DX202" i="33"/>
  <c r="DW202" i="33"/>
  <c r="DV202" i="33"/>
  <c r="DU202" i="33"/>
  <c r="DT202" i="33"/>
  <c r="DS202" i="33"/>
  <c r="DR202" i="33"/>
  <c r="DQ202" i="33"/>
  <c r="DP202" i="33"/>
  <c r="DO202" i="33"/>
  <c r="DN202" i="33"/>
  <c r="DM202" i="33"/>
  <c r="DL202" i="33"/>
  <c r="DK202" i="33"/>
  <c r="DJ202" i="33"/>
  <c r="DI202" i="33"/>
  <c r="DH202" i="33"/>
  <c r="DG202" i="33"/>
  <c r="DF202" i="33"/>
  <c r="DE202" i="33"/>
  <c r="DD202" i="33"/>
  <c r="DC202" i="33"/>
  <c r="DB202" i="33"/>
  <c r="DA202" i="33"/>
  <c r="CZ202" i="33"/>
  <c r="CY202" i="33"/>
  <c r="CX202" i="33"/>
  <c r="CW202" i="33"/>
  <c r="CV202" i="33"/>
  <c r="CU202" i="33"/>
  <c r="CT202" i="33"/>
  <c r="CS202" i="33"/>
  <c r="CR202" i="33"/>
  <c r="CQ202" i="33"/>
  <c r="CP202" i="33"/>
  <c r="CO202" i="33"/>
  <c r="CN202" i="33"/>
  <c r="CM202" i="33"/>
  <c r="CL202" i="33"/>
  <c r="CK202" i="33"/>
  <c r="CJ202" i="33"/>
  <c r="CI202" i="33"/>
  <c r="CH202" i="33"/>
  <c r="CG202" i="33"/>
  <c r="CF202" i="33"/>
  <c r="CE202" i="33"/>
  <c r="CD202" i="33"/>
  <c r="CC202" i="33"/>
  <c r="CB202" i="33"/>
  <c r="CA202" i="33"/>
  <c r="BZ202" i="33"/>
  <c r="BY202" i="33"/>
  <c r="BX202" i="33"/>
  <c r="BW202" i="33"/>
  <c r="BV202" i="33"/>
  <c r="BU202" i="33"/>
  <c r="BT202" i="33"/>
  <c r="BS202" i="33"/>
  <c r="BR202" i="33"/>
  <c r="BQ202" i="33"/>
  <c r="BP202" i="33"/>
  <c r="BO202" i="33"/>
  <c r="BN202" i="33"/>
  <c r="BM202" i="33"/>
  <c r="BL202" i="33"/>
  <c r="BK202" i="33"/>
  <c r="BJ202" i="33"/>
  <c r="BI202" i="33"/>
  <c r="BH202" i="33"/>
  <c r="BG202" i="33"/>
  <c r="BF202" i="33"/>
  <c r="BE202" i="33"/>
  <c r="BD202" i="33"/>
  <c r="BC202" i="33"/>
  <c r="BB202" i="33"/>
  <c r="BA202" i="33"/>
  <c r="AZ202" i="33"/>
  <c r="AY202" i="33"/>
  <c r="AX202" i="33"/>
  <c r="AW202" i="33"/>
  <c r="AV202" i="33"/>
  <c r="AU202" i="33"/>
  <c r="AT202" i="33"/>
  <c r="AS202" i="33"/>
  <c r="AR202" i="33"/>
  <c r="AQ202" i="33"/>
  <c r="AP202" i="33"/>
  <c r="AO202" i="33"/>
  <c r="AN202" i="33"/>
  <c r="AM202" i="33"/>
  <c r="AL202" i="33"/>
  <c r="AK202" i="33"/>
  <c r="AJ202" i="33"/>
  <c r="AI202" i="33"/>
  <c r="AH202" i="33"/>
  <c r="AG202" i="33"/>
  <c r="AF202" i="33"/>
  <c r="AE202" i="33"/>
  <c r="AD202" i="33"/>
  <c r="AC202" i="33"/>
  <c r="AB202" i="33"/>
  <c r="AA202" i="33"/>
  <c r="Z202" i="33"/>
  <c r="Y202" i="33"/>
  <c r="X202" i="33"/>
  <c r="W202" i="33"/>
  <c r="V202" i="33"/>
  <c r="U202" i="33"/>
  <c r="T202" i="33"/>
  <c r="S202" i="33"/>
  <c r="R202" i="33"/>
  <c r="Q202" i="33"/>
  <c r="P202" i="33"/>
  <c r="O202" i="33"/>
  <c r="N202" i="33"/>
  <c r="M202" i="33"/>
  <c r="L202" i="33"/>
  <c r="K202" i="33"/>
  <c r="J202" i="33"/>
  <c r="I202" i="33"/>
  <c r="H202" i="33"/>
  <c r="G202" i="33"/>
  <c r="F202" i="33"/>
  <c r="E202" i="33"/>
  <c r="D202" i="33"/>
  <c r="C202" i="33"/>
  <c r="B202" i="33"/>
  <c r="A202" i="33"/>
  <c r="IV201" i="33"/>
  <c r="IU201" i="33"/>
  <c r="IT201" i="33"/>
  <c r="IS201" i="33"/>
  <c r="IR201" i="33"/>
  <c r="IQ201" i="33"/>
  <c r="IP201" i="33"/>
  <c r="IO201" i="33"/>
  <c r="IN201" i="33"/>
  <c r="IM201" i="33"/>
  <c r="IL201" i="33"/>
  <c r="IK201" i="33"/>
  <c r="IJ201" i="33"/>
  <c r="II201" i="33"/>
  <c r="IH201" i="33"/>
  <c r="IG201" i="33"/>
  <c r="IF201" i="33"/>
  <c r="IE201" i="33"/>
  <c r="ID201" i="33"/>
  <c r="IC201" i="33"/>
  <c r="IB201" i="33"/>
  <c r="IA201" i="33"/>
  <c r="HZ201" i="33"/>
  <c r="HY201" i="33"/>
  <c r="HX201" i="33"/>
  <c r="HW201" i="33"/>
  <c r="HV201" i="33"/>
  <c r="HU201" i="33"/>
  <c r="HT201" i="33"/>
  <c r="HS201" i="33"/>
  <c r="HR201" i="33"/>
  <c r="HQ201" i="33"/>
  <c r="HP201" i="33"/>
  <c r="HO201" i="33"/>
  <c r="HN201" i="33"/>
  <c r="HM201" i="33"/>
  <c r="HL201" i="33"/>
  <c r="HK201" i="33"/>
  <c r="HJ201" i="33"/>
  <c r="HI201" i="33"/>
  <c r="HH201" i="33"/>
  <c r="HG201" i="33"/>
  <c r="HF201" i="33"/>
  <c r="HE201" i="33"/>
  <c r="HD201" i="33"/>
  <c r="HC201" i="33"/>
  <c r="HB201" i="33"/>
  <c r="HA201" i="33"/>
  <c r="GZ201" i="33"/>
  <c r="GY201" i="33"/>
  <c r="GX201" i="33"/>
  <c r="GW201" i="33"/>
  <c r="GV201" i="33"/>
  <c r="GU201" i="33"/>
  <c r="GT201" i="33"/>
  <c r="GS201" i="33"/>
  <c r="GR201" i="33"/>
  <c r="GQ201" i="33"/>
  <c r="GP201" i="33"/>
  <c r="GO201" i="33"/>
  <c r="GN201" i="33"/>
  <c r="GM201" i="33"/>
  <c r="GL201" i="33"/>
  <c r="GK201" i="33"/>
  <c r="GJ201" i="33"/>
  <c r="GI201" i="33"/>
  <c r="GH201" i="33"/>
  <c r="GG201" i="33"/>
  <c r="GF201" i="33"/>
  <c r="GE201" i="33"/>
  <c r="GD201" i="33"/>
  <c r="GC201" i="33"/>
  <c r="GB201" i="33"/>
  <c r="GA201" i="33"/>
  <c r="FZ201" i="33"/>
  <c r="FY201" i="33"/>
  <c r="FX201" i="33"/>
  <c r="FW201" i="33"/>
  <c r="FV201" i="33"/>
  <c r="FU201" i="33"/>
  <c r="FT201" i="33"/>
  <c r="FS201" i="33"/>
  <c r="FR201" i="33"/>
  <c r="FQ201" i="33"/>
  <c r="FP201" i="33"/>
  <c r="FO201" i="33"/>
  <c r="FN201" i="33"/>
  <c r="FM201" i="33"/>
  <c r="FL201" i="33"/>
  <c r="FK201" i="33"/>
  <c r="FJ201" i="33"/>
  <c r="FI201" i="33"/>
  <c r="FH201" i="33"/>
  <c r="FG201" i="33"/>
  <c r="FF201" i="33"/>
  <c r="FE201" i="33"/>
  <c r="FD201" i="33"/>
  <c r="FC201" i="33"/>
  <c r="FB201" i="33"/>
  <c r="FA201" i="33"/>
  <c r="EZ201" i="33"/>
  <c r="EY201" i="33"/>
  <c r="EX201" i="33"/>
  <c r="EW201" i="33"/>
  <c r="EV201" i="33"/>
  <c r="EU201" i="33"/>
  <c r="ET201" i="33"/>
  <c r="ES201" i="33"/>
  <c r="ER201" i="33"/>
  <c r="EQ201" i="33"/>
  <c r="EP201" i="33"/>
  <c r="EO201" i="33"/>
  <c r="EN201" i="33"/>
  <c r="EM201" i="33"/>
  <c r="EL201" i="33"/>
  <c r="EK201" i="33"/>
  <c r="EJ201" i="33"/>
  <c r="EI201" i="33"/>
  <c r="EH201" i="33"/>
  <c r="EG201" i="33"/>
  <c r="EF201" i="33"/>
  <c r="EE201" i="33"/>
  <c r="ED201" i="33"/>
  <c r="EC201" i="33"/>
  <c r="EB201" i="33"/>
  <c r="EA201" i="33"/>
  <c r="DZ201" i="33"/>
  <c r="DY201" i="33"/>
  <c r="DX201" i="33"/>
  <c r="DW201" i="33"/>
  <c r="DV201" i="33"/>
  <c r="DU201" i="33"/>
  <c r="DT201" i="33"/>
  <c r="DS201" i="33"/>
  <c r="DR201" i="33"/>
  <c r="DQ201" i="33"/>
  <c r="DP201" i="33"/>
  <c r="DO201" i="33"/>
  <c r="DN201" i="33"/>
  <c r="DM201" i="33"/>
  <c r="DL201" i="33"/>
  <c r="DK201" i="33"/>
  <c r="DJ201" i="33"/>
  <c r="DI201" i="33"/>
  <c r="DH201" i="33"/>
  <c r="DG201" i="33"/>
  <c r="DF201" i="33"/>
  <c r="DE201" i="33"/>
  <c r="DD201" i="33"/>
  <c r="DC201" i="33"/>
  <c r="DB201" i="33"/>
  <c r="DA201" i="33"/>
  <c r="CZ201" i="33"/>
  <c r="CY201" i="33"/>
  <c r="CX201" i="33"/>
  <c r="CW201" i="33"/>
  <c r="CV201" i="33"/>
  <c r="CU201" i="33"/>
  <c r="CT201" i="33"/>
  <c r="CS201" i="33"/>
  <c r="CR201" i="33"/>
  <c r="CQ201" i="33"/>
  <c r="CP201" i="33"/>
  <c r="CO201" i="33"/>
  <c r="CN201" i="33"/>
  <c r="CM201" i="33"/>
  <c r="CL201" i="33"/>
  <c r="CK201" i="33"/>
  <c r="CJ201" i="33"/>
  <c r="CI201" i="33"/>
  <c r="CH201" i="33"/>
  <c r="CG201" i="33"/>
  <c r="CF201" i="33"/>
  <c r="CE201" i="33"/>
  <c r="CD201" i="33"/>
  <c r="CC201" i="33"/>
  <c r="CB201" i="33"/>
  <c r="CA201" i="33"/>
  <c r="BZ201" i="33"/>
  <c r="BY201" i="33"/>
  <c r="BX201" i="33"/>
  <c r="BW201" i="33"/>
  <c r="BV201" i="33"/>
  <c r="BU201" i="33"/>
  <c r="BT201" i="33"/>
  <c r="BS201" i="33"/>
  <c r="BR201" i="33"/>
  <c r="BQ201" i="33"/>
  <c r="BP201" i="33"/>
  <c r="BO201" i="33"/>
  <c r="BN201" i="33"/>
  <c r="BM201" i="33"/>
  <c r="BL201" i="33"/>
  <c r="BK201" i="33"/>
  <c r="BJ201" i="33"/>
  <c r="BI201" i="33"/>
  <c r="BH201" i="33"/>
  <c r="BG201" i="33"/>
  <c r="BF201" i="33"/>
  <c r="BE201" i="33"/>
  <c r="BD201" i="33"/>
  <c r="BC201" i="33"/>
  <c r="BB201" i="33"/>
  <c r="BA201" i="33"/>
  <c r="AZ201" i="33"/>
  <c r="AY201" i="33"/>
  <c r="AX201" i="33"/>
  <c r="AW201" i="33"/>
  <c r="AV201" i="33"/>
  <c r="AU201" i="33"/>
  <c r="AT201" i="33"/>
  <c r="AS201" i="33"/>
  <c r="AR201" i="33"/>
  <c r="AQ201" i="33"/>
  <c r="AP201" i="33"/>
  <c r="AO201" i="33"/>
  <c r="AN201" i="33"/>
  <c r="AM201" i="33"/>
  <c r="AL201" i="33"/>
  <c r="AK201" i="33"/>
  <c r="AJ201" i="33"/>
  <c r="AI201" i="33"/>
  <c r="AH201" i="33"/>
  <c r="AG201" i="33"/>
  <c r="AF201" i="33"/>
  <c r="AE201" i="33"/>
  <c r="AD201" i="33"/>
  <c r="AC201" i="33"/>
  <c r="AB201" i="33"/>
  <c r="AA201" i="33"/>
  <c r="Z201" i="33"/>
  <c r="Y201" i="33"/>
  <c r="X201" i="33"/>
  <c r="W201" i="33"/>
  <c r="V201" i="33"/>
  <c r="U201" i="33"/>
  <c r="T201" i="33"/>
  <c r="S201" i="33"/>
  <c r="R201" i="33"/>
  <c r="Q201" i="33"/>
  <c r="P201" i="33"/>
  <c r="O201" i="33"/>
  <c r="N201" i="33"/>
  <c r="M201" i="33"/>
  <c r="L201" i="33"/>
  <c r="K201" i="33"/>
  <c r="J201" i="33"/>
  <c r="I201" i="33"/>
  <c r="H201" i="33"/>
  <c r="G201" i="33"/>
  <c r="F201" i="33"/>
  <c r="E201" i="33"/>
  <c r="D201" i="33"/>
  <c r="C201" i="33"/>
  <c r="B201" i="33"/>
  <c r="A201" i="33"/>
  <c r="IV200" i="33"/>
  <c r="IU200" i="33"/>
  <c r="IT200" i="33"/>
  <c r="IS200" i="33"/>
  <c r="IR200" i="33"/>
  <c r="IQ200" i="33"/>
  <c r="IP200" i="33"/>
  <c r="IO200" i="33"/>
  <c r="IN200" i="33"/>
  <c r="IM200" i="33"/>
  <c r="IL200" i="33"/>
  <c r="IK200" i="33"/>
  <c r="IJ200" i="33"/>
  <c r="II200" i="33"/>
  <c r="IH200" i="33"/>
  <c r="IG200" i="33"/>
  <c r="IF200" i="33"/>
  <c r="IE200" i="33"/>
  <c r="ID200" i="33"/>
  <c r="IC200" i="33"/>
  <c r="IB200" i="33"/>
  <c r="IA200" i="33"/>
  <c r="HZ200" i="33"/>
  <c r="HY200" i="33"/>
  <c r="HX200" i="33"/>
  <c r="HW200" i="33"/>
  <c r="HV200" i="33"/>
  <c r="HU200" i="33"/>
  <c r="HT200" i="33"/>
  <c r="HS200" i="33"/>
  <c r="HR200" i="33"/>
  <c r="HQ200" i="33"/>
  <c r="HP200" i="33"/>
  <c r="HO200" i="33"/>
  <c r="HN200" i="33"/>
  <c r="HM200" i="33"/>
  <c r="HL200" i="33"/>
  <c r="HK200" i="33"/>
  <c r="HJ200" i="33"/>
  <c r="HI200" i="33"/>
  <c r="HH200" i="33"/>
  <c r="HG200" i="33"/>
  <c r="HF200" i="33"/>
  <c r="HE200" i="33"/>
  <c r="HD200" i="33"/>
  <c r="HC200" i="33"/>
  <c r="HB200" i="33"/>
  <c r="HA200" i="33"/>
  <c r="GZ200" i="33"/>
  <c r="GY200" i="33"/>
  <c r="GX200" i="33"/>
  <c r="GW200" i="33"/>
  <c r="GV200" i="33"/>
  <c r="GU200" i="33"/>
  <c r="GT200" i="33"/>
  <c r="GS200" i="33"/>
  <c r="GR200" i="33"/>
  <c r="GQ200" i="33"/>
  <c r="GP200" i="33"/>
  <c r="GO200" i="33"/>
  <c r="GN200" i="33"/>
  <c r="GM200" i="33"/>
  <c r="GL200" i="33"/>
  <c r="GK200" i="33"/>
  <c r="GJ200" i="33"/>
  <c r="GI200" i="33"/>
  <c r="GH200" i="33"/>
  <c r="GG200" i="33"/>
  <c r="GF200" i="33"/>
  <c r="GE200" i="33"/>
  <c r="GD200" i="33"/>
  <c r="GC200" i="33"/>
  <c r="GB200" i="33"/>
  <c r="GA200" i="33"/>
  <c r="FZ200" i="33"/>
  <c r="FY200" i="33"/>
  <c r="FX200" i="33"/>
  <c r="FW200" i="33"/>
  <c r="FV200" i="33"/>
  <c r="FU200" i="33"/>
  <c r="FT200" i="33"/>
  <c r="FS200" i="33"/>
  <c r="FR200" i="33"/>
  <c r="FQ200" i="33"/>
  <c r="FP200" i="33"/>
  <c r="FO200" i="33"/>
  <c r="FN200" i="33"/>
  <c r="FM200" i="33"/>
  <c r="FL200" i="33"/>
  <c r="FK200" i="33"/>
  <c r="FJ200" i="33"/>
  <c r="FI200" i="33"/>
  <c r="FH200" i="33"/>
  <c r="FG200" i="33"/>
  <c r="FF200" i="33"/>
  <c r="FE200" i="33"/>
  <c r="FD200" i="33"/>
  <c r="FC200" i="33"/>
  <c r="FB200" i="33"/>
  <c r="FA200" i="33"/>
  <c r="EZ200" i="33"/>
  <c r="EY200" i="33"/>
  <c r="EX200" i="33"/>
  <c r="EW200" i="33"/>
  <c r="EV200" i="33"/>
  <c r="EU200" i="33"/>
  <c r="ET200" i="33"/>
  <c r="ES200" i="33"/>
  <c r="ER200" i="33"/>
  <c r="EQ200" i="33"/>
  <c r="EP200" i="33"/>
  <c r="EO200" i="33"/>
  <c r="EN200" i="33"/>
  <c r="EM200" i="33"/>
  <c r="EL200" i="33"/>
  <c r="EK200" i="33"/>
  <c r="EJ200" i="33"/>
  <c r="EI200" i="33"/>
  <c r="EH200" i="33"/>
  <c r="EG200" i="33"/>
  <c r="EF200" i="33"/>
  <c r="EE200" i="33"/>
  <c r="ED200" i="33"/>
  <c r="EC200" i="33"/>
  <c r="EB200" i="33"/>
  <c r="EA200" i="33"/>
  <c r="DZ200" i="33"/>
  <c r="DY200" i="33"/>
  <c r="DX200" i="33"/>
  <c r="DW200" i="33"/>
  <c r="DV200" i="33"/>
  <c r="DU200" i="33"/>
  <c r="DT200" i="33"/>
  <c r="DS200" i="33"/>
  <c r="DR200" i="33"/>
  <c r="DQ200" i="33"/>
  <c r="DP200" i="33"/>
  <c r="DO200" i="33"/>
  <c r="DN200" i="33"/>
  <c r="DM200" i="33"/>
  <c r="DL200" i="33"/>
  <c r="DK200" i="33"/>
  <c r="DJ200" i="33"/>
  <c r="DI200" i="33"/>
  <c r="DH200" i="33"/>
  <c r="DG200" i="33"/>
  <c r="DF200" i="33"/>
  <c r="DE200" i="33"/>
  <c r="DD200" i="33"/>
  <c r="DC200" i="33"/>
  <c r="DB200" i="33"/>
  <c r="DA200" i="33"/>
  <c r="CZ200" i="33"/>
  <c r="CY200" i="33"/>
  <c r="CX200" i="33"/>
  <c r="CW200" i="33"/>
  <c r="CV200" i="33"/>
  <c r="CU200" i="33"/>
  <c r="CT200" i="33"/>
  <c r="CS200" i="33"/>
  <c r="CR200" i="33"/>
  <c r="CQ200" i="33"/>
  <c r="CP200" i="33"/>
  <c r="CO200" i="33"/>
  <c r="CN200" i="33"/>
  <c r="CM200" i="33"/>
  <c r="CL200" i="33"/>
  <c r="CK200" i="33"/>
  <c r="CJ200" i="33"/>
  <c r="CI200" i="33"/>
  <c r="CH200" i="33"/>
  <c r="CG200" i="33"/>
  <c r="CF200" i="33"/>
  <c r="CE200" i="33"/>
  <c r="CD200" i="33"/>
  <c r="CC200" i="33"/>
  <c r="CB200" i="33"/>
  <c r="CA200" i="33"/>
  <c r="BZ200" i="33"/>
  <c r="BY200" i="33"/>
  <c r="BX200" i="33"/>
  <c r="BW200" i="33"/>
  <c r="BV200" i="33"/>
  <c r="BU200" i="33"/>
  <c r="BT200" i="33"/>
  <c r="BS200" i="33"/>
  <c r="BR200" i="33"/>
  <c r="BQ200" i="33"/>
  <c r="BP200" i="33"/>
  <c r="BO200" i="33"/>
  <c r="BN200" i="33"/>
  <c r="BM200" i="33"/>
  <c r="BL200" i="33"/>
  <c r="BK200" i="33"/>
  <c r="BJ200" i="33"/>
  <c r="BI200" i="33"/>
  <c r="BH200" i="33"/>
  <c r="BG200" i="33"/>
  <c r="BF200" i="33"/>
  <c r="BE200" i="33"/>
  <c r="BD200" i="33"/>
  <c r="BC200" i="33"/>
  <c r="BB200" i="33"/>
  <c r="BA200" i="33"/>
  <c r="AZ200" i="33"/>
  <c r="AY200" i="33"/>
  <c r="AX200" i="33"/>
  <c r="AW200" i="33"/>
  <c r="AV200" i="33"/>
  <c r="AU200" i="33"/>
  <c r="AT200" i="33"/>
  <c r="AS200" i="33"/>
  <c r="AR200" i="33"/>
  <c r="AQ200" i="33"/>
  <c r="AP200" i="33"/>
  <c r="AO200" i="33"/>
  <c r="AN200" i="33"/>
  <c r="AM200" i="33"/>
  <c r="AL200" i="33"/>
  <c r="AK200" i="33"/>
  <c r="AJ200" i="33"/>
  <c r="AI200" i="33"/>
  <c r="AH200" i="33"/>
  <c r="AG200" i="33"/>
  <c r="AF200" i="33"/>
  <c r="AE200" i="33"/>
  <c r="AD200" i="33"/>
  <c r="AC200" i="33"/>
  <c r="AB200" i="33"/>
  <c r="AA200" i="33"/>
  <c r="Z200" i="33"/>
  <c r="Y200" i="33"/>
  <c r="X200" i="33"/>
  <c r="W200" i="33"/>
  <c r="V200" i="33"/>
  <c r="U200" i="33"/>
  <c r="T200" i="33"/>
  <c r="S200" i="33"/>
  <c r="R200" i="33"/>
  <c r="Q200" i="33"/>
  <c r="P200" i="33"/>
  <c r="O200" i="33"/>
  <c r="N200" i="33"/>
  <c r="M200" i="33"/>
  <c r="L200" i="33"/>
  <c r="K200" i="33"/>
  <c r="J200" i="33"/>
  <c r="I200" i="33"/>
  <c r="H200" i="33"/>
  <c r="G200" i="33"/>
  <c r="F200" i="33"/>
  <c r="E200" i="33"/>
  <c r="D200" i="33"/>
  <c r="C200" i="33"/>
  <c r="B200" i="33"/>
  <c r="A200" i="33"/>
  <c r="IV199" i="33"/>
  <c r="IU199" i="33"/>
  <c r="IT199" i="33"/>
  <c r="IS199" i="33"/>
  <c r="IR199" i="33"/>
  <c r="IQ199" i="33"/>
  <c r="IP199" i="33"/>
  <c r="IO199" i="33"/>
  <c r="IN199" i="33"/>
  <c r="IM199" i="33"/>
  <c r="IL199" i="33"/>
  <c r="IK199" i="33"/>
  <c r="IJ199" i="33"/>
  <c r="II199" i="33"/>
  <c r="IH199" i="33"/>
  <c r="IG199" i="33"/>
  <c r="IF199" i="33"/>
  <c r="IE199" i="33"/>
  <c r="ID199" i="33"/>
  <c r="IC199" i="33"/>
  <c r="IB199" i="33"/>
  <c r="IA199" i="33"/>
  <c r="HZ199" i="33"/>
  <c r="HY199" i="33"/>
  <c r="HX199" i="33"/>
  <c r="HW199" i="33"/>
  <c r="HV199" i="33"/>
  <c r="HU199" i="33"/>
  <c r="HT199" i="33"/>
  <c r="HS199" i="33"/>
  <c r="HR199" i="33"/>
  <c r="HQ199" i="33"/>
  <c r="HP199" i="33"/>
  <c r="HO199" i="33"/>
  <c r="HN199" i="33"/>
  <c r="HM199" i="33"/>
  <c r="HL199" i="33"/>
  <c r="HK199" i="33"/>
  <c r="HJ199" i="33"/>
  <c r="HI199" i="33"/>
  <c r="HH199" i="33"/>
  <c r="HG199" i="33"/>
  <c r="HF199" i="33"/>
  <c r="HE199" i="33"/>
  <c r="HD199" i="33"/>
  <c r="HC199" i="33"/>
  <c r="HB199" i="33"/>
  <c r="HA199" i="33"/>
  <c r="GZ199" i="33"/>
  <c r="GY199" i="33"/>
  <c r="GX199" i="33"/>
  <c r="GW199" i="33"/>
  <c r="GV199" i="33"/>
  <c r="GU199" i="33"/>
  <c r="GT199" i="33"/>
  <c r="GS199" i="33"/>
  <c r="GR199" i="33"/>
  <c r="GQ199" i="33"/>
  <c r="GP199" i="33"/>
  <c r="GO199" i="33"/>
  <c r="GN199" i="33"/>
  <c r="GM199" i="33"/>
  <c r="GL199" i="33"/>
  <c r="GK199" i="33"/>
  <c r="GJ199" i="33"/>
  <c r="GI199" i="33"/>
  <c r="GH199" i="33"/>
  <c r="GG199" i="33"/>
  <c r="GF199" i="33"/>
  <c r="GE199" i="33"/>
  <c r="GD199" i="33"/>
  <c r="GC199" i="33"/>
  <c r="GB199" i="33"/>
  <c r="GA199" i="33"/>
  <c r="FZ199" i="33"/>
  <c r="FY199" i="33"/>
  <c r="FX199" i="33"/>
  <c r="FW199" i="33"/>
  <c r="FV199" i="33"/>
  <c r="FU199" i="33"/>
  <c r="FT199" i="33"/>
  <c r="FS199" i="33"/>
  <c r="FR199" i="33"/>
  <c r="FQ199" i="33"/>
  <c r="FP199" i="33"/>
  <c r="FO199" i="33"/>
  <c r="FN199" i="33"/>
  <c r="FM199" i="33"/>
  <c r="FL199" i="33"/>
  <c r="FK199" i="33"/>
  <c r="FJ199" i="33"/>
  <c r="FI199" i="33"/>
  <c r="FH199" i="33"/>
  <c r="FG199" i="33"/>
  <c r="FF199" i="33"/>
  <c r="FE199" i="33"/>
  <c r="FD199" i="33"/>
  <c r="FC199" i="33"/>
  <c r="FB199" i="33"/>
  <c r="FA199" i="33"/>
  <c r="EZ199" i="33"/>
  <c r="EY199" i="33"/>
  <c r="EX199" i="33"/>
  <c r="EW199" i="33"/>
  <c r="EV199" i="33"/>
  <c r="EU199" i="33"/>
  <c r="ET199" i="33"/>
  <c r="ES199" i="33"/>
  <c r="ER199" i="33"/>
  <c r="EQ199" i="33"/>
  <c r="EP199" i="33"/>
  <c r="EO199" i="33"/>
  <c r="EN199" i="33"/>
  <c r="EM199" i="33"/>
  <c r="EL199" i="33"/>
  <c r="EK199" i="33"/>
  <c r="EJ199" i="33"/>
  <c r="EI199" i="33"/>
  <c r="EH199" i="33"/>
  <c r="EG199" i="33"/>
  <c r="EF199" i="33"/>
  <c r="EE199" i="33"/>
  <c r="ED199" i="33"/>
  <c r="EC199" i="33"/>
  <c r="EB199" i="33"/>
  <c r="EA199" i="33"/>
  <c r="DZ199" i="33"/>
  <c r="DY199" i="33"/>
  <c r="DX199" i="33"/>
  <c r="DW199" i="33"/>
  <c r="DV199" i="33"/>
  <c r="DU199" i="33"/>
  <c r="DT199" i="33"/>
  <c r="DS199" i="33"/>
  <c r="DR199" i="33"/>
  <c r="DQ199" i="33"/>
  <c r="DP199" i="33"/>
  <c r="DO199" i="33"/>
  <c r="DN199" i="33"/>
  <c r="DM199" i="33"/>
  <c r="DL199" i="33"/>
  <c r="DK199" i="33"/>
  <c r="DJ199" i="33"/>
  <c r="DI199" i="33"/>
  <c r="DH199" i="33"/>
  <c r="DG199" i="33"/>
  <c r="DF199" i="33"/>
  <c r="DE199" i="33"/>
  <c r="DD199" i="33"/>
  <c r="DC199" i="33"/>
  <c r="DB199" i="33"/>
  <c r="DA199" i="33"/>
  <c r="CZ199" i="33"/>
  <c r="CY199" i="33"/>
  <c r="CX199" i="33"/>
  <c r="CW199" i="33"/>
  <c r="CV199" i="33"/>
  <c r="CU199" i="33"/>
  <c r="CT199" i="33"/>
  <c r="CS199" i="33"/>
  <c r="CR199" i="33"/>
  <c r="CQ199" i="33"/>
  <c r="CP199" i="33"/>
  <c r="CO199" i="33"/>
  <c r="CN199" i="33"/>
  <c r="CM199" i="33"/>
  <c r="CL199" i="33"/>
  <c r="CK199" i="33"/>
  <c r="CJ199" i="33"/>
  <c r="CI199" i="33"/>
  <c r="CH199" i="33"/>
  <c r="CG199" i="33"/>
  <c r="CF199" i="33"/>
  <c r="CE199" i="33"/>
  <c r="CD199" i="33"/>
  <c r="CC199" i="33"/>
  <c r="CB199" i="33"/>
  <c r="CA199" i="33"/>
  <c r="BZ199" i="33"/>
  <c r="BY199" i="33"/>
  <c r="BX199" i="33"/>
  <c r="BW199" i="33"/>
  <c r="BV199" i="33"/>
  <c r="BU199" i="33"/>
  <c r="BT199" i="33"/>
  <c r="BS199" i="33"/>
  <c r="BR199" i="33"/>
  <c r="BQ199" i="33"/>
  <c r="BP199" i="33"/>
  <c r="BO199" i="33"/>
  <c r="BN199" i="33"/>
  <c r="BM199" i="33"/>
  <c r="BL199" i="33"/>
  <c r="BK199" i="33"/>
  <c r="BJ199" i="33"/>
  <c r="BI199" i="33"/>
  <c r="BH199" i="33"/>
  <c r="BG199" i="33"/>
  <c r="BF199" i="33"/>
  <c r="BE199" i="33"/>
  <c r="BD199" i="33"/>
  <c r="BC199" i="33"/>
  <c r="BB199" i="33"/>
  <c r="BA199" i="33"/>
  <c r="AZ199" i="33"/>
  <c r="AY199" i="33"/>
  <c r="AX199" i="33"/>
  <c r="AW199" i="33"/>
  <c r="AV199" i="33"/>
  <c r="AU199" i="33"/>
  <c r="AT199" i="33"/>
  <c r="AS199" i="33"/>
  <c r="AR199" i="33"/>
  <c r="AQ199" i="33"/>
  <c r="AP199" i="33"/>
  <c r="AO199" i="33"/>
  <c r="AN199" i="33"/>
  <c r="AM199" i="33"/>
  <c r="AL199" i="33"/>
  <c r="AK199" i="33"/>
  <c r="AJ199" i="33"/>
  <c r="AI199" i="33"/>
  <c r="AH199" i="33"/>
  <c r="AG199" i="33"/>
  <c r="AF199" i="33"/>
  <c r="AE199" i="33"/>
  <c r="AD199" i="33"/>
  <c r="AC199" i="33"/>
  <c r="AB199" i="33"/>
  <c r="AA199" i="33"/>
  <c r="Z199" i="33"/>
  <c r="Y199" i="33"/>
  <c r="X199" i="33"/>
  <c r="W199" i="33"/>
  <c r="V199" i="33"/>
  <c r="U199" i="33"/>
  <c r="T199" i="33"/>
  <c r="S199" i="33"/>
  <c r="R199" i="33"/>
  <c r="Q199" i="33"/>
  <c r="P199" i="33"/>
  <c r="O199" i="33"/>
  <c r="N199" i="33"/>
  <c r="M199" i="33"/>
  <c r="L199" i="33"/>
  <c r="K199" i="33"/>
  <c r="J199" i="33"/>
  <c r="I199" i="33"/>
  <c r="H199" i="33"/>
  <c r="G199" i="33"/>
  <c r="F199" i="33"/>
  <c r="E199" i="33"/>
  <c r="D199" i="33"/>
  <c r="C199" i="33"/>
  <c r="B199" i="33"/>
  <c r="A199" i="33"/>
  <c r="IV198" i="33"/>
  <c r="IU198" i="33"/>
  <c r="IT198" i="33"/>
  <c r="IS198" i="33"/>
  <c r="IR198" i="33"/>
  <c r="IQ198" i="33"/>
  <c r="IP198" i="33"/>
  <c r="IO198" i="33"/>
  <c r="IN198" i="33"/>
  <c r="IM198" i="33"/>
  <c r="IL198" i="33"/>
  <c r="IK198" i="33"/>
  <c r="IJ198" i="33"/>
  <c r="II198" i="33"/>
  <c r="IH198" i="33"/>
  <c r="IG198" i="33"/>
  <c r="IF198" i="33"/>
  <c r="IE198" i="33"/>
  <c r="ID198" i="33"/>
  <c r="IC198" i="33"/>
  <c r="IB198" i="33"/>
  <c r="IA198" i="33"/>
  <c r="HZ198" i="33"/>
  <c r="HY198" i="33"/>
  <c r="HX198" i="33"/>
  <c r="HW198" i="33"/>
  <c r="HV198" i="33"/>
  <c r="HU198" i="33"/>
  <c r="HT198" i="33"/>
  <c r="HS198" i="33"/>
  <c r="HR198" i="33"/>
  <c r="HQ198" i="33"/>
  <c r="HP198" i="33"/>
  <c r="HO198" i="33"/>
  <c r="HN198" i="33"/>
  <c r="HM198" i="33"/>
  <c r="HL198" i="33"/>
  <c r="HK198" i="33"/>
  <c r="HJ198" i="33"/>
  <c r="HI198" i="33"/>
  <c r="HH198" i="33"/>
  <c r="HG198" i="33"/>
  <c r="HF198" i="33"/>
  <c r="HE198" i="33"/>
  <c r="HD198" i="33"/>
  <c r="HC198" i="33"/>
  <c r="HB198" i="33"/>
  <c r="HA198" i="33"/>
  <c r="GZ198" i="33"/>
  <c r="GY198" i="33"/>
  <c r="GX198" i="33"/>
  <c r="GW198" i="33"/>
  <c r="GV198" i="33"/>
  <c r="GU198" i="33"/>
  <c r="GT198" i="33"/>
  <c r="GS198" i="33"/>
  <c r="GR198" i="33"/>
  <c r="GQ198" i="33"/>
  <c r="GP198" i="33"/>
  <c r="GO198" i="33"/>
  <c r="GN198" i="33"/>
  <c r="GM198" i="33"/>
  <c r="GL198" i="33"/>
  <c r="GK198" i="33"/>
  <c r="GJ198" i="33"/>
  <c r="GI198" i="33"/>
  <c r="GH198" i="33"/>
  <c r="GG198" i="33"/>
  <c r="GF198" i="33"/>
  <c r="GE198" i="33"/>
  <c r="GD198" i="33"/>
  <c r="GC198" i="33"/>
  <c r="GB198" i="33"/>
  <c r="GA198" i="33"/>
  <c r="FZ198" i="33"/>
  <c r="FY198" i="33"/>
  <c r="FX198" i="33"/>
  <c r="FW198" i="33"/>
  <c r="FV198" i="33"/>
  <c r="FU198" i="33"/>
  <c r="FT198" i="33"/>
  <c r="FS198" i="33"/>
  <c r="FR198" i="33"/>
  <c r="FQ198" i="33"/>
  <c r="FP198" i="33"/>
  <c r="FO198" i="33"/>
  <c r="FN198" i="33"/>
  <c r="FM198" i="33"/>
  <c r="FL198" i="33"/>
  <c r="FK198" i="33"/>
  <c r="FJ198" i="33"/>
  <c r="FI198" i="33"/>
  <c r="FH198" i="33"/>
  <c r="FG198" i="33"/>
  <c r="FF198" i="33"/>
  <c r="FE198" i="33"/>
  <c r="FD198" i="33"/>
  <c r="FC198" i="33"/>
  <c r="FB198" i="33"/>
  <c r="FA198" i="33"/>
  <c r="EZ198" i="33"/>
  <c r="EY198" i="33"/>
  <c r="EX198" i="33"/>
  <c r="EW198" i="33"/>
  <c r="EV198" i="33"/>
  <c r="EU198" i="33"/>
  <c r="ET198" i="33"/>
  <c r="ES198" i="33"/>
  <c r="ER198" i="33"/>
  <c r="EQ198" i="33"/>
  <c r="EP198" i="33"/>
  <c r="EO198" i="33"/>
  <c r="EN198" i="33"/>
  <c r="EM198" i="33"/>
  <c r="EL198" i="33"/>
  <c r="EK198" i="33"/>
  <c r="EJ198" i="33"/>
  <c r="EI198" i="33"/>
  <c r="EH198" i="33"/>
  <c r="EG198" i="33"/>
  <c r="EF198" i="33"/>
  <c r="EE198" i="33"/>
  <c r="ED198" i="33"/>
  <c r="EC198" i="33"/>
  <c r="EB198" i="33"/>
  <c r="EA198" i="33"/>
  <c r="DZ198" i="33"/>
  <c r="DY198" i="33"/>
  <c r="DX198" i="33"/>
  <c r="DW198" i="33"/>
  <c r="DV198" i="33"/>
  <c r="DU198" i="33"/>
  <c r="DT198" i="33"/>
  <c r="DS198" i="33"/>
  <c r="DR198" i="33"/>
  <c r="DQ198" i="33"/>
  <c r="DP198" i="33"/>
  <c r="DO198" i="33"/>
  <c r="DN198" i="33"/>
  <c r="DM198" i="33"/>
  <c r="DL198" i="33"/>
  <c r="DK198" i="33"/>
  <c r="DJ198" i="33"/>
  <c r="DI198" i="33"/>
  <c r="DH198" i="33"/>
  <c r="DG198" i="33"/>
  <c r="DF198" i="33"/>
  <c r="DE198" i="33"/>
  <c r="DD198" i="33"/>
  <c r="DC198" i="33"/>
  <c r="DB198" i="33"/>
  <c r="DA198" i="33"/>
  <c r="CZ198" i="33"/>
  <c r="CY198" i="33"/>
  <c r="CX198" i="33"/>
  <c r="CW198" i="33"/>
  <c r="CV198" i="33"/>
  <c r="CU198" i="33"/>
  <c r="CT198" i="33"/>
  <c r="CS198" i="33"/>
  <c r="CR198" i="33"/>
  <c r="CQ198" i="33"/>
  <c r="CP198" i="33"/>
  <c r="CO198" i="33"/>
  <c r="CN198" i="33"/>
  <c r="CM198" i="33"/>
  <c r="CL198" i="33"/>
  <c r="CK198" i="33"/>
  <c r="CJ198" i="33"/>
  <c r="CI198" i="33"/>
  <c r="CH198" i="33"/>
  <c r="CG198" i="33"/>
  <c r="CF198" i="33"/>
  <c r="CE198" i="33"/>
  <c r="CD198" i="33"/>
  <c r="CC198" i="33"/>
  <c r="CB198" i="33"/>
  <c r="CA198" i="33"/>
  <c r="BZ198" i="33"/>
  <c r="BY198" i="33"/>
  <c r="BX198" i="33"/>
  <c r="BW198" i="33"/>
  <c r="BV198" i="33"/>
  <c r="BU198" i="33"/>
  <c r="BT198" i="33"/>
  <c r="BS198" i="33"/>
  <c r="BR198" i="33"/>
  <c r="BQ198" i="33"/>
  <c r="BP198" i="33"/>
  <c r="BO198" i="33"/>
  <c r="BN198" i="33"/>
  <c r="BM198" i="33"/>
  <c r="BL198" i="33"/>
  <c r="BK198" i="33"/>
  <c r="BJ198" i="33"/>
  <c r="BI198" i="33"/>
  <c r="BH198" i="33"/>
  <c r="BG198" i="33"/>
  <c r="BF198" i="33"/>
  <c r="BE198" i="33"/>
  <c r="BD198" i="33"/>
  <c r="BC198" i="33"/>
  <c r="BB198" i="33"/>
  <c r="BA198" i="33"/>
  <c r="AZ198" i="33"/>
  <c r="AY198" i="33"/>
  <c r="AX198" i="33"/>
  <c r="AW198" i="33"/>
  <c r="AV198" i="33"/>
  <c r="AU198" i="33"/>
  <c r="AT198" i="33"/>
  <c r="AS198" i="33"/>
  <c r="AR198" i="33"/>
  <c r="AQ198" i="33"/>
  <c r="AP198" i="33"/>
  <c r="AO198" i="33"/>
  <c r="AN198" i="33"/>
  <c r="AM198" i="33"/>
  <c r="AL198" i="33"/>
  <c r="AK198" i="33"/>
  <c r="AJ198" i="33"/>
  <c r="AI198" i="33"/>
  <c r="AH198" i="33"/>
  <c r="AG198" i="33"/>
  <c r="AF198" i="33"/>
  <c r="AE198" i="33"/>
  <c r="AD198" i="33"/>
  <c r="AC198" i="33"/>
  <c r="AB198" i="33"/>
  <c r="AA198" i="33"/>
  <c r="Z198" i="33"/>
  <c r="Y198" i="33"/>
  <c r="X198" i="33"/>
  <c r="W198" i="33"/>
  <c r="V198" i="33"/>
  <c r="U198" i="33"/>
  <c r="T198" i="33"/>
  <c r="S198" i="33"/>
  <c r="R198" i="33"/>
  <c r="Q198" i="33"/>
  <c r="P198" i="33"/>
  <c r="O198" i="33"/>
  <c r="N198" i="33"/>
  <c r="M198" i="33"/>
  <c r="L198" i="33"/>
  <c r="K198" i="33"/>
  <c r="J198" i="33"/>
  <c r="I198" i="33"/>
  <c r="H198" i="33"/>
  <c r="G198" i="33"/>
  <c r="F198" i="33"/>
  <c r="E198" i="33"/>
  <c r="D198" i="33"/>
  <c r="C198" i="33"/>
  <c r="B198" i="33"/>
  <c r="A198" i="33"/>
  <c r="IV197" i="33"/>
  <c r="IU197" i="33"/>
  <c r="IT197" i="33"/>
  <c r="IS197" i="33"/>
  <c r="IR197" i="33"/>
  <c r="IQ197" i="33"/>
  <c r="IP197" i="33"/>
  <c r="IO197" i="33"/>
  <c r="IN197" i="33"/>
  <c r="IM197" i="33"/>
  <c r="IL197" i="33"/>
  <c r="IK197" i="33"/>
  <c r="IJ197" i="33"/>
  <c r="II197" i="33"/>
  <c r="IH197" i="33"/>
  <c r="IG197" i="33"/>
  <c r="IF197" i="33"/>
  <c r="IE197" i="33"/>
  <c r="ID197" i="33"/>
  <c r="IC197" i="33"/>
  <c r="IB197" i="33"/>
  <c r="IA197" i="33"/>
  <c r="HZ197" i="33"/>
  <c r="HY197" i="33"/>
  <c r="HX197" i="33"/>
  <c r="HW197" i="33"/>
  <c r="HV197" i="33"/>
  <c r="HU197" i="33"/>
  <c r="HT197" i="33"/>
  <c r="HS197" i="33"/>
  <c r="HR197" i="33"/>
  <c r="HQ197" i="33"/>
  <c r="HP197" i="33"/>
  <c r="HO197" i="33"/>
  <c r="HN197" i="33"/>
  <c r="HM197" i="33"/>
  <c r="HL197" i="33"/>
  <c r="HK197" i="33"/>
  <c r="HJ197" i="33"/>
  <c r="HI197" i="33"/>
  <c r="HH197" i="33"/>
  <c r="HG197" i="33"/>
  <c r="HF197" i="33"/>
  <c r="HE197" i="33"/>
  <c r="HD197" i="33"/>
  <c r="HC197" i="33"/>
  <c r="HB197" i="33"/>
  <c r="HA197" i="33"/>
  <c r="GZ197" i="33"/>
  <c r="GY197" i="33"/>
  <c r="GX197" i="33"/>
  <c r="GW197" i="33"/>
  <c r="GV197" i="33"/>
  <c r="GU197" i="33"/>
  <c r="GT197" i="33"/>
  <c r="GS197" i="33"/>
  <c r="GR197" i="33"/>
  <c r="GQ197" i="33"/>
  <c r="GP197" i="33"/>
  <c r="GO197" i="33"/>
  <c r="GN197" i="33"/>
  <c r="GM197" i="33"/>
  <c r="GL197" i="33"/>
  <c r="GK197" i="33"/>
  <c r="GJ197" i="33"/>
  <c r="GI197" i="33"/>
  <c r="GH197" i="33"/>
  <c r="GG197" i="33"/>
  <c r="GF197" i="33"/>
  <c r="GE197" i="33"/>
  <c r="GD197" i="33"/>
  <c r="GC197" i="33"/>
  <c r="GB197" i="33"/>
  <c r="GA197" i="33"/>
  <c r="FZ197" i="33"/>
  <c r="FY197" i="33"/>
  <c r="FX197" i="33"/>
  <c r="FW197" i="33"/>
  <c r="FV197" i="33"/>
  <c r="FU197" i="33"/>
  <c r="FT197" i="33"/>
  <c r="FS197" i="33"/>
  <c r="FR197" i="33"/>
  <c r="FQ197" i="33"/>
  <c r="FP197" i="33"/>
  <c r="FO197" i="33"/>
  <c r="FN197" i="33"/>
  <c r="FM197" i="33"/>
  <c r="FL197" i="33"/>
  <c r="FK197" i="33"/>
  <c r="FJ197" i="33"/>
  <c r="FI197" i="33"/>
  <c r="FH197" i="33"/>
  <c r="FG197" i="33"/>
  <c r="FF197" i="33"/>
  <c r="FE197" i="33"/>
  <c r="FD197" i="33"/>
  <c r="FC197" i="33"/>
  <c r="FB197" i="33"/>
  <c r="FA197" i="33"/>
  <c r="EZ197" i="33"/>
  <c r="EY197" i="33"/>
  <c r="EX197" i="33"/>
  <c r="EW197" i="33"/>
  <c r="EV197" i="33"/>
  <c r="EU197" i="33"/>
  <c r="ET197" i="33"/>
  <c r="ES197" i="33"/>
  <c r="ER197" i="33"/>
  <c r="EQ197" i="33"/>
  <c r="EP197" i="33"/>
  <c r="EO197" i="33"/>
  <c r="EN197" i="33"/>
  <c r="EM197" i="33"/>
  <c r="EL197" i="33"/>
  <c r="EK197" i="33"/>
  <c r="EJ197" i="33"/>
  <c r="EI197" i="33"/>
  <c r="EH197" i="33"/>
  <c r="EG197" i="33"/>
  <c r="EF197" i="33"/>
  <c r="EE197" i="33"/>
  <c r="ED197" i="33"/>
  <c r="EC197" i="33"/>
  <c r="EB197" i="33"/>
  <c r="EA197" i="33"/>
  <c r="DZ197" i="33"/>
  <c r="DY197" i="33"/>
  <c r="DX197" i="33"/>
  <c r="DW197" i="33"/>
  <c r="DV197" i="33"/>
  <c r="DU197" i="33"/>
  <c r="DT197" i="33"/>
  <c r="DS197" i="33"/>
  <c r="DR197" i="33"/>
  <c r="DQ197" i="33"/>
  <c r="DP197" i="33"/>
  <c r="DO197" i="33"/>
  <c r="DN197" i="33"/>
  <c r="DM197" i="33"/>
  <c r="DL197" i="33"/>
  <c r="DK197" i="33"/>
  <c r="DJ197" i="33"/>
  <c r="DI197" i="33"/>
  <c r="DH197" i="33"/>
  <c r="DG197" i="33"/>
  <c r="DF197" i="33"/>
  <c r="DE197" i="33"/>
  <c r="DD197" i="33"/>
  <c r="DC197" i="33"/>
  <c r="DB197" i="33"/>
  <c r="DA197" i="33"/>
  <c r="CZ197" i="33"/>
  <c r="CY197" i="33"/>
  <c r="CX197" i="33"/>
  <c r="CW197" i="33"/>
  <c r="CV197" i="33"/>
  <c r="CU197" i="33"/>
  <c r="CT197" i="33"/>
  <c r="CS197" i="33"/>
  <c r="CR197" i="33"/>
  <c r="CQ197" i="33"/>
  <c r="CP197" i="33"/>
  <c r="CO197" i="33"/>
  <c r="CN197" i="33"/>
  <c r="CM197" i="33"/>
  <c r="CL197" i="33"/>
  <c r="CK197" i="33"/>
  <c r="CJ197" i="33"/>
  <c r="CI197" i="33"/>
  <c r="CH197" i="33"/>
  <c r="CG197" i="33"/>
  <c r="CF197" i="33"/>
  <c r="CE197" i="33"/>
  <c r="CD197" i="33"/>
  <c r="CC197" i="33"/>
  <c r="CB197" i="33"/>
  <c r="CA197" i="33"/>
  <c r="BZ197" i="33"/>
  <c r="BY197" i="33"/>
  <c r="BX197" i="33"/>
  <c r="BW197" i="33"/>
  <c r="BV197" i="33"/>
  <c r="BU197" i="33"/>
  <c r="BT197" i="33"/>
  <c r="BS197" i="33"/>
  <c r="BR197" i="33"/>
  <c r="BQ197" i="33"/>
  <c r="BP197" i="33"/>
  <c r="BO197" i="33"/>
  <c r="BN197" i="33"/>
  <c r="BM197" i="33"/>
  <c r="BL197" i="33"/>
  <c r="BK197" i="33"/>
  <c r="BJ197" i="33"/>
  <c r="BI197" i="33"/>
  <c r="BH197" i="33"/>
  <c r="BG197" i="33"/>
  <c r="BF197" i="33"/>
  <c r="BE197" i="33"/>
  <c r="BD197" i="33"/>
  <c r="BC197" i="33"/>
  <c r="BB197" i="33"/>
  <c r="BA197" i="33"/>
  <c r="AZ197" i="33"/>
  <c r="AY197" i="33"/>
  <c r="AX197" i="33"/>
  <c r="AW197" i="33"/>
  <c r="AV197" i="33"/>
  <c r="AU197" i="33"/>
  <c r="AT197" i="33"/>
  <c r="AS197" i="33"/>
  <c r="AR197" i="33"/>
  <c r="AQ197" i="33"/>
  <c r="AP197" i="33"/>
  <c r="AO197" i="33"/>
  <c r="AN197" i="33"/>
  <c r="AM197" i="33"/>
  <c r="AL197" i="33"/>
  <c r="AK197" i="33"/>
  <c r="AJ197" i="33"/>
  <c r="AI197" i="33"/>
  <c r="AH197" i="33"/>
  <c r="AG197" i="33"/>
  <c r="AF197" i="33"/>
  <c r="AE197" i="33"/>
  <c r="AD197" i="33"/>
  <c r="AC197" i="33"/>
  <c r="AB197" i="33"/>
  <c r="AA197" i="33"/>
  <c r="Z197" i="33"/>
  <c r="Y197" i="33"/>
  <c r="X197" i="33"/>
  <c r="W197" i="33"/>
  <c r="V197" i="33"/>
  <c r="U197" i="33"/>
  <c r="T197" i="33"/>
  <c r="S197" i="33"/>
  <c r="R197" i="33"/>
  <c r="Q197" i="33"/>
  <c r="P197" i="33"/>
  <c r="O197" i="33"/>
  <c r="N197" i="33"/>
  <c r="M197" i="33"/>
  <c r="L197" i="33"/>
  <c r="K197" i="33"/>
  <c r="J197" i="33"/>
  <c r="I197" i="33"/>
  <c r="H197" i="33"/>
  <c r="G197" i="33"/>
  <c r="F197" i="33"/>
  <c r="E197" i="33"/>
  <c r="D197" i="33"/>
  <c r="C197" i="33"/>
  <c r="B197" i="33"/>
  <c r="A197" i="33"/>
  <c r="IV196" i="33"/>
  <c r="IU196" i="33"/>
  <c r="IT196" i="33"/>
  <c r="IS196" i="33"/>
  <c r="IR196" i="33"/>
  <c r="IQ196" i="33"/>
  <c r="IP196" i="33"/>
  <c r="IO196" i="33"/>
  <c r="IN196" i="33"/>
  <c r="IM196" i="33"/>
  <c r="IL196" i="33"/>
  <c r="IK196" i="33"/>
  <c r="IJ196" i="33"/>
  <c r="II196" i="33"/>
  <c r="IH196" i="33"/>
  <c r="IG196" i="33"/>
  <c r="IF196" i="33"/>
  <c r="IE196" i="33"/>
  <c r="ID196" i="33"/>
  <c r="IC196" i="33"/>
  <c r="IB196" i="33"/>
  <c r="IA196" i="33"/>
  <c r="HZ196" i="33"/>
  <c r="HY196" i="33"/>
  <c r="HX196" i="33"/>
  <c r="HW196" i="33"/>
  <c r="HV196" i="33"/>
  <c r="HU196" i="33"/>
  <c r="HT196" i="33"/>
  <c r="HS196" i="33"/>
  <c r="HR196" i="33"/>
  <c r="HQ196" i="33"/>
  <c r="HP196" i="33"/>
  <c r="HO196" i="33"/>
  <c r="HN196" i="33"/>
  <c r="HM196" i="33"/>
  <c r="HL196" i="33"/>
  <c r="HK196" i="33"/>
  <c r="HJ196" i="33"/>
  <c r="HI196" i="33"/>
  <c r="HH196" i="33"/>
  <c r="HG196" i="33"/>
  <c r="HF196" i="33"/>
  <c r="HE196" i="33"/>
  <c r="HD196" i="33"/>
  <c r="HC196" i="33"/>
  <c r="HB196" i="33"/>
  <c r="HA196" i="33"/>
  <c r="GZ196" i="33"/>
  <c r="GY196" i="33"/>
  <c r="GX196" i="33"/>
  <c r="GW196" i="33"/>
  <c r="GV196" i="33"/>
  <c r="GU196" i="33"/>
  <c r="GT196" i="33"/>
  <c r="GS196" i="33"/>
  <c r="GR196" i="33"/>
  <c r="GQ196" i="33"/>
  <c r="GP196" i="33"/>
  <c r="GO196" i="33"/>
  <c r="GN196" i="33"/>
  <c r="GM196" i="33"/>
  <c r="GL196" i="33"/>
  <c r="GK196" i="33"/>
  <c r="GJ196" i="33"/>
  <c r="GI196" i="33"/>
  <c r="GH196" i="33"/>
  <c r="GG196" i="33"/>
  <c r="GF196" i="33"/>
  <c r="GE196" i="33"/>
  <c r="GD196" i="33"/>
  <c r="GC196" i="33"/>
  <c r="GB196" i="33"/>
  <c r="GA196" i="33"/>
  <c r="FZ196" i="33"/>
  <c r="FY196" i="33"/>
  <c r="FX196" i="33"/>
  <c r="FW196" i="33"/>
  <c r="FV196" i="33"/>
  <c r="FU196" i="33"/>
  <c r="FT196" i="33"/>
  <c r="FS196" i="33"/>
  <c r="FR196" i="33"/>
  <c r="FQ196" i="33"/>
  <c r="FP196" i="33"/>
  <c r="FO196" i="33"/>
  <c r="FN196" i="33"/>
  <c r="FM196" i="33"/>
  <c r="FL196" i="33"/>
  <c r="FK196" i="33"/>
  <c r="FJ196" i="33"/>
  <c r="FI196" i="33"/>
  <c r="FH196" i="33"/>
  <c r="FG196" i="33"/>
  <c r="FF196" i="33"/>
  <c r="FE196" i="33"/>
  <c r="FD196" i="33"/>
  <c r="FC196" i="33"/>
  <c r="FB196" i="33"/>
  <c r="FA196" i="33"/>
  <c r="EZ196" i="33"/>
  <c r="EY196" i="33"/>
  <c r="EX196" i="33"/>
  <c r="EW196" i="33"/>
  <c r="EV196" i="33"/>
  <c r="EU196" i="33"/>
  <c r="ET196" i="33"/>
  <c r="ES196" i="33"/>
  <c r="ER196" i="33"/>
  <c r="EQ196" i="33"/>
  <c r="EP196" i="33"/>
  <c r="EO196" i="33"/>
  <c r="EN196" i="33"/>
  <c r="EM196" i="33"/>
  <c r="EL196" i="33"/>
  <c r="EK196" i="33"/>
  <c r="EJ196" i="33"/>
  <c r="EI196" i="33"/>
  <c r="EH196" i="33"/>
  <c r="EG196" i="33"/>
  <c r="EF196" i="33"/>
  <c r="EE196" i="33"/>
  <c r="ED196" i="33"/>
  <c r="EC196" i="33"/>
  <c r="EB196" i="33"/>
  <c r="EA196" i="33"/>
  <c r="DZ196" i="33"/>
  <c r="DY196" i="33"/>
  <c r="DX196" i="33"/>
  <c r="DW196" i="33"/>
  <c r="DV196" i="33"/>
  <c r="DU196" i="33"/>
  <c r="DT196" i="33"/>
  <c r="DS196" i="33"/>
  <c r="DR196" i="33"/>
  <c r="DQ196" i="33"/>
  <c r="DP196" i="33"/>
  <c r="DO196" i="33"/>
  <c r="DN196" i="33"/>
  <c r="DM196" i="33"/>
  <c r="DL196" i="33"/>
  <c r="DK196" i="33"/>
  <c r="DJ196" i="33"/>
  <c r="DI196" i="33"/>
  <c r="DH196" i="33"/>
  <c r="DG196" i="33"/>
  <c r="DF196" i="33"/>
  <c r="DE196" i="33"/>
  <c r="DD196" i="33"/>
  <c r="DC196" i="33"/>
  <c r="DB196" i="33"/>
  <c r="DA196" i="33"/>
  <c r="CZ196" i="33"/>
  <c r="CY196" i="33"/>
  <c r="CX196" i="33"/>
  <c r="CW196" i="33"/>
  <c r="CV196" i="33"/>
  <c r="CU196" i="33"/>
  <c r="CT196" i="33"/>
  <c r="CS196" i="33"/>
  <c r="CR196" i="33"/>
  <c r="CQ196" i="33"/>
  <c r="CP196" i="33"/>
  <c r="CO196" i="33"/>
  <c r="CN196" i="33"/>
  <c r="CM196" i="33"/>
  <c r="CL196" i="33"/>
  <c r="CK196" i="33"/>
  <c r="CJ196" i="33"/>
  <c r="CI196" i="33"/>
  <c r="CH196" i="33"/>
  <c r="CG196" i="33"/>
  <c r="CF196" i="33"/>
  <c r="CE196" i="33"/>
  <c r="CD196" i="33"/>
  <c r="CC196" i="33"/>
  <c r="CB196" i="33"/>
  <c r="CA196" i="33"/>
  <c r="BZ196" i="33"/>
  <c r="BY196" i="33"/>
  <c r="BX196" i="33"/>
  <c r="BW196" i="33"/>
  <c r="BV196" i="33"/>
  <c r="BU196" i="33"/>
  <c r="BT196" i="33"/>
  <c r="BS196" i="33"/>
  <c r="BR196" i="33"/>
  <c r="BQ196" i="33"/>
  <c r="BP196" i="33"/>
  <c r="BO196" i="33"/>
  <c r="BN196" i="33"/>
  <c r="BM196" i="33"/>
  <c r="BL196" i="33"/>
  <c r="BK196" i="33"/>
  <c r="BJ196" i="33"/>
  <c r="BI196" i="33"/>
  <c r="BH196" i="33"/>
  <c r="BG196" i="33"/>
  <c r="BF196" i="33"/>
  <c r="BE196" i="33"/>
  <c r="BD196" i="33"/>
  <c r="BC196" i="33"/>
  <c r="BB196" i="33"/>
  <c r="BA196" i="33"/>
  <c r="AZ196" i="33"/>
  <c r="AY196" i="33"/>
  <c r="AX196" i="33"/>
  <c r="AW196" i="33"/>
  <c r="AV196" i="33"/>
  <c r="AU196" i="33"/>
  <c r="AT196" i="33"/>
  <c r="AS196" i="33"/>
  <c r="AR196" i="33"/>
  <c r="AQ196" i="33"/>
  <c r="AP196" i="33"/>
  <c r="AO196" i="33"/>
  <c r="AN196" i="33"/>
  <c r="AM196" i="33"/>
  <c r="AL196" i="33"/>
  <c r="AK196" i="33"/>
  <c r="AJ196" i="33"/>
  <c r="AI196" i="33"/>
  <c r="AH196" i="33"/>
  <c r="AG196" i="33"/>
  <c r="AF196" i="33"/>
  <c r="AE196" i="33"/>
  <c r="AD196" i="33"/>
  <c r="AC196" i="33"/>
  <c r="AB196" i="33"/>
  <c r="AA196" i="33"/>
  <c r="Z196" i="33"/>
  <c r="Y196" i="33"/>
  <c r="X196" i="33"/>
  <c r="W196" i="33"/>
  <c r="V196" i="33"/>
  <c r="U196" i="33"/>
  <c r="T196" i="33"/>
  <c r="S196" i="33"/>
  <c r="R196" i="33"/>
  <c r="Q196" i="33"/>
  <c r="P196" i="33"/>
  <c r="O196" i="33"/>
  <c r="N196" i="33"/>
  <c r="M196" i="33"/>
  <c r="L196" i="33"/>
  <c r="K196" i="33"/>
  <c r="J196" i="33"/>
  <c r="I196" i="33"/>
  <c r="H196" i="33"/>
  <c r="G196" i="33"/>
  <c r="F196" i="33"/>
  <c r="E196" i="33"/>
  <c r="D196" i="33"/>
  <c r="C196" i="33"/>
  <c r="B196" i="33"/>
  <c r="A196" i="33"/>
  <c r="IV195" i="33"/>
  <c r="IU195" i="33"/>
  <c r="IT195" i="33"/>
  <c r="IS195" i="33"/>
  <c r="IR195" i="33"/>
  <c r="IQ195" i="33"/>
  <c r="IP195" i="33"/>
  <c r="IO195" i="33"/>
  <c r="IN195" i="33"/>
  <c r="IM195" i="33"/>
  <c r="IL195" i="33"/>
  <c r="IK195" i="33"/>
  <c r="IJ195" i="33"/>
  <c r="II195" i="33"/>
  <c r="IH195" i="33"/>
  <c r="IG195" i="33"/>
  <c r="IF195" i="33"/>
  <c r="IE195" i="33"/>
  <c r="ID195" i="33"/>
  <c r="IC195" i="33"/>
  <c r="IB195" i="33"/>
  <c r="IA195" i="33"/>
  <c r="HZ195" i="33"/>
  <c r="HY195" i="33"/>
  <c r="HX195" i="33"/>
  <c r="HW195" i="33"/>
  <c r="HV195" i="33"/>
  <c r="HU195" i="33"/>
  <c r="HT195" i="33"/>
  <c r="HS195" i="33"/>
  <c r="HR195" i="33"/>
  <c r="HQ195" i="33"/>
  <c r="HP195" i="33"/>
  <c r="HO195" i="33"/>
  <c r="HN195" i="33"/>
  <c r="HM195" i="33"/>
  <c r="HL195" i="33"/>
  <c r="HK195" i="33"/>
  <c r="HJ195" i="33"/>
  <c r="HI195" i="33"/>
  <c r="HH195" i="33"/>
  <c r="HG195" i="33"/>
  <c r="HF195" i="33"/>
  <c r="HE195" i="33"/>
  <c r="HD195" i="33"/>
  <c r="HC195" i="33"/>
  <c r="HB195" i="33"/>
  <c r="HA195" i="33"/>
  <c r="GZ195" i="33"/>
  <c r="GY195" i="33"/>
  <c r="GX195" i="33"/>
  <c r="GW195" i="33"/>
  <c r="GV195" i="33"/>
  <c r="GU195" i="33"/>
  <c r="GT195" i="33"/>
  <c r="GS195" i="33"/>
  <c r="GR195" i="33"/>
  <c r="GQ195" i="33"/>
  <c r="GP195" i="33"/>
  <c r="GO195" i="33"/>
  <c r="GN195" i="33"/>
  <c r="GM195" i="33"/>
  <c r="GL195" i="33"/>
  <c r="GK195" i="33"/>
  <c r="GJ195" i="33"/>
  <c r="GI195" i="33"/>
  <c r="GH195" i="33"/>
  <c r="GG195" i="33"/>
  <c r="GF195" i="33"/>
  <c r="GE195" i="33"/>
  <c r="GD195" i="33"/>
  <c r="GC195" i="33"/>
  <c r="GB195" i="33"/>
  <c r="GA195" i="33"/>
  <c r="FZ195" i="33"/>
  <c r="FY195" i="33"/>
  <c r="FX195" i="33"/>
  <c r="FW195" i="33"/>
  <c r="FV195" i="33"/>
  <c r="FU195" i="33"/>
  <c r="FT195" i="33"/>
  <c r="FS195" i="33"/>
  <c r="FR195" i="33"/>
  <c r="FQ195" i="33"/>
  <c r="FP195" i="33"/>
  <c r="FO195" i="33"/>
  <c r="FN195" i="33"/>
  <c r="FM195" i="33"/>
  <c r="FL195" i="33"/>
  <c r="FK195" i="33"/>
  <c r="FJ195" i="33"/>
  <c r="FI195" i="33"/>
  <c r="FH195" i="33"/>
  <c r="FG195" i="33"/>
  <c r="FF195" i="33"/>
  <c r="FE195" i="33"/>
  <c r="FD195" i="33"/>
  <c r="FC195" i="33"/>
  <c r="FB195" i="33"/>
  <c r="FA195" i="33"/>
  <c r="EZ195" i="33"/>
  <c r="EY195" i="33"/>
  <c r="EX195" i="33"/>
  <c r="EW195" i="33"/>
  <c r="EV195" i="33"/>
  <c r="EU195" i="33"/>
  <c r="ET195" i="33"/>
  <c r="ES195" i="33"/>
  <c r="ER195" i="33"/>
  <c r="EQ195" i="33"/>
  <c r="EP195" i="33"/>
  <c r="EO195" i="33"/>
  <c r="EN195" i="33"/>
  <c r="EM195" i="33"/>
  <c r="EL195" i="33"/>
  <c r="EK195" i="33"/>
  <c r="EJ195" i="33"/>
  <c r="EI195" i="33"/>
  <c r="EH195" i="33"/>
  <c r="EG195" i="33"/>
  <c r="EF195" i="33"/>
  <c r="EE195" i="33"/>
  <c r="ED195" i="33"/>
  <c r="EC195" i="33"/>
  <c r="EB195" i="33"/>
  <c r="EA195" i="33"/>
  <c r="DZ195" i="33"/>
  <c r="DY195" i="33"/>
  <c r="DX195" i="33"/>
  <c r="DW195" i="33"/>
  <c r="DV195" i="33"/>
  <c r="DU195" i="33"/>
  <c r="DT195" i="33"/>
  <c r="DS195" i="33"/>
  <c r="DR195" i="33"/>
  <c r="DQ195" i="33"/>
  <c r="DP195" i="33"/>
  <c r="DO195" i="33"/>
  <c r="DN195" i="33"/>
  <c r="DM195" i="33"/>
  <c r="DL195" i="33"/>
  <c r="DK195" i="33"/>
  <c r="DJ195" i="33"/>
  <c r="DI195" i="33"/>
  <c r="DH195" i="33"/>
  <c r="DG195" i="33"/>
  <c r="DF195" i="33"/>
  <c r="DE195" i="33"/>
  <c r="DD195" i="33"/>
  <c r="DC195" i="33"/>
  <c r="DB195" i="33"/>
  <c r="DA195" i="33"/>
  <c r="CZ195" i="33"/>
  <c r="CY195" i="33"/>
  <c r="CX195" i="33"/>
  <c r="CW195" i="33"/>
  <c r="CV195" i="33"/>
  <c r="CU195" i="33"/>
  <c r="CT195" i="33"/>
  <c r="CS195" i="33"/>
  <c r="CR195" i="33"/>
  <c r="CQ195" i="33"/>
  <c r="CP195" i="33"/>
  <c r="CO195" i="33"/>
  <c r="CN195" i="33"/>
  <c r="CM195" i="33"/>
  <c r="CL195" i="33"/>
  <c r="CK195" i="33"/>
  <c r="CJ195" i="33"/>
  <c r="CI195" i="33"/>
  <c r="CH195" i="33"/>
  <c r="CG195" i="33"/>
  <c r="CF195" i="33"/>
  <c r="CE195" i="33"/>
  <c r="CD195" i="33"/>
  <c r="CC195" i="33"/>
  <c r="CB195" i="33"/>
  <c r="CA195" i="33"/>
  <c r="BZ195" i="33"/>
  <c r="BY195" i="33"/>
  <c r="BX195" i="33"/>
  <c r="BW195" i="33"/>
  <c r="BV195" i="33"/>
  <c r="BU195" i="33"/>
  <c r="BT195" i="33"/>
  <c r="BS195" i="33"/>
  <c r="BR195" i="33"/>
  <c r="BQ195" i="33"/>
  <c r="BP195" i="33"/>
  <c r="BO195" i="33"/>
  <c r="BN195" i="33"/>
  <c r="BM195" i="33"/>
  <c r="BL195" i="33"/>
  <c r="BK195" i="33"/>
  <c r="BJ195" i="33"/>
  <c r="BI195" i="33"/>
  <c r="BH195" i="33"/>
  <c r="BG195" i="33"/>
  <c r="BF195" i="33"/>
  <c r="BE195" i="33"/>
  <c r="BD195" i="33"/>
  <c r="BC195" i="33"/>
  <c r="BB195" i="33"/>
  <c r="BA195" i="33"/>
  <c r="AZ195" i="33"/>
  <c r="AY195" i="33"/>
  <c r="AX195" i="33"/>
  <c r="AW195" i="33"/>
  <c r="AV195" i="33"/>
  <c r="AU195" i="33"/>
  <c r="AT195" i="33"/>
  <c r="AS195" i="33"/>
  <c r="AR195" i="33"/>
  <c r="AQ195" i="33"/>
  <c r="AP195" i="33"/>
  <c r="AO195" i="33"/>
  <c r="AN195" i="33"/>
  <c r="AM195" i="33"/>
  <c r="AL195" i="33"/>
  <c r="AK195" i="33"/>
  <c r="AJ195" i="33"/>
  <c r="AI195" i="33"/>
  <c r="AH195" i="33"/>
  <c r="AG195" i="33"/>
  <c r="AF195" i="33"/>
  <c r="AE195" i="33"/>
  <c r="AD195" i="33"/>
  <c r="AC195" i="33"/>
  <c r="AB195" i="33"/>
  <c r="AA195" i="33"/>
  <c r="Z195" i="33"/>
  <c r="Y195" i="33"/>
  <c r="X195" i="33"/>
  <c r="W195" i="33"/>
  <c r="V195" i="33"/>
  <c r="U195" i="33"/>
  <c r="T195" i="33"/>
  <c r="S195" i="33"/>
  <c r="R195" i="33"/>
  <c r="Q195" i="33"/>
  <c r="P195" i="33"/>
  <c r="O195" i="33"/>
  <c r="N195" i="33"/>
  <c r="M195" i="33"/>
  <c r="L195" i="33"/>
  <c r="K195" i="33"/>
  <c r="J195" i="33"/>
  <c r="I195" i="33"/>
  <c r="H195" i="33"/>
  <c r="G195" i="33"/>
  <c r="F195" i="33"/>
  <c r="E195" i="33"/>
  <c r="D195" i="33"/>
  <c r="C195" i="33"/>
  <c r="B195" i="33"/>
  <c r="A195" i="33"/>
  <c r="IV194" i="33"/>
  <c r="IU194" i="33"/>
  <c r="IT194" i="33"/>
  <c r="IS194" i="33"/>
  <c r="IR194" i="33"/>
  <c r="IQ194" i="33"/>
  <c r="IP194" i="33"/>
  <c r="IO194" i="33"/>
  <c r="IN194" i="33"/>
  <c r="IM194" i="33"/>
  <c r="IL194" i="33"/>
  <c r="IK194" i="33"/>
  <c r="IJ194" i="33"/>
  <c r="II194" i="33"/>
  <c r="IH194" i="33"/>
  <c r="IG194" i="33"/>
  <c r="IF194" i="33"/>
  <c r="IE194" i="33"/>
  <c r="ID194" i="33"/>
  <c r="IC194" i="33"/>
  <c r="IB194" i="33"/>
  <c r="IA194" i="33"/>
  <c r="HZ194" i="33"/>
  <c r="HY194" i="33"/>
  <c r="HX194" i="33"/>
  <c r="HW194" i="33"/>
  <c r="HV194" i="33"/>
  <c r="HU194" i="33"/>
  <c r="HT194" i="33"/>
  <c r="HS194" i="33"/>
  <c r="HR194" i="33"/>
  <c r="HQ194" i="33"/>
  <c r="HP194" i="33"/>
  <c r="HO194" i="33"/>
  <c r="HN194" i="33"/>
  <c r="HM194" i="33"/>
  <c r="HL194" i="33"/>
  <c r="HK194" i="33"/>
  <c r="HJ194" i="33"/>
  <c r="HI194" i="33"/>
  <c r="HH194" i="33"/>
  <c r="HG194" i="33"/>
  <c r="HF194" i="33"/>
  <c r="HE194" i="33"/>
  <c r="HD194" i="33"/>
  <c r="HC194" i="33"/>
  <c r="HB194" i="33"/>
  <c r="HA194" i="33"/>
  <c r="GZ194" i="33"/>
  <c r="GY194" i="33"/>
  <c r="GX194" i="33"/>
  <c r="GW194" i="33"/>
  <c r="GV194" i="33"/>
  <c r="GU194" i="33"/>
  <c r="GT194" i="33"/>
  <c r="GS194" i="33"/>
  <c r="GR194" i="33"/>
  <c r="GQ194" i="33"/>
  <c r="GP194" i="33"/>
  <c r="GO194" i="33"/>
  <c r="GN194" i="33"/>
  <c r="GM194" i="33"/>
  <c r="GL194" i="33"/>
  <c r="GK194" i="33"/>
  <c r="GJ194" i="33"/>
  <c r="GI194" i="33"/>
  <c r="GH194" i="33"/>
  <c r="GG194" i="33"/>
  <c r="GF194" i="33"/>
  <c r="GE194" i="33"/>
  <c r="GD194" i="33"/>
  <c r="GC194" i="33"/>
  <c r="GB194" i="33"/>
  <c r="GA194" i="33"/>
  <c r="FZ194" i="33"/>
  <c r="FY194" i="33"/>
  <c r="FX194" i="33"/>
  <c r="FW194" i="33"/>
  <c r="FV194" i="33"/>
  <c r="FU194" i="33"/>
  <c r="FT194" i="33"/>
  <c r="FS194" i="33"/>
  <c r="FR194" i="33"/>
  <c r="FQ194" i="33"/>
  <c r="FP194" i="33"/>
  <c r="FO194" i="33"/>
  <c r="FN194" i="33"/>
  <c r="FM194" i="33"/>
  <c r="FL194" i="33"/>
  <c r="FK194" i="33"/>
  <c r="FJ194" i="33"/>
  <c r="FI194" i="33"/>
  <c r="FH194" i="33"/>
  <c r="FG194" i="33"/>
  <c r="FF194" i="33"/>
  <c r="FE194" i="33"/>
  <c r="FD194" i="33"/>
  <c r="FC194" i="33"/>
  <c r="FB194" i="33"/>
  <c r="FA194" i="33"/>
  <c r="EZ194" i="33"/>
  <c r="EY194" i="33"/>
  <c r="EX194" i="33"/>
  <c r="EW194" i="33"/>
  <c r="EV194" i="33"/>
  <c r="EU194" i="33"/>
  <c r="ET194" i="33"/>
  <c r="ES194" i="33"/>
  <c r="ER194" i="33"/>
  <c r="EQ194" i="33"/>
  <c r="EP194" i="33"/>
  <c r="EO194" i="33"/>
  <c r="EN194" i="33"/>
  <c r="EM194" i="33"/>
  <c r="EL194" i="33"/>
  <c r="EK194" i="33"/>
  <c r="EJ194" i="33"/>
  <c r="EI194" i="33"/>
  <c r="EH194" i="33"/>
  <c r="EG194" i="33"/>
  <c r="EF194" i="33"/>
  <c r="EE194" i="33"/>
  <c r="ED194" i="33"/>
  <c r="EC194" i="33"/>
  <c r="EB194" i="33"/>
  <c r="EA194" i="33"/>
  <c r="DZ194" i="33"/>
  <c r="DY194" i="33"/>
  <c r="DX194" i="33"/>
  <c r="DW194" i="33"/>
  <c r="DV194" i="33"/>
  <c r="DU194" i="33"/>
  <c r="DT194" i="33"/>
  <c r="DS194" i="33"/>
  <c r="DR194" i="33"/>
  <c r="DQ194" i="33"/>
  <c r="DP194" i="33"/>
  <c r="DO194" i="33"/>
  <c r="DN194" i="33"/>
  <c r="DM194" i="33"/>
  <c r="DL194" i="33"/>
  <c r="DK194" i="33"/>
  <c r="DJ194" i="33"/>
  <c r="DI194" i="33"/>
  <c r="DH194" i="33"/>
  <c r="DG194" i="33"/>
  <c r="DF194" i="33"/>
  <c r="DE194" i="33"/>
  <c r="DD194" i="33"/>
  <c r="DC194" i="33"/>
  <c r="DB194" i="33"/>
  <c r="DA194" i="33"/>
  <c r="CZ194" i="33"/>
  <c r="CY194" i="33"/>
  <c r="CX194" i="33"/>
  <c r="CW194" i="33"/>
  <c r="CV194" i="33"/>
  <c r="CU194" i="33"/>
  <c r="CT194" i="33"/>
  <c r="CS194" i="33"/>
  <c r="CR194" i="33"/>
  <c r="CQ194" i="33"/>
  <c r="CP194" i="33"/>
  <c r="CO194" i="33"/>
  <c r="CN194" i="33"/>
  <c r="CM194" i="33"/>
  <c r="CL194" i="33"/>
  <c r="CK194" i="33"/>
  <c r="CJ194" i="33"/>
  <c r="CI194" i="33"/>
  <c r="CH194" i="33"/>
  <c r="CG194" i="33"/>
  <c r="CF194" i="33"/>
  <c r="CE194" i="33"/>
  <c r="CD194" i="33"/>
  <c r="CC194" i="33"/>
  <c r="CB194" i="33"/>
  <c r="CA194" i="33"/>
  <c r="BZ194" i="33"/>
  <c r="BY194" i="33"/>
  <c r="BX194" i="33"/>
  <c r="BW194" i="33"/>
  <c r="BV194" i="33"/>
  <c r="BU194" i="33"/>
  <c r="BT194" i="33"/>
  <c r="BS194" i="33"/>
  <c r="BR194" i="33"/>
  <c r="BQ194" i="33"/>
  <c r="BP194" i="33"/>
  <c r="BO194" i="33"/>
  <c r="BN194" i="33"/>
  <c r="BM194" i="33"/>
  <c r="BL194" i="33"/>
  <c r="BK194" i="33"/>
  <c r="BJ194" i="33"/>
  <c r="BI194" i="33"/>
  <c r="BH194" i="33"/>
  <c r="BG194" i="33"/>
  <c r="BF194" i="33"/>
  <c r="BE194" i="33"/>
  <c r="BD194" i="33"/>
  <c r="BC194" i="33"/>
  <c r="BB194" i="33"/>
  <c r="BA194" i="33"/>
  <c r="AZ194" i="33"/>
  <c r="AY194" i="33"/>
  <c r="AX194" i="33"/>
  <c r="AW194" i="33"/>
  <c r="AV194" i="33"/>
  <c r="AU194" i="33"/>
  <c r="AT194" i="33"/>
  <c r="AS194" i="33"/>
  <c r="AR194" i="33"/>
  <c r="AQ194" i="33"/>
  <c r="AP194" i="33"/>
  <c r="AO194" i="33"/>
  <c r="AN194" i="33"/>
  <c r="AM194" i="33"/>
  <c r="AL194" i="33"/>
  <c r="AK194" i="33"/>
  <c r="AJ194" i="33"/>
  <c r="AI194" i="33"/>
  <c r="AH194" i="33"/>
  <c r="AG194" i="33"/>
  <c r="AF194" i="33"/>
  <c r="AE194" i="33"/>
  <c r="AD194" i="33"/>
  <c r="AC194" i="33"/>
  <c r="AB194" i="33"/>
  <c r="AA194" i="33"/>
  <c r="Z194" i="33"/>
  <c r="Y194" i="33"/>
  <c r="X194" i="33"/>
  <c r="W194" i="33"/>
  <c r="V194" i="33"/>
  <c r="U194" i="33"/>
  <c r="T194" i="33"/>
  <c r="S194" i="33"/>
  <c r="R194" i="33"/>
  <c r="Q194" i="33"/>
  <c r="P194" i="33"/>
  <c r="O194" i="33"/>
  <c r="N194" i="33"/>
  <c r="M194" i="33"/>
  <c r="L194" i="33"/>
  <c r="K194" i="33"/>
  <c r="J194" i="33"/>
  <c r="I194" i="33"/>
  <c r="H194" i="33"/>
  <c r="G194" i="33"/>
  <c r="F194" i="33"/>
  <c r="E194" i="33"/>
  <c r="D194" i="33"/>
  <c r="C194" i="33"/>
  <c r="B194" i="33"/>
  <c r="A194" i="33"/>
  <c r="IV193" i="33"/>
  <c r="IU193" i="33"/>
  <c r="IT193" i="33"/>
  <c r="IS193" i="33"/>
  <c r="IR193" i="33"/>
  <c r="IQ193" i="33"/>
  <c r="IP193" i="33"/>
  <c r="IO193" i="33"/>
  <c r="IN193" i="33"/>
  <c r="IM193" i="33"/>
  <c r="IL193" i="33"/>
  <c r="IK193" i="33"/>
  <c r="IJ193" i="33"/>
  <c r="II193" i="33"/>
  <c r="IH193" i="33"/>
  <c r="IG193" i="33"/>
  <c r="IF193" i="33"/>
  <c r="IE193" i="33"/>
  <c r="ID193" i="33"/>
  <c r="IC193" i="33"/>
  <c r="IB193" i="33"/>
  <c r="IA193" i="33"/>
  <c r="HZ193" i="33"/>
  <c r="HY193" i="33"/>
  <c r="HX193" i="33"/>
  <c r="HW193" i="33"/>
  <c r="HV193" i="33"/>
  <c r="HU193" i="33"/>
  <c r="HT193" i="33"/>
  <c r="HS193" i="33"/>
  <c r="HR193" i="33"/>
  <c r="HQ193" i="33"/>
  <c r="HP193" i="33"/>
  <c r="HO193" i="33"/>
  <c r="HN193" i="33"/>
  <c r="HM193" i="33"/>
  <c r="HL193" i="33"/>
  <c r="HK193" i="33"/>
  <c r="HJ193" i="33"/>
  <c r="HI193" i="33"/>
  <c r="HH193" i="33"/>
  <c r="HG193" i="33"/>
  <c r="HF193" i="33"/>
  <c r="HE193" i="33"/>
  <c r="HD193" i="33"/>
  <c r="HC193" i="33"/>
  <c r="HB193" i="33"/>
  <c r="HA193" i="33"/>
  <c r="GZ193" i="33"/>
  <c r="GY193" i="33"/>
  <c r="GX193" i="33"/>
  <c r="GW193" i="33"/>
  <c r="GV193" i="33"/>
  <c r="GU193" i="33"/>
  <c r="GT193" i="33"/>
  <c r="GS193" i="33"/>
  <c r="GR193" i="33"/>
  <c r="GQ193" i="33"/>
  <c r="GP193" i="33"/>
  <c r="GO193" i="33"/>
  <c r="GN193" i="33"/>
  <c r="GM193" i="33"/>
  <c r="GL193" i="33"/>
  <c r="GK193" i="33"/>
  <c r="GJ193" i="33"/>
  <c r="GI193" i="33"/>
  <c r="GH193" i="33"/>
  <c r="GG193" i="33"/>
  <c r="GF193" i="33"/>
  <c r="GE193" i="33"/>
  <c r="GD193" i="33"/>
  <c r="GC193" i="33"/>
  <c r="GB193" i="33"/>
  <c r="GA193" i="33"/>
  <c r="FZ193" i="33"/>
  <c r="FY193" i="33"/>
  <c r="FX193" i="33"/>
  <c r="FW193" i="33"/>
  <c r="FV193" i="33"/>
  <c r="FU193" i="33"/>
  <c r="FT193" i="33"/>
  <c r="FS193" i="33"/>
  <c r="FR193" i="33"/>
  <c r="FQ193" i="33"/>
  <c r="FP193" i="33"/>
  <c r="FO193" i="33"/>
  <c r="FN193" i="33"/>
  <c r="FM193" i="33"/>
  <c r="FL193" i="33"/>
  <c r="FK193" i="33"/>
  <c r="FJ193" i="33"/>
  <c r="FI193" i="33"/>
  <c r="FH193" i="33"/>
  <c r="FG193" i="33"/>
  <c r="FF193" i="33"/>
  <c r="FE193" i="33"/>
  <c r="FD193" i="33"/>
  <c r="FC193" i="33"/>
  <c r="FB193" i="33"/>
  <c r="FA193" i="33"/>
  <c r="EZ193" i="33"/>
  <c r="EY193" i="33"/>
  <c r="EX193" i="33"/>
  <c r="EW193" i="33"/>
  <c r="EV193" i="33"/>
  <c r="EU193" i="33"/>
  <c r="ET193" i="33"/>
  <c r="ES193" i="33"/>
  <c r="ER193" i="33"/>
  <c r="EQ193" i="33"/>
  <c r="EP193" i="33"/>
  <c r="EO193" i="33"/>
  <c r="EN193" i="33"/>
  <c r="EM193" i="33"/>
  <c r="EL193" i="33"/>
  <c r="EK193" i="33"/>
  <c r="EJ193" i="33"/>
  <c r="EI193" i="33"/>
  <c r="EH193" i="33"/>
  <c r="EG193" i="33"/>
  <c r="EF193" i="33"/>
  <c r="EE193" i="33"/>
  <c r="ED193" i="33"/>
  <c r="EC193" i="33"/>
  <c r="EB193" i="33"/>
  <c r="EA193" i="33"/>
  <c r="DZ193" i="33"/>
  <c r="DY193" i="33"/>
  <c r="DX193" i="33"/>
  <c r="DW193" i="33"/>
  <c r="DV193" i="33"/>
  <c r="DU193" i="33"/>
  <c r="DT193" i="33"/>
  <c r="DS193" i="33"/>
  <c r="DR193" i="33"/>
  <c r="DQ193" i="33"/>
  <c r="DP193" i="33"/>
  <c r="DO193" i="33"/>
  <c r="DN193" i="33"/>
  <c r="DM193" i="33"/>
  <c r="DL193" i="33"/>
  <c r="DK193" i="33"/>
  <c r="DJ193" i="33"/>
  <c r="DI193" i="33"/>
  <c r="DH193" i="33"/>
  <c r="DG193" i="33"/>
  <c r="DF193" i="33"/>
  <c r="DE193" i="33"/>
  <c r="DD193" i="33"/>
  <c r="DC193" i="33"/>
  <c r="DB193" i="33"/>
  <c r="DA193" i="33"/>
  <c r="CZ193" i="33"/>
  <c r="CY193" i="33"/>
  <c r="CX193" i="33"/>
  <c r="CW193" i="33"/>
  <c r="CV193" i="33"/>
  <c r="CU193" i="33"/>
  <c r="CT193" i="33"/>
  <c r="CS193" i="33"/>
  <c r="CR193" i="33"/>
  <c r="CQ193" i="33"/>
  <c r="CP193" i="33"/>
  <c r="CO193" i="33"/>
  <c r="CN193" i="33"/>
  <c r="CM193" i="33"/>
  <c r="CL193" i="33"/>
  <c r="CK193" i="33"/>
  <c r="CJ193" i="33"/>
  <c r="CI193" i="33"/>
  <c r="CH193" i="33"/>
  <c r="CG193" i="33"/>
  <c r="CF193" i="33"/>
  <c r="CE193" i="33"/>
  <c r="CD193" i="33"/>
  <c r="CC193" i="33"/>
  <c r="CB193" i="33"/>
  <c r="CA193" i="33"/>
  <c r="BZ193" i="33"/>
  <c r="BY193" i="33"/>
  <c r="BX193" i="33"/>
  <c r="BW193" i="33"/>
  <c r="BV193" i="33"/>
  <c r="BU193" i="33"/>
  <c r="BT193" i="33"/>
  <c r="BS193" i="33"/>
  <c r="BR193" i="33"/>
  <c r="BQ193" i="33"/>
  <c r="BP193" i="33"/>
  <c r="BO193" i="33"/>
  <c r="BN193" i="33"/>
  <c r="BM193" i="33"/>
  <c r="BL193" i="33"/>
  <c r="BK193" i="33"/>
  <c r="BJ193" i="33"/>
  <c r="BI193" i="33"/>
  <c r="BH193" i="33"/>
  <c r="BG193" i="33"/>
  <c r="BF193" i="33"/>
  <c r="BE193" i="33"/>
  <c r="BD193" i="33"/>
  <c r="BC193" i="33"/>
  <c r="BB193" i="33"/>
  <c r="BA193" i="33"/>
  <c r="AZ193" i="33"/>
  <c r="AY193" i="33"/>
  <c r="AX193" i="33"/>
  <c r="AW193" i="33"/>
  <c r="AV193" i="33"/>
  <c r="AU193" i="33"/>
  <c r="AT193" i="33"/>
  <c r="AS193" i="33"/>
  <c r="AR193" i="33"/>
  <c r="AQ193" i="33"/>
  <c r="AP193" i="33"/>
  <c r="AO193" i="33"/>
  <c r="AN193" i="33"/>
  <c r="AM193" i="33"/>
  <c r="AL193" i="33"/>
  <c r="AK193" i="33"/>
  <c r="AJ193" i="33"/>
  <c r="AI193" i="33"/>
  <c r="AH193" i="33"/>
  <c r="AG193" i="33"/>
  <c r="AF193" i="33"/>
  <c r="AE193" i="33"/>
  <c r="AD193" i="33"/>
  <c r="AC193" i="33"/>
  <c r="AB193" i="33"/>
  <c r="AA193" i="33"/>
  <c r="Z193" i="33"/>
  <c r="Y193" i="33"/>
  <c r="X193" i="33"/>
  <c r="W193" i="33"/>
  <c r="V193" i="33"/>
  <c r="U193" i="33"/>
  <c r="T193" i="33"/>
  <c r="S193" i="33"/>
  <c r="R193" i="33"/>
  <c r="Q193" i="33"/>
  <c r="P193" i="33"/>
  <c r="O193" i="33"/>
  <c r="N193" i="33"/>
  <c r="M193" i="33"/>
  <c r="L193" i="33"/>
  <c r="K193" i="33"/>
  <c r="J193" i="33"/>
  <c r="I193" i="33"/>
  <c r="H193" i="33"/>
  <c r="G193" i="33"/>
  <c r="F193" i="33"/>
  <c r="E193" i="33"/>
  <c r="D193" i="33"/>
  <c r="C193" i="33"/>
  <c r="B193" i="33"/>
  <c r="A193" i="33"/>
  <c r="IV192" i="33"/>
  <c r="IU192" i="33"/>
  <c r="IT192" i="33"/>
  <c r="IS192" i="33"/>
  <c r="IR192" i="33"/>
  <c r="IQ192" i="33"/>
  <c r="IP192" i="33"/>
  <c r="IO192" i="33"/>
  <c r="IN192" i="33"/>
  <c r="IM192" i="33"/>
  <c r="IL192" i="33"/>
  <c r="IK192" i="33"/>
  <c r="IJ192" i="33"/>
  <c r="II192" i="33"/>
  <c r="IH192" i="33"/>
  <c r="IG192" i="33"/>
  <c r="IF192" i="33"/>
  <c r="IE192" i="33"/>
  <c r="ID192" i="33"/>
  <c r="IC192" i="33"/>
  <c r="IB192" i="33"/>
  <c r="IA192" i="33"/>
  <c r="HZ192" i="33"/>
  <c r="HY192" i="33"/>
  <c r="HX192" i="33"/>
  <c r="HW192" i="33"/>
  <c r="HV192" i="33"/>
  <c r="HU192" i="33"/>
  <c r="HT192" i="33"/>
  <c r="HS192" i="33"/>
  <c r="HR192" i="33"/>
  <c r="HQ192" i="33"/>
  <c r="HP192" i="33"/>
  <c r="HO192" i="33"/>
  <c r="HN192" i="33"/>
  <c r="HM192" i="33"/>
  <c r="HL192" i="33"/>
  <c r="HK192" i="33"/>
  <c r="HJ192" i="33"/>
  <c r="HI192" i="33"/>
  <c r="HH192" i="33"/>
  <c r="HG192" i="33"/>
  <c r="HF192" i="33"/>
  <c r="HE192" i="33"/>
  <c r="HD192" i="33"/>
  <c r="HC192" i="33"/>
  <c r="HB192" i="33"/>
  <c r="HA192" i="33"/>
  <c r="GZ192" i="33"/>
  <c r="GY192" i="33"/>
  <c r="GX192" i="33"/>
  <c r="GW192" i="33"/>
  <c r="GV192" i="33"/>
  <c r="GU192" i="33"/>
  <c r="GT192" i="33"/>
  <c r="GS192" i="33"/>
  <c r="GR192" i="33"/>
  <c r="GQ192" i="33"/>
  <c r="GP192" i="33"/>
  <c r="GO192" i="33"/>
  <c r="GN192" i="33"/>
  <c r="GM192" i="33"/>
  <c r="GL192" i="33"/>
  <c r="GK192" i="33"/>
  <c r="GJ192" i="33"/>
  <c r="GI192" i="33"/>
  <c r="GH192" i="33"/>
  <c r="GG192" i="33"/>
  <c r="GF192" i="33"/>
  <c r="GE192" i="33"/>
  <c r="GD192" i="33"/>
  <c r="GC192" i="33"/>
  <c r="GB192" i="33"/>
  <c r="GA192" i="33"/>
  <c r="FZ192" i="33"/>
  <c r="FY192" i="33"/>
  <c r="FX192" i="33"/>
  <c r="FW192" i="33"/>
  <c r="FV192" i="33"/>
  <c r="FU192" i="33"/>
  <c r="FT192" i="33"/>
  <c r="FS192" i="33"/>
  <c r="FR192" i="33"/>
  <c r="FQ192" i="33"/>
  <c r="FP192" i="33"/>
  <c r="FO192" i="33"/>
  <c r="FN192" i="33"/>
  <c r="FM192" i="33"/>
  <c r="FL192" i="33"/>
  <c r="FK192" i="33"/>
  <c r="FJ192" i="33"/>
  <c r="FI192" i="33"/>
  <c r="FH192" i="33"/>
  <c r="FG192" i="33"/>
  <c r="FF192" i="33"/>
  <c r="FE192" i="33"/>
  <c r="FD192" i="33"/>
  <c r="FC192" i="33"/>
  <c r="FB192" i="33"/>
  <c r="FA192" i="33"/>
  <c r="EZ192" i="33"/>
  <c r="EY192" i="33"/>
  <c r="EX192" i="33"/>
  <c r="EW192" i="33"/>
  <c r="EV192" i="33"/>
  <c r="EU192" i="33"/>
  <c r="ET192" i="33"/>
  <c r="ES192" i="33"/>
  <c r="ER192" i="33"/>
  <c r="EQ192" i="33"/>
  <c r="EP192" i="33"/>
  <c r="EO192" i="33"/>
  <c r="EN192" i="33"/>
  <c r="EM192" i="33"/>
  <c r="EL192" i="33"/>
  <c r="EK192" i="33"/>
  <c r="EJ192" i="33"/>
  <c r="EI192" i="33"/>
  <c r="EH192" i="33"/>
  <c r="EG192" i="33"/>
  <c r="EF192" i="33"/>
  <c r="EE192" i="33"/>
  <c r="ED192" i="33"/>
  <c r="EC192" i="33"/>
  <c r="EB192" i="33"/>
  <c r="EA192" i="33"/>
  <c r="DZ192" i="33"/>
  <c r="DY192" i="33"/>
  <c r="DX192" i="33"/>
  <c r="DW192" i="33"/>
  <c r="DV192" i="33"/>
  <c r="DU192" i="33"/>
  <c r="DT192" i="33"/>
  <c r="DS192" i="33"/>
  <c r="DR192" i="33"/>
  <c r="DQ192" i="33"/>
  <c r="DP192" i="33"/>
  <c r="DO192" i="33"/>
  <c r="DN192" i="33"/>
  <c r="DM192" i="33"/>
  <c r="DL192" i="33"/>
  <c r="DK192" i="33"/>
  <c r="DJ192" i="33"/>
  <c r="DI192" i="33"/>
  <c r="DH192" i="33"/>
  <c r="DG192" i="33"/>
  <c r="DF192" i="33"/>
  <c r="DE192" i="33"/>
  <c r="DD192" i="33"/>
  <c r="DC192" i="33"/>
  <c r="DB192" i="33"/>
  <c r="DA192" i="33"/>
  <c r="CZ192" i="33"/>
  <c r="CY192" i="33"/>
  <c r="CX192" i="33"/>
  <c r="CW192" i="33"/>
  <c r="CV192" i="33"/>
  <c r="CU192" i="33"/>
  <c r="CT192" i="33"/>
  <c r="CS192" i="33"/>
  <c r="CR192" i="33"/>
  <c r="CQ192" i="33"/>
  <c r="CP192" i="33"/>
  <c r="CO192" i="33"/>
  <c r="CN192" i="33"/>
  <c r="CM192" i="33"/>
  <c r="CL192" i="33"/>
  <c r="CK192" i="33"/>
  <c r="CJ192" i="33"/>
  <c r="CI192" i="33"/>
  <c r="CH192" i="33"/>
  <c r="CG192" i="33"/>
  <c r="CF192" i="33"/>
  <c r="CE192" i="33"/>
  <c r="CD192" i="33"/>
  <c r="CC192" i="33"/>
  <c r="CB192" i="33"/>
  <c r="CA192" i="33"/>
  <c r="BZ192" i="33"/>
  <c r="BY192" i="33"/>
  <c r="BX192" i="33"/>
  <c r="BW192" i="33"/>
  <c r="BV192" i="33"/>
  <c r="BU192" i="33"/>
  <c r="BT192" i="33"/>
  <c r="BS192" i="33"/>
  <c r="BR192" i="33"/>
  <c r="BQ192" i="33"/>
  <c r="BP192" i="33"/>
  <c r="BO192" i="33"/>
  <c r="BN192" i="33"/>
  <c r="BM192" i="33"/>
  <c r="BL192" i="33"/>
  <c r="BK192" i="33"/>
  <c r="BJ192" i="33"/>
  <c r="BI192" i="33"/>
  <c r="BH192" i="33"/>
  <c r="BG192" i="33"/>
  <c r="BF192" i="33"/>
  <c r="BE192" i="33"/>
  <c r="BD192" i="33"/>
  <c r="BC192" i="33"/>
  <c r="BB192" i="33"/>
  <c r="BA192" i="33"/>
  <c r="AZ192" i="33"/>
  <c r="AY192" i="33"/>
  <c r="AX192" i="33"/>
  <c r="AW192" i="33"/>
  <c r="AV192" i="33"/>
  <c r="AU192" i="33"/>
  <c r="AT192" i="33"/>
  <c r="AS192" i="33"/>
  <c r="AR192" i="33"/>
  <c r="AQ192" i="33"/>
  <c r="AP192" i="33"/>
  <c r="AO192" i="33"/>
  <c r="AN192" i="33"/>
  <c r="AM192" i="33"/>
  <c r="AL192" i="33"/>
  <c r="AK192" i="33"/>
  <c r="AJ192" i="33"/>
  <c r="AI192" i="33"/>
  <c r="AH192" i="33"/>
  <c r="AG192" i="33"/>
  <c r="AF192" i="33"/>
  <c r="AE192" i="33"/>
  <c r="AD192" i="33"/>
  <c r="AC192" i="33"/>
  <c r="AB192" i="33"/>
  <c r="AA192" i="33"/>
  <c r="Z192" i="33"/>
  <c r="Y192" i="33"/>
  <c r="X192" i="33"/>
  <c r="W192" i="33"/>
  <c r="V192" i="33"/>
  <c r="U192" i="33"/>
  <c r="T192" i="33"/>
  <c r="S192" i="33"/>
  <c r="R192" i="33"/>
  <c r="Q192" i="33"/>
  <c r="P192" i="33"/>
  <c r="O192" i="33"/>
  <c r="N192" i="33"/>
  <c r="M192" i="33"/>
  <c r="L192" i="33"/>
  <c r="K192" i="33"/>
  <c r="J192" i="33"/>
  <c r="I192" i="33"/>
  <c r="H192" i="33"/>
  <c r="G192" i="33"/>
  <c r="F192" i="33"/>
  <c r="E192" i="33"/>
  <c r="D192" i="33"/>
  <c r="C192" i="33"/>
  <c r="B192" i="33"/>
  <c r="A192" i="33"/>
  <c r="IV191" i="33"/>
  <c r="IU191" i="33"/>
  <c r="IT191" i="33"/>
  <c r="IS191" i="33"/>
  <c r="IR191" i="33"/>
  <c r="IQ191" i="33"/>
  <c r="IP191" i="33"/>
  <c r="IO191" i="33"/>
  <c r="IN191" i="33"/>
  <c r="IM191" i="33"/>
  <c r="IL191" i="33"/>
  <c r="IK191" i="33"/>
  <c r="IJ191" i="33"/>
  <c r="II191" i="33"/>
  <c r="IH191" i="33"/>
  <c r="IG191" i="33"/>
  <c r="IF191" i="33"/>
  <c r="IE191" i="33"/>
  <c r="ID191" i="33"/>
  <c r="IC191" i="33"/>
  <c r="IB191" i="33"/>
  <c r="IA191" i="33"/>
  <c r="HZ191" i="33"/>
  <c r="HY191" i="33"/>
  <c r="HX191" i="33"/>
  <c r="HW191" i="33"/>
  <c r="HV191" i="33"/>
  <c r="HU191" i="33"/>
  <c r="HT191" i="33"/>
  <c r="HS191" i="33"/>
  <c r="HR191" i="33"/>
  <c r="HQ191" i="33"/>
  <c r="HP191" i="33"/>
  <c r="HO191" i="33"/>
  <c r="HN191" i="33"/>
  <c r="HM191" i="33"/>
  <c r="HL191" i="33"/>
  <c r="HK191" i="33"/>
  <c r="HJ191" i="33"/>
  <c r="HI191" i="33"/>
  <c r="HH191" i="33"/>
  <c r="HG191" i="33"/>
  <c r="HF191" i="33"/>
  <c r="HE191" i="33"/>
  <c r="HD191" i="33"/>
  <c r="HC191" i="33"/>
  <c r="HB191" i="33"/>
  <c r="HA191" i="33"/>
  <c r="GZ191" i="33"/>
  <c r="GY191" i="33"/>
  <c r="GX191" i="33"/>
  <c r="GW191" i="33"/>
  <c r="GV191" i="33"/>
  <c r="GU191" i="33"/>
  <c r="GT191" i="33"/>
  <c r="GS191" i="33"/>
  <c r="GR191" i="33"/>
  <c r="GQ191" i="33"/>
  <c r="GP191" i="33"/>
  <c r="GO191" i="33"/>
  <c r="GN191" i="33"/>
  <c r="GM191" i="33"/>
  <c r="GL191" i="33"/>
  <c r="GK191" i="33"/>
  <c r="GJ191" i="33"/>
  <c r="GI191" i="33"/>
  <c r="GH191" i="33"/>
  <c r="GG191" i="33"/>
  <c r="GF191" i="33"/>
  <c r="GE191" i="33"/>
  <c r="GD191" i="33"/>
  <c r="GC191" i="33"/>
  <c r="GB191" i="33"/>
  <c r="GA191" i="33"/>
  <c r="FZ191" i="33"/>
  <c r="FY191" i="33"/>
  <c r="FX191" i="33"/>
  <c r="FW191" i="33"/>
  <c r="FV191" i="33"/>
  <c r="FU191" i="33"/>
  <c r="FT191" i="33"/>
  <c r="FS191" i="33"/>
  <c r="FR191" i="33"/>
  <c r="FQ191" i="33"/>
  <c r="FP191" i="33"/>
  <c r="FO191" i="33"/>
  <c r="FN191" i="33"/>
  <c r="FM191" i="33"/>
  <c r="FL191" i="33"/>
  <c r="FK191" i="33"/>
  <c r="FJ191" i="33"/>
  <c r="FI191" i="33"/>
  <c r="FH191" i="33"/>
  <c r="FG191" i="33"/>
  <c r="FF191" i="33"/>
  <c r="FE191" i="33"/>
  <c r="FD191" i="33"/>
  <c r="FC191" i="33"/>
  <c r="FB191" i="33"/>
  <c r="FA191" i="33"/>
  <c r="EZ191" i="33"/>
  <c r="EY191" i="33"/>
  <c r="EX191" i="33"/>
  <c r="EW191" i="33"/>
  <c r="EV191" i="33"/>
  <c r="EU191" i="33"/>
  <c r="ET191" i="33"/>
  <c r="ES191" i="33"/>
  <c r="ER191" i="33"/>
  <c r="EQ191" i="33"/>
  <c r="EP191" i="33"/>
  <c r="EO191" i="33"/>
  <c r="EN191" i="33"/>
  <c r="EM191" i="33"/>
  <c r="EL191" i="33"/>
  <c r="EK191" i="33"/>
  <c r="EJ191" i="33"/>
  <c r="EI191" i="33"/>
  <c r="EH191" i="33"/>
  <c r="EG191" i="33"/>
  <c r="EF191" i="33"/>
  <c r="EE191" i="33"/>
  <c r="ED191" i="33"/>
  <c r="EC191" i="33"/>
  <c r="EB191" i="33"/>
  <c r="EA191" i="33"/>
  <c r="DZ191" i="33"/>
  <c r="DY191" i="33"/>
  <c r="DX191" i="33"/>
  <c r="DW191" i="33"/>
  <c r="DV191" i="33"/>
  <c r="DU191" i="33"/>
  <c r="DT191" i="33"/>
  <c r="DS191" i="33"/>
  <c r="DR191" i="33"/>
  <c r="DQ191" i="33"/>
  <c r="DP191" i="33"/>
  <c r="DO191" i="33"/>
  <c r="DN191" i="33"/>
  <c r="DM191" i="33"/>
  <c r="DL191" i="33"/>
  <c r="DK191" i="33"/>
  <c r="DJ191" i="33"/>
  <c r="DI191" i="33"/>
  <c r="DH191" i="33"/>
  <c r="DG191" i="33"/>
  <c r="DF191" i="33"/>
  <c r="DE191" i="33"/>
  <c r="DD191" i="33"/>
  <c r="DC191" i="33"/>
  <c r="DB191" i="33"/>
  <c r="DA191" i="33"/>
  <c r="CZ191" i="33"/>
  <c r="CY191" i="33"/>
  <c r="CX191" i="33"/>
  <c r="CW191" i="33"/>
  <c r="CV191" i="33"/>
  <c r="CU191" i="33"/>
  <c r="CT191" i="33"/>
  <c r="CS191" i="33"/>
  <c r="CR191" i="33"/>
  <c r="CQ191" i="33"/>
  <c r="CP191" i="33"/>
  <c r="CO191" i="33"/>
  <c r="CN191" i="33"/>
  <c r="CM191" i="33"/>
  <c r="CL191" i="33"/>
  <c r="CK191" i="33"/>
  <c r="CJ191" i="33"/>
  <c r="CI191" i="33"/>
  <c r="CH191" i="33"/>
  <c r="CG191" i="33"/>
  <c r="CF191" i="33"/>
  <c r="CE191" i="33"/>
  <c r="CD191" i="33"/>
  <c r="CC191" i="33"/>
  <c r="CB191" i="33"/>
  <c r="CA191" i="33"/>
  <c r="BZ191" i="33"/>
  <c r="BY191" i="33"/>
  <c r="BX191" i="33"/>
  <c r="BW191" i="33"/>
  <c r="BV191" i="33"/>
  <c r="BU191" i="33"/>
  <c r="BT191" i="33"/>
  <c r="BS191" i="33"/>
  <c r="BR191" i="33"/>
  <c r="BQ191" i="33"/>
  <c r="BP191" i="33"/>
  <c r="BO191" i="33"/>
  <c r="BN191" i="33"/>
  <c r="BM191" i="33"/>
  <c r="BL191" i="33"/>
  <c r="BK191" i="33"/>
  <c r="BJ191" i="33"/>
  <c r="BI191" i="33"/>
  <c r="BH191" i="33"/>
  <c r="BG191" i="33"/>
  <c r="BF191" i="33"/>
  <c r="BE191" i="33"/>
  <c r="BD191" i="33"/>
  <c r="BC191" i="33"/>
  <c r="BB191" i="33"/>
  <c r="BA191" i="33"/>
  <c r="AZ191" i="33"/>
  <c r="AY191" i="33"/>
  <c r="AX191" i="33"/>
  <c r="AW191" i="33"/>
  <c r="AV191" i="33"/>
  <c r="AU191" i="33"/>
  <c r="AT191" i="33"/>
  <c r="AS191" i="33"/>
  <c r="AR191" i="33"/>
  <c r="AQ191" i="33"/>
  <c r="AP191" i="33"/>
  <c r="AO191" i="33"/>
  <c r="AN191" i="33"/>
  <c r="AM191" i="33"/>
  <c r="AL191" i="33"/>
  <c r="AK191" i="33"/>
  <c r="AJ191" i="33"/>
  <c r="AI191" i="33"/>
  <c r="AH191" i="33"/>
  <c r="AG191" i="33"/>
  <c r="AF191" i="33"/>
  <c r="AE191" i="33"/>
  <c r="AD191" i="33"/>
  <c r="AC191" i="33"/>
  <c r="AB191" i="33"/>
  <c r="AA191" i="33"/>
  <c r="Z191" i="33"/>
  <c r="Y191" i="33"/>
  <c r="X191" i="33"/>
  <c r="W191" i="33"/>
  <c r="V191" i="33"/>
  <c r="U191" i="33"/>
  <c r="T191" i="33"/>
  <c r="S191" i="33"/>
  <c r="R191" i="33"/>
  <c r="Q191" i="33"/>
  <c r="P191" i="33"/>
  <c r="O191" i="33"/>
  <c r="N191" i="33"/>
  <c r="M191" i="33"/>
  <c r="L191" i="33"/>
  <c r="K191" i="33"/>
  <c r="J191" i="33"/>
  <c r="I191" i="33"/>
  <c r="H191" i="33"/>
  <c r="G191" i="33"/>
  <c r="F191" i="33"/>
  <c r="E191" i="33"/>
  <c r="D191" i="33"/>
  <c r="C191" i="33"/>
  <c r="B191" i="33"/>
  <c r="A191" i="33"/>
  <c r="IV190" i="33"/>
  <c r="IU190" i="33"/>
  <c r="IT190" i="33"/>
  <c r="IS190" i="33"/>
  <c r="IR190" i="33"/>
  <c r="IQ190" i="33"/>
  <c r="IP190" i="33"/>
  <c r="IO190" i="33"/>
  <c r="IN190" i="33"/>
  <c r="IM190" i="33"/>
  <c r="IL190" i="33"/>
  <c r="IK190" i="33"/>
  <c r="IJ190" i="33"/>
  <c r="II190" i="33"/>
  <c r="IH190" i="33"/>
  <c r="IG190" i="33"/>
  <c r="IF190" i="33"/>
  <c r="IE190" i="33"/>
  <c r="ID190" i="33"/>
  <c r="IC190" i="33"/>
  <c r="IB190" i="33"/>
  <c r="IA190" i="33"/>
  <c r="HZ190" i="33"/>
  <c r="HY190" i="33"/>
  <c r="HX190" i="33"/>
  <c r="HW190" i="33"/>
  <c r="HV190" i="33"/>
  <c r="HU190" i="33"/>
  <c r="HT190" i="33"/>
  <c r="HS190" i="33"/>
  <c r="HR190" i="33"/>
  <c r="HQ190" i="33"/>
  <c r="HP190" i="33"/>
  <c r="HO190" i="33"/>
  <c r="HN190" i="33"/>
  <c r="HM190" i="33"/>
  <c r="HL190" i="33"/>
  <c r="HK190" i="33"/>
  <c r="HJ190" i="33"/>
  <c r="HI190" i="33"/>
  <c r="HH190" i="33"/>
  <c r="HG190" i="33"/>
  <c r="HF190" i="33"/>
  <c r="HE190" i="33"/>
  <c r="HD190" i="33"/>
  <c r="HC190" i="33"/>
  <c r="HB190" i="33"/>
  <c r="HA190" i="33"/>
  <c r="GZ190" i="33"/>
  <c r="GY190" i="33"/>
  <c r="GX190" i="33"/>
  <c r="GW190" i="33"/>
  <c r="GV190" i="33"/>
  <c r="GU190" i="33"/>
  <c r="GT190" i="33"/>
  <c r="GS190" i="33"/>
  <c r="GR190" i="33"/>
  <c r="GQ190" i="33"/>
  <c r="GP190" i="33"/>
  <c r="GO190" i="33"/>
  <c r="GN190" i="33"/>
  <c r="GM190" i="33"/>
  <c r="GL190" i="33"/>
  <c r="GK190" i="33"/>
  <c r="GJ190" i="33"/>
  <c r="GI190" i="33"/>
  <c r="GH190" i="33"/>
  <c r="GG190" i="33"/>
  <c r="GF190" i="33"/>
  <c r="GE190" i="33"/>
  <c r="GD190" i="33"/>
  <c r="GC190" i="33"/>
  <c r="GB190" i="33"/>
  <c r="GA190" i="33"/>
  <c r="FZ190" i="33"/>
  <c r="FY190" i="33"/>
  <c r="FX190" i="33"/>
  <c r="FW190" i="33"/>
  <c r="FV190" i="33"/>
  <c r="FU190" i="33"/>
  <c r="FT190" i="33"/>
  <c r="FS190" i="33"/>
  <c r="FR190" i="33"/>
  <c r="FQ190" i="33"/>
  <c r="FP190" i="33"/>
  <c r="FO190" i="33"/>
  <c r="FN190" i="33"/>
  <c r="FM190" i="33"/>
  <c r="FL190" i="33"/>
  <c r="FK190" i="33"/>
  <c r="FJ190" i="33"/>
  <c r="FI190" i="33"/>
  <c r="FH190" i="33"/>
  <c r="FG190" i="33"/>
  <c r="FF190" i="33"/>
  <c r="FE190" i="33"/>
  <c r="FD190" i="33"/>
  <c r="FC190" i="33"/>
  <c r="FB190" i="33"/>
  <c r="FA190" i="33"/>
  <c r="EZ190" i="33"/>
  <c r="EY190" i="33"/>
  <c r="EX190" i="33"/>
  <c r="EW190" i="33"/>
  <c r="EV190" i="33"/>
  <c r="EU190" i="33"/>
  <c r="ET190" i="33"/>
  <c r="ES190" i="33"/>
  <c r="ER190" i="33"/>
  <c r="EQ190" i="33"/>
  <c r="EP190" i="33"/>
  <c r="EO190" i="33"/>
  <c r="EN190" i="33"/>
  <c r="EM190" i="33"/>
  <c r="EL190" i="33"/>
  <c r="EK190" i="33"/>
  <c r="EJ190" i="33"/>
  <c r="EI190" i="33"/>
  <c r="EH190" i="33"/>
  <c r="EG190" i="33"/>
  <c r="EF190" i="33"/>
  <c r="EE190" i="33"/>
  <c r="ED190" i="33"/>
  <c r="EC190" i="33"/>
  <c r="EB190" i="33"/>
  <c r="EA190" i="33"/>
  <c r="DZ190" i="33"/>
  <c r="DY190" i="33"/>
  <c r="DX190" i="33"/>
  <c r="DW190" i="33"/>
  <c r="DV190" i="33"/>
  <c r="DU190" i="33"/>
  <c r="DT190" i="33"/>
  <c r="DS190" i="33"/>
  <c r="DR190" i="33"/>
  <c r="DQ190" i="33"/>
  <c r="DP190" i="33"/>
  <c r="DO190" i="33"/>
  <c r="DN190" i="33"/>
  <c r="DM190" i="33"/>
  <c r="DL190" i="33"/>
  <c r="DK190" i="33"/>
  <c r="DJ190" i="33"/>
  <c r="DI190" i="33"/>
  <c r="DH190" i="33"/>
  <c r="DG190" i="33"/>
  <c r="DF190" i="33"/>
  <c r="DE190" i="33"/>
  <c r="DD190" i="33"/>
  <c r="DC190" i="33"/>
  <c r="DB190" i="33"/>
  <c r="DA190" i="33"/>
  <c r="CZ190" i="33"/>
  <c r="CY190" i="33"/>
  <c r="CX190" i="33"/>
  <c r="CW190" i="33"/>
  <c r="CV190" i="33"/>
  <c r="CU190" i="33"/>
  <c r="CT190" i="33"/>
  <c r="CS190" i="33"/>
  <c r="CR190" i="33"/>
  <c r="CQ190" i="33"/>
  <c r="CP190" i="33"/>
  <c r="CO190" i="33"/>
  <c r="CN190" i="33"/>
  <c r="CM190" i="33"/>
  <c r="CL190" i="33"/>
  <c r="CK190" i="33"/>
  <c r="CJ190" i="33"/>
  <c r="CI190" i="33"/>
  <c r="CH190" i="33"/>
  <c r="CG190" i="33"/>
  <c r="CF190" i="33"/>
  <c r="CE190" i="33"/>
  <c r="CD190" i="33"/>
  <c r="CC190" i="33"/>
  <c r="CB190" i="33"/>
  <c r="CA190" i="33"/>
  <c r="BZ190" i="33"/>
  <c r="BY190" i="33"/>
  <c r="BX190" i="33"/>
  <c r="BW190" i="33"/>
  <c r="BV190" i="33"/>
  <c r="BU190" i="33"/>
  <c r="BT190" i="33"/>
  <c r="BS190" i="33"/>
  <c r="BR190" i="33"/>
  <c r="BQ190" i="33"/>
  <c r="BP190" i="33"/>
  <c r="BO190" i="33"/>
  <c r="BN190" i="33"/>
  <c r="BM190" i="33"/>
  <c r="BL190" i="33"/>
  <c r="BK190" i="33"/>
  <c r="BJ190" i="33"/>
  <c r="BI190" i="33"/>
  <c r="BH190" i="33"/>
  <c r="BG190" i="33"/>
  <c r="BF190" i="33"/>
  <c r="BE190" i="33"/>
  <c r="BD190" i="33"/>
  <c r="BC190" i="33"/>
  <c r="BB190" i="33"/>
  <c r="BA190" i="33"/>
  <c r="AZ190" i="33"/>
  <c r="AY190" i="33"/>
  <c r="AX190" i="33"/>
  <c r="AW190" i="33"/>
  <c r="AV190" i="33"/>
  <c r="AU190" i="33"/>
  <c r="AT190" i="33"/>
  <c r="AS190" i="33"/>
  <c r="AR190" i="33"/>
  <c r="AQ190" i="33"/>
  <c r="AP190" i="33"/>
  <c r="AO190" i="33"/>
  <c r="AN190" i="33"/>
  <c r="AM190" i="33"/>
  <c r="AL190" i="33"/>
  <c r="AK190" i="33"/>
  <c r="AJ190" i="33"/>
  <c r="AI190" i="33"/>
  <c r="AH190" i="33"/>
  <c r="AG190" i="33"/>
  <c r="AF190" i="33"/>
  <c r="AE190" i="33"/>
  <c r="AD190" i="33"/>
  <c r="AC190" i="33"/>
  <c r="AB190" i="33"/>
  <c r="AA190" i="33"/>
  <c r="Z190" i="33"/>
  <c r="Y190" i="33"/>
  <c r="X190" i="33"/>
  <c r="W190" i="33"/>
  <c r="V190" i="33"/>
  <c r="U190" i="33"/>
  <c r="T190" i="33"/>
  <c r="S190" i="33"/>
  <c r="R190" i="33"/>
  <c r="Q190" i="33"/>
  <c r="P190" i="33"/>
  <c r="O190" i="33"/>
  <c r="N190" i="33"/>
  <c r="M190" i="33"/>
  <c r="L190" i="33"/>
  <c r="K190" i="33"/>
  <c r="J190" i="33"/>
  <c r="I190" i="33"/>
  <c r="H190" i="33"/>
  <c r="G190" i="33"/>
  <c r="F190" i="33"/>
  <c r="E190" i="33"/>
  <c r="D190" i="33"/>
  <c r="C190" i="33"/>
  <c r="B190" i="33"/>
  <c r="A190" i="33"/>
  <c r="IV189" i="33"/>
  <c r="IU189" i="33"/>
  <c r="IT189" i="33"/>
  <c r="IS189" i="33"/>
  <c r="IR189" i="33"/>
  <c r="IQ189" i="33"/>
  <c r="IP189" i="33"/>
  <c r="IO189" i="33"/>
  <c r="IN189" i="33"/>
  <c r="IM189" i="33"/>
  <c r="IL189" i="33"/>
  <c r="IK189" i="33"/>
  <c r="IJ189" i="33"/>
  <c r="II189" i="33"/>
  <c r="IH189" i="33"/>
  <c r="IG189" i="33"/>
  <c r="IF189" i="33"/>
  <c r="IE189" i="33"/>
  <c r="ID189" i="33"/>
  <c r="IC189" i="33"/>
  <c r="IB189" i="33"/>
  <c r="IA189" i="33"/>
  <c r="HZ189" i="33"/>
  <c r="HY189" i="33"/>
  <c r="HX189" i="33"/>
  <c r="HW189" i="33"/>
  <c r="HV189" i="33"/>
  <c r="HU189" i="33"/>
  <c r="HT189" i="33"/>
  <c r="HS189" i="33"/>
  <c r="HR189" i="33"/>
  <c r="HQ189" i="33"/>
  <c r="HP189" i="33"/>
  <c r="HO189" i="33"/>
  <c r="HN189" i="33"/>
  <c r="HM189" i="33"/>
  <c r="HL189" i="33"/>
  <c r="HK189" i="33"/>
  <c r="HJ189" i="33"/>
  <c r="HI189" i="33"/>
  <c r="HH189" i="33"/>
  <c r="HG189" i="33"/>
  <c r="HF189" i="33"/>
  <c r="HE189" i="33"/>
  <c r="HD189" i="33"/>
  <c r="HC189" i="33"/>
  <c r="HB189" i="33"/>
  <c r="HA189" i="33"/>
  <c r="GZ189" i="33"/>
  <c r="GY189" i="33"/>
  <c r="GX189" i="33"/>
  <c r="GW189" i="33"/>
  <c r="GV189" i="33"/>
  <c r="GU189" i="33"/>
  <c r="GT189" i="33"/>
  <c r="GS189" i="33"/>
  <c r="GR189" i="33"/>
  <c r="GQ189" i="33"/>
  <c r="GP189" i="33"/>
  <c r="GO189" i="33"/>
  <c r="GN189" i="33"/>
  <c r="GM189" i="33"/>
  <c r="GL189" i="33"/>
  <c r="GK189" i="33"/>
  <c r="GJ189" i="33"/>
  <c r="GI189" i="33"/>
  <c r="GH189" i="33"/>
  <c r="GG189" i="33"/>
  <c r="GF189" i="33"/>
  <c r="GE189" i="33"/>
  <c r="GD189" i="33"/>
  <c r="GC189" i="33"/>
  <c r="GB189" i="33"/>
  <c r="GA189" i="33"/>
  <c r="FZ189" i="33"/>
  <c r="FY189" i="33"/>
  <c r="FX189" i="33"/>
  <c r="FW189" i="33"/>
  <c r="FV189" i="33"/>
  <c r="FU189" i="33"/>
  <c r="FT189" i="33"/>
  <c r="FS189" i="33"/>
  <c r="FR189" i="33"/>
  <c r="FQ189" i="33"/>
  <c r="FP189" i="33"/>
  <c r="FO189" i="33"/>
  <c r="FN189" i="33"/>
  <c r="FM189" i="33"/>
  <c r="FL189" i="33"/>
  <c r="FK189" i="33"/>
  <c r="FJ189" i="33"/>
  <c r="FI189" i="33"/>
  <c r="FH189" i="33"/>
  <c r="FG189" i="33"/>
  <c r="FF189" i="33"/>
  <c r="FE189" i="33"/>
  <c r="FD189" i="33"/>
  <c r="FC189" i="33"/>
  <c r="FB189" i="33"/>
  <c r="FA189" i="33"/>
  <c r="EZ189" i="33"/>
  <c r="EY189" i="33"/>
  <c r="EX189" i="33"/>
  <c r="EW189" i="33"/>
  <c r="EV189" i="33"/>
  <c r="EU189" i="33"/>
  <c r="ET189" i="33"/>
  <c r="ES189" i="33"/>
  <c r="ER189" i="33"/>
  <c r="EQ189" i="33"/>
  <c r="EP189" i="33"/>
  <c r="EO189" i="33"/>
  <c r="EN189" i="33"/>
  <c r="EM189" i="33"/>
  <c r="EL189" i="33"/>
  <c r="EK189" i="33"/>
  <c r="EJ189" i="33"/>
  <c r="EI189" i="33"/>
  <c r="EH189" i="33"/>
  <c r="EG189" i="33"/>
  <c r="EF189" i="33"/>
  <c r="EE189" i="33"/>
  <c r="ED189" i="33"/>
  <c r="EC189" i="33"/>
  <c r="EB189" i="33"/>
  <c r="EA189" i="33"/>
  <c r="DZ189" i="33"/>
  <c r="DY189" i="33"/>
  <c r="DX189" i="33"/>
  <c r="DW189" i="33"/>
  <c r="DV189" i="33"/>
  <c r="DU189" i="33"/>
  <c r="DT189" i="33"/>
  <c r="DS189" i="33"/>
  <c r="DR189" i="33"/>
  <c r="DQ189" i="33"/>
  <c r="DP189" i="33"/>
  <c r="DO189" i="33"/>
  <c r="DN189" i="33"/>
  <c r="DM189" i="33"/>
  <c r="DL189" i="33"/>
  <c r="DK189" i="33"/>
  <c r="DJ189" i="33"/>
  <c r="DI189" i="33"/>
  <c r="DH189" i="33"/>
  <c r="DG189" i="33"/>
  <c r="DF189" i="33"/>
  <c r="DE189" i="33"/>
  <c r="DD189" i="33"/>
  <c r="DC189" i="33"/>
  <c r="DB189" i="33"/>
  <c r="DA189" i="33"/>
  <c r="CZ189" i="33"/>
  <c r="CY189" i="33"/>
  <c r="CX189" i="33"/>
  <c r="CW189" i="33"/>
  <c r="CV189" i="33"/>
  <c r="CU189" i="33"/>
  <c r="CT189" i="33"/>
  <c r="CS189" i="33"/>
  <c r="CR189" i="33"/>
  <c r="CQ189" i="33"/>
  <c r="CP189" i="33"/>
  <c r="CO189" i="33"/>
  <c r="CN189" i="33"/>
  <c r="CM189" i="33"/>
  <c r="CL189" i="33"/>
  <c r="CK189" i="33"/>
  <c r="CJ189" i="33"/>
  <c r="CI189" i="33"/>
  <c r="CH189" i="33"/>
  <c r="CG189" i="33"/>
  <c r="CF189" i="33"/>
  <c r="CE189" i="33"/>
  <c r="CD189" i="33"/>
  <c r="CC189" i="33"/>
  <c r="CB189" i="33"/>
  <c r="CA189" i="33"/>
  <c r="BZ189" i="33"/>
  <c r="BY189" i="33"/>
  <c r="BX189" i="33"/>
  <c r="BW189" i="33"/>
  <c r="BV189" i="33"/>
  <c r="BU189" i="33"/>
  <c r="BT189" i="33"/>
  <c r="BS189" i="33"/>
  <c r="BR189" i="33"/>
  <c r="BQ189" i="33"/>
  <c r="BP189" i="33"/>
  <c r="BO189" i="33"/>
  <c r="BN189" i="33"/>
  <c r="BM189" i="33"/>
  <c r="BL189" i="33"/>
  <c r="BK189" i="33"/>
  <c r="BJ189" i="33"/>
  <c r="BI189" i="33"/>
  <c r="BH189" i="33"/>
  <c r="BG189" i="33"/>
  <c r="BF189" i="33"/>
  <c r="BE189" i="33"/>
  <c r="BD189" i="33"/>
  <c r="BC189" i="33"/>
  <c r="BB189" i="33"/>
  <c r="BA189" i="33"/>
  <c r="AZ189" i="33"/>
  <c r="AY189" i="33"/>
  <c r="AX189" i="33"/>
  <c r="AW189" i="33"/>
  <c r="AV189" i="33"/>
  <c r="AU189" i="33"/>
  <c r="AT189" i="33"/>
  <c r="AS189" i="33"/>
  <c r="AR189" i="33"/>
  <c r="AQ189" i="33"/>
  <c r="AP189" i="33"/>
  <c r="AO189" i="33"/>
  <c r="AN189" i="33"/>
  <c r="AM189" i="33"/>
  <c r="AL189" i="33"/>
  <c r="AK189" i="33"/>
  <c r="AJ189" i="33"/>
  <c r="AI189" i="33"/>
  <c r="AH189" i="33"/>
  <c r="AG189" i="33"/>
  <c r="AF189" i="33"/>
  <c r="AE189" i="33"/>
  <c r="AD189" i="33"/>
  <c r="AC189" i="33"/>
  <c r="AB189" i="33"/>
  <c r="AA189" i="33"/>
  <c r="Z189" i="33"/>
  <c r="Y189" i="33"/>
  <c r="X189" i="33"/>
  <c r="W189" i="33"/>
  <c r="V189" i="33"/>
  <c r="U189" i="33"/>
  <c r="T189" i="33"/>
  <c r="S189" i="33"/>
  <c r="R189" i="33"/>
  <c r="Q189" i="33"/>
  <c r="P189" i="33"/>
  <c r="O189" i="33"/>
  <c r="N189" i="33"/>
  <c r="M189" i="33"/>
  <c r="L189" i="33"/>
  <c r="K189" i="33"/>
  <c r="J189" i="33"/>
  <c r="I189" i="33"/>
  <c r="H189" i="33"/>
  <c r="G189" i="33"/>
  <c r="F189" i="33"/>
  <c r="E189" i="33"/>
  <c r="D189" i="33"/>
  <c r="C189" i="33"/>
  <c r="B189" i="33"/>
  <c r="A189" i="33"/>
  <c r="IV188" i="33"/>
  <c r="IU188" i="33"/>
  <c r="IT188" i="33"/>
  <c r="IS188" i="33"/>
  <c r="IR188" i="33"/>
  <c r="IQ188" i="33"/>
  <c r="IP188" i="33"/>
  <c r="IO188" i="33"/>
  <c r="IN188" i="33"/>
  <c r="IM188" i="33"/>
  <c r="IL188" i="33"/>
  <c r="IK188" i="33"/>
  <c r="IJ188" i="33"/>
  <c r="II188" i="33"/>
  <c r="IH188" i="33"/>
  <c r="IG188" i="33"/>
  <c r="IF188" i="33"/>
  <c r="IE188" i="33"/>
  <c r="ID188" i="33"/>
  <c r="IC188" i="33"/>
  <c r="IB188" i="33"/>
  <c r="IA188" i="33"/>
  <c r="HZ188" i="33"/>
  <c r="HY188" i="33"/>
  <c r="HX188" i="33"/>
  <c r="HW188" i="33"/>
  <c r="HV188" i="33"/>
  <c r="HU188" i="33"/>
  <c r="HT188" i="33"/>
  <c r="HS188" i="33"/>
  <c r="HR188" i="33"/>
  <c r="HQ188" i="33"/>
  <c r="HP188" i="33"/>
  <c r="HO188" i="33"/>
  <c r="HN188" i="33"/>
  <c r="HM188" i="33"/>
  <c r="HL188" i="33"/>
  <c r="HK188" i="33"/>
  <c r="HJ188" i="33"/>
  <c r="HI188" i="33"/>
  <c r="HH188" i="33"/>
  <c r="HG188" i="33"/>
  <c r="HF188" i="33"/>
  <c r="HE188" i="33"/>
  <c r="HD188" i="33"/>
  <c r="HC188" i="33"/>
  <c r="HB188" i="33"/>
  <c r="HA188" i="33"/>
  <c r="GZ188" i="33"/>
  <c r="GY188" i="33"/>
  <c r="GX188" i="33"/>
  <c r="GW188" i="33"/>
  <c r="GV188" i="33"/>
  <c r="GU188" i="33"/>
  <c r="GT188" i="33"/>
  <c r="GS188" i="33"/>
  <c r="GR188" i="33"/>
  <c r="GQ188" i="33"/>
  <c r="GP188" i="33"/>
  <c r="GO188" i="33"/>
  <c r="GN188" i="33"/>
  <c r="GM188" i="33"/>
  <c r="GL188" i="33"/>
  <c r="GK188" i="33"/>
  <c r="GJ188" i="33"/>
  <c r="GI188" i="33"/>
  <c r="GH188" i="33"/>
  <c r="GG188" i="33"/>
  <c r="GF188" i="33"/>
  <c r="GE188" i="33"/>
  <c r="GD188" i="33"/>
  <c r="GC188" i="33"/>
  <c r="GB188" i="33"/>
  <c r="GA188" i="33"/>
  <c r="FZ188" i="33"/>
  <c r="FY188" i="33"/>
  <c r="FX188" i="33"/>
  <c r="FW188" i="33"/>
  <c r="FV188" i="33"/>
  <c r="FU188" i="33"/>
  <c r="FT188" i="33"/>
  <c r="FS188" i="33"/>
  <c r="FR188" i="33"/>
  <c r="FQ188" i="33"/>
  <c r="FP188" i="33"/>
  <c r="FO188" i="33"/>
  <c r="FN188" i="33"/>
  <c r="FM188" i="33"/>
  <c r="FL188" i="33"/>
  <c r="FK188" i="33"/>
  <c r="FJ188" i="33"/>
  <c r="FI188" i="33"/>
  <c r="FH188" i="33"/>
  <c r="FG188" i="33"/>
  <c r="FF188" i="33"/>
  <c r="FE188" i="33"/>
  <c r="FD188" i="33"/>
  <c r="FC188" i="33"/>
  <c r="FB188" i="33"/>
  <c r="FA188" i="33"/>
  <c r="EZ188" i="33"/>
  <c r="EY188" i="33"/>
  <c r="EX188" i="33"/>
  <c r="EW188" i="33"/>
  <c r="EV188" i="33"/>
  <c r="EU188" i="33"/>
  <c r="ET188" i="33"/>
  <c r="ES188" i="33"/>
  <c r="ER188" i="33"/>
  <c r="EQ188" i="33"/>
  <c r="EP188" i="33"/>
  <c r="EO188" i="33"/>
  <c r="EN188" i="33"/>
  <c r="EM188" i="33"/>
  <c r="EL188" i="33"/>
  <c r="EK188" i="33"/>
  <c r="EJ188" i="33"/>
  <c r="EI188" i="33"/>
  <c r="EH188" i="33"/>
  <c r="EG188" i="33"/>
  <c r="EF188" i="33"/>
  <c r="EE188" i="33"/>
  <c r="ED188" i="33"/>
  <c r="EC188" i="33"/>
  <c r="EB188" i="33"/>
  <c r="EA188" i="33"/>
  <c r="DZ188" i="33"/>
  <c r="DY188" i="33"/>
  <c r="DX188" i="33"/>
  <c r="DW188" i="33"/>
  <c r="DV188" i="33"/>
  <c r="DU188" i="33"/>
  <c r="DT188" i="33"/>
  <c r="DS188" i="33"/>
  <c r="DR188" i="33"/>
  <c r="DQ188" i="33"/>
  <c r="DP188" i="33"/>
  <c r="DO188" i="33"/>
  <c r="DN188" i="33"/>
  <c r="DM188" i="33"/>
  <c r="DL188" i="33"/>
  <c r="DK188" i="33"/>
  <c r="DJ188" i="33"/>
  <c r="DI188" i="33"/>
  <c r="DH188" i="33"/>
  <c r="DG188" i="33"/>
  <c r="DF188" i="33"/>
  <c r="DE188" i="33"/>
  <c r="DD188" i="33"/>
  <c r="DC188" i="33"/>
  <c r="DB188" i="33"/>
  <c r="DA188" i="33"/>
  <c r="CZ188" i="33"/>
  <c r="CY188" i="33"/>
  <c r="CX188" i="33"/>
  <c r="CW188" i="33"/>
  <c r="CV188" i="33"/>
  <c r="CU188" i="33"/>
  <c r="CT188" i="33"/>
  <c r="CS188" i="33"/>
  <c r="CR188" i="33"/>
  <c r="CQ188" i="33"/>
  <c r="CP188" i="33"/>
  <c r="CO188" i="33"/>
  <c r="CN188" i="33"/>
  <c r="CM188" i="33"/>
  <c r="CL188" i="33"/>
  <c r="CK188" i="33"/>
  <c r="CJ188" i="33"/>
  <c r="CI188" i="33"/>
  <c r="CH188" i="33"/>
  <c r="CG188" i="33"/>
  <c r="CF188" i="33"/>
  <c r="CE188" i="33"/>
  <c r="CD188" i="33"/>
  <c r="CC188" i="33"/>
  <c r="CB188" i="33"/>
  <c r="CA188" i="33"/>
  <c r="BZ188" i="33"/>
  <c r="BY188" i="33"/>
  <c r="BX188" i="33"/>
  <c r="BW188" i="33"/>
  <c r="BV188" i="33"/>
  <c r="BU188" i="33"/>
  <c r="BT188" i="33"/>
  <c r="BS188" i="33"/>
  <c r="BR188" i="33"/>
  <c r="BQ188" i="33"/>
  <c r="BP188" i="33"/>
  <c r="BO188" i="33"/>
  <c r="BN188" i="33"/>
  <c r="BM188" i="33"/>
  <c r="BL188" i="33"/>
  <c r="BK188" i="33"/>
  <c r="BJ188" i="33"/>
  <c r="BI188" i="33"/>
  <c r="BH188" i="33"/>
  <c r="BG188" i="33"/>
  <c r="BF188" i="33"/>
  <c r="BE188" i="33"/>
  <c r="BD188" i="33"/>
  <c r="BC188" i="33"/>
  <c r="BB188" i="33"/>
  <c r="BA188" i="33"/>
  <c r="AZ188" i="33"/>
  <c r="AY188" i="33"/>
  <c r="AX188" i="33"/>
  <c r="AW188" i="33"/>
  <c r="AV188" i="33"/>
  <c r="AU188" i="33"/>
  <c r="AT188" i="33"/>
  <c r="AS188" i="33"/>
  <c r="AR188" i="33"/>
  <c r="AQ188" i="33"/>
  <c r="AP188" i="33"/>
  <c r="AO188" i="33"/>
  <c r="AN188" i="33"/>
  <c r="AM188" i="33"/>
  <c r="AL188" i="33"/>
  <c r="AK188" i="33"/>
  <c r="AJ188" i="33"/>
  <c r="AI188" i="33"/>
  <c r="AH188" i="33"/>
  <c r="AG188" i="33"/>
  <c r="AF188" i="33"/>
  <c r="AE188" i="33"/>
  <c r="AD188" i="33"/>
  <c r="AC188" i="33"/>
  <c r="AB188" i="33"/>
  <c r="AA188" i="33"/>
  <c r="Z188" i="33"/>
  <c r="Y188" i="33"/>
  <c r="X188" i="33"/>
  <c r="W188" i="33"/>
  <c r="V188" i="33"/>
  <c r="U188" i="33"/>
  <c r="T188" i="33"/>
  <c r="S188" i="33"/>
  <c r="R188" i="33"/>
  <c r="Q188" i="33"/>
  <c r="P188" i="33"/>
  <c r="O188" i="33"/>
  <c r="N188" i="33"/>
  <c r="M188" i="33"/>
  <c r="L188" i="33"/>
  <c r="K188" i="33"/>
  <c r="J188" i="33"/>
  <c r="I188" i="33"/>
  <c r="H188" i="33"/>
  <c r="G188" i="33"/>
  <c r="F188" i="33"/>
  <c r="E188" i="33"/>
  <c r="D188" i="33"/>
  <c r="C188" i="33"/>
  <c r="B188" i="33"/>
  <c r="A188" i="33"/>
  <c r="IV187" i="33"/>
  <c r="IU187" i="33"/>
  <c r="IT187" i="33"/>
  <c r="IS187" i="33"/>
  <c r="IR187" i="33"/>
  <c r="IQ187" i="33"/>
  <c r="IP187" i="33"/>
  <c r="IO187" i="33"/>
  <c r="IN187" i="33"/>
  <c r="IM187" i="33"/>
  <c r="IL187" i="33"/>
  <c r="IK187" i="33"/>
  <c r="IJ187" i="33"/>
  <c r="II187" i="33"/>
  <c r="IH187" i="33"/>
  <c r="IG187" i="33"/>
  <c r="IF187" i="33"/>
  <c r="IE187" i="33"/>
  <c r="ID187" i="33"/>
  <c r="IC187" i="33"/>
  <c r="IB187" i="33"/>
  <c r="IA187" i="33"/>
  <c r="HZ187" i="33"/>
  <c r="HY187" i="33"/>
  <c r="HX187" i="33"/>
  <c r="HW187" i="33"/>
  <c r="HV187" i="33"/>
  <c r="HU187" i="33"/>
  <c r="HT187" i="33"/>
  <c r="HS187" i="33"/>
  <c r="HR187" i="33"/>
  <c r="HQ187" i="33"/>
  <c r="HP187" i="33"/>
  <c r="HO187" i="33"/>
  <c r="HN187" i="33"/>
  <c r="HM187" i="33"/>
  <c r="HL187" i="33"/>
  <c r="HK187" i="33"/>
  <c r="HJ187" i="33"/>
  <c r="HI187" i="33"/>
  <c r="HH187" i="33"/>
  <c r="HG187" i="33"/>
  <c r="HF187" i="33"/>
  <c r="HE187" i="33"/>
  <c r="HD187" i="33"/>
  <c r="HC187" i="33"/>
  <c r="HB187" i="33"/>
  <c r="HA187" i="33"/>
  <c r="GZ187" i="33"/>
  <c r="GY187" i="33"/>
  <c r="GX187" i="33"/>
  <c r="GW187" i="33"/>
  <c r="GV187" i="33"/>
  <c r="GU187" i="33"/>
  <c r="GT187" i="33"/>
  <c r="GS187" i="33"/>
  <c r="GR187" i="33"/>
  <c r="GQ187" i="33"/>
  <c r="GP187" i="33"/>
  <c r="GO187" i="33"/>
  <c r="GN187" i="33"/>
  <c r="GM187" i="33"/>
  <c r="GL187" i="33"/>
  <c r="GK187" i="33"/>
  <c r="GJ187" i="33"/>
  <c r="GI187" i="33"/>
  <c r="GH187" i="33"/>
  <c r="GG187" i="33"/>
  <c r="GF187" i="33"/>
  <c r="GE187" i="33"/>
  <c r="GD187" i="33"/>
  <c r="GC187" i="33"/>
  <c r="GB187" i="33"/>
  <c r="GA187" i="33"/>
  <c r="FZ187" i="33"/>
  <c r="FY187" i="33"/>
  <c r="FX187" i="33"/>
  <c r="FW187" i="33"/>
  <c r="FV187" i="33"/>
  <c r="FU187" i="33"/>
  <c r="FT187" i="33"/>
  <c r="FS187" i="33"/>
  <c r="FR187" i="33"/>
  <c r="FQ187" i="33"/>
  <c r="FP187" i="33"/>
  <c r="FO187" i="33"/>
  <c r="FN187" i="33"/>
  <c r="FM187" i="33"/>
  <c r="FL187" i="33"/>
  <c r="FK187" i="33"/>
  <c r="FJ187" i="33"/>
  <c r="FI187" i="33"/>
  <c r="FH187" i="33"/>
  <c r="FG187" i="33"/>
  <c r="FF187" i="33"/>
  <c r="FE187" i="33"/>
  <c r="FD187" i="33"/>
  <c r="FC187" i="33"/>
  <c r="FB187" i="33"/>
  <c r="FA187" i="33"/>
  <c r="EZ187" i="33"/>
  <c r="EY187" i="33"/>
  <c r="EX187" i="33"/>
  <c r="EW187" i="33"/>
  <c r="EV187" i="33"/>
  <c r="EU187" i="33"/>
  <c r="ET187" i="33"/>
  <c r="ES187" i="33"/>
  <c r="ER187" i="33"/>
  <c r="EQ187" i="33"/>
  <c r="EP187" i="33"/>
  <c r="EO187" i="33"/>
  <c r="EN187" i="33"/>
  <c r="EM187" i="33"/>
  <c r="EL187" i="33"/>
  <c r="EK187" i="33"/>
  <c r="EJ187" i="33"/>
  <c r="EI187" i="33"/>
  <c r="EH187" i="33"/>
  <c r="EG187" i="33"/>
  <c r="EF187" i="33"/>
  <c r="EE187" i="33"/>
  <c r="ED187" i="33"/>
  <c r="EC187" i="33"/>
  <c r="EB187" i="33"/>
  <c r="EA187" i="33"/>
  <c r="DZ187" i="33"/>
  <c r="DY187" i="33"/>
  <c r="DX187" i="33"/>
  <c r="DW187" i="33"/>
  <c r="DV187" i="33"/>
  <c r="DU187" i="33"/>
  <c r="DT187" i="33"/>
  <c r="DS187" i="33"/>
  <c r="DR187" i="33"/>
  <c r="DQ187" i="33"/>
  <c r="DP187" i="33"/>
  <c r="DO187" i="33"/>
  <c r="DN187" i="33"/>
  <c r="DM187" i="33"/>
  <c r="DL187" i="33"/>
  <c r="DK187" i="33"/>
  <c r="DJ187" i="33"/>
  <c r="DI187" i="33"/>
  <c r="DH187" i="33"/>
  <c r="DG187" i="33"/>
  <c r="DF187" i="33"/>
  <c r="DE187" i="33"/>
  <c r="DD187" i="33"/>
  <c r="DC187" i="33"/>
  <c r="DB187" i="33"/>
  <c r="DA187" i="33"/>
  <c r="CZ187" i="33"/>
  <c r="CY187" i="33"/>
  <c r="CX187" i="33"/>
  <c r="CW187" i="33"/>
  <c r="CV187" i="33"/>
  <c r="CU187" i="33"/>
  <c r="CT187" i="33"/>
  <c r="CS187" i="33"/>
  <c r="CR187" i="33"/>
  <c r="CQ187" i="33"/>
  <c r="CP187" i="33"/>
  <c r="CO187" i="33"/>
  <c r="CN187" i="33"/>
  <c r="CM187" i="33"/>
  <c r="CL187" i="33"/>
  <c r="CK187" i="33"/>
  <c r="CJ187" i="33"/>
  <c r="CI187" i="33"/>
  <c r="CH187" i="33"/>
  <c r="CG187" i="33"/>
  <c r="CF187" i="33"/>
  <c r="CE187" i="33"/>
  <c r="CD187" i="33"/>
  <c r="CC187" i="33"/>
  <c r="CB187" i="33"/>
  <c r="CA187" i="33"/>
  <c r="BZ187" i="33"/>
  <c r="BY187" i="33"/>
  <c r="BX187" i="33"/>
  <c r="BW187" i="33"/>
  <c r="BV187" i="33"/>
  <c r="BU187" i="33"/>
  <c r="BT187" i="33"/>
  <c r="BS187" i="33"/>
  <c r="BR187" i="33"/>
  <c r="BQ187" i="33"/>
  <c r="BP187" i="33"/>
  <c r="BO187" i="33"/>
  <c r="BN187" i="33"/>
  <c r="BM187" i="33"/>
  <c r="BL187" i="33"/>
  <c r="BK187" i="33"/>
  <c r="BJ187" i="33"/>
  <c r="BI187" i="33"/>
  <c r="BH187" i="33"/>
  <c r="BG187" i="33"/>
  <c r="BF187" i="33"/>
  <c r="BE187" i="33"/>
  <c r="BD187" i="33"/>
  <c r="BC187" i="33"/>
  <c r="BB187" i="33"/>
  <c r="BA187" i="33"/>
  <c r="AZ187" i="33"/>
  <c r="AY187" i="33"/>
  <c r="AX187" i="33"/>
  <c r="AW187" i="33"/>
  <c r="AV187" i="33"/>
  <c r="AU187" i="33"/>
  <c r="AT187" i="33"/>
  <c r="AS187" i="33"/>
  <c r="AR187" i="33"/>
  <c r="AQ187" i="33"/>
  <c r="AP187" i="33"/>
  <c r="AO187" i="33"/>
  <c r="AN187" i="33"/>
  <c r="AM187" i="33"/>
  <c r="AL187" i="33"/>
  <c r="AK187" i="33"/>
  <c r="AJ187" i="33"/>
  <c r="AI187" i="33"/>
  <c r="AH187" i="33"/>
  <c r="AG187" i="33"/>
  <c r="AF187" i="33"/>
  <c r="AE187" i="33"/>
  <c r="AD187" i="33"/>
  <c r="AC187" i="33"/>
  <c r="AB187" i="33"/>
  <c r="AA187" i="33"/>
  <c r="Z187" i="33"/>
  <c r="Y187" i="33"/>
  <c r="X187" i="33"/>
  <c r="W187" i="33"/>
  <c r="V187" i="33"/>
  <c r="U187" i="33"/>
  <c r="T187" i="33"/>
  <c r="S187" i="33"/>
  <c r="R187" i="33"/>
  <c r="Q187" i="33"/>
  <c r="P187" i="33"/>
  <c r="O187" i="33"/>
  <c r="N187" i="33"/>
  <c r="M187" i="33"/>
  <c r="L187" i="33"/>
  <c r="K187" i="33"/>
  <c r="J187" i="33"/>
  <c r="I187" i="33"/>
  <c r="H187" i="33"/>
  <c r="G187" i="33"/>
  <c r="F187" i="33"/>
  <c r="E187" i="33"/>
  <c r="D187" i="33"/>
  <c r="C187" i="33"/>
  <c r="B187" i="33"/>
  <c r="A187" i="33"/>
  <c r="IV186" i="33"/>
  <c r="IU186" i="33"/>
  <c r="IT186" i="33"/>
  <c r="IS186" i="33"/>
  <c r="IR186" i="33"/>
  <c r="IQ186" i="33"/>
  <c r="IP186" i="33"/>
  <c r="IO186" i="33"/>
  <c r="IN186" i="33"/>
  <c r="IM186" i="33"/>
  <c r="IL186" i="33"/>
  <c r="IK186" i="33"/>
  <c r="IJ186" i="33"/>
  <c r="II186" i="33"/>
  <c r="IH186" i="33"/>
  <c r="IG186" i="33"/>
  <c r="IF186" i="33"/>
  <c r="IE186" i="33"/>
  <c r="ID186" i="33"/>
  <c r="IC186" i="33"/>
  <c r="IB186" i="33"/>
  <c r="IA186" i="33"/>
  <c r="HZ186" i="33"/>
  <c r="HY186" i="33"/>
  <c r="HX186" i="33"/>
  <c r="HW186" i="33"/>
  <c r="HV186" i="33"/>
  <c r="HU186" i="33"/>
  <c r="HT186" i="33"/>
  <c r="HS186" i="33"/>
  <c r="HR186" i="33"/>
  <c r="HQ186" i="33"/>
  <c r="HP186" i="33"/>
  <c r="HO186" i="33"/>
  <c r="HN186" i="33"/>
  <c r="HM186" i="33"/>
  <c r="HL186" i="33"/>
  <c r="HK186" i="33"/>
  <c r="HJ186" i="33"/>
  <c r="HI186" i="33"/>
  <c r="HH186" i="33"/>
  <c r="HG186" i="33"/>
  <c r="HF186" i="33"/>
  <c r="HE186" i="33"/>
  <c r="HD186" i="33"/>
  <c r="HC186" i="33"/>
  <c r="HB186" i="33"/>
  <c r="HA186" i="33"/>
  <c r="GZ186" i="33"/>
  <c r="GY186" i="33"/>
  <c r="GX186" i="33"/>
  <c r="GW186" i="33"/>
  <c r="GV186" i="33"/>
  <c r="GU186" i="33"/>
  <c r="GT186" i="33"/>
  <c r="GS186" i="33"/>
  <c r="GR186" i="33"/>
  <c r="GQ186" i="33"/>
  <c r="GP186" i="33"/>
  <c r="GO186" i="33"/>
  <c r="GN186" i="33"/>
  <c r="GM186" i="33"/>
  <c r="GL186" i="33"/>
  <c r="GK186" i="33"/>
  <c r="GJ186" i="33"/>
  <c r="GI186" i="33"/>
  <c r="GH186" i="33"/>
  <c r="GG186" i="33"/>
  <c r="GF186" i="33"/>
  <c r="GE186" i="33"/>
  <c r="GD186" i="33"/>
  <c r="GC186" i="33"/>
  <c r="GB186" i="33"/>
  <c r="GA186" i="33"/>
  <c r="FZ186" i="33"/>
  <c r="FY186" i="33"/>
  <c r="FX186" i="33"/>
  <c r="FW186" i="33"/>
  <c r="FV186" i="33"/>
  <c r="FU186" i="33"/>
  <c r="FT186" i="33"/>
  <c r="FS186" i="33"/>
  <c r="FR186" i="33"/>
  <c r="FQ186" i="33"/>
  <c r="FP186" i="33"/>
  <c r="FO186" i="33"/>
  <c r="FN186" i="33"/>
  <c r="FM186" i="33"/>
  <c r="FL186" i="33"/>
  <c r="FK186" i="33"/>
  <c r="FJ186" i="33"/>
  <c r="FI186" i="33"/>
  <c r="FH186" i="33"/>
  <c r="FG186" i="33"/>
  <c r="FF186" i="33"/>
  <c r="FE186" i="33"/>
  <c r="FD186" i="33"/>
  <c r="FC186" i="33"/>
  <c r="FB186" i="33"/>
  <c r="FA186" i="33"/>
  <c r="EZ186" i="33"/>
  <c r="EY186" i="33"/>
  <c r="EX186" i="33"/>
  <c r="EW186" i="33"/>
  <c r="EV186" i="33"/>
  <c r="EU186" i="33"/>
  <c r="ET186" i="33"/>
  <c r="ES186" i="33"/>
  <c r="ER186" i="33"/>
  <c r="EQ186" i="33"/>
  <c r="EP186" i="33"/>
  <c r="EO186" i="33"/>
  <c r="EN186" i="33"/>
  <c r="EM186" i="33"/>
  <c r="EL186" i="33"/>
  <c r="EK186" i="33"/>
  <c r="EJ186" i="33"/>
  <c r="EI186" i="33"/>
  <c r="EH186" i="33"/>
  <c r="EG186" i="33"/>
  <c r="EF186" i="33"/>
  <c r="EE186" i="33"/>
  <c r="ED186" i="33"/>
  <c r="EC186" i="33"/>
  <c r="EB186" i="33"/>
  <c r="EA186" i="33"/>
  <c r="DZ186" i="33"/>
  <c r="DY186" i="33"/>
  <c r="DX186" i="33"/>
  <c r="DW186" i="33"/>
  <c r="DV186" i="33"/>
  <c r="DU186" i="33"/>
  <c r="DT186" i="33"/>
  <c r="DS186" i="33"/>
  <c r="DR186" i="33"/>
  <c r="DQ186" i="33"/>
  <c r="DP186" i="33"/>
  <c r="DO186" i="33"/>
  <c r="DN186" i="33"/>
  <c r="DM186" i="33"/>
  <c r="DL186" i="33"/>
  <c r="DK186" i="33"/>
  <c r="DJ186" i="33"/>
  <c r="DI186" i="33"/>
  <c r="DH186" i="33"/>
  <c r="DG186" i="33"/>
  <c r="DF186" i="33"/>
  <c r="DE186" i="33"/>
  <c r="DD186" i="33"/>
  <c r="DC186" i="33"/>
  <c r="DB186" i="33"/>
  <c r="DA186" i="33"/>
  <c r="CZ186" i="33"/>
  <c r="CY186" i="33"/>
  <c r="CX186" i="33"/>
  <c r="CW186" i="33"/>
  <c r="CV186" i="33"/>
  <c r="CU186" i="33"/>
  <c r="CT186" i="33"/>
  <c r="CS186" i="33"/>
  <c r="CR186" i="33"/>
  <c r="CQ186" i="33"/>
  <c r="CP186" i="33"/>
  <c r="CO186" i="33"/>
  <c r="CN186" i="33"/>
  <c r="CM186" i="33"/>
  <c r="CL186" i="33"/>
  <c r="CK186" i="33"/>
  <c r="CJ186" i="33"/>
  <c r="CI186" i="33"/>
  <c r="CH186" i="33"/>
  <c r="CG186" i="33"/>
  <c r="CF186" i="33"/>
  <c r="CE186" i="33"/>
  <c r="CD186" i="33"/>
  <c r="CC186" i="33"/>
  <c r="CB186" i="33"/>
  <c r="CA186" i="33"/>
  <c r="BZ186" i="33"/>
  <c r="BY186" i="33"/>
  <c r="BX186" i="33"/>
  <c r="BW186" i="33"/>
  <c r="BV186" i="33"/>
  <c r="BU186" i="33"/>
  <c r="BT186" i="33"/>
  <c r="BS186" i="33"/>
  <c r="BR186" i="33"/>
  <c r="BQ186" i="33"/>
  <c r="BP186" i="33"/>
  <c r="BO186" i="33"/>
  <c r="BN186" i="33"/>
  <c r="BM186" i="33"/>
  <c r="BL186" i="33"/>
  <c r="BK186" i="33"/>
  <c r="BJ186" i="33"/>
  <c r="BI186" i="33"/>
  <c r="BH186" i="33"/>
  <c r="BG186" i="33"/>
  <c r="BF186" i="33"/>
  <c r="BE186" i="33"/>
  <c r="BD186" i="33"/>
  <c r="BC186" i="33"/>
  <c r="BB186" i="33"/>
  <c r="BA186" i="33"/>
  <c r="AZ186" i="33"/>
  <c r="AY186" i="33"/>
  <c r="AX186" i="33"/>
  <c r="AW186" i="33"/>
  <c r="AV186" i="33"/>
  <c r="AU186" i="33"/>
  <c r="AT186" i="33"/>
  <c r="AS186" i="33"/>
  <c r="AR186" i="33"/>
  <c r="AQ186" i="33"/>
  <c r="AP186" i="33"/>
  <c r="AO186" i="33"/>
  <c r="AN186" i="33"/>
  <c r="AM186" i="33"/>
  <c r="AL186" i="33"/>
  <c r="AK186" i="33"/>
  <c r="AJ186" i="33"/>
  <c r="AI186" i="33"/>
  <c r="AH186" i="33"/>
  <c r="AG186" i="33"/>
  <c r="AF186" i="33"/>
  <c r="AE186" i="33"/>
  <c r="AD186" i="33"/>
  <c r="AC186" i="33"/>
  <c r="AB186" i="33"/>
  <c r="AA186" i="33"/>
  <c r="Z186" i="33"/>
  <c r="Y186" i="33"/>
  <c r="X186" i="33"/>
  <c r="W186" i="33"/>
  <c r="V186" i="33"/>
  <c r="U186" i="33"/>
  <c r="T186" i="33"/>
  <c r="S186" i="33"/>
  <c r="R186" i="33"/>
  <c r="Q186" i="33"/>
  <c r="P186" i="33"/>
  <c r="O186" i="33"/>
  <c r="N186" i="33"/>
  <c r="M186" i="33"/>
  <c r="L186" i="33"/>
  <c r="K186" i="33"/>
  <c r="J186" i="33"/>
  <c r="I186" i="33"/>
  <c r="H186" i="33"/>
  <c r="G186" i="33"/>
  <c r="F186" i="33"/>
  <c r="E186" i="33"/>
  <c r="D186" i="33"/>
  <c r="C186" i="33"/>
  <c r="B186" i="33"/>
  <c r="A186" i="33"/>
  <c r="IV185" i="33"/>
  <c r="IU185" i="33"/>
  <c r="IT185" i="33"/>
  <c r="IS185" i="33"/>
  <c r="IR185" i="33"/>
  <c r="IQ185" i="33"/>
  <c r="IP185" i="33"/>
  <c r="IO185" i="33"/>
  <c r="IN185" i="33"/>
  <c r="IM185" i="33"/>
  <c r="IL185" i="33"/>
  <c r="IK185" i="33"/>
  <c r="IJ185" i="33"/>
  <c r="II185" i="33"/>
  <c r="IH185" i="33"/>
  <c r="IG185" i="33"/>
  <c r="IF185" i="33"/>
  <c r="IE185" i="33"/>
  <c r="ID185" i="33"/>
  <c r="IC185" i="33"/>
  <c r="IB185" i="33"/>
  <c r="IA185" i="33"/>
  <c r="HZ185" i="33"/>
  <c r="HY185" i="33"/>
  <c r="HX185" i="33"/>
  <c r="HW185" i="33"/>
  <c r="HV185" i="33"/>
  <c r="HU185" i="33"/>
  <c r="HT185" i="33"/>
  <c r="HS185" i="33"/>
  <c r="HR185" i="33"/>
  <c r="HQ185" i="33"/>
  <c r="HP185" i="33"/>
  <c r="HO185" i="33"/>
  <c r="HN185" i="33"/>
  <c r="HM185" i="33"/>
  <c r="HL185" i="33"/>
  <c r="HK185" i="33"/>
  <c r="HJ185" i="33"/>
  <c r="HI185" i="33"/>
  <c r="HH185" i="33"/>
  <c r="HG185" i="33"/>
  <c r="HF185" i="33"/>
  <c r="HE185" i="33"/>
  <c r="HD185" i="33"/>
  <c r="HC185" i="33"/>
  <c r="HB185" i="33"/>
  <c r="HA185" i="33"/>
  <c r="GZ185" i="33"/>
  <c r="GY185" i="33"/>
  <c r="GX185" i="33"/>
  <c r="GW185" i="33"/>
  <c r="GV185" i="33"/>
  <c r="GU185" i="33"/>
  <c r="GT185" i="33"/>
  <c r="GS185" i="33"/>
  <c r="GR185" i="33"/>
  <c r="GQ185" i="33"/>
  <c r="GP185" i="33"/>
  <c r="GO185" i="33"/>
  <c r="GN185" i="33"/>
  <c r="GM185" i="33"/>
  <c r="GL185" i="33"/>
  <c r="GK185" i="33"/>
  <c r="GJ185" i="33"/>
  <c r="GI185" i="33"/>
  <c r="GH185" i="33"/>
  <c r="GG185" i="33"/>
  <c r="GF185" i="33"/>
  <c r="GE185" i="33"/>
  <c r="GD185" i="33"/>
  <c r="GC185" i="33"/>
  <c r="GB185" i="33"/>
  <c r="GA185" i="33"/>
  <c r="FZ185" i="33"/>
  <c r="FY185" i="33"/>
  <c r="FX185" i="33"/>
  <c r="FW185" i="33"/>
  <c r="FV185" i="33"/>
  <c r="FU185" i="33"/>
  <c r="FT185" i="33"/>
  <c r="FS185" i="33"/>
  <c r="FR185" i="33"/>
  <c r="FQ185" i="33"/>
  <c r="FP185" i="33"/>
  <c r="FO185" i="33"/>
  <c r="FN185" i="33"/>
  <c r="FM185" i="33"/>
  <c r="FL185" i="33"/>
  <c r="FK185" i="33"/>
  <c r="FJ185" i="33"/>
  <c r="FI185" i="33"/>
  <c r="FH185" i="33"/>
  <c r="FG185" i="33"/>
  <c r="FF185" i="33"/>
  <c r="FE185" i="33"/>
  <c r="FD185" i="33"/>
  <c r="FC185" i="33"/>
  <c r="FB185" i="33"/>
  <c r="FA185" i="33"/>
  <c r="EZ185" i="33"/>
  <c r="EY185" i="33"/>
  <c r="EX185" i="33"/>
  <c r="EW185" i="33"/>
  <c r="EV185" i="33"/>
  <c r="EU185" i="33"/>
  <c r="ET185" i="33"/>
  <c r="ES185" i="33"/>
  <c r="ER185" i="33"/>
  <c r="EQ185" i="33"/>
  <c r="EP185" i="33"/>
  <c r="EO185" i="33"/>
  <c r="EN185" i="33"/>
  <c r="EM185" i="33"/>
  <c r="EL185" i="33"/>
  <c r="EK185" i="33"/>
  <c r="EJ185" i="33"/>
  <c r="EI185" i="33"/>
  <c r="EH185" i="33"/>
  <c r="EG185" i="33"/>
  <c r="EF185" i="33"/>
  <c r="EE185" i="33"/>
  <c r="ED185" i="33"/>
  <c r="EC185" i="33"/>
  <c r="EB185" i="33"/>
  <c r="EA185" i="33"/>
  <c r="DZ185" i="33"/>
  <c r="DY185" i="33"/>
  <c r="DX185" i="33"/>
  <c r="DW185" i="33"/>
  <c r="DV185" i="33"/>
  <c r="DU185" i="33"/>
  <c r="DT185" i="33"/>
  <c r="DS185" i="33"/>
  <c r="DR185" i="33"/>
  <c r="DQ185" i="33"/>
  <c r="DP185" i="33"/>
  <c r="DO185" i="33"/>
  <c r="DN185" i="33"/>
  <c r="DM185" i="33"/>
  <c r="DL185" i="33"/>
  <c r="DK185" i="33"/>
  <c r="DJ185" i="33"/>
  <c r="DI185" i="33"/>
  <c r="DH185" i="33"/>
  <c r="DG185" i="33"/>
  <c r="DF185" i="33"/>
  <c r="DE185" i="33"/>
  <c r="DD185" i="33"/>
  <c r="DC185" i="33"/>
  <c r="DB185" i="33"/>
  <c r="DA185" i="33"/>
  <c r="CZ185" i="33"/>
  <c r="CY185" i="33"/>
  <c r="CX185" i="33"/>
  <c r="CW185" i="33"/>
  <c r="CV185" i="33"/>
  <c r="CU185" i="33"/>
  <c r="CT185" i="33"/>
  <c r="CS185" i="33"/>
  <c r="CR185" i="33"/>
  <c r="CQ185" i="33"/>
  <c r="CP185" i="33"/>
  <c r="CO185" i="33"/>
  <c r="CN185" i="33"/>
  <c r="CM185" i="33"/>
  <c r="CL185" i="33"/>
  <c r="CK185" i="33"/>
  <c r="CJ185" i="33"/>
  <c r="CI185" i="33"/>
  <c r="CH185" i="33"/>
  <c r="CG185" i="33"/>
  <c r="CF185" i="33"/>
  <c r="CE185" i="33"/>
  <c r="CD185" i="33"/>
  <c r="CC185" i="33"/>
  <c r="CB185" i="33"/>
  <c r="CA185" i="33"/>
  <c r="BZ185" i="33"/>
  <c r="BY185" i="33"/>
  <c r="BX185" i="33"/>
  <c r="BW185" i="33"/>
  <c r="BV185" i="33"/>
  <c r="BU185" i="33"/>
  <c r="BT185" i="33"/>
  <c r="BS185" i="33"/>
  <c r="BR185" i="33"/>
  <c r="BQ185" i="33"/>
  <c r="BP185" i="33"/>
  <c r="BO185" i="33"/>
  <c r="BN185" i="33"/>
  <c r="BM185" i="33"/>
  <c r="BL185" i="33"/>
  <c r="BK185" i="33"/>
  <c r="BJ185" i="33"/>
  <c r="BI185" i="33"/>
  <c r="BH185" i="33"/>
  <c r="BG185" i="33"/>
  <c r="BF185" i="33"/>
  <c r="BE185" i="33"/>
  <c r="BD185" i="33"/>
  <c r="BC185" i="33"/>
  <c r="BB185" i="33"/>
  <c r="BA185" i="33"/>
  <c r="AZ185" i="33"/>
  <c r="AY185" i="33"/>
  <c r="AX185" i="33"/>
  <c r="AW185" i="33"/>
  <c r="AV185" i="33"/>
  <c r="AU185" i="33"/>
  <c r="AT185" i="33"/>
  <c r="AS185" i="33"/>
  <c r="AR185" i="33"/>
  <c r="AQ185" i="33"/>
  <c r="AP185" i="33"/>
  <c r="AO185" i="33"/>
  <c r="AN185" i="33"/>
  <c r="AM185" i="33"/>
  <c r="AL185" i="33"/>
  <c r="AK185" i="33"/>
  <c r="AJ185" i="33"/>
  <c r="AI185" i="33"/>
  <c r="AH185" i="33"/>
  <c r="AG185" i="33"/>
  <c r="AF185" i="33"/>
  <c r="AE185" i="33"/>
  <c r="AD185" i="33"/>
  <c r="AC185" i="33"/>
  <c r="AB185" i="33"/>
  <c r="AA185" i="33"/>
  <c r="Z185" i="33"/>
  <c r="Y185" i="33"/>
  <c r="X185" i="33"/>
  <c r="W185" i="33"/>
  <c r="V185" i="33"/>
  <c r="U185" i="33"/>
  <c r="T185" i="33"/>
  <c r="S185" i="33"/>
  <c r="R185" i="33"/>
  <c r="Q185" i="33"/>
  <c r="P185" i="33"/>
  <c r="O185" i="33"/>
  <c r="N185" i="33"/>
  <c r="M185" i="33"/>
  <c r="L185" i="33"/>
  <c r="K185" i="33"/>
  <c r="J185" i="33"/>
  <c r="I185" i="33"/>
  <c r="H185" i="33"/>
  <c r="G185" i="33"/>
  <c r="F185" i="33"/>
  <c r="E185" i="33"/>
  <c r="D185" i="33"/>
  <c r="C185" i="33"/>
  <c r="B185" i="33"/>
  <c r="A185" i="33"/>
  <c r="IV184" i="33"/>
  <c r="IU184" i="33"/>
  <c r="IT184" i="33"/>
  <c r="IS184" i="33"/>
  <c r="IR184" i="33"/>
  <c r="IQ184" i="33"/>
  <c r="IP184" i="33"/>
  <c r="IO184" i="33"/>
  <c r="IN184" i="33"/>
  <c r="IM184" i="33"/>
  <c r="IL184" i="33"/>
  <c r="IK184" i="33"/>
  <c r="IJ184" i="33"/>
  <c r="II184" i="33"/>
  <c r="IH184" i="33"/>
  <c r="IG184" i="33"/>
  <c r="IF184" i="33"/>
  <c r="IE184" i="33"/>
  <c r="ID184" i="33"/>
  <c r="IC184" i="33"/>
  <c r="IB184" i="33"/>
  <c r="IA184" i="33"/>
  <c r="HZ184" i="33"/>
  <c r="HY184" i="33"/>
  <c r="HX184" i="33"/>
  <c r="HW184" i="33"/>
  <c r="HV184" i="33"/>
  <c r="HU184" i="33"/>
  <c r="HT184" i="33"/>
  <c r="HS184" i="33"/>
  <c r="HR184" i="33"/>
  <c r="HQ184" i="33"/>
  <c r="HP184" i="33"/>
  <c r="HO184" i="33"/>
  <c r="HN184" i="33"/>
  <c r="HM184" i="33"/>
  <c r="HL184" i="33"/>
  <c r="HK184" i="33"/>
  <c r="HJ184" i="33"/>
  <c r="HI184" i="33"/>
  <c r="HH184" i="33"/>
  <c r="HG184" i="33"/>
  <c r="HF184" i="33"/>
  <c r="HE184" i="33"/>
  <c r="HD184" i="33"/>
  <c r="HC184" i="33"/>
  <c r="HB184" i="33"/>
  <c r="HA184" i="33"/>
  <c r="GZ184" i="33"/>
  <c r="GY184" i="33"/>
  <c r="GX184" i="33"/>
  <c r="GW184" i="33"/>
  <c r="GV184" i="33"/>
  <c r="GU184" i="33"/>
  <c r="GT184" i="33"/>
  <c r="GS184" i="33"/>
  <c r="GR184" i="33"/>
  <c r="GQ184" i="33"/>
  <c r="GP184" i="33"/>
  <c r="GO184" i="33"/>
  <c r="GN184" i="33"/>
  <c r="GM184" i="33"/>
  <c r="GL184" i="33"/>
  <c r="GK184" i="33"/>
  <c r="GJ184" i="33"/>
  <c r="GI184" i="33"/>
  <c r="GH184" i="33"/>
  <c r="GG184" i="33"/>
  <c r="GF184" i="33"/>
  <c r="GE184" i="33"/>
  <c r="GD184" i="33"/>
  <c r="GC184" i="33"/>
  <c r="GB184" i="33"/>
  <c r="GA184" i="33"/>
  <c r="FZ184" i="33"/>
  <c r="FY184" i="33"/>
  <c r="FX184" i="33"/>
  <c r="FW184" i="33"/>
  <c r="FV184" i="33"/>
  <c r="FU184" i="33"/>
  <c r="FT184" i="33"/>
  <c r="FS184" i="33"/>
  <c r="FR184" i="33"/>
  <c r="FQ184" i="33"/>
  <c r="FP184" i="33"/>
  <c r="FO184" i="33"/>
  <c r="FN184" i="33"/>
  <c r="FM184" i="33"/>
  <c r="FL184" i="33"/>
  <c r="FK184" i="33"/>
  <c r="FJ184" i="33"/>
  <c r="FI184" i="33"/>
  <c r="FH184" i="33"/>
  <c r="FG184" i="33"/>
  <c r="FF184" i="33"/>
  <c r="FE184" i="33"/>
  <c r="FD184" i="33"/>
  <c r="FC184" i="33"/>
  <c r="FB184" i="33"/>
  <c r="FA184" i="33"/>
  <c r="EZ184" i="33"/>
  <c r="EY184" i="33"/>
  <c r="EX184" i="33"/>
  <c r="EW184" i="33"/>
  <c r="EV184" i="33"/>
  <c r="EU184" i="33"/>
  <c r="ET184" i="33"/>
  <c r="ES184" i="33"/>
  <c r="ER184" i="33"/>
  <c r="EQ184" i="33"/>
  <c r="EP184" i="33"/>
  <c r="EO184" i="33"/>
  <c r="EN184" i="33"/>
  <c r="EM184" i="33"/>
  <c r="EL184" i="33"/>
  <c r="EK184" i="33"/>
  <c r="EJ184" i="33"/>
  <c r="EI184" i="33"/>
  <c r="EH184" i="33"/>
  <c r="EG184" i="33"/>
  <c r="EF184" i="33"/>
  <c r="EE184" i="33"/>
  <c r="ED184" i="33"/>
  <c r="EC184" i="33"/>
  <c r="EB184" i="33"/>
  <c r="EA184" i="33"/>
  <c r="DZ184" i="33"/>
  <c r="DY184" i="33"/>
  <c r="DX184" i="33"/>
  <c r="DW184" i="33"/>
  <c r="DV184" i="33"/>
  <c r="DU184" i="33"/>
  <c r="DT184" i="33"/>
  <c r="DS184" i="33"/>
  <c r="DR184" i="33"/>
  <c r="DQ184" i="33"/>
  <c r="DP184" i="33"/>
  <c r="DO184" i="33"/>
  <c r="DN184" i="33"/>
  <c r="DM184" i="33"/>
  <c r="DL184" i="33"/>
  <c r="DK184" i="33"/>
  <c r="DJ184" i="33"/>
  <c r="DI184" i="33"/>
  <c r="DH184" i="33"/>
  <c r="DG184" i="33"/>
  <c r="DF184" i="33"/>
  <c r="DE184" i="33"/>
  <c r="DD184" i="33"/>
  <c r="DC184" i="33"/>
  <c r="DB184" i="33"/>
  <c r="DA184" i="33"/>
  <c r="CZ184" i="33"/>
  <c r="CY184" i="33"/>
  <c r="CX184" i="33"/>
  <c r="CW184" i="33"/>
  <c r="CV184" i="33"/>
  <c r="CU184" i="33"/>
  <c r="CT184" i="33"/>
  <c r="CS184" i="33"/>
  <c r="CR184" i="33"/>
  <c r="CQ184" i="33"/>
  <c r="CP184" i="33"/>
  <c r="CO184" i="33"/>
  <c r="CN184" i="33"/>
  <c r="CM184" i="33"/>
  <c r="CL184" i="33"/>
  <c r="CK184" i="33"/>
  <c r="CJ184" i="33"/>
  <c r="CI184" i="33"/>
  <c r="CH184" i="33"/>
  <c r="CG184" i="33"/>
  <c r="CF184" i="33"/>
  <c r="CE184" i="33"/>
  <c r="CD184" i="33"/>
  <c r="CC184" i="33"/>
  <c r="CB184" i="33"/>
  <c r="CA184" i="33"/>
  <c r="BZ184" i="33"/>
  <c r="BY184" i="33"/>
  <c r="BX184" i="33"/>
  <c r="BW184" i="33"/>
  <c r="BV184" i="33"/>
  <c r="BU184" i="33"/>
  <c r="BT184" i="33"/>
  <c r="BS184" i="33"/>
  <c r="BR184" i="33"/>
  <c r="BQ184" i="33"/>
  <c r="BP184" i="33"/>
  <c r="BO184" i="33"/>
  <c r="BN184" i="33"/>
  <c r="BM184" i="33"/>
  <c r="BL184" i="33"/>
  <c r="BK184" i="33"/>
  <c r="BJ184" i="33"/>
  <c r="BI184" i="33"/>
  <c r="BH184" i="33"/>
  <c r="BG184" i="33"/>
  <c r="BF184" i="33"/>
  <c r="BE184" i="33"/>
  <c r="BD184" i="33"/>
  <c r="BC184" i="33"/>
  <c r="BB184" i="33"/>
  <c r="BA184" i="33"/>
  <c r="AZ184" i="33"/>
  <c r="AY184" i="33"/>
  <c r="AX184" i="33"/>
  <c r="AW184" i="33"/>
  <c r="AV184" i="33"/>
  <c r="AU184" i="33"/>
  <c r="AT184" i="33"/>
  <c r="AS184" i="33"/>
  <c r="AR184" i="33"/>
  <c r="AQ184" i="33"/>
  <c r="AP184" i="33"/>
  <c r="AO184" i="33"/>
  <c r="AN184" i="33"/>
  <c r="AM184" i="33"/>
  <c r="AL184" i="33"/>
  <c r="AK184" i="33"/>
  <c r="AJ184" i="33"/>
  <c r="AI184" i="33"/>
  <c r="AH184" i="33"/>
  <c r="AG184" i="33"/>
  <c r="AF184" i="33"/>
  <c r="AE184" i="33"/>
  <c r="AD184" i="33"/>
  <c r="AC184" i="33"/>
  <c r="AB184" i="33"/>
  <c r="AA184" i="33"/>
  <c r="Z184" i="33"/>
  <c r="Y184" i="33"/>
  <c r="X184" i="33"/>
  <c r="W184" i="33"/>
  <c r="V184" i="33"/>
  <c r="U184" i="33"/>
  <c r="T184" i="33"/>
  <c r="S184" i="33"/>
  <c r="R184" i="33"/>
  <c r="Q184" i="33"/>
  <c r="P184" i="33"/>
  <c r="O184" i="33"/>
  <c r="N184" i="33"/>
  <c r="M184" i="33"/>
  <c r="L184" i="33"/>
  <c r="K184" i="33"/>
  <c r="J184" i="33"/>
  <c r="I184" i="33"/>
  <c r="H184" i="33"/>
  <c r="G184" i="33"/>
  <c r="F184" i="33"/>
  <c r="E184" i="33"/>
  <c r="D184" i="33"/>
  <c r="C184" i="33"/>
  <c r="B184" i="33"/>
  <c r="A184" i="33"/>
  <c r="IV183" i="33"/>
  <c r="IU183" i="33"/>
  <c r="IT183" i="33"/>
  <c r="IS183" i="33"/>
  <c r="IR183" i="33"/>
  <c r="IQ183" i="33"/>
  <c r="IP183" i="33"/>
  <c r="IO183" i="33"/>
  <c r="IN183" i="33"/>
  <c r="IM183" i="33"/>
  <c r="IL183" i="33"/>
  <c r="IK183" i="33"/>
  <c r="IJ183" i="33"/>
  <c r="II183" i="33"/>
  <c r="IH183" i="33"/>
  <c r="IG183" i="33"/>
  <c r="IF183" i="33"/>
  <c r="IE183" i="33"/>
  <c r="ID183" i="33"/>
  <c r="IC183" i="33"/>
  <c r="IB183" i="33"/>
  <c r="IA183" i="33"/>
  <c r="HZ183" i="33"/>
  <c r="HY183" i="33"/>
  <c r="HX183" i="33"/>
  <c r="HW183" i="33"/>
  <c r="HV183" i="33"/>
  <c r="HU183" i="33"/>
  <c r="HT183" i="33"/>
  <c r="HS183" i="33"/>
  <c r="HR183" i="33"/>
  <c r="HQ183" i="33"/>
  <c r="HP183" i="33"/>
  <c r="HO183" i="33"/>
  <c r="HN183" i="33"/>
  <c r="HM183" i="33"/>
  <c r="HL183" i="33"/>
  <c r="HK183" i="33"/>
  <c r="HJ183" i="33"/>
  <c r="HI183" i="33"/>
  <c r="HH183" i="33"/>
  <c r="HG183" i="33"/>
  <c r="HF183" i="33"/>
  <c r="HE183" i="33"/>
  <c r="HD183" i="33"/>
  <c r="HC183" i="33"/>
  <c r="HB183" i="33"/>
  <c r="HA183" i="33"/>
  <c r="GZ183" i="33"/>
  <c r="GY183" i="33"/>
  <c r="GX183" i="33"/>
  <c r="GW183" i="33"/>
  <c r="GV183" i="33"/>
  <c r="GU183" i="33"/>
  <c r="GT183" i="33"/>
  <c r="GS183" i="33"/>
  <c r="GR183" i="33"/>
  <c r="GQ183" i="33"/>
  <c r="GP183" i="33"/>
  <c r="GO183" i="33"/>
  <c r="GN183" i="33"/>
  <c r="GM183" i="33"/>
  <c r="GL183" i="33"/>
  <c r="GK183" i="33"/>
  <c r="GJ183" i="33"/>
  <c r="GI183" i="33"/>
  <c r="GH183" i="33"/>
  <c r="GG183" i="33"/>
  <c r="GF183" i="33"/>
  <c r="GE183" i="33"/>
  <c r="GD183" i="33"/>
  <c r="GC183" i="33"/>
  <c r="GB183" i="33"/>
  <c r="GA183" i="33"/>
  <c r="FZ183" i="33"/>
  <c r="FY183" i="33"/>
  <c r="FX183" i="33"/>
  <c r="FW183" i="33"/>
  <c r="FV183" i="33"/>
  <c r="FU183" i="33"/>
  <c r="FT183" i="33"/>
  <c r="FS183" i="33"/>
  <c r="FR183" i="33"/>
  <c r="FQ183" i="33"/>
  <c r="FP183" i="33"/>
  <c r="FO183" i="33"/>
  <c r="FN183" i="33"/>
  <c r="FM183" i="33"/>
  <c r="FL183" i="33"/>
  <c r="FK183" i="33"/>
  <c r="FJ183" i="33"/>
  <c r="FI183" i="33"/>
  <c r="FH183" i="33"/>
  <c r="FG183" i="33"/>
  <c r="FF183" i="33"/>
  <c r="FE183" i="33"/>
  <c r="FD183" i="33"/>
  <c r="FC183" i="33"/>
  <c r="FB183" i="33"/>
  <c r="FA183" i="33"/>
  <c r="EZ183" i="33"/>
  <c r="EY183" i="33"/>
  <c r="EX183" i="33"/>
  <c r="EW183" i="33"/>
  <c r="EV183" i="33"/>
  <c r="EU183" i="33"/>
  <c r="ET183" i="33"/>
  <c r="ES183" i="33"/>
  <c r="ER183" i="33"/>
  <c r="EQ183" i="33"/>
  <c r="EP183" i="33"/>
  <c r="EO183" i="33"/>
  <c r="EN183" i="33"/>
  <c r="EM183" i="33"/>
  <c r="EL183" i="33"/>
  <c r="EK183" i="33"/>
  <c r="EJ183" i="33"/>
  <c r="EI183" i="33"/>
  <c r="EH183" i="33"/>
  <c r="EG183" i="33"/>
  <c r="EF183" i="33"/>
  <c r="EE183" i="33"/>
  <c r="ED183" i="33"/>
  <c r="EC183" i="33"/>
  <c r="EB183" i="33"/>
  <c r="EA183" i="33"/>
  <c r="DZ183" i="33"/>
  <c r="DY183" i="33"/>
  <c r="DX183" i="33"/>
  <c r="DW183" i="33"/>
  <c r="DV183" i="33"/>
  <c r="DU183" i="33"/>
  <c r="DT183" i="33"/>
  <c r="DS183" i="33"/>
  <c r="DR183" i="33"/>
  <c r="DQ183" i="33"/>
  <c r="DP183" i="33"/>
  <c r="DO183" i="33"/>
  <c r="DN183" i="33"/>
  <c r="DM183" i="33"/>
  <c r="DL183" i="33"/>
  <c r="DK183" i="33"/>
  <c r="DJ183" i="33"/>
  <c r="DI183" i="33"/>
  <c r="DH183" i="33"/>
  <c r="DG183" i="33"/>
  <c r="DF183" i="33"/>
  <c r="DE183" i="33"/>
  <c r="DD183" i="33"/>
  <c r="DC183" i="33"/>
  <c r="DB183" i="33"/>
  <c r="DA183" i="33"/>
  <c r="CZ183" i="33"/>
  <c r="CY183" i="33"/>
  <c r="CX183" i="33"/>
  <c r="CW183" i="33"/>
  <c r="CV183" i="33"/>
  <c r="CU183" i="33"/>
  <c r="CT183" i="33"/>
  <c r="CS183" i="33"/>
  <c r="CR183" i="33"/>
  <c r="CQ183" i="33"/>
  <c r="CP183" i="33"/>
  <c r="CO183" i="33"/>
  <c r="CN183" i="33"/>
  <c r="CM183" i="33"/>
  <c r="CL183" i="33"/>
  <c r="CK183" i="33"/>
  <c r="CJ183" i="33"/>
  <c r="CI183" i="33"/>
  <c r="CH183" i="33"/>
  <c r="CG183" i="33"/>
  <c r="CF183" i="33"/>
  <c r="CE183" i="33"/>
  <c r="CD183" i="33"/>
  <c r="CC183" i="33"/>
  <c r="CB183" i="33"/>
  <c r="CA183" i="33"/>
  <c r="BZ183" i="33"/>
  <c r="BY183" i="33"/>
  <c r="BX183" i="33"/>
  <c r="BW183" i="33"/>
  <c r="BV183" i="33"/>
  <c r="BU183" i="33"/>
  <c r="BT183" i="33"/>
  <c r="BS183" i="33"/>
  <c r="BR183" i="33"/>
  <c r="BQ183" i="33"/>
  <c r="BP183" i="33"/>
  <c r="BO183" i="33"/>
  <c r="BN183" i="33"/>
  <c r="BM183" i="33"/>
  <c r="BL183" i="33"/>
  <c r="BK183" i="33"/>
  <c r="BJ183" i="33"/>
  <c r="BI183" i="33"/>
  <c r="BH183" i="33"/>
  <c r="BG183" i="33"/>
  <c r="BF183" i="33"/>
  <c r="BE183" i="33"/>
  <c r="BD183" i="33"/>
  <c r="BC183" i="33"/>
  <c r="BB183" i="33"/>
  <c r="BA183" i="33"/>
  <c r="AZ183" i="33"/>
  <c r="AY183" i="33"/>
  <c r="AX183" i="33"/>
  <c r="AW183" i="33"/>
  <c r="AV183" i="33"/>
  <c r="AU183" i="33"/>
  <c r="AT183" i="33"/>
  <c r="AS183" i="33"/>
  <c r="AR183" i="33"/>
  <c r="AQ183" i="33"/>
  <c r="AP183" i="33"/>
  <c r="AO183" i="33"/>
  <c r="AN183" i="33"/>
  <c r="AM183" i="33"/>
  <c r="AL183" i="33"/>
  <c r="AK183" i="33"/>
  <c r="AJ183" i="33"/>
  <c r="AI183" i="33"/>
  <c r="AH183" i="33"/>
  <c r="AG183" i="33"/>
  <c r="AF183" i="33"/>
  <c r="AE183" i="33"/>
  <c r="AD183" i="33"/>
  <c r="AC183" i="33"/>
  <c r="AB183" i="33"/>
  <c r="AA183" i="33"/>
  <c r="Z183" i="33"/>
  <c r="Y183" i="33"/>
  <c r="X183" i="33"/>
  <c r="W183" i="33"/>
  <c r="V183" i="33"/>
  <c r="U183" i="33"/>
  <c r="T183" i="33"/>
  <c r="S183" i="33"/>
  <c r="R183" i="33"/>
  <c r="Q183" i="33"/>
  <c r="P183" i="33"/>
  <c r="O183" i="33"/>
  <c r="N183" i="33"/>
  <c r="M183" i="33"/>
  <c r="L183" i="33"/>
  <c r="K183" i="33"/>
  <c r="J183" i="33"/>
  <c r="I183" i="33"/>
  <c r="H183" i="33"/>
  <c r="G183" i="33"/>
  <c r="F183" i="33"/>
  <c r="E183" i="33"/>
  <c r="D183" i="33"/>
  <c r="C183" i="33"/>
  <c r="B183" i="33"/>
  <c r="A183" i="33"/>
  <c r="IV182" i="33"/>
  <c r="IU182" i="33"/>
  <c r="IT182" i="33"/>
  <c r="IS182" i="33"/>
  <c r="IR182" i="33"/>
  <c r="IQ182" i="33"/>
  <c r="IP182" i="33"/>
  <c r="IO182" i="33"/>
  <c r="IN182" i="33"/>
  <c r="IM182" i="33"/>
  <c r="IL182" i="33"/>
  <c r="IK182" i="33"/>
  <c r="IJ182" i="33"/>
  <c r="II182" i="33"/>
  <c r="IH182" i="33"/>
  <c r="IG182" i="33"/>
  <c r="IF182" i="33"/>
  <c r="IE182" i="33"/>
  <c r="ID182" i="33"/>
  <c r="IC182" i="33"/>
  <c r="IB182" i="33"/>
  <c r="IA182" i="33"/>
  <c r="HZ182" i="33"/>
  <c r="HY182" i="33"/>
  <c r="HX182" i="33"/>
  <c r="HW182" i="33"/>
  <c r="HV182" i="33"/>
  <c r="HU182" i="33"/>
  <c r="HT182" i="33"/>
  <c r="HS182" i="33"/>
  <c r="HR182" i="33"/>
  <c r="HQ182" i="33"/>
  <c r="HP182" i="33"/>
  <c r="HO182" i="33"/>
  <c r="HN182" i="33"/>
  <c r="HM182" i="33"/>
  <c r="HL182" i="33"/>
  <c r="HK182" i="33"/>
  <c r="HJ182" i="33"/>
  <c r="HI182" i="33"/>
  <c r="HH182" i="33"/>
  <c r="HG182" i="33"/>
  <c r="HF182" i="33"/>
  <c r="HE182" i="33"/>
  <c r="HD182" i="33"/>
  <c r="HC182" i="33"/>
  <c r="HB182" i="33"/>
  <c r="HA182" i="33"/>
  <c r="GZ182" i="33"/>
  <c r="GY182" i="33"/>
  <c r="GX182" i="33"/>
  <c r="GW182" i="33"/>
  <c r="GV182" i="33"/>
  <c r="GU182" i="33"/>
  <c r="GT182" i="33"/>
  <c r="GS182" i="33"/>
  <c r="GR182" i="33"/>
  <c r="GQ182" i="33"/>
  <c r="GP182" i="33"/>
  <c r="GO182" i="33"/>
  <c r="GN182" i="33"/>
  <c r="GM182" i="33"/>
  <c r="GL182" i="33"/>
  <c r="GK182" i="33"/>
  <c r="GJ182" i="33"/>
  <c r="GI182" i="33"/>
  <c r="GH182" i="33"/>
  <c r="GG182" i="33"/>
  <c r="GF182" i="33"/>
  <c r="GE182" i="33"/>
  <c r="GD182" i="33"/>
  <c r="GC182" i="33"/>
  <c r="GB182" i="33"/>
  <c r="GA182" i="33"/>
  <c r="FZ182" i="33"/>
  <c r="FY182" i="33"/>
  <c r="FX182" i="33"/>
  <c r="FW182" i="33"/>
  <c r="FV182" i="33"/>
  <c r="FU182" i="33"/>
  <c r="FT182" i="33"/>
  <c r="FS182" i="33"/>
  <c r="FR182" i="33"/>
  <c r="FQ182" i="33"/>
  <c r="FP182" i="33"/>
  <c r="FO182" i="33"/>
  <c r="FN182" i="33"/>
  <c r="FM182" i="33"/>
  <c r="FL182" i="33"/>
  <c r="FK182" i="33"/>
  <c r="FJ182" i="33"/>
  <c r="FI182" i="33"/>
  <c r="FH182" i="33"/>
  <c r="FG182" i="33"/>
  <c r="FF182" i="33"/>
  <c r="FE182" i="33"/>
  <c r="FD182" i="33"/>
  <c r="FC182" i="33"/>
  <c r="FB182" i="33"/>
  <c r="FA182" i="33"/>
  <c r="EZ182" i="33"/>
  <c r="EY182" i="33"/>
  <c r="EX182" i="33"/>
  <c r="EW182" i="33"/>
  <c r="EV182" i="33"/>
  <c r="EU182" i="33"/>
  <c r="ET182" i="33"/>
  <c r="ES182" i="33"/>
  <c r="ER182" i="33"/>
  <c r="EQ182" i="33"/>
  <c r="EP182" i="33"/>
  <c r="EO182" i="33"/>
  <c r="EN182" i="33"/>
  <c r="EM182" i="33"/>
  <c r="EL182" i="33"/>
  <c r="EK182" i="33"/>
  <c r="EJ182" i="33"/>
  <c r="EI182" i="33"/>
  <c r="EH182" i="33"/>
  <c r="EG182" i="33"/>
  <c r="EF182" i="33"/>
  <c r="EE182" i="33"/>
  <c r="ED182" i="33"/>
  <c r="EC182" i="33"/>
  <c r="EB182" i="33"/>
  <c r="EA182" i="33"/>
  <c r="DZ182" i="33"/>
  <c r="DY182" i="33"/>
  <c r="DX182" i="33"/>
  <c r="DW182" i="33"/>
  <c r="DV182" i="33"/>
  <c r="DU182" i="33"/>
  <c r="DT182" i="33"/>
  <c r="DS182" i="33"/>
  <c r="DR182" i="33"/>
  <c r="DQ182" i="33"/>
  <c r="DP182" i="33"/>
  <c r="DO182" i="33"/>
  <c r="DN182" i="33"/>
  <c r="DM182" i="33"/>
  <c r="DL182" i="33"/>
  <c r="DK182" i="33"/>
  <c r="DJ182" i="33"/>
  <c r="DI182" i="33"/>
  <c r="DH182" i="33"/>
  <c r="DG182" i="33"/>
  <c r="DF182" i="33"/>
  <c r="DE182" i="33"/>
  <c r="DD182" i="33"/>
  <c r="DC182" i="33"/>
  <c r="DB182" i="33"/>
  <c r="DA182" i="33"/>
  <c r="CZ182" i="33"/>
  <c r="CY182" i="33"/>
  <c r="CX182" i="33"/>
  <c r="CW182" i="33"/>
  <c r="CV182" i="33"/>
  <c r="CU182" i="33"/>
  <c r="CT182" i="33"/>
  <c r="CS182" i="33"/>
  <c r="CR182" i="33"/>
  <c r="CQ182" i="33"/>
  <c r="CP182" i="33"/>
  <c r="CO182" i="33"/>
  <c r="CN182" i="33"/>
  <c r="CM182" i="33"/>
  <c r="CL182" i="33"/>
  <c r="CK182" i="33"/>
  <c r="CJ182" i="33"/>
  <c r="CI182" i="33"/>
  <c r="CH182" i="33"/>
  <c r="CG182" i="33"/>
  <c r="CF182" i="33"/>
  <c r="CE182" i="33"/>
  <c r="CD182" i="33"/>
  <c r="CC182" i="33"/>
  <c r="CB182" i="33"/>
  <c r="CA182" i="33"/>
  <c r="BZ182" i="33"/>
  <c r="BY182" i="33"/>
  <c r="BX182" i="33"/>
  <c r="BW182" i="33"/>
  <c r="BV182" i="33"/>
  <c r="BU182" i="33"/>
  <c r="BT182" i="33"/>
  <c r="BS182" i="33"/>
  <c r="BR182" i="33"/>
  <c r="BQ182" i="33"/>
  <c r="BP182" i="33"/>
  <c r="BO182" i="33"/>
  <c r="BN182" i="33"/>
  <c r="BM182" i="33"/>
  <c r="BL182" i="33"/>
  <c r="BK182" i="33"/>
  <c r="BJ182" i="33"/>
  <c r="BI182" i="33"/>
  <c r="BH182" i="33"/>
  <c r="BG182" i="33"/>
  <c r="BF182" i="33"/>
  <c r="BE182" i="33"/>
  <c r="BD182" i="33"/>
  <c r="BC182" i="33"/>
  <c r="BB182" i="33"/>
  <c r="BA182" i="33"/>
  <c r="AZ182" i="33"/>
  <c r="AY182" i="33"/>
  <c r="AX182" i="33"/>
  <c r="AW182" i="33"/>
  <c r="AV182" i="33"/>
  <c r="AU182" i="33"/>
  <c r="AT182" i="33"/>
  <c r="AS182" i="33"/>
  <c r="AR182" i="33"/>
  <c r="AQ182" i="33"/>
  <c r="AP182" i="33"/>
  <c r="AO182" i="33"/>
  <c r="AN182" i="33"/>
  <c r="AM182" i="33"/>
  <c r="AL182" i="33"/>
  <c r="AK182" i="33"/>
  <c r="AJ182" i="33"/>
  <c r="AI182" i="33"/>
  <c r="AH182" i="33"/>
  <c r="AG182" i="33"/>
  <c r="AF182" i="33"/>
  <c r="AE182" i="33"/>
  <c r="AD182" i="33"/>
  <c r="AC182" i="33"/>
  <c r="AB182" i="33"/>
  <c r="AA182" i="33"/>
  <c r="Z182" i="33"/>
  <c r="Y182" i="33"/>
  <c r="X182" i="33"/>
  <c r="W182" i="33"/>
  <c r="V182" i="33"/>
  <c r="U182" i="33"/>
  <c r="T182" i="33"/>
  <c r="S182" i="33"/>
  <c r="R182" i="33"/>
  <c r="Q182" i="33"/>
  <c r="P182" i="33"/>
  <c r="O182" i="33"/>
  <c r="N182" i="33"/>
  <c r="M182" i="33"/>
  <c r="L182" i="33"/>
  <c r="K182" i="33"/>
  <c r="J182" i="33"/>
  <c r="I182" i="33"/>
  <c r="H182" i="33"/>
  <c r="G182" i="33"/>
  <c r="F182" i="33"/>
  <c r="E182" i="33"/>
  <c r="D182" i="33"/>
  <c r="C182" i="33"/>
  <c r="B182" i="33"/>
  <c r="A182" i="33"/>
  <c r="IV181" i="33"/>
  <c r="IU181" i="33"/>
  <c r="IT181" i="33"/>
  <c r="IS181" i="33"/>
  <c r="IR181" i="33"/>
  <c r="IQ181" i="33"/>
  <c r="IP181" i="33"/>
  <c r="IO181" i="33"/>
  <c r="IN181" i="33"/>
  <c r="IM181" i="33"/>
  <c r="IL181" i="33"/>
  <c r="IK181" i="33"/>
  <c r="IJ181" i="33"/>
  <c r="II181" i="33"/>
  <c r="IH181" i="33"/>
  <c r="IG181" i="33"/>
  <c r="IF181" i="33"/>
  <c r="IE181" i="33"/>
  <c r="ID181" i="33"/>
  <c r="IC181" i="33"/>
  <c r="IB181" i="33"/>
  <c r="IA181" i="33"/>
  <c r="HZ181" i="33"/>
  <c r="HY181" i="33"/>
  <c r="HX181" i="33"/>
  <c r="HW181" i="33"/>
  <c r="HV181" i="33"/>
  <c r="HU181" i="33"/>
  <c r="HT181" i="33"/>
  <c r="HS181" i="33"/>
  <c r="HR181" i="33"/>
  <c r="HQ181" i="33"/>
  <c r="HP181" i="33"/>
  <c r="HO181" i="33"/>
  <c r="HN181" i="33"/>
  <c r="HM181" i="33"/>
  <c r="HL181" i="33"/>
  <c r="HK181" i="33"/>
  <c r="HJ181" i="33"/>
  <c r="HI181" i="33"/>
  <c r="HH181" i="33"/>
  <c r="HG181" i="33"/>
  <c r="HF181" i="33"/>
  <c r="HE181" i="33"/>
  <c r="HD181" i="33"/>
  <c r="HC181" i="33"/>
  <c r="HB181" i="33"/>
  <c r="HA181" i="33"/>
  <c r="GZ181" i="33"/>
  <c r="GY181" i="33"/>
  <c r="GX181" i="33"/>
  <c r="GW181" i="33"/>
  <c r="GV181" i="33"/>
  <c r="GU181" i="33"/>
  <c r="GT181" i="33"/>
  <c r="GS181" i="33"/>
  <c r="GR181" i="33"/>
  <c r="GQ181" i="33"/>
  <c r="GP181" i="33"/>
  <c r="GO181" i="33"/>
  <c r="GN181" i="33"/>
  <c r="GM181" i="33"/>
  <c r="GL181" i="33"/>
  <c r="GK181" i="33"/>
  <c r="GJ181" i="33"/>
  <c r="GI181" i="33"/>
  <c r="GH181" i="33"/>
  <c r="GG181" i="33"/>
  <c r="GF181" i="33"/>
  <c r="GE181" i="33"/>
  <c r="GD181" i="33"/>
  <c r="GC181" i="33"/>
  <c r="GB181" i="33"/>
  <c r="GA181" i="33"/>
  <c r="FZ181" i="33"/>
  <c r="FY181" i="33"/>
  <c r="FX181" i="33"/>
  <c r="FW181" i="33"/>
  <c r="FV181" i="33"/>
  <c r="FU181" i="33"/>
  <c r="FT181" i="33"/>
  <c r="FS181" i="33"/>
  <c r="FR181" i="33"/>
  <c r="FQ181" i="33"/>
  <c r="FP181" i="33"/>
  <c r="FO181" i="33"/>
  <c r="FN181" i="33"/>
  <c r="FM181" i="33"/>
  <c r="FL181" i="33"/>
  <c r="FK181" i="33"/>
  <c r="FJ181" i="33"/>
  <c r="FI181" i="33"/>
  <c r="FH181" i="33"/>
  <c r="FG181" i="33"/>
  <c r="FF181" i="33"/>
  <c r="FE181" i="33"/>
  <c r="FD181" i="33"/>
  <c r="FC181" i="33"/>
  <c r="FB181" i="33"/>
  <c r="FA181" i="33"/>
  <c r="EZ181" i="33"/>
  <c r="EY181" i="33"/>
  <c r="EX181" i="33"/>
  <c r="EW181" i="33"/>
  <c r="EV181" i="33"/>
  <c r="EU181" i="33"/>
  <c r="ET181" i="33"/>
  <c r="ES181" i="33"/>
  <c r="ER181" i="33"/>
  <c r="EQ181" i="33"/>
  <c r="EP181" i="33"/>
  <c r="EO181" i="33"/>
  <c r="EN181" i="33"/>
  <c r="EM181" i="33"/>
  <c r="EL181" i="33"/>
  <c r="EK181" i="33"/>
  <c r="EJ181" i="33"/>
  <c r="EI181" i="33"/>
  <c r="EH181" i="33"/>
  <c r="EG181" i="33"/>
  <c r="EF181" i="33"/>
  <c r="EE181" i="33"/>
  <c r="ED181" i="33"/>
  <c r="EC181" i="33"/>
  <c r="EB181" i="33"/>
  <c r="EA181" i="33"/>
  <c r="DZ181" i="33"/>
  <c r="DY181" i="33"/>
  <c r="DX181" i="33"/>
  <c r="DW181" i="33"/>
  <c r="DV181" i="33"/>
  <c r="DU181" i="33"/>
  <c r="DT181" i="33"/>
  <c r="DS181" i="33"/>
  <c r="DR181" i="33"/>
  <c r="DQ181" i="33"/>
  <c r="DP181" i="33"/>
  <c r="DO181" i="33"/>
  <c r="DN181" i="33"/>
  <c r="DM181" i="33"/>
  <c r="DL181" i="33"/>
  <c r="DK181" i="33"/>
  <c r="DJ181" i="33"/>
  <c r="DI181" i="33"/>
  <c r="DH181" i="33"/>
  <c r="DG181" i="33"/>
  <c r="DF181" i="33"/>
  <c r="DE181" i="33"/>
  <c r="DD181" i="33"/>
  <c r="DC181" i="33"/>
  <c r="DB181" i="33"/>
  <c r="DA181" i="33"/>
  <c r="CZ181" i="33"/>
  <c r="CY181" i="33"/>
  <c r="CX181" i="33"/>
  <c r="CW181" i="33"/>
  <c r="CV181" i="33"/>
  <c r="CU181" i="33"/>
  <c r="CT181" i="33"/>
  <c r="CS181" i="33"/>
  <c r="CR181" i="33"/>
  <c r="CQ181" i="33"/>
  <c r="CP181" i="33"/>
  <c r="CO181" i="33"/>
  <c r="CN181" i="33"/>
  <c r="CM181" i="33"/>
  <c r="CL181" i="33"/>
  <c r="CK181" i="33"/>
  <c r="CJ181" i="33"/>
  <c r="CI181" i="33"/>
  <c r="CH181" i="33"/>
  <c r="CG181" i="33"/>
  <c r="CF181" i="33"/>
  <c r="CE181" i="33"/>
  <c r="CD181" i="33"/>
  <c r="CC181" i="33"/>
  <c r="CB181" i="33"/>
  <c r="CA181" i="33"/>
  <c r="BZ181" i="33"/>
  <c r="BY181" i="33"/>
  <c r="BX181" i="33"/>
  <c r="BW181" i="33"/>
  <c r="BV181" i="33"/>
  <c r="BU181" i="33"/>
  <c r="BT181" i="33"/>
  <c r="BS181" i="33"/>
  <c r="BR181" i="33"/>
  <c r="BQ181" i="33"/>
  <c r="BP181" i="33"/>
  <c r="BO181" i="33"/>
  <c r="BN181" i="33"/>
  <c r="BM181" i="33"/>
  <c r="BL181" i="33"/>
  <c r="BK181" i="33"/>
  <c r="BJ181" i="33"/>
  <c r="BI181" i="33"/>
  <c r="BH181" i="33"/>
  <c r="BG181" i="33"/>
  <c r="BF181" i="33"/>
  <c r="BE181" i="33"/>
  <c r="BD181" i="33"/>
  <c r="BC181" i="33"/>
  <c r="BB181" i="33"/>
  <c r="BA181" i="33"/>
  <c r="AZ181" i="33"/>
  <c r="AY181" i="33"/>
  <c r="AX181" i="33"/>
  <c r="AW181" i="33"/>
  <c r="AV181" i="33"/>
  <c r="AU181" i="33"/>
  <c r="AT181" i="33"/>
  <c r="AS181" i="33"/>
  <c r="AR181" i="33"/>
  <c r="AQ181" i="33"/>
  <c r="AP181" i="33"/>
  <c r="AO181" i="33"/>
  <c r="AN181" i="33"/>
  <c r="AM181" i="33"/>
  <c r="AL181" i="33"/>
  <c r="AK181" i="33"/>
  <c r="AJ181" i="33"/>
  <c r="AI181" i="33"/>
  <c r="AH181" i="33"/>
  <c r="AG181" i="33"/>
  <c r="AF181" i="33"/>
  <c r="AE181" i="33"/>
  <c r="AD181" i="33"/>
  <c r="AC181" i="33"/>
  <c r="AB181" i="33"/>
  <c r="AA181" i="33"/>
  <c r="Z181" i="33"/>
  <c r="Y181" i="33"/>
  <c r="X181" i="33"/>
  <c r="W181" i="33"/>
  <c r="V181" i="33"/>
  <c r="U181" i="33"/>
  <c r="T181" i="33"/>
  <c r="S181" i="33"/>
  <c r="R181" i="33"/>
  <c r="Q181" i="33"/>
  <c r="P181" i="33"/>
  <c r="O181" i="33"/>
  <c r="N181" i="33"/>
  <c r="M181" i="33"/>
  <c r="L181" i="33"/>
  <c r="K181" i="33"/>
  <c r="J181" i="33"/>
  <c r="I181" i="33"/>
  <c r="H181" i="33"/>
  <c r="G181" i="33"/>
  <c r="F181" i="33"/>
  <c r="E181" i="33"/>
  <c r="D181" i="33"/>
  <c r="C181" i="33"/>
  <c r="B181" i="33"/>
  <c r="A181" i="33"/>
  <c r="IV180" i="33"/>
  <c r="IU180" i="33"/>
  <c r="IT180" i="33"/>
  <c r="IS180" i="33"/>
  <c r="IR180" i="33"/>
  <c r="IQ180" i="33"/>
  <c r="IP180" i="33"/>
  <c r="IO180" i="33"/>
  <c r="IN180" i="33"/>
  <c r="IM180" i="33"/>
  <c r="IL180" i="33"/>
  <c r="IK180" i="33"/>
  <c r="IJ180" i="33"/>
  <c r="II180" i="33"/>
  <c r="IH180" i="33"/>
  <c r="IG180" i="33"/>
  <c r="IF180" i="33"/>
  <c r="IE180" i="33"/>
  <c r="ID180" i="33"/>
  <c r="IC180" i="33"/>
  <c r="IB180" i="33"/>
  <c r="IA180" i="33"/>
  <c r="HZ180" i="33"/>
  <c r="HY180" i="33"/>
  <c r="HX180" i="33"/>
  <c r="HW180" i="33"/>
  <c r="HV180" i="33"/>
  <c r="HU180" i="33"/>
  <c r="HT180" i="33"/>
  <c r="HS180" i="33"/>
  <c r="HR180" i="33"/>
  <c r="HQ180" i="33"/>
  <c r="HP180" i="33"/>
  <c r="HO180" i="33"/>
  <c r="HN180" i="33"/>
  <c r="HM180" i="33"/>
  <c r="HL180" i="33"/>
  <c r="HK180" i="33"/>
  <c r="HJ180" i="33"/>
  <c r="HI180" i="33"/>
  <c r="HH180" i="33"/>
  <c r="HG180" i="33"/>
  <c r="HF180" i="33"/>
  <c r="HE180" i="33"/>
  <c r="HD180" i="33"/>
  <c r="HC180" i="33"/>
  <c r="HB180" i="33"/>
  <c r="HA180" i="33"/>
  <c r="GZ180" i="33"/>
  <c r="GY180" i="33"/>
  <c r="GX180" i="33"/>
  <c r="GW180" i="33"/>
  <c r="GV180" i="33"/>
  <c r="GU180" i="33"/>
  <c r="GT180" i="33"/>
  <c r="GS180" i="33"/>
  <c r="GR180" i="33"/>
  <c r="GQ180" i="33"/>
  <c r="GP180" i="33"/>
  <c r="GO180" i="33"/>
  <c r="GN180" i="33"/>
  <c r="GM180" i="33"/>
  <c r="GL180" i="33"/>
  <c r="GK180" i="33"/>
  <c r="GJ180" i="33"/>
  <c r="GI180" i="33"/>
  <c r="GH180" i="33"/>
  <c r="GG180" i="33"/>
  <c r="GF180" i="33"/>
  <c r="GE180" i="33"/>
  <c r="GD180" i="33"/>
  <c r="GC180" i="33"/>
  <c r="GB180" i="33"/>
  <c r="GA180" i="33"/>
  <c r="FZ180" i="33"/>
  <c r="FY180" i="33"/>
  <c r="FX180" i="33"/>
  <c r="FW180" i="33"/>
  <c r="FV180" i="33"/>
  <c r="FU180" i="33"/>
  <c r="FT180" i="33"/>
  <c r="FS180" i="33"/>
  <c r="FR180" i="33"/>
  <c r="FQ180" i="33"/>
  <c r="FP180" i="33"/>
  <c r="FO180" i="33"/>
  <c r="FN180" i="33"/>
  <c r="FM180" i="33"/>
  <c r="FL180" i="33"/>
  <c r="FK180" i="33"/>
  <c r="FJ180" i="33"/>
  <c r="FI180" i="33"/>
  <c r="FH180" i="33"/>
  <c r="FG180" i="33"/>
  <c r="FF180" i="33"/>
  <c r="FE180" i="33"/>
  <c r="FD180" i="33"/>
  <c r="FC180" i="33"/>
  <c r="FB180" i="33"/>
  <c r="FA180" i="33"/>
  <c r="EZ180" i="33"/>
  <c r="EY180" i="33"/>
  <c r="EX180" i="33"/>
  <c r="EW180" i="33"/>
  <c r="EV180" i="33"/>
  <c r="EU180" i="33"/>
  <c r="ET180" i="33"/>
  <c r="ES180" i="33"/>
  <c r="ER180" i="33"/>
  <c r="EQ180" i="33"/>
  <c r="EP180" i="33"/>
  <c r="EO180" i="33"/>
  <c r="EN180" i="33"/>
  <c r="EM180" i="33"/>
  <c r="EL180" i="33"/>
  <c r="EK180" i="33"/>
  <c r="EJ180" i="33"/>
  <c r="EI180" i="33"/>
  <c r="EH180" i="33"/>
  <c r="EG180" i="33"/>
  <c r="EF180" i="33"/>
  <c r="EE180" i="33"/>
  <c r="ED180" i="33"/>
  <c r="EC180" i="33"/>
  <c r="EB180" i="33"/>
  <c r="EA180" i="33"/>
  <c r="DZ180" i="33"/>
  <c r="DY180" i="33"/>
  <c r="DX180" i="33"/>
  <c r="DW180" i="33"/>
  <c r="DV180" i="33"/>
  <c r="DU180" i="33"/>
  <c r="DT180" i="33"/>
  <c r="DS180" i="33"/>
  <c r="DR180" i="33"/>
  <c r="DQ180" i="33"/>
  <c r="DP180" i="33"/>
  <c r="DO180" i="33"/>
  <c r="DN180" i="33"/>
  <c r="DM180" i="33"/>
  <c r="DL180" i="33"/>
  <c r="DK180" i="33"/>
  <c r="DJ180" i="33"/>
  <c r="DI180" i="33"/>
  <c r="DH180" i="33"/>
  <c r="DG180" i="33"/>
  <c r="DF180" i="33"/>
  <c r="DE180" i="33"/>
  <c r="DD180" i="33"/>
  <c r="DC180" i="33"/>
  <c r="DB180" i="33"/>
  <c r="DA180" i="33"/>
  <c r="CZ180" i="33"/>
  <c r="CY180" i="33"/>
  <c r="CX180" i="33"/>
  <c r="CW180" i="33"/>
  <c r="CV180" i="33"/>
  <c r="CU180" i="33"/>
  <c r="CT180" i="33"/>
  <c r="CS180" i="33"/>
  <c r="CR180" i="33"/>
  <c r="CQ180" i="33"/>
  <c r="CP180" i="33"/>
  <c r="CO180" i="33"/>
  <c r="CN180" i="33"/>
  <c r="CM180" i="33"/>
  <c r="CL180" i="33"/>
  <c r="CK180" i="33"/>
  <c r="CJ180" i="33"/>
  <c r="CI180" i="33"/>
  <c r="CH180" i="33"/>
  <c r="CG180" i="33"/>
  <c r="CF180" i="33"/>
  <c r="CE180" i="33"/>
  <c r="CD180" i="33"/>
  <c r="CC180" i="33"/>
  <c r="CB180" i="33"/>
  <c r="CA180" i="33"/>
  <c r="BZ180" i="33"/>
  <c r="BY180" i="33"/>
  <c r="BX180" i="33"/>
  <c r="BW180" i="33"/>
  <c r="BV180" i="33"/>
  <c r="BU180" i="33"/>
  <c r="BT180" i="33"/>
  <c r="BS180" i="33"/>
  <c r="BR180" i="33"/>
  <c r="BQ180" i="33"/>
  <c r="BP180" i="33"/>
  <c r="BO180" i="33"/>
  <c r="BN180" i="33"/>
  <c r="BM180" i="33"/>
  <c r="BL180" i="33"/>
  <c r="BK180" i="33"/>
  <c r="BJ180" i="33"/>
  <c r="BI180" i="33"/>
  <c r="BH180" i="33"/>
  <c r="BG180" i="33"/>
  <c r="BF180" i="33"/>
  <c r="BE180" i="33"/>
  <c r="BD180" i="33"/>
  <c r="BC180" i="33"/>
  <c r="BB180" i="33"/>
  <c r="BA180" i="33"/>
  <c r="AZ180" i="33"/>
  <c r="AY180" i="33"/>
  <c r="AX180" i="33"/>
  <c r="AW180" i="33"/>
  <c r="AV180" i="33"/>
  <c r="AU180" i="33"/>
  <c r="AT180" i="33"/>
  <c r="AS180" i="33"/>
  <c r="AR180" i="33"/>
  <c r="AQ180" i="33"/>
  <c r="AP180" i="33"/>
  <c r="AO180" i="33"/>
  <c r="AN180" i="33"/>
  <c r="AM180" i="33"/>
  <c r="AL180" i="33"/>
  <c r="AK180" i="33"/>
  <c r="AJ180" i="33"/>
  <c r="AI180" i="33"/>
  <c r="AH180" i="33"/>
  <c r="AG180" i="33"/>
  <c r="AF180" i="33"/>
  <c r="AE180" i="33"/>
  <c r="AD180" i="33"/>
  <c r="AC180" i="33"/>
  <c r="AB180" i="33"/>
  <c r="AA180" i="33"/>
  <c r="Z180" i="33"/>
  <c r="Y180" i="33"/>
  <c r="X180" i="33"/>
  <c r="W180" i="33"/>
  <c r="V180" i="33"/>
  <c r="U180" i="33"/>
  <c r="T180" i="33"/>
  <c r="S180" i="33"/>
  <c r="R180" i="33"/>
  <c r="Q180" i="33"/>
  <c r="P180" i="33"/>
  <c r="O180" i="33"/>
  <c r="N180" i="33"/>
  <c r="M180" i="33"/>
  <c r="L180" i="33"/>
  <c r="K180" i="33"/>
  <c r="J180" i="33"/>
  <c r="I180" i="33"/>
  <c r="H180" i="33"/>
  <c r="G180" i="33"/>
  <c r="F180" i="33"/>
  <c r="E180" i="33"/>
  <c r="D180" i="33"/>
  <c r="C180" i="33"/>
  <c r="B180" i="33"/>
  <c r="A180" i="33"/>
  <c r="IV179" i="33"/>
  <c r="IU179" i="33"/>
  <c r="IT179" i="33"/>
  <c r="IS179" i="33"/>
  <c r="IR179" i="33"/>
  <c r="IQ179" i="33"/>
  <c r="IP179" i="33"/>
  <c r="IO179" i="33"/>
  <c r="IN179" i="33"/>
  <c r="IM179" i="33"/>
  <c r="IL179" i="33"/>
  <c r="IK179" i="33"/>
  <c r="IJ179" i="33"/>
  <c r="II179" i="33"/>
  <c r="IH179" i="33"/>
  <c r="IG179" i="33"/>
  <c r="IF179" i="33"/>
  <c r="IE179" i="33"/>
  <c r="ID179" i="33"/>
  <c r="IC179" i="33"/>
  <c r="IB179" i="33"/>
  <c r="IA179" i="33"/>
  <c r="HZ179" i="33"/>
  <c r="HY179" i="33"/>
  <c r="HX179" i="33"/>
  <c r="HW179" i="33"/>
  <c r="HV179" i="33"/>
  <c r="HU179" i="33"/>
  <c r="HT179" i="33"/>
  <c r="HS179" i="33"/>
  <c r="HR179" i="33"/>
  <c r="HQ179" i="33"/>
  <c r="HP179" i="33"/>
  <c r="HO179" i="33"/>
  <c r="HN179" i="33"/>
  <c r="HM179" i="33"/>
  <c r="HL179" i="33"/>
  <c r="HK179" i="33"/>
  <c r="HJ179" i="33"/>
  <c r="HI179" i="33"/>
  <c r="HH179" i="33"/>
  <c r="HG179" i="33"/>
  <c r="HF179" i="33"/>
  <c r="HE179" i="33"/>
  <c r="HD179" i="33"/>
  <c r="HC179" i="33"/>
  <c r="HB179" i="33"/>
  <c r="HA179" i="33"/>
  <c r="GZ179" i="33"/>
  <c r="GY179" i="33"/>
  <c r="GX179" i="33"/>
  <c r="GW179" i="33"/>
  <c r="GV179" i="33"/>
  <c r="GU179" i="33"/>
  <c r="GT179" i="33"/>
  <c r="GS179" i="33"/>
  <c r="GR179" i="33"/>
  <c r="GQ179" i="33"/>
  <c r="GP179" i="33"/>
  <c r="GO179" i="33"/>
  <c r="GN179" i="33"/>
  <c r="GM179" i="33"/>
  <c r="GL179" i="33"/>
  <c r="GK179" i="33"/>
  <c r="GJ179" i="33"/>
  <c r="GI179" i="33"/>
  <c r="GH179" i="33"/>
  <c r="GG179" i="33"/>
  <c r="GF179" i="33"/>
  <c r="GE179" i="33"/>
  <c r="GD179" i="33"/>
  <c r="GC179" i="33"/>
  <c r="GB179" i="33"/>
  <c r="GA179" i="33"/>
  <c r="FZ179" i="33"/>
  <c r="FY179" i="33"/>
  <c r="FX179" i="33"/>
  <c r="FW179" i="33"/>
  <c r="FV179" i="33"/>
  <c r="FU179" i="33"/>
  <c r="FT179" i="33"/>
  <c r="FS179" i="33"/>
  <c r="FR179" i="33"/>
  <c r="FQ179" i="33"/>
  <c r="FP179" i="33"/>
  <c r="FO179" i="33"/>
  <c r="FN179" i="33"/>
  <c r="FM179" i="33"/>
  <c r="FL179" i="33"/>
  <c r="FK179" i="33"/>
  <c r="FJ179" i="33"/>
  <c r="FI179" i="33"/>
  <c r="FH179" i="33"/>
  <c r="FG179" i="33"/>
  <c r="FF179" i="33"/>
  <c r="FE179" i="33"/>
  <c r="FD179" i="33"/>
  <c r="FC179" i="33"/>
  <c r="FB179" i="33"/>
  <c r="FA179" i="33"/>
  <c r="EZ179" i="33"/>
  <c r="EY179" i="33"/>
  <c r="EX179" i="33"/>
  <c r="EW179" i="33"/>
  <c r="EV179" i="33"/>
  <c r="EU179" i="33"/>
  <c r="ET179" i="33"/>
  <c r="ES179" i="33"/>
  <c r="ER179" i="33"/>
  <c r="EQ179" i="33"/>
  <c r="EP179" i="33"/>
  <c r="EO179" i="33"/>
  <c r="EN179" i="33"/>
  <c r="EM179" i="33"/>
  <c r="EL179" i="33"/>
  <c r="EK179" i="33"/>
  <c r="EJ179" i="33"/>
  <c r="EI179" i="33"/>
  <c r="EH179" i="33"/>
  <c r="EG179" i="33"/>
  <c r="EF179" i="33"/>
  <c r="EE179" i="33"/>
  <c r="ED179" i="33"/>
  <c r="EC179" i="33"/>
  <c r="EB179" i="33"/>
  <c r="EA179" i="33"/>
  <c r="DZ179" i="33"/>
  <c r="DY179" i="33"/>
  <c r="DX179" i="33"/>
  <c r="DW179" i="33"/>
  <c r="DV179" i="33"/>
  <c r="DU179" i="33"/>
  <c r="DT179" i="33"/>
  <c r="DS179" i="33"/>
  <c r="DR179" i="33"/>
  <c r="DQ179" i="33"/>
  <c r="DP179" i="33"/>
  <c r="DO179" i="33"/>
  <c r="DN179" i="33"/>
  <c r="DM179" i="33"/>
  <c r="DL179" i="33"/>
  <c r="DK179" i="33"/>
  <c r="DJ179" i="33"/>
  <c r="DI179" i="33"/>
  <c r="DH179" i="33"/>
  <c r="DG179" i="33"/>
  <c r="DF179" i="33"/>
  <c r="DE179" i="33"/>
  <c r="DD179" i="33"/>
  <c r="DC179" i="33"/>
  <c r="DB179" i="33"/>
  <c r="DA179" i="33"/>
  <c r="CZ179" i="33"/>
  <c r="CY179" i="33"/>
  <c r="CX179" i="33"/>
  <c r="CW179" i="33"/>
  <c r="CV179" i="33"/>
  <c r="CU179" i="33"/>
  <c r="CT179" i="33"/>
  <c r="CS179" i="33"/>
  <c r="CR179" i="33"/>
  <c r="CQ179" i="33"/>
  <c r="CP179" i="33"/>
  <c r="CO179" i="33"/>
  <c r="CN179" i="33"/>
  <c r="CM179" i="33"/>
  <c r="CL179" i="33"/>
  <c r="CK179" i="33"/>
  <c r="CJ179" i="33"/>
  <c r="CI179" i="33"/>
  <c r="CH179" i="33"/>
  <c r="CG179" i="33"/>
  <c r="CF179" i="33"/>
  <c r="CE179" i="33"/>
  <c r="CD179" i="33"/>
  <c r="CC179" i="33"/>
  <c r="CB179" i="33"/>
  <c r="CA179" i="33"/>
  <c r="BZ179" i="33"/>
  <c r="BY179" i="33"/>
  <c r="BX179" i="33"/>
  <c r="BW179" i="33"/>
  <c r="BV179" i="33"/>
  <c r="BU179" i="33"/>
  <c r="BT179" i="33"/>
  <c r="BS179" i="33"/>
  <c r="BR179" i="33"/>
  <c r="BQ179" i="33"/>
  <c r="BP179" i="33"/>
  <c r="BO179" i="33"/>
  <c r="BN179" i="33"/>
  <c r="BM179" i="33"/>
  <c r="BL179" i="33"/>
  <c r="BK179" i="33"/>
  <c r="BJ179" i="33"/>
  <c r="BI179" i="33"/>
  <c r="BH179" i="33"/>
  <c r="BG179" i="33"/>
  <c r="BF179" i="33"/>
  <c r="BE179" i="33"/>
  <c r="BD179" i="33"/>
  <c r="BC179" i="33"/>
  <c r="BB179" i="33"/>
  <c r="BA179" i="33"/>
  <c r="AZ179" i="33"/>
  <c r="AY179" i="33"/>
  <c r="AX179" i="33"/>
  <c r="AW179" i="33"/>
  <c r="AV179" i="33"/>
  <c r="AU179" i="33"/>
  <c r="AT179" i="33"/>
  <c r="AS179" i="33"/>
  <c r="AR179" i="33"/>
  <c r="AQ179" i="33"/>
  <c r="AP179" i="33"/>
  <c r="AO179" i="33"/>
  <c r="AN179" i="33"/>
  <c r="AM179" i="33"/>
  <c r="AL179" i="33"/>
  <c r="AK179" i="33"/>
  <c r="AJ179" i="33"/>
  <c r="AI179" i="33"/>
  <c r="AH179" i="33"/>
  <c r="AG179" i="33"/>
  <c r="AF179" i="33"/>
  <c r="AE179" i="33"/>
  <c r="AD179" i="33"/>
  <c r="AC179" i="33"/>
  <c r="AB179" i="33"/>
  <c r="AA179" i="33"/>
  <c r="Z179" i="33"/>
  <c r="Y179" i="33"/>
  <c r="X179" i="33"/>
  <c r="W179" i="33"/>
  <c r="V179" i="33"/>
  <c r="U179" i="33"/>
  <c r="T179" i="33"/>
  <c r="S179" i="33"/>
  <c r="R179" i="33"/>
  <c r="Q179" i="33"/>
  <c r="P179" i="33"/>
  <c r="O179" i="33"/>
  <c r="N179" i="33"/>
  <c r="M179" i="33"/>
  <c r="L179" i="33"/>
  <c r="K179" i="33"/>
  <c r="J179" i="33"/>
  <c r="I179" i="33"/>
  <c r="H179" i="33"/>
  <c r="G179" i="33"/>
  <c r="F179" i="33"/>
  <c r="E179" i="33"/>
  <c r="D179" i="33"/>
  <c r="C179" i="33"/>
  <c r="B179" i="33"/>
  <c r="A179" i="33"/>
  <c r="IV178" i="33"/>
  <c r="IU178" i="33"/>
  <c r="IT178" i="33"/>
  <c r="IS178" i="33"/>
  <c r="IR178" i="33"/>
  <c r="IQ178" i="33"/>
  <c r="IP178" i="33"/>
  <c r="IO178" i="33"/>
  <c r="IN178" i="33"/>
  <c r="IM178" i="33"/>
  <c r="IL178" i="33"/>
  <c r="IK178" i="33"/>
  <c r="IJ178" i="33"/>
  <c r="II178" i="33"/>
  <c r="IH178" i="33"/>
  <c r="IG178" i="33"/>
  <c r="IF178" i="33"/>
  <c r="IE178" i="33"/>
  <c r="ID178" i="33"/>
  <c r="IC178" i="33"/>
  <c r="IB178" i="33"/>
  <c r="IA178" i="33"/>
  <c r="HZ178" i="33"/>
  <c r="HY178" i="33"/>
  <c r="HX178" i="33"/>
  <c r="HW178" i="33"/>
  <c r="HV178" i="33"/>
  <c r="HU178" i="33"/>
  <c r="HT178" i="33"/>
  <c r="HS178" i="33"/>
  <c r="HR178" i="33"/>
  <c r="HQ178" i="33"/>
  <c r="HP178" i="33"/>
  <c r="HO178" i="33"/>
  <c r="HN178" i="33"/>
  <c r="HM178" i="33"/>
  <c r="HL178" i="33"/>
  <c r="HK178" i="33"/>
  <c r="HJ178" i="33"/>
  <c r="HI178" i="33"/>
  <c r="HH178" i="33"/>
  <c r="HG178" i="33"/>
  <c r="HF178" i="33"/>
  <c r="HE178" i="33"/>
  <c r="HD178" i="33"/>
  <c r="HC178" i="33"/>
  <c r="HB178" i="33"/>
  <c r="HA178" i="33"/>
  <c r="GZ178" i="33"/>
  <c r="GY178" i="33"/>
  <c r="GX178" i="33"/>
  <c r="GW178" i="33"/>
  <c r="GV178" i="33"/>
  <c r="GU178" i="33"/>
  <c r="GT178" i="33"/>
  <c r="GS178" i="33"/>
  <c r="GR178" i="33"/>
  <c r="GQ178" i="33"/>
  <c r="GP178" i="33"/>
  <c r="GO178" i="33"/>
  <c r="GN178" i="33"/>
  <c r="GM178" i="33"/>
  <c r="GL178" i="33"/>
  <c r="GK178" i="33"/>
  <c r="GJ178" i="33"/>
  <c r="GI178" i="33"/>
  <c r="GH178" i="33"/>
  <c r="GG178" i="33"/>
  <c r="GF178" i="33"/>
  <c r="GE178" i="33"/>
  <c r="GD178" i="33"/>
  <c r="GC178" i="33"/>
  <c r="GB178" i="33"/>
  <c r="GA178" i="33"/>
  <c r="FZ178" i="33"/>
  <c r="FY178" i="33"/>
  <c r="FX178" i="33"/>
  <c r="FW178" i="33"/>
  <c r="FV178" i="33"/>
  <c r="FU178" i="33"/>
  <c r="FT178" i="33"/>
  <c r="FS178" i="33"/>
  <c r="FR178" i="33"/>
  <c r="FQ178" i="33"/>
  <c r="FP178" i="33"/>
  <c r="FO178" i="33"/>
  <c r="FN178" i="33"/>
  <c r="FM178" i="33"/>
  <c r="FL178" i="33"/>
  <c r="FK178" i="33"/>
  <c r="FJ178" i="33"/>
  <c r="FI178" i="33"/>
  <c r="FH178" i="33"/>
  <c r="FG178" i="33"/>
  <c r="FF178" i="33"/>
  <c r="FE178" i="33"/>
  <c r="FD178" i="33"/>
  <c r="FC178" i="33"/>
  <c r="FB178" i="33"/>
  <c r="FA178" i="33"/>
  <c r="EZ178" i="33"/>
  <c r="EY178" i="33"/>
  <c r="EX178" i="33"/>
  <c r="EW178" i="33"/>
  <c r="EV178" i="33"/>
  <c r="EU178" i="33"/>
  <c r="ET178" i="33"/>
  <c r="ES178" i="33"/>
  <c r="ER178" i="33"/>
  <c r="EQ178" i="33"/>
  <c r="EP178" i="33"/>
  <c r="EO178" i="33"/>
  <c r="EN178" i="33"/>
  <c r="EM178" i="33"/>
  <c r="EL178" i="33"/>
  <c r="EK178" i="33"/>
  <c r="EJ178" i="33"/>
  <c r="EI178" i="33"/>
  <c r="EH178" i="33"/>
  <c r="EG178" i="33"/>
  <c r="EF178" i="33"/>
  <c r="EE178" i="33"/>
  <c r="ED178" i="33"/>
  <c r="EC178" i="33"/>
  <c r="EB178" i="33"/>
  <c r="EA178" i="33"/>
  <c r="DZ178" i="33"/>
  <c r="DY178" i="33"/>
  <c r="DX178" i="33"/>
  <c r="DW178" i="33"/>
  <c r="DV178" i="33"/>
  <c r="DU178" i="33"/>
  <c r="DT178" i="33"/>
  <c r="DS178" i="33"/>
  <c r="DR178" i="33"/>
  <c r="DQ178" i="33"/>
  <c r="DP178" i="33"/>
  <c r="DO178" i="33"/>
  <c r="DN178" i="33"/>
  <c r="DM178" i="33"/>
  <c r="DL178" i="33"/>
  <c r="DK178" i="33"/>
  <c r="DJ178" i="33"/>
  <c r="DI178" i="33"/>
  <c r="DH178" i="33"/>
  <c r="DG178" i="33"/>
  <c r="DF178" i="33"/>
  <c r="DE178" i="33"/>
  <c r="DD178" i="33"/>
  <c r="DC178" i="33"/>
  <c r="DB178" i="33"/>
  <c r="DA178" i="33"/>
  <c r="CZ178" i="33"/>
  <c r="CY178" i="33"/>
  <c r="CX178" i="33"/>
  <c r="CW178" i="33"/>
  <c r="CV178" i="33"/>
  <c r="CU178" i="33"/>
  <c r="CT178" i="33"/>
  <c r="CS178" i="33"/>
  <c r="CR178" i="33"/>
  <c r="CQ178" i="33"/>
  <c r="CP178" i="33"/>
  <c r="CO178" i="33"/>
  <c r="CN178" i="33"/>
  <c r="CM178" i="33"/>
  <c r="CL178" i="33"/>
  <c r="CK178" i="33"/>
  <c r="CJ178" i="33"/>
  <c r="CI178" i="33"/>
  <c r="CH178" i="33"/>
  <c r="CG178" i="33"/>
  <c r="CF178" i="33"/>
  <c r="CE178" i="33"/>
  <c r="CD178" i="33"/>
  <c r="CC178" i="33"/>
  <c r="CB178" i="33"/>
  <c r="CA178" i="33"/>
  <c r="BZ178" i="33"/>
  <c r="BY178" i="33"/>
  <c r="BX178" i="33"/>
  <c r="BW178" i="33"/>
  <c r="BV178" i="33"/>
  <c r="BU178" i="33"/>
  <c r="BT178" i="33"/>
  <c r="BS178" i="33"/>
  <c r="BR178" i="33"/>
  <c r="BQ178" i="33"/>
  <c r="BP178" i="33"/>
  <c r="BO178" i="33"/>
  <c r="BN178" i="33"/>
  <c r="BM178" i="33"/>
  <c r="BL178" i="33"/>
  <c r="BK178" i="33"/>
  <c r="BJ178" i="33"/>
  <c r="BI178" i="33"/>
  <c r="BH178" i="33"/>
  <c r="BG178" i="33"/>
  <c r="BF178" i="33"/>
  <c r="BE178" i="33"/>
  <c r="BD178" i="33"/>
  <c r="BC178" i="33"/>
  <c r="BB178" i="33"/>
  <c r="BA178" i="33"/>
  <c r="AZ178" i="33"/>
  <c r="AY178" i="33"/>
  <c r="AX178" i="33"/>
  <c r="AW178" i="33"/>
  <c r="AV178" i="33"/>
  <c r="AU178" i="33"/>
  <c r="AT178" i="33"/>
  <c r="AS178" i="33"/>
  <c r="AR178" i="33"/>
  <c r="AQ178" i="33"/>
  <c r="AP178" i="33"/>
  <c r="AO178" i="33"/>
  <c r="AN178" i="33"/>
  <c r="AM178" i="33"/>
  <c r="AL178" i="33"/>
  <c r="AK178" i="33"/>
  <c r="AJ178" i="33"/>
  <c r="AI178" i="33"/>
  <c r="AH178" i="33"/>
  <c r="AG178" i="33"/>
  <c r="AF178" i="33"/>
  <c r="AE178" i="33"/>
  <c r="AD178" i="33"/>
  <c r="AC178" i="33"/>
  <c r="AB178" i="33"/>
  <c r="AA178" i="33"/>
  <c r="Z178" i="33"/>
  <c r="Y178" i="33"/>
  <c r="X178" i="33"/>
  <c r="W178" i="33"/>
  <c r="V178" i="33"/>
  <c r="U178" i="33"/>
  <c r="T178" i="33"/>
  <c r="S178" i="33"/>
  <c r="R178" i="33"/>
  <c r="Q178" i="33"/>
  <c r="P178" i="33"/>
  <c r="O178" i="33"/>
  <c r="N178" i="33"/>
  <c r="M178" i="33"/>
  <c r="L178" i="33"/>
  <c r="K178" i="33"/>
  <c r="J178" i="33"/>
  <c r="I178" i="33"/>
  <c r="H178" i="33"/>
  <c r="G178" i="33"/>
  <c r="F178" i="33"/>
  <c r="E178" i="33"/>
  <c r="D178" i="33"/>
  <c r="C178" i="33"/>
  <c r="B178" i="33"/>
  <c r="A178" i="33"/>
  <c r="IV177" i="33"/>
  <c r="IU177" i="33"/>
  <c r="IT177" i="33"/>
  <c r="IS177" i="33"/>
  <c r="IR177" i="33"/>
  <c r="IQ177" i="33"/>
  <c r="IP177" i="33"/>
  <c r="IO177" i="33"/>
  <c r="IN177" i="33"/>
  <c r="IM177" i="33"/>
  <c r="IL177" i="33"/>
  <c r="IK177" i="33"/>
  <c r="IJ177" i="33"/>
  <c r="II177" i="33"/>
  <c r="IH177" i="33"/>
  <c r="IG177" i="33"/>
  <c r="IF177" i="33"/>
  <c r="IE177" i="33"/>
  <c r="ID177" i="33"/>
  <c r="IC177" i="33"/>
  <c r="IB177" i="33"/>
  <c r="IA177" i="33"/>
  <c r="HZ177" i="33"/>
  <c r="HY177" i="33"/>
  <c r="HX177" i="33"/>
  <c r="HW177" i="33"/>
  <c r="HV177" i="33"/>
  <c r="HU177" i="33"/>
  <c r="HT177" i="33"/>
  <c r="HS177" i="33"/>
  <c r="HR177" i="33"/>
  <c r="HQ177" i="33"/>
  <c r="HP177" i="33"/>
  <c r="HO177" i="33"/>
  <c r="HN177" i="33"/>
  <c r="HM177" i="33"/>
  <c r="HL177" i="33"/>
  <c r="HK177" i="33"/>
  <c r="HJ177" i="33"/>
  <c r="HI177" i="33"/>
  <c r="HH177" i="33"/>
  <c r="HG177" i="33"/>
  <c r="HF177" i="33"/>
  <c r="HE177" i="33"/>
  <c r="HD177" i="33"/>
  <c r="HC177" i="33"/>
  <c r="HB177" i="33"/>
  <c r="HA177" i="33"/>
  <c r="GZ177" i="33"/>
  <c r="GY177" i="33"/>
  <c r="GX177" i="33"/>
  <c r="GW177" i="33"/>
  <c r="GV177" i="33"/>
  <c r="GU177" i="33"/>
  <c r="GT177" i="33"/>
  <c r="GS177" i="33"/>
  <c r="GR177" i="33"/>
  <c r="GQ177" i="33"/>
  <c r="GP177" i="33"/>
  <c r="GO177" i="33"/>
  <c r="GN177" i="33"/>
  <c r="GM177" i="33"/>
  <c r="GL177" i="33"/>
  <c r="GK177" i="33"/>
  <c r="GJ177" i="33"/>
  <c r="GI177" i="33"/>
  <c r="GH177" i="33"/>
  <c r="GG177" i="33"/>
  <c r="GF177" i="33"/>
  <c r="GE177" i="33"/>
  <c r="GD177" i="33"/>
  <c r="GC177" i="33"/>
  <c r="GB177" i="33"/>
  <c r="GA177" i="33"/>
  <c r="FZ177" i="33"/>
  <c r="FY177" i="33"/>
  <c r="FX177" i="33"/>
  <c r="FW177" i="33"/>
  <c r="FV177" i="33"/>
  <c r="FU177" i="33"/>
  <c r="FT177" i="33"/>
  <c r="FS177" i="33"/>
  <c r="FR177" i="33"/>
  <c r="FQ177" i="33"/>
  <c r="FP177" i="33"/>
  <c r="FO177" i="33"/>
  <c r="FN177" i="33"/>
  <c r="FM177" i="33"/>
  <c r="FL177" i="33"/>
  <c r="FK177" i="33"/>
  <c r="FJ177" i="33"/>
  <c r="FI177" i="33"/>
  <c r="FH177" i="33"/>
  <c r="FG177" i="33"/>
  <c r="FF177" i="33"/>
  <c r="FE177" i="33"/>
  <c r="FD177" i="33"/>
  <c r="FC177" i="33"/>
  <c r="FB177" i="33"/>
  <c r="FA177" i="33"/>
  <c r="EZ177" i="33"/>
  <c r="EY177" i="33"/>
  <c r="EX177" i="33"/>
  <c r="EW177" i="33"/>
  <c r="EV177" i="33"/>
  <c r="EU177" i="33"/>
  <c r="ET177" i="33"/>
  <c r="ES177" i="33"/>
  <c r="ER177" i="33"/>
  <c r="EQ177" i="33"/>
  <c r="EP177" i="33"/>
  <c r="EO177" i="33"/>
  <c r="EN177" i="33"/>
  <c r="EM177" i="33"/>
  <c r="EL177" i="33"/>
  <c r="EK177" i="33"/>
  <c r="EJ177" i="33"/>
  <c r="EI177" i="33"/>
  <c r="EH177" i="33"/>
  <c r="EG177" i="33"/>
  <c r="EF177" i="33"/>
  <c r="EE177" i="33"/>
  <c r="ED177" i="33"/>
  <c r="EC177" i="33"/>
  <c r="EB177" i="33"/>
  <c r="EA177" i="33"/>
  <c r="DZ177" i="33"/>
  <c r="DY177" i="33"/>
  <c r="DX177" i="33"/>
  <c r="DW177" i="33"/>
  <c r="DV177" i="33"/>
  <c r="DU177" i="33"/>
  <c r="DT177" i="33"/>
  <c r="DS177" i="33"/>
  <c r="DR177" i="33"/>
  <c r="DQ177" i="33"/>
  <c r="DP177" i="33"/>
  <c r="DO177" i="33"/>
  <c r="DN177" i="33"/>
  <c r="DM177" i="33"/>
  <c r="DL177" i="33"/>
  <c r="DK177" i="33"/>
  <c r="DJ177" i="33"/>
  <c r="DI177" i="33"/>
  <c r="DH177" i="33"/>
  <c r="DG177" i="33"/>
  <c r="DF177" i="33"/>
  <c r="DE177" i="33"/>
  <c r="DD177" i="33"/>
  <c r="DC177" i="33"/>
  <c r="DB177" i="33"/>
  <c r="DA177" i="33"/>
  <c r="CZ177" i="33"/>
  <c r="CY177" i="33"/>
  <c r="CX177" i="33"/>
  <c r="CW177" i="33"/>
  <c r="CV177" i="33"/>
  <c r="CU177" i="33"/>
  <c r="CT177" i="33"/>
  <c r="CS177" i="33"/>
  <c r="CR177" i="33"/>
  <c r="CQ177" i="33"/>
  <c r="CP177" i="33"/>
  <c r="CO177" i="33"/>
  <c r="CN177" i="33"/>
  <c r="CM177" i="33"/>
  <c r="CL177" i="33"/>
  <c r="CK177" i="33"/>
  <c r="CJ177" i="33"/>
  <c r="CI177" i="33"/>
  <c r="CH177" i="33"/>
  <c r="CG177" i="33"/>
  <c r="CF177" i="33"/>
  <c r="CE177" i="33"/>
  <c r="CD177" i="33"/>
  <c r="CC177" i="33"/>
  <c r="CB177" i="33"/>
  <c r="CA177" i="33"/>
  <c r="BZ177" i="33"/>
  <c r="BY177" i="33"/>
  <c r="BX177" i="33"/>
  <c r="BW177" i="33"/>
  <c r="BV177" i="33"/>
  <c r="BU177" i="33"/>
  <c r="BT177" i="33"/>
  <c r="BS177" i="33"/>
  <c r="BR177" i="33"/>
  <c r="BQ177" i="33"/>
  <c r="BP177" i="33"/>
  <c r="BO177" i="33"/>
  <c r="BN177" i="33"/>
  <c r="BM177" i="33"/>
  <c r="BL177" i="33"/>
  <c r="BK177" i="33"/>
  <c r="BJ177" i="33"/>
  <c r="BI177" i="33"/>
  <c r="BH177" i="33"/>
  <c r="BG177" i="33"/>
  <c r="BF177" i="33"/>
  <c r="BE177" i="33"/>
  <c r="BD177" i="33"/>
  <c r="BC177" i="33"/>
  <c r="BB177" i="33"/>
  <c r="BA177" i="33"/>
  <c r="AZ177" i="33"/>
  <c r="AY177" i="33"/>
  <c r="AX177" i="33"/>
  <c r="AW177" i="33"/>
  <c r="AV177" i="33"/>
  <c r="AU177" i="33"/>
  <c r="AT177" i="33"/>
  <c r="AS177" i="33"/>
  <c r="AR177" i="33"/>
  <c r="AQ177" i="33"/>
  <c r="AP177" i="33"/>
  <c r="AO177" i="33"/>
  <c r="AN177" i="33"/>
  <c r="AM177" i="33"/>
  <c r="AL177" i="33"/>
  <c r="AK177" i="33"/>
  <c r="AJ177" i="33"/>
  <c r="AI177" i="33"/>
  <c r="AH177" i="33"/>
  <c r="AG177" i="33"/>
  <c r="AF177" i="33"/>
  <c r="AE177" i="33"/>
  <c r="AD177" i="33"/>
  <c r="AC177" i="33"/>
  <c r="AB177" i="33"/>
  <c r="AA177" i="33"/>
  <c r="Z177" i="33"/>
  <c r="Y177" i="33"/>
  <c r="X177" i="33"/>
  <c r="W177" i="33"/>
  <c r="V177" i="33"/>
  <c r="U177" i="33"/>
  <c r="T177" i="33"/>
  <c r="S177" i="33"/>
  <c r="R177" i="33"/>
  <c r="Q177" i="33"/>
  <c r="P177" i="33"/>
  <c r="O177" i="33"/>
  <c r="N177" i="33"/>
  <c r="M177" i="33"/>
  <c r="L177" i="33"/>
  <c r="K177" i="33"/>
  <c r="J177" i="33"/>
  <c r="I177" i="33"/>
  <c r="H177" i="33"/>
  <c r="G177" i="33"/>
  <c r="F177" i="33"/>
  <c r="E177" i="33"/>
  <c r="D177" i="33"/>
  <c r="C177" i="33"/>
  <c r="B177" i="33"/>
  <c r="A177" i="33"/>
  <c r="IV176" i="33"/>
  <c r="IU176" i="33"/>
  <c r="IT176" i="33"/>
  <c r="IS176" i="33"/>
  <c r="IR176" i="33"/>
  <c r="IQ176" i="33"/>
  <c r="IP176" i="33"/>
  <c r="IO176" i="33"/>
  <c r="IN176" i="33"/>
  <c r="IM176" i="33"/>
  <c r="IL176" i="33"/>
  <c r="IK176" i="33"/>
  <c r="IJ176" i="33"/>
  <c r="II176" i="33"/>
  <c r="IH176" i="33"/>
  <c r="IG176" i="33"/>
  <c r="IF176" i="33"/>
  <c r="IE176" i="33"/>
  <c r="ID176" i="33"/>
  <c r="IC176" i="33"/>
  <c r="IB176" i="33"/>
  <c r="IA176" i="33"/>
  <c r="HZ176" i="33"/>
  <c r="HY176" i="33"/>
  <c r="HX176" i="33"/>
  <c r="HW176" i="33"/>
  <c r="HV176" i="33"/>
  <c r="HU176" i="33"/>
  <c r="HT176" i="33"/>
  <c r="HS176" i="33"/>
  <c r="HR176" i="33"/>
  <c r="HQ176" i="33"/>
  <c r="HP176" i="33"/>
  <c r="HO176" i="33"/>
  <c r="HN176" i="33"/>
  <c r="HM176" i="33"/>
  <c r="HL176" i="33"/>
  <c r="HK176" i="33"/>
  <c r="HJ176" i="33"/>
  <c r="HI176" i="33"/>
  <c r="HH176" i="33"/>
  <c r="HG176" i="33"/>
  <c r="HF176" i="33"/>
  <c r="HE176" i="33"/>
  <c r="HD176" i="33"/>
  <c r="HC176" i="33"/>
  <c r="HB176" i="33"/>
  <c r="HA176" i="33"/>
  <c r="GZ176" i="33"/>
  <c r="GY176" i="33"/>
  <c r="GX176" i="33"/>
  <c r="GW176" i="33"/>
  <c r="GV176" i="33"/>
  <c r="GU176" i="33"/>
  <c r="GT176" i="33"/>
  <c r="GS176" i="33"/>
  <c r="GR176" i="33"/>
  <c r="GQ176" i="33"/>
  <c r="GP176" i="33"/>
  <c r="GO176" i="33"/>
  <c r="GN176" i="33"/>
  <c r="GM176" i="33"/>
  <c r="GL176" i="33"/>
  <c r="GK176" i="33"/>
  <c r="GJ176" i="33"/>
  <c r="GI176" i="33"/>
  <c r="GH176" i="33"/>
  <c r="GG176" i="33"/>
  <c r="GF176" i="33"/>
  <c r="GE176" i="33"/>
  <c r="GD176" i="33"/>
  <c r="GC176" i="33"/>
  <c r="GB176" i="33"/>
  <c r="GA176" i="33"/>
  <c r="FZ176" i="33"/>
  <c r="FY176" i="33"/>
  <c r="FX176" i="33"/>
  <c r="FW176" i="33"/>
  <c r="FV176" i="33"/>
  <c r="FU176" i="33"/>
  <c r="FT176" i="33"/>
  <c r="FS176" i="33"/>
  <c r="FR176" i="33"/>
  <c r="FQ176" i="33"/>
  <c r="FP176" i="33"/>
  <c r="FO176" i="33"/>
  <c r="FN176" i="33"/>
  <c r="FM176" i="33"/>
  <c r="FL176" i="33"/>
  <c r="FK176" i="33"/>
  <c r="FJ176" i="33"/>
  <c r="FI176" i="33"/>
  <c r="FH176" i="33"/>
  <c r="FG176" i="33"/>
  <c r="FF176" i="33"/>
  <c r="FE176" i="33"/>
  <c r="FD176" i="33"/>
  <c r="FC176" i="33"/>
  <c r="FB176" i="33"/>
  <c r="FA176" i="33"/>
  <c r="EZ176" i="33"/>
  <c r="EY176" i="33"/>
  <c r="EX176" i="33"/>
  <c r="EW176" i="33"/>
  <c r="EV176" i="33"/>
  <c r="EU176" i="33"/>
  <c r="ET176" i="33"/>
  <c r="ES176" i="33"/>
  <c r="ER176" i="33"/>
  <c r="EQ176" i="33"/>
  <c r="EP176" i="33"/>
  <c r="EO176" i="33"/>
  <c r="EN176" i="33"/>
  <c r="EM176" i="33"/>
  <c r="EL176" i="33"/>
  <c r="EK176" i="33"/>
  <c r="EJ176" i="33"/>
  <c r="EI176" i="33"/>
  <c r="EH176" i="33"/>
  <c r="EG176" i="33"/>
  <c r="EF176" i="33"/>
  <c r="EE176" i="33"/>
  <c r="ED176" i="33"/>
  <c r="EC176" i="33"/>
  <c r="EB176" i="33"/>
  <c r="EA176" i="33"/>
  <c r="DZ176" i="33"/>
  <c r="DY176" i="33"/>
  <c r="DX176" i="33"/>
  <c r="DW176" i="33"/>
  <c r="DV176" i="33"/>
  <c r="DU176" i="33"/>
  <c r="DT176" i="33"/>
  <c r="DS176" i="33"/>
  <c r="DR176" i="33"/>
  <c r="DQ176" i="33"/>
  <c r="DP176" i="33"/>
  <c r="DO176" i="33"/>
  <c r="DN176" i="33"/>
  <c r="DM176" i="33"/>
  <c r="DL176" i="33"/>
  <c r="DK176" i="33"/>
  <c r="DJ176" i="33"/>
  <c r="DI176" i="33"/>
  <c r="DH176" i="33"/>
  <c r="DG176" i="33"/>
  <c r="DF176" i="33"/>
  <c r="DE176" i="33"/>
  <c r="DD176" i="33"/>
  <c r="DC176" i="33"/>
  <c r="DB176" i="33"/>
  <c r="DA176" i="33"/>
  <c r="CZ176" i="33"/>
  <c r="CY176" i="33"/>
  <c r="CX176" i="33"/>
  <c r="CW176" i="33"/>
  <c r="CV176" i="33"/>
  <c r="CU176" i="33"/>
  <c r="CT176" i="33"/>
  <c r="CS176" i="33"/>
  <c r="CR176" i="33"/>
  <c r="CQ176" i="33"/>
  <c r="CP176" i="33"/>
  <c r="CO176" i="33"/>
  <c r="CN176" i="33"/>
  <c r="CM176" i="33"/>
  <c r="CL176" i="33"/>
  <c r="CK176" i="33"/>
  <c r="CJ176" i="33"/>
  <c r="CI176" i="33"/>
  <c r="CH176" i="33"/>
  <c r="CG176" i="33"/>
  <c r="CF176" i="33"/>
  <c r="CE176" i="33"/>
  <c r="CD176" i="33"/>
  <c r="CC176" i="33"/>
  <c r="CB176" i="33"/>
  <c r="CA176" i="33"/>
  <c r="BZ176" i="33"/>
  <c r="BY176" i="33"/>
  <c r="BX176" i="33"/>
  <c r="BW176" i="33"/>
  <c r="BV176" i="33"/>
  <c r="BU176" i="33"/>
  <c r="BT176" i="33"/>
  <c r="BS176" i="33"/>
  <c r="BR176" i="33"/>
  <c r="BQ176" i="33"/>
  <c r="BP176" i="33"/>
  <c r="BO176" i="33"/>
  <c r="BN176" i="33"/>
  <c r="BM176" i="33"/>
  <c r="BL176" i="33"/>
  <c r="BK176" i="33"/>
  <c r="BJ176" i="33"/>
  <c r="BI176" i="33"/>
  <c r="BH176" i="33"/>
  <c r="BG176" i="33"/>
  <c r="BF176" i="33"/>
  <c r="BE176" i="33"/>
  <c r="BD176" i="33"/>
  <c r="BC176" i="33"/>
  <c r="BB176" i="33"/>
  <c r="BA176" i="33"/>
  <c r="AZ176" i="33"/>
  <c r="AY176" i="33"/>
  <c r="AX176" i="33"/>
  <c r="AW176" i="33"/>
  <c r="AV176" i="33"/>
  <c r="AU176" i="33"/>
  <c r="AT176" i="33"/>
  <c r="AS176" i="33"/>
  <c r="AR176" i="33"/>
  <c r="AQ176" i="33"/>
  <c r="AP176" i="33"/>
  <c r="AO176" i="33"/>
  <c r="AN176" i="33"/>
  <c r="AM176" i="33"/>
  <c r="AL176" i="33"/>
  <c r="AK176" i="33"/>
  <c r="AJ176" i="33"/>
  <c r="AI176" i="33"/>
  <c r="AH176" i="33"/>
  <c r="AG176" i="33"/>
  <c r="AF176" i="33"/>
  <c r="AE176" i="33"/>
  <c r="AD176" i="33"/>
  <c r="AC176" i="33"/>
  <c r="AB176" i="33"/>
  <c r="AA176" i="33"/>
  <c r="Z176" i="33"/>
  <c r="Y176" i="33"/>
  <c r="X176" i="33"/>
  <c r="W176" i="33"/>
  <c r="V176" i="33"/>
  <c r="U176" i="33"/>
  <c r="T176" i="33"/>
  <c r="S176" i="33"/>
  <c r="R176" i="33"/>
  <c r="Q176" i="33"/>
  <c r="P176" i="33"/>
  <c r="O176" i="33"/>
  <c r="N176" i="33"/>
  <c r="M176" i="33"/>
  <c r="L176" i="33"/>
  <c r="K176" i="33"/>
  <c r="J176" i="33"/>
  <c r="I176" i="33"/>
  <c r="H176" i="33"/>
  <c r="G176" i="33"/>
  <c r="F176" i="33"/>
  <c r="E176" i="33"/>
  <c r="D176" i="33"/>
  <c r="C176" i="33"/>
  <c r="B176" i="33"/>
  <c r="A176" i="33"/>
  <c r="IV175" i="33"/>
  <c r="IU175" i="33"/>
  <c r="IT175" i="33"/>
  <c r="IS175" i="33"/>
  <c r="IR175" i="33"/>
  <c r="IQ175" i="33"/>
  <c r="IP175" i="33"/>
  <c r="IO175" i="33"/>
  <c r="IN175" i="33"/>
  <c r="IM175" i="33"/>
  <c r="IL175" i="33"/>
  <c r="IK175" i="33"/>
  <c r="IJ175" i="33"/>
  <c r="II175" i="33"/>
  <c r="IH175" i="33"/>
  <c r="IG175" i="33"/>
  <c r="IF175" i="33"/>
  <c r="IE175" i="33"/>
  <c r="ID175" i="33"/>
  <c r="IC175" i="33"/>
  <c r="IB175" i="33"/>
  <c r="IA175" i="33"/>
  <c r="HZ175" i="33"/>
  <c r="HY175" i="33"/>
  <c r="HX175" i="33"/>
  <c r="HW175" i="33"/>
  <c r="HV175" i="33"/>
  <c r="HU175" i="33"/>
  <c r="HT175" i="33"/>
  <c r="HS175" i="33"/>
  <c r="HR175" i="33"/>
  <c r="HQ175" i="33"/>
  <c r="HP175" i="33"/>
  <c r="HO175" i="33"/>
  <c r="HN175" i="33"/>
  <c r="HM175" i="33"/>
  <c r="HL175" i="33"/>
  <c r="HK175" i="33"/>
  <c r="HJ175" i="33"/>
  <c r="HI175" i="33"/>
  <c r="HH175" i="33"/>
  <c r="HG175" i="33"/>
  <c r="HF175" i="33"/>
  <c r="HE175" i="33"/>
  <c r="HD175" i="33"/>
  <c r="HC175" i="33"/>
  <c r="HB175" i="33"/>
  <c r="HA175" i="33"/>
  <c r="GZ175" i="33"/>
  <c r="GY175" i="33"/>
  <c r="GX175" i="33"/>
  <c r="GW175" i="33"/>
  <c r="GV175" i="33"/>
  <c r="GU175" i="33"/>
  <c r="GT175" i="33"/>
  <c r="GS175" i="33"/>
  <c r="GR175" i="33"/>
  <c r="GQ175" i="33"/>
  <c r="GP175" i="33"/>
  <c r="GO175" i="33"/>
  <c r="GN175" i="33"/>
  <c r="GM175" i="33"/>
  <c r="GL175" i="33"/>
  <c r="GK175" i="33"/>
  <c r="GJ175" i="33"/>
  <c r="GI175" i="33"/>
  <c r="GH175" i="33"/>
  <c r="GG175" i="33"/>
  <c r="GF175" i="33"/>
  <c r="GE175" i="33"/>
  <c r="GD175" i="33"/>
  <c r="GC175" i="33"/>
  <c r="GB175" i="33"/>
  <c r="GA175" i="33"/>
  <c r="FZ175" i="33"/>
  <c r="FY175" i="33"/>
  <c r="FX175" i="33"/>
  <c r="FW175" i="33"/>
  <c r="FV175" i="33"/>
  <c r="FU175" i="33"/>
  <c r="FT175" i="33"/>
  <c r="FS175" i="33"/>
  <c r="FR175" i="33"/>
  <c r="FQ175" i="33"/>
  <c r="FP175" i="33"/>
  <c r="FO175" i="33"/>
  <c r="FN175" i="33"/>
  <c r="FM175" i="33"/>
  <c r="FL175" i="33"/>
  <c r="FK175" i="33"/>
  <c r="FJ175" i="33"/>
  <c r="FI175" i="33"/>
  <c r="FH175" i="33"/>
  <c r="FG175" i="33"/>
  <c r="FF175" i="33"/>
  <c r="FE175" i="33"/>
  <c r="FD175" i="33"/>
  <c r="FC175" i="33"/>
  <c r="FB175" i="33"/>
  <c r="FA175" i="33"/>
  <c r="EZ175" i="33"/>
  <c r="EY175" i="33"/>
  <c r="EX175" i="33"/>
  <c r="EW175" i="33"/>
  <c r="EV175" i="33"/>
  <c r="EU175" i="33"/>
  <c r="ET175" i="33"/>
  <c r="ES175" i="33"/>
  <c r="ER175" i="33"/>
  <c r="EQ175" i="33"/>
  <c r="EP175" i="33"/>
  <c r="EO175" i="33"/>
  <c r="EN175" i="33"/>
  <c r="EM175" i="33"/>
  <c r="EL175" i="33"/>
  <c r="EK175" i="33"/>
  <c r="EJ175" i="33"/>
  <c r="EI175" i="33"/>
  <c r="EH175" i="33"/>
  <c r="EG175" i="33"/>
  <c r="EF175" i="33"/>
  <c r="EE175" i="33"/>
  <c r="ED175" i="33"/>
  <c r="EC175" i="33"/>
  <c r="EB175" i="33"/>
  <c r="EA175" i="33"/>
  <c r="DZ175" i="33"/>
  <c r="DY175" i="33"/>
  <c r="DX175" i="33"/>
  <c r="DW175" i="33"/>
  <c r="DV175" i="33"/>
  <c r="DU175" i="33"/>
  <c r="DT175" i="33"/>
  <c r="DS175" i="33"/>
  <c r="DR175" i="33"/>
  <c r="DQ175" i="33"/>
  <c r="DP175" i="33"/>
  <c r="DO175" i="33"/>
  <c r="DN175" i="33"/>
  <c r="DM175" i="33"/>
  <c r="DL175" i="33"/>
  <c r="DK175" i="33"/>
  <c r="DJ175" i="33"/>
  <c r="DI175" i="33"/>
  <c r="DH175" i="33"/>
  <c r="DG175" i="33"/>
  <c r="DF175" i="33"/>
  <c r="DE175" i="33"/>
  <c r="DD175" i="33"/>
  <c r="DC175" i="33"/>
  <c r="DB175" i="33"/>
  <c r="DA175" i="33"/>
  <c r="CZ175" i="33"/>
  <c r="CY175" i="33"/>
  <c r="CX175" i="33"/>
  <c r="CW175" i="33"/>
  <c r="CV175" i="33"/>
  <c r="CU175" i="33"/>
  <c r="CT175" i="33"/>
  <c r="CS175" i="33"/>
  <c r="CR175" i="33"/>
  <c r="CQ175" i="33"/>
  <c r="CP175" i="33"/>
  <c r="CO175" i="33"/>
  <c r="CN175" i="33"/>
  <c r="CM175" i="33"/>
  <c r="CL175" i="33"/>
  <c r="CK175" i="33"/>
  <c r="CJ175" i="33"/>
  <c r="CI175" i="33"/>
  <c r="CH175" i="33"/>
  <c r="CG175" i="33"/>
  <c r="CF175" i="33"/>
  <c r="CE175" i="33"/>
  <c r="CD175" i="33"/>
  <c r="CC175" i="33"/>
  <c r="CB175" i="33"/>
  <c r="CA175" i="33"/>
  <c r="BZ175" i="33"/>
  <c r="BY175" i="33"/>
  <c r="BX175" i="33"/>
  <c r="BW175" i="33"/>
  <c r="BV175" i="33"/>
  <c r="BU175" i="33"/>
  <c r="BT175" i="33"/>
  <c r="BS175" i="33"/>
  <c r="BR175" i="33"/>
  <c r="BQ175" i="33"/>
  <c r="BP175" i="33"/>
  <c r="BO175" i="33"/>
  <c r="BN175" i="33"/>
  <c r="BM175" i="33"/>
  <c r="BL175" i="33"/>
  <c r="BK175" i="33"/>
  <c r="BJ175" i="33"/>
  <c r="BI175" i="33"/>
  <c r="BH175" i="33"/>
  <c r="BG175" i="33"/>
  <c r="BF175" i="33"/>
  <c r="BE175" i="33"/>
  <c r="BD175" i="33"/>
  <c r="BC175" i="33"/>
  <c r="BB175" i="33"/>
  <c r="BA175" i="33"/>
  <c r="AZ175" i="33"/>
  <c r="AY175" i="33"/>
  <c r="AX175" i="33"/>
  <c r="AW175" i="33"/>
  <c r="AV175" i="33"/>
  <c r="AU175" i="33"/>
  <c r="AT175" i="33"/>
  <c r="AS175" i="33"/>
  <c r="AR175" i="33"/>
  <c r="AQ175" i="33"/>
  <c r="AP175" i="33"/>
  <c r="AO175" i="33"/>
  <c r="AN175" i="33"/>
  <c r="AM175" i="33"/>
  <c r="AL175" i="33"/>
  <c r="AK175" i="33"/>
  <c r="AJ175" i="33"/>
  <c r="AI175" i="33"/>
  <c r="AH175" i="33"/>
  <c r="AG175" i="33"/>
  <c r="AF175" i="33"/>
  <c r="AE175" i="33"/>
  <c r="AD175" i="33"/>
  <c r="AC175" i="33"/>
  <c r="AB175" i="33"/>
  <c r="AA175" i="33"/>
  <c r="Z175" i="33"/>
  <c r="Y175" i="33"/>
  <c r="X175" i="33"/>
  <c r="W175" i="33"/>
  <c r="V175" i="33"/>
  <c r="U175" i="33"/>
  <c r="T175" i="33"/>
  <c r="S175" i="33"/>
  <c r="R175" i="33"/>
  <c r="Q175" i="33"/>
  <c r="P175" i="33"/>
  <c r="O175" i="33"/>
  <c r="N175" i="33"/>
  <c r="M175" i="33"/>
  <c r="L175" i="33"/>
  <c r="K175" i="33"/>
  <c r="J175" i="33"/>
  <c r="I175" i="33"/>
  <c r="H175" i="33"/>
  <c r="G175" i="33"/>
  <c r="F175" i="33"/>
  <c r="E175" i="33"/>
  <c r="D175" i="33"/>
  <c r="C175" i="33"/>
  <c r="B175" i="33"/>
  <c r="A175" i="33"/>
  <c r="IV174" i="33"/>
  <c r="IU174" i="33"/>
  <c r="IT174" i="33"/>
  <c r="IS174" i="33"/>
  <c r="IR174" i="33"/>
  <c r="IQ174" i="33"/>
  <c r="IP174" i="33"/>
  <c r="IO174" i="33"/>
  <c r="IN174" i="33"/>
  <c r="IM174" i="33"/>
  <c r="IL174" i="33"/>
  <c r="IK174" i="33"/>
  <c r="IJ174" i="33"/>
  <c r="II174" i="33"/>
  <c r="IH174" i="33"/>
  <c r="IG174" i="33"/>
  <c r="IF174" i="33"/>
  <c r="IE174" i="33"/>
  <c r="ID174" i="33"/>
  <c r="IC174" i="33"/>
  <c r="IB174" i="33"/>
  <c r="IA174" i="33"/>
  <c r="HZ174" i="33"/>
  <c r="HY174" i="33"/>
  <c r="HX174" i="33"/>
  <c r="HW174" i="33"/>
  <c r="HV174" i="33"/>
  <c r="HU174" i="33"/>
  <c r="HT174" i="33"/>
  <c r="HS174" i="33"/>
  <c r="HR174" i="33"/>
  <c r="HQ174" i="33"/>
  <c r="HP174" i="33"/>
  <c r="HO174" i="33"/>
  <c r="HN174" i="33"/>
  <c r="HM174" i="33"/>
  <c r="HL174" i="33"/>
  <c r="HK174" i="33"/>
  <c r="HJ174" i="33"/>
  <c r="HI174" i="33"/>
  <c r="HH174" i="33"/>
  <c r="HG174" i="33"/>
  <c r="HF174" i="33"/>
  <c r="HE174" i="33"/>
  <c r="HD174" i="33"/>
  <c r="HC174" i="33"/>
  <c r="HB174" i="33"/>
  <c r="HA174" i="33"/>
  <c r="GZ174" i="33"/>
  <c r="GY174" i="33"/>
  <c r="GX174" i="33"/>
  <c r="GW174" i="33"/>
  <c r="GV174" i="33"/>
  <c r="GU174" i="33"/>
  <c r="GT174" i="33"/>
  <c r="GS174" i="33"/>
  <c r="GR174" i="33"/>
  <c r="GQ174" i="33"/>
  <c r="GP174" i="33"/>
  <c r="GO174" i="33"/>
  <c r="GN174" i="33"/>
  <c r="GM174" i="33"/>
  <c r="GL174" i="33"/>
  <c r="GK174" i="33"/>
  <c r="GJ174" i="33"/>
  <c r="GI174" i="33"/>
  <c r="GH174" i="33"/>
  <c r="GG174" i="33"/>
  <c r="GF174" i="33"/>
  <c r="GE174" i="33"/>
  <c r="GD174" i="33"/>
  <c r="GC174" i="33"/>
  <c r="GB174" i="33"/>
  <c r="GA174" i="33"/>
  <c r="FZ174" i="33"/>
  <c r="FY174" i="33"/>
  <c r="FX174" i="33"/>
  <c r="FW174" i="33"/>
  <c r="FV174" i="33"/>
  <c r="FU174" i="33"/>
  <c r="FT174" i="33"/>
  <c r="FS174" i="33"/>
  <c r="FR174" i="33"/>
  <c r="FQ174" i="33"/>
  <c r="FP174" i="33"/>
  <c r="FO174" i="33"/>
  <c r="FN174" i="33"/>
  <c r="FM174" i="33"/>
  <c r="FL174" i="33"/>
  <c r="FK174" i="33"/>
  <c r="FJ174" i="33"/>
  <c r="FI174" i="33"/>
  <c r="FH174" i="33"/>
  <c r="FG174" i="33"/>
  <c r="FF174" i="33"/>
  <c r="FE174" i="33"/>
  <c r="FD174" i="33"/>
  <c r="FC174" i="33"/>
  <c r="FB174" i="33"/>
  <c r="FA174" i="33"/>
  <c r="EZ174" i="33"/>
  <c r="EY174" i="33"/>
  <c r="EX174" i="33"/>
  <c r="EW174" i="33"/>
  <c r="EV174" i="33"/>
  <c r="EU174" i="33"/>
  <c r="ET174" i="33"/>
  <c r="ES174" i="33"/>
  <c r="ER174" i="33"/>
  <c r="EQ174" i="33"/>
  <c r="EP174" i="33"/>
  <c r="EO174" i="33"/>
  <c r="EN174" i="33"/>
  <c r="EM174" i="33"/>
  <c r="EL174" i="33"/>
  <c r="EK174" i="33"/>
  <c r="EJ174" i="33"/>
  <c r="EI174" i="33"/>
  <c r="EH174" i="33"/>
  <c r="EG174" i="33"/>
  <c r="EF174" i="33"/>
  <c r="EE174" i="33"/>
  <c r="ED174" i="33"/>
  <c r="EC174" i="33"/>
  <c r="EB174" i="33"/>
  <c r="EA174" i="33"/>
  <c r="DZ174" i="33"/>
  <c r="DY174" i="33"/>
  <c r="DX174" i="33"/>
  <c r="DW174" i="33"/>
  <c r="DV174" i="33"/>
  <c r="DU174" i="33"/>
  <c r="DT174" i="33"/>
  <c r="DS174" i="33"/>
  <c r="DR174" i="33"/>
  <c r="DQ174" i="33"/>
  <c r="DP174" i="33"/>
  <c r="DO174" i="33"/>
  <c r="DN174" i="33"/>
  <c r="DM174" i="33"/>
  <c r="DL174" i="33"/>
  <c r="DK174" i="33"/>
  <c r="DJ174" i="33"/>
  <c r="DI174" i="33"/>
  <c r="DH174" i="33"/>
  <c r="DG174" i="33"/>
  <c r="DF174" i="33"/>
  <c r="DE174" i="33"/>
  <c r="DD174" i="33"/>
  <c r="DC174" i="33"/>
  <c r="DB174" i="33"/>
  <c r="DA174" i="33"/>
  <c r="CZ174" i="33"/>
  <c r="CY174" i="33"/>
  <c r="CX174" i="33"/>
  <c r="CW174" i="33"/>
  <c r="CV174" i="33"/>
  <c r="CU174" i="33"/>
  <c r="CT174" i="33"/>
  <c r="CS174" i="33"/>
  <c r="CR174" i="33"/>
  <c r="CQ174" i="33"/>
  <c r="CP174" i="33"/>
  <c r="CO174" i="33"/>
  <c r="CN174" i="33"/>
  <c r="CM174" i="33"/>
  <c r="CL174" i="33"/>
  <c r="CK174" i="33"/>
  <c r="CJ174" i="33"/>
  <c r="CI174" i="33"/>
  <c r="CH174" i="33"/>
  <c r="CG174" i="33"/>
  <c r="CF174" i="33"/>
  <c r="CE174" i="33"/>
  <c r="CD174" i="33"/>
  <c r="CC174" i="33"/>
  <c r="CB174" i="33"/>
  <c r="CA174" i="33"/>
  <c r="BZ174" i="33"/>
  <c r="BY174" i="33"/>
  <c r="BX174" i="33"/>
  <c r="BW174" i="33"/>
  <c r="BV174" i="33"/>
  <c r="BU174" i="33"/>
  <c r="BT174" i="33"/>
  <c r="BS174" i="33"/>
  <c r="BR174" i="33"/>
  <c r="BQ174" i="33"/>
  <c r="BP174" i="33"/>
  <c r="BO174" i="33"/>
  <c r="BN174" i="33"/>
  <c r="BM174" i="33"/>
  <c r="BL174" i="33"/>
  <c r="BK174" i="33"/>
  <c r="BJ174" i="33"/>
  <c r="BI174" i="33"/>
  <c r="BH174" i="33"/>
  <c r="BG174" i="33"/>
  <c r="BF174" i="33"/>
  <c r="BE174" i="33"/>
  <c r="BD174" i="33"/>
  <c r="BC174" i="33"/>
  <c r="BB174" i="33"/>
  <c r="BA174" i="33"/>
  <c r="AZ174" i="33"/>
  <c r="AY174" i="33"/>
  <c r="AX174" i="33"/>
  <c r="AW174" i="33"/>
  <c r="AV174" i="33"/>
  <c r="AU174" i="33"/>
  <c r="AT174" i="33"/>
  <c r="AS174" i="33"/>
  <c r="AR174" i="33"/>
  <c r="AQ174" i="33"/>
  <c r="AP174" i="33"/>
  <c r="AO174" i="33"/>
  <c r="AN174" i="33"/>
  <c r="AM174" i="33"/>
  <c r="AL174" i="33"/>
  <c r="AK174" i="33"/>
  <c r="AJ174" i="33"/>
  <c r="AI174" i="33"/>
  <c r="AH174" i="33"/>
  <c r="AG174" i="33"/>
  <c r="AF174" i="33"/>
  <c r="AE174" i="33"/>
  <c r="AD174" i="33"/>
  <c r="AC174" i="33"/>
  <c r="AB174" i="33"/>
  <c r="AA174" i="33"/>
  <c r="Z174" i="33"/>
  <c r="Y174" i="33"/>
  <c r="X174" i="33"/>
  <c r="W174" i="33"/>
  <c r="V174" i="33"/>
  <c r="U174" i="33"/>
  <c r="T174" i="33"/>
  <c r="S174" i="33"/>
  <c r="R174" i="33"/>
  <c r="Q174" i="33"/>
  <c r="P174" i="33"/>
  <c r="O174" i="33"/>
  <c r="N174" i="33"/>
  <c r="M174" i="33"/>
  <c r="L174" i="33"/>
  <c r="K174" i="33"/>
  <c r="J174" i="33"/>
  <c r="I174" i="33"/>
  <c r="H174" i="33"/>
  <c r="G174" i="33"/>
  <c r="F174" i="33"/>
  <c r="E174" i="33"/>
  <c r="D174" i="33"/>
  <c r="C174" i="33"/>
  <c r="B174" i="33"/>
  <c r="A174" i="33"/>
  <c r="IV173" i="33"/>
  <c r="IU173" i="33"/>
  <c r="IT173" i="33"/>
  <c r="IS173" i="33"/>
  <c r="IR173" i="33"/>
  <c r="IQ173" i="33"/>
  <c r="IP173" i="33"/>
  <c r="IO173" i="33"/>
  <c r="IN173" i="33"/>
  <c r="IM173" i="33"/>
  <c r="IL173" i="33"/>
  <c r="IK173" i="33"/>
  <c r="IJ173" i="33"/>
  <c r="II173" i="33"/>
  <c r="IH173" i="33"/>
  <c r="IG173" i="33"/>
  <c r="IF173" i="33"/>
  <c r="IE173" i="33"/>
  <c r="ID173" i="33"/>
  <c r="IC173" i="33"/>
  <c r="IB173" i="33"/>
  <c r="IA173" i="33"/>
  <c r="HZ173" i="33"/>
  <c r="HY173" i="33"/>
  <c r="HX173" i="33"/>
  <c r="HW173" i="33"/>
  <c r="HV173" i="33"/>
  <c r="HU173" i="33"/>
  <c r="HT173" i="33"/>
  <c r="HS173" i="33"/>
  <c r="HR173" i="33"/>
  <c r="HQ173" i="33"/>
  <c r="HP173" i="33"/>
  <c r="HO173" i="33"/>
  <c r="HN173" i="33"/>
  <c r="HM173" i="33"/>
  <c r="HL173" i="33"/>
  <c r="HK173" i="33"/>
  <c r="HJ173" i="33"/>
  <c r="HI173" i="33"/>
  <c r="HH173" i="33"/>
  <c r="HG173" i="33"/>
  <c r="HF173" i="33"/>
  <c r="HE173" i="33"/>
  <c r="HD173" i="33"/>
  <c r="HC173" i="33"/>
  <c r="HB173" i="33"/>
  <c r="HA173" i="33"/>
  <c r="GZ173" i="33"/>
  <c r="GY173" i="33"/>
  <c r="GX173" i="33"/>
  <c r="GW173" i="33"/>
  <c r="GV173" i="33"/>
  <c r="GU173" i="33"/>
  <c r="GT173" i="33"/>
  <c r="GS173" i="33"/>
  <c r="GR173" i="33"/>
  <c r="GQ173" i="33"/>
  <c r="GP173" i="33"/>
  <c r="GO173" i="33"/>
  <c r="GN173" i="33"/>
  <c r="GM173" i="33"/>
  <c r="GL173" i="33"/>
  <c r="GK173" i="33"/>
  <c r="GJ173" i="33"/>
  <c r="GI173" i="33"/>
  <c r="GH173" i="33"/>
  <c r="GG173" i="33"/>
  <c r="GF173" i="33"/>
  <c r="GE173" i="33"/>
  <c r="GD173" i="33"/>
  <c r="GC173" i="33"/>
  <c r="GB173" i="33"/>
  <c r="GA173" i="33"/>
  <c r="FZ173" i="33"/>
  <c r="FY173" i="33"/>
  <c r="FX173" i="33"/>
  <c r="FW173" i="33"/>
  <c r="FV173" i="33"/>
  <c r="FU173" i="33"/>
  <c r="FT173" i="33"/>
  <c r="FS173" i="33"/>
  <c r="FR173" i="33"/>
  <c r="FQ173" i="33"/>
  <c r="FP173" i="33"/>
  <c r="FO173" i="33"/>
  <c r="FN173" i="33"/>
  <c r="FM173" i="33"/>
  <c r="FL173" i="33"/>
  <c r="FK173" i="33"/>
  <c r="FJ173" i="33"/>
  <c r="FI173" i="33"/>
  <c r="FH173" i="33"/>
  <c r="FG173" i="33"/>
  <c r="FF173" i="33"/>
  <c r="FE173" i="33"/>
  <c r="FD173" i="33"/>
  <c r="FC173" i="33"/>
  <c r="FB173" i="33"/>
  <c r="FA173" i="33"/>
  <c r="EZ173" i="33"/>
  <c r="EY173" i="33"/>
  <c r="EX173" i="33"/>
  <c r="EW173" i="33"/>
  <c r="EV173" i="33"/>
  <c r="EU173" i="33"/>
  <c r="ET173" i="33"/>
  <c r="ES173" i="33"/>
  <c r="ER173" i="33"/>
  <c r="EQ173" i="33"/>
  <c r="EP173" i="33"/>
  <c r="EO173" i="33"/>
  <c r="EN173" i="33"/>
  <c r="EM173" i="33"/>
  <c r="EL173" i="33"/>
  <c r="EK173" i="33"/>
  <c r="EJ173" i="33"/>
  <c r="EI173" i="33"/>
  <c r="EH173" i="33"/>
  <c r="EG173" i="33"/>
  <c r="EF173" i="33"/>
  <c r="EE173" i="33"/>
  <c r="ED173" i="33"/>
  <c r="EC173" i="33"/>
  <c r="EB173" i="33"/>
  <c r="EA173" i="33"/>
  <c r="DZ173" i="33"/>
  <c r="DY173" i="33"/>
  <c r="DX173" i="33"/>
  <c r="DW173" i="33"/>
  <c r="DV173" i="33"/>
  <c r="DU173" i="33"/>
  <c r="DT173" i="33"/>
  <c r="DS173" i="33"/>
  <c r="DR173" i="33"/>
  <c r="DQ173" i="33"/>
  <c r="DP173" i="33"/>
  <c r="DO173" i="33"/>
  <c r="DN173" i="33"/>
  <c r="DM173" i="33"/>
  <c r="DL173" i="33"/>
  <c r="DK173" i="33"/>
  <c r="DJ173" i="33"/>
  <c r="DI173" i="33"/>
  <c r="DH173" i="33"/>
  <c r="DG173" i="33"/>
  <c r="DF173" i="33"/>
  <c r="DE173" i="33"/>
  <c r="DD173" i="33"/>
  <c r="DC173" i="33"/>
  <c r="DB173" i="33"/>
  <c r="DA173" i="33"/>
  <c r="CZ173" i="33"/>
  <c r="CY173" i="33"/>
  <c r="CX173" i="33"/>
  <c r="CW173" i="33"/>
  <c r="CV173" i="33"/>
  <c r="CU173" i="33"/>
  <c r="CT173" i="33"/>
  <c r="CS173" i="33"/>
  <c r="CR173" i="33"/>
  <c r="CQ173" i="33"/>
  <c r="CP173" i="33"/>
  <c r="CO173" i="33"/>
  <c r="CN173" i="33"/>
  <c r="CM173" i="33"/>
  <c r="CL173" i="33"/>
  <c r="CK173" i="33"/>
  <c r="CJ173" i="33"/>
  <c r="CI173" i="33"/>
  <c r="CH173" i="33"/>
  <c r="CG173" i="33"/>
  <c r="CF173" i="33"/>
  <c r="CE173" i="33"/>
  <c r="CD173" i="33"/>
  <c r="CC173" i="33"/>
  <c r="CB173" i="33"/>
  <c r="CA173" i="33"/>
  <c r="BZ173" i="33"/>
  <c r="BY173" i="33"/>
  <c r="BX173" i="33"/>
  <c r="BW173" i="33"/>
  <c r="BV173" i="33"/>
  <c r="BU173" i="33"/>
  <c r="BT173" i="33"/>
  <c r="BS173" i="33"/>
  <c r="BR173" i="33"/>
  <c r="BQ173" i="33"/>
  <c r="BP173" i="33"/>
  <c r="BO173" i="33"/>
  <c r="BN173" i="33"/>
  <c r="BM173" i="33"/>
  <c r="BL173" i="33"/>
  <c r="BK173" i="33"/>
  <c r="BJ173" i="33"/>
  <c r="BI173" i="33"/>
  <c r="BH173" i="33"/>
  <c r="BG173" i="33"/>
  <c r="BF173" i="33"/>
  <c r="BE173" i="33"/>
  <c r="BD173" i="33"/>
  <c r="BC173" i="33"/>
  <c r="BB173" i="33"/>
  <c r="BA173" i="33"/>
  <c r="AZ173" i="33"/>
  <c r="AY173" i="33"/>
  <c r="AX173" i="33"/>
  <c r="AW173" i="33"/>
  <c r="AV173" i="33"/>
  <c r="AU173" i="33"/>
  <c r="AT173" i="33"/>
  <c r="AS173" i="33"/>
  <c r="AR173" i="33"/>
  <c r="AQ173" i="33"/>
  <c r="AP173" i="33"/>
  <c r="AO173" i="33"/>
  <c r="AN173" i="33"/>
  <c r="AM173" i="33"/>
  <c r="AL173" i="33"/>
  <c r="AK173" i="33"/>
  <c r="AJ173" i="33"/>
  <c r="AI173" i="33"/>
  <c r="AH173" i="33"/>
  <c r="AG173" i="33"/>
  <c r="AF173" i="33"/>
  <c r="AE173" i="33"/>
  <c r="AD173" i="33"/>
  <c r="AC173" i="33"/>
  <c r="AB173" i="33"/>
  <c r="AA173" i="33"/>
  <c r="Z173" i="33"/>
  <c r="Y173" i="33"/>
  <c r="X173" i="33"/>
  <c r="W173" i="33"/>
  <c r="V173" i="33"/>
  <c r="U173" i="33"/>
  <c r="T173" i="33"/>
  <c r="S173" i="33"/>
  <c r="R173" i="33"/>
  <c r="Q173" i="33"/>
  <c r="P173" i="33"/>
  <c r="O173" i="33"/>
  <c r="N173" i="33"/>
  <c r="M173" i="33"/>
  <c r="L173" i="33"/>
  <c r="K173" i="33"/>
  <c r="J173" i="33"/>
  <c r="I173" i="33"/>
  <c r="H173" i="33"/>
  <c r="G173" i="33"/>
  <c r="F173" i="33"/>
  <c r="E173" i="33"/>
  <c r="D173" i="33"/>
  <c r="C173" i="33"/>
  <c r="B173" i="33"/>
  <c r="A173" i="33"/>
  <c r="IV172" i="33"/>
  <c r="IU172" i="33"/>
  <c r="IT172" i="33"/>
  <c r="IS172" i="33"/>
  <c r="IR172" i="33"/>
  <c r="IQ172" i="33"/>
  <c r="IP172" i="33"/>
  <c r="IO172" i="33"/>
  <c r="IN172" i="33"/>
  <c r="IM172" i="33"/>
  <c r="IL172" i="33"/>
  <c r="IK172" i="33"/>
  <c r="IJ172" i="33"/>
  <c r="II172" i="33"/>
  <c r="IH172" i="33"/>
  <c r="IG172" i="33"/>
  <c r="IF172" i="33"/>
  <c r="IE172" i="33"/>
  <c r="ID172" i="33"/>
  <c r="IC172" i="33"/>
  <c r="IB172" i="33"/>
  <c r="IA172" i="33"/>
  <c r="HZ172" i="33"/>
  <c r="HY172" i="33"/>
  <c r="HX172" i="33"/>
  <c r="HW172" i="33"/>
  <c r="HV172" i="33"/>
  <c r="HU172" i="33"/>
  <c r="HT172" i="33"/>
  <c r="HS172" i="33"/>
  <c r="HR172" i="33"/>
  <c r="HQ172" i="33"/>
  <c r="HP172" i="33"/>
  <c r="HO172" i="33"/>
  <c r="HN172" i="33"/>
  <c r="HM172" i="33"/>
  <c r="HL172" i="33"/>
  <c r="HK172" i="33"/>
  <c r="HJ172" i="33"/>
  <c r="HI172" i="33"/>
  <c r="HH172" i="33"/>
  <c r="HG172" i="33"/>
  <c r="HF172" i="33"/>
  <c r="HE172" i="33"/>
  <c r="HD172" i="33"/>
  <c r="HC172" i="33"/>
  <c r="HB172" i="33"/>
  <c r="HA172" i="33"/>
  <c r="GZ172" i="33"/>
  <c r="GY172" i="33"/>
  <c r="GX172" i="33"/>
  <c r="GW172" i="33"/>
  <c r="GV172" i="33"/>
  <c r="GU172" i="33"/>
  <c r="GT172" i="33"/>
  <c r="GS172" i="33"/>
  <c r="GR172" i="33"/>
  <c r="GQ172" i="33"/>
  <c r="GP172" i="33"/>
  <c r="GO172" i="33"/>
  <c r="GN172" i="33"/>
  <c r="GM172" i="33"/>
  <c r="GL172" i="33"/>
  <c r="GK172" i="33"/>
  <c r="GJ172" i="33"/>
  <c r="GI172" i="33"/>
  <c r="GH172" i="33"/>
  <c r="GG172" i="33"/>
  <c r="GF172" i="33"/>
  <c r="GE172" i="33"/>
  <c r="GD172" i="33"/>
  <c r="GC172" i="33"/>
  <c r="GB172" i="33"/>
  <c r="GA172" i="33"/>
  <c r="FZ172" i="33"/>
  <c r="FY172" i="33"/>
  <c r="FX172" i="33"/>
  <c r="FW172" i="33"/>
  <c r="FV172" i="33"/>
  <c r="FU172" i="33"/>
  <c r="FT172" i="33"/>
  <c r="FS172" i="33"/>
  <c r="FR172" i="33"/>
  <c r="FQ172" i="33"/>
  <c r="FP172" i="33"/>
  <c r="FO172" i="33"/>
  <c r="FN172" i="33"/>
  <c r="FM172" i="33"/>
  <c r="FL172" i="33"/>
  <c r="FK172" i="33"/>
  <c r="FJ172" i="33"/>
  <c r="FI172" i="33"/>
  <c r="FH172" i="33"/>
  <c r="FG172" i="33"/>
  <c r="FF172" i="33"/>
  <c r="FE172" i="33"/>
  <c r="FD172" i="33"/>
  <c r="FC172" i="33"/>
  <c r="FB172" i="33"/>
  <c r="FA172" i="33"/>
  <c r="EZ172" i="33"/>
  <c r="EY172" i="33"/>
  <c r="EX172" i="33"/>
  <c r="EW172" i="33"/>
  <c r="EV172" i="33"/>
  <c r="EU172" i="33"/>
  <c r="ET172" i="33"/>
  <c r="ES172" i="33"/>
  <c r="ER172" i="33"/>
  <c r="EQ172" i="33"/>
  <c r="EP172" i="33"/>
  <c r="EO172" i="33"/>
  <c r="EN172" i="33"/>
  <c r="EM172" i="33"/>
  <c r="EL172" i="33"/>
  <c r="EK172" i="33"/>
  <c r="EJ172" i="33"/>
  <c r="EI172" i="33"/>
  <c r="EH172" i="33"/>
  <c r="EG172" i="33"/>
  <c r="EF172" i="33"/>
  <c r="EE172" i="33"/>
  <c r="ED172" i="33"/>
  <c r="EC172" i="33"/>
  <c r="EB172" i="33"/>
  <c r="EA172" i="33"/>
  <c r="DZ172" i="33"/>
  <c r="DY172" i="33"/>
  <c r="DX172" i="33"/>
  <c r="DW172" i="33"/>
  <c r="DV172" i="33"/>
  <c r="DU172" i="33"/>
  <c r="DT172" i="33"/>
  <c r="DS172" i="33"/>
  <c r="DR172" i="33"/>
  <c r="DQ172" i="33"/>
  <c r="DP172" i="33"/>
  <c r="DO172" i="33"/>
  <c r="DN172" i="33"/>
  <c r="DM172" i="33"/>
  <c r="DL172" i="33"/>
  <c r="DK172" i="33"/>
  <c r="DJ172" i="33"/>
  <c r="DI172" i="33"/>
  <c r="DH172" i="33"/>
  <c r="DG172" i="33"/>
  <c r="DF172" i="33"/>
  <c r="DE172" i="33"/>
  <c r="DD172" i="33"/>
  <c r="DC172" i="33"/>
  <c r="DB172" i="33"/>
  <c r="DA172" i="33"/>
  <c r="CZ172" i="33"/>
  <c r="CY172" i="33"/>
  <c r="CX172" i="33"/>
  <c r="CW172" i="33"/>
  <c r="CV172" i="33"/>
  <c r="CU172" i="33"/>
  <c r="CT172" i="33"/>
  <c r="CS172" i="33"/>
  <c r="CR172" i="33"/>
  <c r="CQ172" i="33"/>
  <c r="CP172" i="33"/>
  <c r="CO172" i="33"/>
  <c r="CN172" i="33"/>
  <c r="CM172" i="33"/>
  <c r="CL172" i="33"/>
  <c r="CK172" i="33"/>
  <c r="CJ172" i="33"/>
  <c r="CI172" i="33"/>
  <c r="CH172" i="33"/>
  <c r="CG172" i="33"/>
  <c r="CF172" i="33"/>
  <c r="CE172" i="33"/>
  <c r="CD172" i="33"/>
  <c r="CC172" i="33"/>
  <c r="CB172" i="33"/>
  <c r="CA172" i="33"/>
  <c r="BZ172" i="33"/>
  <c r="BY172" i="33"/>
  <c r="BX172" i="33"/>
  <c r="BW172" i="33"/>
  <c r="BV172" i="33"/>
  <c r="BU172" i="33"/>
  <c r="BT172" i="33"/>
  <c r="BS172" i="33"/>
  <c r="BR172" i="33"/>
  <c r="BQ172" i="33"/>
  <c r="BP172" i="33"/>
  <c r="BO172" i="33"/>
  <c r="BN172" i="33"/>
  <c r="BM172" i="33"/>
  <c r="BL172" i="33"/>
  <c r="BK172" i="33"/>
  <c r="BJ172" i="33"/>
  <c r="BI172" i="33"/>
  <c r="BH172" i="33"/>
  <c r="BG172" i="33"/>
  <c r="BF172" i="33"/>
  <c r="BE172" i="33"/>
  <c r="BD172" i="33"/>
  <c r="BC172" i="33"/>
  <c r="BB172" i="33"/>
  <c r="BA172" i="33"/>
  <c r="AZ172" i="33"/>
  <c r="AY172" i="33"/>
  <c r="AX172" i="33"/>
  <c r="AW172" i="33"/>
  <c r="AV172" i="33"/>
  <c r="AU172" i="33"/>
  <c r="AT172" i="33"/>
  <c r="AS172" i="33"/>
  <c r="AR172" i="33"/>
  <c r="AQ172" i="33"/>
  <c r="AP172" i="33"/>
  <c r="AO172" i="33"/>
  <c r="AN172" i="33"/>
  <c r="AM172" i="33"/>
  <c r="AL172" i="33"/>
  <c r="AK172" i="33"/>
  <c r="AJ172" i="33"/>
  <c r="AI172" i="33"/>
  <c r="AH172" i="33"/>
  <c r="AG172" i="33"/>
  <c r="AF172" i="33"/>
  <c r="AE172" i="33"/>
  <c r="AD172" i="33"/>
  <c r="AC172" i="33"/>
  <c r="AB172" i="33"/>
  <c r="AA172" i="33"/>
  <c r="Z172" i="33"/>
  <c r="Y172" i="33"/>
  <c r="X172" i="33"/>
  <c r="W172" i="33"/>
  <c r="V172" i="33"/>
  <c r="U172" i="33"/>
  <c r="T172" i="33"/>
  <c r="S172" i="33"/>
  <c r="R172" i="33"/>
  <c r="Q172" i="33"/>
  <c r="P172" i="33"/>
  <c r="O172" i="33"/>
  <c r="N172" i="33"/>
  <c r="M172" i="33"/>
  <c r="L172" i="33"/>
  <c r="K172" i="33"/>
  <c r="J172" i="33"/>
  <c r="I172" i="33"/>
  <c r="H172" i="33"/>
  <c r="G172" i="33"/>
  <c r="F172" i="33"/>
  <c r="E172" i="33"/>
  <c r="D172" i="33"/>
  <c r="C172" i="33"/>
  <c r="B172" i="33"/>
  <c r="A172" i="33"/>
  <c r="IV171" i="33"/>
  <c r="IU171" i="33"/>
  <c r="IT171" i="33"/>
  <c r="IS171" i="33"/>
  <c r="IR171" i="33"/>
  <c r="IQ171" i="33"/>
  <c r="IP171" i="33"/>
  <c r="IO171" i="33"/>
  <c r="IN171" i="33"/>
  <c r="IM171" i="33"/>
  <c r="IL171" i="33"/>
  <c r="IK171" i="33"/>
  <c r="IJ171" i="33"/>
  <c r="II171" i="33"/>
  <c r="IH171" i="33"/>
  <c r="IG171" i="33"/>
  <c r="IF171" i="33"/>
  <c r="IE171" i="33"/>
  <c r="ID171" i="33"/>
  <c r="IC171" i="33"/>
  <c r="IB171" i="33"/>
  <c r="IA171" i="33"/>
  <c r="HZ171" i="33"/>
  <c r="HY171" i="33"/>
  <c r="HX171" i="33"/>
  <c r="HW171" i="33"/>
  <c r="HV171" i="33"/>
  <c r="HU171" i="33"/>
  <c r="HT171" i="33"/>
  <c r="HS171" i="33"/>
  <c r="HR171" i="33"/>
  <c r="HQ171" i="33"/>
  <c r="HP171" i="33"/>
  <c r="HO171" i="33"/>
  <c r="HN171" i="33"/>
  <c r="HM171" i="33"/>
  <c r="HL171" i="33"/>
  <c r="HK171" i="33"/>
  <c r="HJ171" i="33"/>
  <c r="HI171" i="33"/>
  <c r="HH171" i="33"/>
  <c r="HG171" i="33"/>
  <c r="HF171" i="33"/>
  <c r="HE171" i="33"/>
  <c r="HD171" i="33"/>
  <c r="HC171" i="33"/>
  <c r="HB171" i="33"/>
  <c r="HA171" i="33"/>
  <c r="GZ171" i="33"/>
  <c r="GY171" i="33"/>
  <c r="GX171" i="33"/>
  <c r="GW171" i="33"/>
  <c r="GV171" i="33"/>
  <c r="GU171" i="33"/>
  <c r="GT171" i="33"/>
  <c r="GS171" i="33"/>
  <c r="GR171" i="33"/>
  <c r="GQ171" i="33"/>
  <c r="GP171" i="33"/>
  <c r="GO171" i="33"/>
  <c r="GN171" i="33"/>
  <c r="GM171" i="33"/>
  <c r="GL171" i="33"/>
  <c r="GK171" i="33"/>
  <c r="GJ171" i="33"/>
  <c r="GI171" i="33"/>
  <c r="GH171" i="33"/>
  <c r="GG171" i="33"/>
  <c r="GF171" i="33"/>
  <c r="GE171" i="33"/>
  <c r="GD171" i="33"/>
  <c r="GC171" i="33"/>
  <c r="GB171" i="33"/>
  <c r="GA171" i="33"/>
  <c r="FZ171" i="33"/>
  <c r="FY171" i="33"/>
  <c r="FX171" i="33"/>
  <c r="FW171" i="33"/>
  <c r="FV171" i="33"/>
  <c r="FU171" i="33"/>
  <c r="FT171" i="33"/>
  <c r="FS171" i="33"/>
  <c r="FR171" i="33"/>
  <c r="FQ171" i="33"/>
  <c r="FP171" i="33"/>
  <c r="FO171" i="33"/>
  <c r="FN171" i="33"/>
  <c r="FM171" i="33"/>
  <c r="FL171" i="33"/>
  <c r="FK171" i="33"/>
  <c r="FJ171" i="33"/>
  <c r="FI171" i="33"/>
  <c r="FH171" i="33"/>
  <c r="FG171" i="33"/>
  <c r="FF171" i="33"/>
  <c r="FE171" i="33"/>
  <c r="FD171" i="33"/>
  <c r="FC171" i="33"/>
  <c r="FB171" i="33"/>
  <c r="FA171" i="33"/>
  <c r="EZ171" i="33"/>
  <c r="EY171" i="33"/>
  <c r="EX171" i="33"/>
  <c r="EW171" i="33"/>
  <c r="EV171" i="33"/>
  <c r="EU171" i="33"/>
  <c r="ET171" i="33"/>
  <c r="ES171" i="33"/>
  <c r="ER171" i="33"/>
  <c r="EQ171" i="33"/>
  <c r="EP171" i="33"/>
  <c r="EO171" i="33"/>
  <c r="EN171" i="33"/>
  <c r="EM171" i="33"/>
  <c r="EL171" i="33"/>
  <c r="EK171" i="33"/>
  <c r="EJ171" i="33"/>
  <c r="EI171" i="33"/>
  <c r="EH171" i="33"/>
  <c r="EG171" i="33"/>
  <c r="EF171" i="33"/>
  <c r="EE171" i="33"/>
  <c r="ED171" i="33"/>
  <c r="EC171" i="33"/>
  <c r="EB171" i="33"/>
  <c r="EA171" i="33"/>
  <c r="DZ171" i="33"/>
  <c r="DY171" i="33"/>
  <c r="DX171" i="33"/>
  <c r="DW171" i="33"/>
  <c r="DV171" i="33"/>
  <c r="DU171" i="33"/>
  <c r="DT171" i="33"/>
  <c r="DS171" i="33"/>
  <c r="DR171" i="33"/>
  <c r="DQ171" i="33"/>
  <c r="DP171" i="33"/>
  <c r="DO171" i="33"/>
  <c r="DN171" i="33"/>
  <c r="DM171" i="33"/>
  <c r="DL171" i="33"/>
  <c r="DK171" i="33"/>
  <c r="DJ171" i="33"/>
  <c r="DI171" i="33"/>
  <c r="DH171" i="33"/>
  <c r="DG171" i="33"/>
  <c r="DF171" i="33"/>
  <c r="DE171" i="33"/>
  <c r="DD171" i="33"/>
  <c r="DC171" i="33"/>
  <c r="DB171" i="33"/>
  <c r="DA171" i="33"/>
  <c r="CZ171" i="33"/>
  <c r="CY171" i="33"/>
  <c r="CX171" i="33"/>
  <c r="CW171" i="33"/>
  <c r="CV171" i="33"/>
  <c r="CU171" i="33"/>
  <c r="CT171" i="33"/>
  <c r="CS171" i="33"/>
  <c r="CR171" i="33"/>
  <c r="CQ171" i="33"/>
  <c r="CP171" i="33"/>
  <c r="CO171" i="33"/>
  <c r="CN171" i="33"/>
  <c r="CM171" i="33"/>
  <c r="CL171" i="33"/>
  <c r="CK171" i="33"/>
  <c r="CJ171" i="33"/>
  <c r="CI171" i="33"/>
  <c r="CH171" i="33"/>
  <c r="CG171" i="33"/>
  <c r="CF171" i="33"/>
  <c r="CE171" i="33"/>
  <c r="CD171" i="33"/>
  <c r="CC171" i="33"/>
  <c r="CB171" i="33"/>
  <c r="CA171" i="33"/>
  <c r="BZ171" i="33"/>
  <c r="BY171" i="33"/>
  <c r="BX171" i="33"/>
  <c r="BW171" i="33"/>
  <c r="BV171" i="33"/>
  <c r="BU171" i="33"/>
  <c r="BT171" i="33"/>
  <c r="BS171" i="33"/>
  <c r="BR171" i="33"/>
  <c r="BQ171" i="33"/>
  <c r="BP171" i="33"/>
  <c r="BO171" i="33"/>
  <c r="BN171" i="33"/>
  <c r="BM171" i="33"/>
  <c r="BL171" i="33"/>
  <c r="BK171" i="33"/>
  <c r="BJ171" i="33"/>
  <c r="BI171" i="33"/>
  <c r="BH171" i="33"/>
  <c r="BG171" i="33"/>
  <c r="BF171" i="33"/>
  <c r="BE171" i="33"/>
  <c r="BD171" i="33"/>
  <c r="BC171" i="33"/>
  <c r="BB171" i="33"/>
  <c r="BA171" i="33"/>
  <c r="AZ171" i="33"/>
  <c r="AY171" i="33"/>
  <c r="AX171" i="33"/>
  <c r="AW171" i="33"/>
  <c r="AV171" i="33"/>
  <c r="AU171" i="33"/>
  <c r="AT171" i="33"/>
  <c r="AS171" i="33"/>
  <c r="AR171" i="33"/>
  <c r="AQ171" i="33"/>
  <c r="AP171" i="33"/>
  <c r="AO171" i="33"/>
  <c r="AN171" i="33"/>
  <c r="AM171" i="33"/>
  <c r="AL171" i="33"/>
  <c r="AK171" i="33"/>
  <c r="AJ171" i="33"/>
  <c r="AI171" i="33"/>
  <c r="AH171" i="33"/>
  <c r="AG171" i="33"/>
  <c r="AF171" i="33"/>
  <c r="AE171" i="33"/>
  <c r="AD171" i="33"/>
  <c r="AC171" i="33"/>
  <c r="AB171" i="33"/>
  <c r="AA171" i="33"/>
  <c r="Z171" i="33"/>
  <c r="Y171" i="33"/>
  <c r="X171" i="33"/>
  <c r="W171" i="33"/>
  <c r="V171" i="33"/>
  <c r="U171" i="33"/>
  <c r="T171" i="33"/>
  <c r="S171" i="33"/>
  <c r="R171" i="33"/>
  <c r="Q171" i="33"/>
  <c r="P171" i="33"/>
  <c r="O171" i="33"/>
  <c r="N171" i="33"/>
  <c r="M171" i="33"/>
  <c r="L171" i="33"/>
  <c r="K171" i="33"/>
  <c r="J171" i="33"/>
  <c r="I171" i="33"/>
  <c r="H171" i="33"/>
  <c r="G171" i="33"/>
  <c r="F171" i="33"/>
  <c r="E171" i="33"/>
  <c r="D171" i="33"/>
  <c r="C171" i="33"/>
  <c r="B171" i="33"/>
  <c r="A171" i="33"/>
  <c r="IV170" i="33"/>
  <c r="IU170" i="33"/>
  <c r="IT170" i="33"/>
  <c r="IS170" i="33"/>
  <c r="IR170" i="33"/>
  <c r="IQ170" i="33"/>
  <c r="IP170" i="33"/>
  <c r="IO170" i="33"/>
  <c r="IN170" i="33"/>
  <c r="IM170" i="33"/>
  <c r="IL170" i="33"/>
  <c r="IK170" i="33"/>
  <c r="IJ170" i="33"/>
  <c r="II170" i="33"/>
  <c r="IH170" i="33"/>
  <c r="IG170" i="33"/>
  <c r="IF170" i="33"/>
  <c r="IE170" i="33"/>
  <c r="ID170" i="33"/>
  <c r="IC170" i="33"/>
  <c r="IB170" i="33"/>
  <c r="IA170" i="33"/>
  <c r="HZ170" i="33"/>
  <c r="HY170" i="33"/>
  <c r="HX170" i="33"/>
  <c r="HW170" i="33"/>
  <c r="HV170" i="33"/>
  <c r="HU170" i="33"/>
  <c r="HT170" i="33"/>
  <c r="HS170" i="33"/>
  <c r="HR170" i="33"/>
  <c r="HQ170" i="33"/>
  <c r="HP170" i="33"/>
  <c r="HO170" i="33"/>
  <c r="HN170" i="33"/>
  <c r="HM170" i="33"/>
  <c r="HL170" i="33"/>
  <c r="HK170" i="33"/>
  <c r="HJ170" i="33"/>
  <c r="HI170" i="33"/>
  <c r="HH170" i="33"/>
  <c r="HG170" i="33"/>
  <c r="HF170" i="33"/>
  <c r="HE170" i="33"/>
  <c r="HD170" i="33"/>
  <c r="HC170" i="33"/>
  <c r="HB170" i="33"/>
  <c r="HA170" i="33"/>
  <c r="GZ170" i="33"/>
  <c r="GY170" i="33"/>
  <c r="GX170" i="33"/>
  <c r="GW170" i="33"/>
  <c r="GV170" i="33"/>
  <c r="GU170" i="33"/>
  <c r="GT170" i="33"/>
  <c r="GS170" i="33"/>
  <c r="GR170" i="33"/>
  <c r="GQ170" i="33"/>
  <c r="GP170" i="33"/>
  <c r="GO170" i="33"/>
  <c r="GN170" i="33"/>
  <c r="GM170" i="33"/>
  <c r="GL170" i="33"/>
  <c r="GK170" i="33"/>
  <c r="GJ170" i="33"/>
  <c r="GI170" i="33"/>
  <c r="GH170" i="33"/>
  <c r="GG170" i="33"/>
  <c r="GF170" i="33"/>
  <c r="GE170" i="33"/>
  <c r="GD170" i="33"/>
  <c r="GC170" i="33"/>
  <c r="GB170" i="33"/>
  <c r="GA170" i="33"/>
  <c r="FZ170" i="33"/>
  <c r="FY170" i="33"/>
  <c r="FX170" i="33"/>
  <c r="FW170" i="33"/>
  <c r="FV170" i="33"/>
  <c r="FU170" i="33"/>
  <c r="FT170" i="33"/>
  <c r="FS170" i="33"/>
  <c r="FR170" i="33"/>
  <c r="FQ170" i="33"/>
  <c r="FP170" i="33"/>
  <c r="FO170" i="33"/>
  <c r="FN170" i="33"/>
  <c r="FM170" i="33"/>
  <c r="FL170" i="33"/>
  <c r="FK170" i="33"/>
  <c r="FJ170" i="33"/>
  <c r="FI170" i="33"/>
  <c r="FH170" i="33"/>
  <c r="FG170" i="33"/>
  <c r="FF170" i="33"/>
  <c r="FE170" i="33"/>
  <c r="FD170" i="33"/>
  <c r="FC170" i="33"/>
  <c r="FB170" i="33"/>
  <c r="FA170" i="33"/>
  <c r="EZ170" i="33"/>
  <c r="EY170" i="33"/>
  <c r="EX170" i="33"/>
  <c r="EW170" i="33"/>
  <c r="EV170" i="33"/>
  <c r="EU170" i="33"/>
  <c r="ET170" i="33"/>
  <c r="ES170" i="33"/>
  <c r="ER170" i="33"/>
  <c r="EQ170" i="33"/>
  <c r="EP170" i="33"/>
  <c r="EO170" i="33"/>
  <c r="EN170" i="33"/>
  <c r="EM170" i="33"/>
  <c r="EL170" i="33"/>
  <c r="EK170" i="33"/>
  <c r="EJ170" i="33"/>
  <c r="EI170" i="33"/>
  <c r="EH170" i="33"/>
  <c r="EG170" i="33"/>
  <c r="EF170" i="33"/>
  <c r="EE170" i="33"/>
  <c r="ED170" i="33"/>
  <c r="EC170" i="33"/>
  <c r="EB170" i="33"/>
  <c r="EA170" i="33"/>
  <c r="DZ170" i="33"/>
  <c r="DY170" i="33"/>
  <c r="DX170" i="33"/>
  <c r="DW170" i="33"/>
  <c r="DV170" i="33"/>
  <c r="DU170" i="33"/>
  <c r="DT170" i="33"/>
  <c r="DS170" i="33"/>
  <c r="DR170" i="33"/>
  <c r="DQ170" i="33"/>
  <c r="DP170" i="33"/>
  <c r="DO170" i="33"/>
  <c r="DN170" i="33"/>
  <c r="DM170" i="33"/>
  <c r="DL170" i="33"/>
  <c r="DK170" i="33"/>
  <c r="DJ170" i="33"/>
  <c r="DI170" i="33"/>
  <c r="DH170" i="33"/>
  <c r="DG170" i="33"/>
  <c r="DF170" i="33"/>
  <c r="DE170" i="33"/>
  <c r="DD170" i="33"/>
  <c r="DC170" i="33"/>
  <c r="DB170" i="33"/>
  <c r="DA170" i="33"/>
  <c r="CZ170" i="33"/>
  <c r="CY170" i="33"/>
  <c r="CX170" i="33"/>
  <c r="CW170" i="33"/>
  <c r="CV170" i="33"/>
  <c r="CU170" i="33"/>
  <c r="CT170" i="33"/>
  <c r="CS170" i="33"/>
  <c r="CR170" i="33"/>
  <c r="CQ170" i="33"/>
  <c r="CP170" i="33"/>
  <c r="CO170" i="33"/>
  <c r="CN170" i="33"/>
  <c r="CM170" i="33"/>
  <c r="CL170" i="33"/>
  <c r="CK170" i="33"/>
  <c r="CJ170" i="33"/>
  <c r="CI170" i="33"/>
  <c r="CH170" i="33"/>
  <c r="CG170" i="33"/>
  <c r="CF170" i="33"/>
  <c r="CE170" i="33"/>
  <c r="CD170" i="33"/>
  <c r="CC170" i="33"/>
  <c r="CB170" i="33"/>
  <c r="CA170" i="33"/>
  <c r="BZ170" i="33"/>
  <c r="BY170" i="33"/>
  <c r="BX170" i="33"/>
  <c r="BW170" i="33"/>
  <c r="BV170" i="33"/>
  <c r="BU170" i="33"/>
  <c r="BT170" i="33"/>
  <c r="BS170" i="33"/>
  <c r="BR170" i="33"/>
  <c r="BQ170" i="33"/>
  <c r="BP170" i="33"/>
  <c r="BO170" i="33"/>
  <c r="BN170" i="33"/>
  <c r="BM170" i="33"/>
  <c r="BL170" i="33"/>
  <c r="BK170" i="33"/>
  <c r="BJ170" i="33"/>
  <c r="BI170" i="33"/>
  <c r="BH170" i="33"/>
  <c r="BG170" i="33"/>
  <c r="BF170" i="33"/>
  <c r="BE170" i="33"/>
  <c r="BD170" i="33"/>
  <c r="BC170" i="33"/>
  <c r="BB170" i="33"/>
  <c r="BA170" i="33"/>
  <c r="AZ170" i="33"/>
  <c r="AY170" i="33"/>
  <c r="AX170" i="33"/>
  <c r="AW170" i="33"/>
  <c r="AV170" i="33"/>
  <c r="AU170" i="33"/>
  <c r="AT170" i="33"/>
  <c r="AS170" i="33"/>
  <c r="AR170" i="33"/>
  <c r="AQ170" i="33"/>
  <c r="AP170" i="33"/>
  <c r="AO170" i="33"/>
  <c r="AN170" i="33"/>
  <c r="AM170" i="33"/>
  <c r="AL170" i="33"/>
  <c r="AK170" i="33"/>
  <c r="AJ170" i="33"/>
  <c r="AI170" i="33"/>
  <c r="AH170" i="33"/>
  <c r="AG170" i="33"/>
  <c r="AF170" i="33"/>
  <c r="AE170" i="33"/>
  <c r="AD170" i="33"/>
  <c r="AC170" i="33"/>
  <c r="AB170" i="33"/>
  <c r="AA170" i="33"/>
  <c r="Z170" i="33"/>
  <c r="Y170" i="33"/>
  <c r="X170" i="33"/>
  <c r="W170" i="33"/>
  <c r="V170" i="33"/>
  <c r="U170" i="33"/>
  <c r="T170" i="33"/>
  <c r="S170" i="33"/>
  <c r="R170" i="33"/>
  <c r="Q170" i="33"/>
  <c r="P170" i="33"/>
  <c r="O170" i="33"/>
  <c r="N170" i="33"/>
  <c r="M170" i="33"/>
  <c r="L170" i="33"/>
  <c r="K170" i="33"/>
  <c r="J170" i="33"/>
  <c r="I170" i="33"/>
  <c r="H170" i="33"/>
  <c r="G170" i="33"/>
  <c r="F170" i="33"/>
  <c r="E170" i="33"/>
  <c r="D170" i="33"/>
  <c r="C170" i="33"/>
  <c r="B170" i="33"/>
  <c r="A170" i="33"/>
  <c r="IV169" i="33"/>
  <c r="IU169" i="33"/>
  <c r="IT169" i="33"/>
  <c r="IS169" i="33"/>
  <c r="IR169" i="33"/>
  <c r="IQ169" i="33"/>
  <c r="IP169" i="33"/>
  <c r="IO169" i="33"/>
  <c r="IN169" i="33"/>
  <c r="IM169" i="33"/>
  <c r="IL169" i="33"/>
  <c r="IK169" i="33"/>
  <c r="IJ169" i="33"/>
  <c r="II169" i="33"/>
  <c r="IH169" i="33"/>
  <c r="IG169" i="33"/>
  <c r="IF169" i="33"/>
  <c r="IE169" i="33"/>
  <c r="ID169" i="33"/>
  <c r="IC169" i="33"/>
  <c r="IB169" i="33"/>
  <c r="IA169" i="33"/>
  <c r="HZ169" i="33"/>
  <c r="HY169" i="33"/>
  <c r="HX169" i="33"/>
  <c r="HW169" i="33"/>
  <c r="HV169" i="33"/>
  <c r="HU169" i="33"/>
  <c r="HT169" i="33"/>
  <c r="HS169" i="33"/>
  <c r="HR169" i="33"/>
  <c r="HQ169" i="33"/>
  <c r="HP169" i="33"/>
  <c r="HO169" i="33"/>
  <c r="HN169" i="33"/>
  <c r="HM169" i="33"/>
  <c r="HL169" i="33"/>
  <c r="HK169" i="33"/>
  <c r="HJ169" i="33"/>
  <c r="HI169" i="33"/>
  <c r="HH169" i="33"/>
  <c r="HG169" i="33"/>
  <c r="HF169" i="33"/>
  <c r="HE169" i="33"/>
  <c r="HD169" i="33"/>
  <c r="HC169" i="33"/>
  <c r="HB169" i="33"/>
  <c r="HA169" i="33"/>
  <c r="GZ169" i="33"/>
  <c r="GY169" i="33"/>
  <c r="GX169" i="33"/>
  <c r="GW169" i="33"/>
  <c r="GV169" i="33"/>
  <c r="GU169" i="33"/>
  <c r="GT169" i="33"/>
  <c r="GS169" i="33"/>
  <c r="GR169" i="33"/>
  <c r="GQ169" i="33"/>
  <c r="GP169" i="33"/>
  <c r="GO169" i="33"/>
  <c r="GN169" i="33"/>
  <c r="GM169" i="33"/>
  <c r="GL169" i="33"/>
  <c r="GK169" i="33"/>
  <c r="GJ169" i="33"/>
  <c r="GI169" i="33"/>
  <c r="GH169" i="33"/>
  <c r="GG169" i="33"/>
  <c r="GF169" i="33"/>
  <c r="GE169" i="33"/>
  <c r="GD169" i="33"/>
  <c r="GC169" i="33"/>
  <c r="GB169" i="33"/>
  <c r="GA169" i="33"/>
  <c r="FZ169" i="33"/>
  <c r="FY169" i="33"/>
  <c r="FX169" i="33"/>
  <c r="FW169" i="33"/>
  <c r="FV169" i="33"/>
  <c r="FU169" i="33"/>
  <c r="FT169" i="33"/>
  <c r="FS169" i="33"/>
  <c r="FR169" i="33"/>
  <c r="FQ169" i="33"/>
  <c r="FP169" i="33"/>
  <c r="FO169" i="33"/>
  <c r="FN169" i="33"/>
  <c r="FM169" i="33"/>
  <c r="FL169" i="33"/>
  <c r="FK169" i="33"/>
  <c r="FJ169" i="33"/>
  <c r="FI169" i="33"/>
  <c r="FH169" i="33"/>
  <c r="FG169" i="33"/>
  <c r="FF169" i="33"/>
  <c r="FE169" i="33"/>
  <c r="FD169" i="33"/>
  <c r="FC169" i="33"/>
  <c r="FB169" i="33"/>
  <c r="FA169" i="33"/>
  <c r="EZ169" i="33"/>
  <c r="EY169" i="33"/>
  <c r="EX169" i="33"/>
  <c r="EW169" i="33"/>
  <c r="EV169" i="33"/>
  <c r="EU169" i="33"/>
  <c r="ET169" i="33"/>
  <c r="ES169" i="33"/>
  <c r="ER169" i="33"/>
  <c r="EQ169" i="33"/>
  <c r="EP169" i="33"/>
  <c r="EO169" i="33"/>
  <c r="EN169" i="33"/>
  <c r="EM169" i="33"/>
  <c r="EL169" i="33"/>
  <c r="EK169" i="33"/>
  <c r="EJ169" i="33"/>
  <c r="EI169" i="33"/>
  <c r="EH169" i="33"/>
  <c r="EG169" i="33"/>
  <c r="EF169" i="33"/>
  <c r="EE169" i="33"/>
  <c r="ED169" i="33"/>
  <c r="EC169" i="33"/>
  <c r="EB169" i="33"/>
  <c r="EA169" i="33"/>
  <c r="DZ169" i="33"/>
  <c r="DY169" i="33"/>
  <c r="DX169" i="33"/>
  <c r="DW169" i="33"/>
  <c r="DV169" i="33"/>
  <c r="DU169" i="33"/>
  <c r="DT169" i="33"/>
  <c r="DS169" i="33"/>
  <c r="DR169" i="33"/>
  <c r="DQ169" i="33"/>
  <c r="DP169" i="33"/>
  <c r="DO169" i="33"/>
  <c r="DN169" i="33"/>
  <c r="DM169" i="33"/>
  <c r="DL169" i="33"/>
  <c r="DK169" i="33"/>
  <c r="DJ169" i="33"/>
  <c r="DI169" i="33"/>
  <c r="DH169" i="33"/>
  <c r="DG169" i="33"/>
  <c r="DF169" i="33"/>
  <c r="DE169" i="33"/>
  <c r="DD169" i="33"/>
  <c r="DC169" i="33"/>
  <c r="DB169" i="33"/>
  <c r="DA169" i="33"/>
  <c r="CZ169" i="33"/>
  <c r="CY169" i="33"/>
  <c r="CX169" i="33"/>
  <c r="CW169" i="33"/>
  <c r="CV169" i="33"/>
  <c r="CU169" i="33"/>
  <c r="CT169" i="33"/>
  <c r="CS169" i="33"/>
  <c r="CR169" i="33"/>
  <c r="CQ169" i="33"/>
  <c r="CP169" i="33"/>
  <c r="CO169" i="33"/>
  <c r="CN169" i="33"/>
  <c r="CM169" i="33"/>
  <c r="CL169" i="33"/>
  <c r="CK169" i="33"/>
  <c r="CJ169" i="33"/>
  <c r="CI169" i="33"/>
  <c r="CH169" i="33"/>
  <c r="CG169" i="33"/>
  <c r="CF169" i="33"/>
  <c r="CE169" i="33"/>
  <c r="CD169" i="33"/>
  <c r="CC169" i="33"/>
  <c r="CB169" i="33"/>
  <c r="CA169" i="33"/>
  <c r="BZ169" i="33"/>
  <c r="BY169" i="33"/>
  <c r="BX169" i="33"/>
  <c r="BW169" i="33"/>
  <c r="BV169" i="33"/>
  <c r="BU169" i="33"/>
  <c r="BT169" i="33"/>
  <c r="BS169" i="33"/>
  <c r="BR169" i="33"/>
  <c r="BQ169" i="33"/>
  <c r="BP169" i="33"/>
  <c r="BO169" i="33"/>
  <c r="BN169" i="33"/>
  <c r="BM169" i="33"/>
  <c r="BL169" i="33"/>
  <c r="BK169" i="33"/>
  <c r="BJ169" i="33"/>
  <c r="BI169" i="33"/>
  <c r="BH169" i="33"/>
  <c r="BG169" i="33"/>
  <c r="BF169" i="33"/>
  <c r="BE169" i="33"/>
  <c r="BD169" i="33"/>
  <c r="BC169" i="33"/>
  <c r="BB169" i="33"/>
  <c r="BA169" i="33"/>
  <c r="AZ169" i="33"/>
  <c r="AY169" i="33"/>
  <c r="AX169" i="33"/>
  <c r="AW169" i="33"/>
  <c r="AV169" i="33"/>
  <c r="AU169" i="33"/>
  <c r="AT169" i="33"/>
  <c r="AS169" i="33"/>
  <c r="AR169" i="33"/>
  <c r="AQ169" i="33"/>
  <c r="AP169" i="33"/>
  <c r="AO169" i="33"/>
  <c r="AN169" i="33"/>
  <c r="AM169" i="33"/>
  <c r="AL169" i="33"/>
  <c r="AK169" i="33"/>
  <c r="AJ169" i="33"/>
  <c r="AI169" i="33"/>
  <c r="AH169" i="33"/>
  <c r="AG169" i="33"/>
  <c r="AF169" i="33"/>
  <c r="AE169" i="33"/>
  <c r="AD169" i="33"/>
  <c r="AC169" i="33"/>
  <c r="AB169" i="33"/>
  <c r="AA169" i="33"/>
  <c r="Z169" i="33"/>
  <c r="Y169" i="33"/>
  <c r="X169" i="33"/>
  <c r="W169" i="33"/>
  <c r="V169" i="33"/>
  <c r="U169" i="33"/>
  <c r="T169" i="33"/>
  <c r="S169" i="33"/>
  <c r="R169" i="33"/>
  <c r="Q169" i="33"/>
  <c r="P169" i="33"/>
  <c r="O169" i="33"/>
  <c r="N169" i="33"/>
  <c r="M169" i="33"/>
  <c r="L169" i="33"/>
  <c r="K169" i="33"/>
  <c r="J169" i="33"/>
  <c r="I169" i="33"/>
  <c r="H169" i="33"/>
  <c r="G169" i="33"/>
  <c r="F169" i="33"/>
  <c r="E169" i="33"/>
  <c r="D169" i="33"/>
  <c r="C169" i="33"/>
  <c r="B169" i="33"/>
  <c r="A169" i="33"/>
  <c r="IV168" i="33"/>
  <c r="IU168" i="33"/>
  <c r="IT168" i="33"/>
  <c r="IS168" i="33"/>
  <c r="IR168" i="33"/>
  <c r="IQ168" i="33"/>
  <c r="IP168" i="33"/>
  <c r="IO168" i="33"/>
  <c r="IN168" i="33"/>
  <c r="IM168" i="33"/>
  <c r="IL168" i="33"/>
  <c r="IK168" i="33"/>
  <c r="IJ168" i="33"/>
  <c r="II168" i="33"/>
  <c r="IH168" i="33"/>
  <c r="IG168" i="33"/>
  <c r="IF168" i="33"/>
  <c r="IE168" i="33"/>
  <c r="ID168" i="33"/>
  <c r="IC168" i="33"/>
  <c r="IB168" i="33"/>
  <c r="IA168" i="33"/>
  <c r="HZ168" i="33"/>
  <c r="HY168" i="33"/>
  <c r="HX168" i="33"/>
  <c r="HW168" i="33"/>
  <c r="HV168" i="33"/>
  <c r="HU168" i="33"/>
  <c r="HT168" i="33"/>
  <c r="HS168" i="33"/>
  <c r="HR168" i="33"/>
  <c r="HQ168" i="33"/>
  <c r="HP168" i="33"/>
  <c r="HO168" i="33"/>
  <c r="HN168" i="33"/>
  <c r="HM168" i="33"/>
  <c r="HL168" i="33"/>
  <c r="HK168" i="33"/>
  <c r="HJ168" i="33"/>
  <c r="HI168" i="33"/>
  <c r="HH168" i="33"/>
  <c r="HG168" i="33"/>
  <c r="HF168" i="33"/>
  <c r="HE168" i="33"/>
  <c r="HD168" i="33"/>
  <c r="HC168" i="33"/>
  <c r="HB168" i="33"/>
  <c r="HA168" i="33"/>
  <c r="GZ168" i="33"/>
  <c r="GY168" i="33"/>
  <c r="GX168" i="33"/>
  <c r="GW168" i="33"/>
  <c r="GV168" i="33"/>
  <c r="GU168" i="33"/>
  <c r="GT168" i="33"/>
  <c r="GS168" i="33"/>
  <c r="GR168" i="33"/>
  <c r="GQ168" i="33"/>
  <c r="GP168" i="33"/>
  <c r="GO168" i="33"/>
  <c r="GN168" i="33"/>
  <c r="GM168" i="33"/>
  <c r="GL168" i="33"/>
  <c r="GK168" i="33"/>
  <c r="GJ168" i="33"/>
  <c r="GI168" i="33"/>
  <c r="GH168" i="33"/>
  <c r="GG168" i="33"/>
  <c r="GF168" i="33"/>
  <c r="GE168" i="33"/>
  <c r="GD168" i="33"/>
  <c r="GC168" i="33"/>
  <c r="GB168" i="33"/>
  <c r="GA168" i="33"/>
  <c r="FZ168" i="33"/>
  <c r="FY168" i="33"/>
  <c r="FX168" i="33"/>
  <c r="FW168" i="33"/>
  <c r="FV168" i="33"/>
  <c r="FU168" i="33"/>
  <c r="FT168" i="33"/>
  <c r="FS168" i="33"/>
  <c r="FR168" i="33"/>
  <c r="FQ168" i="33"/>
  <c r="FP168" i="33"/>
  <c r="FO168" i="33"/>
  <c r="FN168" i="33"/>
  <c r="FM168" i="33"/>
  <c r="FL168" i="33"/>
  <c r="FK168" i="33"/>
  <c r="FJ168" i="33"/>
  <c r="FI168" i="33"/>
  <c r="FH168" i="33"/>
  <c r="FG168" i="33"/>
  <c r="FF168" i="33"/>
  <c r="FE168" i="33"/>
  <c r="FD168" i="33"/>
  <c r="FC168" i="33"/>
  <c r="FB168" i="33"/>
  <c r="FA168" i="33"/>
  <c r="EZ168" i="33"/>
  <c r="EY168" i="33"/>
  <c r="EX168" i="33"/>
  <c r="EW168" i="33"/>
  <c r="EV168" i="33"/>
  <c r="EU168" i="33"/>
  <c r="ET168" i="33"/>
  <c r="ES168" i="33"/>
  <c r="ER168" i="33"/>
  <c r="EQ168" i="33"/>
  <c r="EP168" i="33"/>
  <c r="EO168" i="33"/>
  <c r="EN168" i="33"/>
  <c r="EM168" i="33"/>
  <c r="EL168" i="33"/>
  <c r="EK168" i="33"/>
  <c r="EJ168" i="33"/>
  <c r="EI168" i="33"/>
  <c r="EH168" i="33"/>
  <c r="EG168" i="33"/>
  <c r="EF168" i="33"/>
  <c r="EE168" i="33"/>
  <c r="ED168" i="33"/>
  <c r="EC168" i="33"/>
  <c r="EB168" i="33"/>
  <c r="EA168" i="33"/>
  <c r="DZ168" i="33"/>
  <c r="DY168" i="33"/>
  <c r="DX168" i="33"/>
  <c r="DW168" i="33"/>
  <c r="DV168" i="33"/>
  <c r="DU168" i="33"/>
  <c r="DT168" i="33"/>
  <c r="DS168" i="33"/>
  <c r="DR168" i="33"/>
  <c r="DQ168" i="33"/>
  <c r="DP168" i="33"/>
  <c r="DO168" i="33"/>
  <c r="DN168" i="33"/>
  <c r="DM168" i="33"/>
  <c r="DL168" i="33"/>
  <c r="DK168" i="33"/>
  <c r="DJ168" i="33"/>
  <c r="DI168" i="33"/>
  <c r="DH168" i="33"/>
  <c r="DG168" i="33"/>
  <c r="DF168" i="33"/>
  <c r="DE168" i="33"/>
  <c r="DD168" i="33"/>
  <c r="DC168" i="33"/>
  <c r="DB168" i="33"/>
  <c r="DA168" i="33"/>
  <c r="CZ168" i="33"/>
  <c r="CY168" i="33"/>
  <c r="CX168" i="33"/>
  <c r="CW168" i="33"/>
  <c r="CV168" i="33"/>
  <c r="CU168" i="33"/>
  <c r="CT168" i="33"/>
  <c r="CS168" i="33"/>
  <c r="CR168" i="33"/>
  <c r="CQ168" i="33"/>
  <c r="CP168" i="33"/>
  <c r="CO168" i="33"/>
  <c r="CN168" i="33"/>
  <c r="CM168" i="33"/>
  <c r="CL168" i="33"/>
  <c r="CK168" i="33"/>
  <c r="CJ168" i="33"/>
  <c r="CI168" i="33"/>
  <c r="CH168" i="33"/>
  <c r="CG168" i="33"/>
  <c r="CF168" i="33"/>
  <c r="CE168" i="33"/>
  <c r="CD168" i="33"/>
  <c r="CC168" i="33"/>
  <c r="CB168" i="33"/>
  <c r="CA168" i="33"/>
  <c r="BZ168" i="33"/>
  <c r="BY168" i="33"/>
  <c r="BX168" i="33"/>
  <c r="BW168" i="33"/>
  <c r="BV168" i="33"/>
  <c r="BU168" i="33"/>
  <c r="BT168" i="33"/>
  <c r="BS168" i="33"/>
  <c r="BR168" i="33"/>
  <c r="BQ168" i="33"/>
  <c r="BP168" i="33"/>
  <c r="BO168" i="33"/>
  <c r="BN168" i="33"/>
  <c r="BM168" i="33"/>
  <c r="BL168" i="33"/>
  <c r="BK168" i="33"/>
  <c r="BJ168" i="33"/>
  <c r="BI168" i="33"/>
  <c r="BH168" i="33"/>
  <c r="BG168" i="33"/>
  <c r="BF168" i="33"/>
  <c r="BE168" i="33"/>
  <c r="BD168" i="33"/>
  <c r="BC168" i="33"/>
  <c r="BB168" i="33"/>
  <c r="BA168" i="33"/>
  <c r="AZ168" i="33"/>
  <c r="AY168" i="33"/>
  <c r="AX168" i="33"/>
  <c r="AW168" i="33"/>
  <c r="AV168" i="33"/>
  <c r="AU168" i="33"/>
  <c r="AT168" i="33"/>
  <c r="AS168" i="33"/>
  <c r="AR168" i="33"/>
  <c r="AQ168" i="33"/>
  <c r="AP168" i="33"/>
  <c r="AO168" i="33"/>
  <c r="AN168" i="33"/>
  <c r="AM168" i="33"/>
  <c r="AL168" i="33"/>
  <c r="AK168" i="33"/>
  <c r="AJ168" i="33"/>
  <c r="AI168" i="33"/>
  <c r="AH168" i="33"/>
  <c r="AG168" i="33"/>
  <c r="AF168" i="33"/>
  <c r="AE168" i="33"/>
  <c r="AD168" i="33"/>
  <c r="AC168" i="33"/>
  <c r="AB168" i="33"/>
  <c r="AA168" i="33"/>
  <c r="Z168" i="33"/>
  <c r="Y168" i="33"/>
  <c r="X168" i="33"/>
  <c r="W168" i="33"/>
  <c r="V168" i="33"/>
  <c r="U168" i="33"/>
  <c r="T168" i="33"/>
  <c r="S168" i="33"/>
  <c r="R168" i="33"/>
  <c r="Q168" i="33"/>
  <c r="P168" i="33"/>
  <c r="O168" i="33"/>
  <c r="N168" i="33"/>
  <c r="M168" i="33"/>
  <c r="L168" i="33"/>
  <c r="K168" i="33"/>
  <c r="J168" i="33"/>
  <c r="I168" i="33"/>
  <c r="H168" i="33"/>
  <c r="G168" i="33"/>
  <c r="F168" i="33"/>
  <c r="E168" i="33"/>
  <c r="D168" i="33"/>
  <c r="C168" i="33"/>
  <c r="B168" i="33"/>
  <c r="A168" i="33"/>
  <c r="IV167" i="33"/>
  <c r="IU167" i="33"/>
  <c r="IT167" i="33"/>
  <c r="IS167" i="33"/>
  <c r="IR167" i="33"/>
  <c r="IQ167" i="33"/>
  <c r="IP167" i="33"/>
  <c r="IO167" i="33"/>
  <c r="IN167" i="33"/>
  <c r="IM167" i="33"/>
  <c r="IL167" i="33"/>
  <c r="IK167" i="33"/>
  <c r="IJ167" i="33"/>
  <c r="II167" i="33"/>
  <c r="IH167" i="33"/>
  <c r="IG167" i="33"/>
  <c r="IF167" i="33"/>
  <c r="IE167" i="33"/>
  <c r="ID167" i="33"/>
  <c r="IC167" i="33"/>
  <c r="IB167" i="33"/>
  <c r="IA167" i="33"/>
  <c r="HZ167" i="33"/>
  <c r="HY167" i="33"/>
  <c r="HX167" i="33"/>
  <c r="HW167" i="33"/>
  <c r="HV167" i="33"/>
  <c r="HU167" i="33"/>
  <c r="HT167" i="33"/>
  <c r="HS167" i="33"/>
  <c r="HR167" i="33"/>
  <c r="HQ167" i="33"/>
  <c r="HP167" i="33"/>
  <c r="HO167" i="33"/>
  <c r="HN167" i="33"/>
  <c r="HM167" i="33"/>
  <c r="HL167" i="33"/>
  <c r="HK167" i="33"/>
  <c r="HJ167" i="33"/>
  <c r="HI167" i="33"/>
  <c r="HH167" i="33"/>
  <c r="HG167" i="33"/>
  <c r="HF167" i="33"/>
  <c r="HE167" i="33"/>
  <c r="HD167" i="33"/>
  <c r="HC167" i="33"/>
  <c r="HB167" i="33"/>
  <c r="HA167" i="33"/>
  <c r="GZ167" i="33"/>
  <c r="GY167" i="33"/>
  <c r="GX167" i="33"/>
  <c r="GW167" i="33"/>
  <c r="GV167" i="33"/>
  <c r="GU167" i="33"/>
  <c r="GT167" i="33"/>
  <c r="GS167" i="33"/>
  <c r="GR167" i="33"/>
  <c r="GQ167" i="33"/>
  <c r="GP167" i="33"/>
  <c r="GO167" i="33"/>
  <c r="GN167" i="33"/>
  <c r="GM167" i="33"/>
  <c r="GL167" i="33"/>
  <c r="GK167" i="33"/>
  <c r="GJ167" i="33"/>
  <c r="GI167" i="33"/>
  <c r="GH167" i="33"/>
  <c r="GG167" i="33"/>
  <c r="GF167" i="33"/>
  <c r="GE167" i="33"/>
  <c r="GD167" i="33"/>
  <c r="GC167" i="33"/>
  <c r="GB167" i="33"/>
  <c r="GA167" i="33"/>
  <c r="FZ167" i="33"/>
  <c r="FY167" i="33"/>
  <c r="FX167" i="33"/>
  <c r="FW167" i="33"/>
  <c r="FV167" i="33"/>
  <c r="FU167" i="33"/>
  <c r="FT167" i="33"/>
  <c r="FS167" i="33"/>
  <c r="FR167" i="33"/>
  <c r="FQ167" i="33"/>
  <c r="FP167" i="33"/>
  <c r="FO167" i="33"/>
  <c r="FN167" i="33"/>
  <c r="FM167" i="33"/>
  <c r="FL167" i="33"/>
  <c r="FK167" i="33"/>
  <c r="FJ167" i="33"/>
  <c r="FI167" i="33"/>
  <c r="FH167" i="33"/>
  <c r="FG167" i="33"/>
  <c r="FF167" i="33"/>
  <c r="FE167" i="33"/>
  <c r="FD167" i="33"/>
  <c r="FC167" i="33"/>
  <c r="FB167" i="33"/>
  <c r="FA167" i="33"/>
  <c r="EZ167" i="33"/>
  <c r="EY167" i="33"/>
  <c r="EX167" i="33"/>
  <c r="EW167" i="33"/>
  <c r="EV167" i="33"/>
  <c r="EU167" i="33"/>
  <c r="ET167" i="33"/>
  <c r="ES167" i="33"/>
  <c r="ER167" i="33"/>
  <c r="EQ167" i="33"/>
  <c r="EP167" i="33"/>
  <c r="EO167" i="33"/>
  <c r="EN167" i="33"/>
  <c r="EM167" i="33"/>
  <c r="EL167" i="33"/>
  <c r="EK167" i="33"/>
  <c r="EJ167" i="33"/>
  <c r="EI167" i="33"/>
  <c r="EH167" i="33"/>
  <c r="EG167" i="33"/>
  <c r="EF167" i="33"/>
  <c r="EE167" i="33"/>
  <c r="ED167" i="33"/>
  <c r="EC167" i="33"/>
  <c r="EB167" i="33"/>
  <c r="EA167" i="33"/>
  <c r="DZ167" i="33"/>
  <c r="DY167" i="33"/>
  <c r="DX167" i="33"/>
  <c r="DW167" i="33"/>
  <c r="DV167" i="33"/>
  <c r="DU167" i="33"/>
  <c r="DT167" i="33"/>
  <c r="DS167" i="33"/>
  <c r="DR167" i="33"/>
  <c r="DQ167" i="33"/>
  <c r="DP167" i="33"/>
  <c r="DO167" i="33"/>
  <c r="DN167" i="33"/>
  <c r="DM167" i="33"/>
  <c r="DL167" i="33"/>
  <c r="DK167" i="33"/>
  <c r="DJ167" i="33"/>
  <c r="DI167" i="33"/>
  <c r="DH167" i="33"/>
  <c r="DG167" i="33"/>
  <c r="DF167" i="33"/>
  <c r="DE167" i="33"/>
  <c r="DD167" i="33"/>
  <c r="DC167" i="33"/>
  <c r="DB167" i="33"/>
  <c r="DA167" i="33"/>
  <c r="CZ167" i="33"/>
  <c r="CY167" i="33"/>
  <c r="CX167" i="33"/>
  <c r="CW167" i="33"/>
  <c r="CV167" i="33"/>
  <c r="CU167" i="33"/>
  <c r="CT167" i="33"/>
  <c r="CS167" i="33"/>
  <c r="CR167" i="33"/>
  <c r="CQ167" i="33"/>
  <c r="CP167" i="33"/>
  <c r="CO167" i="33"/>
  <c r="CN167" i="33"/>
  <c r="CM167" i="33"/>
  <c r="CL167" i="33"/>
  <c r="CK167" i="33"/>
  <c r="CJ167" i="33"/>
  <c r="CI167" i="33"/>
  <c r="CH167" i="33"/>
  <c r="CG167" i="33"/>
  <c r="CF167" i="33"/>
  <c r="CE167" i="33"/>
  <c r="CD167" i="33"/>
  <c r="CC167" i="33"/>
  <c r="CB167" i="33"/>
  <c r="CA167" i="33"/>
  <c r="BZ167" i="33"/>
  <c r="BY167" i="33"/>
  <c r="BX167" i="33"/>
  <c r="BW167" i="33"/>
  <c r="BV167" i="33"/>
  <c r="BU167" i="33"/>
  <c r="BT167" i="33"/>
  <c r="BS167" i="33"/>
  <c r="BR167" i="33"/>
  <c r="BQ167" i="33"/>
  <c r="BP167" i="33"/>
  <c r="BO167" i="33"/>
  <c r="BN167" i="33"/>
  <c r="BM167" i="33"/>
  <c r="BL167" i="33"/>
  <c r="BK167" i="33"/>
  <c r="BJ167" i="33"/>
  <c r="BI167" i="33"/>
  <c r="BH167" i="33"/>
  <c r="BG167" i="33"/>
  <c r="BF167" i="33"/>
  <c r="BE167" i="33"/>
  <c r="BD167" i="33"/>
  <c r="BC167" i="33"/>
  <c r="BB167" i="33"/>
  <c r="BA167" i="33"/>
  <c r="AZ167" i="33"/>
  <c r="AY167" i="33"/>
  <c r="AX167" i="33"/>
  <c r="AW167" i="33"/>
  <c r="AV167" i="33"/>
  <c r="AU167" i="33"/>
  <c r="AT167" i="33"/>
  <c r="AS167" i="33"/>
  <c r="AR167" i="33"/>
  <c r="AQ167" i="33"/>
  <c r="AP167" i="33"/>
  <c r="AO167" i="33"/>
  <c r="AN167" i="33"/>
  <c r="AM167" i="33"/>
  <c r="AL167" i="33"/>
  <c r="AK167" i="33"/>
  <c r="AJ167" i="33"/>
  <c r="AI167" i="33"/>
  <c r="AH167" i="33"/>
  <c r="AG167" i="33"/>
  <c r="AF167" i="33"/>
  <c r="AE167" i="33"/>
  <c r="AD167" i="33"/>
  <c r="AC167" i="33"/>
  <c r="AB167" i="33"/>
  <c r="AA167" i="33"/>
  <c r="Z167" i="33"/>
  <c r="Y167" i="33"/>
  <c r="X167" i="33"/>
  <c r="W167" i="33"/>
  <c r="V167" i="33"/>
  <c r="U167" i="33"/>
  <c r="T167" i="33"/>
  <c r="S167" i="33"/>
  <c r="R167" i="33"/>
  <c r="Q167" i="33"/>
  <c r="P167" i="33"/>
  <c r="O167" i="33"/>
  <c r="N167" i="33"/>
  <c r="M167" i="33"/>
  <c r="L167" i="33"/>
  <c r="K167" i="33"/>
  <c r="J167" i="33"/>
  <c r="I167" i="33"/>
  <c r="H167" i="33"/>
  <c r="G167" i="33"/>
  <c r="F167" i="33"/>
  <c r="E167" i="33"/>
  <c r="D167" i="33"/>
  <c r="C167" i="33"/>
  <c r="B167" i="33"/>
  <c r="A167" i="33"/>
  <c r="IV166" i="33"/>
  <c r="IU166" i="33"/>
  <c r="IT166" i="33"/>
  <c r="IS166" i="33"/>
  <c r="IR166" i="33"/>
  <c r="IQ166" i="33"/>
  <c r="IP166" i="33"/>
  <c r="IO166" i="33"/>
  <c r="IN166" i="33"/>
  <c r="IM166" i="33"/>
  <c r="IL166" i="33"/>
  <c r="IK166" i="33"/>
  <c r="IJ166" i="33"/>
  <c r="II166" i="33"/>
  <c r="IH166" i="33"/>
  <c r="IG166" i="33"/>
  <c r="IF166" i="33"/>
  <c r="IE166" i="33"/>
  <c r="ID166" i="33"/>
  <c r="IC166" i="33"/>
  <c r="IB166" i="33"/>
  <c r="IA166" i="33"/>
  <c r="HZ166" i="33"/>
  <c r="HY166" i="33"/>
  <c r="HX166" i="33"/>
  <c r="HW166" i="33"/>
  <c r="HV166" i="33"/>
  <c r="HU166" i="33"/>
  <c r="HT166" i="33"/>
  <c r="HS166" i="33"/>
  <c r="HR166" i="33"/>
  <c r="HQ166" i="33"/>
  <c r="HP166" i="33"/>
  <c r="HO166" i="33"/>
  <c r="HN166" i="33"/>
  <c r="HM166" i="33"/>
  <c r="HL166" i="33"/>
  <c r="HK166" i="33"/>
  <c r="HJ166" i="33"/>
  <c r="HI166" i="33"/>
  <c r="HH166" i="33"/>
  <c r="HG166" i="33"/>
  <c r="HF166" i="33"/>
  <c r="HE166" i="33"/>
  <c r="HD166" i="33"/>
  <c r="HC166" i="33"/>
  <c r="HB166" i="33"/>
  <c r="HA166" i="33"/>
  <c r="GZ166" i="33"/>
  <c r="GY166" i="33"/>
  <c r="GX166" i="33"/>
  <c r="GW166" i="33"/>
  <c r="GV166" i="33"/>
  <c r="GU166" i="33"/>
  <c r="GT166" i="33"/>
  <c r="GS166" i="33"/>
  <c r="GR166" i="33"/>
  <c r="GQ166" i="33"/>
  <c r="GP166" i="33"/>
  <c r="GO166" i="33"/>
  <c r="GN166" i="33"/>
  <c r="GM166" i="33"/>
  <c r="GL166" i="33"/>
  <c r="GK166" i="33"/>
  <c r="GJ166" i="33"/>
  <c r="GI166" i="33"/>
  <c r="GH166" i="33"/>
  <c r="GG166" i="33"/>
  <c r="GF166" i="33"/>
  <c r="GE166" i="33"/>
  <c r="GD166" i="33"/>
  <c r="GC166" i="33"/>
  <c r="GB166" i="33"/>
  <c r="GA166" i="33"/>
  <c r="FZ166" i="33"/>
  <c r="FY166" i="33"/>
  <c r="FX166" i="33"/>
  <c r="FW166" i="33"/>
  <c r="FV166" i="33"/>
  <c r="FU166" i="33"/>
  <c r="FT166" i="33"/>
  <c r="FS166" i="33"/>
  <c r="FR166" i="33"/>
  <c r="FQ166" i="33"/>
  <c r="FP166" i="33"/>
  <c r="FO166" i="33"/>
  <c r="FN166" i="33"/>
  <c r="FM166" i="33"/>
  <c r="FL166" i="33"/>
  <c r="FK166" i="33"/>
  <c r="FJ166" i="33"/>
  <c r="FI166" i="33"/>
  <c r="FH166" i="33"/>
  <c r="FG166" i="33"/>
  <c r="FF166" i="33"/>
  <c r="FE166" i="33"/>
  <c r="FD166" i="33"/>
  <c r="FC166" i="33"/>
  <c r="FB166" i="33"/>
  <c r="FA166" i="33"/>
  <c r="EZ166" i="33"/>
  <c r="EY166" i="33"/>
  <c r="EX166" i="33"/>
  <c r="EW166" i="33"/>
  <c r="EV166" i="33"/>
  <c r="EU166" i="33"/>
  <c r="ET166" i="33"/>
  <c r="ES166" i="33"/>
  <c r="ER166" i="33"/>
  <c r="EQ166" i="33"/>
  <c r="EP166" i="33"/>
  <c r="EO166" i="33"/>
  <c r="EN166" i="33"/>
  <c r="EM166" i="33"/>
  <c r="EL166" i="33"/>
  <c r="EK166" i="33"/>
  <c r="EJ166" i="33"/>
  <c r="EI166" i="33"/>
  <c r="EH166" i="33"/>
  <c r="EG166" i="33"/>
  <c r="EF166" i="33"/>
  <c r="EE166" i="33"/>
  <c r="ED166" i="33"/>
  <c r="EC166" i="33"/>
  <c r="EB166" i="33"/>
  <c r="EA166" i="33"/>
  <c r="DZ166" i="33"/>
  <c r="DY166" i="33"/>
  <c r="DX166" i="33"/>
  <c r="DW166" i="33"/>
  <c r="DV166" i="33"/>
  <c r="DU166" i="33"/>
  <c r="DT166" i="33"/>
  <c r="DS166" i="33"/>
  <c r="DR166" i="33"/>
  <c r="DQ166" i="33"/>
  <c r="DP166" i="33"/>
  <c r="DO166" i="33"/>
  <c r="DN166" i="33"/>
  <c r="DM166" i="33"/>
  <c r="DL166" i="33"/>
  <c r="DK166" i="33"/>
  <c r="DJ166" i="33"/>
  <c r="DI166" i="33"/>
  <c r="DH166" i="33"/>
  <c r="DG166" i="33"/>
  <c r="DF166" i="33"/>
  <c r="DE166" i="33"/>
  <c r="DD166" i="33"/>
  <c r="DC166" i="33"/>
  <c r="DB166" i="33"/>
  <c r="DA166" i="33"/>
  <c r="CZ166" i="33"/>
  <c r="CY166" i="33"/>
  <c r="CX166" i="33"/>
  <c r="CW166" i="33"/>
  <c r="CV166" i="33"/>
  <c r="CU166" i="33"/>
  <c r="CT166" i="33"/>
  <c r="CS166" i="33"/>
  <c r="CR166" i="33"/>
  <c r="CQ166" i="33"/>
  <c r="CP166" i="33"/>
  <c r="CO166" i="33"/>
  <c r="CN166" i="33"/>
  <c r="CM166" i="33"/>
  <c r="CL166" i="33"/>
  <c r="CK166" i="33"/>
  <c r="CJ166" i="33"/>
  <c r="CI166" i="33"/>
  <c r="CH166" i="33"/>
  <c r="CG166" i="33"/>
  <c r="CF166" i="33"/>
  <c r="CE166" i="33"/>
  <c r="CD166" i="33"/>
  <c r="CC166" i="33"/>
  <c r="CB166" i="33"/>
  <c r="CA166" i="33"/>
  <c r="BZ166" i="33"/>
  <c r="BY166" i="33"/>
  <c r="BX166" i="33"/>
  <c r="BW166" i="33"/>
  <c r="BV166" i="33"/>
  <c r="BU166" i="33"/>
  <c r="BT166" i="33"/>
  <c r="BS166" i="33"/>
  <c r="BR166" i="33"/>
  <c r="BQ166" i="33"/>
  <c r="BP166" i="33"/>
  <c r="BO166" i="33"/>
  <c r="BN166" i="33"/>
  <c r="BM166" i="33"/>
  <c r="BL166" i="33"/>
  <c r="BK166" i="33"/>
  <c r="BJ166" i="33"/>
  <c r="BI166" i="33"/>
  <c r="BH166" i="33"/>
  <c r="BG166" i="33"/>
  <c r="BF166" i="33"/>
  <c r="BE166" i="33"/>
  <c r="BD166" i="33"/>
  <c r="BC166" i="33"/>
  <c r="BB166" i="33"/>
  <c r="BA166" i="33"/>
  <c r="AZ166" i="33"/>
  <c r="AY166" i="33"/>
  <c r="AX166" i="33"/>
  <c r="AW166" i="33"/>
  <c r="AV166" i="33"/>
  <c r="AU166" i="33"/>
  <c r="AT166" i="33"/>
  <c r="AS166" i="33"/>
  <c r="AR166" i="33"/>
  <c r="AQ166" i="33"/>
  <c r="AP166" i="33"/>
  <c r="AO166" i="33"/>
  <c r="AN166" i="33"/>
  <c r="AM166" i="33"/>
  <c r="AL166" i="33"/>
  <c r="AK166" i="33"/>
  <c r="AJ166" i="33"/>
  <c r="AI166" i="33"/>
  <c r="AH166" i="33"/>
  <c r="AG166" i="33"/>
  <c r="AF166" i="33"/>
  <c r="AE166" i="33"/>
  <c r="AD166" i="33"/>
  <c r="AC166" i="33"/>
  <c r="AB166" i="33"/>
  <c r="AA166" i="33"/>
  <c r="Z166" i="33"/>
  <c r="Y166" i="33"/>
  <c r="X166" i="33"/>
  <c r="W166" i="33"/>
  <c r="V166" i="33"/>
  <c r="U166" i="33"/>
  <c r="T166" i="33"/>
  <c r="S166" i="33"/>
  <c r="R166" i="33"/>
  <c r="Q166" i="33"/>
  <c r="P166" i="33"/>
  <c r="O166" i="33"/>
  <c r="N166" i="33"/>
  <c r="M166" i="33"/>
  <c r="L166" i="33"/>
  <c r="K166" i="33"/>
  <c r="J166" i="33"/>
  <c r="I166" i="33"/>
  <c r="H166" i="33"/>
  <c r="G166" i="33"/>
  <c r="F166" i="33"/>
  <c r="E166" i="33"/>
  <c r="D166" i="33"/>
  <c r="C166" i="33"/>
  <c r="B166" i="33"/>
  <c r="A166" i="33"/>
  <c r="IV165" i="33"/>
  <c r="IU165" i="33"/>
  <c r="IT165" i="33"/>
  <c r="IS165" i="33"/>
  <c r="IR165" i="33"/>
  <c r="IQ165" i="33"/>
  <c r="IP165" i="33"/>
  <c r="IO165" i="33"/>
  <c r="IN165" i="33"/>
  <c r="IM165" i="33"/>
  <c r="IL165" i="33"/>
  <c r="IK165" i="33"/>
  <c r="IJ165" i="33"/>
  <c r="II165" i="33"/>
  <c r="IH165" i="33"/>
  <c r="IG165" i="33"/>
  <c r="IF165" i="33"/>
  <c r="IE165" i="33"/>
  <c r="ID165" i="33"/>
  <c r="IC165" i="33"/>
  <c r="IB165" i="33"/>
  <c r="IA165" i="33"/>
  <c r="HZ165" i="33"/>
  <c r="HY165" i="33"/>
  <c r="HX165" i="33"/>
  <c r="HW165" i="33"/>
  <c r="HV165" i="33"/>
  <c r="HU165" i="33"/>
  <c r="HT165" i="33"/>
  <c r="HS165" i="33"/>
  <c r="HR165" i="33"/>
  <c r="HQ165" i="33"/>
  <c r="HP165" i="33"/>
  <c r="HO165" i="33"/>
  <c r="HN165" i="33"/>
  <c r="HM165" i="33"/>
  <c r="HL165" i="33"/>
  <c r="HK165" i="33"/>
  <c r="HJ165" i="33"/>
  <c r="HI165" i="33"/>
  <c r="HH165" i="33"/>
  <c r="HG165" i="33"/>
  <c r="HF165" i="33"/>
  <c r="HE165" i="33"/>
  <c r="HD165" i="33"/>
  <c r="HC165" i="33"/>
  <c r="HB165" i="33"/>
  <c r="HA165" i="33"/>
  <c r="GZ165" i="33"/>
  <c r="GY165" i="33"/>
  <c r="GX165" i="33"/>
  <c r="GW165" i="33"/>
  <c r="GV165" i="33"/>
  <c r="GU165" i="33"/>
  <c r="GT165" i="33"/>
  <c r="GS165" i="33"/>
  <c r="GR165" i="33"/>
  <c r="GQ165" i="33"/>
  <c r="GP165" i="33"/>
  <c r="GO165" i="33"/>
  <c r="GN165" i="33"/>
  <c r="GM165" i="33"/>
  <c r="GL165" i="33"/>
  <c r="GK165" i="33"/>
  <c r="GJ165" i="33"/>
  <c r="GI165" i="33"/>
  <c r="GH165" i="33"/>
  <c r="GG165" i="33"/>
  <c r="GF165" i="33"/>
  <c r="GE165" i="33"/>
  <c r="GD165" i="33"/>
  <c r="GC165" i="33"/>
  <c r="GB165" i="33"/>
  <c r="GA165" i="33"/>
  <c r="FZ165" i="33"/>
  <c r="FY165" i="33"/>
  <c r="FX165" i="33"/>
  <c r="FW165" i="33"/>
  <c r="FV165" i="33"/>
  <c r="FU165" i="33"/>
  <c r="FT165" i="33"/>
  <c r="FS165" i="33"/>
  <c r="FR165" i="33"/>
  <c r="FQ165" i="33"/>
  <c r="FP165" i="33"/>
  <c r="FO165" i="33"/>
  <c r="FN165" i="33"/>
  <c r="FM165" i="33"/>
  <c r="FL165" i="33"/>
  <c r="FK165" i="33"/>
  <c r="FJ165" i="33"/>
  <c r="FI165" i="33"/>
  <c r="FH165" i="33"/>
  <c r="FG165" i="33"/>
  <c r="FF165" i="33"/>
  <c r="FE165" i="33"/>
  <c r="FD165" i="33"/>
  <c r="FC165" i="33"/>
  <c r="FB165" i="33"/>
  <c r="FA165" i="33"/>
  <c r="EZ165" i="33"/>
  <c r="EY165" i="33"/>
  <c r="EX165" i="33"/>
  <c r="EW165" i="33"/>
  <c r="EV165" i="33"/>
  <c r="EU165" i="33"/>
  <c r="ET165" i="33"/>
  <c r="ES165" i="33"/>
  <c r="ER165" i="33"/>
  <c r="EQ165" i="33"/>
  <c r="EP165" i="33"/>
  <c r="EO165" i="33"/>
  <c r="EN165" i="33"/>
  <c r="EM165" i="33"/>
  <c r="EL165" i="33"/>
  <c r="EK165" i="33"/>
  <c r="EJ165" i="33"/>
  <c r="EI165" i="33"/>
  <c r="EH165" i="33"/>
  <c r="EG165" i="33"/>
  <c r="EF165" i="33"/>
  <c r="EE165" i="33"/>
  <c r="ED165" i="33"/>
  <c r="EC165" i="33"/>
  <c r="EB165" i="33"/>
  <c r="EA165" i="33"/>
  <c r="DZ165" i="33"/>
  <c r="DY165" i="33"/>
  <c r="DX165" i="33"/>
  <c r="DW165" i="33"/>
  <c r="DV165" i="33"/>
  <c r="DU165" i="33"/>
  <c r="DT165" i="33"/>
  <c r="DS165" i="33"/>
  <c r="DR165" i="33"/>
  <c r="DQ165" i="33"/>
  <c r="DP165" i="33"/>
  <c r="DO165" i="33"/>
  <c r="DN165" i="33"/>
  <c r="DM165" i="33"/>
  <c r="DL165" i="33"/>
  <c r="DK165" i="33"/>
  <c r="DJ165" i="33"/>
  <c r="DI165" i="33"/>
  <c r="DH165" i="33"/>
  <c r="DG165" i="33"/>
  <c r="DF165" i="33"/>
  <c r="DE165" i="33"/>
  <c r="DD165" i="33"/>
  <c r="DC165" i="33"/>
  <c r="DB165" i="33"/>
  <c r="DA165" i="33"/>
  <c r="CZ165" i="33"/>
  <c r="CY165" i="33"/>
  <c r="CX165" i="33"/>
  <c r="CW165" i="33"/>
  <c r="CV165" i="33"/>
  <c r="CU165" i="33"/>
  <c r="CT165" i="33"/>
  <c r="CS165" i="33"/>
  <c r="CR165" i="33"/>
  <c r="CQ165" i="33"/>
  <c r="CP165" i="33"/>
  <c r="CO165" i="33"/>
  <c r="CN165" i="33"/>
  <c r="CM165" i="33"/>
  <c r="CL165" i="33"/>
  <c r="CK165" i="33"/>
  <c r="CJ165" i="33"/>
  <c r="CI165" i="33"/>
  <c r="CH165" i="33"/>
  <c r="CG165" i="33"/>
  <c r="CF165" i="33"/>
  <c r="CE165" i="33"/>
  <c r="CD165" i="33"/>
  <c r="CC165" i="33"/>
  <c r="CB165" i="33"/>
  <c r="CA165" i="33"/>
  <c r="BZ165" i="33"/>
  <c r="BY165" i="33"/>
  <c r="BX165" i="33"/>
  <c r="BW165" i="33"/>
  <c r="BV165" i="33"/>
  <c r="BU165" i="33"/>
  <c r="BT165" i="33"/>
  <c r="BS165" i="33"/>
  <c r="BR165" i="33"/>
  <c r="BQ165" i="33"/>
  <c r="BP165" i="33"/>
  <c r="BO165" i="33"/>
  <c r="BN165" i="33"/>
  <c r="BM165" i="33"/>
  <c r="BL165" i="33"/>
  <c r="BK165" i="33"/>
  <c r="BJ165" i="33"/>
  <c r="BI165" i="33"/>
  <c r="BH165" i="33"/>
  <c r="BG165" i="33"/>
  <c r="BF165" i="33"/>
  <c r="BE165" i="33"/>
  <c r="BD165" i="33"/>
  <c r="BC165" i="33"/>
  <c r="BB165" i="33"/>
  <c r="BA165" i="33"/>
  <c r="AZ165" i="33"/>
  <c r="AY165" i="33"/>
  <c r="AX165" i="33"/>
  <c r="AW165" i="33"/>
  <c r="AV165" i="33"/>
  <c r="AU165" i="33"/>
  <c r="AT165" i="33"/>
  <c r="AS165" i="33"/>
  <c r="AR165" i="33"/>
  <c r="AQ165" i="33"/>
  <c r="AP165" i="33"/>
  <c r="AO165" i="33"/>
  <c r="AN165" i="33"/>
  <c r="AM165" i="33"/>
  <c r="AL165" i="33"/>
  <c r="AK165" i="33"/>
  <c r="AJ165" i="33"/>
  <c r="AI165" i="33"/>
  <c r="AH165" i="33"/>
  <c r="AG165" i="33"/>
  <c r="AF165" i="33"/>
  <c r="AE165" i="33"/>
  <c r="AD165" i="33"/>
  <c r="AC165" i="33"/>
  <c r="AB165" i="33"/>
  <c r="AA165" i="33"/>
  <c r="Z165" i="33"/>
  <c r="Y165" i="33"/>
  <c r="X165" i="33"/>
  <c r="W165" i="33"/>
  <c r="V165" i="33"/>
  <c r="U165" i="33"/>
  <c r="T165" i="33"/>
  <c r="S165" i="33"/>
  <c r="R165" i="33"/>
  <c r="Q165" i="33"/>
  <c r="P165" i="33"/>
  <c r="O165" i="33"/>
  <c r="N165" i="33"/>
  <c r="M165" i="33"/>
  <c r="L165" i="33"/>
  <c r="K165" i="33"/>
  <c r="J165" i="33"/>
  <c r="I165" i="33"/>
  <c r="H165" i="33"/>
  <c r="G165" i="33"/>
  <c r="F165" i="33"/>
  <c r="E165" i="33"/>
  <c r="D165" i="33"/>
  <c r="C165" i="33"/>
  <c r="B165" i="33"/>
  <c r="A165" i="33"/>
  <c r="IV164" i="33"/>
  <c r="IU164" i="33"/>
  <c r="IT164" i="33"/>
  <c r="IS164" i="33"/>
  <c r="IR164" i="33"/>
  <c r="IQ164" i="33"/>
  <c r="IP164" i="33"/>
  <c r="IO164" i="33"/>
  <c r="IN164" i="33"/>
  <c r="IM164" i="33"/>
  <c r="IL164" i="33"/>
  <c r="IK164" i="33"/>
  <c r="IJ164" i="33"/>
  <c r="II164" i="33"/>
  <c r="IH164" i="33"/>
  <c r="IG164" i="33"/>
  <c r="IF164" i="33"/>
  <c r="IE164" i="33"/>
  <c r="ID164" i="33"/>
  <c r="IC164" i="33"/>
  <c r="IB164" i="33"/>
  <c r="IA164" i="33"/>
  <c r="HZ164" i="33"/>
  <c r="HY164" i="33"/>
  <c r="HX164" i="33"/>
  <c r="HW164" i="33"/>
  <c r="HV164" i="33"/>
  <c r="HU164" i="33"/>
  <c r="HT164" i="33"/>
  <c r="HS164" i="33"/>
  <c r="HR164" i="33"/>
  <c r="HQ164" i="33"/>
  <c r="HP164" i="33"/>
  <c r="HO164" i="33"/>
  <c r="HN164" i="33"/>
  <c r="HM164" i="33"/>
  <c r="HL164" i="33"/>
  <c r="HK164" i="33"/>
  <c r="HJ164" i="33"/>
  <c r="HI164" i="33"/>
  <c r="HH164" i="33"/>
  <c r="HG164" i="33"/>
  <c r="HF164" i="33"/>
  <c r="HE164" i="33"/>
  <c r="HD164" i="33"/>
  <c r="HC164" i="33"/>
  <c r="HB164" i="33"/>
  <c r="HA164" i="33"/>
  <c r="GZ164" i="33"/>
  <c r="GY164" i="33"/>
  <c r="GX164" i="33"/>
  <c r="GW164" i="33"/>
  <c r="GV164" i="33"/>
  <c r="GU164" i="33"/>
  <c r="GT164" i="33"/>
  <c r="GS164" i="33"/>
  <c r="GR164" i="33"/>
  <c r="GQ164" i="33"/>
  <c r="GP164" i="33"/>
  <c r="GO164" i="33"/>
  <c r="GN164" i="33"/>
  <c r="GM164" i="33"/>
  <c r="GL164" i="33"/>
  <c r="GK164" i="33"/>
  <c r="GJ164" i="33"/>
  <c r="GI164" i="33"/>
  <c r="GH164" i="33"/>
  <c r="GG164" i="33"/>
  <c r="GF164" i="33"/>
  <c r="GE164" i="33"/>
  <c r="GD164" i="33"/>
  <c r="GC164" i="33"/>
  <c r="GB164" i="33"/>
  <c r="GA164" i="33"/>
  <c r="FZ164" i="33"/>
  <c r="FY164" i="33"/>
  <c r="FX164" i="33"/>
  <c r="FW164" i="33"/>
  <c r="FV164" i="33"/>
  <c r="FU164" i="33"/>
  <c r="FT164" i="33"/>
  <c r="FS164" i="33"/>
  <c r="FR164" i="33"/>
  <c r="FQ164" i="33"/>
  <c r="FP164" i="33"/>
  <c r="FO164" i="33"/>
  <c r="FN164" i="33"/>
  <c r="FM164" i="33"/>
  <c r="FL164" i="33"/>
  <c r="FK164" i="33"/>
  <c r="FJ164" i="33"/>
  <c r="FI164" i="33"/>
  <c r="FH164" i="33"/>
  <c r="FG164" i="33"/>
  <c r="FF164" i="33"/>
  <c r="FE164" i="33"/>
  <c r="FD164" i="33"/>
  <c r="FC164" i="33"/>
  <c r="FB164" i="33"/>
  <c r="FA164" i="33"/>
  <c r="EZ164" i="33"/>
  <c r="EY164" i="33"/>
  <c r="EX164" i="33"/>
  <c r="EW164" i="33"/>
  <c r="EV164" i="33"/>
  <c r="EU164" i="33"/>
  <c r="ET164" i="33"/>
  <c r="ES164" i="33"/>
  <c r="ER164" i="33"/>
  <c r="EQ164" i="33"/>
  <c r="EP164" i="33"/>
  <c r="EO164" i="33"/>
  <c r="EN164" i="33"/>
  <c r="EM164" i="33"/>
  <c r="EL164" i="33"/>
  <c r="EK164" i="33"/>
  <c r="EJ164" i="33"/>
  <c r="EI164" i="33"/>
  <c r="EH164" i="33"/>
  <c r="EG164" i="33"/>
  <c r="EF164" i="33"/>
  <c r="EE164" i="33"/>
  <c r="ED164" i="33"/>
  <c r="EC164" i="33"/>
  <c r="EB164" i="33"/>
  <c r="EA164" i="33"/>
  <c r="DZ164" i="33"/>
  <c r="DY164" i="33"/>
  <c r="DX164" i="33"/>
  <c r="DW164" i="33"/>
  <c r="DV164" i="33"/>
  <c r="DU164" i="33"/>
  <c r="DT164" i="33"/>
  <c r="DS164" i="33"/>
  <c r="DR164" i="33"/>
  <c r="DQ164" i="33"/>
  <c r="DP164" i="33"/>
  <c r="DO164" i="33"/>
  <c r="DN164" i="33"/>
  <c r="DM164" i="33"/>
  <c r="DL164" i="33"/>
  <c r="DK164" i="33"/>
  <c r="DJ164" i="33"/>
  <c r="DI164" i="33"/>
  <c r="DH164" i="33"/>
  <c r="DG164" i="33"/>
  <c r="DF164" i="33"/>
  <c r="DE164" i="33"/>
  <c r="DD164" i="33"/>
  <c r="DC164" i="33"/>
  <c r="DB164" i="33"/>
  <c r="DA164" i="33"/>
  <c r="CZ164" i="33"/>
  <c r="CY164" i="33"/>
  <c r="CX164" i="33"/>
  <c r="CW164" i="33"/>
  <c r="CV164" i="33"/>
  <c r="CU164" i="33"/>
  <c r="CT164" i="33"/>
  <c r="CS164" i="33"/>
  <c r="CR164" i="33"/>
  <c r="CQ164" i="33"/>
  <c r="CP164" i="33"/>
  <c r="CO164" i="33"/>
  <c r="CN164" i="33"/>
  <c r="CM164" i="33"/>
  <c r="CL164" i="33"/>
  <c r="CK164" i="33"/>
  <c r="CJ164" i="33"/>
  <c r="CI164" i="33"/>
  <c r="CH164" i="33"/>
  <c r="CG164" i="33"/>
  <c r="CF164" i="33"/>
  <c r="CE164" i="33"/>
  <c r="CD164" i="33"/>
  <c r="CC164" i="33"/>
  <c r="CB164" i="33"/>
  <c r="CA164" i="33"/>
  <c r="BZ164" i="33"/>
  <c r="BY164" i="33"/>
  <c r="BX164" i="33"/>
  <c r="BW164" i="33"/>
  <c r="BV164" i="33"/>
  <c r="BU164" i="33"/>
  <c r="BT164" i="33"/>
  <c r="BS164" i="33"/>
  <c r="BR164" i="33"/>
  <c r="BQ164" i="33"/>
  <c r="BP164" i="33"/>
  <c r="BO164" i="33"/>
  <c r="BN164" i="33"/>
  <c r="BM164" i="33"/>
  <c r="BL164" i="33"/>
  <c r="BK164" i="33"/>
  <c r="BJ164" i="33"/>
  <c r="BI164" i="33"/>
  <c r="BH164" i="33"/>
  <c r="BG164" i="33"/>
  <c r="BF164" i="33"/>
  <c r="BE164" i="33"/>
  <c r="BD164" i="33"/>
  <c r="BC164" i="33"/>
  <c r="BB164" i="33"/>
  <c r="BA164" i="33"/>
  <c r="AZ164" i="33"/>
  <c r="AY164" i="33"/>
  <c r="AX164" i="33"/>
  <c r="AW164" i="33"/>
  <c r="AV164" i="33"/>
  <c r="AU164" i="33"/>
  <c r="AT164" i="33"/>
  <c r="AS164" i="33"/>
  <c r="AR164" i="33"/>
  <c r="AQ164" i="33"/>
  <c r="AP164" i="33"/>
  <c r="AO164" i="33"/>
  <c r="AN164" i="33"/>
  <c r="AM164" i="33"/>
  <c r="AL164" i="33"/>
  <c r="AK164" i="33"/>
  <c r="AJ164" i="33"/>
  <c r="AI164" i="33"/>
  <c r="AH164" i="33"/>
  <c r="AG164" i="33"/>
  <c r="AF164" i="33"/>
  <c r="AE164" i="33"/>
  <c r="AD164" i="33"/>
  <c r="AC164" i="33"/>
  <c r="AB164" i="33"/>
  <c r="AA164" i="33"/>
  <c r="Z164" i="33"/>
  <c r="Y164" i="33"/>
  <c r="X164" i="33"/>
  <c r="W164" i="33"/>
  <c r="V164" i="33"/>
  <c r="U164" i="33"/>
  <c r="T164" i="33"/>
  <c r="S164" i="33"/>
  <c r="R164" i="33"/>
  <c r="Q164" i="33"/>
  <c r="P164" i="33"/>
  <c r="O164" i="33"/>
  <c r="N164" i="33"/>
  <c r="M164" i="33"/>
  <c r="L164" i="33"/>
  <c r="K164" i="33"/>
  <c r="J164" i="33"/>
  <c r="I164" i="33"/>
  <c r="H164" i="33"/>
  <c r="G164" i="33"/>
  <c r="F164" i="33"/>
  <c r="E164" i="33"/>
  <c r="D164" i="33"/>
  <c r="C164" i="33"/>
  <c r="B164" i="33"/>
  <c r="A164" i="33"/>
  <c r="IV163" i="33"/>
  <c r="IU163" i="33"/>
  <c r="IT163" i="33"/>
  <c r="IS163" i="33"/>
  <c r="IR163" i="33"/>
  <c r="IQ163" i="33"/>
  <c r="IP163" i="33"/>
  <c r="IO163" i="33"/>
  <c r="IN163" i="33"/>
  <c r="IM163" i="33"/>
  <c r="IL163" i="33"/>
  <c r="IK163" i="33"/>
  <c r="IJ163" i="33"/>
  <c r="II163" i="33"/>
  <c r="IH163" i="33"/>
  <c r="IG163" i="33"/>
  <c r="IF163" i="33"/>
  <c r="IE163" i="33"/>
  <c r="ID163" i="33"/>
  <c r="IC163" i="33"/>
  <c r="IB163" i="33"/>
  <c r="IA163" i="33"/>
  <c r="HZ163" i="33"/>
  <c r="HY163" i="33"/>
  <c r="HX163" i="33"/>
  <c r="HW163" i="33"/>
  <c r="HV163" i="33"/>
  <c r="HU163" i="33"/>
  <c r="HT163" i="33"/>
  <c r="HS163" i="33"/>
  <c r="HR163" i="33"/>
  <c r="HQ163" i="33"/>
  <c r="HP163" i="33"/>
  <c r="HO163" i="33"/>
  <c r="HN163" i="33"/>
  <c r="HM163" i="33"/>
  <c r="HL163" i="33"/>
  <c r="HK163" i="33"/>
  <c r="HJ163" i="33"/>
  <c r="HI163" i="33"/>
  <c r="HH163" i="33"/>
  <c r="HG163" i="33"/>
  <c r="HF163" i="33"/>
  <c r="HE163" i="33"/>
  <c r="HD163" i="33"/>
  <c r="HC163" i="33"/>
  <c r="HB163" i="33"/>
  <c r="HA163" i="33"/>
  <c r="GZ163" i="33"/>
  <c r="GY163" i="33"/>
  <c r="GX163" i="33"/>
  <c r="GW163" i="33"/>
  <c r="GV163" i="33"/>
  <c r="GU163" i="33"/>
  <c r="GT163" i="33"/>
  <c r="GS163" i="33"/>
  <c r="GR163" i="33"/>
  <c r="GQ163" i="33"/>
  <c r="GP163" i="33"/>
  <c r="GO163" i="33"/>
  <c r="GN163" i="33"/>
  <c r="GM163" i="33"/>
  <c r="GL163" i="33"/>
  <c r="GK163" i="33"/>
  <c r="GJ163" i="33"/>
  <c r="GI163" i="33"/>
  <c r="GH163" i="33"/>
  <c r="GG163" i="33"/>
  <c r="GF163" i="33"/>
  <c r="GE163" i="33"/>
  <c r="GD163" i="33"/>
  <c r="GC163" i="33"/>
  <c r="GB163" i="33"/>
  <c r="GA163" i="33"/>
  <c r="FZ163" i="33"/>
  <c r="FY163" i="33"/>
  <c r="FX163" i="33"/>
  <c r="FW163" i="33"/>
  <c r="FV163" i="33"/>
  <c r="FU163" i="33"/>
  <c r="FT163" i="33"/>
  <c r="FS163" i="33"/>
  <c r="FR163" i="33"/>
  <c r="FQ163" i="33"/>
  <c r="FP163" i="33"/>
  <c r="FO163" i="33"/>
  <c r="FN163" i="33"/>
  <c r="FM163" i="33"/>
  <c r="FL163" i="33"/>
  <c r="FK163" i="33"/>
  <c r="FJ163" i="33"/>
  <c r="FI163" i="33"/>
  <c r="FH163" i="33"/>
  <c r="FG163" i="33"/>
  <c r="FF163" i="33"/>
  <c r="FE163" i="33"/>
  <c r="FD163" i="33"/>
  <c r="FC163" i="33"/>
  <c r="FB163" i="33"/>
  <c r="FA163" i="33"/>
  <c r="EZ163" i="33"/>
  <c r="EY163" i="33"/>
  <c r="EX163" i="33"/>
  <c r="EW163" i="33"/>
  <c r="EV163" i="33"/>
  <c r="EU163" i="33"/>
  <c r="ET163" i="33"/>
  <c r="ES163" i="33"/>
  <c r="ER163" i="33"/>
  <c r="EQ163" i="33"/>
  <c r="EP163" i="33"/>
  <c r="EO163" i="33"/>
  <c r="EN163" i="33"/>
  <c r="EM163" i="33"/>
  <c r="EL163" i="33"/>
  <c r="EK163" i="33"/>
  <c r="EJ163" i="33"/>
  <c r="EI163" i="33"/>
  <c r="EH163" i="33"/>
  <c r="EG163" i="33"/>
  <c r="EF163" i="33"/>
  <c r="EE163" i="33"/>
  <c r="ED163" i="33"/>
  <c r="EC163" i="33"/>
  <c r="EB163" i="33"/>
  <c r="EA163" i="33"/>
  <c r="DZ163" i="33"/>
  <c r="DY163" i="33"/>
  <c r="DX163" i="33"/>
  <c r="DW163" i="33"/>
  <c r="DV163" i="33"/>
  <c r="DU163" i="33"/>
  <c r="DT163" i="33"/>
  <c r="DS163" i="33"/>
  <c r="DR163" i="33"/>
  <c r="DQ163" i="33"/>
  <c r="DP163" i="33"/>
  <c r="DO163" i="33"/>
  <c r="DN163" i="33"/>
  <c r="DM163" i="33"/>
  <c r="DL163" i="33"/>
  <c r="DK163" i="33"/>
  <c r="DJ163" i="33"/>
  <c r="DI163" i="33"/>
  <c r="DH163" i="33"/>
  <c r="DG163" i="33"/>
  <c r="DF163" i="33"/>
  <c r="DE163" i="33"/>
  <c r="DD163" i="33"/>
  <c r="DC163" i="33"/>
  <c r="DB163" i="33"/>
  <c r="DA163" i="33"/>
  <c r="CZ163" i="33"/>
  <c r="CY163" i="33"/>
  <c r="CX163" i="33"/>
  <c r="CW163" i="33"/>
  <c r="CV163" i="33"/>
  <c r="CU163" i="33"/>
  <c r="CT163" i="33"/>
  <c r="CS163" i="33"/>
  <c r="CR163" i="33"/>
  <c r="CQ163" i="33"/>
  <c r="CP163" i="33"/>
  <c r="CO163" i="33"/>
  <c r="CN163" i="33"/>
  <c r="CM163" i="33"/>
  <c r="CL163" i="33"/>
  <c r="CK163" i="33"/>
  <c r="CJ163" i="33"/>
  <c r="CI163" i="33"/>
  <c r="CH163" i="33"/>
  <c r="CG163" i="33"/>
  <c r="CF163" i="33"/>
  <c r="CE163" i="33"/>
  <c r="CD163" i="33"/>
  <c r="CC163" i="33"/>
  <c r="CB163" i="33"/>
  <c r="CA163" i="33"/>
  <c r="BZ163" i="33"/>
  <c r="BY163" i="33"/>
  <c r="BX163" i="33"/>
  <c r="BW163" i="33"/>
  <c r="BV163" i="33"/>
  <c r="BU163" i="33"/>
  <c r="BT163" i="33"/>
  <c r="BS163" i="33"/>
  <c r="BR163" i="33"/>
  <c r="BQ163" i="33"/>
  <c r="BP163" i="33"/>
  <c r="BO163" i="33"/>
  <c r="BN163" i="33"/>
  <c r="BM163" i="33"/>
  <c r="BL163" i="33"/>
  <c r="BK163" i="33"/>
  <c r="BJ163" i="33"/>
  <c r="BI163" i="33"/>
  <c r="BH163" i="33"/>
  <c r="BG163" i="33"/>
  <c r="BF163" i="33"/>
  <c r="BE163" i="33"/>
  <c r="BD163" i="33"/>
  <c r="BC163" i="33"/>
  <c r="BB163" i="33"/>
  <c r="BA163" i="33"/>
  <c r="AZ163" i="33"/>
  <c r="AY163" i="33"/>
  <c r="AX163" i="33"/>
  <c r="AW163" i="33"/>
  <c r="AV163" i="33"/>
  <c r="AU163" i="33"/>
  <c r="AT163" i="33"/>
  <c r="AS163" i="33"/>
  <c r="AR163" i="33"/>
  <c r="AQ163" i="33"/>
  <c r="AP163" i="33"/>
  <c r="AO163" i="33"/>
  <c r="AN163" i="33"/>
  <c r="AM163" i="33"/>
  <c r="AL163" i="33"/>
  <c r="AK163" i="33"/>
  <c r="AJ163" i="33"/>
  <c r="AI163" i="33"/>
  <c r="AH163" i="33"/>
  <c r="AG163" i="33"/>
  <c r="AF163" i="33"/>
  <c r="AE163" i="33"/>
  <c r="AD163" i="33"/>
  <c r="AC163" i="33"/>
  <c r="AB163" i="33"/>
  <c r="AA163" i="33"/>
  <c r="Z163" i="33"/>
  <c r="Y163" i="33"/>
  <c r="X163" i="33"/>
  <c r="W163" i="33"/>
  <c r="V163" i="33"/>
  <c r="U163" i="33"/>
  <c r="T163" i="33"/>
  <c r="S163" i="33"/>
  <c r="R163" i="33"/>
  <c r="Q163" i="33"/>
  <c r="P163" i="33"/>
  <c r="O163" i="33"/>
  <c r="N163" i="33"/>
  <c r="M163" i="33"/>
  <c r="L163" i="33"/>
  <c r="K163" i="33"/>
  <c r="J163" i="33"/>
  <c r="I163" i="33"/>
  <c r="H163" i="33"/>
  <c r="G163" i="33"/>
  <c r="F163" i="33"/>
  <c r="E163" i="33"/>
  <c r="D163" i="33"/>
  <c r="C163" i="33"/>
  <c r="B163" i="33"/>
  <c r="A163" i="33"/>
  <c r="IV162" i="33"/>
  <c r="IU162" i="33"/>
  <c r="IT162" i="33"/>
  <c r="IS162" i="33"/>
  <c r="IR162" i="33"/>
  <c r="IQ162" i="33"/>
  <c r="IP162" i="33"/>
  <c r="IO162" i="33"/>
  <c r="IN162" i="33"/>
  <c r="IM162" i="33"/>
  <c r="IL162" i="33"/>
  <c r="IK162" i="33"/>
  <c r="IJ162" i="33"/>
  <c r="II162" i="33"/>
  <c r="IH162" i="33"/>
  <c r="IG162" i="33"/>
  <c r="IF162" i="33"/>
  <c r="IE162" i="33"/>
  <c r="ID162" i="33"/>
  <c r="IC162" i="33"/>
  <c r="IB162" i="33"/>
  <c r="IA162" i="33"/>
  <c r="HZ162" i="33"/>
  <c r="HY162" i="33"/>
  <c r="HX162" i="33"/>
  <c r="HW162" i="33"/>
  <c r="HV162" i="33"/>
  <c r="HU162" i="33"/>
  <c r="HT162" i="33"/>
  <c r="HS162" i="33"/>
  <c r="HR162" i="33"/>
  <c r="HQ162" i="33"/>
  <c r="HP162" i="33"/>
  <c r="HO162" i="33"/>
  <c r="HN162" i="33"/>
  <c r="HM162" i="33"/>
  <c r="HL162" i="33"/>
  <c r="HK162" i="33"/>
  <c r="HJ162" i="33"/>
  <c r="HI162" i="33"/>
  <c r="HH162" i="33"/>
  <c r="HG162" i="33"/>
  <c r="HF162" i="33"/>
  <c r="HE162" i="33"/>
  <c r="HD162" i="33"/>
  <c r="HC162" i="33"/>
  <c r="HB162" i="33"/>
  <c r="HA162" i="33"/>
  <c r="GZ162" i="33"/>
  <c r="GY162" i="33"/>
  <c r="GX162" i="33"/>
  <c r="GW162" i="33"/>
  <c r="GV162" i="33"/>
  <c r="GU162" i="33"/>
  <c r="GT162" i="33"/>
  <c r="GS162" i="33"/>
  <c r="GR162" i="33"/>
  <c r="GQ162" i="33"/>
  <c r="GP162" i="33"/>
  <c r="GO162" i="33"/>
  <c r="GN162" i="33"/>
  <c r="GM162" i="33"/>
  <c r="GL162" i="33"/>
  <c r="GK162" i="33"/>
  <c r="GJ162" i="33"/>
  <c r="GI162" i="33"/>
  <c r="GH162" i="33"/>
  <c r="GG162" i="33"/>
  <c r="GF162" i="33"/>
  <c r="GE162" i="33"/>
  <c r="GD162" i="33"/>
  <c r="GC162" i="33"/>
  <c r="GB162" i="33"/>
  <c r="GA162" i="33"/>
  <c r="FZ162" i="33"/>
  <c r="FY162" i="33"/>
  <c r="FX162" i="33"/>
  <c r="FW162" i="33"/>
  <c r="FV162" i="33"/>
  <c r="FU162" i="33"/>
  <c r="FT162" i="33"/>
  <c r="FS162" i="33"/>
  <c r="FR162" i="33"/>
  <c r="FQ162" i="33"/>
  <c r="FP162" i="33"/>
  <c r="FO162" i="33"/>
  <c r="FN162" i="33"/>
  <c r="FM162" i="33"/>
  <c r="FL162" i="33"/>
  <c r="FK162" i="33"/>
  <c r="FJ162" i="33"/>
  <c r="FI162" i="33"/>
  <c r="FH162" i="33"/>
  <c r="FG162" i="33"/>
  <c r="FF162" i="33"/>
  <c r="FE162" i="33"/>
  <c r="FD162" i="33"/>
  <c r="FC162" i="33"/>
  <c r="FB162" i="33"/>
  <c r="FA162" i="33"/>
  <c r="EZ162" i="33"/>
  <c r="EY162" i="33"/>
  <c r="EX162" i="33"/>
  <c r="EW162" i="33"/>
  <c r="EV162" i="33"/>
  <c r="EU162" i="33"/>
  <c r="ET162" i="33"/>
  <c r="ES162" i="33"/>
  <c r="ER162" i="33"/>
  <c r="EQ162" i="33"/>
  <c r="EP162" i="33"/>
  <c r="EO162" i="33"/>
  <c r="EN162" i="33"/>
  <c r="EM162" i="33"/>
  <c r="EL162" i="33"/>
  <c r="EK162" i="33"/>
  <c r="EJ162" i="33"/>
  <c r="EI162" i="33"/>
  <c r="EH162" i="33"/>
  <c r="EG162" i="33"/>
  <c r="EF162" i="33"/>
  <c r="EE162" i="33"/>
  <c r="ED162" i="33"/>
  <c r="EC162" i="33"/>
  <c r="EB162" i="33"/>
  <c r="EA162" i="33"/>
  <c r="DZ162" i="33"/>
  <c r="DY162" i="33"/>
  <c r="DX162" i="33"/>
  <c r="DW162" i="33"/>
  <c r="DV162" i="33"/>
  <c r="DU162" i="33"/>
  <c r="DT162" i="33"/>
  <c r="DS162" i="33"/>
  <c r="DR162" i="33"/>
  <c r="DQ162" i="33"/>
  <c r="DP162" i="33"/>
  <c r="DO162" i="33"/>
  <c r="DN162" i="33"/>
  <c r="DM162" i="33"/>
  <c r="DL162" i="33"/>
  <c r="DK162" i="33"/>
  <c r="DJ162" i="33"/>
  <c r="DI162" i="33"/>
  <c r="DH162" i="33"/>
  <c r="DG162" i="33"/>
  <c r="DF162" i="33"/>
  <c r="DE162" i="33"/>
  <c r="DD162" i="33"/>
  <c r="DC162" i="33"/>
  <c r="DB162" i="33"/>
  <c r="DA162" i="33"/>
  <c r="CZ162" i="33"/>
  <c r="CY162" i="33"/>
  <c r="CX162" i="33"/>
  <c r="CW162" i="33"/>
  <c r="CV162" i="33"/>
  <c r="CU162" i="33"/>
  <c r="CT162" i="33"/>
  <c r="CS162" i="33"/>
  <c r="CR162" i="33"/>
  <c r="CQ162" i="33"/>
  <c r="CP162" i="33"/>
  <c r="CO162" i="33"/>
  <c r="CN162" i="33"/>
  <c r="CM162" i="33"/>
  <c r="CL162" i="33"/>
  <c r="CK162" i="33"/>
  <c r="CJ162" i="33"/>
  <c r="CI162" i="33"/>
  <c r="CH162" i="33"/>
  <c r="CG162" i="33"/>
  <c r="CF162" i="33"/>
  <c r="CE162" i="33"/>
  <c r="CD162" i="33"/>
  <c r="CC162" i="33"/>
  <c r="CB162" i="33"/>
  <c r="CA162" i="33"/>
  <c r="BZ162" i="33"/>
  <c r="BY162" i="33"/>
  <c r="BX162" i="33"/>
  <c r="BW162" i="33"/>
  <c r="BV162" i="33"/>
  <c r="BU162" i="33"/>
  <c r="BT162" i="33"/>
  <c r="BS162" i="33"/>
  <c r="BR162" i="33"/>
  <c r="BQ162" i="33"/>
  <c r="BP162" i="33"/>
  <c r="BO162" i="33"/>
  <c r="BN162" i="33"/>
  <c r="BM162" i="33"/>
  <c r="BL162" i="33"/>
  <c r="BK162" i="33"/>
  <c r="BJ162" i="33"/>
  <c r="BI162" i="33"/>
  <c r="BH162" i="33"/>
  <c r="BG162" i="33"/>
  <c r="BF162" i="33"/>
  <c r="BE162" i="33"/>
  <c r="BD162" i="33"/>
  <c r="BC162" i="33"/>
  <c r="BB162" i="33"/>
  <c r="BA162" i="33"/>
  <c r="AZ162" i="33"/>
  <c r="AY162" i="33"/>
  <c r="AX162" i="33"/>
  <c r="AW162" i="33"/>
  <c r="AV162" i="33"/>
  <c r="AU162" i="33"/>
  <c r="AT162" i="33"/>
  <c r="AS162" i="33"/>
  <c r="AR162" i="33"/>
  <c r="AQ162" i="33"/>
  <c r="AP162" i="33"/>
  <c r="AO162" i="33"/>
  <c r="AN162" i="33"/>
  <c r="AM162" i="33"/>
  <c r="AL162" i="33"/>
  <c r="AK162" i="33"/>
  <c r="AJ162" i="33"/>
  <c r="AI162" i="33"/>
  <c r="AH162" i="33"/>
  <c r="AG162" i="33"/>
  <c r="AF162" i="33"/>
  <c r="AE162" i="33"/>
  <c r="AD162" i="33"/>
  <c r="AC162" i="33"/>
  <c r="AB162" i="33"/>
  <c r="AA162" i="33"/>
  <c r="Z162" i="33"/>
  <c r="Y162" i="33"/>
  <c r="X162" i="33"/>
  <c r="W162" i="33"/>
  <c r="V162" i="33"/>
  <c r="U162" i="33"/>
  <c r="T162" i="33"/>
  <c r="S162" i="33"/>
  <c r="R162" i="33"/>
  <c r="Q162" i="33"/>
  <c r="P162" i="33"/>
  <c r="O162" i="33"/>
  <c r="N162" i="33"/>
  <c r="M162" i="33"/>
  <c r="L162" i="33"/>
  <c r="K162" i="33"/>
  <c r="J162" i="33"/>
  <c r="I162" i="33"/>
  <c r="H162" i="33"/>
  <c r="G162" i="33"/>
  <c r="F162" i="33"/>
  <c r="E162" i="33"/>
  <c r="D162" i="33"/>
  <c r="C162" i="33"/>
  <c r="B162" i="33"/>
  <c r="A162" i="33"/>
  <c r="IV161" i="33"/>
  <c r="IU161" i="33"/>
  <c r="IT161" i="33"/>
  <c r="IS161" i="33"/>
  <c r="IR161" i="33"/>
  <c r="IQ161" i="33"/>
  <c r="IP161" i="33"/>
  <c r="IO161" i="33"/>
  <c r="IN161" i="33"/>
  <c r="IM161" i="33"/>
  <c r="IL161" i="33"/>
  <c r="IK161" i="33"/>
  <c r="IJ161" i="33"/>
  <c r="II161" i="33"/>
  <c r="IH161" i="33"/>
  <c r="IG161" i="33"/>
  <c r="IF161" i="33"/>
  <c r="IE161" i="33"/>
  <c r="ID161" i="33"/>
  <c r="IC161" i="33"/>
  <c r="IB161" i="33"/>
  <c r="IA161" i="33"/>
  <c r="HZ161" i="33"/>
  <c r="HY161" i="33"/>
  <c r="HX161" i="33"/>
  <c r="HW161" i="33"/>
  <c r="HV161" i="33"/>
  <c r="HU161" i="33"/>
  <c r="HT161" i="33"/>
  <c r="HS161" i="33"/>
  <c r="HR161" i="33"/>
  <c r="HQ161" i="33"/>
  <c r="HP161" i="33"/>
  <c r="HO161" i="33"/>
  <c r="HN161" i="33"/>
  <c r="HM161" i="33"/>
  <c r="HL161" i="33"/>
  <c r="HK161" i="33"/>
  <c r="HJ161" i="33"/>
  <c r="HI161" i="33"/>
  <c r="HH161" i="33"/>
  <c r="HG161" i="33"/>
  <c r="HF161" i="33"/>
  <c r="HE161" i="33"/>
  <c r="HD161" i="33"/>
  <c r="HC161" i="33"/>
  <c r="HB161" i="33"/>
  <c r="HA161" i="33"/>
  <c r="GZ161" i="33"/>
  <c r="GY161" i="33"/>
  <c r="GX161" i="33"/>
  <c r="GW161" i="33"/>
  <c r="GV161" i="33"/>
  <c r="GU161" i="33"/>
  <c r="GT161" i="33"/>
  <c r="GS161" i="33"/>
  <c r="GR161" i="33"/>
  <c r="GQ161" i="33"/>
  <c r="GP161" i="33"/>
  <c r="GO161" i="33"/>
  <c r="GN161" i="33"/>
  <c r="GM161" i="33"/>
  <c r="GL161" i="33"/>
  <c r="GK161" i="33"/>
  <c r="GJ161" i="33"/>
  <c r="GI161" i="33"/>
  <c r="GH161" i="33"/>
  <c r="GG161" i="33"/>
  <c r="GF161" i="33"/>
  <c r="GE161" i="33"/>
  <c r="GD161" i="33"/>
  <c r="GC161" i="33"/>
  <c r="GB161" i="33"/>
  <c r="GA161" i="33"/>
  <c r="FZ161" i="33"/>
  <c r="FY161" i="33"/>
  <c r="FX161" i="33"/>
  <c r="FW161" i="33"/>
  <c r="FV161" i="33"/>
  <c r="FU161" i="33"/>
  <c r="FT161" i="33"/>
  <c r="FS161" i="33"/>
  <c r="FR161" i="33"/>
  <c r="FQ161" i="33"/>
  <c r="FP161" i="33"/>
  <c r="FO161" i="33"/>
  <c r="FN161" i="33"/>
  <c r="FM161" i="33"/>
  <c r="FL161" i="33"/>
  <c r="FK161" i="33"/>
  <c r="FJ161" i="33"/>
  <c r="FI161" i="33"/>
  <c r="FH161" i="33"/>
  <c r="FG161" i="33"/>
  <c r="FF161" i="33"/>
  <c r="FE161" i="33"/>
  <c r="FD161" i="33"/>
  <c r="FC161" i="33"/>
  <c r="FB161" i="33"/>
  <c r="FA161" i="33"/>
  <c r="EZ161" i="33"/>
  <c r="EY161" i="33"/>
  <c r="EX161" i="33"/>
  <c r="EW161" i="33"/>
  <c r="EV161" i="33"/>
  <c r="EU161" i="33"/>
  <c r="ET161" i="33"/>
  <c r="ES161" i="33"/>
  <c r="ER161" i="33"/>
  <c r="EQ161" i="33"/>
  <c r="EP161" i="33"/>
  <c r="EO161" i="33"/>
  <c r="EN161" i="33"/>
  <c r="EM161" i="33"/>
  <c r="EL161" i="33"/>
  <c r="EK161" i="33"/>
  <c r="EJ161" i="33"/>
  <c r="EI161" i="33"/>
  <c r="EH161" i="33"/>
  <c r="EG161" i="33"/>
  <c r="EF161" i="33"/>
  <c r="EE161" i="33"/>
  <c r="ED161" i="33"/>
  <c r="EC161" i="33"/>
  <c r="EB161" i="33"/>
  <c r="EA161" i="33"/>
  <c r="DZ161" i="33"/>
  <c r="DY161" i="33"/>
  <c r="DX161" i="33"/>
  <c r="DW161" i="33"/>
  <c r="DV161" i="33"/>
  <c r="DU161" i="33"/>
  <c r="DT161" i="33"/>
  <c r="DS161" i="33"/>
  <c r="DR161" i="33"/>
  <c r="DQ161" i="33"/>
  <c r="DP161" i="33"/>
  <c r="DO161" i="33"/>
  <c r="DN161" i="33"/>
  <c r="DM161" i="33"/>
  <c r="DL161" i="33"/>
  <c r="DK161" i="33"/>
  <c r="DJ161" i="33"/>
  <c r="DI161" i="33"/>
  <c r="DH161" i="33"/>
  <c r="DG161" i="33"/>
  <c r="DF161" i="33"/>
  <c r="DE161" i="33"/>
  <c r="DD161" i="33"/>
  <c r="DC161" i="33"/>
  <c r="DB161" i="33"/>
  <c r="DA161" i="33"/>
  <c r="CZ161" i="33"/>
  <c r="CY161" i="33"/>
  <c r="CX161" i="33"/>
  <c r="CW161" i="33"/>
  <c r="CV161" i="33"/>
  <c r="CU161" i="33"/>
  <c r="CT161" i="33"/>
  <c r="CS161" i="33"/>
  <c r="CR161" i="33"/>
  <c r="CQ161" i="33"/>
  <c r="CP161" i="33"/>
  <c r="CO161" i="33"/>
  <c r="CN161" i="33"/>
  <c r="CM161" i="33"/>
  <c r="CL161" i="33"/>
  <c r="CK161" i="33"/>
  <c r="CJ161" i="33"/>
  <c r="CI161" i="33"/>
  <c r="CH161" i="33"/>
  <c r="CG161" i="33"/>
  <c r="CF161" i="33"/>
  <c r="CE161" i="33"/>
  <c r="CD161" i="33"/>
  <c r="CC161" i="33"/>
  <c r="CB161" i="33"/>
  <c r="CA161" i="33"/>
  <c r="BZ161" i="33"/>
  <c r="BY161" i="33"/>
  <c r="BX161" i="33"/>
  <c r="BW161" i="33"/>
  <c r="BV161" i="33"/>
  <c r="BU161" i="33"/>
  <c r="BT161" i="33"/>
  <c r="BS161" i="33"/>
  <c r="BR161" i="33"/>
  <c r="BQ161" i="33"/>
  <c r="BP161" i="33"/>
  <c r="BO161" i="33"/>
  <c r="BN161" i="33"/>
  <c r="BM161" i="33"/>
  <c r="BL161" i="33"/>
  <c r="BK161" i="33"/>
  <c r="BJ161" i="33"/>
  <c r="BI161" i="33"/>
  <c r="BH161" i="33"/>
  <c r="BG161" i="33"/>
  <c r="BF161" i="33"/>
  <c r="BE161" i="33"/>
  <c r="BD161" i="33"/>
  <c r="BC161" i="33"/>
  <c r="BB161" i="33"/>
  <c r="BA161" i="33"/>
  <c r="AZ161" i="33"/>
  <c r="AY161" i="33"/>
  <c r="AX161" i="33"/>
  <c r="AW161" i="33"/>
  <c r="AV161" i="33"/>
  <c r="AU161" i="33"/>
  <c r="AT161" i="33"/>
  <c r="AS161" i="33"/>
  <c r="AR161" i="33"/>
  <c r="AQ161" i="33"/>
  <c r="AP161" i="33"/>
  <c r="AO161" i="33"/>
  <c r="AN161" i="33"/>
  <c r="AM161" i="33"/>
  <c r="AL161" i="33"/>
  <c r="AK161" i="33"/>
  <c r="AJ161" i="33"/>
  <c r="AI161" i="33"/>
  <c r="AH161" i="33"/>
  <c r="AG161" i="33"/>
  <c r="AF161" i="33"/>
  <c r="AE161" i="33"/>
  <c r="AD161" i="33"/>
  <c r="AC161" i="33"/>
  <c r="AB161" i="33"/>
  <c r="AA161" i="33"/>
  <c r="Z161" i="33"/>
  <c r="Y161" i="33"/>
  <c r="X161" i="33"/>
  <c r="W161" i="33"/>
  <c r="V161" i="33"/>
  <c r="U161" i="33"/>
  <c r="T161" i="33"/>
  <c r="S161" i="33"/>
  <c r="R161" i="33"/>
  <c r="Q161" i="33"/>
  <c r="P161" i="33"/>
  <c r="O161" i="33"/>
  <c r="N161" i="33"/>
  <c r="M161" i="33"/>
  <c r="L161" i="33"/>
  <c r="K161" i="33"/>
  <c r="J161" i="33"/>
  <c r="I161" i="33"/>
  <c r="H161" i="33"/>
  <c r="G161" i="33"/>
  <c r="F161" i="33"/>
  <c r="E161" i="33"/>
  <c r="D161" i="33"/>
  <c r="C161" i="33"/>
  <c r="B161" i="33"/>
  <c r="A161" i="33"/>
  <c r="IV160" i="33"/>
  <c r="IU160" i="33"/>
  <c r="IT160" i="33"/>
  <c r="IS160" i="33"/>
  <c r="IR160" i="33"/>
  <c r="IQ160" i="33"/>
  <c r="IP160" i="33"/>
  <c r="IO160" i="33"/>
  <c r="IN160" i="33"/>
  <c r="IM160" i="33"/>
  <c r="IL160" i="33"/>
  <c r="IK160" i="33"/>
  <c r="IJ160" i="33"/>
  <c r="II160" i="33"/>
  <c r="IH160" i="33"/>
  <c r="IG160" i="33"/>
  <c r="IF160" i="33"/>
  <c r="IE160" i="33"/>
  <c r="ID160" i="33"/>
  <c r="IC160" i="33"/>
  <c r="IB160" i="33"/>
  <c r="IA160" i="33"/>
  <c r="HZ160" i="33"/>
  <c r="HY160" i="33"/>
  <c r="HX160" i="33"/>
  <c r="HW160" i="33"/>
  <c r="HV160" i="33"/>
  <c r="HU160" i="33"/>
  <c r="HT160" i="33"/>
  <c r="HS160" i="33"/>
  <c r="HR160" i="33"/>
  <c r="HQ160" i="33"/>
  <c r="HP160" i="33"/>
  <c r="HO160" i="33"/>
  <c r="HN160" i="33"/>
  <c r="HM160" i="33"/>
  <c r="HL160" i="33"/>
  <c r="HK160" i="33"/>
  <c r="HJ160" i="33"/>
  <c r="HI160" i="33"/>
  <c r="HH160" i="33"/>
  <c r="HG160" i="33"/>
  <c r="HF160" i="33"/>
  <c r="HE160" i="33"/>
  <c r="HD160" i="33"/>
  <c r="HC160" i="33"/>
  <c r="HB160" i="33"/>
  <c r="HA160" i="33"/>
  <c r="GZ160" i="33"/>
  <c r="GY160" i="33"/>
  <c r="GX160" i="33"/>
  <c r="GW160" i="33"/>
  <c r="GV160" i="33"/>
  <c r="GU160" i="33"/>
  <c r="GT160" i="33"/>
  <c r="GS160" i="33"/>
  <c r="GR160" i="33"/>
  <c r="GQ160" i="33"/>
  <c r="GP160" i="33"/>
  <c r="GO160" i="33"/>
  <c r="GN160" i="33"/>
  <c r="GM160" i="33"/>
  <c r="GL160" i="33"/>
  <c r="GK160" i="33"/>
  <c r="GJ160" i="33"/>
  <c r="GI160" i="33"/>
  <c r="GH160" i="33"/>
  <c r="GG160" i="33"/>
  <c r="GF160" i="33"/>
  <c r="GE160" i="33"/>
  <c r="GD160" i="33"/>
  <c r="GC160" i="33"/>
  <c r="GB160" i="33"/>
  <c r="GA160" i="33"/>
  <c r="FZ160" i="33"/>
  <c r="FY160" i="33"/>
  <c r="FX160" i="33"/>
  <c r="FW160" i="33"/>
  <c r="FV160" i="33"/>
  <c r="FU160" i="33"/>
  <c r="FT160" i="33"/>
  <c r="FS160" i="33"/>
  <c r="FR160" i="33"/>
  <c r="FQ160" i="33"/>
  <c r="FP160" i="33"/>
  <c r="FO160" i="33"/>
  <c r="FN160" i="33"/>
  <c r="FM160" i="33"/>
  <c r="FL160" i="33"/>
  <c r="FK160" i="33"/>
  <c r="FJ160" i="33"/>
  <c r="FI160" i="33"/>
  <c r="FH160" i="33"/>
  <c r="FG160" i="33"/>
  <c r="FF160" i="33"/>
  <c r="FE160" i="33"/>
  <c r="FD160" i="33"/>
  <c r="FC160" i="33"/>
  <c r="FB160" i="33"/>
  <c r="FA160" i="33"/>
  <c r="EZ160" i="33"/>
  <c r="EY160" i="33"/>
  <c r="EX160" i="33"/>
  <c r="EW160" i="33"/>
  <c r="EV160" i="33"/>
  <c r="EU160" i="33"/>
  <c r="ET160" i="33"/>
  <c r="ES160" i="33"/>
  <c r="ER160" i="33"/>
  <c r="EQ160" i="33"/>
  <c r="EP160" i="33"/>
  <c r="EO160" i="33"/>
  <c r="EN160" i="33"/>
  <c r="EM160" i="33"/>
  <c r="EL160" i="33"/>
  <c r="EK160" i="33"/>
  <c r="EJ160" i="33"/>
  <c r="EI160" i="33"/>
  <c r="EH160" i="33"/>
  <c r="EG160" i="33"/>
  <c r="EF160" i="33"/>
  <c r="EE160" i="33"/>
  <c r="ED160" i="33"/>
  <c r="EC160" i="33"/>
  <c r="EB160" i="33"/>
  <c r="EA160" i="33"/>
  <c r="DZ160" i="33"/>
  <c r="DY160" i="33"/>
  <c r="DX160" i="33"/>
  <c r="DW160" i="33"/>
  <c r="DV160" i="33"/>
  <c r="DU160" i="33"/>
  <c r="DT160" i="33"/>
  <c r="DS160" i="33"/>
  <c r="DR160" i="33"/>
  <c r="DQ160" i="33"/>
  <c r="DP160" i="33"/>
  <c r="DO160" i="33"/>
  <c r="DN160" i="33"/>
  <c r="DM160" i="33"/>
  <c r="DL160" i="33"/>
  <c r="DK160" i="33"/>
  <c r="DJ160" i="33"/>
  <c r="DI160" i="33"/>
  <c r="DH160" i="33"/>
  <c r="DG160" i="33"/>
  <c r="DF160" i="33"/>
  <c r="DE160" i="33"/>
  <c r="DD160" i="33"/>
  <c r="DC160" i="33"/>
  <c r="DB160" i="33"/>
  <c r="DA160" i="33"/>
  <c r="CZ160" i="33"/>
  <c r="CY160" i="33"/>
  <c r="CX160" i="33"/>
  <c r="CW160" i="33"/>
  <c r="CV160" i="33"/>
  <c r="CU160" i="33"/>
  <c r="CT160" i="33"/>
  <c r="CS160" i="33"/>
  <c r="CR160" i="33"/>
  <c r="CQ160" i="33"/>
  <c r="CP160" i="33"/>
  <c r="CO160" i="33"/>
  <c r="CN160" i="33"/>
  <c r="CM160" i="33"/>
  <c r="CL160" i="33"/>
  <c r="CK160" i="33"/>
  <c r="CJ160" i="33"/>
  <c r="CI160" i="33"/>
  <c r="CH160" i="33"/>
  <c r="CG160" i="33"/>
  <c r="CF160" i="33"/>
  <c r="CE160" i="33"/>
  <c r="CD160" i="33"/>
  <c r="CC160" i="33"/>
  <c r="CB160" i="33"/>
  <c r="CA160" i="33"/>
  <c r="BZ160" i="33"/>
  <c r="BY160" i="33"/>
  <c r="BX160" i="33"/>
  <c r="BW160" i="33"/>
  <c r="BV160" i="33"/>
  <c r="BU160" i="33"/>
  <c r="BT160" i="33"/>
  <c r="BS160" i="33"/>
  <c r="BR160" i="33"/>
  <c r="BQ160" i="33"/>
  <c r="BP160" i="33"/>
  <c r="BO160" i="33"/>
  <c r="BN160" i="33"/>
  <c r="BM160" i="33"/>
  <c r="BL160" i="33"/>
  <c r="BK160" i="33"/>
  <c r="BJ160" i="33"/>
  <c r="BI160" i="33"/>
  <c r="BH160" i="33"/>
  <c r="BG160" i="33"/>
  <c r="BF160" i="33"/>
  <c r="BE160" i="33"/>
  <c r="BD160" i="33"/>
  <c r="BC160" i="33"/>
  <c r="BB160" i="33"/>
  <c r="BA160" i="33"/>
  <c r="AZ160" i="33"/>
  <c r="AY160" i="33"/>
  <c r="AX160" i="33"/>
  <c r="AW160" i="33"/>
  <c r="AV160" i="33"/>
  <c r="AU160" i="33"/>
  <c r="AT160" i="33"/>
  <c r="AS160" i="33"/>
  <c r="AR160" i="33"/>
  <c r="AQ160" i="33"/>
  <c r="AP160" i="33"/>
  <c r="AO160" i="33"/>
  <c r="AN160" i="33"/>
  <c r="AM160" i="33"/>
  <c r="AL160" i="33"/>
  <c r="AK160" i="33"/>
  <c r="AJ160" i="33"/>
  <c r="AI160" i="33"/>
  <c r="AH160" i="33"/>
  <c r="AG160" i="33"/>
  <c r="AF160" i="33"/>
  <c r="AE160" i="33"/>
  <c r="AD160" i="33"/>
  <c r="AC160" i="33"/>
  <c r="AB160" i="33"/>
  <c r="AA160" i="33"/>
  <c r="Z160" i="33"/>
  <c r="Y160" i="33"/>
  <c r="X160" i="33"/>
  <c r="W160" i="33"/>
  <c r="V160" i="33"/>
  <c r="U160" i="33"/>
  <c r="T160" i="33"/>
  <c r="S160" i="33"/>
  <c r="R160" i="33"/>
  <c r="Q160" i="33"/>
  <c r="P160" i="33"/>
  <c r="O160" i="33"/>
  <c r="N160" i="33"/>
  <c r="M160" i="33"/>
  <c r="L160" i="33"/>
  <c r="K160" i="33"/>
  <c r="J160" i="33"/>
  <c r="I160" i="33"/>
  <c r="H160" i="33"/>
  <c r="G160" i="33"/>
  <c r="F160" i="33"/>
  <c r="E160" i="33"/>
  <c r="D160" i="33"/>
  <c r="C160" i="33"/>
  <c r="B160" i="33"/>
  <c r="A160" i="33"/>
  <c r="IV159" i="33"/>
  <c r="IU159" i="33"/>
  <c r="IT159" i="33"/>
  <c r="IS159" i="33"/>
  <c r="IR159" i="33"/>
  <c r="IQ159" i="33"/>
  <c r="IP159" i="33"/>
  <c r="IO159" i="33"/>
  <c r="IN159" i="33"/>
  <c r="IM159" i="33"/>
  <c r="IL159" i="33"/>
  <c r="IK159" i="33"/>
  <c r="IJ159" i="33"/>
  <c r="II159" i="33"/>
  <c r="IH159" i="33"/>
  <c r="IG159" i="33"/>
  <c r="IF159" i="33"/>
  <c r="IE159" i="33"/>
  <c r="ID159" i="33"/>
  <c r="IC159" i="33"/>
  <c r="IB159" i="33"/>
  <c r="IA159" i="33"/>
  <c r="HZ159" i="33"/>
  <c r="HY159" i="33"/>
  <c r="HX159" i="33"/>
  <c r="HW159" i="33"/>
  <c r="HV159" i="33"/>
  <c r="HU159" i="33"/>
  <c r="HT159" i="33"/>
  <c r="HS159" i="33"/>
  <c r="HR159" i="33"/>
  <c r="HQ159" i="33"/>
  <c r="HP159" i="33"/>
  <c r="HO159" i="33"/>
  <c r="HN159" i="33"/>
  <c r="HM159" i="33"/>
  <c r="HL159" i="33"/>
  <c r="HK159" i="33"/>
  <c r="HJ159" i="33"/>
  <c r="HI159" i="33"/>
  <c r="HH159" i="33"/>
  <c r="HG159" i="33"/>
  <c r="HF159" i="33"/>
  <c r="HE159" i="33"/>
  <c r="HD159" i="33"/>
  <c r="HC159" i="33"/>
  <c r="HB159" i="33"/>
  <c r="HA159" i="33"/>
  <c r="GZ159" i="33"/>
  <c r="GY159" i="33"/>
  <c r="GX159" i="33"/>
  <c r="GW159" i="33"/>
  <c r="GV159" i="33"/>
  <c r="GU159" i="33"/>
  <c r="GT159" i="33"/>
  <c r="GS159" i="33"/>
  <c r="GR159" i="33"/>
  <c r="GQ159" i="33"/>
  <c r="GP159" i="33"/>
  <c r="GO159" i="33"/>
  <c r="GN159" i="33"/>
  <c r="GM159" i="33"/>
  <c r="GL159" i="33"/>
  <c r="GK159" i="33"/>
  <c r="GJ159" i="33"/>
  <c r="GI159" i="33"/>
  <c r="GH159" i="33"/>
  <c r="GG159" i="33"/>
  <c r="GF159" i="33"/>
  <c r="GE159" i="33"/>
  <c r="GD159" i="33"/>
  <c r="GC159" i="33"/>
  <c r="GB159" i="33"/>
  <c r="GA159" i="33"/>
  <c r="FZ159" i="33"/>
  <c r="FY159" i="33"/>
  <c r="FX159" i="33"/>
  <c r="FW159" i="33"/>
  <c r="FV159" i="33"/>
  <c r="FU159" i="33"/>
  <c r="FT159" i="33"/>
  <c r="FS159" i="33"/>
  <c r="FR159" i="33"/>
  <c r="FQ159" i="33"/>
  <c r="FP159" i="33"/>
  <c r="FO159" i="33"/>
  <c r="FN159" i="33"/>
  <c r="FM159" i="33"/>
  <c r="FL159" i="33"/>
  <c r="FK159" i="33"/>
  <c r="FJ159" i="33"/>
  <c r="FI159" i="33"/>
  <c r="FH159" i="33"/>
  <c r="FG159" i="33"/>
  <c r="FF159" i="33"/>
  <c r="FE159" i="33"/>
  <c r="FD159" i="33"/>
  <c r="FC159" i="33"/>
  <c r="FB159" i="33"/>
  <c r="FA159" i="33"/>
  <c r="EZ159" i="33"/>
  <c r="EY159" i="33"/>
  <c r="EX159" i="33"/>
  <c r="EW159" i="33"/>
  <c r="EV159" i="33"/>
  <c r="EU159" i="33"/>
  <c r="ET159" i="33"/>
  <c r="ES159" i="33"/>
  <c r="ER159" i="33"/>
  <c r="EQ159" i="33"/>
  <c r="EP159" i="33"/>
  <c r="EO159" i="33"/>
  <c r="EN159" i="33"/>
  <c r="EM159" i="33"/>
  <c r="EL159" i="33"/>
  <c r="EK159" i="33"/>
  <c r="EJ159" i="33"/>
  <c r="EI159" i="33"/>
  <c r="EH159" i="33"/>
  <c r="EG159" i="33"/>
  <c r="EF159" i="33"/>
  <c r="EE159" i="33"/>
  <c r="ED159" i="33"/>
  <c r="EC159" i="33"/>
  <c r="EB159" i="33"/>
  <c r="EA159" i="33"/>
  <c r="DZ159" i="33"/>
  <c r="DY159" i="33"/>
  <c r="DX159" i="33"/>
  <c r="DW159" i="33"/>
  <c r="DV159" i="33"/>
  <c r="DU159" i="33"/>
  <c r="DT159" i="33"/>
  <c r="DS159" i="33"/>
  <c r="DR159" i="33"/>
  <c r="DQ159" i="33"/>
  <c r="DP159" i="33"/>
  <c r="DO159" i="33"/>
  <c r="DN159" i="33"/>
  <c r="DM159" i="33"/>
  <c r="DL159" i="33"/>
  <c r="DK159" i="33"/>
  <c r="DJ159" i="33"/>
  <c r="DI159" i="33"/>
  <c r="DH159" i="33"/>
  <c r="DG159" i="33"/>
  <c r="DF159" i="33"/>
  <c r="DE159" i="33"/>
  <c r="DD159" i="33"/>
  <c r="DC159" i="33"/>
  <c r="DB159" i="33"/>
  <c r="DA159" i="33"/>
  <c r="CZ159" i="33"/>
  <c r="CY159" i="33"/>
  <c r="CX159" i="33"/>
  <c r="CW159" i="33"/>
  <c r="CV159" i="33"/>
  <c r="CU159" i="33"/>
  <c r="CT159" i="33"/>
  <c r="CS159" i="33"/>
  <c r="CR159" i="33"/>
  <c r="CQ159" i="33"/>
  <c r="CP159" i="33"/>
  <c r="CO159" i="33"/>
  <c r="CN159" i="33"/>
  <c r="CM159" i="33"/>
  <c r="CL159" i="33"/>
  <c r="CK159" i="33"/>
  <c r="CJ159" i="33"/>
  <c r="CI159" i="33"/>
  <c r="CH159" i="33"/>
  <c r="CG159" i="33"/>
  <c r="CF159" i="33"/>
  <c r="CE159" i="33"/>
  <c r="CD159" i="33"/>
  <c r="CC159" i="33"/>
  <c r="CB159" i="33"/>
  <c r="CA159" i="33"/>
  <c r="BZ159" i="33"/>
  <c r="BY159" i="33"/>
  <c r="BX159" i="33"/>
  <c r="BW159" i="33"/>
  <c r="BV159" i="33"/>
  <c r="BU159" i="33"/>
  <c r="BT159" i="33"/>
  <c r="BS159" i="33"/>
  <c r="BR159" i="33"/>
  <c r="BQ159" i="33"/>
  <c r="BP159" i="33"/>
  <c r="BO159" i="33"/>
  <c r="BN159" i="33"/>
  <c r="BM159" i="33"/>
  <c r="BL159" i="33"/>
  <c r="BK159" i="33"/>
  <c r="BJ159" i="33"/>
  <c r="BI159" i="33"/>
  <c r="BH159" i="33"/>
  <c r="BG159" i="33"/>
  <c r="BF159" i="33"/>
  <c r="BE159" i="33"/>
  <c r="BD159" i="33"/>
  <c r="BC159" i="33"/>
  <c r="BB159" i="33"/>
  <c r="BA159" i="33"/>
  <c r="AZ159" i="33"/>
  <c r="AY159" i="33"/>
  <c r="AX159" i="33"/>
  <c r="AW159" i="33"/>
  <c r="AV159" i="33"/>
  <c r="AU159" i="33"/>
  <c r="AT159" i="33"/>
  <c r="AS159" i="33"/>
  <c r="AR159" i="33"/>
  <c r="AQ159" i="33"/>
  <c r="AP159" i="33"/>
  <c r="AO159" i="33"/>
  <c r="AN159" i="33"/>
  <c r="AM159" i="33"/>
  <c r="AL159" i="33"/>
  <c r="AK159" i="33"/>
  <c r="AJ159" i="33"/>
  <c r="AI159" i="33"/>
  <c r="AH159" i="33"/>
  <c r="AG159" i="33"/>
  <c r="AF159" i="33"/>
  <c r="AE159" i="33"/>
  <c r="AD159" i="33"/>
  <c r="AC159" i="33"/>
  <c r="AB159" i="33"/>
  <c r="AA159" i="33"/>
  <c r="Z159" i="33"/>
  <c r="Y159" i="33"/>
  <c r="X159" i="33"/>
  <c r="W159" i="33"/>
  <c r="V159" i="33"/>
  <c r="U159" i="33"/>
  <c r="T159" i="33"/>
  <c r="S159" i="33"/>
  <c r="R159" i="33"/>
  <c r="Q159" i="33"/>
  <c r="P159" i="33"/>
  <c r="O159" i="33"/>
  <c r="N159" i="33"/>
  <c r="M159" i="33"/>
  <c r="L159" i="33"/>
  <c r="K159" i="33"/>
  <c r="J159" i="33"/>
  <c r="I159" i="33"/>
  <c r="H159" i="33"/>
  <c r="G159" i="33"/>
  <c r="F159" i="33"/>
  <c r="E159" i="33"/>
  <c r="D159" i="33"/>
  <c r="C159" i="33"/>
  <c r="B159" i="33"/>
  <c r="A159" i="33"/>
  <c r="IV158" i="33"/>
  <c r="IU158" i="33"/>
  <c r="IT158" i="33"/>
  <c r="IS158" i="33"/>
  <c r="IR158" i="33"/>
  <c r="IQ158" i="33"/>
  <c r="IP158" i="33"/>
  <c r="IO158" i="33"/>
  <c r="IN158" i="33"/>
  <c r="IM158" i="33"/>
  <c r="IL158" i="33"/>
  <c r="IK158" i="33"/>
  <c r="IJ158" i="33"/>
  <c r="II158" i="33"/>
  <c r="IH158" i="33"/>
  <c r="IG158" i="33"/>
  <c r="IF158" i="33"/>
  <c r="IE158" i="33"/>
  <c r="ID158" i="33"/>
  <c r="IC158" i="33"/>
  <c r="IB158" i="33"/>
  <c r="IA158" i="33"/>
  <c r="HZ158" i="33"/>
  <c r="HY158" i="33"/>
  <c r="HX158" i="33"/>
  <c r="HW158" i="33"/>
  <c r="HV158" i="33"/>
  <c r="HU158" i="33"/>
  <c r="HT158" i="33"/>
  <c r="HS158" i="33"/>
  <c r="HR158" i="33"/>
  <c r="HQ158" i="33"/>
  <c r="HP158" i="33"/>
  <c r="HO158" i="33"/>
  <c r="HN158" i="33"/>
  <c r="HM158" i="33"/>
  <c r="HL158" i="33"/>
  <c r="HK158" i="33"/>
  <c r="HJ158" i="33"/>
  <c r="HI158" i="33"/>
  <c r="HH158" i="33"/>
  <c r="HG158" i="33"/>
  <c r="HF158" i="33"/>
  <c r="HE158" i="33"/>
  <c r="HD158" i="33"/>
  <c r="HC158" i="33"/>
  <c r="HB158" i="33"/>
  <c r="HA158" i="33"/>
  <c r="GZ158" i="33"/>
  <c r="GY158" i="33"/>
  <c r="GX158" i="33"/>
  <c r="GW158" i="33"/>
  <c r="GV158" i="33"/>
  <c r="GU158" i="33"/>
  <c r="GT158" i="33"/>
  <c r="GS158" i="33"/>
  <c r="GR158" i="33"/>
  <c r="GQ158" i="33"/>
  <c r="GP158" i="33"/>
  <c r="GO158" i="33"/>
  <c r="GN158" i="33"/>
  <c r="GM158" i="33"/>
  <c r="GL158" i="33"/>
  <c r="GK158" i="33"/>
  <c r="GJ158" i="33"/>
  <c r="GI158" i="33"/>
  <c r="GH158" i="33"/>
  <c r="GG158" i="33"/>
  <c r="GF158" i="33"/>
  <c r="GE158" i="33"/>
  <c r="GD158" i="33"/>
  <c r="GC158" i="33"/>
  <c r="GB158" i="33"/>
  <c r="GA158" i="33"/>
  <c r="FZ158" i="33"/>
  <c r="FY158" i="33"/>
  <c r="FX158" i="33"/>
  <c r="FW158" i="33"/>
  <c r="FV158" i="33"/>
  <c r="FU158" i="33"/>
  <c r="FT158" i="33"/>
  <c r="FS158" i="33"/>
  <c r="FR158" i="33"/>
  <c r="FQ158" i="33"/>
  <c r="FP158" i="33"/>
  <c r="FO158" i="33"/>
  <c r="FN158" i="33"/>
  <c r="FM158" i="33"/>
  <c r="FL158" i="33"/>
  <c r="FK158" i="33"/>
  <c r="FJ158" i="33"/>
  <c r="FI158" i="33"/>
  <c r="FH158" i="33"/>
  <c r="FG158" i="33"/>
  <c r="FF158" i="33"/>
  <c r="FE158" i="33"/>
  <c r="FD158" i="33"/>
  <c r="FC158" i="33"/>
  <c r="FB158" i="33"/>
  <c r="FA158" i="33"/>
  <c r="EZ158" i="33"/>
  <c r="EY158" i="33"/>
  <c r="EX158" i="33"/>
  <c r="EW158" i="33"/>
  <c r="EV158" i="33"/>
  <c r="EU158" i="33"/>
  <c r="ET158" i="33"/>
  <c r="ES158" i="33"/>
  <c r="ER158" i="33"/>
  <c r="EQ158" i="33"/>
  <c r="EP158" i="33"/>
  <c r="EO158" i="33"/>
  <c r="EN158" i="33"/>
  <c r="EM158" i="33"/>
  <c r="EL158" i="33"/>
  <c r="EK158" i="33"/>
  <c r="EJ158" i="33"/>
  <c r="EI158" i="33"/>
  <c r="EH158" i="33"/>
  <c r="EG158" i="33"/>
  <c r="EF158" i="33"/>
  <c r="EE158" i="33"/>
  <c r="ED158" i="33"/>
  <c r="EC158" i="33"/>
  <c r="EB158" i="33"/>
  <c r="EA158" i="33"/>
  <c r="DZ158" i="33"/>
  <c r="DY158" i="33"/>
  <c r="DX158" i="33"/>
  <c r="DW158" i="33"/>
  <c r="DV158" i="33"/>
  <c r="DU158" i="33"/>
  <c r="DT158" i="33"/>
  <c r="DS158" i="33"/>
  <c r="DR158" i="33"/>
  <c r="DQ158" i="33"/>
  <c r="DP158" i="33"/>
  <c r="DO158" i="33"/>
  <c r="DN158" i="33"/>
  <c r="DM158" i="33"/>
  <c r="DL158" i="33"/>
  <c r="DK158" i="33"/>
  <c r="DJ158" i="33"/>
  <c r="DI158" i="33"/>
  <c r="DH158" i="33"/>
  <c r="DG158" i="33"/>
  <c r="DF158" i="33"/>
  <c r="DE158" i="33"/>
  <c r="DD158" i="33"/>
  <c r="DC158" i="33"/>
  <c r="DB158" i="33"/>
  <c r="DA158" i="33"/>
  <c r="CZ158" i="33"/>
  <c r="CY158" i="33"/>
  <c r="CX158" i="33"/>
  <c r="CW158" i="33"/>
  <c r="CV158" i="33"/>
  <c r="CU158" i="33"/>
  <c r="CT158" i="33"/>
  <c r="CS158" i="33"/>
  <c r="CR158" i="33"/>
  <c r="CQ158" i="33"/>
  <c r="CP158" i="33"/>
  <c r="CO158" i="33"/>
  <c r="CN158" i="33"/>
  <c r="CM158" i="33"/>
  <c r="CL158" i="33"/>
  <c r="CK158" i="33"/>
  <c r="CJ158" i="33"/>
  <c r="CI158" i="33"/>
  <c r="CH158" i="33"/>
  <c r="CG158" i="33"/>
  <c r="CF158" i="33"/>
  <c r="CE158" i="33"/>
  <c r="CD158" i="33"/>
  <c r="CC158" i="33"/>
  <c r="CB158" i="33"/>
  <c r="CA158" i="33"/>
  <c r="BZ158" i="33"/>
  <c r="BY158" i="33"/>
  <c r="BX158" i="33"/>
  <c r="BW158" i="33"/>
  <c r="BV158" i="33"/>
  <c r="BU158" i="33"/>
  <c r="BT158" i="33"/>
  <c r="BS158" i="33"/>
  <c r="BR158" i="33"/>
  <c r="BQ158" i="33"/>
  <c r="BP158" i="33"/>
  <c r="BO158" i="33"/>
  <c r="BN158" i="33"/>
  <c r="BM158" i="33"/>
  <c r="BL158" i="33"/>
  <c r="BK158" i="33"/>
  <c r="BJ158" i="33"/>
  <c r="BI158" i="33"/>
  <c r="BH158" i="33"/>
  <c r="BG158" i="33"/>
  <c r="BF158" i="33"/>
  <c r="BE158" i="33"/>
  <c r="BD158" i="33"/>
  <c r="BC158" i="33"/>
  <c r="BB158" i="33"/>
  <c r="BA158" i="33"/>
  <c r="AZ158" i="33"/>
  <c r="AY158" i="33"/>
  <c r="AX158" i="33"/>
  <c r="AW158" i="33"/>
  <c r="AV158" i="33"/>
  <c r="AU158" i="33"/>
  <c r="AT158" i="33"/>
  <c r="AS158" i="33"/>
  <c r="AR158" i="33"/>
  <c r="AQ158" i="33"/>
  <c r="AP158" i="33"/>
  <c r="AO158" i="33"/>
  <c r="AN158" i="33"/>
  <c r="AM158" i="33"/>
  <c r="AL158" i="33"/>
  <c r="AK158" i="33"/>
  <c r="AJ158" i="33"/>
  <c r="AI158" i="33"/>
  <c r="AH158" i="33"/>
  <c r="AG158" i="33"/>
  <c r="AF158" i="33"/>
  <c r="AE158" i="33"/>
  <c r="AD158" i="33"/>
  <c r="AC158" i="33"/>
  <c r="AB158" i="33"/>
  <c r="AA158" i="33"/>
  <c r="Z158" i="33"/>
  <c r="Y158" i="33"/>
  <c r="X158" i="33"/>
  <c r="W158" i="33"/>
  <c r="V158" i="33"/>
  <c r="U158" i="33"/>
  <c r="T158" i="33"/>
  <c r="S158" i="33"/>
  <c r="R158" i="33"/>
  <c r="Q158" i="33"/>
  <c r="P158" i="33"/>
  <c r="O158" i="33"/>
  <c r="N158" i="33"/>
  <c r="M158" i="33"/>
  <c r="L158" i="33"/>
  <c r="K158" i="33"/>
  <c r="J158" i="33"/>
  <c r="I158" i="33"/>
  <c r="H158" i="33"/>
  <c r="G158" i="33"/>
  <c r="F158" i="33"/>
  <c r="E158" i="33"/>
  <c r="D158" i="33"/>
  <c r="C158" i="33"/>
  <c r="B158" i="33"/>
  <c r="A158" i="33"/>
  <c r="IV157" i="33"/>
  <c r="IU157" i="33"/>
  <c r="IT157" i="33"/>
  <c r="IS157" i="33"/>
  <c r="IR157" i="33"/>
  <c r="IQ157" i="33"/>
  <c r="IP157" i="33"/>
  <c r="IO157" i="33"/>
  <c r="IN157" i="33"/>
  <c r="IM157" i="33"/>
  <c r="IL157" i="33"/>
  <c r="IK157" i="33"/>
  <c r="IJ157" i="33"/>
  <c r="II157" i="33"/>
  <c r="IH157" i="33"/>
  <c r="IG157" i="33"/>
  <c r="IF157" i="33"/>
  <c r="IE157" i="33"/>
  <c r="ID157" i="33"/>
  <c r="IC157" i="33"/>
  <c r="IB157" i="33"/>
  <c r="IA157" i="33"/>
  <c r="HZ157" i="33"/>
  <c r="HY157" i="33"/>
  <c r="HX157" i="33"/>
  <c r="HW157" i="33"/>
  <c r="HV157" i="33"/>
  <c r="HU157" i="33"/>
  <c r="HT157" i="33"/>
  <c r="HS157" i="33"/>
  <c r="HR157" i="33"/>
  <c r="HQ157" i="33"/>
  <c r="HP157" i="33"/>
  <c r="HO157" i="33"/>
  <c r="HN157" i="33"/>
  <c r="HM157" i="33"/>
  <c r="HL157" i="33"/>
  <c r="HK157" i="33"/>
  <c r="HJ157" i="33"/>
  <c r="HI157" i="33"/>
  <c r="HH157" i="33"/>
  <c r="HG157" i="33"/>
  <c r="HF157" i="33"/>
  <c r="HE157" i="33"/>
  <c r="HD157" i="33"/>
  <c r="HC157" i="33"/>
  <c r="HB157" i="33"/>
  <c r="HA157" i="33"/>
  <c r="GZ157" i="33"/>
  <c r="GY157" i="33"/>
  <c r="GX157" i="33"/>
  <c r="GW157" i="33"/>
  <c r="GV157" i="33"/>
  <c r="GU157" i="33"/>
  <c r="GT157" i="33"/>
  <c r="GS157" i="33"/>
  <c r="GR157" i="33"/>
  <c r="GQ157" i="33"/>
  <c r="GP157" i="33"/>
  <c r="GO157" i="33"/>
  <c r="GN157" i="33"/>
  <c r="GM157" i="33"/>
  <c r="GL157" i="33"/>
  <c r="GK157" i="33"/>
  <c r="GJ157" i="33"/>
  <c r="GI157" i="33"/>
  <c r="GH157" i="33"/>
  <c r="GG157" i="33"/>
  <c r="GF157" i="33"/>
  <c r="GE157" i="33"/>
  <c r="GD157" i="33"/>
  <c r="GC157" i="33"/>
  <c r="GB157" i="33"/>
  <c r="GA157" i="33"/>
  <c r="FZ157" i="33"/>
  <c r="FY157" i="33"/>
  <c r="FX157" i="33"/>
  <c r="FW157" i="33"/>
  <c r="FV157" i="33"/>
  <c r="FU157" i="33"/>
  <c r="FT157" i="33"/>
  <c r="FS157" i="33"/>
  <c r="FR157" i="33"/>
  <c r="FQ157" i="33"/>
  <c r="FP157" i="33"/>
  <c r="FO157" i="33"/>
  <c r="FN157" i="33"/>
  <c r="FM157" i="33"/>
  <c r="FL157" i="33"/>
  <c r="FK157" i="33"/>
  <c r="FJ157" i="33"/>
  <c r="FI157" i="33"/>
  <c r="FH157" i="33"/>
  <c r="FG157" i="33"/>
  <c r="FF157" i="33"/>
  <c r="FE157" i="33"/>
  <c r="FD157" i="33"/>
  <c r="FC157" i="33"/>
  <c r="FB157" i="33"/>
  <c r="FA157" i="33"/>
  <c r="EZ157" i="33"/>
  <c r="EY157" i="33"/>
  <c r="EX157" i="33"/>
  <c r="EW157" i="33"/>
  <c r="EV157" i="33"/>
  <c r="EU157" i="33"/>
  <c r="ET157" i="33"/>
  <c r="ES157" i="33"/>
  <c r="ER157" i="33"/>
  <c r="EQ157" i="33"/>
  <c r="EP157" i="33"/>
  <c r="EO157" i="33"/>
  <c r="EN157" i="33"/>
  <c r="EM157" i="33"/>
  <c r="EL157" i="33"/>
  <c r="EK157" i="33"/>
  <c r="EJ157" i="33"/>
  <c r="EI157" i="33"/>
  <c r="EH157" i="33"/>
  <c r="EG157" i="33"/>
  <c r="EF157" i="33"/>
  <c r="EE157" i="33"/>
  <c r="ED157" i="33"/>
  <c r="EC157" i="33"/>
  <c r="EB157" i="33"/>
  <c r="EA157" i="33"/>
  <c r="DZ157" i="33"/>
  <c r="DY157" i="33"/>
  <c r="DX157" i="33"/>
  <c r="DW157" i="33"/>
  <c r="DV157" i="33"/>
  <c r="DU157" i="33"/>
  <c r="DT157" i="33"/>
  <c r="DS157" i="33"/>
  <c r="DR157" i="33"/>
  <c r="DQ157" i="33"/>
  <c r="DP157" i="33"/>
  <c r="DO157" i="33"/>
  <c r="DN157" i="33"/>
  <c r="DM157" i="33"/>
  <c r="DL157" i="33"/>
  <c r="DK157" i="33"/>
  <c r="DJ157" i="33"/>
  <c r="DI157" i="33"/>
  <c r="DH157" i="33"/>
  <c r="DG157" i="33"/>
  <c r="DF157" i="33"/>
  <c r="DE157" i="33"/>
  <c r="DD157" i="33"/>
  <c r="DC157" i="33"/>
  <c r="DB157" i="33"/>
  <c r="DA157" i="33"/>
  <c r="CZ157" i="33"/>
  <c r="CY157" i="33"/>
  <c r="CX157" i="33"/>
  <c r="CW157" i="33"/>
  <c r="CV157" i="33"/>
  <c r="CU157" i="33"/>
  <c r="CT157" i="33"/>
  <c r="CS157" i="33"/>
  <c r="CR157" i="33"/>
  <c r="CQ157" i="33"/>
  <c r="CP157" i="33"/>
  <c r="CO157" i="33"/>
  <c r="CN157" i="33"/>
  <c r="CM157" i="33"/>
  <c r="CL157" i="33"/>
  <c r="CK157" i="33"/>
  <c r="CJ157" i="33"/>
  <c r="CI157" i="33"/>
  <c r="CH157" i="33"/>
  <c r="CG157" i="33"/>
  <c r="CF157" i="33"/>
  <c r="CE157" i="33"/>
  <c r="CD157" i="33"/>
  <c r="CC157" i="33"/>
  <c r="CB157" i="33"/>
  <c r="CA157" i="33"/>
  <c r="BZ157" i="33"/>
  <c r="BY157" i="33"/>
  <c r="BX157" i="33"/>
  <c r="BW157" i="33"/>
  <c r="BV157" i="33"/>
  <c r="BU157" i="33"/>
  <c r="BT157" i="33"/>
  <c r="BS157" i="33"/>
  <c r="BR157" i="33"/>
  <c r="BQ157" i="33"/>
  <c r="BP157" i="33"/>
  <c r="BO157" i="33"/>
  <c r="BN157" i="33"/>
  <c r="BM157" i="33"/>
  <c r="BL157" i="33"/>
  <c r="BK157" i="33"/>
  <c r="BJ157" i="33"/>
  <c r="BI157" i="33"/>
  <c r="BH157" i="33"/>
  <c r="BG157" i="33"/>
  <c r="BF157" i="33"/>
  <c r="BE157" i="33"/>
  <c r="BD157" i="33"/>
  <c r="BC157" i="33"/>
  <c r="BB157" i="33"/>
  <c r="BA157" i="33"/>
  <c r="AZ157" i="33"/>
  <c r="AY157" i="33"/>
  <c r="AX157" i="33"/>
  <c r="AW157" i="33"/>
  <c r="AV157" i="33"/>
  <c r="AU157" i="33"/>
  <c r="AT157" i="33"/>
  <c r="AS157" i="33"/>
  <c r="AR157" i="33"/>
  <c r="AQ157" i="33"/>
  <c r="AP157" i="33"/>
  <c r="AO157" i="33"/>
  <c r="AN157" i="33"/>
  <c r="AM157" i="33"/>
  <c r="AL157" i="33"/>
  <c r="AK157" i="33"/>
  <c r="AJ157" i="33"/>
  <c r="AI157" i="33"/>
  <c r="AH157" i="33"/>
  <c r="AG157" i="33"/>
  <c r="AF157" i="33"/>
  <c r="AE157" i="33"/>
  <c r="AD157" i="33"/>
  <c r="AC157" i="33"/>
  <c r="AB157" i="33"/>
  <c r="AA157" i="33"/>
  <c r="Z157" i="33"/>
  <c r="Y157" i="33"/>
  <c r="X157" i="33"/>
  <c r="W157" i="33"/>
  <c r="V157" i="33"/>
  <c r="U157" i="33"/>
  <c r="T157" i="33"/>
  <c r="S157" i="33"/>
  <c r="R157" i="33"/>
  <c r="Q157" i="33"/>
  <c r="P157" i="33"/>
  <c r="O157" i="33"/>
  <c r="N157" i="33"/>
  <c r="M157" i="33"/>
  <c r="L157" i="33"/>
  <c r="K157" i="33"/>
  <c r="J157" i="33"/>
  <c r="I157" i="33"/>
  <c r="H157" i="33"/>
  <c r="G157" i="33"/>
  <c r="F157" i="33"/>
  <c r="E157" i="33"/>
  <c r="D157" i="33"/>
  <c r="C157" i="33"/>
  <c r="B157" i="33"/>
  <c r="A157" i="33"/>
  <c r="IV156" i="33"/>
  <c r="IU156" i="33"/>
  <c r="IT156" i="33"/>
  <c r="IS156" i="33"/>
  <c r="IR156" i="33"/>
  <c r="IQ156" i="33"/>
  <c r="IP156" i="33"/>
  <c r="IO156" i="33"/>
  <c r="IN156" i="33"/>
  <c r="IM156" i="33"/>
  <c r="IL156" i="33"/>
  <c r="IK156" i="33"/>
  <c r="IJ156" i="33"/>
  <c r="II156" i="33"/>
  <c r="IH156" i="33"/>
  <c r="IG156" i="33"/>
  <c r="IF156" i="33"/>
  <c r="IE156" i="33"/>
  <c r="ID156" i="33"/>
  <c r="IC156" i="33"/>
  <c r="IB156" i="33"/>
  <c r="IA156" i="33"/>
  <c r="HZ156" i="33"/>
  <c r="HY156" i="33"/>
  <c r="HX156" i="33"/>
  <c r="HW156" i="33"/>
  <c r="HV156" i="33"/>
  <c r="HU156" i="33"/>
  <c r="HT156" i="33"/>
  <c r="HS156" i="33"/>
  <c r="HR156" i="33"/>
  <c r="HQ156" i="33"/>
  <c r="HP156" i="33"/>
  <c r="HO156" i="33"/>
  <c r="HN156" i="33"/>
  <c r="HM156" i="33"/>
  <c r="HL156" i="33"/>
  <c r="HK156" i="33"/>
  <c r="HJ156" i="33"/>
  <c r="HI156" i="33"/>
  <c r="HH156" i="33"/>
  <c r="HG156" i="33"/>
  <c r="HF156" i="33"/>
  <c r="HE156" i="33"/>
  <c r="HD156" i="33"/>
  <c r="HC156" i="33"/>
  <c r="HB156" i="33"/>
  <c r="HA156" i="33"/>
  <c r="GZ156" i="33"/>
  <c r="GY156" i="33"/>
  <c r="GX156" i="33"/>
  <c r="GW156" i="33"/>
  <c r="GV156" i="33"/>
  <c r="GU156" i="33"/>
  <c r="GT156" i="33"/>
  <c r="GS156" i="33"/>
  <c r="GR156" i="33"/>
  <c r="GQ156" i="33"/>
  <c r="GP156" i="33"/>
  <c r="GO156" i="33"/>
  <c r="GN156" i="33"/>
  <c r="GM156" i="33"/>
  <c r="GL156" i="33"/>
  <c r="GK156" i="33"/>
  <c r="GJ156" i="33"/>
  <c r="GI156" i="33"/>
  <c r="GH156" i="33"/>
  <c r="GG156" i="33"/>
  <c r="GF156" i="33"/>
  <c r="GE156" i="33"/>
  <c r="GD156" i="33"/>
  <c r="GC156" i="33"/>
  <c r="GB156" i="33"/>
  <c r="GA156" i="33"/>
  <c r="FZ156" i="33"/>
  <c r="FY156" i="33"/>
  <c r="FX156" i="33"/>
  <c r="FW156" i="33"/>
  <c r="FV156" i="33"/>
  <c r="FU156" i="33"/>
  <c r="FT156" i="33"/>
  <c r="FS156" i="33"/>
  <c r="FR156" i="33"/>
  <c r="FQ156" i="33"/>
  <c r="FP156" i="33"/>
  <c r="FO156" i="33"/>
  <c r="FN156" i="33"/>
  <c r="FM156" i="33"/>
  <c r="FL156" i="33"/>
  <c r="FK156" i="33"/>
  <c r="FJ156" i="33"/>
  <c r="FI156" i="33"/>
  <c r="FH156" i="33"/>
  <c r="FG156" i="33"/>
  <c r="FF156" i="33"/>
  <c r="FE156" i="33"/>
  <c r="FD156" i="33"/>
  <c r="FC156" i="33"/>
  <c r="FB156" i="33"/>
  <c r="FA156" i="33"/>
  <c r="EZ156" i="33"/>
  <c r="EY156" i="33"/>
  <c r="EX156" i="33"/>
  <c r="EW156" i="33"/>
  <c r="EV156" i="33"/>
  <c r="EU156" i="33"/>
  <c r="ET156" i="33"/>
  <c r="ES156" i="33"/>
  <c r="ER156" i="33"/>
  <c r="EQ156" i="33"/>
  <c r="EP156" i="33"/>
  <c r="EO156" i="33"/>
  <c r="EN156" i="33"/>
  <c r="EM156" i="33"/>
  <c r="EL156" i="33"/>
  <c r="EK156" i="33"/>
  <c r="EJ156" i="33"/>
  <c r="EI156" i="33"/>
  <c r="EH156" i="33"/>
  <c r="EG156" i="33"/>
  <c r="EF156" i="33"/>
  <c r="EE156" i="33"/>
  <c r="ED156" i="33"/>
  <c r="EC156" i="33"/>
  <c r="EB156" i="33"/>
  <c r="EA156" i="33"/>
  <c r="DZ156" i="33"/>
  <c r="DY156" i="33"/>
  <c r="DX156" i="33"/>
  <c r="DW156" i="33"/>
  <c r="DV156" i="33"/>
  <c r="DU156" i="33"/>
  <c r="DT156" i="33"/>
  <c r="DS156" i="33"/>
  <c r="DR156" i="33"/>
  <c r="DQ156" i="33"/>
  <c r="DP156" i="33"/>
  <c r="DO156" i="33"/>
  <c r="DN156" i="33"/>
  <c r="DM156" i="33"/>
  <c r="DL156" i="33"/>
  <c r="DK156" i="33"/>
  <c r="DJ156" i="33"/>
  <c r="DI156" i="33"/>
  <c r="DH156" i="33"/>
  <c r="DG156" i="33"/>
  <c r="DF156" i="33"/>
  <c r="DE156" i="33"/>
  <c r="DD156" i="33"/>
  <c r="DC156" i="33"/>
  <c r="DB156" i="33"/>
  <c r="DA156" i="33"/>
  <c r="CZ156" i="33"/>
  <c r="CY156" i="33"/>
  <c r="CX156" i="33"/>
  <c r="CW156" i="33"/>
  <c r="CV156" i="33"/>
  <c r="CU156" i="33"/>
  <c r="CT156" i="33"/>
  <c r="CS156" i="33"/>
  <c r="CR156" i="33"/>
  <c r="CQ156" i="33"/>
  <c r="CP156" i="33"/>
  <c r="CO156" i="33"/>
  <c r="CN156" i="33"/>
  <c r="CM156" i="33"/>
  <c r="CL156" i="33"/>
  <c r="CK156" i="33"/>
  <c r="CJ156" i="33"/>
  <c r="CI156" i="33"/>
  <c r="CH156" i="33"/>
  <c r="CG156" i="33"/>
  <c r="CF156" i="33"/>
  <c r="CE156" i="33"/>
  <c r="CD156" i="33"/>
  <c r="CC156" i="33"/>
  <c r="CB156" i="33"/>
  <c r="CA156" i="33"/>
  <c r="BZ156" i="33"/>
  <c r="BY156" i="33"/>
  <c r="BX156" i="33"/>
  <c r="BW156" i="33"/>
  <c r="BV156" i="33"/>
  <c r="BU156" i="33"/>
  <c r="BT156" i="33"/>
  <c r="BS156" i="33"/>
  <c r="BR156" i="33"/>
  <c r="BQ156" i="33"/>
  <c r="BP156" i="33"/>
  <c r="BO156" i="33"/>
  <c r="BN156" i="33"/>
  <c r="BM156" i="33"/>
  <c r="BL156" i="33"/>
  <c r="BK156" i="33"/>
  <c r="BJ156" i="33"/>
  <c r="BI156" i="33"/>
  <c r="BH156" i="33"/>
  <c r="BG156" i="33"/>
  <c r="BF156" i="33"/>
  <c r="BE156" i="33"/>
  <c r="BD156" i="33"/>
  <c r="BC156" i="33"/>
  <c r="BB156" i="33"/>
  <c r="BA156" i="33"/>
  <c r="AZ156" i="33"/>
  <c r="AY156" i="33"/>
  <c r="AX156" i="33"/>
  <c r="AW156" i="33"/>
  <c r="AV156" i="33"/>
  <c r="AU156" i="33"/>
  <c r="AT156" i="33"/>
  <c r="AS156" i="33"/>
  <c r="AR156" i="33"/>
  <c r="AQ156" i="33"/>
  <c r="AP156" i="33"/>
  <c r="AO156" i="33"/>
  <c r="AN156" i="33"/>
  <c r="AM156" i="33"/>
  <c r="AL156" i="33"/>
  <c r="AK156" i="33"/>
  <c r="AJ156" i="33"/>
  <c r="AI156" i="33"/>
  <c r="AH156" i="33"/>
  <c r="AG156" i="33"/>
  <c r="AF156" i="33"/>
  <c r="AE156" i="33"/>
  <c r="AD156" i="33"/>
  <c r="AC156" i="33"/>
  <c r="AB156" i="33"/>
  <c r="AA156" i="33"/>
  <c r="Z156" i="33"/>
  <c r="Y156" i="33"/>
  <c r="X156" i="33"/>
  <c r="W156" i="33"/>
  <c r="V156" i="33"/>
  <c r="U156" i="33"/>
  <c r="T156" i="33"/>
  <c r="S156" i="33"/>
  <c r="R156" i="33"/>
  <c r="Q156" i="33"/>
  <c r="P156" i="33"/>
  <c r="O156" i="33"/>
  <c r="N156" i="33"/>
  <c r="M156" i="33"/>
  <c r="L156" i="33"/>
  <c r="K156" i="33"/>
  <c r="J156" i="33"/>
  <c r="I156" i="33"/>
  <c r="H156" i="33"/>
  <c r="G156" i="33"/>
  <c r="F156" i="33"/>
  <c r="E156" i="33"/>
  <c r="D156" i="33"/>
  <c r="C156" i="33"/>
  <c r="B156" i="33"/>
  <c r="A156" i="33"/>
  <c r="IV155" i="33"/>
  <c r="IU155" i="33"/>
  <c r="IT155" i="33"/>
  <c r="IS155" i="33"/>
  <c r="IR155" i="33"/>
  <c r="IQ155" i="33"/>
  <c r="IP155" i="33"/>
  <c r="IO155" i="33"/>
  <c r="IN155" i="33"/>
  <c r="IM155" i="33"/>
  <c r="IL155" i="33"/>
  <c r="IK155" i="33"/>
  <c r="IJ155" i="33"/>
  <c r="II155" i="33"/>
  <c r="IH155" i="33"/>
  <c r="IG155" i="33"/>
  <c r="IF155" i="33"/>
  <c r="IE155" i="33"/>
  <c r="ID155" i="33"/>
  <c r="IC155" i="33"/>
  <c r="IB155" i="33"/>
  <c r="IA155" i="33"/>
  <c r="HZ155" i="33"/>
  <c r="HY155" i="33"/>
  <c r="HX155" i="33"/>
  <c r="HW155" i="33"/>
  <c r="HV155" i="33"/>
  <c r="HU155" i="33"/>
  <c r="HT155" i="33"/>
  <c r="HS155" i="33"/>
  <c r="HR155" i="33"/>
  <c r="HQ155" i="33"/>
  <c r="HP155" i="33"/>
  <c r="HO155" i="33"/>
  <c r="HN155" i="33"/>
  <c r="HM155" i="33"/>
  <c r="HL155" i="33"/>
  <c r="HK155" i="33"/>
  <c r="HJ155" i="33"/>
  <c r="HI155" i="33"/>
  <c r="HH155" i="33"/>
  <c r="HG155" i="33"/>
  <c r="HF155" i="33"/>
  <c r="HE155" i="33"/>
  <c r="HD155" i="33"/>
  <c r="HC155" i="33"/>
  <c r="HB155" i="33"/>
  <c r="HA155" i="33"/>
  <c r="GZ155" i="33"/>
  <c r="GY155" i="33"/>
  <c r="GX155" i="33"/>
  <c r="GW155" i="33"/>
  <c r="GV155" i="33"/>
  <c r="GU155" i="33"/>
  <c r="GT155" i="33"/>
  <c r="GS155" i="33"/>
  <c r="GR155" i="33"/>
  <c r="GQ155" i="33"/>
  <c r="GP155" i="33"/>
  <c r="GO155" i="33"/>
  <c r="GN155" i="33"/>
  <c r="GM155" i="33"/>
  <c r="GL155" i="33"/>
  <c r="GK155" i="33"/>
  <c r="GJ155" i="33"/>
  <c r="GI155" i="33"/>
  <c r="GH155" i="33"/>
  <c r="GG155" i="33"/>
  <c r="GF155" i="33"/>
  <c r="GE155" i="33"/>
  <c r="GD155" i="33"/>
  <c r="GC155" i="33"/>
  <c r="GB155" i="33"/>
  <c r="GA155" i="33"/>
  <c r="FZ155" i="33"/>
  <c r="FY155" i="33"/>
  <c r="FX155" i="33"/>
  <c r="FW155" i="33"/>
  <c r="FV155" i="33"/>
  <c r="FU155" i="33"/>
  <c r="FT155" i="33"/>
  <c r="FS155" i="33"/>
  <c r="FR155" i="33"/>
  <c r="FQ155" i="33"/>
  <c r="FP155" i="33"/>
  <c r="FO155" i="33"/>
  <c r="FN155" i="33"/>
  <c r="FM155" i="33"/>
  <c r="FL155" i="33"/>
  <c r="FK155" i="33"/>
  <c r="FJ155" i="33"/>
  <c r="FI155" i="33"/>
  <c r="FH155" i="33"/>
  <c r="FG155" i="33"/>
  <c r="FF155" i="33"/>
  <c r="FE155" i="33"/>
  <c r="FD155" i="33"/>
  <c r="FC155" i="33"/>
  <c r="FB155" i="33"/>
  <c r="FA155" i="33"/>
  <c r="EZ155" i="33"/>
  <c r="EY155" i="33"/>
  <c r="EX155" i="33"/>
  <c r="EW155" i="33"/>
  <c r="EV155" i="33"/>
  <c r="EU155" i="33"/>
  <c r="ET155" i="33"/>
  <c r="ES155" i="33"/>
  <c r="ER155" i="33"/>
  <c r="EQ155" i="33"/>
  <c r="EP155" i="33"/>
  <c r="EO155" i="33"/>
  <c r="EN155" i="33"/>
  <c r="EM155" i="33"/>
  <c r="EL155" i="33"/>
  <c r="EK155" i="33"/>
  <c r="EJ155" i="33"/>
  <c r="EI155" i="33"/>
  <c r="EH155" i="33"/>
  <c r="EG155" i="33"/>
  <c r="EF155" i="33"/>
  <c r="EE155" i="33"/>
  <c r="ED155" i="33"/>
  <c r="EC155" i="33"/>
  <c r="EB155" i="33"/>
  <c r="EA155" i="33"/>
  <c r="DZ155" i="33"/>
  <c r="DY155" i="33"/>
  <c r="DX155" i="33"/>
  <c r="DW155" i="33"/>
  <c r="DV155" i="33"/>
  <c r="DU155" i="33"/>
  <c r="DT155" i="33"/>
  <c r="DS155" i="33"/>
  <c r="DR155" i="33"/>
  <c r="DQ155" i="33"/>
  <c r="DP155" i="33"/>
  <c r="DO155" i="33"/>
  <c r="DN155" i="33"/>
  <c r="DM155" i="33"/>
  <c r="DL155" i="33"/>
  <c r="DK155" i="33"/>
  <c r="DJ155" i="33"/>
  <c r="DI155" i="33"/>
  <c r="DH155" i="33"/>
  <c r="DG155" i="33"/>
  <c r="DF155" i="33"/>
  <c r="DE155" i="33"/>
  <c r="DD155" i="33"/>
  <c r="DC155" i="33"/>
  <c r="DB155" i="33"/>
  <c r="DA155" i="33"/>
  <c r="CZ155" i="33"/>
  <c r="CY155" i="33"/>
  <c r="CX155" i="33"/>
  <c r="CW155" i="33"/>
  <c r="CV155" i="33"/>
  <c r="CU155" i="33"/>
  <c r="CT155" i="33"/>
  <c r="CS155" i="33"/>
  <c r="CR155" i="33"/>
  <c r="CQ155" i="33"/>
  <c r="CP155" i="33"/>
  <c r="CO155" i="33"/>
  <c r="CN155" i="33"/>
  <c r="CM155" i="33"/>
  <c r="CL155" i="33"/>
  <c r="CK155" i="33"/>
  <c r="CJ155" i="33"/>
  <c r="CI155" i="33"/>
  <c r="CH155" i="33"/>
  <c r="CG155" i="33"/>
  <c r="CF155" i="33"/>
  <c r="CE155" i="33"/>
  <c r="CD155" i="33"/>
  <c r="CC155" i="33"/>
  <c r="CB155" i="33"/>
  <c r="CA155" i="33"/>
  <c r="BZ155" i="33"/>
  <c r="BY155" i="33"/>
  <c r="BX155" i="33"/>
  <c r="BW155" i="33"/>
  <c r="BV155" i="33"/>
  <c r="BU155" i="33"/>
  <c r="BT155" i="33"/>
  <c r="BS155" i="33"/>
  <c r="BR155" i="33"/>
  <c r="BQ155" i="33"/>
  <c r="BP155" i="33"/>
  <c r="BO155" i="33"/>
  <c r="BN155" i="33"/>
  <c r="BM155" i="33"/>
  <c r="BL155" i="33"/>
  <c r="BK155" i="33"/>
  <c r="BJ155" i="33"/>
  <c r="BI155" i="33"/>
  <c r="BH155" i="33"/>
  <c r="BG155" i="33"/>
  <c r="BF155" i="33"/>
  <c r="BE155" i="33"/>
  <c r="BD155" i="33"/>
  <c r="BC155" i="33"/>
  <c r="BB155" i="33"/>
  <c r="BA155" i="33"/>
  <c r="AZ155" i="33"/>
  <c r="AY155" i="33"/>
  <c r="AX155" i="33"/>
  <c r="AW155" i="33"/>
  <c r="AV155" i="33"/>
  <c r="AU155" i="33"/>
  <c r="AT155" i="33"/>
  <c r="AS155" i="33"/>
  <c r="AR155" i="33"/>
  <c r="AQ155" i="33"/>
  <c r="AP155" i="33"/>
  <c r="AO155" i="33"/>
  <c r="AN155" i="33"/>
  <c r="AM155" i="33"/>
  <c r="AL155" i="33"/>
  <c r="AK155" i="33"/>
  <c r="AJ155" i="33"/>
  <c r="AI155" i="33"/>
  <c r="AH155" i="33"/>
  <c r="AG155" i="33"/>
  <c r="AF155" i="33"/>
  <c r="AE155" i="33"/>
  <c r="AD155" i="33"/>
  <c r="AC155" i="33"/>
  <c r="AB155" i="33"/>
  <c r="AA155" i="33"/>
  <c r="Z155" i="33"/>
  <c r="Y155" i="33"/>
  <c r="X155" i="33"/>
  <c r="W155" i="33"/>
  <c r="V155" i="33"/>
  <c r="U155" i="33"/>
  <c r="T155" i="33"/>
  <c r="S155" i="33"/>
  <c r="R155" i="33"/>
  <c r="Q155" i="33"/>
  <c r="P155" i="33"/>
  <c r="O155" i="33"/>
  <c r="N155" i="33"/>
  <c r="M155" i="33"/>
  <c r="L155" i="33"/>
  <c r="K155" i="33"/>
  <c r="J155" i="33"/>
  <c r="I155" i="33"/>
  <c r="H155" i="33"/>
  <c r="G155" i="33"/>
  <c r="F155" i="33"/>
  <c r="E155" i="33"/>
  <c r="D155" i="33"/>
  <c r="C155" i="33"/>
  <c r="B155" i="33"/>
  <c r="A155" i="33"/>
  <c r="IV154" i="33"/>
  <c r="IU154" i="33"/>
  <c r="IT154" i="33"/>
  <c r="IS154" i="33"/>
  <c r="IR154" i="33"/>
  <c r="IQ154" i="33"/>
  <c r="IP154" i="33"/>
  <c r="IO154" i="33"/>
  <c r="IN154" i="33"/>
  <c r="IM154" i="33"/>
  <c r="IL154" i="33"/>
  <c r="IK154" i="33"/>
  <c r="IJ154" i="33"/>
  <c r="II154" i="33"/>
  <c r="IH154" i="33"/>
  <c r="IG154" i="33"/>
  <c r="IF154" i="33"/>
  <c r="IE154" i="33"/>
  <c r="ID154" i="33"/>
  <c r="IC154" i="33"/>
  <c r="IB154" i="33"/>
  <c r="IA154" i="33"/>
  <c r="HZ154" i="33"/>
  <c r="HY154" i="33"/>
  <c r="HX154" i="33"/>
  <c r="HW154" i="33"/>
  <c r="HV154" i="33"/>
  <c r="HU154" i="33"/>
  <c r="HT154" i="33"/>
  <c r="HS154" i="33"/>
  <c r="HR154" i="33"/>
  <c r="HQ154" i="33"/>
  <c r="HP154" i="33"/>
  <c r="HO154" i="33"/>
  <c r="HN154" i="33"/>
  <c r="HM154" i="33"/>
  <c r="HL154" i="33"/>
  <c r="HK154" i="33"/>
  <c r="HJ154" i="33"/>
  <c r="HI154" i="33"/>
  <c r="HH154" i="33"/>
  <c r="HG154" i="33"/>
  <c r="HF154" i="33"/>
  <c r="HE154" i="33"/>
  <c r="HD154" i="33"/>
  <c r="HC154" i="33"/>
  <c r="HB154" i="33"/>
  <c r="HA154" i="33"/>
  <c r="GZ154" i="33"/>
  <c r="GY154" i="33"/>
  <c r="GX154" i="33"/>
  <c r="GW154" i="33"/>
  <c r="GV154" i="33"/>
  <c r="GU154" i="33"/>
  <c r="GT154" i="33"/>
  <c r="GS154" i="33"/>
  <c r="GR154" i="33"/>
  <c r="GQ154" i="33"/>
  <c r="GP154" i="33"/>
  <c r="GO154" i="33"/>
  <c r="GN154" i="33"/>
  <c r="GM154" i="33"/>
  <c r="GL154" i="33"/>
  <c r="GK154" i="33"/>
  <c r="GJ154" i="33"/>
  <c r="GI154" i="33"/>
  <c r="GH154" i="33"/>
  <c r="GG154" i="33"/>
  <c r="GF154" i="33"/>
  <c r="GE154" i="33"/>
  <c r="GD154" i="33"/>
  <c r="GC154" i="33"/>
  <c r="GB154" i="33"/>
  <c r="GA154" i="33"/>
  <c r="FZ154" i="33"/>
  <c r="FY154" i="33"/>
  <c r="FX154" i="33"/>
  <c r="FW154" i="33"/>
  <c r="FV154" i="33"/>
  <c r="FU154" i="33"/>
  <c r="FT154" i="33"/>
  <c r="FS154" i="33"/>
  <c r="FR154" i="33"/>
  <c r="FQ154" i="33"/>
  <c r="FP154" i="33"/>
  <c r="FO154" i="33"/>
  <c r="FN154" i="33"/>
  <c r="FM154" i="33"/>
  <c r="FL154" i="33"/>
  <c r="FK154" i="33"/>
  <c r="FJ154" i="33"/>
  <c r="FI154" i="33"/>
  <c r="FH154" i="33"/>
  <c r="FG154" i="33"/>
  <c r="FF154" i="33"/>
  <c r="FE154" i="33"/>
  <c r="FD154" i="33"/>
  <c r="FC154" i="33"/>
  <c r="FB154" i="33"/>
  <c r="FA154" i="33"/>
  <c r="EZ154" i="33"/>
  <c r="EY154" i="33"/>
  <c r="EX154" i="33"/>
  <c r="EW154" i="33"/>
  <c r="EV154" i="33"/>
  <c r="EU154" i="33"/>
  <c r="ET154" i="33"/>
  <c r="ES154" i="33"/>
  <c r="ER154" i="33"/>
  <c r="EQ154" i="33"/>
  <c r="EP154" i="33"/>
  <c r="EO154" i="33"/>
  <c r="EN154" i="33"/>
  <c r="EM154" i="33"/>
  <c r="EL154" i="33"/>
  <c r="EK154" i="33"/>
  <c r="EJ154" i="33"/>
  <c r="EI154" i="33"/>
  <c r="EH154" i="33"/>
  <c r="EG154" i="33"/>
  <c r="EF154" i="33"/>
  <c r="EE154" i="33"/>
  <c r="ED154" i="33"/>
  <c r="EC154" i="33"/>
  <c r="EB154" i="33"/>
  <c r="EA154" i="33"/>
  <c r="DZ154" i="33"/>
  <c r="DY154" i="33"/>
  <c r="DX154" i="33"/>
  <c r="DW154" i="33"/>
  <c r="DV154" i="33"/>
  <c r="DU154" i="33"/>
  <c r="DT154" i="33"/>
  <c r="DS154" i="33"/>
  <c r="DR154" i="33"/>
  <c r="DQ154" i="33"/>
  <c r="DP154" i="33"/>
  <c r="DO154" i="33"/>
  <c r="DN154" i="33"/>
  <c r="DM154" i="33"/>
  <c r="DL154" i="33"/>
  <c r="DK154" i="33"/>
  <c r="DJ154" i="33"/>
  <c r="DI154" i="33"/>
  <c r="DH154" i="33"/>
  <c r="DG154" i="33"/>
  <c r="DF154" i="33"/>
  <c r="DE154" i="33"/>
  <c r="DD154" i="33"/>
  <c r="DC154" i="33"/>
  <c r="DB154" i="33"/>
  <c r="DA154" i="33"/>
  <c r="CZ154" i="33"/>
  <c r="CY154" i="33"/>
  <c r="CX154" i="33"/>
  <c r="CW154" i="33"/>
  <c r="CV154" i="33"/>
  <c r="CU154" i="33"/>
  <c r="CT154" i="33"/>
  <c r="CS154" i="33"/>
  <c r="CR154" i="33"/>
  <c r="CQ154" i="33"/>
  <c r="CP154" i="33"/>
  <c r="CO154" i="33"/>
  <c r="CN154" i="33"/>
  <c r="CM154" i="33"/>
  <c r="CL154" i="33"/>
  <c r="CK154" i="33"/>
  <c r="CJ154" i="33"/>
  <c r="CI154" i="33"/>
  <c r="CH154" i="33"/>
  <c r="CG154" i="33"/>
  <c r="CF154" i="33"/>
  <c r="CE154" i="33"/>
  <c r="CD154" i="33"/>
  <c r="CC154" i="33"/>
  <c r="CB154" i="33"/>
  <c r="CA154" i="33"/>
  <c r="BZ154" i="33"/>
  <c r="BY154" i="33"/>
  <c r="BX154" i="33"/>
  <c r="BW154" i="33"/>
  <c r="BV154" i="33"/>
  <c r="BU154" i="33"/>
  <c r="BT154" i="33"/>
  <c r="BS154" i="33"/>
  <c r="BR154" i="33"/>
  <c r="BQ154" i="33"/>
  <c r="BP154" i="33"/>
  <c r="BO154" i="33"/>
  <c r="BN154" i="33"/>
  <c r="BM154" i="33"/>
  <c r="BL154" i="33"/>
  <c r="BK154" i="33"/>
  <c r="BJ154" i="33"/>
  <c r="BI154" i="33"/>
  <c r="BH154" i="33"/>
  <c r="BG154" i="33"/>
  <c r="BF154" i="33"/>
  <c r="BE154" i="33"/>
  <c r="BD154" i="33"/>
  <c r="BC154" i="33"/>
  <c r="BB154" i="33"/>
  <c r="BA154" i="33"/>
  <c r="AZ154" i="33"/>
  <c r="AY154" i="33"/>
  <c r="AX154" i="33"/>
  <c r="AW154" i="33"/>
  <c r="AV154" i="33"/>
  <c r="AU154" i="33"/>
  <c r="AT154" i="33"/>
  <c r="AS154" i="33"/>
  <c r="AR154" i="33"/>
  <c r="AQ154" i="33"/>
  <c r="AP154" i="33"/>
  <c r="AO154" i="33"/>
  <c r="AN154" i="33"/>
  <c r="AM154" i="33"/>
  <c r="AL154" i="33"/>
  <c r="AK154" i="33"/>
  <c r="AJ154" i="33"/>
  <c r="AI154" i="33"/>
  <c r="AH154" i="33"/>
  <c r="AG154" i="33"/>
  <c r="AF154" i="33"/>
  <c r="AE154" i="33"/>
  <c r="AD154" i="33"/>
  <c r="AC154" i="33"/>
  <c r="AB154" i="33"/>
  <c r="AA154" i="33"/>
  <c r="Z154" i="33"/>
  <c r="Y154" i="33"/>
  <c r="X154" i="33"/>
  <c r="W154" i="33"/>
  <c r="V154" i="33"/>
  <c r="U154" i="33"/>
  <c r="T154" i="33"/>
  <c r="S154" i="33"/>
  <c r="R154" i="33"/>
  <c r="Q154" i="33"/>
  <c r="P154" i="33"/>
  <c r="O154" i="33"/>
  <c r="N154" i="33"/>
  <c r="M154" i="33"/>
  <c r="L154" i="33"/>
  <c r="K154" i="33"/>
  <c r="J154" i="33"/>
  <c r="I154" i="33"/>
  <c r="H154" i="33"/>
  <c r="G154" i="33"/>
  <c r="F154" i="33"/>
  <c r="E154" i="33"/>
  <c r="D154" i="33"/>
  <c r="C154" i="33"/>
  <c r="B154" i="33"/>
  <c r="A154" i="33"/>
  <c r="IV153" i="33"/>
  <c r="IU153" i="33"/>
  <c r="IT153" i="33"/>
  <c r="IS153" i="33"/>
  <c r="IR153" i="33"/>
  <c r="IQ153" i="33"/>
  <c r="IP153" i="33"/>
  <c r="IO153" i="33"/>
  <c r="IN153" i="33"/>
  <c r="IM153" i="33"/>
  <c r="IL153" i="33"/>
  <c r="IK153" i="33"/>
  <c r="IJ153" i="33"/>
  <c r="II153" i="33"/>
  <c r="IH153" i="33"/>
  <c r="IG153" i="33"/>
  <c r="IF153" i="33"/>
  <c r="IE153" i="33"/>
  <c r="ID153" i="33"/>
  <c r="IC153" i="33"/>
  <c r="IB153" i="33"/>
  <c r="IA153" i="33"/>
  <c r="HZ153" i="33"/>
  <c r="HY153" i="33"/>
  <c r="HX153" i="33"/>
  <c r="HW153" i="33"/>
  <c r="HV153" i="33"/>
  <c r="HU153" i="33"/>
  <c r="HT153" i="33"/>
  <c r="HS153" i="33"/>
  <c r="HR153" i="33"/>
  <c r="HQ153" i="33"/>
  <c r="HP153" i="33"/>
  <c r="HO153" i="33"/>
  <c r="HN153" i="33"/>
  <c r="HM153" i="33"/>
  <c r="HL153" i="33"/>
  <c r="HK153" i="33"/>
  <c r="HJ153" i="33"/>
  <c r="HI153" i="33"/>
  <c r="HH153" i="33"/>
  <c r="HG153" i="33"/>
  <c r="HF153" i="33"/>
  <c r="HE153" i="33"/>
  <c r="HD153" i="33"/>
  <c r="HC153" i="33"/>
  <c r="HB153" i="33"/>
  <c r="HA153" i="33"/>
  <c r="GZ153" i="33"/>
  <c r="GY153" i="33"/>
  <c r="GX153" i="33"/>
  <c r="GW153" i="33"/>
  <c r="GV153" i="33"/>
  <c r="GU153" i="33"/>
  <c r="GT153" i="33"/>
  <c r="GS153" i="33"/>
  <c r="GR153" i="33"/>
  <c r="GQ153" i="33"/>
  <c r="GP153" i="33"/>
  <c r="GO153" i="33"/>
  <c r="GN153" i="33"/>
  <c r="GM153" i="33"/>
  <c r="GL153" i="33"/>
  <c r="GK153" i="33"/>
  <c r="GJ153" i="33"/>
  <c r="GI153" i="33"/>
  <c r="GH153" i="33"/>
  <c r="GG153" i="33"/>
  <c r="GF153" i="33"/>
  <c r="GE153" i="33"/>
  <c r="GD153" i="33"/>
  <c r="GC153" i="33"/>
  <c r="GB153" i="33"/>
  <c r="GA153" i="33"/>
  <c r="FZ153" i="33"/>
  <c r="FY153" i="33"/>
  <c r="FX153" i="33"/>
  <c r="FW153" i="33"/>
  <c r="FV153" i="33"/>
  <c r="FU153" i="33"/>
  <c r="FT153" i="33"/>
  <c r="FS153" i="33"/>
  <c r="FR153" i="33"/>
  <c r="FQ153" i="33"/>
  <c r="FP153" i="33"/>
  <c r="FO153" i="33"/>
  <c r="FN153" i="33"/>
  <c r="FM153" i="33"/>
  <c r="FL153" i="33"/>
  <c r="FK153" i="33"/>
  <c r="FJ153" i="33"/>
  <c r="FI153" i="33"/>
  <c r="FH153" i="33"/>
  <c r="FG153" i="33"/>
  <c r="FF153" i="33"/>
  <c r="FE153" i="33"/>
  <c r="FD153" i="33"/>
  <c r="FC153" i="33"/>
  <c r="FB153" i="33"/>
  <c r="FA153" i="33"/>
  <c r="EZ153" i="33"/>
  <c r="EY153" i="33"/>
  <c r="EX153" i="33"/>
  <c r="EW153" i="33"/>
  <c r="EV153" i="33"/>
  <c r="EU153" i="33"/>
  <c r="ET153" i="33"/>
  <c r="ES153" i="33"/>
  <c r="ER153" i="33"/>
  <c r="EQ153" i="33"/>
  <c r="EP153" i="33"/>
  <c r="EO153" i="33"/>
  <c r="EN153" i="33"/>
  <c r="EM153" i="33"/>
  <c r="EL153" i="33"/>
  <c r="EK153" i="33"/>
  <c r="EJ153" i="33"/>
  <c r="EI153" i="33"/>
  <c r="EH153" i="33"/>
  <c r="EG153" i="33"/>
  <c r="EF153" i="33"/>
  <c r="EE153" i="33"/>
  <c r="ED153" i="33"/>
  <c r="EC153" i="33"/>
  <c r="EB153" i="33"/>
  <c r="EA153" i="33"/>
  <c r="DZ153" i="33"/>
  <c r="DY153" i="33"/>
  <c r="DX153" i="33"/>
  <c r="DW153" i="33"/>
  <c r="DV153" i="33"/>
  <c r="DU153" i="33"/>
  <c r="DT153" i="33"/>
  <c r="DS153" i="33"/>
  <c r="DR153" i="33"/>
  <c r="DQ153" i="33"/>
  <c r="DP153" i="33"/>
  <c r="DO153" i="33"/>
  <c r="DN153" i="33"/>
  <c r="DM153" i="33"/>
  <c r="DL153" i="33"/>
  <c r="DK153" i="33"/>
  <c r="DJ153" i="33"/>
  <c r="DI153" i="33"/>
  <c r="DH153" i="33"/>
  <c r="DG153" i="33"/>
  <c r="DF153" i="33"/>
  <c r="DE153" i="33"/>
  <c r="DD153" i="33"/>
  <c r="DC153" i="33"/>
  <c r="DB153" i="33"/>
  <c r="DA153" i="33"/>
  <c r="CZ153" i="33"/>
  <c r="CY153" i="33"/>
  <c r="CX153" i="33"/>
  <c r="CW153" i="33"/>
  <c r="CV153" i="33"/>
  <c r="CU153" i="33"/>
  <c r="CT153" i="33"/>
  <c r="CS153" i="33"/>
  <c r="CR153" i="33"/>
  <c r="CQ153" i="33"/>
  <c r="CP153" i="33"/>
  <c r="CO153" i="33"/>
  <c r="CN153" i="33"/>
  <c r="CM153" i="33"/>
  <c r="CL153" i="33"/>
  <c r="CK153" i="33"/>
  <c r="CJ153" i="33"/>
  <c r="CI153" i="33"/>
  <c r="CH153" i="33"/>
  <c r="CG153" i="33"/>
  <c r="CF153" i="33"/>
  <c r="CE153" i="33"/>
  <c r="CD153" i="33"/>
  <c r="CC153" i="33"/>
  <c r="CB153" i="33"/>
  <c r="CA153" i="33"/>
  <c r="BZ153" i="33"/>
  <c r="BY153" i="33"/>
  <c r="BX153" i="33"/>
  <c r="BW153" i="33"/>
  <c r="BV153" i="33"/>
  <c r="BU153" i="33"/>
  <c r="BT153" i="33"/>
  <c r="BS153" i="33"/>
  <c r="BR153" i="33"/>
  <c r="BQ153" i="33"/>
  <c r="BP153" i="33"/>
  <c r="BO153" i="33"/>
  <c r="BN153" i="33"/>
  <c r="BM153" i="33"/>
  <c r="BL153" i="33"/>
  <c r="BK153" i="33"/>
  <c r="BJ153" i="33"/>
  <c r="BI153" i="33"/>
  <c r="BH153" i="33"/>
  <c r="BG153" i="33"/>
  <c r="BF153" i="33"/>
  <c r="BE153" i="33"/>
  <c r="BD153" i="33"/>
  <c r="BC153" i="33"/>
  <c r="BB153" i="33"/>
  <c r="BA153" i="33"/>
  <c r="AZ153" i="33"/>
  <c r="AY153" i="33"/>
  <c r="AX153" i="33"/>
  <c r="AW153" i="33"/>
  <c r="AV153" i="33"/>
  <c r="AU153" i="33"/>
  <c r="AT153" i="33"/>
  <c r="AS153" i="33"/>
  <c r="AR153" i="33"/>
  <c r="AQ153" i="33"/>
  <c r="AP153" i="33"/>
  <c r="AO153" i="33"/>
  <c r="AN153" i="33"/>
  <c r="AM153" i="33"/>
  <c r="AL153" i="33"/>
  <c r="AK153" i="33"/>
  <c r="AJ153" i="33"/>
  <c r="AI153" i="33"/>
  <c r="AH153" i="33"/>
  <c r="AG153" i="33"/>
  <c r="AF153" i="33"/>
  <c r="AE153" i="33"/>
  <c r="AD153" i="33"/>
  <c r="AC153" i="33"/>
  <c r="AB153" i="33"/>
  <c r="AA153" i="33"/>
  <c r="Z153" i="33"/>
  <c r="Y153" i="33"/>
  <c r="X153" i="33"/>
  <c r="W153" i="33"/>
  <c r="V153" i="33"/>
  <c r="U153" i="33"/>
  <c r="T153" i="33"/>
  <c r="S153" i="33"/>
  <c r="R153" i="33"/>
  <c r="Q153" i="33"/>
  <c r="P153" i="33"/>
  <c r="O153" i="33"/>
  <c r="N153" i="33"/>
  <c r="M153" i="33"/>
  <c r="L153" i="33"/>
  <c r="K153" i="33"/>
  <c r="J153" i="33"/>
  <c r="I153" i="33"/>
  <c r="H153" i="33"/>
  <c r="G153" i="33"/>
  <c r="F153" i="33"/>
  <c r="E153" i="33"/>
  <c r="D153" i="33"/>
  <c r="C153" i="33"/>
  <c r="B153" i="33"/>
  <c r="A153" i="33"/>
  <c r="IV152" i="33"/>
  <c r="IU152" i="33"/>
  <c r="IT152" i="33"/>
  <c r="IS152" i="33"/>
  <c r="IR152" i="33"/>
  <c r="IQ152" i="33"/>
  <c r="IP152" i="33"/>
  <c r="IO152" i="33"/>
  <c r="IN152" i="33"/>
  <c r="IM152" i="33"/>
  <c r="IL152" i="33"/>
  <c r="IK152" i="33"/>
  <c r="IJ152" i="33"/>
  <c r="II152" i="33"/>
  <c r="IH152" i="33"/>
  <c r="IG152" i="33"/>
  <c r="IF152" i="33"/>
  <c r="IE152" i="33"/>
  <c r="ID152" i="33"/>
  <c r="IC152" i="33"/>
  <c r="IB152" i="33"/>
  <c r="IA152" i="33"/>
  <c r="HZ152" i="33"/>
  <c r="HY152" i="33"/>
  <c r="HX152" i="33"/>
  <c r="HW152" i="33"/>
  <c r="HV152" i="33"/>
  <c r="HU152" i="33"/>
  <c r="HT152" i="33"/>
  <c r="HS152" i="33"/>
  <c r="HR152" i="33"/>
  <c r="HQ152" i="33"/>
  <c r="HP152" i="33"/>
  <c r="HO152" i="33"/>
  <c r="HN152" i="33"/>
  <c r="HM152" i="33"/>
  <c r="HL152" i="33"/>
  <c r="HK152" i="33"/>
  <c r="HJ152" i="33"/>
  <c r="HI152" i="33"/>
  <c r="HH152" i="33"/>
  <c r="HG152" i="33"/>
  <c r="HF152" i="33"/>
  <c r="HE152" i="33"/>
  <c r="HD152" i="33"/>
  <c r="HC152" i="33"/>
  <c r="HB152" i="33"/>
  <c r="HA152" i="33"/>
  <c r="GZ152" i="33"/>
  <c r="GY152" i="33"/>
  <c r="GX152" i="33"/>
  <c r="GW152" i="33"/>
  <c r="GV152" i="33"/>
  <c r="GU152" i="33"/>
  <c r="GT152" i="33"/>
  <c r="GS152" i="33"/>
  <c r="GR152" i="33"/>
  <c r="GQ152" i="33"/>
  <c r="GP152" i="33"/>
  <c r="GO152" i="33"/>
  <c r="GN152" i="33"/>
  <c r="GM152" i="33"/>
  <c r="GL152" i="33"/>
  <c r="GK152" i="33"/>
  <c r="GJ152" i="33"/>
  <c r="GI152" i="33"/>
  <c r="GH152" i="33"/>
  <c r="GG152" i="33"/>
  <c r="GF152" i="33"/>
  <c r="GE152" i="33"/>
  <c r="GD152" i="33"/>
  <c r="GC152" i="33"/>
  <c r="GB152" i="33"/>
  <c r="GA152" i="33"/>
  <c r="FZ152" i="33"/>
  <c r="FY152" i="33"/>
  <c r="FX152" i="33"/>
  <c r="FW152" i="33"/>
  <c r="FV152" i="33"/>
  <c r="FU152" i="33"/>
  <c r="FT152" i="33"/>
  <c r="FS152" i="33"/>
  <c r="FR152" i="33"/>
  <c r="FQ152" i="33"/>
  <c r="FP152" i="33"/>
  <c r="FO152" i="33"/>
  <c r="FN152" i="33"/>
  <c r="FM152" i="33"/>
  <c r="FL152" i="33"/>
  <c r="FK152" i="33"/>
  <c r="FJ152" i="33"/>
  <c r="FI152" i="33"/>
  <c r="FH152" i="33"/>
  <c r="FG152" i="33"/>
  <c r="FF152" i="33"/>
  <c r="FE152" i="33"/>
  <c r="FD152" i="33"/>
  <c r="FC152" i="33"/>
  <c r="FB152" i="33"/>
  <c r="FA152" i="33"/>
  <c r="EZ152" i="33"/>
  <c r="EY152" i="33"/>
  <c r="EX152" i="33"/>
  <c r="EW152" i="33"/>
  <c r="EV152" i="33"/>
  <c r="EU152" i="33"/>
  <c r="ET152" i="33"/>
  <c r="ES152" i="33"/>
  <c r="ER152" i="33"/>
  <c r="EQ152" i="33"/>
  <c r="EP152" i="33"/>
  <c r="EO152" i="33"/>
  <c r="EN152" i="33"/>
  <c r="EM152" i="33"/>
  <c r="EL152" i="33"/>
  <c r="EK152" i="33"/>
  <c r="EJ152" i="33"/>
  <c r="EI152" i="33"/>
  <c r="EH152" i="33"/>
  <c r="EG152" i="33"/>
  <c r="EF152" i="33"/>
  <c r="EE152" i="33"/>
  <c r="ED152" i="33"/>
  <c r="EC152" i="33"/>
  <c r="EB152" i="33"/>
  <c r="EA152" i="33"/>
  <c r="DZ152" i="33"/>
  <c r="DY152" i="33"/>
  <c r="DX152" i="33"/>
  <c r="DW152" i="33"/>
  <c r="DV152" i="33"/>
  <c r="DU152" i="33"/>
  <c r="DT152" i="33"/>
  <c r="DS152" i="33"/>
  <c r="DR152" i="33"/>
  <c r="DQ152" i="33"/>
  <c r="DP152" i="33"/>
  <c r="DO152" i="33"/>
  <c r="DN152" i="33"/>
  <c r="DM152" i="33"/>
  <c r="DL152" i="33"/>
  <c r="DK152" i="33"/>
  <c r="DJ152" i="33"/>
  <c r="DI152" i="33"/>
  <c r="DH152" i="33"/>
  <c r="DG152" i="33"/>
  <c r="DF152" i="33"/>
  <c r="DE152" i="33"/>
  <c r="DD152" i="33"/>
  <c r="DC152" i="33"/>
  <c r="DB152" i="33"/>
  <c r="DA152" i="33"/>
  <c r="CZ152" i="33"/>
  <c r="CY152" i="33"/>
  <c r="CX152" i="33"/>
  <c r="CW152" i="33"/>
  <c r="CV152" i="33"/>
  <c r="CU152" i="33"/>
  <c r="CT152" i="33"/>
  <c r="CS152" i="33"/>
  <c r="CR152" i="33"/>
  <c r="CQ152" i="33"/>
  <c r="CP152" i="33"/>
  <c r="CO152" i="33"/>
  <c r="CN152" i="33"/>
  <c r="CM152" i="33"/>
  <c r="CL152" i="33"/>
  <c r="CK152" i="33"/>
  <c r="CJ152" i="33"/>
  <c r="CI152" i="33"/>
  <c r="CH152" i="33"/>
  <c r="CG152" i="33"/>
  <c r="CF152" i="33"/>
  <c r="CE152" i="33"/>
  <c r="CD152" i="33"/>
  <c r="CC152" i="33"/>
  <c r="CB152" i="33"/>
  <c r="CA152" i="33"/>
  <c r="BZ152" i="33"/>
  <c r="BY152" i="33"/>
  <c r="BX152" i="33"/>
  <c r="BW152" i="33"/>
  <c r="BV152" i="33"/>
  <c r="BU152" i="33"/>
  <c r="BT152" i="33"/>
  <c r="BS152" i="33"/>
  <c r="BR152" i="33"/>
  <c r="BQ152" i="33"/>
  <c r="BP152" i="33"/>
  <c r="BO152" i="33"/>
  <c r="BN152" i="33"/>
  <c r="BM152" i="33"/>
  <c r="BL152" i="33"/>
  <c r="BK152" i="33"/>
  <c r="BJ152" i="33"/>
  <c r="BI152" i="33"/>
  <c r="BH152" i="33"/>
  <c r="BG152" i="33"/>
  <c r="BF152" i="33"/>
  <c r="BE152" i="33"/>
  <c r="BD152" i="33"/>
  <c r="BC152" i="33"/>
  <c r="BB152" i="33"/>
  <c r="BA152" i="33"/>
  <c r="AZ152" i="33"/>
  <c r="AY152" i="33"/>
  <c r="AX152" i="33"/>
  <c r="AW152" i="33"/>
  <c r="AV152" i="33"/>
  <c r="AU152" i="33"/>
  <c r="AT152" i="33"/>
  <c r="AS152" i="33"/>
  <c r="AR152" i="33"/>
  <c r="AQ152" i="33"/>
  <c r="AP152" i="33"/>
  <c r="AO152" i="33"/>
  <c r="AN152" i="33"/>
  <c r="AM152" i="33"/>
  <c r="AL152" i="33"/>
  <c r="AK152" i="33"/>
  <c r="AJ152" i="33"/>
  <c r="AI152" i="33"/>
  <c r="AH152" i="33"/>
  <c r="AG152" i="33"/>
  <c r="AF152" i="33"/>
  <c r="AE152" i="33"/>
  <c r="AD152" i="33"/>
  <c r="AC152" i="33"/>
  <c r="AB152" i="33"/>
  <c r="AA152" i="33"/>
  <c r="Z152" i="33"/>
  <c r="Y152" i="33"/>
  <c r="X152" i="33"/>
  <c r="W152" i="33"/>
  <c r="V152" i="33"/>
  <c r="U152" i="33"/>
  <c r="T152" i="33"/>
  <c r="S152" i="33"/>
  <c r="R152" i="33"/>
  <c r="Q152" i="33"/>
  <c r="P152" i="33"/>
  <c r="O152" i="33"/>
  <c r="N152" i="33"/>
  <c r="M152" i="33"/>
  <c r="L152" i="33"/>
  <c r="K152" i="33"/>
  <c r="J152" i="33"/>
  <c r="I152" i="33"/>
  <c r="H152" i="33"/>
  <c r="G152" i="33"/>
  <c r="F152" i="33"/>
  <c r="E152" i="33"/>
  <c r="D152" i="33"/>
  <c r="C152" i="33"/>
  <c r="B152" i="33"/>
  <c r="A152" i="33"/>
  <c r="IV151" i="33"/>
  <c r="IU151" i="33"/>
  <c r="IT151" i="33"/>
  <c r="IS151" i="33"/>
  <c r="IR151" i="33"/>
  <c r="IQ151" i="33"/>
  <c r="IP151" i="33"/>
  <c r="IO151" i="33"/>
  <c r="IN151" i="33"/>
  <c r="IM151" i="33"/>
  <c r="IL151" i="33"/>
  <c r="IK151" i="33"/>
  <c r="IJ151" i="33"/>
  <c r="II151" i="33"/>
  <c r="IH151" i="33"/>
  <c r="IG151" i="33"/>
  <c r="IF151" i="33"/>
  <c r="IE151" i="33"/>
  <c r="ID151" i="33"/>
  <c r="IC151" i="33"/>
  <c r="IB151" i="33"/>
  <c r="IA151" i="33"/>
  <c r="HZ151" i="33"/>
  <c r="HY151" i="33"/>
  <c r="HX151" i="33"/>
  <c r="HW151" i="33"/>
  <c r="HV151" i="33"/>
  <c r="HU151" i="33"/>
  <c r="HT151" i="33"/>
  <c r="HS151" i="33"/>
  <c r="HR151" i="33"/>
  <c r="HQ151" i="33"/>
  <c r="HP151" i="33"/>
  <c r="HO151" i="33"/>
  <c r="HN151" i="33"/>
  <c r="HM151" i="33"/>
  <c r="HL151" i="33"/>
  <c r="HK151" i="33"/>
  <c r="HJ151" i="33"/>
  <c r="HI151" i="33"/>
  <c r="HH151" i="33"/>
  <c r="HG151" i="33"/>
  <c r="HF151" i="33"/>
  <c r="HE151" i="33"/>
  <c r="HD151" i="33"/>
  <c r="HC151" i="33"/>
  <c r="HB151" i="33"/>
  <c r="HA151" i="33"/>
  <c r="GZ151" i="33"/>
  <c r="GY151" i="33"/>
  <c r="GX151" i="33"/>
  <c r="GW151" i="33"/>
  <c r="GV151" i="33"/>
  <c r="GU151" i="33"/>
  <c r="GT151" i="33"/>
  <c r="GS151" i="33"/>
  <c r="GR151" i="33"/>
  <c r="GQ151" i="33"/>
  <c r="GP151" i="33"/>
  <c r="GO151" i="33"/>
  <c r="GN151" i="33"/>
  <c r="GM151" i="33"/>
  <c r="GL151" i="33"/>
  <c r="GK151" i="33"/>
  <c r="GJ151" i="33"/>
  <c r="GI151" i="33"/>
  <c r="GH151" i="33"/>
  <c r="GG151" i="33"/>
  <c r="GF151" i="33"/>
  <c r="GE151" i="33"/>
  <c r="GD151" i="33"/>
  <c r="GC151" i="33"/>
  <c r="GB151" i="33"/>
  <c r="GA151" i="33"/>
  <c r="FZ151" i="33"/>
  <c r="FY151" i="33"/>
  <c r="FX151" i="33"/>
  <c r="FW151" i="33"/>
  <c r="FV151" i="33"/>
  <c r="FU151" i="33"/>
  <c r="FT151" i="33"/>
  <c r="FS151" i="33"/>
  <c r="FR151" i="33"/>
  <c r="FQ151" i="33"/>
  <c r="FP151" i="33"/>
  <c r="FO151" i="33"/>
  <c r="FN151" i="33"/>
  <c r="FM151" i="33"/>
  <c r="FL151" i="33"/>
  <c r="FK151" i="33"/>
  <c r="FJ151" i="33"/>
  <c r="FI151" i="33"/>
  <c r="FH151" i="33"/>
  <c r="FG151" i="33"/>
  <c r="FF151" i="33"/>
  <c r="FE151" i="33"/>
  <c r="FD151" i="33"/>
  <c r="FC151" i="33"/>
  <c r="FB151" i="33"/>
  <c r="FA151" i="33"/>
  <c r="EZ151" i="33"/>
  <c r="EY151" i="33"/>
  <c r="EX151" i="33"/>
  <c r="EW151" i="33"/>
  <c r="EV151" i="33"/>
  <c r="EU151" i="33"/>
  <c r="ET151" i="33"/>
  <c r="ES151" i="33"/>
  <c r="ER151" i="33"/>
  <c r="EQ151" i="33"/>
  <c r="EP151" i="33"/>
  <c r="EO151" i="33"/>
  <c r="EN151" i="33"/>
  <c r="EM151" i="33"/>
  <c r="EL151" i="33"/>
  <c r="EK151" i="33"/>
  <c r="EJ151" i="33"/>
  <c r="EI151" i="33"/>
  <c r="EH151" i="33"/>
  <c r="EG151" i="33"/>
  <c r="EF151" i="33"/>
  <c r="EE151" i="33"/>
  <c r="ED151" i="33"/>
  <c r="EC151" i="33"/>
  <c r="EB151" i="33"/>
  <c r="EA151" i="33"/>
  <c r="DZ151" i="33"/>
  <c r="DY151" i="33"/>
  <c r="DX151" i="33"/>
  <c r="DW151" i="33"/>
  <c r="DV151" i="33"/>
  <c r="DU151" i="33"/>
  <c r="DT151" i="33"/>
  <c r="DS151" i="33"/>
  <c r="DR151" i="33"/>
  <c r="DQ151" i="33"/>
  <c r="DP151" i="33"/>
  <c r="DO151" i="33"/>
  <c r="DN151" i="33"/>
  <c r="DM151" i="33"/>
  <c r="DL151" i="33"/>
  <c r="DK151" i="33"/>
  <c r="DJ151" i="33"/>
  <c r="DI151" i="33"/>
  <c r="DH151" i="33"/>
  <c r="DG151" i="33"/>
  <c r="DF151" i="33"/>
  <c r="DE151" i="33"/>
  <c r="DD151" i="33"/>
  <c r="DC151" i="33"/>
  <c r="DB151" i="33"/>
  <c r="DA151" i="33"/>
  <c r="CZ151" i="33"/>
  <c r="CY151" i="33"/>
  <c r="CX151" i="33"/>
  <c r="CW151" i="33"/>
  <c r="CV151" i="33"/>
  <c r="CU151" i="33"/>
  <c r="CT151" i="33"/>
  <c r="CS151" i="33"/>
  <c r="CR151" i="33"/>
  <c r="CQ151" i="33"/>
  <c r="CP151" i="33"/>
  <c r="CO151" i="33"/>
  <c r="CN151" i="33"/>
  <c r="CM151" i="33"/>
  <c r="CL151" i="33"/>
  <c r="CK151" i="33"/>
  <c r="CJ151" i="33"/>
  <c r="CI151" i="33"/>
  <c r="CH151" i="33"/>
  <c r="CG151" i="33"/>
  <c r="CF151" i="33"/>
  <c r="CE151" i="33"/>
  <c r="CD151" i="33"/>
  <c r="CC151" i="33"/>
  <c r="CB151" i="33"/>
  <c r="CA151" i="33"/>
  <c r="BZ151" i="33"/>
  <c r="BY151" i="33"/>
  <c r="BX151" i="33"/>
  <c r="BW151" i="33"/>
  <c r="BV151" i="33"/>
  <c r="BU151" i="33"/>
  <c r="BT151" i="33"/>
  <c r="BS151" i="33"/>
  <c r="BR151" i="33"/>
  <c r="BQ151" i="33"/>
  <c r="BP151" i="33"/>
  <c r="BO151" i="33"/>
  <c r="BN151" i="33"/>
  <c r="BM151" i="33"/>
  <c r="BL151" i="33"/>
  <c r="BK151" i="33"/>
  <c r="BJ151" i="33"/>
  <c r="BI151" i="33"/>
  <c r="BH151" i="33"/>
  <c r="BG151" i="33"/>
  <c r="BF151" i="33"/>
  <c r="BE151" i="33"/>
  <c r="BD151" i="33"/>
  <c r="BC151" i="33"/>
  <c r="BB151" i="33"/>
  <c r="BA151" i="33"/>
  <c r="AZ151" i="33"/>
  <c r="AY151" i="33"/>
  <c r="AX151" i="33"/>
  <c r="AW151" i="33"/>
  <c r="AV151" i="33"/>
  <c r="AU151" i="33"/>
  <c r="AT151" i="33"/>
  <c r="AS151" i="33"/>
  <c r="AR151" i="33"/>
  <c r="AQ151" i="33"/>
  <c r="AP151" i="33"/>
  <c r="AO151" i="33"/>
  <c r="AN151" i="33"/>
  <c r="AM151" i="33"/>
  <c r="AL151" i="33"/>
  <c r="AK151" i="33"/>
  <c r="AJ151" i="33"/>
  <c r="AI151" i="33"/>
  <c r="AH151" i="33"/>
  <c r="AG151" i="33"/>
  <c r="AF151" i="33"/>
  <c r="AE151" i="33"/>
  <c r="AD151" i="33"/>
  <c r="AC151" i="33"/>
  <c r="AB151" i="33"/>
  <c r="AA151" i="33"/>
  <c r="Z151" i="33"/>
  <c r="Y151" i="33"/>
  <c r="X151" i="33"/>
  <c r="W151" i="33"/>
  <c r="V151" i="33"/>
  <c r="U151" i="33"/>
  <c r="T151" i="33"/>
  <c r="S151" i="33"/>
  <c r="R151" i="33"/>
  <c r="Q151" i="33"/>
  <c r="P151" i="33"/>
  <c r="O151" i="33"/>
  <c r="N151" i="33"/>
  <c r="M151" i="33"/>
  <c r="L151" i="33"/>
  <c r="K151" i="33"/>
  <c r="J151" i="33"/>
  <c r="I151" i="33"/>
  <c r="H151" i="33"/>
  <c r="G151" i="33"/>
  <c r="F151" i="33"/>
  <c r="E151" i="33"/>
  <c r="D151" i="33"/>
  <c r="C151" i="33"/>
  <c r="B151" i="33"/>
  <c r="A151" i="33"/>
  <c r="IV150" i="33"/>
  <c r="IU150" i="33"/>
  <c r="IT150" i="33"/>
  <c r="IS150" i="33"/>
  <c r="IR150" i="33"/>
  <c r="IQ150" i="33"/>
  <c r="IP150" i="33"/>
  <c r="IO150" i="33"/>
  <c r="IN150" i="33"/>
  <c r="IM150" i="33"/>
  <c r="IL150" i="33"/>
  <c r="IK150" i="33"/>
  <c r="IJ150" i="33"/>
  <c r="II150" i="33"/>
  <c r="IH150" i="33"/>
  <c r="IG150" i="33"/>
  <c r="IF150" i="33"/>
  <c r="IE150" i="33"/>
  <c r="ID150" i="33"/>
  <c r="IC150" i="33"/>
  <c r="IB150" i="33"/>
  <c r="IA150" i="33"/>
  <c r="HZ150" i="33"/>
  <c r="HY150" i="33"/>
  <c r="HX150" i="33"/>
  <c r="HW150" i="33"/>
  <c r="HV150" i="33"/>
  <c r="HU150" i="33"/>
  <c r="HT150" i="33"/>
  <c r="HS150" i="33"/>
  <c r="HR150" i="33"/>
  <c r="HQ150" i="33"/>
  <c r="HP150" i="33"/>
  <c r="HO150" i="33"/>
  <c r="HN150" i="33"/>
  <c r="HM150" i="33"/>
  <c r="HL150" i="33"/>
  <c r="HK150" i="33"/>
  <c r="HJ150" i="33"/>
  <c r="HI150" i="33"/>
  <c r="HH150" i="33"/>
  <c r="HG150" i="33"/>
  <c r="HF150" i="33"/>
  <c r="HE150" i="33"/>
  <c r="HD150" i="33"/>
  <c r="HC150" i="33"/>
  <c r="HB150" i="33"/>
  <c r="HA150" i="33"/>
  <c r="GZ150" i="33"/>
  <c r="GY150" i="33"/>
  <c r="GX150" i="33"/>
  <c r="GW150" i="33"/>
  <c r="GV150" i="33"/>
  <c r="GU150" i="33"/>
  <c r="GT150" i="33"/>
  <c r="GS150" i="33"/>
  <c r="GR150" i="33"/>
  <c r="GQ150" i="33"/>
  <c r="GP150" i="33"/>
  <c r="GO150" i="33"/>
  <c r="GN150" i="33"/>
  <c r="GM150" i="33"/>
  <c r="GL150" i="33"/>
  <c r="GK150" i="33"/>
  <c r="GJ150" i="33"/>
  <c r="GI150" i="33"/>
  <c r="GH150" i="33"/>
  <c r="GG150" i="33"/>
  <c r="GF150" i="33"/>
  <c r="GE150" i="33"/>
  <c r="GD150" i="33"/>
  <c r="GC150" i="33"/>
  <c r="GB150" i="33"/>
  <c r="GA150" i="33"/>
  <c r="FZ150" i="33"/>
  <c r="FY150" i="33"/>
  <c r="FX150" i="33"/>
  <c r="FW150" i="33"/>
  <c r="FV150" i="33"/>
  <c r="FU150" i="33"/>
  <c r="FT150" i="33"/>
  <c r="FS150" i="33"/>
  <c r="FR150" i="33"/>
  <c r="FQ150" i="33"/>
  <c r="FP150" i="33"/>
  <c r="FO150" i="33"/>
  <c r="FN150" i="33"/>
  <c r="FM150" i="33"/>
  <c r="FL150" i="33"/>
  <c r="FK150" i="33"/>
  <c r="FJ150" i="33"/>
  <c r="FI150" i="33"/>
  <c r="FH150" i="33"/>
  <c r="FG150" i="33"/>
  <c r="FF150" i="33"/>
  <c r="FE150" i="33"/>
  <c r="FD150" i="33"/>
  <c r="FC150" i="33"/>
  <c r="FB150" i="33"/>
  <c r="FA150" i="33"/>
  <c r="EZ150" i="33"/>
  <c r="EY150" i="33"/>
  <c r="EX150" i="33"/>
  <c r="EW150" i="33"/>
  <c r="EV150" i="33"/>
  <c r="EU150" i="33"/>
  <c r="ET150" i="33"/>
  <c r="ES150" i="33"/>
  <c r="ER150" i="33"/>
  <c r="EQ150" i="33"/>
  <c r="EP150" i="33"/>
  <c r="EO150" i="33"/>
  <c r="EN150" i="33"/>
  <c r="EM150" i="33"/>
  <c r="EL150" i="33"/>
  <c r="EK150" i="33"/>
  <c r="EJ150" i="33"/>
  <c r="EI150" i="33"/>
  <c r="EH150" i="33"/>
  <c r="EG150" i="33"/>
  <c r="EF150" i="33"/>
  <c r="EE150" i="33"/>
  <c r="ED150" i="33"/>
  <c r="EC150" i="33"/>
  <c r="EB150" i="33"/>
  <c r="EA150" i="33"/>
  <c r="DZ150" i="33"/>
  <c r="DY150" i="33"/>
  <c r="DX150" i="33"/>
  <c r="DW150" i="33"/>
  <c r="DV150" i="33"/>
  <c r="DU150" i="33"/>
  <c r="DT150" i="33"/>
  <c r="DS150" i="33"/>
  <c r="DR150" i="33"/>
  <c r="DQ150" i="33"/>
  <c r="DP150" i="33"/>
  <c r="DO150" i="33"/>
  <c r="DN150" i="33"/>
  <c r="DM150" i="33"/>
  <c r="DL150" i="33"/>
  <c r="DK150" i="33"/>
  <c r="DJ150" i="33"/>
  <c r="DI150" i="33"/>
  <c r="DH150" i="33"/>
  <c r="DG150" i="33"/>
  <c r="DF150" i="33"/>
  <c r="DE150" i="33"/>
  <c r="DD150" i="33"/>
  <c r="DC150" i="33"/>
  <c r="DB150" i="33"/>
  <c r="DA150" i="33"/>
  <c r="CZ150" i="33"/>
  <c r="CY150" i="33"/>
  <c r="CX150" i="33"/>
  <c r="CW150" i="33"/>
  <c r="CV150" i="33"/>
  <c r="CU150" i="33"/>
  <c r="CT150" i="33"/>
  <c r="CS150" i="33"/>
  <c r="CR150" i="33"/>
  <c r="CQ150" i="33"/>
  <c r="CP150" i="33"/>
  <c r="CO150" i="33"/>
  <c r="CN150" i="33"/>
  <c r="CM150" i="33"/>
  <c r="CL150" i="33"/>
  <c r="CK150" i="33"/>
  <c r="CJ150" i="33"/>
  <c r="CI150" i="33"/>
  <c r="CH150" i="33"/>
  <c r="CG150" i="33"/>
  <c r="CF150" i="33"/>
  <c r="CE150" i="33"/>
  <c r="CD150" i="33"/>
  <c r="CC150" i="33"/>
  <c r="CB150" i="33"/>
  <c r="CA150" i="33"/>
  <c r="BZ150" i="33"/>
  <c r="BY150" i="33"/>
  <c r="BX150" i="33"/>
  <c r="BW150" i="33"/>
  <c r="BV150" i="33"/>
  <c r="BU150" i="33"/>
  <c r="BT150" i="33"/>
  <c r="BS150" i="33"/>
  <c r="BR150" i="33"/>
  <c r="BQ150" i="33"/>
  <c r="BP150" i="33"/>
  <c r="BO150" i="33"/>
  <c r="BN150" i="33"/>
  <c r="BM150" i="33"/>
  <c r="BL150" i="33"/>
  <c r="BK150" i="33"/>
  <c r="BJ150" i="33"/>
  <c r="BI150" i="33"/>
  <c r="BH150" i="33"/>
  <c r="BG150" i="33"/>
  <c r="BF150" i="33"/>
  <c r="BE150" i="33"/>
  <c r="BD150" i="33"/>
  <c r="BC150" i="33"/>
  <c r="BB150" i="33"/>
  <c r="BA150" i="33"/>
  <c r="AZ150" i="33"/>
  <c r="AY150" i="33"/>
  <c r="AX150" i="33"/>
  <c r="AW150" i="33"/>
  <c r="AV150" i="33"/>
  <c r="AU150" i="33"/>
  <c r="AT150" i="33"/>
  <c r="AS150" i="33"/>
  <c r="AR150" i="33"/>
  <c r="AQ150" i="33"/>
  <c r="AP150" i="33"/>
  <c r="AO150" i="33"/>
  <c r="AN150" i="33"/>
  <c r="AM150" i="33"/>
  <c r="AL150" i="33"/>
  <c r="AK150" i="33"/>
  <c r="AJ150" i="33"/>
  <c r="AI150" i="33"/>
  <c r="AH150" i="33"/>
  <c r="AG150" i="33"/>
  <c r="AF150" i="33"/>
  <c r="AE150" i="33"/>
  <c r="AD150" i="33"/>
  <c r="AC150" i="33"/>
  <c r="AB150" i="33"/>
  <c r="AA150" i="33"/>
  <c r="Z150" i="33"/>
  <c r="Y150" i="33"/>
  <c r="X150" i="33"/>
  <c r="W150" i="33"/>
  <c r="V150" i="33"/>
  <c r="U150" i="33"/>
  <c r="T150" i="33"/>
  <c r="S150" i="33"/>
  <c r="R150" i="33"/>
  <c r="Q150" i="33"/>
  <c r="P150" i="33"/>
  <c r="O150" i="33"/>
  <c r="N150" i="33"/>
  <c r="M150" i="33"/>
  <c r="L150" i="33"/>
  <c r="K150" i="33"/>
  <c r="J150" i="33"/>
  <c r="I150" i="33"/>
  <c r="H150" i="33"/>
  <c r="G150" i="33"/>
  <c r="F150" i="33"/>
  <c r="E150" i="33"/>
  <c r="D150" i="33"/>
  <c r="C150" i="33"/>
  <c r="B150" i="33"/>
  <c r="A150" i="33"/>
  <c r="IV149" i="33"/>
  <c r="IU149" i="33"/>
  <c r="IT149" i="33"/>
  <c r="IS149" i="33"/>
  <c r="IR149" i="33"/>
  <c r="IQ149" i="33"/>
  <c r="IP149" i="33"/>
  <c r="IO149" i="33"/>
  <c r="IN149" i="33"/>
  <c r="IM149" i="33"/>
  <c r="IL149" i="33"/>
  <c r="IK149" i="33"/>
  <c r="IJ149" i="33"/>
  <c r="II149" i="33"/>
  <c r="IH149" i="33"/>
  <c r="IG149" i="33"/>
  <c r="IF149" i="33"/>
  <c r="IE149" i="33"/>
  <c r="ID149" i="33"/>
  <c r="IC149" i="33"/>
  <c r="IB149" i="33"/>
  <c r="IA149" i="33"/>
  <c r="HZ149" i="33"/>
  <c r="HY149" i="33"/>
  <c r="HX149" i="33"/>
  <c r="HW149" i="33"/>
  <c r="HV149" i="33"/>
  <c r="HU149" i="33"/>
  <c r="HT149" i="33"/>
  <c r="HS149" i="33"/>
  <c r="HR149" i="33"/>
  <c r="HQ149" i="33"/>
  <c r="HP149" i="33"/>
  <c r="HO149" i="33"/>
  <c r="HN149" i="33"/>
  <c r="HM149" i="33"/>
  <c r="HL149" i="33"/>
  <c r="HK149" i="33"/>
  <c r="HJ149" i="33"/>
  <c r="HI149" i="33"/>
  <c r="HH149" i="33"/>
  <c r="HG149" i="33"/>
  <c r="HF149" i="33"/>
  <c r="HE149" i="33"/>
  <c r="HD149" i="33"/>
  <c r="HC149" i="33"/>
  <c r="HB149" i="33"/>
  <c r="HA149" i="33"/>
  <c r="GZ149" i="33"/>
  <c r="GY149" i="33"/>
  <c r="GX149" i="33"/>
  <c r="GW149" i="33"/>
  <c r="GV149" i="33"/>
  <c r="GU149" i="33"/>
  <c r="GT149" i="33"/>
  <c r="GS149" i="33"/>
  <c r="GR149" i="33"/>
  <c r="GQ149" i="33"/>
  <c r="GP149" i="33"/>
  <c r="GO149" i="33"/>
  <c r="GN149" i="33"/>
  <c r="GM149" i="33"/>
  <c r="GL149" i="33"/>
  <c r="GK149" i="33"/>
  <c r="GJ149" i="33"/>
  <c r="GI149" i="33"/>
  <c r="GH149" i="33"/>
  <c r="GG149" i="33"/>
  <c r="GF149" i="33"/>
  <c r="GE149" i="33"/>
  <c r="GD149" i="33"/>
  <c r="GC149" i="33"/>
  <c r="GB149" i="33"/>
  <c r="GA149" i="33"/>
  <c r="FZ149" i="33"/>
  <c r="FY149" i="33"/>
  <c r="FX149" i="33"/>
  <c r="FW149" i="33"/>
  <c r="FV149" i="33"/>
  <c r="FU149" i="33"/>
  <c r="FT149" i="33"/>
  <c r="FS149" i="33"/>
  <c r="FR149" i="33"/>
  <c r="FQ149" i="33"/>
  <c r="FP149" i="33"/>
  <c r="FO149" i="33"/>
  <c r="FN149" i="33"/>
  <c r="FM149" i="33"/>
  <c r="FL149" i="33"/>
  <c r="FK149" i="33"/>
  <c r="FJ149" i="33"/>
  <c r="FI149" i="33"/>
  <c r="FH149" i="33"/>
  <c r="FG149" i="33"/>
  <c r="FF149" i="33"/>
  <c r="FE149" i="33"/>
  <c r="FD149" i="33"/>
  <c r="FC149" i="33"/>
  <c r="FB149" i="33"/>
  <c r="FA149" i="33"/>
  <c r="EZ149" i="33"/>
  <c r="EY149" i="33"/>
  <c r="EX149" i="33"/>
  <c r="EW149" i="33"/>
  <c r="EV149" i="33"/>
  <c r="EU149" i="33"/>
  <c r="ET149" i="33"/>
  <c r="ES149" i="33"/>
  <c r="ER149" i="33"/>
  <c r="EQ149" i="33"/>
  <c r="EP149" i="33"/>
  <c r="EO149" i="33"/>
  <c r="EN149" i="33"/>
  <c r="EM149" i="33"/>
  <c r="EL149" i="33"/>
  <c r="EK149" i="33"/>
  <c r="EJ149" i="33"/>
  <c r="EI149" i="33"/>
  <c r="EH149" i="33"/>
  <c r="EG149" i="33"/>
  <c r="EF149" i="33"/>
  <c r="EE149" i="33"/>
  <c r="ED149" i="33"/>
  <c r="EC149" i="33"/>
  <c r="EB149" i="33"/>
  <c r="EA149" i="33"/>
  <c r="DZ149" i="33"/>
  <c r="DY149" i="33"/>
  <c r="DX149" i="33"/>
  <c r="DW149" i="33"/>
  <c r="DV149" i="33"/>
  <c r="DU149" i="33"/>
  <c r="DT149" i="33"/>
  <c r="DS149" i="33"/>
  <c r="DR149" i="33"/>
  <c r="DQ149" i="33"/>
  <c r="DP149" i="33"/>
  <c r="DO149" i="33"/>
  <c r="DN149" i="33"/>
  <c r="DM149" i="33"/>
  <c r="DL149" i="33"/>
  <c r="DK149" i="33"/>
  <c r="DJ149" i="33"/>
  <c r="DI149" i="33"/>
  <c r="DH149" i="33"/>
  <c r="DG149" i="33"/>
  <c r="DF149" i="33"/>
  <c r="DE149" i="33"/>
  <c r="DD149" i="33"/>
  <c r="DC149" i="33"/>
  <c r="DB149" i="33"/>
  <c r="DA149" i="33"/>
  <c r="CZ149" i="33"/>
  <c r="CY149" i="33"/>
  <c r="CX149" i="33"/>
  <c r="CW149" i="33"/>
  <c r="CV149" i="33"/>
  <c r="CU149" i="33"/>
  <c r="CT149" i="33"/>
  <c r="CS149" i="33"/>
  <c r="CR149" i="33"/>
  <c r="CQ149" i="33"/>
  <c r="CP149" i="33"/>
  <c r="CO149" i="33"/>
  <c r="CN149" i="33"/>
  <c r="CM149" i="33"/>
  <c r="CL149" i="33"/>
  <c r="CK149" i="33"/>
  <c r="CJ149" i="33"/>
  <c r="CI149" i="33"/>
  <c r="CH149" i="33"/>
  <c r="CG149" i="33"/>
  <c r="CF149" i="33"/>
  <c r="CE149" i="33"/>
  <c r="CD149" i="33"/>
  <c r="CC149" i="33"/>
  <c r="CB149" i="33"/>
  <c r="CA149" i="33"/>
  <c r="BZ149" i="33"/>
  <c r="BY149" i="33"/>
  <c r="BX149" i="33"/>
  <c r="BW149" i="33"/>
  <c r="BV149" i="33"/>
  <c r="BU149" i="33"/>
  <c r="BT149" i="33"/>
  <c r="BS149" i="33"/>
  <c r="BR149" i="33"/>
  <c r="BQ149" i="33"/>
  <c r="BP149" i="33"/>
  <c r="BO149" i="33"/>
  <c r="BN149" i="33"/>
  <c r="BM149" i="33"/>
  <c r="BL149" i="33"/>
  <c r="BK149" i="33"/>
  <c r="BJ149" i="33"/>
  <c r="BI149" i="33"/>
  <c r="BH149" i="33"/>
  <c r="BG149" i="33"/>
  <c r="BF149" i="33"/>
  <c r="BE149" i="33"/>
  <c r="BD149" i="33"/>
  <c r="BC149" i="33"/>
  <c r="BB149" i="33"/>
  <c r="BA149" i="33"/>
  <c r="AZ149" i="33"/>
  <c r="AY149" i="33"/>
  <c r="AX149" i="33"/>
  <c r="AW149" i="33"/>
  <c r="AV149" i="33"/>
  <c r="AU149" i="33"/>
  <c r="AT149" i="33"/>
  <c r="AS149" i="33"/>
  <c r="AR149" i="33"/>
  <c r="AQ149" i="33"/>
  <c r="AP149" i="33"/>
  <c r="AO149" i="33"/>
  <c r="AN149" i="33"/>
  <c r="AM149" i="33"/>
  <c r="AL149" i="33"/>
  <c r="AK149" i="33"/>
  <c r="AJ149" i="33"/>
  <c r="AI149" i="33"/>
  <c r="AH149" i="33"/>
  <c r="AG149" i="33"/>
  <c r="AF149" i="33"/>
  <c r="AE149" i="33"/>
  <c r="AD149" i="33"/>
  <c r="AC149" i="33"/>
  <c r="AB149" i="33"/>
  <c r="AA149" i="33"/>
  <c r="Z149" i="33"/>
  <c r="Y149" i="33"/>
  <c r="X149" i="33"/>
  <c r="W149" i="33"/>
  <c r="V149" i="33"/>
  <c r="U149" i="33"/>
  <c r="T149" i="33"/>
  <c r="S149" i="33"/>
  <c r="R149" i="33"/>
  <c r="Q149" i="33"/>
  <c r="P149" i="33"/>
  <c r="O149" i="33"/>
  <c r="N149" i="33"/>
  <c r="M149" i="33"/>
  <c r="L149" i="33"/>
  <c r="K149" i="33"/>
  <c r="J149" i="33"/>
  <c r="I149" i="33"/>
  <c r="H149" i="33"/>
  <c r="G149" i="33"/>
  <c r="F149" i="33"/>
  <c r="E149" i="33"/>
  <c r="D149" i="33"/>
  <c r="C149" i="33"/>
  <c r="B149" i="33"/>
  <c r="A149" i="33"/>
  <c r="IV148" i="33"/>
  <c r="IU148" i="33"/>
  <c r="IT148" i="33"/>
  <c r="IS148" i="33"/>
  <c r="IR148" i="33"/>
  <c r="IQ148" i="33"/>
  <c r="IP148" i="33"/>
  <c r="IO148" i="33"/>
  <c r="IN148" i="33"/>
  <c r="IM148" i="33"/>
  <c r="IL148" i="33"/>
  <c r="IK148" i="33"/>
  <c r="IJ148" i="33"/>
  <c r="II148" i="33"/>
  <c r="IH148" i="33"/>
  <c r="IG148" i="33"/>
  <c r="IF148" i="33"/>
  <c r="IE148" i="33"/>
  <c r="ID148" i="33"/>
  <c r="IC148" i="33"/>
  <c r="IB148" i="33"/>
  <c r="IA148" i="33"/>
  <c r="HZ148" i="33"/>
  <c r="HY148" i="33"/>
  <c r="HX148" i="33"/>
  <c r="HW148" i="33"/>
  <c r="HV148" i="33"/>
  <c r="HU148" i="33"/>
  <c r="HT148" i="33"/>
  <c r="HS148" i="33"/>
  <c r="HR148" i="33"/>
  <c r="HQ148" i="33"/>
  <c r="HP148" i="33"/>
  <c r="HO148" i="33"/>
  <c r="HN148" i="33"/>
  <c r="HM148" i="33"/>
  <c r="HL148" i="33"/>
  <c r="HK148" i="33"/>
  <c r="HJ148" i="33"/>
  <c r="HI148" i="33"/>
  <c r="HH148" i="33"/>
  <c r="HG148" i="33"/>
  <c r="HF148" i="33"/>
  <c r="HE148" i="33"/>
  <c r="HD148" i="33"/>
  <c r="HC148" i="33"/>
  <c r="HB148" i="33"/>
  <c r="HA148" i="33"/>
  <c r="GZ148" i="33"/>
  <c r="GY148" i="33"/>
  <c r="GX148" i="33"/>
  <c r="GW148" i="33"/>
  <c r="GV148" i="33"/>
  <c r="GU148" i="33"/>
  <c r="GT148" i="33"/>
  <c r="GS148" i="33"/>
  <c r="GR148" i="33"/>
  <c r="GQ148" i="33"/>
  <c r="GP148" i="33"/>
  <c r="GO148" i="33"/>
  <c r="GN148" i="33"/>
  <c r="GM148" i="33"/>
  <c r="GL148" i="33"/>
  <c r="GK148" i="33"/>
  <c r="GJ148" i="33"/>
  <c r="GI148" i="33"/>
  <c r="GH148" i="33"/>
  <c r="GG148" i="33"/>
  <c r="GF148" i="33"/>
  <c r="GE148" i="33"/>
  <c r="GD148" i="33"/>
  <c r="GC148" i="33"/>
  <c r="GB148" i="33"/>
  <c r="GA148" i="33"/>
  <c r="FZ148" i="33"/>
  <c r="FY148" i="33"/>
  <c r="FX148" i="33"/>
  <c r="FW148" i="33"/>
  <c r="FV148" i="33"/>
  <c r="FU148" i="33"/>
  <c r="FT148" i="33"/>
  <c r="FS148" i="33"/>
  <c r="FR148" i="33"/>
  <c r="FQ148" i="33"/>
  <c r="FP148" i="33"/>
  <c r="FO148" i="33"/>
  <c r="FN148" i="33"/>
  <c r="FM148" i="33"/>
  <c r="FL148" i="33"/>
  <c r="FK148" i="33"/>
  <c r="FJ148" i="33"/>
  <c r="FI148" i="33"/>
  <c r="FH148" i="33"/>
  <c r="FG148" i="33"/>
  <c r="FF148" i="33"/>
  <c r="FE148" i="33"/>
  <c r="FD148" i="33"/>
  <c r="FC148" i="33"/>
  <c r="FB148" i="33"/>
  <c r="FA148" i="33"/>
  <c r="EZ148" i="33"/>
  <c r="EY148" i="33"/>
  <c r="EX148" i="33"/>
  <c r="EW148" i="33"/>
  <c r="EV148" i="33"/>
  <c r="EU148" i="33"/>
  <c r="ET148" i="33"/>
  <c r="ES148" i="33"/>
  <c r="ER148" i="33"/>
  <c r="EQ148" i="33"/>
  <c r="EP148" i="33"/>
  <c r="EO148" i="33"/>
  <c r="EN148" i="33"/>
  <c r="EM148" i="33"/>
  <c r="EL148" i="33"/>
  <c r="EK148" i="33"/>
  <c r="EJ148" i="33"/>
  <c r="EI148" i="33"/>
  <c r="EH148" i="33"/>
  <c r="EG148" i="33"/>
  <c r="EF148" i="33"/>
  <c r="EE148" i="33"/>
  <c r="ED148" i="33"/>
  <c r="EC148" i="33"/>
  <c r="EB148" i="33"/>
  <c r="EA148" i="33"/>
  <c r="DZ148" i="33"/>
  <c r="DY148" i="33"/>
  <c r="DX148" i="33"/>
  <c r="DW148" i="33"/>
  <c r="DV148" i="33"/>
  <c r="DU148" i="33"/>
  <c r="DT148" i="33"/>
  <c r="DS148" i="33"/>
  <c r="DR148" i="33"/>
  <c r="DQ148" i="33"/>
  <c r="DP148" i="33"/>
  <c r="DO148" i="33"/>
  <c r="DN148" i="33"/>
  <c r="DM148" i="33"/>
  <c r="DL148" i="33"/>
  <c r="DK148" i="33"/>
  <c r="DJ148" i="33"/>
  <c r="DI148" i="33"/>
  <c r="DH148" i="33"/>
  <c r="DG148" i="33"/>
  <c r="DF148" i="33"/>
  <c r="DE148" i="33"/>
  <c r="DD148" i="33"/>
  <c r="DC148" i="33"/>
  <c r="DB148" i="33"/>
  <c r="DA148" i="33"/>
  <c r="CZ148" i="33"/>
  <c r="CY148" i="33"/>
  <c r="CX148" i="33"/>
  <c r="CW148" i="33"/>
  <c r="CV148" i="33"/>
  <c r="CU148" i="33"/>
  <c r="CT148" i="33"/>
  <c r="CS148" i="33"/>
  <c r="CR148" i="33"/>
  <c r="CQ148" i="33"/>
  <c r="CP148" i="33"/>
  <c r="CO148" i="33"/>
  <c r="CN148" i="33"/>
  <c r="CM148" i="33"/>
  <c r="CL148" i="33"/>
  <c r="CK148" i="33"/>
  <c r="CJ148" i="33"/>
  <c r="CI148" i="33"/>
  <c r="CH148" i="33"/>
  <c r="CG148" i="33"/>
  <c r="CF148" i="33"/>
  <c r="CE148" i="33"/>
  <c r="CD148" i="33"/>
  <c r="CC148" i="33"/>
  <c r="CB148" i="33"/>
  <c r="CA148" i="33"/>
  <c r="BZ148" i="33"/>
  <c r="BY148" i="33"/>
  <c r="BX148" i="33"/>
  <c r="BW148" i="33"/>
  <c r="BV148" i="33"/>
  <c r="BU148" i="33"/>
  <c r="BT148" i="33"/>
  <c r="BS148" i="33"/>
  <c r="BR148" i="33"/>
  <c r="BQ148" i="33"/>
  <c r="BP148" i="33"/>
  <c r="BO148" i="33"/>
  <c r="BN148" i="33"/>
  <c r="BM148" i="33"/>
  <c r="BL148" i="33"/>
  <c r="BK148" i="33"/>
  <c r="BJ148" i="33"/>
  <c r="BI148" i="33"/>
  <c r="BH148" i="33"/>
  <c r="BG148" i="33"/>
  <c r="BF148" i="33"/>
  <c r="BE148" i="33"/>
  <c r="BD148" i="33"/>
  <c r="BC148" i="33"/>
  <c r="BB148" i="33"/>
  <c r="BA148" i="33"/>
  <c r="AZ148" i="33"/>
  <c r="AY148" i="33"/>
  <c r="AX148" i="33"/>
  <c r="AW148" i="33"/>
  <c r="AV148" i="33"/>
  <c r="AU148" i="33"/>
  <c r="AT148" i="33"/>
  <c r="AS148" i="33"/>
  <c r="AR148" i="33"/>
  <c r="AQ148" i="33"/>
  <c r="AP148" i="33"/>
  <c r="AO148" i="33"/>
  <c r="AN148" i="33"/>
  <c r="AM148" i="33"/>
  <c r="AL148" i="33"/>
  <c r="AK148" i="33"/>
  <c r="AJ148" i="33"/>
  <c r="AI148" i="33"/>
  <c r="AH148" i="33"/>
  <c r="AG148" i="33"/>
  <c r="AF148" i="33"/>
  <c r="AE148" i="33"/>
  <c r="AD148" i="33"/>
  <c r="AC148" i="33"/>
  <c r="AB148" i="33"/>
  <c r="AA148" i="33"/>
  <c r="Z148" i="33"/>
  <c r="Y148" i="33"/>
  <c r="X148" i="33"/>
  <c r="W148" i="33"/>
  <c r="V148" i="33"/>
  <c r="U148" i="33"/>
  <c r="T148" i="33"/>
  <c r="S148" i="33"/>
  <c r="R148" i="33"/>
  <c r="Q148" i="33"/>
  <c r="P148" i="33"/>
  <c r="O148" i="33"/>
  <c r="N148" i="33"/>
  <c r="M148" i="33"/>
  <c r="L148" i="33"/>
  <c r="K148" i="33"/>
  <c r="J148" i="33"/>
  <c r="I148" i="33"/>
  <c r="H148" i="33"/>
  <c r="G148" i="33"/>
  <c r="F148" i="33"/>
  <c r="E148" i="33"/>
  <c r="D148" i="33"/>
  <c r="C148" i="33"/>
  <c r="B148" i="33"/>
  <c r="A148" i="33"/>
  <c r="IV147" i="33"/>
  <c r="IU147" i="33"/>
  <c r="IT147" i="33"/>
  <c r="IS147" i="33"/>
  <c r="IR147" i="33"/>
  <c r="IQ147" i="33"/>
  <c r="IP147" i="33"/>
  <c r="IO147" i="33"/>
  <c r="IN147" i="33"/>
  <c r="IM147" i="33"/>
  <c r="IL147" i="33"/>
  <c r="IK147" i="33"/>
  <c r="IJ147" i="33"/>
  <c r="II147" i="33"/>
  <c r="IH147" i="33"/>
  <c r="IG147" i="33"/>
  <c r="IF147" i="33"/>
  <c r="IE147" i="33"/>
  <c r="ID147" i="33"/>
  <c r="IC147" i="33"/>
  <c r="IB147" i="33"/>
  <c r="IA147" i="33"/>
  <c r="HZ147" i="33"/>
  <c r="HY147" i="33"/>
  <c r="HX147" i="33"/>
  <c r="HW147" i="33"/>
  <c r="HV147" i="33"/>
  <c r="HU147" i="33"/>
  <c r="HT147" i="33"/>
  <c r="HS147" i="33"/>
  <c r="HR147" i="33"/>
  <c r="HQ147" i="33"/>
  <c r="HP147" i="33"/>
  <c r="HO147" i="33"/>
  <c r="HN147" i="33"/>
  <c r="HM147" i="33"/>
  <c r="HL147" i="33"/>
  <c r="HK147" i="33"/>
  <c r="HJ147" i="33"/>
  <c r="HI147" i="33"/>
  <c r="HH147" i="33"/>
  <c r="HG147" i="33"/>
  <c r="HF147" i="33"/>
  <c r="HE147" i="33"/>
  <c r="HD147" i="33"/>
  <c r="HC147" i="33"/>
  <c r="HB147" i="33"/>
  <c r="HA147" i="33"/>
  <c r="GZ147" i="33"/>
  <c r="GY147" i="33"/>
  <c r="GX147" i="33"/>
  <c r="GW147" i="33"/>
  <c r="GV147" i="33"/>
  <c r="GU147" i="33"/>
  <c r="GT147" i="33"/>
  <c r="GS147" i="33"/>
  <c r="GR147" i="33"/>
  <c r="GQ147" i="33"/>
  <c r="GP147" i="33"/>
  <c r="GO147" i="33"/>
  <c r="GN147" i="33"/>
  <c r="GM147" i="33"/>
  <c r="GL147" i="33"/>
  <c r="GK147" i="33"/>
  <c r="GJ147" i="33"/>
  <c r="GI147" i="33"/>
  <c r="GH147" i="33"/>
  <c r="GG147" i="33"/>
  <c r="GF147" i="33"/>
  <c r="GE147" i="33"/>
  <c r="GD147" i="33"/>
  <c r="GC147" i="33"/>
  <c r="GB147" i="33"/>
  <c r="GA147" i="33"/>
  <c r="FZ147" i="33"/>
  <c r="FY147" i="33"/>
  <c r="FX147" i="33"/>
  <c r="FW147" i="33"/>
  <c r="FV147" i="33"/>
  <c r="FU147" i="33"/>
  <c r="FT147" i="33"/>
  <c r="FS147" i="33"/>
  <c r="FR147" i="33"/>
  <c r="FQ147" i="33"/>
  <c r="FP147" i="33"/>
  <c r="FO147" i="33"/>
  <c r="FN147" i="33"/>
  <c r="FM147" i="33"/>
  <c r="FL147" i="33"/>
  <c r="FK147" i="33"/>
  <c r="FJ147" i="33"/>
  <c r="FI147" i="33"/>
  <c r="FH147" i="33"/>
  <c r="FG147" i="33"/>
  <c r="FF147" i="33"/>
  <c r="FE147" i="33"/>
  <c r="FD147" i="33"/>
  <c r="FC147" i="33"/>
  <c r="FB147" i="33"/>
  <c r="FA147" i="33"/>
  <c r="EZ147" i="33"/>
  <c r="EY147" i="33"/>
  <c r="EX147" i="33"/>
  <c r="EW147" i="33"/>
  <c r="EV147" i="33"/>
  <c r="EU147" i="33"/>
  <c r="ET147" i="33"/>
  <c r="ES147" i="33"/>
  <c r="ER147" i="33"/>
  <c r="EQ147" i="33"/>
  <c r="EP147" i="33"/>
  <c r="EO147" i="33"/>
  <c r="EN147" i="33"/>
  <c r="EM147" i="33"/>
  <c r="EL147" i="33"/>
  <c r="EK147" i="33"/>
  <c r="EJ147" i="33"/>
  <c r="EI147" i="33"/>
  <c r="EH147" i="33"/>
  <c r="EG147" i="33"/>
  <c r="EF147" i="33"/>
  <c r="EE147" i="33"/>
  <c r="ED147" i="33"/>
  <c r="EC147" i="33"/>
  <c r="EB147" i="33"/>
  <c r="EA147" i="33"/>
  <c r="DZ147" i="33"/>
  <c r="DY147" i="33"/>
  <c r="DX147" i="33"/>
  <c r="DW147" i="33"/>
  <c r="DV147" i="33"/>
  <c r="DU147" i="33"/>
  <c r="DT147" i="33"/>
  <c r="DS147" i="33"/>
  <c r="DR147" i="33"/>
  <c r="DQ147" i="33"/>
  <c r="DP147" i="33"/>
  <c r="DO147" i="33"/>
  <c r="DN147" i="33"/>
  <c r="DM147" i="33"/>
  <c r="DL147" i="33"/>
  <c r="DK147" i="33"/>
  <c r="DJ147" i="33"/>
  <c r="DI147" i="33"/>
  <c r="DH147" i="33"/>
  <c r="DG147" i="33"/>
  <c r="DF147" i="33"/>
  <c r="DE147" i="33"/>
  <c r="DD147" i="33"/>
  <c r="DC147" i="33"/>
  <c r="DB147" i="33"/>
  <c r="DA147" i="33"/>
  <c r="CZ147" i="33"/>
  <c r="CY147" i="33"/>
  <c r="CX147" i="33"/>
  <c r="CW147" i="33"/>
  <c r="CV147" i="33"/>
  <c r="CU147" i="33"/>
  <c r="CT147" i="33"/>
  <c r="CS147" i="33"/>
  <c r="CR147" i="33"/>
  <c r="CQ147" i="33"/>
  <c r="CP147" i="33"/>
  <c r="CO147" i="33"/>
  <c r="CN147" i="33"/>
  <c r="CM147" i="33"/>
  <c r="CL147" i="33"/>
  <c r="CK147" i="33"/>
  <c r="CJ147" i="33"/>
  <c r="CI147" i="33"/>
  <c r="CH147" i="33"/>
  <c r="CG147" i="33"/>
  <c r="CF147" i="33"/>
  <c r="CE147" i="33"/>
  <c r="CD147" i="33"/>
  <c r="CC147" i="33"/>
  <c r="CB147" i="33"/>
  <c r="CA147" i="33"/>
  <c r="BZ147" i="33"/>
  <c r="BY147" i="33"/>
  <c r="BX147" i="33"/>
  <c r="BW147" i="33"/>
  <c r="BV147" i="33"/>
  <c r="BU147" i="33"/>
  <c r="BT147" i="33"/>
  <c r="BS147" i="33"/>
  <c r="BR147" i="33"/>
  <c r="BQ147" i="33"/>
  <c r="BP147" i="33"/>
  <c r="BO147" i="33"/>
  <c r="BN147" i="33"/>
  <c r="BM147" i="33"/>
  <c r="BL147" i="33"/>
  <c r="BK147" i="33"/>
  <c r="BJ147" i="33"/>
  <c r="BI147" i="33"/>
  <c r="BH147" i="33"/>
  <c r="BG147" i="33"/>
  <c r="BF147" i="33"/>
  <c r="BE147" i="33"/>
  <c r="BD147" i="33"/>
  <c r="BC147" i="33"/>
  <c r="BB147" i="33"/>
  <c r="BA147" i="33"/>
  <c r="AZ147" i="33"/>
  <c r="AY147" i="33"/>
  <c r="AX147" i="33"/>
  <c r="AW147" i="33"/>
  <c r="AV147" i="33"/>
  <c r="AU147" i="33"/>
  <c r="AT147" i="33"/>
  <c r="AS147" i="33"/>
  <c r="AR147" i="33"/>
  <c r="AQ147" i="33"/>
  <c r="AP147" i="33"/>
  <c r="AO147" i="33"/>
  <c r="AN147" i="33"/>
  <c r="AM147" i="33"/>
  <c r="AL147" i="33"/>
  <c r="AK147" i="33"/>
  <c r="AJ147" i="33"/>
  <c r="AI147" i="33"/>
  <c r="AH147" i="33"/>
  <c r="AG147" i="33"/>
  <c r="AF147" i="33"/>
  <c r="AE147" i="33"/>
  <c r="AD147" i="33"/>
  <c r="AC147" i="33"/>
  <c r="AB147" i="33"/>
  <c r="AA147" i="33"/>
  <c r="Z147" i="33"/>
  <c r="Y147" i="33"/>
  <c r="X147" i="33"/>
  <c r="W147" i="33"/>
  <c r="V147" i="33"/>
  <c r="U147" i="33"/>
  <c r="T147" i="33"/>
  <c r="S147" i="33"/>
  <c r="R147" i="33"/>
  <c r="Q147" i="33"/>
  <c r="P147" i="33"/>
  <c r="O147" i="33"/>
  <c r="N147" i="33"/>
  <c r="M147" i="33"/>
  <c r="L147" i="33"/>
  <c r="K147" i="33"/>
  <c r="J147" i="33"/>
  <c r="I147" i="33"/>
  <c r="H147" i="33"/>
  <c r="G147" i="33"/>
  <c r="F147" i="33"/>
  <c r="E147" i="33"/>
  <c r="D147" i="33"/>
  <c r="C147" i="33"/>
  <c r="B147" i="33"/>
  <c r="A147" i="33"/>
  <c r="IV146" i="33"/>
  <c r="IU146" i="33"/>
  <c r="IT146" i="33"/>
  <c r="IS146" i="33"/>
  <c r="IR146" i="33"/>
  <c r="IQ146" i="33"/>
  <c r="IP146" i="33"/>
  <c r="IO146" i="33"/>
  <c r="IN146" i="33"/>
  <c r="IM146" i="33"/>
  <c r="IL146" i="33"/>
  <c r="IK146" i="33"/>
  <c r="IJ146" i="33"/>
  <c r="II146" i="33"/>
  <c r="IH146" i="33"/>
  <c r="IG146" i="33"/>
  <c r="IF146" i="33"/>
  <c r="IE146" i="33"/>
  <c r="ID146" i="33"/>
  <c r="IC146" i="33"/>
  <c r="IB146" i="33"/>
  <c r="IA146" i="33"/>
  <c r="HZ146" i="33"/>
  <c r="HY146" i="33"/>
  <c r="HX146" i="33"/>
  <c r="HW146" i="33"/>
  <c r="HV146" i="33"/>
  <c r="HU146" i="33"/>
  <c r="HT146" i="33"/>
  <c r="HS146" i="33"/>
  <c r="HR146" i="33"/>
  <c r="HQ146" i="33"/>
  <c r="HP146" i="33"/>
  <c r="HO146" i="33"/>
  <c r="HN146" i="33"/>
  <c r="HM146" i="33"/>
  <c r="HL146" i="33"/>
  <c r="HK146" i="33"/>
  <c r="HJ146" i="33"/>
  <c r="HI146" i="33"/>
  <c r="HH146" i="33"/>
  <c r="HG146" i="33"/>
  <c r="HF146" i="33"/>
  <c r="HE146" i="33"/>
  <c r="HD146" i="33"/>
  <c r="HC146" i="33"/>
  <c r="HB146" i="33"/>
  <c r="HA146" i="33"/>
  <c r="GZ146" i="33"/>
  <c r="GY146" i="33"/>
  <c r="GX146" i="33"/>
  <c r="GW146" i="33"/>
  <c r="GV146" i="33"/>
  <c r="GU146" i="33"/>
  <c r="GT146" i="33"/>
  <c r="GS146" i="33"/>
  <c r="GR146" i="33"/>
  <c r="GQ146" i="33"/>
  <c r="GP146" i="33"/>
  <c r="GO146" i="33"/>
  <c r="GN146" i="33"/>
  <c r="GM146" i="33"/>
  <c r="GL146" i="33"/>
  <c r="GK146" i="33"/>
  <c r="GJ146" i="33"/>
  <c r="GI146" i="33"/>
  <c r="GH146" i="33"/>
  <c r="GG146" i="33"/>
  <c r="GF146" i="33"/>
  <c r="GE146" i="33"/>
  <c r="GD146" i="33"/>
  <c r="GC146" i="33"/>
  <c r="GB146" i="33"/>
  <c r="GA146" i="33"/>
  <c r="FZ146" i="33"/>
  <c r="FY146" i="33"/>
  <c r="FX146" i="33"/>
  <c r="FW146" i="33"/>
  <c r="FV146" i="33"/>
  <c r="FU146" i="33"/>
  <c r="FT146" i="33"/>
  <c r="FS146" i="33"/>
  <c r="FR146" i="33"/>
  <c r="FQ146" i="33"/>
  <c r="FP146" i="33"/>
  <c r="FO146" i="33"/>
  <c r="FN146" i="33"/>
  <c r="FM146" i="33"/>
  <c r="FL146" i="33"/>
  <c r="FK146" i="33"/>
  <c r="FJ146" i="33"/>
  <c r="FI146" i="33"/>
  <c r="FH146" i="33"/>
  <c r="FG146" i="33"/>
  <c r="FF146" i="33"/>
  <c r="FE146" i="33"/>
  <c r="FD146" i="33"/>
  <c r="FC146" i="33"/>
  <c r="FB146" i="33"/>
  <c r="FA146" i="33"/>
  <c r="EZ146" i="33"/>
  <c r="EY146" i="33"/>
  <c r="EX146" i="33"/>
  <c r="EW146" i="33"/>
  <c r="EV146" i="33"/>
  <c r="EU146" i="33"/>
  <c r="ET146" i="33"/>
  <c r="ES146" i="33"/>
  <c r="ER146" i="33"/>
  <c r="EQ146" i="33"/>
  <c r="EP146" i="33"/>
  <c r="EO146" i="33"/>
  <c r="EN146" i="33"/>
  <c r="EM146" i="33"/>
  <c r="EL146" i="33"/>
  <c r="EK146" i="33"/>
  <c r="EJ146" i="33"/>
  <c r="EI146" i="33"/>
  <c r="EH146" i="33"/>
  <c r="EG146" i="33"/>
  <c r="EF146" i="33"/>
  <c r="EE146" i="33"/>
  <c r="ED146" i="33"/>
  <c r="EC146" i="33"/>
  <c r="EB146" i="33"/>
  <c r="EA146" i="33"/>
  <c r="DZ146" i="33"/>
  <c r="DY146" i="33"/>
  <c r="DX146" i="33"/>
  <c r="DW146" i="33"/>
  <c r="DV146" i="33"/>
  <c r="DU146" i="33"/>
  <c r="DT146" i="33"/>
  <c r="DS146" i="33"/>
  <c r="DR146" i="33"/>
  <c r="DQ146" i="33"/>
  <c r="DP146" i="33"/>
  <c r="DO146" i="33"/>
  <c r="DN146" i="33"/>
  <c r="DM146" i="33"/>
  <c r="DL146" i="33"/>
  <c r="DK146" i="33"/>
  <c r="DJ146" i="33"/>
  <c r="DI146" i="33"/>
  <c r="DH146" i="33"/>
  <c r="DG146" i="33"/>
  <c r="DF146" i="33"/>
  <c r="DE146" i="33"/>
  <c r="DD146" i="33"/>
  <c r="DC146" i="33"/>
  <c r="DB146" i="33"/>
  <c r="DA146" i="33"/>
  <c r="CZ146" i="33"/>
  <c r="CY146" i="33"/>
  <c r="CX146" i="33"/>
  <c r="CW146" i="33"/>
  <c r="CV146" i="33"/>
  <c r="CU146" i="33"/>
  <c r="CT146" i="33"/>
  <c r="CS146" i="33"/>
  <c r="CR146" i="33"/>
  <c r="CQ146" i="33"/>
  <c r="CP146" i="33"/>
  <c r="CO146" i="33"/>
  <c r="CN146" i="33"/>
  <c r="CM146" i="33"/>
  <c r="CL146" i="33"/>
  <c r="CK146" i="33"/>
  <c r="CJ146" i="33"/>
  <c r="CI146" i="33"/>
  <c r="CH146" i="33"/>
  <c r="CG146" i="33"/>
  <c r="CF146" i="33"/>
  <c r="CE146" i="33"/>
  <c r="CD146" i="33"/>
  <c r="CC146" i="33"/>
  <c r="CB146" i="33"/>
  <c r="CA146" i="33"/>
  <c r="BZ146" i="33"/>
  <c r="BY146" i="33"/>
  <c r="BX146" i="33"/>
  <c r="BW146" i="33"/>
  <c r="BV146" i="33"/>
  <c r="BU146" i="33"/>
  <c r="BT146" i="33"/>
  <c r="BS146" i="33"/>
  <c r="BR146" i="33"/>
  <c r="BQ146" i="33"/>
  <c r="BP146" i="33"/>
  <c r="BO146" i="33"/>
  <c r="BN146" i="33"/>
  <c r="BM146" i="33"/>
  <c r="BL146" i="33"/>
  <c r="BK146" i="33"/>
  <c r="BJ146" i="33"/>
  <c r="BI146" i="33"/>
  <c r="BH146" i="33"/>
  <c r="BG146" i="33"/>
  <c r="BF146" i="33"/>
  <c r="BE146" i="33"/>
  <c r="BD146" i="33"/>
  <c r="BC146" i="33"/>
  <c r="BB146" i="33"/>
  <c r="BA146" i="33"/>
  <c r="AZ146" i="33"/>
  <c r="AY146" i="33"/>
  <c r="AX146" i="33"/>
  <c r="AW146" i="33"/>
  <c r="AV146" i="33"/>
  <c r="AU146" i="33"/>
  <c r="AT146" i="33"/>
  <c r="AS146" i="33"/>
  <c r="AR146" i="33"/>
  <c r="AQ146" i="33"/>
  <c r="AP146" i="33"/>
  <c r="AO146" i="33"/>
  <c r="AN146" i="33"/>
  <c r="AM146" i="33"/>
  <c r="AL146" i="33"/>
  <c r="AK146" i="33"/>
  <c r="AJ146" i="33"/>
  <c r="AI146" i="33"/>
  <c r="AH146" i="33"/>
  <c r="AG146" i="33"/>
  <c r="AF146" i="33"/>
  <c r="AE146" i="33"/>
  <c r="AD146" i="33"/>
  <c r="AC146" i="33"/>
  <c r="AB146" i="33"/>
  <c r="AA146" i="33"/>
  <c r="Z146" i="33"/>
  <c r="Y146" i="33"/>
  <c r="X146" i="33"/>
  <c r="W146" i="33"/>
  <c r="V146" i="33"/>
  <c r="U146" i="33"/>
  <c r="T146" i="33"/>
  <c r="S146" i="33"/>
  <c r="R146" i="33"/>
  <c r="Q146" i="33"/>
  <c r="P146" i="33"/>
  <c r="O146" i="33"/>
  <c r="N146" i="33"/>
  <c r="M146" i="33"/>
  <c r="L146" i="33"/>
  <c r="K146" i="33"/>
  <c r="J146" i="33"/>
  <c r="I146" i="33"/>
  <c r="H146" i="33"/>
  <c r="G146" i="33"/>
  <c r="F146" i="33"/>
  <c r="E146" i="33"/>
  <c r="D146" i="33"/>
  <c r="C146" i="33"/>
  <c r="B146" i="33"/>
  <c r="A146" i="33"/>
  <c r="IV145" i="33"/>
  <c r="IU145" i="33"/>
  <c r="IT145" i="33"/>
  <c r="IS145" i="33"/>
  <c r="IR145" i="33"/>
  <c r="IQ145" i="33"/>
  <c r="IP145" i="33"/>
  <c r="IO145" i="33"/>
  <c r="IN145" i="33"/>
  <c r="IM145" i="33"/>
  <c r="IL145" i="33"/>
  <c r="IK145" i="33"/>
  <c r="IJ145" i="33"/>
  <c r="II145" i="33"/>
  <c r="IH145" i="33"/>
  <c r="IG145" i="33"/>
  <c r="IF145" i="33"/>
  <c r="IE145" i="33"/>
  <c r="ID145" i="33"/>
  <c r="IC145" i="33"/>
  <c r="IB145" i="33"/>
  <c r="IA145" i="33"/>
  <c r="HZ145" i="33"/>
  <c r="HY145" i="33"/>
  <c r="HX145" i="33"/>
  <c r="HW145" i="33"/>
  <c r="HV145" i="33"/>
  <c r="HU145" i="33"/>
  <c r="HT145" i="33"/>
  <c r="HS145" i="33"/>
  <c r="HR145" i="33"/>
  <c r="HQ145" i="33"/>
  <c r="HP145" i="33"/>
  <c r="HO145" i="33"/>
  <c r="HN145" i="33"/>
  <c r="HM145" i="33"/>
  <c r="HL145" i="33"/>
  <c r="HK145" i="33"/>
  <c r="HJ145" i="33"/>
  <c r="HI145" i="33"/>
  <c r="HH145" i="33"/>
  <c r="HG145" i="33"/>
  <c r="HF145" i="33"/>
  <c r="HE145" i="33"/>
  <c r="HD145" i="33"/>
  <c r="HC145" i="33"/>
  <c r="HB145" i="33"/>
  <c r="HA145" i="33"/>
  <c r="GZ145" i="33"/>
  <c r="GY145" i="33"/>
  <c r="GX145" i="33"/>
  <c r="GW145" i="33"/>
  <c r="GV145" i="33"/>
  <c r="GU145" i="33"/>
  <c r="GT145" i="33"/>
  <c r="GS145" i="33"/>
  <c r="GR145" i="33"/>
  <c r="GQ145" i="33"/>
  <c r="GP145" i="33"/>
  <c r="GO145" i="33"/>
  <c r="GN145" i="33"/>
  <c r="GM145" i="33"/>
  <c r="GL145" i="33"/>
  <c r="GK145" i="33"/>
  <c r="GJ145" i="33"/>
  <c r="GI145" i="33"/>
  <c r="GH145" i="33"/>
  <c r="GG145" i="33"/>
  <c r="GF145" i="33"/>
  <c r="GE145" i="33"/>
  <c r="GD145" i="33"/>
  <c r="GC145" i="33"/>
  <c r="GB145" i="33"/>
  <c r="GA145" i="33"/>
  <c r="FZ145" i="33"/>
  <c r="FY145" i="33"/>
  <c r="FX145" i="33"/>
  <c r="FW145" i="33"/>
  <c r="FV145" i="33"/>
  <c r="FU145" i="33"/>
  <c r="FT145" i="33"/>
  <c r="FS145" i="33"/>
  <c r="FR145" i="33"/>
  <c r="FQ145" i="33"/>
  <c r="FP145" i="33"/>
  <c r="FO145" i="33"/>
  <c r="FN145" i="33"/>
  <c r="FM145" i="33"/>
  <c r="FL145" i="33"/>
  <c r="FK145" i="33"/>
  <c r="FJ145" i="33"/>
  <c r="FI145" i="33"/>
  <c r="FH145" i="33"/>
  <c r="FG145" i="33"/>
  <c r="FF145" i="33"/>
  <c r="FE145" i="33"/>
  <c r="FD145" i="33"/>
  <c r="FC145" i="33"/>
  <c r="FB145" i="33"/>
  <c r="FA145" i="33"/>
  <c r="EZ145" i="33"/>
  <c r="EY145" i="33"/>
  <c r="EX145" i="33"/>
  <c r="EW145" i="33"/>
  <c r="EV145" i="33"/>
  <c r="EU145" i="33"/>
  <c r="ET145" i="33"/>
  <c r="ES145" i="33"/>
  <c r="ER145" i="33"/>
  <c r="EQ145" i="33"/>
  <c r="EP145" i="33"/>
  <c r="EO145" i="33"/>
  <c r="EN145" i="33"/>
  <c r="EM145" i="33"/>
  <c r="EL145" i="33"/>
  <c r="EK145" i="33"/>
  <c r="EJ145" i="33"/>
  <c r="EI145" i="33"/>
  <c r="EH145" i="33"/>
  <c r="EG145" i="33"/>
  <c r="EF145" i="33"/>
  <c r="EE145" i="33"/>
  <c r="ED145" i="33"/>
  <c r="EC145" i="33"/>
  <c r="EB145" i="33"/>
  <c r="EA145" i="33"/>
  <c r="DZ145" i="33"/>
  <c r="DY145" i="33"/>
  <c r="DX145" i="33"/>
  <c r="DW145" i="33"/>
  <c r="DV145" i="33"/>
  <c r="DU145" i="33"/>
  <c r="DT145" i="33"/>
  <c r="DS145" i="33"/>
  <c r="DR145" i="33"/>
  <c r="DQ145" i="33"/>
  <c r="DP145" i="33"/>
  <c r="DO145" i="33"/>
  <c r="DN145" i="33"/>
  <c r="DM145" i="33"/>
  <c r="DL145" i="33"/>
  <c r="DK145" i="33"/>
  <c r="DJ145" i="33"/>
  <c r="DI145" i="33"/>
  <c r="DH145" i="33"/>
  <c r="DG145" i="33"/>
  <c r="DF145" i="33"/>
  <c r="DE145" i="33"/>
  <c r="DD145" i="33"/>
  <c r="DC145" i="33"/>
  <c r="DB145" i="33"/>
  <c r="DA145" i="33"/>
  <c r="CZ145" i="33"/>
  <c r="CY145" i="33"/>
  <c r="CX145" i="33"/>
  <c r="CW145" i="33"/>
  <c r="CV145" i="33"/>
  <c r="CU145" i="33"/>
  <c r="CT145" i="33"/>
  <c r="CS145" i="33"/>
  <c r="CR145" i="33"/>
  <c r="CQ145" i="33"/>
  <c r="CP145" i="33"/>
  <c r="CO145" i="33"/>
  <c r="CN145" i="33"/>
  <c r="CM145" i="33"/>
  <c r="CL145" i="33"/>
  <c r="CK145" i="33"/>
  <c r="CJ145" i="33"/>
  <c r="CI145" i="33"/>
  <c r="CH145" i="33"/>
  <c r="CG145" i="33"/>
  <c r="CF145" i="33"/>
  <c r="CE145" i="33"/>
  <c r="CD145" i="33"/>
  <c r="CC145" i="33"/>
  <c r="CB145" i="33"/>
  <c r="CA145" i="33"/>
  <c r="BZ145" i="33"/>
  <c r="BY145" i="33"/>
  <c r="BX145" i="33"/>
  <c r="BW145" i="33"/>
  <c r="BV145" i="33"/>
  <c r="BU145" i="33"/>
  <c r="BT145" i="33"/>
  <c r="BS145" i="33"/>
  <c r="BR145" i="33"/>
  <c r="BQ145" i="33"/>
  <c r="BP145" i="33"/>
  <c r="BO145" i="33"/>
  <c r="BN145" i="33"/>
  <c r="BM145" i="33"/>
  <c r="BL145" i="33"/>
  <c r="BK145" i="33"/>
  <c r="BJ145" i="33"/>
  <c r="BI145" i="33"/>
  <c r="BH145" i="33"/>
  <c r="BG145" i="33"/>
  <c r="BF145" i="33"/>
  <c r="BE145" i="33"/>
  <c r="BD145" i="33"/>
  <c r="BC145" i="33"/>
  <c r="BB145" i="33"/>
  <c r="BA145" i="33"/>
  <c r="AZ145" i="33"/>
  <c r="AY145" i="33"/>
  <c r="AX145" i="33"/>
  <c r="AW145" i="33"/>
  <c r="AV145" i="33"/>
  <c r="AU145" i="33"/>
  <c r="AT145" i="33"/>
  <c r="AS145" i="33"/>
  <c r="AR145" i="33"/>
  <c r="AQ145" i="33"/>
  <c r="AP145" i="33"/>
  <c r="AO145" i="33"/>
  <c r="AN145" i="33"/>
  <c r="AM145" i="33"/>
  <c r="AL145" i="33"/>
  <c r="AK145" i="33"/>
  <c r="AJ145" i="33"/>
  <c r="AI145" i="33"/>
  <c r="AH145" i="33"/>
  <c r="AG145" i="33"/>
  <c r="AF145" i="33"/>
  <c r="AE145" i="33"/>
  <c r="AD145" i="33"/>
  <c r="AC145" i="33"/>
  <c r="AB145" i="33"/>
  <c r="AA145" i="33"/>
  <c r="Z145" i="33"/>
  <c r="Y145" i="33"/>
  <c r="X145" i="33"/>
  <c r="W145" i="33"/>
  <c r="V145" i="33"/>
  <c r="U145" i="33"/>
  <c r="T145" i="33"/>
  <c r="S145" i="33"/>
  <c r="R145" i="33"/>
  <c r="Q145" i="33"/>
  <c r="P145" i="33"/>
  <c r="O145" i="33"/>
  <c r="N145" i="33"/>
  <c r="M145" i="33"/>
  <c r="L145" i="33"/>
  <c r="K145" i="33"/>
  <c r="J145" i="33"/>
  <c r="I145" i="33"/>
  <c r="H145" i="33"/>
  <c r="G145" i="33"/>
  <c r="F145" i="33"/>
  <c r="E145" i="33"/>
  <c r="D145" i="33"/>
  <c r="C145" i="33"/>
  <c r="B145" i="33"/>
  <c r="A145" i="33"/>
  <c r="IV144" i="33"/>
  <c r="IU144" i="33"/>
  <c r="IT144" i="33"/>
  <c r="IS144" i="33"/>
  <c r="IR144" i="33"/>
  <c r="IQ144" i="33"/>
  <c r="IP144" i="33"/>
  <c r="IO144" i="33"/>
  <c r="IN144" i="33"/>
  <c r="IM144" i="33"/>
  <c r="IL144" i="33"/>
  <c r="IK144" i="33"/>
  <c r="IJ144" i="33"/>
  <c r="II144" i="33"/>
  <c r="IH144" i="33"/>
  <c r="IG144" i="33"/>
  <c r="IF144" i="33"/>
  <c r="IE144" i="33"/>
  <c r="ID144" i="33"/>
  <c r="IC144" i="33"/>
  <c r="IB144" i="33"/>
  <c r="IA144" i="33"/>
  <c r="HZ144" i="33"/>
  <c r="HY144" i="33"/>
  <c r="HX144" i="33"/>
  <c r="HW144" i="33"/>
  <c r="HV144" i="33"/>
  <c r="HU144" i="33"/>
  <c r="HT144" i="33"/>
  <c r="HS144" i="33"/>
  <c r="HR144" i="33"/>
  <c r="HQ144" i="33"/>
  <c r="HP144" i="33"/>
  <c r="HO144" i="33"/>
  <c r="HN144" i="33"/>
  <c r="HM144" i="33"/>
  <c r="HL144" i="33"/>
  <c r="HK144" i="33"/>
  <c r="HJ144" i="33"/>
  <c r="HI144" i="33"/>
  <c r="HH144" i="33"/>
  <c r="HG144" i="33"/>
  <c r="HF144" i="33"/>
  <c r="HE144" i="33"/>
  <c r="HD144" i="33"/>
  <c r="HC144" i="33"/>
  <c r="HB144" i="33"/>
  <c r="HA144" i="33"/>
  <c r="GZ144" i="33"/>
  <c r="GY144" i="33"/>
  <c r="GX144" i="33"/>
  <c r="GW144" i="33"/>
  <c r="GV144" i="33"/>
  <c r="GU144" i="33"/>
  <c r="GT144" i="33"/>
  <c r="GS144" i="33"/>
  <c r="GR144" i="33"/>
  <c r="GQ144" i="33"/>
  <c r="GP144" i="33"/>
  <c r="GO144" i="33"/>
  <c r="GN144" i="33"/>
  <c r="GM144" i="33"/>
  <c r="GL144" i="33"/>
  <c r="GK144" i="33"/>
  <c r="GJ144" i="33"/>
  <c r="GI144" i="33"/>
  <c r="GH144" i="33"/>
  <c r="GG144" i="33"/>
  <c r="GF144" i="33"/>
  <c r="GE144" i="33"/>
  <c r="GD144" i="33"/>
  <c r="GC144" i="33"/>
  <c r="GB144" i="33"/>
  <c r="GA144" i="33"/>
  <c r="FZ144" i="33"/>
  <c r="FY144" i="33"/>
  <c r="FX144" i="33"/>
  <c r="FW144" i="33"/>
  <c r="FV144" i="33"/>
  <c r="FU144" i="33"/>
  <c r="FT144" i="33"/>
  <c r="FS144" i="33"/>
  <c r="FR144" i="33"/>
  <c r="FQ144" i="33"/>
  <c r="FP144" i="33"/>
  <c r="FO144" i="33"/>
  <c r="FN144" i="33"/>
  <c r="FM144" i="33"/>
  <c r="FL144" i="33"/>
  <c r="FK144" i="33"/>
  <c r="FJ144" i="33"/>
  <c r="FI144" i="33"/>
  <c r="FH144" i="33"/>
  <c r="FG144" i="33"/>
  <c r="FF144" i="33"/>
  <c r="FE144" i="33"/>
  <c r="FD144" i="33"/>
  <c r="FC144" i="33"/>
  <c r="FB144" i="33"/>
  <c r="FA144" i="33"/>
  <c r="EZ144" i="33"/>
  <c r="EY144" i="33"/>
  <c r="EX144" i="33"/>
  <c r="EW144" i="33"/>
  <c r="EV144" i="33"/>
  <c r="EU144" i="33"/>
  <c r="ET144" i="33"/>
  <c r="ES144" i="33"/>
  <c r="ER144" i="33"/>
  <c r="EQ144" i="33"/>
  <c r="EP144" i="33"/>
  <c r="EO144" i="33"/>
  <c r="EN144" i="33"/>
  <c r="EM144" i="33"/>
  <c r="EL144" i="33"/>
  <c r="EK144" i="33"/>
  <c r="EJ144" i="33"/>
  <c r="EI144" i="33"/>
  <c r="EH144" i="33"/>
  <c r="EG144" i="33"/>
  <c r="EF144" i="33"/>
  <c r="EE144" i="33"/>
  <c r="ED144" i="33"/>
  <c r="EC144" i="33"/>
  <c r="EB144" i="33"/>
  <c r="EA144" i="33"/>
  <c r="DZ144" i="33"/>
  <c r="DY144" i="33"/>
  <c r="DX144" i="33"/>
  <c r="DW144" i="33"/>
  <c r="DV144" i="33"/>
  <c r="DU144" i="33"/>
  <c r="DT144" i="33"/>
  <c r="DS144" i="33"/>
  <c r="DR144" i="33"/>
  <c r="DQ144" i="33"/>
  <c r="DP144" i="33"/>
  <c r="DO144" i="33"/>
  <c r="DN144" i="33"/>
  <c r="DM144" i="33"/>
  <c r="DL144" i="33"/>
  <c r="DK144" i="33"/>
  <c r="DJ144" i="33"/>
  <c r="DI144" i="33"/>
  <c r="DH144" i="33"/>
  <c r="DG144" i="33"/>
  <c r="DF144" i="33"/>
  <c r="DE144" i="33"/>
  <c r="DD144" i="33"/>
  <c r="DC144" i="33"/>
  <c r="DB144" i="33"/>
  <c r="DA144" i="33"/>
  <c r="CZ144" i="33"/>
  <c r="CY144" i="33"/>
  <c r="CX144" i="33"/>
  <c r="CW144" i="33"/>
  <c r="CV144" i="33"/>
  <c r="CU144" i="33"/>
  <c r="CT144" i="33"/>
  <c r="CS144" i="33"/>
  <c r="CR144" i="33"/>
  <c r="CQ144" i="33"/>
  <c r="CP144" i="33"/>
  <c r="CO144" i="33"/>
  <c r="CN144" i="33"/>
  <c r="CM144" i="33"/>
  <c r="CL144" i="33"/>
  <c r="CK144" i="33"/>
  <c r="CJ144" i="33"/>
  <c r="CI144" i="33"/>
  <c r="CH144" i="33"/>
  <c r="CG144" i="33"/>
  <c r="CF144" i="33"/>
  <c r="CE144" i="33"/>
  <c r="CD144" i="33"/>
  <c r="CC144" i="33"/>
  <c r="CB144" i="33"/>
  <c r="CA144" i="33"/>
  <c r="BZ144" i="33"/>
  <c r="BY144" i="33"/>
  <c r="BX144" i="33"/>
  <c r="BW144" i="33"/>
  <c r="BV144" i="33"/>
  <c r="BU144" i="33"/>
  <c r="BT144" i="33"/>
  <c r="BS144" i="33"/>
  <c r="BR144" i="33"/>
  <c r="BQ144" i="33"/>
  <c r="BP144" i="33"/>
  <c r="BO144" i="33"/>
  <c r="BN144" i="33"/>
  <c r="BM144" i="33"/>
  <c r="BL144" i="33"/>
  <c r="BK144" i="33"/>
  <c r="BJ144" i="33"/>
  <c r="BI144" i="33"/>
  <c r="BH144" i="33"/>
  <c r="BG144" i="33"/>
  <c r="BF144" i="33"/>
  <c r="BE144" i="33"/>
  <c r="BD144" i="33"/>
  <c r="BC144" i="33"/>
  <c r="BB144" i="33"/>
  <c r="BA144" i="33"/>
  <c r="AZ144" i="33"/>
  <c r="AY144" i="33"/>
  <c r="AX144" i="33"/>
  <c r="AW144" i="33"/>
  <c r="AV144" i="33"/>
  <c r="AU144" i="33"/>
  <c r="AT144" i="33"/>
  <c r="AS144" i="33"/>
  <c r="AR144" i="33"/>
  <c r="AQ144" i="33"/>
  <c r="AP144" i="33"/>
  <c r="AO144" i="33"/>
  <c r="AN144" i="33"/>
  <c r="AM144" i="33"/>
  <c r="AL144" i="33"/>
  <c r="AK144" i="33"/>
  <c r="AJ144" i="33"/>
  <c r="AI144" i="33"/>
  <c r="AH144" i="33"/>
  <c r="AG144" i="33"/>
  <c r="AF144" i="33"/>
  <c r="AE144" i="33"/>
  <c r="AD144" i="33"/>
  <c r="AC144" i="33"/>
  <c r="AB144" i="33"/>
  <c r="AA144" i="33"/>
  <c r="Z144" i="33"/>
  <c r="Y144" i="33"/>
  <c r="X144" i="33"/>
  <c r="W144" i="33"/>
  <c r="V144" i="33"/>
  <c r="U144" i="33"/>
  <c r="T144" i="33"/>
  <c r="S144" i="33"/>
  <c r="R144" i="33"/>
  <c r="Q144" i="33"/>
  <c r="P144" i="33"/>
  <c r="O144" i="33"/>
  <c r="N144" i="33"/>
  <c r="M144" i="33"/>
  <c r="L144" i="33"/>
  <c r="K144" i="33"/>
  <c r="J144" i="33"/>
  <c r="I144" i="33"/>
  <c r="H144" i="33"/>
  <c r="G144" i="33"/>
  <c r="F144" i="33"/>
  <c r="E144" i="33"/>
  <c r="D144" i="33"/>
  <c r="C144" i="33"/>
  <c r="B144" i="33"/>
  <c r="A144" i="33"/>
  <c r="IV143" i="33"/>
  <c r="IU143" i="33"/>
  <c r="IT143" i="33"/>
  <c r="IS143" i="33"/>
  <c r="IR143" i="33"/>
  <c r="IQ143" i="33"/>
  <c r="IP143" i="33"/>
  <c r="IO143" i="33"/>
  <c r="IN143" i="33"/>
  <c r="IM143" i="33"/>
  <c r="IL143" i="33"/>
  <c r="IK143" i="33"/>
  <c r="IJ143" i="33"/>
  <c r="II143" i="33"/>
  <c r="IH143" i="33"/>
  <c r="IG143" i="33"/>
  <c r="IF143" i="33"/>
  <c r="IE143" i="33"/>
  <c r="ID143" i="33"/>
  <c r="IC143" i="33"/>
  <c r="IB143" i="33"/>
  <c r="IA143" i="33"/>
  <c r="HZ143" i="33"/>
  <c r="HY143" i="33"/>
  <c r="HX143" i="33"/>
  <c r="HW143" i="33"/>
  <c r="HV143" i="33"/>
  <c r="HU143" i="33"/>
  <c r="HT143" i="33"/>
  <c r="HS143" i="33"/>
  <c r="HR143" i="33"/>
  <c r="HQ143" i="33"/>
  <c r="HP143" i="33"/>
  <c r="HO143" i="33"/>
  <c r="HN143" i="33"/>
  <c r="HM143" i="33"/>
  <c r="HL143" i="33"/>
  <c r="HK143" i="33"/>
  <c r="HJ143" i="33"/>
  <c r="HI143" i="33"/>
  <c r="HH143" i="33"/>
  <c r="HG143" i="33"/>
  <c r="HF143" i="33"/>
  <c r="HE143" i="33"/>
  <c r="HD143" i="33"/>
  <c r="HC143" i="33"/>
  <c r="HB143" i="33"/>
  <c r="HA143" i="33"/>
  <c r="GZ143" i="33"/>
  <c r="GY143" i="33"/>
  <c r="GX143" i="33"/>
  <c r="GW143" i="33"/>
  <c r="GV143" i="33"/>
  <c r="GU143" i="33"/>
  <c r="GT143" i="33"/>
  <c r="GS143" i="33"/>
  <c r="GR143" i="33"/>
  <c r="GQ143" i="33"/>
  <c r="GP143" i="33"/>
  <c r="GO143" i="33"/>
  <c r="GN143" i="33"/>
  <c r="GM143" i="33"/>
  <c r="GL143" i="33"/>
  <c r="GK143" i="33"/>
  <c r="GJ143" i="33"/>
  <c r="GI143" i="33"/>
  <c r="GH143" i="33"/>
  <c r="GG143" i="33"/>
  <c r="GF143" i="33"/>
  <c r="GE143" i="33"/>
  <c r="GD143" i="33"/>
  <c r="GC143" i="33"/>
  <c r="GB143" i="33"/>
  <c r="GA143" i="33"/>
  <c r="FZ143" i="33"/>
  <c r="FY143" i="33"/>
  <c r="FX143" i="33"/>
  <c r="FW143" i="33"/>
  <c r="FV143" i="33"/>
  <c r="FU143" i="33"/>
  <c r="FT143" i="33"/>
  <c r="FS143" i="33"/>
  <c r="FR143" i="33"/>
  <c r="FQ143" i="33"/>
  <c r="FP143" i="33"/>
  <c r="FO143" i="33"/>
  <c r="FN143" i="33"/>
  <c r="FM143" i="33"/>
  <c r="FL143" i="33"/>
  <c r="FK143" i="33"/>
  <c r="FJ143" i="33"/>
  <c r="FI143" i="33"/>
  <c r="FH143" i="33"/>
  <c r="FG143" i="33"/>
  <c r="FF143" i="33"/>
  <c r="FE143" i="33"/>
  <c r="FD143" i="33"/>
  <c r="FC143" i="33"/>
  <c r="FB143" i="33"/>
  <c r="FA143" i="33"/>
  <c r="EZ143" i="33"/>
  <c r="EY143" i="33"/>
  <c r="EX143" i="33"/>
  <c r="EW143" i="33"/>
  <c r="EV143" i="33"/>
  <c r="EU143" i="33"/>
  <c r="ET143" i="33"/>
  <c r="ES143" i="33"/>
  <c r="ER143" i="33"/>
  <c r="EQ143" i="33"/>
  <c r="EP143" i="33"/>
  <c r="EO143" i="33"/>
  <c r="EN143" i="33"/>
  <c r="EM143" i="33"/>
  <c r="EL143" i="33"/>
  <c r="EK143" i="33"/>
  <c r="EJ143" i="33"/>
  <c r="EI143" i="33"/>
  <c r="EH143" i="33"/>
  <c r="EG143" i="33"/>
  <c r="EF143" i="33"/>
  <c r="EE143" i="33"/>
  <c r="ED143" i="33"/>
  <c r="EC143" i="33"/>
  <c r="EB143" i="33"/>
  <c r="EA143" i="33"/>
  <c r="DZ143" i="33"/>
  <c r="DY143" i="33"/>
  <c r="DX143" i="33"/>
  <c r="DW143" i="33"/>
  <c r="DV143" i="33"/>
  <c r="DU143" i="33"/>
  <c r="DT143" i="33"/>
  <c r="DS143" i="33"/>
  <c r="DR143" i="33"/>
  <c r="DQ143" i="33"/>
  <c r="DP143" i="33"/>
  <c r="DO143" i="33"/>
  <c r="DN143" i="33"/>
  <c r="DM143" i="33"/>
  <c r="DL143" i="33"/>
  <c r="DK143" i="33"/>
  <c r="DJ143" i="33"/>
  <c r="DI143" i="33"/>
  <c r="DH143" i="33"/>
  <c r="DG143" i="33"/>
  <c r="DF143" i="33"/>
  <c r="DE143" i="33"/>
  <c r="DD143" i="33"/>
  <c r="DC143" i="33"/>
  <c r="DB143" i="33"/>
  <c r="DA143" i="33"/>
  <c r="CZ143" i="33"/>
  <c r="CY143" i="33"/>
  <c r="CX143" i="33"/>
  <c r="CW143" i="33"/>
  <c r="CV143" i="33"/>
  <c r="CU143" i="33"/>
  <c r="CT143" i="33"/>
  <c r="CS143" i="33"/>
  <c r="CR143" i="33"/>
  <c r="CQ143" i="33"/>
  <c r="CP143" i="33"/>
  <c r="CO143" i="33"/>
  <c r="CN143" i="33"/>
  <c r="CM143" i="33"/>
  <c r="CL143" i="33"/>
  <c r="CK143" i="33"/>
  <c r="CJ143" i="33"/>
  <c r="CI143" i="33"/>
  <c r="CH143" i="33"/>
  <c r="CG143" i="33"/>
  <c r="CF143" i="33"/>
  <c r="CE143" i="33"/>
  <c r="CD143" i="33"/>
  <c r="CC143" i="33"/>
  <c r="CB143" i="33"/>
  <c r="CA143" i="33"/>
  <c r="BZ143" i="33"/>
  <c r="BY143" i="33"/>
  <c r="BX143" i="33"/>
  <c r="BW143" i="33"/>
  <c r="BV143" i="33"/>
  <c r="BU143" i="33"/>
  <c r="BT143" i="33"/>
  <c r="BS143" i="33"/>
  <c r="BR143" i="33"/>
  <c r="BQ143" i="33"/>
  <c r="BP143" i="33"/>
  <c r="BO143" i="33"/>
  <c r="BN143" i="33"/>
  <c r="BM143" i="33"/>
  <c r="BL143" i="33"/>
  <c r="BK143" i="33"/>
  <c r="BJ143" i="33"/>
  <c r="BI143" i="33"/>
  <c r="BH143" i="33"/>
  <c r="BG143" i="33"/>
  <c r="BF143" i="33"/>
  <c r="BE143" i="33"/>
  <c r="BD143" i="33"/>
  <c r="BC143" i="33"/>
  <c r="BB143" i="33"/>
  <c r="BA143" i="33"/>
  <c r="AZ143" i="33"/>
  <c r="AY143" i="33"/>
  <c r="AX143" i="33"/>
  <c r="AW143" i="33"/>
  <c r="AV143" i="33"/>
  <c r="AU143" i="33"/>
  <c r="AT143" i="33"/>
  <c r="AS143" i="33"/>
  <c r="AR143" i="33"/>
  <c r="AQ143" i="33"/>
  <c r="AP143" i="33"/>
  <c r="AO143" i="33"/>
  <c r="AN143" i="33"/>
  <c r="AM143" i="33"/>
  <c r="AL143" i="33"/>
  <c r="AK143" i="33"/>
  <c r="AJ143" i="33"/>
  <c r="AI143" i="33"/>
  <c r="AH143" i="33"/>
  <c r="AG143" i="33"/>
  <c r="AF143" i="33"/>
  <c r="AE143" i="33"/>
  <c r="AD143" i="33"/>
  <c r="AC143" i="33"/>
  <c r="AB143" i="33"/>
  <c r="AA143" i="33"/>
  <c r="Z143" i="33"/>
  <c r="Y143" i="33"/>
  <c r="X143" i="33"/>
  <c r="W143" i="33"/>
  <c r="V143" i="33"/>
  <c r="U143" i="33"/>
  <c r="T143" i="33"/>
  <c r="S143" i="33"/>
  <c r="R143" i="33"/>
  <c r="Q143" i="33"/>
  <c r="P143" i="33"/>
  <c r="O143" i="33"/>
  <c r="N143" i="33"/>
  <c r="M143" i="33"/>
  <c r="L143" i="33"/>
  <c r="K143" i="33"/>
  <c r="J143" i="33"/>
  <c r="I143" i="33"/>
  <c r="H143" i="33"/>
  <c r="G143" i="33"/>
  <c r="F143" i="33"/>
  <c r="E143" i="33"/>
  <c r="D143" i="33"/>
  <c r="C143" i="33"/>
  <c r="B143" i="33"/>
  <c r="A143" i="33"/>
  <c r="IV142" i="33"/>
  <c r="IU142" i="33"/>
  <c r="IT142" i="33"/>
  <c r="IS142" i="33"/>
  <c r="IR142" i="33"/>
  <c r="IQ142" i="33"/>
  <c r="IP142" i="33"/>
  <c r="IO142" i="33"/>
  <c r="IN142" i="33"/>
  <c r="IM142" i="33"/>
  <c r="IL142" i="33"/>
  <c r="IK142" i="33"/>
  <c r="IJ142" i="33"/>
  <c r="II142" i="33"/>
  <c r="IH142" i="33"/>
  <c r="IG142" i="33"/>
  <c r="IF142" i="33"/>
  <c r="IE142" i="33"/>
  <c r="ID142" i="33"/>
  <c r="IC142" i="33"/>
  <c r="IB142" i="33"/>
  <c r="IA142" i="33"/>
  <c r="HZ142" i="33"/>
  <c r="HY142" i="33"/>
  <c r="HX142" i="33"/>
  <c r="HW142" i="33"/>
  <c r="HV142" i="33"/>
  <c r="HU142" i="33"/>
  <c r="HT142" i="33"/>
  <c r="HS142" i="33"/>
  <c r="HR142" i="33"/>
  <c r="HQ142" i="33"/>
  <c r="HP142" i="33"/>
  <c r="HO142" i="33"/>
  <c r="HN142" i="33"/>
  <c r="HM142" i="33"/>
  <c r="HL142" i="33"/>
  <c r="HK142" i="33"/>
  <c r="HJ142" i="33"/>
  <c r="HI142" i="33"/>
  <c r="HH142" i="33"/>
  <c r="HG142" i="33"/>
  <c r="HF142" i="33"/>
  <c r="HE142" i="33"/>
  <c r="HD142" i="33"/>
  <c r="HC142" i="33"/>
  <c r="HB142" i="33"/>
  <c r="HA142" i="33"/>
  <c r="GZ142" i="33"/>
  <c r="GY142" i="33"/>
  <c r="GX142" i="33"/>
  <c r="GW142" i="33"/>
  <c r="GV142" i="33"/>
  <c r="GU142" i="33"/>
  <c r="GT142" i="33"/>
  <c r="GS142" i="33"/>
  <c r="GR142" i="33"/>
  <c r="GQ142" i="33"/>
  <c r="GP142" i="33"/>
  <c r="GO142" i="33"/>
  <c r="GN142" i="33"/>
  <c r="GM142" i="33"/>
  <c r="GL142" i="33"/>
  <c r="GK142" i="33"/>
  <c r="GJ142" i="33"/>
  <c r="GI142" i="33"/>
  <c r="GH142" i="33"/>
  <c r="GG142" i="33"/>
  <c r="GF142" i="33"/>
  <c r="GE142" i="33"/>
  <c r="GD142" i="33"/>
  <c r="GC142" i="33"/>
  <c r="GB142" i="33"/>
  <c r="GA142" i="33"/>
  <c r="FZ142" i="33"/>
  <c r="FY142" i="33"/>
  <c r="FX142" i="33"/>
  <c r="FW142" i="33"/>
  <c r="FV142" i="33"/>
  <c r="FU142" i="33"/>
  <c r="FT142" i="33"/>
  <c r="FS142" i="33"/>
  <c r="FR142" i="33"/>
  <c r="FQ142" i="33"/>
  <c r="FP142" i="33"/>
  <c r="FO142" i="33"/>
  <c r="FN142" i="33"/>
  <c r="FM142" i="33"/>
  <c r="FL142" i="33"/>
  <c r="FK142" i="33"/>
  <c r="FJ142" i="33"/>
  <c r="FI142" i="33"/>
  <c r="FH142" i="33"/>
  <c r="FG142" i="33"/>
  <c r="FF142" i="33"/>
  <c r="FE142" i="33"/>
  <c r="FD142" i="33"/>
  <c r="FC142" i="33"/>
  <c r="FB142" i="33"/>
  <c r="FA142" i="33"/>
  <c r="EZ142" i="33"/>
  <c r="EY142" i="33"/>
  <c r="EX142" i="33"/>
  <c r="EW142" i="33"/>
  <c r="EV142" i="33"/>
  <c r="EU142" i="33"/>
  <c r="ET142" i="33"/>
  <c r="ES142" i="33"/>
  <c r="ER142" i="33"/>
  <c r="EQ142" i="33"/>
  <c r="EP142" i="33"/>
  <c r="EO142" i="33"/>
  <c r="EN142" i="33"/>
  <c r="EM142" i="33"/>
  <c r="EL142" i="33"/>
  <c r="EK142" i="33"/>
  <c r="EJ142" i="33"/>
  <c r="EI142" i="33"/>
  <c r="EH142" i="33"/>
  <c r="EG142" i="33"/>
  <c r="EF142" i="33"/>
  <c r="EE142" i="33"/>
  <c r="ED142" i="33"/>
  <c r="EC142" i="33"/>
  <c r="EB142" i="33"/>
  <c r="EA142" i="33"/>
  <c r="DZ142" i="33"/>
  <c r="DY142" i="33"/>
  <c r="DX142" i="33"/>
  <c r="DW142" i="33"/>
  <c r="DV142" i="33"/>
  <c r="DU142" i="33"/>
  <c r="DT142" i="33"/>
  <c r="DS142" i="33"/>
  <c r="DR142" i="33"/>
  <c r="DQ142" i="33"/>
  <c r="DP142" i="33"/>
  <c r="DO142" i="33"/>
  <c r="DN142" i="33"/>
  <c r="DM142" i="33"/>
  <c r="DL142" i="33"/>
  <c r="DK142" i="33"/>
  <c r="DJ142" i="33"/>
  <c r="DI142" i="33"/>
  <c r="DH142" i="33"/>
  <c r="DG142" i="33"/>
  <c r="DF142" i="33"/>
  <c r="DE142" i="33"/>
  <c r="DD142" i="33"/>
  <c r="DC142" i="33"/>
  <c r="DB142" i="33"/>
  <c r="DA142" i="33"/>
  <c r="CZ142" i="33"/>
  <c r="CY142" i="33"/>
  <c r="CX142" i="33"/>
  <c r="CW142" i="33"/>
  <c r="CV142" i="33"/>
  <c r="CU142" i="33"/>
  <c r="CT142" i="33"/>
  <c r="CS142" i="33"/>
  <c r="CR142" i="33"/>
  <c r="CQ142" i="33"/>
  <c r="CP142" i="33"/>
  <c r="CO142" i="33"/>
  <c r="CN142" i="33"/>
  <c r="CM142" i="33"/>
  <c r="CL142" i="33"/>
  <c r="CK142" i="33"/>
  <c r="CJ142" i="33"/>
  <c r="CI142" i="33"/>
  <c r="CH142" i="33"/>
  <c r="CG142" i="33"/>
  <c r="CF142" i="33"/>
  <c r="CE142" i="33"/>
  <c r="CD142" i="33"/>
  <c r="CC142" i="33"/>
  <c r="CB142" i="33"/>
  <c r="CA142" i="33"/>
  <c r="BZ142" i="33"/>
  <c r="BY142" i="33"/>
  <c r="BX142" i="33"/>
  <c r="BW142" i="33"/>
  <c r="BV142" i="33"/>
  <c r="BU142" i="33"/>
  <c r="BT142" i="33"/>
  <c r="BS142" i="33"/>
  <c r="BR142" i="33"/>
  <c r="BQ142" i="33"/>
  <c r="BP142" i="33"/>
  <c r="BO142" i="33"/>
  <c r="BN142" i="33"/>
  <c r="BM142" i="33"/>
  <c r="BL142" i="33"/>
  <c r="BK142" i="33"/>
  <c r="BJ142" i="33"/>
  <c r="BI142" i="33"/>
  <c r="BH142" i="33"/>
  <c r="BG142" i="33"/>
  <c r="BF142" i="33"/>
  <c r="BE142" i="33"/>
  <c r="BD142" i="33"/>
  <c r="BC142" i="33"/>
  <c r="BB142" i="33"/>
  <c r="BA142" i="33"/>
  <c r="AZ142" i="33"/>
  <c r="AY142" i="33"/>
  <c r="AX142" i="33"/>
  <c r="AW142" i="33"/>
  <c r="AV142" i="33"/>
  <c r="AU142" i="33"/>
  <c r="AT142" i="33"/>
  <c r="AS142" i="33"/>
  <c r="AR142" i="33"/>
  <c r="AQ142" i="33"/>
  <c r="AP142" i="33"/>
  <c r="AO142" i="33"/>
  <c r="AN142" i="33"/>
  <c r="AM142" i="33"/>
  <c r="AL142" i="33"/>
  <c r="AK142" i="33"/>
  <c r="AJ142" i="33"/>
  <c r="AI142" i="33"/>
  <c r="AH142" i="33"/>
  <c r="AG142" i="33"/>
  <c r="AF142" i="33"/>
  <c r="AE142" i="33"/>
  <c r="AD142" i="33"/>
  <c r="AC142" i="33"/>
  <c r="AB142" i="33"/>
  <c r="AA142" i="33"/>
  <c r="Z142" i="33"/>
  <c r="Y142" i="33"/>
  <c r="X142" i="33"/>
  <c r="W142" i="33"/>
  <c r="V142" i="33"/>
  <c r="U142" i="33"/>
  <c r="T142" i="33"/>
  <c r="S142" i="33"/>
  <c r="R142" i="33"/>
  <c r="Q142" i="33"/>
  <c r="P142" i="33"/>
  <c r="O142" i="33"/>
  <c r="N142" i="33"/>
  <c r="M142" i="33"/>
  <c r="L142" i="33"/>
  <c r="K142" i="33"/>
  <c r="J142" i="33"/>
  <c r="I142" i="33"/>
  <c r="H142" i="33"/>
  <c r="G142" i="33"/>
  <c r="F142" i="33"/>
  <c r="E142" i="33"/>
  <c r="D142" i="33"/>
  <c r="C142" i="33"/>
  <c r="B142" i="33"/>
  <c r="A142" i="33"/>
  <c r="IV141" i="33"/>
  <c r="IU141" i="33"/>
  <c r="IT141" i="33"/>
  <c r="IS141" i="33"/>
  <c r="IR141" i="33"/>
  <c r="IQ141" i="33"/>
  <c r="IP141" i="33"/>
  <c r="IO141" i="33"/>
  <c r="IN141" i="33"/>
  <c r="IM141" i="33"/>
  <c r="IL141" i="33"/>
  <c r="IK141" i="33"/>
  <c r="IJ141" i="33"/>
  <c r="II141" i="33"/>
  <c r="IH141" i="33"/>
  <c r="IG141" i="33"/>
  <c r="IF141" i="33"/>
  <c r="IE141" i="33"/>
  <c r="ID141" i="33"/>
  <c r="IC141" i="33"/>
  <c r="IB141" i="33"/>
  <c r="IA141" i="33"/>
  <c r="HZ141" i="33"/>
  <c r="HY141" i="33"/>
  <c r="HX141" i="33"/>
  <c r="HW141" i="33"/>
  <c r="HV141" i="33"/>
  <c r="HU141" i="33"/>
  <c r="HT141" i="33"/>
  <c r="HS141" i="33"/>
  <c r="HR141" i="33"/>
  <c r="HQ141" i="33"/>
  <c r="HP141" i="33"/>
  <c r="HO141" i="33"/>
  <c r="HN141" i="33"/>
  <c r="HM141" i="33"/>
  <c r="HL141" i="33"/>
  <c r="HK141" i="33"/>
  <c r="HJ141" i="33"/>
  <c r="HI141" i="33"/>
  <c r="HH141" i="33"/>
  <c r="HG141" i="33"/>
  <c r="HF141" i="33"/>
  <c r="HE141" i="33"/>
  <c r="HD141" i="33"/>
  <c r="HC141" i="33"/>
  <c r="HB141" i="33"/>
  <c r="HA141" i="33"/>
  <c r="GZ141" i="33"/>
  <c r="GY141" i="33"/>
  <c r="GX141" i="33"/>
  <c r="GW141" i="33"/>
  <c r="GV141" i="33"/>
  <c r="GU141" i="33"/>
  <c r="GT141" i="33"/>
  <c r="GS141" i="33"/>
  <c r="GR141" i="33"/>
  <c r="GQ141" i="33"/>
  <c r="GP141" i="33"/>
  <c r="GO141" i="33"/>
  <c r="GN141" i="33"/>
  <c r="GM141" i="33"/>
  <c r="GL141" i="33"/>
  <c r="GK141" i="33"/>
  <c r="GJ141" i="33"/>
  <c r="GI141" i="33"/>
  <c r="GH141" i="33"/>
  <c r="GG141" i="33"/>
  <c r="GF141" i="33"/>
  <c r="GE141" i="33"/>
  <c r="GD141" i="33"/>
  <c r="GC141" i="33"/>
  <c r="GB141" i="33"/>
  <c r="GA141" i="33"/>
  <c r="FZ141" i="33"/>
  <c r="FY141" i="33"/>
  <c r="FX141" i="33"/>
  <c r="FW141" i="33"/>
  <c r="FV141" i="33"/>
  <c r="FU141" i="33"/>
  <c r="FT141" i="33"/>
  <c r="FS141" i="33"/>
  <c r="FR141" i="33"/>
  <c r="FQ141" i="33"/>
  <c r="FP141" i="33"/>
  <c r="FO141" i="33"/>
  <c r="FN141" i="33"/>
  <c r="FM141" i="33"/>
  <c r="FL141" i="33"/>
  <c r="FK141" i="33"/>
  <c r="FJ141" i="33"/>
  <c r="FI141" i="33"/>
  <c r="FH141" i="33"/>
  <c r="FG141" i="33"/>
  <c r="FF141" i="33"/>
  <c r="FE141" i="33"/>
  <c r="FD141" i="33"/>
  <c r="FC141" i="33"/>
  <c r="FB141" i="33"/>
  <c r="FA141" i="33"/>
  <c r="EZ141" i="33"/>
  <c r="EY141" i="33"/>
  <c r="EX141" i="33"/>
  <c r="EW141" i="33"/>
  <c r="EV141" i="33"/>
  <c r="EU141" i="33"/>
  <c r="ET141" i="33"/>
  <c r="ES141" i="33"/>
  <c r="ER141" i="33"/>
  <c r="EQ141" i="33"/>
  <c r="EP141" i="33"/>
  <c r="EO141" i="33"/>
  <c r="EN141" i="33"/>
  <c r="EM141" i="33"/>
  <c r="EL141" i="33"/>
  <c r="EK141" i="33"/>
  <c r="EJ141" i="33"/>
  <c r="EI141" i="33"/>
  <c r="EH141" i="33"/>
  <c r="EG141" i="33"/>
  <c r="EF141" i="33"/>
  <c r="EE141" i="33"/>
  <c r="ED141" i="33"/>
  <c r="EC141" i="33"/>
  <c r="EB141" i="33"/>
  <c r="EA141" i="33"/>
  <c r="DZ141" i="33"/>
  <c r="DY141" i="33"/>
  <c r="DX141" i="33"/>
  <c r="DW141" i="33"/>
  <c r="DV141" i="33"/>
  <c r="DU141" i="33"/>
  <c r="DT141" i="33"/>
  <c r="DS141" i="33"/>
  <c r="DR141" i="33"/>
  <c r="DQ141" i="33"/>
  <c r="DP141" i="33"/>
  <c r="DO141" i="33"/>
  <c r="DN141" i="33"/>
  <c r="DM141" i="33"/>
  <c r="DL141" i="33"/>
  <c r="DK141" i="33"/>
  <c r="DJ141" i="33"/>
  <c r="DI141" i="33"/>
  <c r="DH141" i="33"/>
  <c r="DG141" i="33"/>
  <c r="DF141" i="33"/>
  <c r="DE141" i="33"/>
  <c r="DD141" i="33"/>
  <c r="DC141" i="33"/>
  <c r="DB141" i="33"/>
  <c r="DA141" i="33"/>
  <c r="CZ141" i="33"/>
  <c r="CY141" i="33"/>
  <c r="CX141" i="33"/>
  <c r="CW141" i="33"/>
  <c r="CV141" i="33"/>
  <c r="CU141" i="33"/>
  <c r="CT141" i="33"/>
  <c r="CS141" i="33"/>
  <c r="CR141" i="33"/>
  <c r="CQ141" i="33"/>
  <c r="CP141" i="33"/>
  <c r="CO141" i="33"/>
  <c r="CN141" i="33"/>
  <c r="CM141" i="33"/>
  <c r="CL141" i="33"/>
  <c r="CK141" i="33"/>
  <c r="CJ141" i="33"/>
  <c r="CI141" i="33"/>
  <c r="CH141" i="33"/>
  <c r="CG141" i="33"/>
  <c r="CF141" i="33"/>
  <c r="CE141" i="33"/>
  <c r="CD141" i="33"/>
  <c r="CC141" i="33"/>
  <c r="CB141" i="33"/>
  <c r="CA141" i="33"/>
  <c r="BZ141" i="33"/>
  <c r="BY141" i="33"/>
  <c r="BX141" i="33"/>
  <c r="BW141" i="33"/>
  <c r="BV141" i="33"/>
  <c r="BU141" i="33"/>
  <c r="BT141" i="33"/>
  <c r="BS141" i="33"/>
  <c r="BR141" i="33"/>
  <c r="BQ141" i="33"/>
  <c r="BP141" i="33"/>
  <c r="BO141" i="33"/>
  <c r="BN141" i="33"/>
  <c r="BM141" i="33"/>
  <c r="BL141" i="33"/>
  <c r="BK141" i="33"/>
  <c r="BJ141" i="33"/>
  <c r="BI141" i="33"/>
  <c r="BH141" i="33"/>
  <c r="BG141" i="33"/>
  <c r="BF141" i="33"/>
  <c r="BE141" i="33"/>
  <c r="BD141" i="33"/>
  <c r="BC141" i="33"/>
  <c r="BB141" i="33"/>
  <c r="BA141" i="33"/>
  <c r="AZ141" i="33"/>
  <c r="AY141" i="33"/>
  <c r="AX141" i="33"/>
  <c r="AW141" i="33"/>
  <c r="AV141" i="33"/>
  <c r="AU141" i="33"/>
  <c r="AT141" i="33"/>
  <c r="AS141" i="33"/>
  <c r="AR141" i="33"/>
  <c r="AQ141" i="33"/>
  <c r="AP141" i="33"/>
  <c r="AO141" i="33"/>
  <c r="AN141" i="33"/>
  <c r="AM141" i="33"/>
  <c r="AL141" i="33"/>
  <c r="AK141" i="33"/>
  <c r="AJ141" i="33"/>
  <c r="AI141" i="33"/>
  <c r="AH141" i="33"/>
  <c r="AG141" i="33"/>
  <c r="AF141" i="33"/>
  <c r="AE141" i="33"/>
  <c r="AD141" i="33"/>
  <c r="AC141" i="33"/>
  <c r="AB141" i="33"/>
  <c r="AA141" i="33"/>
  <c r="Z141" i="33"/>
  <c r="Y141" i="33"/>
  <c r="X141" i="33"/>
  <c r="W141" i="33"/>
  <c r="V141" i="33"/>
  <c r="U141" i="33"/>
  <c r="T141" i="33"/>
  <c r="S141" i="33"/>
  <c r="R141" i="33"/>
  <c r="Q141" i="33"/>
  <c r="P141" i="33"/>
  <c r="O141" i="33"/>
  <c r="N141" i="33"/>
  <c r="M141" i="33"/>
  <c r="L141" i="33"/>
  <c r="K141" i="33"/>
  <c r="J141" i="33"/>
  <c r="I141" i="33"/>
  <c r="H141" i="33"/>
  <c r="G141" i="33"/>
  <c r="F141" i="33"/>
  <c r="E141" i="33"/>
  <c r="D141" i="33"/>
  <c r="C141" i="33"/>
  <c r="B141" i="33"/>
  <c r="A141" i="33"/>
  <c r="IV140" i="33"/>
  <c r="IU140" i="33"/>
  <c r="IT140" i="33"/>
  <c r="IS140" i="33"/>
  <c r="IR140" i="33"/>
  <c r="IQ140" i="33"/>
  <c r="IP140" i="33"/>
  <c r="IO140" i="33"/>
  <c r="IN140" i="33"/>
  <c r="IM140" i="33"/>
  <c r="IL140" i="33"/>
  <c r="IK140" i="33"/>
  <c r="IJ140" i="33"/>
  <c r="II140" i="33"/>
  <c r="IH140" i="33"/>
  <c r="IG140" i="33"/>
  <c r="IF140" i="33"/>
  <c r="IE140" i="33"/>
  <c r="ID140" i="33"/>
  <c r="IC140" i="33"/>
  <c r="IB140" i="33"/>
  <c r="IA140" i="33"/>
  <c r="HZ140" i="33"/>
  <c r="HY140" i="33"/>
  <c r="HX140" i="33"/>
  <c r="HW140" i="33"/>
  <c r="HV140" i="33"/>
  <c r="HU140" i="33"/>
  <c r="HT140" i="33"/>
  <c r="HS140" i="33"/>
  <c r="HR140" i="33"/>
  <c r="HQ140" i="33"/>
  <c r="HP140" i="33"/>
  <c r="HO140" i="33"/>
  <c r="HN140" i="33"/>
  <c r="HM140" i="33"/>
  <c r="HL140" i="33"/>
  <c r="HK140" i="33"/>
  <c r="HJ140" i="33"/>
  <c r="HI140" i="33"/>
  <c r="HH140" i="33"/>
  <c r="HG140" i="33"/>
  <c r="HF140" i="33"/>
  <c r="HE140" i="33"/>
  <c r="HD140" i="33"/>
  <c r="HC140" i="33"/>
  <c r="HB140" i="33"/>
  <c r="HA140" i="33"/>
  <c r="GZ140" i="33"/>
  <c r="GY140" i="33"/>
  <c r="GX140" i="33"/>
  <c r="GW140" i="33"/>
  <c r="GV140" i="33"/>
  <c r="GU140" i="33"/>
  <c r="GT140" i="33"/>
  <c r="GS140" i="33"/>
  <c r="GR140" i="33"/>
  <c r="GQ140" i="33"/>
  <c r="GP140" i="33"/>
  <c r="GO140" i="33"/>
  <c r="GN140" i="33"/>
  <c r="GM140" i="33"/>
  <c r="GL140" i="33"/>
  <c r="GK140" i="33"/>
  <c r="GJ140" i="33"/>
  <c r="GI140" i="33"/>
  <c r="GH140" i="33"/>
  <c r="GG140" i="33"/>
  <c r="GF140" i="33"/>
  <c r="GE140" i="33"/>
  <c r="GD140" i="33"/>
  <c r="GC140" i="33"/>
  <c r="GB140" i="33"/>
  <c r="GA140" i="33"/>
  <c r="FZ140" i="33"/>
  <c r="FY140" i="33"/>
  <c r="FX140" i="33"/>
  <c r="FW140" i="33"/>
  <c r="FV140" i="33"/>
  <c r="FU140" i="33"/>
  <c r="FT140" i="33"/>
  <c r="FS140" i="33"/>
  <c r="FR140" i="33"/>
  <c r="FQ140" i="33"/>
  <c r="FP140" i="33"/>
  <c r="FO140" i="33"/>
  <c r="FN140" i="33"/>
  <c r="FM140" i="33"/>
  <c r="FL140" i="33"/>
  <c r="FK140" i="33"/>
  <c r="FJ140" i="33"/>
  <c r="FI140" i="33"/>
  <c r="FH140" i="33"/>
  <c r="FG140" i="33"/>
  <c r="FF140" i="33"/>
  <c r="FE140" i="33"/>
  <c r="FD140" i="33"/>
  <c r="FC140" i="33"/>
  <c r="FB140" i="33"/>
  <c r="FA140" i="33"/>
  <c r="EZ140" i="33"/>
  <c r="EY140" i="33"/>
  <c r="EX140" i="33"/>
  <c r="EW140" i="33"/>
  <c r="EV140" i="33"/>
  <c r="EU140" i="33"/>
  <c r="ET140" i="33"/>
  <c r="ES140" i="33"/>
  <c r="ER140" i="33"/>
  <c r="EQ140" i="33"/>
  <c r="EP140" i="33"/>
  <c r="EO140" i="33"/>
  <c r="EN140" i="33"/>
  <c r="EM140" i="33"/>
  <c r="EL140" i="33"/>
  <c r="EK140" i="33"/>
  <c r="EJ140" i="33"/>
  <c r="EI140" i="33"/>
  <c r="EH140" i="33"/>
  <c r="EG140" i="33"/>
  <c r="EF140" i="33"/>
  <c r="EE140" i="33"/>
  <c r="ED140" i="33"/>
  <c r="EC140" i="33"/>
  <c r="EB140" i="33"/>
  <c r="EA140" i="33"/>
  <c r="DZ140" i="33"/>
  <c r="DY140" i="33"/>
  <c r="DX140" i="33"/>
  <c r="DW140" i="33"/>
  <c r="DV140" i="33"/>
  <c r="DU140" i="33"/>
  <c r="DT140" i="33"/>
  <c r="DS140" i="33"/>
  <c r="DR140" i="33"/>
  <c r="DQ140" i="33"/>
  <c r="DP140" i="33"/>
  <c r="DO140" i="33"/>
  <c r="DN140" i="33"/>
  <c r="DM140" i="33"/>
  <c r="DL140" i="33"/>
  <c r="DK140" i="33"/>
  <c r="DJ140" i="33"/>
  <c r="DI140" i="33"/>
  <c r="DH140" i="33"/>
  <c r="DG140" i="33"/>
  <c r="DF140" i="33"/>
  <c r="DE140" i="33"/>
  <c r="DD140" i="33"/>
  <c r="DC140" i="33"/>
  <c r="DB140" i="33"/>
  <c r="DA140" i="33"/>
  <c r="CZ140" i="33"/>
  <c r="CY140" i="33"/>
  <c r="CX140" i="33"/>
  <c r="CW140" i="33"/>
  <c r="CV140" i="33"/>
  <c r="CU140" i="33"/>
  <c r="CT140" i="33"/>
  <c r="CS140" i="33"/>
  <c r="CR140" i="33"/>
  <c r="CQ140" i="33"/>
  <c r="CP140" i="33"/>
  <c r="CO140" i="33"/>
  <c r="CN140" i="33"/>
  <c r="CM140" i="33"/>
  <c r="CL140" i="33"/>
  <c r="CK140" i="33"/>
  <c r="CJ140" i="33"/>
  <c r="CI140" i="33"/>
  <c r="CH140" i="33"/>
  <c r="CG140" i="33"/>
  <c r="CF140" i="33"/>
  <c r="CE140" i="33"/>
  <c r="CD140" i="33"/>
  <c r="CC140" i="33"/>
  <c r="CB140" i="33"/>
  <c r="CA140" i="33"/>
  <c r="BZ140" i="33"/>
  <c r="BY140" i="33"/>
  <c r="BX140" i="33"/>
  <c r="BW140" i="33"/>
  <c r="BV140" i="33"/>
  <c r="BU140" i="33"/>
  <c r="BT140" i="33"/>
  <c r="BS140" i="33"/>
  <c r="BR140" i="33"/>
  <c r="BQ140" i="33"/>
  <c r="BP140" i="33"/>
  <c r="BO140" i="33"/>
  <c r="BN140" i="33"/>
  <c r="BM140" i="33"/>
  <c r="BL140" i="33"/>
  <c r="BK140" i="33"/>
  <c r="BJ140" i="33"/>
  <c r="BI140" i="33"/>
  <c r="BH140" i="33"/>
  <c r="BG140" i="33"/>
  <c r="BF140" i="33"/>
  <c r="BE140" i="33"/>
  <c r="BD140" i="33"/>
  <c r="BC140" i="33"/>
  <c r="BB140" i="33"/>
  <c r="BA140" i="33"/>
  <c r="AZ140" i="33"/>
  <c r="AY140" i="33"/>
  <c r="AX140" i="33"/>
  <c r="AW140" i="33"/>
  <c r="AV140" i="33"/>
  <c r="AU140" i="33"/>
  <c r="AT140" i="33"/>
  <c r="AS140" i="33"/>
  <c r="AR140" i="33"/>
  <c r="AQ140" i="33"/>
  <c r="AP140" i="33"/>
  <c r="AO140" i="33"/>
  <c r="AN140" i="33"/>
  <c r="AM140" i="33"/>
  <c r="AL140" i="33"/>
  <c r="AK140" i="33"/>
  <c r="AJ140" i="33"/>
  <c r="AI140" i="33"/>
  <c r="AH140" i="33"/>
  <c r="AG140" i="33"/>
  <c r="AF140" i="33"/>
  <c r="AE140" i="33"/>
  <c r="AD140" i="33"/>
  <c r="AC140" i="33"/>
  <c r="AB140" i="33"/>
  <c r="AA140" i="33"/>
  <c r="Z140" i="33"/>
  <c r="Y140" i="33"/>
  <c r="X140" i="33"/>
  <c r="W140" i="33"/>
  <c r="V140" i="33"/>
  <c r="U140" i="33"/>
  <c r="T140" i="33"/>
  <c r="S140" i="33"/>
  <c r="R140" i="33"/>
  <c r="Q140" i="33"/>
  <c r="P140" i="33"/>
  <c r="O140" i="33"/>
  <c r="N140" i="33"/>
  <c r="M140" i="33"/>
  <c r="L140" i="33"/>
  <c r="K140" i="33"/>
  <c r="J140" i="33"/>
  <c r="I140" i="33"/>
  <c r="H140" i="33"/>
  <c r="G140" i="33"/>
  <c r="F140" i="33"/>
  <c r="E140" i="33"/>
  <c r="D140" i="33"/>
  <c r="C140" i="33"/>
  <c r="B140" i="33"/>
  <c r="A140" i="33"/>
  <c r="IV139" i="33"/>
  <c r="IU139" i="33"/>
  <c r="IT139" i="33"/>
  <c r="IS139" i="33"/>
  <c r="IR139" i="33"/>
  <c r="IQ139" i="33"/>
  <c r="IP139" i="33"/>
  <c r="IO139" i="33"/>
  <c r="IN139" i="33"/>
  <c r="IM139" i="33"/>
  <c r="IL139" i="33"/>
  <c r="IK139" i="33"/>
  <c r="IJ139" i="33"/>
  <c r="II139" i="33"/>
  <c r="IH139" i="33"/>
  <c r="IG139" i="33"/>
  <c r="IF139" i="33"/>
  <c r="IE139" i="33"/>
  <c r="ID139" i="33"/>
  <c r="IC139" i="33"/>
  <c r="IB139" i="33"/>
  <c r="IA139" i="33"/>
  <c r="HZ139" i="33"/>
  <c r="HY139" i="33"/>
  <c r="HX139" i="33"/>
  <c r="HW139" i="33"/>
  <c r="HV139" i="33"/>
  <c r="HU139" i="33"/>
  <c r="HT139" i="33"/>
  <c r="HS139" i="33"/>
  <c r="HR139" i="33"/>
  <c r="HQ139" i="33"/>
  <c r="HP139" i="33"/>
  <c r="HO139" i="33"/>
  <c r="HN139" i="33"/>
  <c r="HM139" i="33"/>
  <c r="HL139" i="33"/>
  <c r="HK139" i="33"/>
  <c r="HJ139" i="33"/>
  <c r="HI139" i="33"/>
  <c r="HH139" i="33"/>
  <c r="HG139" i="33"/>
  <c r="HF139" i="33"/>
  <c r="HE139" i="33"/>
  <c r="HD139" i="33"/>
  <c r="HC139" i="33"/>
  <c r="HB139" i="33"/>
  <c r="HA139" i="33"/>
  <c r="GZ139" i="33"/>
  <c r="GY139" i="33"/>
  <c r="GX139" i="33"/>
  <c r="GW139" i="33"/>
  <c r="GV139" i="33"/>
  <c r="GU139" i="33"/>
  <c r="GT139" i="33"/>
  <c r="GS139" i="33"/>
  <c r="GR139" i="33"/>
  <c r="GQ139" i="33"/>
  <c r="GP139" i="33"/>
  <c r="GO139" i="33"/>
  <c r="GN139" i="33"/>
  <c r="GM139" i="33"/>
  <c r="GL139" i="33"/>
  <c r="GK139" i="33"/>
  <c r="GJ139" i="33"/>
  <c r="GI139" i="33"/>
  <c r="GH139" i="33"/>
  <c r="GG139" i="33"/>
  <c r="GF139" i="33"/>
  <c r="GE139" i="33"/>
  <c r="GD139" i="33"/>
  <c r="GC139" i="33"/>
  <c r="GB139" i="33"/>
  <c r="GA139" i="33"/>
  <c r="FZ139" i="33"/>
  <c r="FY139" i="33"/>
  <c r="FX139" i="33"/>
  <c r="FW139" i="33"/>
  <c r="FV139" i="33"/>
  <c r="FU139" i="33"/>
  <c r="FT139" i="33"/>
  <c r="FS139" i="33"/>
  <c r="FR139" i="33"/>
  <c r="FQ139" i="33"/>
  <c r="FP139" i="33"/>
  <c r="FO139" i="33"/>
  <c r="FN139" i="33"/>
  <c r="FM139" i="33"/>
  <c r="FL139" i="33"/>
  <c r="FK139" i="33"/>
  <c r="FJ139" i="33"/>
  <c r="FI139" i="33"/>
  <c r="FH139" i="33"/>
  <c r="FG139" i="33"/>
  <c r="FF139" i="33"/>
  <c r="FE139" i="33"/>
  <c r="FD139" i="33"/>
  <c r="FC139" i="33"/>
  <c r="FB139" i="33"/>
  <c r="FA139" i="33"/>
  <c r="EZ139" i="33"/>
  <c r="EY139" i="33"/>
  <c r="EX139" i="33"/>
  <c r="EW139" i="33"/>
  <c r="EV139" i="33"/>
  <c r="EU139" i="33"/>
  <c r="ET139" i="33"/>
  <c r="ES139" i="33"/>
  <c r="ER139" i="33"/>
  <c r="EQ139" i="33"/>
  <c r="EP139" i="33"/>
  <c r="EO139" i="33"/>
  <c r="EN139" i="33"/>
  <c r="EM139" i="33"/>
  <c r="EL139" i="33"/>
  <c r="EK139" i="33"/>
  <c r="EJ139" i="33"/>
  <c r="EI139" i="33"/>
  <c r="EH139" i="33"/>
  <c r="EG139" i="33"/>
  <c r="EF139" i="33"/>
  <c r="EE139" i="33"/>
  <c r="ED139" i="33"/>
  <c r="EC139" i="33"/>
  <c r="EB139" i="33"/>
  <c r="EA139" i="33"/>
  <c r="DZ139" i="33"/>
  <c r="DY139" i="33"/>
  <c r="DX139" i="33"/>
  <c r="DW139" i="33"/>
  <c r="DV139" i="33"/>
  <c r="DU139" i="33"/>
  <c r="DT139" i="33"/>
  <c r="DS139" i="33"/>
  <c r="DR139" i="33"/>
  <c r="DQ139" i="33"/>
  <c r="DP139" i="33"/>
  <c r="DO139" i="33"/>
  <c r="DN139" i="33"/>
  <c r="DM139" i="33"/>
  <c r="DL139" i="33"/>
  <c r="DK139" i="33"/>
  <c r="DJ139" i="33"/>
  <c r="DI139" i="33"/>
  <c r="DH139" i="33"/>
  <c r="DG139" i="33"/>
  <c r="DF139" i="33"/>
  <c r="DE139" i="33"/>
  <c r="DD139" i="33"/>
  <c r="DC139" i="33"/>
  <c r="DB139" i="33"/>
  <c r="DA139" i="33"/>
  <c r="CZ139" i="33"/>
  <c r="CY139" i="33"/>
  <c r="CX139" i="33"/>
  <c r="CW139" i="33"/>
  <c r="CV139" i="33"/>
  <c r="CU139" i="33"/>
  <c r="CT139" i="33"/>
  <c r="CS139" i="33"/>
  <c r="CR139" i="33"/>
  <c r="CQ139" i="33"/>
  <c r="CP139" i="33"/>
  <c r="CO139" i="33"/>
  <c r="CN139" i="33"/>
  <c r="CM139" i="33"/>
  <c r="CL139" i="33"/>
  <c r="CK139" i="33"/>
  <c r="CJ139" i="33"/>
  <c r="CI139" i="33"/>
  <c r="CH139" i="33"/>
  <c r="CG139" i="33"/>
  <c r="CF139" i="33"/>
  <c r="CE139" i="33"/>
  <c r="CD139" i="33"/>
  <c r="CC139" i="33"/>
  <c r="CB139" i="33"/>
  <c r="CA139" i="33"/>
  <c r="BZ139" i="33"/>
  <c r="BY139" i="33"/>
  <c r="BX139" i="33"/>
  <c r="BW139" i="33"/>
  <c r="BV139" i="33"/>
  <c r="BU139" i="33"/>
  <c r="BT139" i="33"/>
  <c r="BS139" i="33"/>
  <c r="BR139" i="33"/>
  <c r="BQ139" i="33"/>
  <c r="BP139" i="33"/>
  <c r="BO139" i="33"/>
  <c r="BN139" i="33"/>
  <c r="BM139" i="33"/>
  <c r="BL139" i="33"/>
  <c r="BK139" i="33"/>
  <c r="BJ139" i="33"/>
  <c r="BI139" i="33"/>
  <c r="BH139" i="33"/>
  <c r="BG139" i="33"/>
  <c r="BF139" i="33"/>
  <c r="BE139" i="33"/>
  <c r="BD139" i="33"/>
  <c r="BC139" i="33"/>
  <c r="BB139" i="33"/>
  <c r="BA139" i="33"/>
  <c r="AZ139" i="33"/>
  <c r="AY139" i="33"/>
  <c r="AX139" i="33"/>
  <c r="AW139" i="33"/>
  <c r="AV139" i="33"/>
  <c r="AU139" i="33"/>
  <c r="AT139" i="33"/>
  <c r="AS139" i="33"/>
  <c r="AR139" i="33"/>
  <c r="AQ139" i="33"/>
  <c r="AP139" i="33"/>
  <c r="AO139" i="33"/>
  <c r="AN139" i="33"/>
  <c r="AM139" i="33"/>
  <c r="AL139" i="33"/>
  <c r="AK139" i="33"/>
  <c r="AJ139" i="33"/>
  <c r="AI139" i="33"/>
  <c r="AH139" i="33"/>
  <c r="AG139" i="33"/>
  <c r="AF139" i="33"/>
  <c r="AE139" i="33"/>
  <c r="AD139" i="33"/>
  <c r="AC139" i="33"/>
  <c r="AB139" i="33"/>
  <c r="AA139" i="33"/>
  <c r="Z139" i="33"/>
  <c r="Y139" i="33"/>
  <c r="X139" i="33"/>
  <c r="W139" i="33"/>
  <c r="V139" i="33"/>
  <c r="U139" i="33"/>
  <c r="T139" i="33"/>
  <c r="S139" i="33"/>
  <c r="R139" i="33"/>
  <c r="Q139" i="33"/>
  <c r="P139" i="33"/>
  <c r="O139" i="33"/>
  <c r="N139" i="33"/>
  <c r="M139" i="33"/>
  <c r="L139" i="33"/>
  <c r="K139" i="33"/>
  <c r="J139" i="33"/>
  <c r="I139" i="33"/>
  <c r="H139" i="33"/>
  <c r="G139" i="33"/>
  <c r="F139" i="33"/>
  <c r="E139" i="33"/>
  <c r="D139" i="33"/>
  <c r="C139" i="33"/>
  <c r="B139" i="33"/>
  <c r="A139" i="33"/>
  <c r="IV138" i="33"/>
  <c r="IU138" i="33"/>
  <c r="IT138" i="33"/>
  <c r="IS138" i="33"/>
  <c r="IR138" i="33"/>
  <c r="IQ138" i="33"/>
  <c r="IP138" i="33"/>
  <c r="IO138" i="33"/>
  <c r="IN138" i="33"/>
  <c r="IM138" i="33"/>
  <c r="IL138" i="33"/>
  <c r="IK138" i="33"/>
  <c r="IJ138" i="33"/>
  <c r="II138" i="33"/>
  <c r="IH138" i="33"/>
  <c r="IG138" i="33"/>
  <c r="IF138" i="33"/>
  <c r="IE138" i="33"/>
  <c r="ID138" i="33"/>
  <c r="IC138" i="33"/>
  <c r="IB138" i="33"/>
  <c r="IA138" i="33"/>
  <c r="HZ138" i="33"/>
  <c r="HY138" i="33"/>
  <c r="HX138" i="33"/>
  <c r="HW138" i="33"/>
  <c r="HV138" i="33"/>
  <c r="HU138" i="33"/>
  <c r="HT138" i="33"/>
  <c r="HS138" i="33"/>
  <c r="HR138" i="33"/>
  <c r="HQ138" i="33"/>
  <c r="HP138" i="33"/>
  <c r="HO138" i="33"/>
  <c r="HN138" i="33"/>
  <c r="HM138" i="33"/>
  <c r="HL138" i="33"/>
  <c r="HK138" i="33"/>
  <c r="HJ138" i="33"/>
  <c r="HI138" i="33"/>
  <c r="HH138" i="33"/>
  <c r="HG138" i="33"/>
  <c r="HF138" i="33"/>
  <c r="HE138" i="33"/>
  <c r="HD138" i="33"/>
  <c r="HC138" i="33"/>
  <c r="HB138" i="33"/>
  <c r="HA138" i="33"/>
  <c r="GZ138" i="33"/>
  <c r="GY138" i="33"/>
  <c r="GX138" i="33"/>
  <c r="GW138" i="33"/>
  <c r="GV138" i="33"/>
  <c r="GU138" i="33"/>
  <c r="GT138" i="33"/>
  <c r="GS138" i="33"/>
  <c r="GR138" i="33"/>
  <c r="GQ138" i="33"/>
  <c r="GP138" i="33"/>
  <c r="GO138" i="33"/>
  <c r="GN138" i="33"/>
  <c r="GM138" i="33"/>
  <c r="GL138" i="33"/>
  <c r="GK138" i="33"/>
  <c r="GJ138" i="33"/>
  <c r="GI138" i="33"/>
  <c r="GH138" i="33"/>
  <c r="GG138" i="33"/>
  <c r="GF138" i="33"/>
  <c r="GE138" i="33"/>
  <c r="GD138" i="33"/>
  <c r="GC138" i="33"/>
  <c r="GB138" i="33"/>
  <c r="GA138" i="33"/>
  <c r="FZ138" i="33"/>
  <c r="FY138" i="33"/>
  <c r="FX138" i="33"/>
  <c r="FW138" i="33"/>
  <c r="FV138" i="33"/>
  <c r="FU138" i="33"/>
  <c r="FT138" i="33"/>
  <c r="FS138" i="33"/>
  <c r="FR138" i="33"/>
  <c r="FQ138" i="33"/>
  <c r="FP138" i="33"/>
  <c r="FO138" i="33"/>
  <c r="FN138" i="33"/>
  <c r="FM138" i="33"/>
  <c r="FL138" i="33"/>
  <c r="FK138" i="33"/>
  <c r="FJ138" i="33"/>
  <c r="FI138" i="33"/>
  <c r="FH138" i="33"/>
  <c r="FG138" i="33"/>
  <c r="FF138" i="33"/>
  <c r="FE138" i="33"/>
  <c r="FD138" i="33"/>
  <c r="FC138" i="33"/>
  <c r="FB138" i="33"/>
  <c r="FA138" i="33"/>
  <c r="EZ138" i="33"/>
  <c r="EY138" i="33"/>
  <c r="EX138" i="33"/>
  <c r="EW138" i="33"/>
  <c r="EV138" i="33"/>
  <c r="EU138" i="33"/>
  <c r="ET138" i="33"/>
  <c r="ES138" i="33"/>
  <c r="ER138" i="33"/>
  <c r="EQ138" i="33"/>
  <c r="EP138" i="33"/>
  <c r="EO138" i="33"/>
  <c r="EN138" i="33"/>
  <c r="EM138" i="33"/>
  <c r="EL138" i="33"/>
  <c r="EK138" i="33"/>
  <c r="EJ138" i="33"/>
  <c r="EI138" i="33"/>
  <c r="EH138" i="33"/>
  <c r="EG138" i="33"/>
  <c r="EF138" i="33"/>
  <c r="EE138" i="33"/>
  <c r="ED138" i="33"/>
  <c r="EC138" i="33"/>
  <c r="EB138" i="33"/>
  <c r="EA138" i="33"/>
  <c r="DZ138" i="33"/>
  <c r="DY138" i="33"/>
  <c r="DX138" i="33"/>
  <c r="DW138" i="33"/>
  <c r="DV138" i="33"/>
  <c r="DU138" i="33"/>
  <c r="DT138" i="33"/>
  <c r="DS138" i="33"/>
  <c r="DR138" i="33"/>
  <c r="DQ138" i="33"/>
  <c r="DP138" i="33"/>
  <c r="DO138" i="33"/>
  <c r="DN138" i="33"/>
  <c r="DM138" i="33"/>
  <c r="DL138" i="33"/>
  <c r="DK138" i="33"/>
  <c r="DJ138" i="33"/>
  <c r="DI138" i="33"/>
  <c r="DH138" i="33"/>
  <c r="DG138" i="33"/>
  <c r="DF138" i="33"/>
  <c r="DE138" i="33"/>
  <c r="DD138" i="33"/>
  <c r="DC138" i="33"/>
  <c r="DB138" i="33"/>
  <c r="DA138" i="33"/>
  <c r="CZ138" i="33"/>
  <c r="CY138" i="33"/>
  <c r="CX138" i="33"/>
  <c r="CW138" i="33"/>
  <c r="CV138" i="33"/>
  <c r="CU138" i="33"/>
  <c r="CT138" i="33"/>
  <c r="CS138" i="33"/>
  <c r="CR138" i="33"/>
  <c r="CQ138" i="33"/>
  <c r="CP138" i="33"/>
  <c r="CO138" i="33"/>
  <c r="CN138" i="33"/>
  <c r="CM138" i="33"/>
  <c r="CL138" i="33"/>
  <c r="CK138" i="33"/>
  <c r="CJ138" i="33"/>
  <c r="CI138" i="33"/>
  <c r="CH138" i="33"/>
  <c r="CG138" i="33"/>
  <c r="CF138" i="33"/>
  <c r="CE138" i="33"/>
  <c r="CD138" i="33"/>
  <c r="CC138" i="33"/>
  <c r="CB138" i="33"/>
  <c r="CA138" i="33"/>
  <c r="BZ138" i="33"/>
  <c r="BY138" i="33"/>
  <c r="BX138" i="33"/>
  <c r="BW138" i="33"/>
  <c r="BV138" i="33"/>
  <c r="BU138" i="33"/>
  <c r="BT138" i="33"/>
  <c r="BS138" i="33"/>
  <c r="BR138" i="33"/>
  <c r="BQ138" i="33"/>
  <c r="BP138" i="33"/>
  <c r="BO138" i="33"/>
  <c r="BN138" i="33"/>
  <c r="BM138" i="33"/>
  <c r="BL138" i="33"/>
  <c r="BK138" i="33"/>
  <c r="BJ138" i="33"/>
  <c r="BI138" i="33"/>
  <c r="BH138" i="33"/>
  <c r="BG138" i="33"/>
  <c r="BF138" i="33"/>
  <c r="BE138" i="33"/>
  <c r="BD138" i="33"/>
  <c r="BC138" i="33"/>
  <c r="BB138" i="33"/>
  <c r="BA138" i="33"/>
  <c r="AZ138" i="33"/>
  <c r="AY138" i="33"/>
  <c r="AX138" i="33"/>
  <c r="AW138" i="33"/>
  <c r="AV138" i="33"/>
  <c r="AU138" i="33"/>
  <c r="AT138" i="33"/>
  <c r="AS138" i="33"/>
  <c r="AR138" i="33"/>
  <c r="AQ138" i="33"/>
  <c r="AP138" i="33"/>
  <c r="AO138" i="33"/>
  <c r="AN138" i="33"/>
  <c r="AM138" i="33"/>
  <c r="AL138" i="33"/>
  <c r="AK138" i="33"/>
  <c r="AJ138" i="33"/>
  <c r="AI138" i="33"/>
  <c r="AH138" i="33"/>
  <c r="AG138" i="33"/>
  <c r="AF138" i="33"/>
  <c r="AE138" i="33"/>
  <c r="AD138" i="33"/>
  <c r="AC138" i="33"/>
  <c r="AB138" i="33"/>
  <c r="AA138" i="33"/>
  <c r="Z138" i="33"/>
  <c r="Y138" i="33"/>
  <c r="X138" i="33"/>
  <c r="W138" i="33"/>
  <c r="V138" i="33"/>
  <c r="U138" i="33"/>
  <c r="T138" i="33"/>
  <c r="S138" i="33"/>
  <c r="R138" i="33"/>
  <c r="Q138" i="33"/>
  <c r="P138" i="33"/>
  <c r="O138" i="33"/>
  <c r="N138" i="33"/>
  <c r="M138" i="33"/>
  <c r="L138" i="33"/>
  <c r="K138" i="33"/>
  <c r="J138" i="33"/>
  <c r="I138" i="33"/>
  <c r="H138" i="33"/>
  <c r="G138" i="33"/>
  <c r="F138" i="33"/>
  <c r="E138" i="33"/>
  <c r="D138" i="33"/>
  <c r="C138" i="33"/>
  <c r="B138" i="33"/>
  <c r="A138" i="33"/>
  <c r="IV137" i="33"/>
  <c r="IU137" i="33"/>
  <c r="IT137" i="33"/>
  <c r="IS137" i="33"/>
  <c r="IR137" i="33"/>
  <c r="IQ137" i="33"/>
  <c r="IP137" i="33"/>
  <c r="IO137" i="33"/>
  <c r="IN137" i="33"/>
  <c r="IM137" i="33"/>
  <c r="IL137" i="33"/>
  <c r="IK137" i="33"/>
  <c r="IJ137" i="33"/>
  <c r="II137" i="33"/>
  <c r="IH137" i="33"/>
  <c r="IG137" i="33"/>
  <c r="IF137" i="33"/>
  <c r="IE137" i="33"/>
  <c r="ID137" i="33"/>
  <c r="IC137" i="33"/>
  <c r="IB137" i="33"/>
  <c r="IA137" i="33"/>
  <c r="HZ137" i="33"/>
  <c r="HY137" i="33"/>
  <c r="HX137" i="33"/>
  <c r="HW137" i="33"/>
  <c r="HV137" i="33"/>
  <c r="HU137" i="33"/>
  <c r="HT137" i="33"/>
  <c r="HS137" i="33"/>
  <c r="HR137" i="33"/>
  <c r="HQ137" i="33"/>
  <c r="HP137" i="33"/>
  <c r="HO137" i="33"/>
  <c r="HN137" i="33"/>
  <c r="HM137" i="33"/>
  <c r="HL137" i="33"/>
  <c r="HK137" i="33"/>
  <c r="HJ137" i="33"/>
  <c r="HI137" i="33"/>
  <c r="HH137" i="33"/>
  <c r="HG137" i="33"/>
  <c r="HF137" i="33"/>
  <c r="HE137" i="33"/>
  <c r="HD137" i="33"/>
  <c r="HC137" i="33"/>
  <c r="HB137" i="33"/>
  <c r="HA137" i="33"/>
  <c r="GZ137" i="33"/>
  <c r="GY137" i="33"/>
  <c r="GX137" i="33"/>
  <c r="GW137" i="33"/>
  <c r="GV137" i="33"/>
  <c r="GU137" i="33"/>
  <c r="GT137" i="33"/>
  <c r="GS137" i="33"/>
  <c r="GR137" i="33"/>
  <c r="GQ137" i="33"/>
  <c r="GP137" i="33"/>
  <c r="GO137" i="33"/>
  <c r="GN137" i="33"/>
  <c r="GM137" i="33"/>
  <c r="GL137" i="33"/>
  <c r="GK137" i="33"/>
  <c r="GJ137" i="33"/>
  <c r="GI137" i="33"/>
  <c r="GH137" i="33"/>
  <c r="GG137" i="33"/>
  <c r="GF137" i="33"/>
  <c r="GE137" i="33"/>
  <c r="GD137" i="33"/>
  <c r="GC137" i="33"/>
  <c r="GB137" i="33"/>
  <c r="GA137" i="33"/>
  <c r="FZ137" i="33"/>
  <c r="FY137" i="33"/>
  <c r="FX137" i="33"/>
  <c r="FW137" i="33"/>
  <c r="FV137" i="33"/>
  <c r="FU137" i="33"/>
  <c r="FT137" i="33"/>
  <c r="FS137" i="33"/>
  <c r="FR137" i="33"/>
  <c r="FQ137" i="33"/>
  <c r="FP137" i="33"/>
  <c r="FO137" i="33"/>
  <c r="FN137" i="33"/>
  <c r="FM137" i="33"/>
  <c r="FL137" i="33"/>
  <c r="FK137" i="33"/>
  <c r="FJ137" i="33"/>
  <c r="FI137" i="33"/>
  <c r="FH137" i="33"/>
  <c r="FG137" i="33"/>
  <c r="FF137" i="33"/>
  <c r="FE137" i="33"/>
  <c r="FD137" i="33"/>
  <c r="FC137" i="33"/>
  <c r="FB137" i="33"/>
  <c r="FA137" i="33"/>
  <c r="EZ137" i="33"/>
  <c r="EY137" i="33"/>
  <c r="EX137" i="33"/>
  <c r="EW137" i="33"/>
  <c r="EV137" i="33"/>
  <c r="EU137" i="33"/>
  <c r="ET137" i="33"/>
  <c r="ES137" i="33"/>
  <c r="ER137" i="33"/>
  <c r="EQ137" i="33"/>
  <c r="EP137" i="33"/>
  <c r="EO137" i="33"/>
  <c r="EN137" i="33"/>
  <c r="EM137" i="33"/>
  <c r="EL137" i="33"/>
  <c r="EK137" i="33"/>
  <c r="EJ137" i="33"/>
  <c r="EI137" i="33"/>
  <c r="EH137" i="33"/>
  <c r="EG137" i="33"/>
  <c r="EF137" i="33"/>
  <c r="EE137" i="33"/>
  <c r="ED137" i="33"/>
  <c r="EC137" i="33"/>
  <c r="EB137" i="33"/>
  <c r="EA137" i="33"/>
  <c r="DZ137" i="33"/>
  <c r="DY137" i="33"/>
  <c r="DX137" i="33"/>
  <c r="DW137" i="33"/>
  <c r="DV137" i="33"/>
  <c r="DU137" i="33"/>
  <c r="DT137" i="33"/>
  <c r="DS137" i="33"/>
  <c r="DR137" i="33"/>
  <c r="DQ137" i="33"/>
  <c r="DP137" i="33"/>
  <c r="DO137" i="33"/>
  <c r="DN137" i="33"/>
  <c r="DM137" i="33"/>
  <c r="DL137" i="33"/>
  <c r="DK137" i="33"/>
  <c r="DJ137" i="33"/>
  <c r="DI137" i="33"/>
  <c r="DH137" i="33"/>
  <c r="DG137" i="33"/>
  <c r="DF137" i="33"/>
  <c r="DE137" i="33"/>
  <c r="DD137" i="33"/>
  <c r="DC137" i="33"/>
  <c r="DB137" i="33"/>
  <c r="DA137" i="33"/>
  <c r="CZ137" i="33"/>
  <c r="CY137" i="33"/>
  <c r="CX137" i="33"/>
  <c r="CW137" i="33"/>
  <c r="CV137" i="33"/>
  <c r="CU137" i="33"/>
  <c r="CT137" i="33"/>
  <c r="CS137" i="33"/>
  <c r="CR137" i="33"/>
  <c r="CQ137" i="33"/>
  <c r="CP137" i="33"/>
  <c r="CO137" i="33"/>
  <c r="CN137" i="33"/>
  <c r="CM137" i="33"/>
  <c r="CL137" i="33"/>
  <c r="CK137" i="33"/>
  <c r="CJ137" i="33"/>
  <c r="CI137" i="33"/>
  <c r="CH137" i="33"/>
  <c r="CG137" i="33"/>
  <c r="CF137" i="33"/>
  <c r="CE137" i="33"/>
  <c r="CD137" i="33"/>
  <c r="CC137" i="33"/>
  <c r="CB137" i="33"/>
  <c r="CA137" i="33"/>
  <c r="BZ137" i="33"/>
  <c r="BY137" i="33"/>
  <c r="BX137" i="33"/>
  <c r="BW137" i="33"/>
  <c r="BV137" i="33"/>
  <c r="BU137" i="33"/>
  <c r="BT137" i="33"/>
  <c r="BS137" i="33"/>
  <c r="BR137" i="33"/>
  <c r="BQ137" i="33"/>
  <c r="BP137" i="33"/>
  <c r="BO137" i="33"/>
  <c r="BN137" i="33"/>
  <c r="BM137" i="33"/>
  <c r="BL137" i="33"/>
  <c r="BK137" i="33"/>
  <c r="BJ137" i="33"/>
  <c r="BI137" i="33"/>
  <c r="BH137" i="33"/>
  <c r="BG137" i="33"/>
  <c r="BF137" i="33"/>
  <c r="BE137" i="33"/>
  <c r="BD137" i="33"/>
  <c r="BC137" i="33"/>
  <c r="BB137" i="33"/>
  <c r="BA137" i="33"/>
  <c r="AZ137" i="33"/>
  <c r="AY137" i="33"/>
  <c r="AX137" i="33"/>
  <c r="AW137" i="33"/>
  <c r="AV137" i="33"/>
  <c r="AU137" i="33"/>
  <c r="AT137" i="33"/>
  <c r="AS137" i="33"/>
  <c r="AR137" i="33"/>
  <c r="AQ137" i="33"/>
  <c r="AP137" i="33"/>
  <c r="AO137" i="33"/>
  <c r="AN137" i="33"/>
  <c r="AM137" i="33"/>
  <c r="AL137" i="33"/>
  <c r="AK137" i="33"/>
  <c r="AJ137" i="33"/>
  <c r="AI137" i="33"/>
  <c r="AH137" i="33"/>
  <c r="AG137" i="33"/>
  <c r="AF137" i="33"/>
  <c r="AE137" i="33"/>
  <c r="AD137" i="33"/>
  <c r="AC137" i="33"/>
  <c r="AB137" i="33"/>
  <c r="AA137" i="33"/>
  <c r="Z137" i="33"/>
  <c r="Y137" i="33"/>
  <c r="X137" i="33"/>
  <c r="W137" i="33"/>
  <c r="V137" i="33"/>
  <c r="U137" i="33"/>
  <c r="T137" i="33"/>
  <c r="S137" i="33"/>
  <c r="R137" i="33"/>
  <c r="Q137" i="33"/>
  <c r="P137" i="33"/>
  <c r="O137" i="33"/>
  <c r="N137" i="33"/>
  <c r="M137" i="33"/>
  <c r="L137" i="33"/>
  <c r="K137" i="33"/>
  <c r="J137" i="33"/>
  <c r="I137" i="33"/>
  <c r="H137" i="33"/>
  <c r="G137" i="33"/>
  <c r="F137" i="33"/>
  <c r="E137" i="33"/>
  <c r="D137" i="33"/>
  <c r="C137" i="33"/>
  <c r="B137" i="33"/>
  <c r="A137" i="33"/>
  <c r="IV136" i="33"/>
  <c r="IU136" i="33"/>
  <c r="IT136" i="33"/>
  <c r="IS136" i="33"/>
  <c r="IR136" i="33"/>
  <c r="IQ136" i="33"/>
  <c r="IP136" i="33"/>
  <c r="IO136" i="33"/>
  <c r="IN136" i="33"/>
  <c r="IM136" i="33"/>
  <c r="IL136" i="33"/>
  <c r="IK136" i="33"/>
  <c r="IJ136" i="33"/>
  <c r="II136" i="33"/>
  <c r="IH136" i="33"/>
  <c r="IG136" i="33"/>
  <c r="IF136" i="33"/>
  <c r="IE136" i="33"/>
  <c r="ID136" i="33"/>
  <c r="IC136" i="33"/>
  <c r="IB136" i="33"/>
  <c r="IA136" i="33"/>
  <c r="HZ136" i="33"/>
  <c r="HY136" i="33"/>
  <c r="HX136" i="33"/>
  <c r="HW136" i="33"/>
  <c r="HV136" i="33"/>
  <c r="HU136" i="33"/>
  <c r="HT136" i="33"/>
  <c r="HS136" i="33"/>
  <c r="HR136" i="33"/>
  <c r="HQ136" i="33"/>
  <c r="HP136" i="33"/>
  <c r="HO136" i="33"/>
  <c r="HN136" i="33"/>
  <c r="HM136" i="33"/>
  <c r="HL136" i="33"/>
  <c r="HK136" i="33"/>
  <c r="HJ136" i="33"/>
  <c r="HI136" i="33"/>
  <c r="HH136" i="33"/>
  <c r="HG136" i="33"/>
  <c r="HF136" i="33"/>
  <c r="HE136" i="33"/>
  <c r="HD136" i="33"/>
  <c r="HC136" i="33"/>
  <c r="HB136" i="33"/>
  <c r="HA136" i="33"/>
  <c r="GZ136" i="33"/>
  <c r="GY136" i="33"/>
  <c r="GX136" i="33"/>
  <c r="GW136" i="33"/>
  <c r="GV136" i="33"/>
  <c r="GU136" i="33"/>
  <c r="GT136" i="33"/>
  <c r="GS136" i="33"/>
  <c r="GR136" i="33"/>
  <c r="GQ136" i="33"/>
  <c r="GP136" i="33"/>
  <c r="GO136" i="33"/>
  <c r="GN136" i="33"/>
  <c r="GM136" i="33"/>
  <c r="GL136" i="33"/>
  <c r="GK136" i="33"/>
  <c r="GJ136" i="33"/>
  <c r="GI136" i="33"/>
  <c r="GH136" i="33"/>
  <c r="GG136" i="33"/>
  <c r="GF136" i="33"/>
  <c r="GE136" i="33"/>
  <c r="GD136" i="33"/>
  <c r="GC136" i="33"/>
  <c r="GB136" i="33"/>
  <c r="GA136" i="33"/>
  <c r="FZ136" i="33"/>
  <c r="FY136" i="33"/>
  <c r="FX136" i="33"/>
  <c r="FW136" i="33"/>
  <c r="FV136" i="33"/>
  <c r="FU136" i="33"/>
  <c r="FT136" i="33"/>
  <c r="FS136" i="33"/>
  <c r="FR136" i="33"/>
  <c r="FQ136" i="33"/>
  <c r="FP136" i="33"/>
  <c r="FO136" i="33"/>
  <c r="FN136" i="33"/>
  <c r="FM136" i="33"/>
  <c r="FL136" i="33"/>
  <c r="FK136" i="33"/>
  <c r="FJ136" i="33"/>
  <c r="FI136" i="33"/>
  <c r="FH136" i="33"/>
  <c r="FG136" i="33"/>
  <c r="FF136" i="33"/>
  <c r="FE136" i="33"/>
  <c r="FD136" i="33"/>
  <c r="FC136" i="33"/>
  <c r="FB136" i="33"/>
  <c r="FA136" i="33"/>
  <c r="EZ136" i="33"/>
  <c r="EY136" i="33"/>
  <c r="EX136" i="33"/>
  <c r="EW136" i="33"/>
  <c r="EV136" i="33"/>
  <c r="EU136" i="33"/>
  <c r="ET136" i="33"/>
  <c r="ES136" i="33"/>
  <c r="ER136" i="33"/>
  <c r="EQ136" i="33"/>
  <c r="EP136" i="33"/>
  <c r="EO136" i="33"/>
  <c r="EN136" i="33"/>
  <c r="EM136" i="33"/>
  <c r="EL136" i="33"/>
  <c r="EK136" i="33"/>
  <c r="EJ136" i="33"/>
  <c r="EI136" i="33"/>
  <c r="EH136" i="33"/>
  <c r="EG136" i="33"/>
  <c r="EF136" i="33"/>
  <c r="EE136" i="33"/>
  <c r="ED136" i="33"/>
  <c r="EC136" i="33"/>
  <c r="EB136" i="33"/>
  <c r="EA136" i="33"/>
  <c r="DZ136" i="33"/>
  <c r="DY136" i="33"/>
  <c r="DX136" i="33"/>
  <c r="DW136" i="33"/>
  <c r="DV136" i="33"/>
  <c r="DU136" i="33"/>
  <c r="DT136" i="33"/>
  <c r="DS136" i="33"/>
  <c r="DR136" i="33"/>
  <c r="DQ136" i="33"/>
  <c r="DP136" i="33"/>
  <c r="DO136" i="33"/>
  <c r="DN136" i="33"/>
  <c r="DM136" i="33"/>
  <c r="DL136" i="33"/>
  <c r="DK136" i="33"/>
  <c r="DJ136" i="33"/>
  <c r="DI136" i="33"/>
  <c r="DH136" i="33"/>
  <c r="DG136" i="33"/>
  <c r="DF136" i="33"/>
  <c r="DE136" i="33"/>
  <c r="DD136" i="33"/>
  <c r="DC136" i="33"/>
  <c r="DB136" i="33"/>
  <c r="DA136" i="33"/>
  <c r="CZ136" i="33"/>
  <c r="CY136" i="33"/>
  <c r="CX136" i="33"/>
  <c r="CW136" i="33"/>
  <c r="CV136" i="33"/>
  <c r="CU136" i="33"/>
  <c r="CT136" i="33"/>
  <c r="CS136" i="33"/>
  <c r="CR136" i="33"/>
  <c r="CQ136" i="33"/>
  <c r="CP136" i="33"/>
  <c r="CO136" i="33"/>
  <c r="CN136" i="33"/>
  <c r="CM136" i="33"/>
  <c r="CL136" i="33"/>
  <c r="CK136" i="33"/>
  <c r="CJ136" i="33"/>
  <c r="CI136" i="33"/>
  <c r="CH136" i="33"/>
  <c r="CG136" i="33"/>
  <c r="CF136" i="33"/>
  <c r="CE136" i="33"/>
  <c r="CD136" i="33"/>
  <c r="CC136" i="33"/>
  <c r="CB136" i="33"/>
  <c r="CA136" i="33"/>
  <c r="BZ136" i="33"/>
  <c r="BY136" i="33"/>
  <c r="BX136" i="33"/>
  <c r="BW136" i="33"/>
  <c r="BV136" i="33"/>
  <c r="BU136" i="33"/>
  <c r="BT136" i="33"/>
  <c r="BS136" i="33"/>
  <c r="BR136" i="33"/>
  <c r="BQ136" i="33"/>
  <c r="BP136" i="33"/>
  <c r="BO136" i="33"/>
  <c r="BN136" i="33"/>
  <c r="BM136" i="33"/>
  <c r="BL136" i="33"/>
  <c r="BK136" i="33"/>
  <c r="BJ136" i="33"/>
  <c r="BI136" i="33"/>
  <c r="BH136" i="33"/>
  <c r="BG136" i="33"/>
  <c r="BF136" i="33"/>
  <c r="BE136" i="33"/>
  <c r="BD136" i="33"/>
  <c r="BC136" i="33"/>
  <c r="BB136" i="33"/>
  <c r="BA136" i="33"/>
  <c r="AZ136" i="33"/>
  <c r="AY136" i="33"/>
  <c r="AX136" i="33"/>
  <c r="AW136" i="33"/>
  <c r="AV136" i="33"/>
  <c r="AU136" i="33"/>
  <c r="AT136" i="33"/>
  <c r="AS136" i="33"/>
  <c r="AR136" i="33"/>
  <c r="AQ136" i="33"/>
  <c r="AP136" i="33"/>
  <c r="AO136" i="33"/>
  <c r="AN136" i="33"/>
  <c r="AM136" i="33"/>
  <c r="AL136" i="33"/>
  <c r="AK136" i="33"/>
  <c r="AJ136" i="33"/>
  <c r="AI136" i="33"/>
  <c r="AH136" i="33"/>
  <c r="AG136" i="33"/>
  <c r="AF136" i="33"/>
  <c r="AE136" i="33"/>
  <c r="AD136" i="33"/>
  <c r="AC136" i="33"/>
  <c r="AB136" i="33"/>
  <c r="AA136" i="33"/>
  <c r="Z136" i="33"/>
  <c r="Y136" i="33"/>
  <c r="X136" i="33"/>
  <c r="W136" i="33"/>
  <c r="V136" i="33"/>
  <c r="U136" i="33"/>
  <c r="T136" i="33"/>
  <c r="S136" i="33"/>
  <c r="R136" i="33"/>
  <c r="Q136" i="33"/>
  <c r="P136" i="33"/>
  <c r="O136" i="33"/>
  <c r="N136" i="33"/>
  <c r="M136" i="33"/>
  <c r="L136" i="33"/>
  <c r="K136" i="33"/>
  <c r="J136" i="33"/>
  <c r="I136" i="33"/>
  <c r="H136" i="33"/>
  <c r="G136" i="33"/>
  <c r="F136" i="33"/>
  <c r="E136" i="33"/>
  <c r="D136" i="33"/>
  <c r="C136" i="33"/>
  <c r="B136" i="33"/>
  <c r="A136" i="33"/>
  <c r="IV135" i="33"/>
  <c r="IU135" i="33"/>
  <c r="IT135" i="33"/>
  <c r="IS135" i="33"/>
  <c r="IR135" i="33"/>
  <c r="IQ135" i="33"/>
  <c r="IP135" i="33"/>
  <c r="IO135" i="33"/>
  <c r="IN135" i="33"/>
  <c r="IM135" i="33"/>
  <c r="IL135" i="33"/>
  <c r="IK135" i="33"/>
  <c r="IJ135" i="33"/>
  <c r="II135" i="33"/>
  <c r="IH135" i="33"/>
  <c r="IG135" i="33"/>
  <c r="IF135" i="33"/>
  <c r="IE135" i="33"/>
  <c r="ID135" i="33"/>
  <c r="IC135" i="33"/>
  <c r="IB135" i="33"/>
  <c r="IA135" i="33"/>
  <c r="HZ135" i="33"/>
  <c r="HY135" i="33"/>
  <c r="HX135" i="33"/>
  <c r="HW135" i="33"/>
  <c r="HV135" i="33"/>
  <c r="HU135" i="33"/>
  <c r="HT135" i="33"/>
  <c r="HS135" i="33"/>
  <c r="HR135" i="33"/>
  <c r="HQ135" i="33"/>
  <c r="HP135" i="33"/>
  <c r="HO135" i="33"/>
  <c r="HN135" i="33"/>
  <c r="HM135" i="33"/>
  <c r="HL135" i="33"/>
  <c r="HK135" i="33"/>
  <c r="HJ135" i="33"/>
  <c r="HI135" i="33"/>
  <c r="HH135" i="33"/>
  <c r="HG135" i="33"/>
  <c r="HF135" i="33"/>
  <c r="HE135" i="33"/>
  <c r="HD135" i="33"/>
  <c r="HC135" i="33"/>
  <c r="HB135" i="33"/>
  <c r="HA135" i="33"/>
  <c r="GZ135" i="33"/>
  <c r="GY135" i="33"/>
  <c r="GX135" i="33"/>
  <c r="GW135" i="33"/>
  <c r="GV135" i="33"/>
  <c r="GU135" i="33"/>
  <c r="GT135" i="33"/>
  <c r="GS135" i="33"/>
  <c r="GR135" i="33"/>
  <c r="GQ135" i="33"/>
  <c r="GP135" i="33"/>
  <c r="GO135" i="33"/>
  <c r="GN135" i="33"/>
  <c r="GM135" i="33"/>
  <c r="GL135" i="33"/>
  <c r="GK135" i="33"/>
  <c r="GJ135" i="33"/>
  <c r="GI135" i="33"/>
  <c r="GH135" i="33"/>
  <c r="GG135" i="33"/>
  <c r="GF135" i="33"/>
  <c r="GE135" i="33"/>
  <c r="GD135" i="33"/>
  <c r="GC135" i="33"/>
  <c r="GB135" i="33"/>
  <c r="GA135" i="33"/>
  <c r="FZ135" i="33"/>
  <c r="FY135" i="33"/>
  <c r="FX135" i="33"/>
  <c r="FW135" i="33"/>
  <c r="FV135" i="33"/>
  <c r="FU135" i="33"/>
  <c r="FT135" i="33"/>
  <c r="FS135" i="33"/>
  <c r="FR135" i="33"/>
  <c r="FQ135" i="33"/>
  <c r="FP135" i="33"/>
  <c r="FO135" i="33"/>
  <c r="FN135" i="33"/>
  <c r="FM135" i="33"/>
  <c r="FL135" i="33"/>
  <c r="FK135" i="33"/>
  <c r="FJ135" i="33"/>
  <c r="FI135" i="33"/>
  <c r="FH135" i="33"/>
  <c r="FG135" i="33"/>
  <c r="FF135" i="33"/>
  <c r="FE135" i="33"/>
  <c r="FD135" i="33"/>
  <c r="FC135" i="33"/>
  <c r="FB135" i="33"/>
  <c r="FA135" i="33"/>
  <c r="EZ135" i="33"/>
  <c r="EY135" i="33"/>
  <c r="EX135" i="33"/>
  <c r="EW135" i="33"/>
  <c r="EV135" i="33"/>
  <c r="EU135" i="33"/>
  <c r="ET135" i="33"/>
  <c r="ES135" i="33"/>
  <c r="ER135" i="33"/>
  <c r="EQ135" i="33"/>
  <c r="EP135" i="33"/>
  <c r="EO135" i="33"/>
  <c r="EN135" i="33"/>
  <c r="EM135" i="33"/>
  <c r="EL135" i="33"/>
  <c r="EK135" i="33"/>
  <c r="EJ135" i="33"/>
  <c r="EI135" i="33"/>
  <c r="EH135" i="33"/>
  <c r="EG135" i="33"/>
  <c r="EF135" i="33"/>
  <c r="EE135" i="33"/>
  <c r="ED135" i="33"/>
  <c r="EC135" i="33"/>
  <c r="EB135" i="33"/>
  <c r="EA135" i="33"/>
  <c r="DZ135" i="33"/>
  <c r="DY135" i="33"/>
  <c r="DX135" i="33"/>
  <c r="DW135" i="33"/>
  <c r="DV135" i="33"/>
  <c r="DU135" i="33"/>
  <c r="DT135" i="33"/>
  <c r="DS135" i="33"/>
  <c r="DR135" i="33"/>
  <c r="DQ135" i="33"/>
  <c r="DP135" i="33"/>
  <c r="DO135" i="33"/>
  <c r="DN135" i="33"/>
  <c r="DM135" i="33"/>
  <c r="DL135" i="33"/>
  <c r="DK135" i="33"/>
  <c r="DJ135" i="33"/>
  <c r="DI135" i="33"/>
  <c r="DH135" i="33"/>
  <c r="DG135" i="33"/>
  <c r="DF135" i="33"/>
  <c r="DE135" i="33"/>
  <c r="DD135" i="33"/>
  <c r="DC135" i="33"/>
  <c r="DB135" i="33"/>
  <c r="DA135" i="33"/>
  <c r="CZ135" i="33"/>
  <c r="CY135" i="33"/>
  <c r="CX135" i="33"/>
  <c r="CW135" i="33"/>
  <c r="CV135" i="33"/>
  <c r="CU135" i="33"/>
  <c r="CT135" i="33"/>
  <c r="CS135" i="33"/>
  <c r="CR135" i="33"/>
  <c r="CQ135" i="33"/>
  <c r="CP135" i="33"/>
  <c r="CO135" i="33"/>
  <c r="CN135" i="33"/>
  <c r="CM135" i="33"/>
  <c r="CL135" i="33"/>
  <c r="CK135" i="33"/>
  <c r="CJ135" i="33"/>
  <c r="CI135" i="33"/>
  <c r="CH135" i="33"/>
  <c r="CG135" i="33"/>
  <c r="CF135" i="33"/>
  <c r="CE135" i="33"/>
  <c r="CD135" i="33"/>
  <c r="CC135" i="33"/>
  <c r="CB135" i="33"/>
  <c r="CA135" i="33"/>
  <c r="BZ135" i="33"/>
  <c r="BY135" i="33"/>
  <c r="BX135" i="33"/>
  <c r="BW135" i="33"/>
  <c r="BV135" i="33"/>
  <c r="BU135" i="33"/>
  <c r="BT135" i="33"/>
  <c r="BS135" i="33"/>
  <c r="BR135" i="33"/>
  <c r="BQ135" i="33"/>
  <c r="BP135" i="33"/>
  <c r="BO135" i="33"/>
  <c r="BN135" i="33"/>
  <c r="BM135" i="33"/>
  <c r="BL135" i="33"/>
  <c r="BK135" i="33"/>
  <c r="BJ135" i="33"/>
  <c r="BI135" i="33"/>
  <c r="BH135" i="33"/>
  <c r="BG135" i="33"/>
  <c r="BF135" i="33"/>
  <c r="BE135" i="33"/>
  <c r="BD135" i="33"/>
  <c r="BC135" i="33"/>
  <c r="BB135" i="33"/>
  <c r="BA135" i="33"/>
  <c r="AZ135" i="33"/>
  <c r="AY135" i="33"/>
  <c r="AX135" i="33"/>
  <c r="AW135" i="33"/>
  <c r="AV135" i="33"/>
  <c r="AU135" i="33"/>
  <c r="AT135" i="33"/>
  <c r="AS135" i="33"/>
  <c r="AR135" i="33"/>
  <c r="AQ135" i="33"/>
  <c r="AP135" i="33"/>
  <c r="AO135" i="33"/>
  <c r="AN135" i="33"/>
  <c r="AM135" i="33"/>
  <c r="AL135" i="33"/>
  <c r="AK135" i="33"/>
  <c r="AJ135" i="33"/>
  <c r="AI135" i="33"/>
  <c r="AH135" i="33"/>
  <c r="AG135" i="33"/>
  <c r="AF135" i="33"/>
  <c r="AE135" i="33"/>
  <c r="AD135" i="33"/>
  <c r="AC135" i="33"/>
  <c r="AB135" i="33"/>
  <c r="AA135" i="33"/>
  <c r="Z135" i="33"/>
  <c r="Y135" i="33"/>
  <c r="X135" i="33"/>
  <c r="W135" i="33"/>
  <c r="V135" i="33"/>
  <c r="U135" i="33"/>
  <c r="T135" i="33"/>
  <c r="S135" i="33"/>
  <c r="R135" i="33"/>
  <c r="Q135" i="33"/>
  <c r="P135" i="33"/>
  <c r="O135" i="33"/>
  <c r="N135" i="33"/>
  <c r="M135" i="33"/>
  <c r="L135" i="33"/>
  <c r="K135" i="33"/>
  <c r="J135" i="33"/>
  <c r="I135" i="33"/>
  <c r="H135" i="33"/>
  <c r="G135" i="33"/>
  <c r="F135" i="33"/>
  <c r="E135" i="33"/>
  <c r="D135" i="33"/>
  <c r="C135" i="33"/>
  <c r="B135" i="33"/>
  <c r="A135" i="33"/>
  <c r="IV134" i="33"/>
  <c r="IU134" i="33"/>
  <c r="IT134" i="33"/>
  <c r="IS134" i="33"/>
  <c r="IR134" i="33"/>
  <c r="IQ134" i="33"/>
  <c r="IP134" i="33"/>
  <c r="IO134" i="33"/>
  <c r="IN134" i="33"/>
  <c r="IM134" i="33"/>
  <c r="IL134" i="33"/>
  <c r="IK134" i="33"/>
  <c r="IJ134" i="33"/>
  <c r="II134" i="33"/>
  <c r="IH134" i="33"/>
  <c r="IG134" i="33"/>
  <c r="IF134" i="33"/>
  <c r="IE134" i="33"/>
  <c r="ID134" i="33"/>
  <c r="IC134" i="33"/>
  <c r="IB134" i="33"/>
  <c r="IA134" i="33"/>
  <c r="HZ134" i="33"/>
  <c r="HY134" i="33"/>
  <c r="HX134" i="33"/>
  <c r="HW134" i="33"/>
  <c r="HV134" i="33"/>
  <c r="HU134" i="33"/>
  <c r="HT134" i="33"/>
  <c r="HS134" i="33"/>
  <c r="HR134" i="33"/>
  <c r="HQ134" i="33"/>
  <c r="HP134" i="33"/>
  <c r="HO134" i="33"/>
  <c r="HN134" i="33"/>
  <c r="HM134" i="33"/>
  <c r="HL134" i="33"/>
  <c r="HK134" i="33"/>
  <c r="HJ134" i="33"/>
  <c r="HI134" i="33"/>
  <c r="HH134" i="33"/>
  <c r="HG134" i="33"/>
  <c r="HF134" i="33"/>
  <c r="HE134" i="33"/>
  <c r="HD134" i="33"/>
  <c r="HC134" i="33"/>
  <c r="HB134" i="33"/>
  <c r="HA134" i="33"/>
  <c r="GZ134" i="33"/>
  <c r="GY134" i="33"/>
  <c r="GX134" i="33"/>
  <c r="GW134" i="33"/>
  <c r="GV134" i="33"/>
  <c r="GU134" i="33"/>
  <c r="GT134" i="33"/>
  <c r="GS134" i="33"/>
  <c r="GR134" i="33"/>
  <c r="GQ134" i="33"/>
  <c r="GP134" i="33"/>
  <c r="GO134" i="33"/>
  <c r="GN134" i="33"/>
  <c r="GM134" i="33"/>
  <c r="GL134" i="33"/>
  <c r="GK134" i="33"/>
  <c r="GJ134" i="33"/>
  <c r="GI134" i="33"/>
  <c r="GH134" i="33"/>
  <c r="GG134" i="33"/>
  <c r="GF134" i="33"/>
  <c r="GE134" i="33"/>
  <c r="GD134" i="33"/>
  <c r="GC134" i="33"/>
  <c r="GB134" i="33"/>
  <c r="GA134" i="33"/>
  <c r="FZ134" i="33"/>
  <c r="FY134" i="33"/>
  <c r="FX134" i="33"/>
  <c r="FW134" i="33"/>
  <c r="FV134" i="33"/>
  <c r="FU134" i="33"/>
  <c r="FT134" i="33"/>
  <c r="FS134" i="33"/>
  <c r="FR134" i="33"/>
  <c r="FQ134" i="33"/>
  <c r="FP134" i="33"/>
  <c r="FO134" i="33"/>
  <c r="FN134" i="33"/>
  <c r="FM134" i="33"/>
  <c r="FL134" i="33"/>
  <c r="FK134" i="33"/>
  <c r="FJ134" i="33"/>
  <c r="FI134" i="33"/>
  <c r="FH134" i="33"/>
  <c r="FG134" i="33"/>
  <c r="FF134" i="33"/>
  <c r="FE134" i="33"/>
  <c r="FD134" i="33"/>
  <c r="FC134" i="33"/>
  <c r="FB134" i="33"/>
  <c r="FA134" i="33"/>
  <c r="EZ134" i="33"/>
  <c r="EY134" i="33"/>
  <c r="EX134" i="33"/>
  <c r="EW134" i="33"/>
  <c r="EV134" i="33"/>
  <c r="EU134" i="33"/>
  <c r="ET134" i="33"/>
  <c r="ES134" i="33"/>
  <c r="ER134" i="33"/>
  <c r="EQ134" i="33"/>
  <c r="EP134" i="33"/>
  <c r="EO134" i="33"/>
  <c r="EN134" i="33"/>
  <c r="EM134" i="33"/>
  <c r="EL134" i="33"/>
  <c r="EK134" i="33"/>
  <c r="EJ134" i="33"/>
  <c r="EI134" i="33"/>
  <c r="EH134" i="33"/>
  <c r="EG134" i="33"/>
  <c r="EF134" i="33"/>
  <c r="EE134" i="33"/>
  <c r="ED134" i="33"/>
  <c r="EC134" i="33"/>
  <c r="EB134" i="33"/>
  <c r="EA134" i="33"/>
  <c r="DZ134" i="33"/>
  <c r="DY134" i="33"/>
  <c r="DX134" i="33"/>
  <c r="DW134" i="33"/>
  <c r="DV134" i="33"/>
  <c r="DU134" i="33"/>
  <c r="DT134" i="33"/>
  <c r="DS134" i="33"/>
  <c r="DR134" i="33"/>
  <c r="DQ134" i="33"/>
  <c r="DP134" i="33"/>
  <c r="DO134" i="33"/>
  <c r="DN134" i="33"/>
  <c r="DM134" i="33"/>
  <c r="DL134" i="33"/>
  <c r="DK134" i="33"/>
  <c r="DJ134" i="33"/>
  <c r="DI134" i="33"/>
  <c r="DH134" i="33"/>
  <c r="DG134" i="33"/>
  <c r="DF134" i="33"/>
  <c r="DE134" i="33"/>
  <c r="DD134" i="33"/>
  <c r="DC134" i="33"/>
  <c r="DB134" i="33"/>
  <c r="DA134" i="33"/>
  <c r="CZ134" i="33"/>
  <c r="CY134" i="33"/>
  <c r="CX134" i="33"/>
  <c r="CW134" i="33"/>
  <c r="CV134" i="33"/>
  <c r="CU134" i="33"/>
  <c r="CT134" i="33"/>
  <c r="CS134" i="33"/>
  <c r="CR134" i="33"/>
  <c r="CQ134" i="33"/>
  <c r="CP134" i="33"/>
  <c r="CO134" i="33"/>
  <c r="CN134" i="33"/>
  <c r="CM134" i="33"/>
  <c r="CL134" i="33"/>
  <c r="CK134" i="33"/>
  <c r="CJ134" i="33"/>
  <c r="CI134" i="33"/>
  <c r="CH134" i="33"/>
  <c r="CG134" i="33"/>
  <c r="CF134" i="33"/>
  <c r="CE134" i="33"/>
  <c r="CD134" i="33"/>
  <c r="CC134" i="33"/>
  <c r="CB134" i="33"/>
  <c r="CA134" i="33"/>
  <c r="BZ134" i="33"/>
  <c r="BY134" i="33"/>
  <c r="BX134" i="33"/>
  <c r="BW134" i="33"/>
  <c r="BV134" i="33"/>
  <c r="BU134" i="33"/>
  <c r="BT134" i="33"/>
  <c r="BS134" i="33"/>
  <c r="BR134" i="33"/>
  <c r="BQ134" i="33"/>
  <c r="BP134" i="33"/>
  <c r="BO134" i="33"/>
  <c r="BN134" i="33"/>
  <c r="BM134" i="33"/>
  <c r="BL134" i="33"/>
  <c r="BK134" i="33"/>
  <c r="BJ134" i="33"/>
  <c r="BI134" i="33"/>
  <c r="BH134" i="33"/>
  <c r="BG134" i="33"/>
  <c r="BF134" i="33"/>
  <c r="BE134" i="33"/>
  <c r="BD134" i="33"/>
  <c r="BC134" i="33"/>
  <c r="BB134" i="33"/>
  <c r="BA134" i="33"/>
  <c r="AZ134" i="33"/>
  <c r="AY134" i="33"/>
  <c r="AX134" i="33"/>
  <c r="AW134" i="33"/>
  <c r="AV134" i="33"/>
  <c r="AU134" i="33"/>
  <c r="AT134" i="33"/>
  <c r="AS134" i="33"/>
  <c r="AR134" i="33"/>
  <c r="AQ134" i="33"/>
  <c r="AP134" i="33"/>
  <c r="AO134" i="33"/>
  <c r="AN134" i="33"/>
  <c r="AM134" i="33"/>
  <c r="AL134" i="33"/>
  <c r="AK134" i="33"/>
  <c r="AJ134" i="33"/>
  <c r="AI134" i="33"/>
  <c r="AH134" i="33"/>
  <c r="AG134" i="33"/>
  <c r="AF134" i="33"/>
  <c r="AE134" i="33"/>
  <c r="AD134" i="33"/>
  <c r="AC134" i="33"/>
  <c r="AB134" i="33"/>
  <c r="AA134" i="33"/>
  <c r="Z134" i="33"/>
  <c r="Y134" i="33"/>
  <c r="X134" i="33"/>
  <c r="W134" i="33"/>
  <c r="V134" i="33"/>
  <c r="U134" i="33"/>
  <c r="T134" i="33"/>
  <c r="S134" i="33"/>
  <c r="R134" i="33"/>
  <c r="Q134" i="33"/>
  <c r="P134" i="33"/>
  <c r="O134" i="33"/>
  <c r="N134" i="33"/>
  <c r="M134" i="33"/>
  <c r="L134" i="33"/>
  <c r="K134" i="33"/>
  <c r="J134" i="33"/>
  <c r="I134" i="33"/>
  <c r="H134" i="33"/>
  <c r="G134" i="33"/>
  <c r="F134" i="33"/>
  <c r="E134" i="33"/>
  <c r="D134" i="33"/>
  <c r="C134" i="33"/>
  <c r="B134" i="33"/>
  <c r="A134" i="33"/>
  <c r="IV133" i="33"/>
  <c r="IU133" i="33"/>
  <c r="IT133" i="33"/>
  <c r="IS133" i="33"/>
  <c r="IR133" i="33"/>
  <c r="IQ133" i="33"/>
  <c r="IP133" i="33"/>
  <c r="IO133" i="33"/>
  <c r="IN133" i="33"/>
  <c r="IM133" i="33"/>
  <c r="IL133" i="33"/>
  <c r="IK133" i="33"/>
  <c r="IJ133" i="33"/>
  <c r="II133" i="33"/>
  <c r="IH133" i="33"/>
  <c r="IG133" i="33"/>
  <c r="IF133" i="33"/>
  <c r="IE133" i="33"/>
  <c r="ID133" i="33"/>
  <c r="IC133" i="33"/>
  <c r="IB133" i="33"/>
  <c r="IA133" i="33"/>
  <c r="HZ133" i="33"/>
  <c r="HY133" i="33"/>
  <c r="HX133" i="33"/>
  <c r="HW133" i="33"/>
  <c r="HV133" i="33"/>
  <c r="HU133" i="33"/>
  <c r="HT133" i="33"/>
  <c r="HS133" i="33"/>
  <c r="HR133" i="33"/>
  <c r="HQ133" i="33"/>
  <c r="HP133" i="33"/>
  <c r="HO133" i="33"/>
  <c r="HN133" i="33"/>
  <c r="HM133" i="33"/>
  <c r="HL133" i="33"/>
  <c r="HK133" i="33"/>
  <c r="HJ133" i="33"/>
  <c r="HI133" i="33"/>
  <c r="HH133" i="33"/>
  <c r="HG133" i="33"/>
  <c r="HF133" i="33"/>
  <c r="HE133" i="33"/>
  <c r="HD133" i="33"/>
  <c r="HC133" i="33"/>
  <c r="HB133" i="33"/>
  <c r="HA133" i="33"/>
  <c r="GZ133" i="33"/>
  <c r="GY133" i="33"/>
  <c r="GX133" i="33"/>
  <c r="GW133" i="33"/>
  <c r="GV133" i="33"/>
  <c r="GU133" i="33"/>
  <c r="GT133" i="33"/>
  <c r="GS133" i="33"/>
  <c r="GR133" i="33"/>
  <c r="GQ133" i="33"/>
  <c r="GP133" i="33"/>
  <c r="GO133" i="33"/>
  <c r="GN133" i="33"/>
  <c r="GM133" i="33"/>
  <c r="GL133" i="33"/>
  <c r="GK133" i="33"/>
  <c r="GJ133" i="33"/>
  <c r="GI133" i="33"/>
  <c r="GH133" i="33"/>
  <c r="GG133" i="33"/>
  <c r="GF133" i="33"/>
  <c r="GE133" i="33"/>
  <c r="GD133" i="33"/>
  <c r="GC133" i="33"/>
  <c r="GB133" i="33"/>
  <c r="GA133" i="33"/>
  <c r="FZ133" i="33"/>
  <c r="FY133" i="33"/>
  <c r="FX133" i="33"/>
  <c r="FW133" i="33"/>
  <c r="FV133" i="33"/>
  <c r="FU133" i="33"/>
  <c r="FT133" i="33"/>
  <c r="FS133" i="33"/>
  <c r="FR133" i="33"/>
  <c r="FQ133" i="33"/>
  <c r="FP133" i="33"/>
  <c r="FO133" i="33"/>
  <c r="FN133" i="33"/>
  <c r="FM133" i="33"/>
  <c r="FL133" i="33"/>
  <c r="FK133" i="33"/>
  <c r="FJ133" i="33"/>
  <c r="FI133" i="33"/>
  <c r="FH133" i="33"/>
  <c r="FG133" i="33"/>
  <c r="FF133" i="33"/>
  <c r="FE133" i="33"/>
  <c r="FD133" i="33"/>
  <c r="FC133" i="33"/>
  <c r="FB133" i="33"/>
  <c r="FA133" i="33"/>
  <c r="EZ133" i="33"/>
  <c r="EY133" i="33"/>
  <c r="EX133" i="33"/>
  <c r="EW133" i="33"/>
  <c r="EV133" i="33"/>
  <c r="EU133" i="33"/>
  <c r="ET133" i="33"/>
  <c r="ES133" i="33"/>
  <c r="ER133" i="33"/>
  <c r="EQ133" i="33"/>
  <c r="EP133" i="33"/>
  <c r="EO133" i="33"/>
  <c r="EN133" i="33"/>
  <c r="EM133" i="33"/>
  <c r="EL133" i="33"/>
  <c r="EK133" i="33"/>
  <c r="EJ133" i="33"/>
  <c r="EI133" i="33"/>
  <c r="EH133" i="33"/>
  <c r="EG133" i="33"/>
  <c r="EF133" i="33"/>
  <c r="EE133" i="33"/>
  <c r="ED133" i="33"/>
  <c r="EC133" i="33"/>
  <c r="EB133" i="33"/>
  <c r="EA133" i="33"/>
  <c r="DZ133" i="33"/>
  <c r="DY133" i="33"/>
  <c r="DX133" i="33"/>
  <c r="DW133" i="33"/>
  <c r="DV133" i="33"/>
  <c r="DU133" i="33"/>
  <c r="DT133" i="33"/>
  <c r="DS133" i="33"/>
  <c r="DR133" i="33"/>
  <c r="DQ133" i="33"/>
  <c r="DP133" i="33"/>
  <c r="DO133" i="33"/>
  <c r="DN133" i="33"/>
  <c r="DM133" i="33"/>
  <c r="DL133" i="33"/>
  <c r="DK133" i="33"/>
  <c r="DJ133" i="33"/>
  <c r="DI133" i="33"/>
  <c r="DH133" i="33"/>
  <c r="DG133" i="33"/>
  <c r="DF133" i="33"/>
  <c r="DE133" i="33"/>
  <c r="DD133" i="33"/>
  <c r="DC133" i="33"/>
  <c r="DB133" i="33"/>
  <c r="DA133" i="33"/>
  <c r="CZ133" i="33"/>
  <c r="CY133" i="33"/>
  <c r="CX133" i="33"/>
  <c r="CW133" i="33"/>
  <c r="CV133" i="33"/>
  <c r="CU133" i="33"/>
  <c r="CT133" i="33"/>
  <c r="CS133" i="33"/>
  <c r="CR133" i="33"/>
  <c r="CQ133" i="33"/>
  <c r="CP133" i="33"/>
  <c r="CO133" i="33"/>
  <c r="CN133" i="33"/>
  <c r="CM133" i="33"/>
  <c r="CL133" i="33"/>
  <c r="CK133" i="33"/>
  <c r="CJ133" i="33"/>
  <c r="CI133" i="33"/>
  <c r="CH133" i="33"/>
  <c r="CG133" i="33"/>
  <c r="CF133" i="33"/>
  <c r="CE133" i="33"/>
  <c r="CD133" i="33"/>
  <c r="CC133" i="33"/>
  <c r="CB133" i="33"/>
  <c r="CA133" i="33"/>
  <c r="BZ133" i="33"/>
  <c r="BY133" i="33"/>
  <c r="BX133" i="33"/>
  <c r="BW133" i="33"/>
  <c r="BV133" i="33"/>
  <c r="BU133" i="33"/>
  <c r="BT133" i="33"/>
  <c r="BS133" i="33"/>
  <c r="BR133" i="33"/>
  <c r="BQ133" i="33"/>
  <c r="BP133" i="33"/>
  <c r="BO133" i="33"/>
  <c r="BN133" i="33"/>
  <c r="BM133" i="33"/>
  <c r="BL133" i="33"/>
  <c r="BK133" i="33"/>
  <c r="BJ133" i="33"/>
  <c r="BI133" i="33"/>
  <c r="BH133" i="33"/>
  <c r="BG133" i="33"/>
  <c r="BF133" i="33"/>
  <c r="BE133" i="33"/>
  <c r="BD133" i="33"/>
  <c r="BC133" i="33"/>
  <c r="BB133" i="33"/>
  <c r="BA133" i="33"/>
  <c r="AZ133" i="33"/>
  <c r="AY133" i="33"/>
  <c r="AX133" i="33"/>
  <c r="AW133" i="33"/>
  <c r="AV133" i="33"/>
  <c r="AU133" i="33"/>
  <c r="AT133" i="33"/>
  <c r="AS133" i="33"/>
  <c r="AR133" i="33"/>
  <c r="AQ133" i="33"/>
  <c r="AP133" i="33"/>
  <c r="AO133" i="33"/>
  <c r="AN133" i="33"/>
  <c r="AM133" i="33"/>
  <c r="AL133" i="33"/>
  <c r="AK133" i="33"/>
  <c r="AJ133" i="33"/>
  <c r="AI133" i="33"/>
  <c r="AH133" i="33"/>
  <c r="AG133" i="33"/>
  <c r="AF133" i="33"/>
  <c r="AE133" i="33"/>
  <c r="AD133" i="33"/>
  <c r="AC133" i="33"/>
  <c r="AB133" i="33"/>
  <c r="AA133" i="33"/>
  <c r="Z133" i="33"/>
  <c r="Y133" i="33"/>
  <c r="X133" i="33"/>
  <c r="W133" i="33"/>
  <c r="V133" i="33"/>
  <c r="U133" i="33"/>
  <c r="T133" i="33"/>
  <c r="S133" i="33"/>
  <c r="R133" i="33"/>
  <c r="Q133" i="33"/>
  <c r="P133" i="33"/>
  <c r="O133" i="33"/>
  <c r="N133" i="33"/>
  <c r="M133" i="33"/>
  <c r="L133" i="33"/>
  <c r="K133" i="33"/>
  <c r="J133" i="33"/>
  <c r="I133" i="33"/>
  <c r="H133" i="33"/>
  <c r="G133" i="33"/>
  <c r="F133" i="33"/>
  <c r="E133" i="33"/>
  <c r="D133" i="33"/>
  <c r="C133" i="33"/>
  <c r="B133" i="33"/>
  <c r="A133" i="33"/>
  <c r="IV132" i="33"/>
  <c r="IU132" i="33"/>
  <c r="IT132" i="33"/>
  <c r="IS132" i="33"/>
  <c r="IR132" i="33"/>
  <c r="IQ132" i="33"/>
  <c r="IP132" i="33"/>
  <c r="IO132" i="33"/>
  <c r="IN132" i="33"/>
  <c r="IM132" i="33"/>
  <c r="IL132" i="33"/>
  <c r="IK132" i="33"/>
  <c r="IJ132" i="33"/>
  <c r="II132" i="33"/>
  <c r="IH132" i="33"/>
  <c r="IG132" i="33"/>
  <c r="IF132" i="33"/>
  <c r="IE132" i="33"/>
  <c r="ID132" i="33"/>
  <c r="IC132" i="33"/>
  <c r="IB132" i="33"/>
  <c r="IA132" i="33"/>
  <c r="HZ132" i="33"/>
  <c r="HY132" i="33"/>
  <c r="HX132" i="33"/>
  <c r="HW132" i="33"/>
  <c r="HV132" i="33"/>
  <c r="HU132" i="33"/>
  <c r="HT132" i="33"/>
  <c r="HS132" i="33"/>
  <c r="HR132" i="33"/>
  <c r="HQ132" i="33"/>
  <c r="HP132" i="33"/>
  <c r="HO132" i="33"/>
  <c r="HN132" i="33"/>
  <c r="HM132" i="33"/>
  <c r="HL132" i="33"/>
  <c r="HK132" i="33"/>
  <c r="HJ132" i="33"/>
  <c r="HI132" i="33"/>
  <c r="HH132" i="33"/>
  <c r="HG132" i="33"/>
  <c r="HF132" i="33"/>
  <c r="HE132" i="33"/>
  <c r="HD132" i="33"/>
  <c r="HC132" i="33"/>
  <c r="HB132" i="33"/>
  <c r="HA132" i="33"/>
  <c r="GZ132" i="33"/>
  <c r="GY132" i="33"/>
  <c r="GX132" i="33"/>
  <c r="GW132" i="33"/>
  <c r="GV132" i="33"/>
  <c r="GU132" i="33"/>
  <c r="GT132" i="33"/>
  <c r="GS132" i="33"/>
  <c r="GR132" i="33"/>
  <c r="GQ132" i="33"/>
  <c r="GP132" i="33"/>
  <c r="GO132" i="33"/>
  <c r="GN132" i="33"/>
  <c r="GM132" i="33"/>
  <c r="GL132" i="33"/>
  <c r="GK132" i="33"/>
  <c r="GJ132" i="33"/>
  <c r="GI132" i="33"/>
  <c r="GH132" i="33"/>
  <c r="GG132" i="33"/>
  <c r="GF132" i="33"/>
  <c r="GE132" i="33"/>
  <c r="GD132" i="33"/>
  <c r="GC132" i="33"/>
  <c r="GB132" i="33"/>
  <c r="GA132" i="33"/>
  <c r="FZ132" i="33"/>
  <c r="FY132" i="33"/>
  <c r="FX132" i="33"/>
  <c r="FW132" i="33"/>
  <c r="FV132" i="33"/>
  <c r="FU132" i="33"/>
  <c r="FT132" i="33"/>
  <c r="FS132" i="33"/>
  <c r="FR132" i="33"/>
  <c r="FQ132" i="33"/>
  <c r="FP132" i="33"/>
  <c r="FO132" i="33"/>
  <c r="FN132" i="33"/>
  <c r="FM132" i="33"/>
  <c r="FL132" i="33"/>
  <c r="FK132" i="33"/>
  <c r="FJ132" i="33"/>
  <c r="FI132" i="33"/>
  <c r="FH132" i="33"/>
  <c r="FG132" i="33"/>
  <c r="FF132" i="33"/>
  <c r="FE132" i="33"/>
  <c r="FD132" i="33"/>
  <c r="FC132" i="33"/>
  <c r="FB132" i="33"/>
  <c r="FA132" i="33"/>
  <c r="EZ132" i="33"/>
  <c r="EY132" i="33"/>
  <c r="EX132" i="33"/>
  <c r="EW132" i="33"/>
  <c r="EV132" i="33"/>
  <c r="EU132" i="33"/>
  <c r="ET132" i="33"/>
  <c r="ES132" i="33"/>
  <c r="ER132" i="33"/>
  <c r="EQ132" i="33"/>
  <c r="EP132" i="33"/>
  <c r="EO132" i="33"/>
  <c r="EN132" i="33"/>
  <c r="EM132" i="33"/>
  <c r="EL132" i="33"/>
  <c r="EK132" i="33"/>
  <c r="EJ132" i="33"/>
  <c r="EI132" i="33"/>
  <c r="EH132" i="33"/>
  <c r="EG132" i="33"/>
  <c r="EF132" i="33"/>
  <c r="EE132" i="33"/>
  <c r="ED132" i="33"/>
  <c r="EC132" i="33"/>
  <c r="EB132" i="33"/>
  <c r="EA132" i="33"/>
  <c r="DZ132" i="33"/>
  <c r="DY132" i="33"/>
  <c r="DX132" i="33"/>
  <c r="DW132" i="33"/>
  <c r="DV132" i="33"/>
  <c r="DU132" i="33"/>
  <c r="DT132" i="33"/>
  <c r="DS132" i="33"/>
  <c r="DR132" i="33"/>
  <c r="DQ132" i="33"/>
  <c r="DP132" i="33"/>
  <c r="DO132" i="33"/>
  <c r="DN132" i="33"/>
  <c r="DM132" i="33"/>
  <c r="DL132" i="33"/>
  <c r="DK132" i="33"/>
  <c r="DJ132" i="33"/>
  <c r="DI132" i="33"/>
  <c r="DH132" i="33"/>
  <c r="DG132" i="33"/>
  <c r="DF132" i="33"/>
  <c r="DE132" i="33"/>
  <c r="DD132" i="33"/>
  <c r="DC132" i="33"/>
  <c r="DB132" i="33"/>
  <c r="DA132" i="33"/>
  <c r="CZ132" i="33"/>
  <c r="CY132" i="33"/>
  <c r="CX132" i="33"/>
  <c r="CW132" i="33"/>
  <c r="CV132" i="33"/>
  <c r="CU132" i="33"/>
  <c r="CT132" i="33"/>
  <c r="CS132" i="33"/>
  <c r="CR132" i="33"/>
  <c r="CQ132" i="33"/>
  <c r="CP132" i="33"/>
  <c r="CO132" i="33"/>
  <c r="CN132" i="33"/>
  <c r="CM132" i="33"/>
  <c r="CL132" i="33"/>
  <c r="CK132" i="33"/>
  <c r="CJ132" i="33"/>
  <c r="CI132" i="33"/>
  <c r="CH132" i="33"/>
  <c r="CG132" i="33"/>
  <c r="CF132" i="33"/>
  <c r="CE132" i="33"/>
  <c r="CD132" i="33"/>
  <c r="CC132" i="33"/>
  <c r="CB132" i="33"/>
  <c r="CA132" i="33"/>
  <c r="BZ132" i="33"/>
  <c r="BY132" i="33"/>
  <c r="BX132" i="33"/>
  <c r="BW132" i="33"/>
  <c r="BV132" i="33"/>
  <c r="BU132" i="33"/>
  <c r="BT132" i="33"/>
  <c r="BS132" i="33"/>
  <c r="BR132" i="33"/>
  <c r="BQ132" i="33"/>
  <c r="BP132" i="33"/>
  <c r="BO132" i="33"/>
  <c r="BN132" i="33"/>
  <c r="BM132" i="33"/>
  <c r="BL132" i="33"/>
  <c r="BK132" i="33"/>
  <c r="BJ132" i="33"/>
  <c r="BI132" i="33"/>
  <c r="BH132" i="33"/>
  <c r="BG132" i="33"/>
  <c r="BF132" i="33"/>
  <c r="BE132" i="33"/>
  <c r="BD132" i="33"/>
  <c r="BC132" i="33"/>
  <c r="BB132" i="33"/>
  <c r="BA132" i="33"/>
  <c r="AZ132" i="33"/>
  <c r="AY132" i="33"/>
  <c r="AX132" i="33"/>
  <c r="AW132" i="33"/>
  <c r="AV132" i="33"/>
  <c r="AU132" i="33"/>
  <c r="AT132" i="33"/>
  <c r="AS132" i="33"/>
  <c r="AR132" i="33"/>
  <c r="AQ132" i="33"/>
  <c r="AP132" i="33"/>
  <c r="AO132" i="33"/>
  <c r="AN132" i="33"/>
  <c r="AM132" i="33"/>
  <c r="AL132" i="33"/>
  <c r="AK132" i="33"/>
  <c r="AJ132" i="33"/>
  <c r="AI132" i="33"/>
  <c r="AH132" i="33"/>
  <c r="AG132" i="33"/>
  <c r="AF132" i="33"/>
  <c r="AE132" i="33"/>
  <c r="AD132" i="33"/>
  <c r="AC132" i="33"/>
  <c r="AB132" i="33"/>
  <c r="AA132" i="33"/>
  <c r="Z132" i="33"/>
  <c r="Y132" i="33"/>
  <c r="X132" i="33"/>
  <c r="W132" i="33"/>
  <c r="V132" i="33"/>
  <c r="U132" i="33"/>
  <c r="T132" i="33"/>
  <c r="S132" i="33"/>
  <c r="R132" i="33"/>
  <c r="Q132" i="33"/>
  <c r="P132" i="33"/>
  <c r="O132" i="33"/>
  <c r="N132" i="33"/>
  <c r="M132" i="33"/>
  <c r="L132" i="33"/>
  <c r="K132" i="33"/>
  <c r="J132" i="33"/>
  <c r="I132" i="33"/>
  <c r="H132" i="33"/>
  <c r="G132" i="33"/>
  <c r="F132" i="33"/>
  <c r="E132" i="33"/>
  <c r="D132" i="33"/>
  <c r="C132" i="33"/>
  <c r="B132" i="33"/>
  <c r="A132" i="33"/>
  <c r="IV131" i="33"/>
  <c r="IU131" i="33"/>
  <c r="IT131" i="33"/>
  <c r="IS131" i="33"/>
  <c r="IR131" i="33"/>
  <c r="IQ131" i="33"/>
  <c r="IP131" i="33"/>
  <c r="IO131" i="33"/>
  <c r="IN131" i="33"/>
  <c r="IM131" i="33"/>
  <c r="IL131" i="33"/>
  <c r="IK131" i="33"/>
  <c r="IJ131" i="33"/>
  <c r="II131" i="33"/>
  <c r="IH131" i="33"/>
  <c r="IG131" i="33"/>
  <c r="IF131" i="33"/>
  <c r="IE131" i="33"/>
  <c r="ID131" i="33"/>
  <c r="IC131" i="33"/>
  <c r="IB131" i="33"/>
  <c r="IA131" i="33"/>
  <c r="HZ131" i="33"/>
  <c r="HY131" i="33"/>
  <c r="HX131" i="33"/>
  <c r="HW131" i="33"/>
  <c r="HV131" i="33"/>
  <c r="HU131" i="33"/>
  <c r="HT131" i="33"/>
  <c r="HS131" i="33"/>
  <c r="HR131" i="33"/>
  <c r="HQ131" i="33"/>
  <c r="HP131" i="33"/>
  <c r="HO131" i="33"/>
  <c r="HN131" i="33"/>
  <c r="HM131" i="33"/>
  <c r="HL131" i="33"/>
  <c r="HK131" i="33"/>
  <c r="HJ131" i="33"/>
  <c r="HI131" i="33"/>
  <c r="HH131" i="33"/>
  <c r="HG131" i="33"/>
  <c r="HF131" i="33"/>
  <c r="HE131" i="33"/>
  <c r="HD131" i="33"/>
  <c r="HC131" i="33"/>
  <c r="HB131" i="33"/>
  <c r="HA131" i="33"/>
  <c r="GZ131" i="33"/>
  <c r="GY131" i="33"/>
  <c r="GX131" i="33"/>
  <c r="GW131" i="33"/>
  <c r="GV131" i="33"/>
  <c r="GU131" i="33"/>
  <c r="GT131" i="33"/>
  <c r="GS131" i="33"/>
  <c r="GR131" i="33"/>
  <c r="GQ131" i="33"/>
  <c r="GP131" i="33"/>
  <c r="GO131" i="33"/>
  <c r="GN131" i="33"/>
  <c r="GM131" i="33"/>
  <c r="GL131" i="33"/>
  <c r="GK131" i="33"/>
  <c r="GJ131" i="33"/>
  <c r="GI131" i="33"/>
  <c r="GH131" i="33"/>
  <c r="GG131" i="33"/>
  <c r="GF131" i="33"/>
  <c r="GE131" i="33"/>
  <c r="GD131" i="33"/>
  <c r="GC131" i="33"/>
  <c r="GB131" i="33"/>
  <c r="GA131" i="33"/>
  <c r="FZ131" i="33"/>
  <c r="FY131" i="33"/>
  <c r="FX131" i="33"/>
  <c r="FW131" i="33"/>
  <c r="FV131" i="33"/>
  <c r="FU131" i="33"/>
  <c r="FT131" i="33"/>
  <c r="FS131" i="33"/>
  <c r="FR131" i="33"/>
  <c r="FQ131" i="33"/>
  <c r="FP131" i="33"/>
  <c r="FO131" i="33"/>
  <c r="FN131" i="33"/>
  <c r="FM131" i="33"/>
  <c r="FL131" i="33"/>
  <c r="FK131" i="33"/>
  <c r="FJ131" i="33"/>
  <c r="FI131" i="33"/>
  <c r="FH131" i="33"/>
  <c r="FG131" i="33"/>
  <c r="FF131" i="33"/>
  <c r="FE131" i="33"/>
  <c r="FD131" i="33"/>
  <c r="FC131" i="33"/>
  <c r="FB131" i="33"/>
  <c r="FA131" i="33"/>
  <c r="EZ131" i="33"/>
  <c r="EY131" i="33"/>
  <c r="EX131" i="33"/>
  <c r="EW131" i="33"/>
  <c r="EV131" i="33"/>
  <c r="EU131" i="33"/>
  <c r="ET131" i="33"/>
  <c r="ES131" i="33"/>
  <c r="ER131" i="33"/>
  <c r="EQ131" i="33"/>
  <c r="EP131" i="33"/>
  <c r="EO131" i="33"/>
  <c r="EN131" i="33"/>
  <c r="EM131" i="33"/>
  <c r="EL131" i="33"/>
  <c r="EK131" i="33"/>
  <c r="EJ131" i="33"/>
  <c r="EI131" i="33"/>
  <c r="EH131" i="33"/>
  <c r="EG131" i="33"/>
  <c r="EF131" i="33"/>
  <c r="EE131" i="33"/>
  <c r="ED131" i="33"/>
  <c r="EC131" i="33"/>
  <c r="EB131" i="33"/>
  <c r="EA131" i="33"/>
  <c r="DZ131" i="33"/>
  <c r="DY131" i="33"/>
  <c r="DX131" i="33"/>
  <c r="DW131" i="33"/>
  <c r="DV131" i="33"/>
  <c r="DU131" i="33"/>
  <c r="DT131" i="33"/>
  <c r="DS131" i="33"/>
  <c r="DR131" i="33"/>
  <c r="DQ131" i="33"/>
  <c r="DP131" i="33"/>
  <c r="DO131" i="33"/>
  <c r="DN131" i="33"/>
  <c r="DM131" i="33"/>
  <c r="DL131" i="33"/>
  <c r="DK131" i="33"/>
  <c r="DJ131" i="33"/>
  <c r="DI131" i="33"/>
  <c r="DH131" i="33"/>
  <c r="DG131" i="33"/>
  <c r="DF131" i="33"/>
  <c r="DE131" i="33"/>
  <c r="DD131" i="33"/>
  <c r="DC131" i="33"/>
  <c r="DB131" i="33"/>
  <c r="DA131" i="33"/>
  <c r="CZ131" i="33"/>
  <c r="CY131" i="33"/>
  <c r="CX131" i="33"/>
  <c r="CW131" i="33"/>
  <c r="CV131" i="33"/>
  <c r="CU131" i="33"/>
  <c r="CT131" i="33"/>
  <c r="CS131" i="33"/>
  <c r="CR131" i="33"/>
  <c r="CQ131" i="33"/>
  <c r="CP131" i="33"/>
  <c r="CO131" i="33"/>
  <c r="CN131" i="33"/>
  <c r="CM131" i="33"/>
  <c r="CL131" i="33"/>
  <c r="CK131" i="33"/>
  <c r="CJ131" i="33"/>
  <c r="CI131" i="33"/>
  <c r="CH131" i="33"/>
  <c r="CG131" i="33"/>
  <c r="CF131" i="33"/>
  <c r="CE131" i="33"/>
  <c r="CD131" i="33"/>
  <c r="CC131" i="33"/>
  <c r="CB131" i="33"/>
  <c r="CA131" i="33"/>
  <c r="BZ131" i="33"/>
  <c r="BY131" i="33"/>
  <c r="BX131" i="33"/>
  <c r="BW131" i="33"/>
  <c r="BV131" i="33"/>
  <c r="BU131" i="33"/>
  <c r="BT131" i="33"/>
  <c r="BS131" i="33"/>
  <c r="BR131" i="33"/>
  <c r="BQ131" i="33"/>
  <c r="BP131" i="33"/>
  <c r="BO131" i="33"/>
  <c r="BN131" i="33"/>
  <c r="BM131" i="33"/>
  <c r="BL131" i="33"/>
  <c r="BK131" i="33"/>
  <c r="BJ131" i="33"/>
  <c r="BI131" i="33"/>
  <c r="BH131" i="33"/>
  <c r="BG131" i="33"/>
  <c r="BF131" i="33"/>
  <c r="BE131" i="33"/>
  <c r="BD131" i="33"/>
  <c r="BC131" i="33"/>
  <c r="BB131" i="33"/>
  <c r="BA131" i="33"/>
  <c r="AZ131" i="33"/>
  <c r="AY131" i="33"/>
  <c r="AX131" i="33"/>
  <c r="AW131" i="33"/>
  <c r="AV131" i="33"/>
  <c r="AU131" i="33"/>
  <c r="AT131" i="33"/>
  <c r="AS131" i="33"/>
  <c r="AR131" i="33"/>
  <c r="AQ131" i="33"/>
  <c r="AP131" i="33"/>
  <c r="AO131" i="33"/>
  <c r="AN131" i="33"/>
  <c r="AM131" i="33"/>
  <c r="AL131" i="33"/>
  <c r="AK131" i="33"/>
  <c r="AJ131" i="33"/>
  <c r="AI131" i="33"/>
  <c r="AH131" i="33"/>
  <c r="AG131" i="33"/>
  <c r="AF131" i="33"/>
  <c r="AE131" i="33"/>
  <c r="AD131" i="33"/>
  <c r="AC131" i="33"/>
  <c r="AB131" i="33"/>
  <c r="AA131" i="33"/>
  <c r="Z131" i="33"/>
  <c r="Y131" i="33"/>
  <c r="X131" i="33"/>
  <c r="W131" i="33"/>
  <c r="V131" i="33"/>
  <c r="U131" i="33"/>
  <c r="T131" i="33"/>
  <c r="S131" i="33"/>
  <c r="R131" i="33"/>
  <c r="Q131" i="33"/>
  <c r="P131" i="33"/>
  <c r="O131" i="33"/>
  <c r="N131" i="33"/>
  <c r="M131" i="33"/>
  <c r="L131" i="33"/>
  <c r="K131" i="33"/>
  <c r="J131" i="33"/>
  <c r="I131" i="33"/>
  <c r="H131" i="33"/>
  <c r="G131" i="33"/>
  <c r="F131" i="33"/>
  <c r="E131" i="33"/>
  <c r="D131" i="33"/>
  <c r="C131" i="33"/>
  <c r="B131" i="33"/>
  <c r="A131" i="33"/>
  <c r="IV130" i="33"/>
  <c r="IU130" i="33"/>
  <c r="IT130" i="33"/>
  <c r="IS130" i="33"/>
  <c r="IR130" i="33"/>
  <c r="IQ130" i="33"/>
  <c r="IP130" i="33"/>
  <c r="IO130" i="33"/>
  <c r="IN130" i="33"/>
  <c r="IM130" i="33"/>
  <c r="IL130" i="33"/>
  <c r="IK130" i="33"/>
  <c r="IJ130" i="33"/>
  <c r="II130" i="33"/>
  <c r="IH130" i="33"/>
  <c r="IG130" i="33"/>
  <c r="IF130" i="33"/>
  <c r="IE130" i="33"/>
  <c r="ID130" i="33"/>
  <c r="IC130" i="33"/>
  <c r="IB130" i="33"/>
  <c r="IA130" i="33"/>
  <c r="HZ130" i="33"/>
  <c r="HY130" i="33"/>
  <c r="HX130" i="33"/>
  <c r="HW130" i="33"/>
  <c r="HV130" i="33"/>
  <c r="HU130" i="33"/>
  <c r="HT130" i="33"/>
  <c r="HS130" i="33"/>
  <c r="HR130" i="33"/>
  <c r="HQ130" i="33"/>
  <c r="HP130" i="33"/>
  <c r="HO130" i="33"/>
  <c r="HN130" i="33"/>
  <c r="HM130" i="33"/>
  <c r="HL130" i="33"/>
  <c r="HK130" i="33"/>
  <c r="HJ130" i="33"/>
  <c r="HI130" i="33"/>
  <c r="HH130" i="33"/>
  <c r="HG130" i="33"/>
  <c r="HF130" i="33"/>
  <c r="HE130" i="33"/>
  <c r="HD130" i="33"/>
  <c r="HC130" i="33"/>
  <c r="HB130" i="33"/>
  <c r="HA130" i="33"/>
  <c r="GZ130" i="33"/>
  <c r="GY130" i="33"/>
  <c r="GX130" i="33"/>
  <c r="GW130" i="33"/>
  <c r="GV130" i="33"/>
  <c r="GU130" i="33"/>
  <c r="GT130" i="33"/>
  <c r="GS130" i="33"/>
  <c r="GR130" i="33"/>
  <c r="GQ130" i="33"/>
  <c r="GP130" i="33"/>
  <c r="GO130" i="33"/>
  <c r="GN130" i="33"/>
  <c r="GM130" i="33"/>
  <c r="GL130" i="33"/>
  <c r="GK130" i="33"/>
  <c r="GJ130" i="33"/>
  <c r="GI130" i="33"/>
  <c r="GH130" i="33"/>
  <c r="GG130" i="33"/>
  <c r="GF130" i="33"/>
  <c r="GE130" i="33"/>
  <c r="GD130" i="33"/>
  <c r="GC130" i="33"/>
  <c r="GB130" i="33"/>
  <c r="GA130" i="33"/>
  <c r="FZ130" i="33"/>
  <c r="FY130" i="33"/>
  <c r="FX130" i="33"/>
  <c r="FW130" i="33"/>
  <c r="FV130" i="33"/>
  <c r="FU130" i="33"/>
  <c r="FT130" i="33"/>
  <c r="FS130" i="33"/>
  <c r="FR130" i="33"/>
  <c r="FQ130" i="33"/>
  <c r="FP130" i="33"/>
  <c r="FO130" i="33"/>
  <c r="FN130" i="33"/>
  <c r="FM130" i="33"/>
  <c r="FL130" i="33"/>
  <c r="FK130" i="33"/>
  <c r="FJ130" i="33"/>
  <c r="FI130" i="33"/>
  <c r="FH130" i="33"/>
  <c r="FG130" i="33"/>
  <c r="FF130" i="33"/>
  <c r="FE130" i="33"/>
  <c r="FD130" i="33"/>
  <c r="FC130" i="33"/>
  <c r="FB130" i="33"/>
  <c r="FA130" i="33"/>
  <c r="EZ130" i="33"/>
  <c r="EY130" i="33"/>
  <c r="EX130" i="33"/>
  <c r="EW130" i="33"/>
  <c r="EV130" i="33"/>
  <c r="EU130" i="33"/>
  <c r="ET130" i="33"/>
  <c r="ES130" i="33"/>
  <c r="ER130" i="33"/>
  <c r="EQ130" i="33"/>
  <c r="EP130" i="33"/>
  <c r="EO130" i="33"/>
  <c r="EN130" i="33"/>
  <c r="EM130" i="33"/>
  <c r="EL130" i="33"/>
  <c r="EK130" i="33"/>
  <c r="EJ130" i="33"/>
  <c r="EI130" i="33"/>
  <c r="EH130" i="33"/>
  <c r="EG130" i="33"/>
  <c r="EF130" i="33"/>
  <c r="EE130" i="33"/>
  <c r="ED130" i="33"/>
  <c r="EC130" i="33"/>
  <c r="EB130" i="33"/>
  <c r="EA130" i="33"/>
  <c r="DZ130" i="33"/>
  <c r="DY130" i="33"/>
  <c r="DX130" i="33"/>
  <c r="DW130" i="33"/>
  <c r="DV130" i="33"/>
  <c r="DU130" i="33"/>
  <c r="DT130" i="33"/>
  <c r="DS130" i="33"/>
  <c r="DR130" i="33"/>
  <c r="DQ130" i="33"/>
  <c r="DP130" i="33"/>
  <c r="DO130" i="33"/>
  <c r="DN130" i="33"/>
  <c r="DM130" i="33"/>
  <c r="DL130" i="33"/>
  <c r="DK130" i="33"/>
  <c r="DJ130" i="33"/>
  <c r="DI130" i="33"/>
  <c r="DH130" i="33"/>
  <c r="DG130" i="33"/>
  <c r="DF130" i="33"/>
  <c r="DE130" i="33"/>
  <c r="DD130" i="33"/>
  <c r="DC130" i="33"/>
  <c r="DB130" i="33"/>
  <c r="DA130" i="33"/>
  <c r="CZ130" i="33"/>
  <c r="CY130" i="33"/>
  <c r="CX130" i="33"/>
  <c r="CW130" i="33"/>
  <c r="CV130" i="33"/>
  <c r="CU130" i="33"/>
  <c r="CT130" i="33"/>
  <c r="CS130" i="33"/>
  <c r="CR130" i="33"/>
  <c r="CQ130" i="33"/>
  <c r="CP130" i="33"/>
  <c r="CO130" i="33"/>
  <c r="CN130" i="33"/>
  <c r="CM130" i="33"/>
  <c r="CL130" i="33"/>
  <c r="CK130" i="33"/>
  <c r="CJ130" i="33"/>
  <c r="CI130" i="33"/>
  <c r="CH130" i="33"/>
  <c r="CG130" i="33"/>
  <c r="CF130" i="33"/>
  <c r="CE130" i="33"/>
  <c r="CD130" i="33"/>
  <c r="CC130" i="33"/>
  <c r="CB130" i="33"/>
  <c r="CA130" i="33"/>
  <c r="BZ130" i="33"/>
  <c r="BY130" i="33"/>
  <c r="BX130" i="33"/>
  <c r="BW130" i="33"/>
  <c r="BV130" i="33"/>
  <c r="BU130" i="33"/>
  <c r="BT130" i="33"/>
  <c r="BS130" i="33"/>
  <c r="BR130" i="33"/>
  <c r="BQ130" i="33"/>
  <c r="BP130" i="33"/>
  <c r="BO130" i="33"/>
  <c r="BN130" i="33"/>
  <c r="BM130" i="33"/>
  <c r="BL130" i="33"/>
  <c r="BK130" i="33"/>
  <c r="BJ130" i="33"/>
  <c r="BI130" i="33"/>
  <c r="BH130" i="33"/>
  <c r="BG130" i="33"/>
  <c r="BF130" i="33"/>
  <c r="BE130" i="33"/>
  <c r="BD130" i="33"/>
  <c r="BC130" i="33"/>
  <c r="BB130" i="33"/>
  <c r="BA130" i="33"/>
  <c r="AZ130" i="33"/>
  <c r="AY130" i="33"/>
  <c r="AX130" i="33"/>
  <c r="AW130" i="33"/>
  <c r="AV130" i="33"/>
  <c r="AU130" i="33"/>
  <c r="AT130" i="33"/>
  <c r="AS130" i="33"/>
  <c r="AR130" i="33"/>
  <c r="AQ130" i="33"/>
  <c r="AP130" i="33"/>
  <c r="AO130" i="33"/>
  <c r="AN130" i="33"/>
  <c r="AM130" i="33"/>
  <c r="AL130" i="33"/>
  <c r="AK130" i="33"/>
  <c r="AJ130" i="33"/>
  <c r="AI130" i="33"/>
  <c r="AH130" i="33"/>
  <c r="AG130" i="33"/>
  <c r="AF130" i="33"/>
  <c r="AE130" i="33"/>
  <c r="AD130" i="33"/>
  <c r="AC130" i="33"/>
  <c r="AB130" i="33"/>
  <c r="AA130" i="33"/>
  <c r="Z130" i="33"/>
  <c r="Y130" i="33"/>
  <c r="X130" i="33"/>
  <c r="W130" i="33"/>
  <c r="V130" i="33"/>
  <c r="U130" i="33"/>
  <c r="T130" i="33"/>
  <c r="S130" i="33"/>
  <c r="R130" i="33"/>
  <c r="Q130" i="33"/>
  <c r="P130" i="33"/>
  <c r="O130" i="33"/>
  <c r="N130" i="33"/>
  <c r="M130" i="33"/>
  <c r="L130" i="33"/>
  <c r="K130" i="33"/>
  <c r="J130" i="33"/>
  <c r="I130" i="33"/>
  <c r="H130" i="33"/>
  <c r="G130" i="33"/>
  <c r="F130" i="33"/>
  <c r="E130" i="33"/>
  <c r="D130" i="33"/>
  <c r="C130" i="33"/>
  <c r="B130" i="33"/>
  <c r="A130" i="33"/>
  <c r="IV129" i="33"/>
  <c r="IU129" i="33"/>
  <c r="IT129" i="33"/>
  <c r="IS129" i="33"/>
  <c r="IR129" i="33"/>
  <c r="IQ129" i="33"/>
  <c r="IP129" i="33"/>
  <c r="IO129" i="33"/>
  <c r="IN129" i="33"/>
  <c r="IM129" i="33"/>
  <c r="IL129" i="33"/>
  <c r="IK129" i="33"/>
  <c r="IJ129" i="33"/>
  <c r="II129" i="33"/>
  <c r="IH129" i="33"/>
  <c r="IG129" i="33"/>
  <c r="IF129" i="33"/>
  <c r="IE129" i="33"/>
  <c r="ID129" i="33"/>
  <c r="IC129" i="33"/>
  <c r="IB129" i="33"/>
  <c r="IA129" i="33"/>
  <c r="HZ129" i="33"/>
  <c r="HY129" i="33"/>
  <c r="HX129" i="33"/>
  <c r="HW129" i="33"/>
  <c r="HV129" i="33"/>
  <c r="HU129" i="33"/>
  <c r="HT129" i="33"/>
  <c r="HS129" i="33"/>
  <c r="HR129" i="33"/>
  <c r="HQ129" i="33"/>
  <c r="HP129" i="33"/>
  <c r="HO129" i="33"/>
  <c r="HN129" i="33"/>
  <c r="HM129" i="33"/>
  <c r="HL129" i="33"/>
  <c r="HK129" i="33"/>
  <c r="HJ129" i="33"/>
  <c r="HI129" i="33"/>
  <c r="HH129" i="33"/>
  <c r="HG129" i="33"/>
  <c r="HF129" i="33"/>
  <c r="HE129" i="33"/>
  <c r="HD129" i="33"/>
  <c r="HC129" i="33"/>
  <c r="HB129" i="33"/>
  <c r="HA129" i="33"/>
  <c r="GZ129" i="33"/>
  <c r="GY129" i="33"/>
  <c r="GX129" i="33"/>
  <c r="GW129" i="33"/>
  <c r="GV129" i="33"/>
  <c r="GU129" i="33"/>
  <c r="GT129" i="33"/>
  <c r="GS129" i="33"/>
  <c r="GR129" i="33"/>
  <c r="GQ129" i="33"/>
  <c r="GP129" i="33"/>
  <c r="GO129" i="33"/>
  <c r="GN129" i="33"/>
  <c r="GM129" i="33"/>
  <c r="GL129" i="33"/>
  <c r="GK129" i="33"/>
  <c r="GJ129" i="33"/>
  <c r="GI129" i="33"/>
  <c r="GH129" i="33"/>
  <c r="GG129" i="33"/>
  <c r="GF129" i="33"/>
  <c r="GE129" i="33"/>
  <c r="GD129" i="33"/>
  <c r="GC129" i="33"/>
  <c r="GB129" i="33"/>
  <c r="GA129" i="33"/>
  <c r="FZ129" i="33"/>
  <c r="FY129" i="33"/>
  <c r="FX129" i="33"/>
  <c r="FW129" i="33"/>
  <c r="FV129" i="33"/>
  <c r="FU129" i="33"/>
  <c r="FT129" i="33"/>
  <c r="FS129" i="33"/>
  <c r="FR129" i="33"/>
  <c r="FQ129" i="33"/>
  <c r="FP129" i="33"/>
  <c r="FO129" i="33"/>
  <c r="FN129" i="33"/>
  <c r="FM129" i="33"/>
  <c r="FL129" i="33"/>
  <c r="FK129" i="33"/>
  <c r="FJ129" i="33"/>
  <c r="FI129" i="33"/>
  <c r="FH129" i="33"/>
  <c r="FG129" i="33"/>
  <c r="FF129" i="33"/>
  <c r="FE129" i="33"/>
  <c r="FD129" i="33"/>
  <c r="FC129" i="33"/>
  <c r="FB129" i="33"/>
  <c r="FA129" i="33"/>
  <c r="EZ129" i="33"/>
  <c r="EY129" i="33"/>
  <c r="EX129" i="33"/>
  <c r="EW129" i="33"/>
  <c r="EV129" i="33"/>
  <c r="EU129" i="33"/>
  <c r="ET129" i="33"/>
  <c r="ES129" i="33"/>
  <c r="ER129" i="33"/>
  <c r="EQ129" i="33"/>
  <c r="EP129" i="33"/>
  <c r="EO129" i="33"/>
  <c r="EN129" i="33"/>
  <c r="EM129" i="33"/>
  <c r="EL129" i="33"/>
  <c r="EK129" i="33"/>
  <c r="EJ129" i="33"/>
  <c r="EI129" i="33"/>
  <c r="EH129" i="33"/>
  <c r="EG129" i="33"/>
  <c r="EF129" i="33"/>
  <c r="EE129" i="33"/>
  <c r="ED129" i="33"/>
  <c r="EC129" i="33"/>
  <c r="EB129" i="33"/>
  <c r="EA129" i="33"/>
  <c r="DZ129" i="33"/>
  <c r="DY129" i="33"/>
  <c r="DX129" i="33"/>
  <c r="DW129" i="33"/>
  <c r="DV129" i="33"/>
  <c r="DU129" i="33"/>
  <c r="DT129" i="33"/>
  <c r="DS129" i="33"/>
  <c r="DR129" i="33"/>
  <c r="DQ129" i="33"/>
  <c r="DP129" i="33"/>
  <c r="DO129" i="33"/>
  <c r="DN129" i="33"/>
  <c r="DM129" i="33"/>
  <c r="DL129" i="33"/>
  <c r="DK129" i="33"/>
  <c r="DJ129" i="33"/>
  <c r="DI129" i="33"/>
  <c r="DH129" i="33"/>
  <c r="DG129" i="33"/>
  <c r="DF129" i="33"/>
  <c r="DE129" i="33"/>
  <c r="DD129" i="33"/>
  <c r="DC129" i="33"/>
  <c r="DB129" i="33"/>
  <c r="DA129" i="33"/>
  <c r="CZ129" i="33"/>
  <c r="CY129" i="33"/>
  <c r="CX129" i="33"/>
  <c r="CW129" i="33"/>
  <c r="CV129" i="33"/>
  <c r="CU129" i="33"/>
  <c r="CT129" i="33"/>
  <c r="CS129" i="33"/>
  <c r="CR129" i="33"/>
  <c r="CQ129" i="33"/>
  <c r="CP129" i="33"/>
  <c r="CO129" i="33"/>
  <c r="CN129" i="33"/>
  <c r="CM129" i="33"/>
  <c r="CL129" i="33"/>
  <c r="CK129" i="33"/>
  <c r="CJ129" i="33"/>
  <c r="CI129" i="33"/>
  <c r="CH129" i="33"/>
  <c r="CG129" i="33"/>
  <c r="CF129" i="33"/>
  <c r="CE129" i="33"/>
  <c r="CD129" i="33"/>
  <c r="CC129" i="33"/>
  <c r="CB129" i="33"/>
  <c r="CA129" i="33"/>
  <c r="BZ129" i="33"/>
  <c r="BY129" i="33"/>
  <c r="BX129" i="33"/>
  <c r="BW129" i="33"/>
  <c r="BV129" i="33"/>
  <c r="BU129" i="33"/>
  <c r="BT129" i="33"/>
  <c r="BS129" i="33"/>
  <c r="BR129" i="33"/>
  <c r="BQ129" i="33"/>
  <c r="BP129" i="33"/>
  <c r="BO129" i="33"/>
  <c r="BN129" i="33"/>
  <c r="BM129" i="33"/>
  <c r="BL129" i="33"/>
  <c r="BK129" i="33"/>
  <c r="BJ129" i="33"/>
  <c r="BI129" i="33"/>
  <c r="BH129" i="33"/>
  <c r="BG129" i="33"/>
  <c r="BF129" i="33"/>
  <c r="BE129" i="33"/>
  <c r="BD129" i="33"/>
  <c r="BC129" i="33"/>
  <c r="BB129" i="33"/>
  <c r="BA129" i="33"/>
  <c r="AZ129" i="33"/>
  <c r="AY129" i="33"/>
  <c r="AX129" i="33"/>
  <c r="AW129" i="33"/>
  <c r="AV129" i="33"/>
  <c r="AU129" i="33"/>
  <c r="AT129" i="33"/>
  <c r="AS129" i="33"/>
  <c r="AR129" i="33"/>
  <c r="AQ129" i="33"/>
  <c r="AP129" i="33"/>
  <c r="AO129" i="33"/>
  <c r="AN129" i="33"/>
  <c r="AM129" i="33"/>
  <c r="AL129" i="33"/>
  <c r="AK129" i="33"/>
  <c r="AJ129" i="33"/>
  <c r="AI129" i="33"/>
  <c r="AH129" i="33"/>
  <c r="AG129" i="33"/>
  <c r="AF129" i="33"/>
  <c r="AE129" i="33"/>
  <c r="AD129" i="33"/>
  <c r="AC129" i="33"/>
  <c r="AB129" i="33"/>
  <c r="AA129" i="33"/>
  <c r="Z129" i="33"/>
  <c r="Y129" i="33"/>
  <c r="X129" i="33"/>
  <c r="W129" i="33"/>
  <c r="V129" i="33"/>
  <c r="U129" i="33"/>
  <c r="T129" i="33"/>
  <c r="S129" i="33"/>
  <c r="R129" i="33"/>
  <c r="Q129" i="33"/>
  <c r="P129" i="33"/>
  <c r="O129" i="33"/>
  <c r="N129" i="33"/>
  <c r="M129" i="33"/>
  <c r="L129" i="33"/>
  <c r="K129" i="33"/>
  <c r="J129" i="33"/>
  <c r="I129" i="33"/>
  <c r="H129" i="33"/>
  <c r="G129" i="33"/>
  <c r="F129" i="33"/>
  <c r="E129" i="33"/>
  <c r="D129" i="33"/>
  <c r="C129" i="33"/>
  <c r="B129" i="33"/>
  <c r="A129" i="33"/>
  <c r="IV128" i="33"/>
  <c r="IU128" i="33"/>
  <c r="IT128" i="33"/>
  <c r="IS128" i="33"/>
  <c r="IR128" i="33"/>
  <c r="IQ128" i="33"/>
  <c r="IP128" i="33"/>
  <c r="IO128" i="33"/>
  <c r="IN128" i="33"/>
  <c r="IM128" i="33"/>
  <c r="IL128" i="33"/>
  <c r="IK128" i="33"/>
  <c r="IJ128" i="33"/>
  <c r="II128" i="33"/>
  <c r="IH128" i="33"/>
  <c r="IG128" i="33"/>
  <c r="IF128" i="33"/>
  <c r="IE128" i="33"/>
  <c r="ID128" i="33"/>
  <c r="IC128" i="33"/>
  <c r="IB128" i="33"/>
  <c r="IA128" i="33"/>
  <c r="HZ128" i="33"/>
  <c r="HY128" i="33"/>
  <c r="HX128" i="33"/>
  <c r="HW128" i="33"/>
  <c r="HV128" i="33"/>
  <c r="HU128" i="33"/>
  <c r="HT128" i="33"/>
  <c r="HS128" i="33"/>
  <c r="HR128" i="33"/>
  <c r="HQ128" i="33"/>
  <c r="HP128" i="33"/>
  <c r="HO128" i="33"/>
  <c r="HN128" i="33"/>
  <c r="HM128" i="33"/>
  <c r="HL128" i="33"/>
  <c r="HK128" i="33"/>
  <c r="HJ128" i="33"/>
  <c r="HI128" i="33"/>
  <c r="HH128" i="33"/>
  <c r="HG128" i="33"/>
  <c r="HF128" i="33"/>
  <c r="HE128" i="33"/>
  <c r="HD128" i="33"/>
  <c r="HC128" i="33"/>
  <c r="HB128" i="33"/>
  <c r="HA128" i="33"/>
  <c r="GZ128" i="33"/>
  <c r="GY128" i="33"/>
  <c r="GX128" i="33"/>
  <c r="GW128" i="33"/>
  <c r="GV128" i="33"/>
  <c r="GU128" i="33"/>
  <c r="GT128" i="33"/>
  <c r="GS128" i="33"/>
  <c r="GR128" i="33"/>
  <c r="GQ128" i="33"/>
  <c r="GP128" i="33"/>
  <c r="GO128" i="33"/>
  <c r="GN128" i="33"/>
  <c r="GM128" i="33"/>
  <c r="GL128" i="33"/>
  <c r="GK128" i="33"/>
  <c r="GJ128" i="33"/>
  <c r="GI128" i="33"/>
  <c r="GH128" i="33"/>
  <c r="GG128" i="33"/>
  <c r="GF128" i="33"/>
  <c r="GE128" i="33"/>
  <c r="GD128" i="33"/>
  <c r="GC128" i="33"/>
  <c r="GB128" i="33"/>
  <c r="GA128" i="33"/>
  <c r="FZ128" i="33"/>
  <c r="FY128" i="33"/>
  <c r="FX128" i="33"/>
  <c r="FW128" i="33"/>
  <c r="FV128" i="33"/>
  <c r="FU128" i="33"/>
  <c r="FT128" i="33"/>
  <c r="FS128" i="33"/>
  <c r="FR128" i="33"/>
  <c r="FQ128" i="33"/>
  <c r="FP128" i="33"/>
  <c r="FO128" i="33"/>
  <c r="FN128" i="33"/>
  <c r="FM128" i="33"/>
  <c r="FL128" i="33"/>
  <c r="FK128" i="33"/>
  <c r="FJ128" i="33"/>
  <c r="FI128" i="33"/>
  <c r="FH128" i="33"/>
  <c r="FG128" i="33"/>
  <c r="FF128" i="33"/>
  <c r="FE128" i="33"/>
  <c r="FD128" i="33"/>
  <c r="FC128" i="33"/>
  <c r="FB128" i="33"/>
  <c r="FA128" i="33"/>
  <c r="EZ128" i="33"/>
  <c r="EY128" i="33"/>
  <c r="EX128" i="33"/>
  <c r="EW128" i="33"/>
  <c r="EV128" i="33"/>
  <c r="EU128" i="33"/>
  <c r="ET128" i="33"/>
  <c r="ES128" i="33"/>
  <c r="ER128" i="33"/>
  <c r="EQ128" i="33"/>
  <c r="EP128" i="33"/>
  <c r="EO128" i="33"/>
  <c r="EN128" i="33"/>
  <c r="EM128" i="33"/>
  <c r="EL128" i="33"/>
  <c r="EK128" i="33"/>
  <c r="EJ128" i="33"/>
  <c r="EI128" i="33"/>
  <c r="EH128" i="33"/>
  <c r="EG128" i="33"/>
  <c r="EF128" i="33"/>
  <c r="EE128" i="33"/>
  <c r="ED128" i="33"/>
  <c r="EC128" i="33"/>
  <c r="EB128" i="33"/>
  <c r="EA128" i="33"/>
  <c r="DZ128" i="33"/>
  <c r="DY128" i="33"/>
  <c r="DX128" i="33"/>
  <c r="DW128" i="33"/>
  <c r="DV128" i="33"/>
  <c r="DU128" i="33"/>
  <c r="DT128" i="33"/>
  <c r="DS128" i="33"/>
  <c r="DR128" i="33"/>
  <c r="DQ128" i="33"/>
  <c r="DP128" i="33"/>
  <c r="DO128" i="33"/>
  <c r="DN128" i="33"/>
  <c r="DM128" i="33"/>
  <c r="DL128" i="33"/>
  <c r="DK128" i="33"/>
  <c r="DJ128" i="33"/>
  <c r="DI128" i="33"/>
  <c r="DH128" i="33"/>
  <c r="DG128" i="33"/>
  <c r="DF128" i="33"/>
  <c r="DE128" i="33"/>
  <c r="DD128" i="33"/>
  <c r="DC128" i="33"/>
  <c r="DB128" i="33"/>
  <c r="DA128" i="33"/>
  <c r="CZ128" i="33"/>
  <c r="CY128" i="33"/>
  <c r="CX128" i="33"/>
  <c r="CW128" i="33"/>
  <c r="CV128" i="33"/>
  <c r="CU128" i="33"/>
  <c r="CT128" i="33"/>
  <c r="CS128" i="33"/>
  <c r="CR128" i="33"/>
  <c r="CQ128" i="33"/>
  <c r="CP128" i="33"/>
  <c r="CO128" i="33"/>
  <c r="CN128" i="33"/>
  <c r="CM128" i="33"/>
  <c r="CL128" i="33"/>
  <c r="CK128" i="33"/>
  <c r="CJ128" i="33"/>
  <c r="CI128" i="33"/>
  <c r="CH128" i="33"/>
  <c r="CG128" i="33"/>
  <c r="CF128" i="33"/>
  <c r="CE128" i="33"/>
  <c r="CD128" i="33"/>
  <c r="CC128" i="33"/>
  <c r="CB128" i="33"/>
  <c r="CA128" i="33"/>
  <c r="BZ128" i="33"/>
  <c r="BY128" i="33"/>
  <c r="BX128" i="33"/>
  <c r="BW128" i="33"/>
  <c r="BV128" i="33"/>
  <c r="BU128" i="33"/>
  <c r="BT128" i="33"/>
  <c r="BS128" i="33"/>
  <c r="BR128" i="33"/>
  <c r="BQ128" i="33"/>
  <c r="BP128" i="33"/>
  <c r="BO128" i="33"/>
  <c r="BN128" i="33"/>
  <c r="BM128" i="33"/>
  <c r="BL128" i="33"/>
  <c r="BK128" i="33"/>
  <c r="BJ128" i="33"/>
  <c r="BI128" i="33"/>
  <c r="BH128" i="33"/>
  <c r="BG128" i="33"/>
  <c r="BF128" i="33"/>
  <c r="BE128" i="33"/>
  <c r="BD128" i="33"/>
  <c r="BC128" i="33"/>
  <c r="BB128" i="33"/>
  <c r="BA128" i="33"/>
  <c r="AZ128" i="33"/>
  <c r="AY128" i="33"/>
  <c r="AX128" i="33"/>
  <c r="AW128" i="33"/>
  <c r="AV128" i="33"/>
  <c r="AU128" i="33"/>
  <c r="AT128" i="33"/>
  <c r="AS128" i="33"/>
  <c r="AR128" i="33"/>
  <c r="AQ128" i="33"/>
  <c r="AP128" i="33"/>
  <c r="AO128" i="33"/>
  <c r="AN128" i="33"/>
  <c r="AM128" i="33"/>
  <c r="AL128" i="33"/>
  <c r="AK128" i="33"/>
  <c r="AJ128" i="33"/>
  <c r="AI128" i="33"/>
  <c r="AH128" i="33"/>
  <c r="AG128" i="33"/>
  <c r="AF128" i="33"/>
  <c r="AE128" i="33"/>
  <c r="AD128" i="33"/>
  <c r="AC128" i="33"/>
  <c r="AB128" i="33"/>
  <c r="AA128" i="33"/>
  <c r="Z128" i="33"/>
  <c r="Y128" i="33"/>
  <c r="X128" i="33"/>
  <c r="W128" i="33"/>
  <c r="V128" i="33"/>
  <c r="U128" i="33"/>
  <c r="T128" i="33"/>
  <c r="S128" i="33"/>
  <c r="R128" i="33"/>
  <c r="Q128" i="33"/>
  <c r="P128" i="33"/>
  <c r="O128" i="33"/>
  <c r="N128" i="33"/>
  <c r="M128" i="33"/>
  <c r="L128" i="33"/>
  <c r="K128" i="33"/>
  <c r="J128" i="33"/>
  <c r="I128" i="33"/>
  <c r="H128" i="33"/>
  <c r="G128" i="33"/>
  <c r="F128" i="33"/>
  <c r="E128" i="33"/>
  <c r="D128" i="33"/>
  <c r="C128" i="33"/>
  <c r="B128" i="33"/>
  <c r="A128" i="33"/>
  <c r="IV127" i="33"/>
  <c r="IU127" i="33"/>
  <c r="IT127" i="33"/>
  <c r="IS127" i="33"/>
  <c r="IR127" i="33"/>
  <c r="IQ127" i="33"/>
  <c r="IP127" i="33"/>
  <c r="IO127" i="33"/>
  <c r="IN127" i="33"/>
  <c r="IM127" i="33"/>
  <c r="IL127" i="33"/>
  <c r="IK127" i="33"/>
  <c r="IJ127" i="33"/>
  <c r="II127" i="33"/>
  <c r="IH127" i="33"/>
  <c r="IG127" i="33"/>
  <c r="IF127" i="33"/>
  <c r="IE127" i="33"/>
  <c r="ID127" i="33"/>
  <c r="IC127" i="33"/>
  <c r="IB127" i="33"/>
  <c r="IA127" i="33"/>
  <c r="HZ127" i="33"/>
  <c r="HY127" i="33"/>
  <c r="HX127" i="33"/>
  <c r="HW127" i="33"/>
  <c r="HV127" i="33"/>
  <c r="HU127" i="33"/>
  <c r="HT127" i="33"/>
  <c r="HS127" i="33"/>
  <c r="HR127" i="33"/>
  <c r="HQ127" i="33"/>
  <c r="HP127" i="33"/>
  <c r="HO127" i="33"/>
  <c r="HN127" i="33"/>
  <c r="HM127" i="33"/>
  <c r="HL127" i="33"/>
  <c r="HK127" i="33"/>
  <c r="HJ127" i="33"/>
  <c r="HI127" i="33"/>
  <c r="HH127" i="33"/>
  <c r="HG127" i="33"/>
  <c r="HF127" i="33"/>
  <c r="HE127" i="33"/>
  <c r="HD127" i="33"/>
  <c r="HC127" i="33"/>
  <c r="HB127" i="33"/>
  <c r="HA127" i="33"/>
  <c r="GZ127" i="33"/>
  <c r="GY127" i="33"/>
  <c r="GX127" i="33"/>
  <c r="GW127" i="33"/>
  <c r="GV127" i="33"/>
  <c r="GU127" i="33"/>
  <c r="GT127" i="33"/>
  <c r="GS127" i="33"/>
  <c r="GR127" i="33"/>
  <c r="GQ127" i="33"/>
  <c r="GP127" i="33"/>
  <c r="GO127" i="33"/>
  <c r="GN127" i="33"/>
  <c r="GM127" i="33"/>
  <c r="GL127" i="33"/>
  <c r="GK127" i="33"/>
  <c r="GJ127" i="33"/>
  <c r="GI127" i="33"/>
  <c r="GH127" i="33"/>
  <c r="GG127" i="33"/>
  <c r="GF127" i="33"/>
  <c r="GE127" i="33"/>
  <c r="GD127" i="33"/>
  <c r="GC127" i="33"/>
  <c r="GB127" i="33"/>
  <c r="GA127" i="33"/>
  <c r="FZ127" i="33"/>
  <c r="FY127" i="33"/>
  <c r="FX127" i="33"/>
  <c r="FW127" i="33"/>
  <c r="FV127" i="33"/>
  <c r="FU127" i="33"/>
  <c r="FT127" i="33"/>
  <c r="FS127" i="33"/>
  <c r="FR127" i="33"/>
  <c r="FQ127" i="33"/>
  <c r="FP127" i="33"/>
  <c r="FO127" i="33"/>
  <c r="FN127" i="33"/>
  <c r="FM127" i="33"/>
  <c r="FL127" i="33"/>
  <c r="FK127" i="33"/>
  <c r="FJ127" i="33"/>
  <c r="FI127" i="33"/>
  <c r="FH127" i="33"/>
  <c r="FG127" i="33"/>
  <c r="FF127" i="33"/>
  <c r="FE127" i="33"/>
  <c r="FD127" i="33"/>
  <c r="FC127" i="33"/>
  <c r="FB127" i="33"/>
  <c r="FA127" i="33"/>
  <c r="EZ127" i="33"/>
  <c r="EY127" i="33"/>
  <c r="EX127" i="33"/>
  <c r="EW127" i="33"/>
  <c r="EV127" i="33"/>
  <c r="EU127" i="33"/>
  <c r="ET127" i="33"/>
  <c r="ES127" i="33"/>
  <c r="ER127" i="33"/>
  <c r="EQ127" i="33"/>
  <c r="EP127" i="33"/>
  <c r="EO127" i="33"/>
  <c r="EN127" i="33"/>
  <c r="EM127" i="33"/>
  <c r="EL127" i="33"/>
  <c r="EK127" i="33"/>
  <c r="EJ127" i="33"/>
  <c r="EI127" i="33"/>
  <c r="EH127" i="33"/>
  <c r="EG127" i="33"/>
  <c r="EF127" i="33"/>
  <c r="EE127" i="33"/>
  <c r="ED127" i="33"/>
  <c r="EC127" i="33"/>
  <c r="EB127" i="33"/>
  <c r="EA127" i="33"/>
  <c r="DZ127" i="33"/>
  <c r="DY127" i="33"/>
  <c r="DX127" i="33"/>
  <c r="DW127" i="33"/>
  <c r="DV127" i="33"/>
  <c r="DU127" i="33"/>
  <c r="DT127" i="33"/>
  <c r="DS127" i="33"/>
  <c r="DR127" i="33"/>
  <c r="DQ127" i="33"/>
  <c r="DP127" i="33"/>
  <c r="DO127" i="33"/>
  <c r="DN127" i="33"/>
  <c r="DM127" i="33"/>
  <c r="DL127" i="33"/>
  <c r="DK127" i="33"/>
  <c r="DJ127" i="33"/>
  <c r="DI127" i="33"/>
  <c r="DH127" i="33"/>
  <c r="DG127" i="33"/>
  <c r="DF127" i="33"/>
  <c r="DE127" i="33"/>
  <c r="DD127" i="33"/>
  <c r="DC127" i="33"/>
  <c r="DB127" i="33"/>
  <c r="DA127" i="33"/>
  <c r="CZ127" i="33"/>
  <c r="CY127" i="33"/>
  <c r="CX127" i="33"/>
  <c r="CW127" i="33"/>
  <c r="CV127" i="33"/>
  <c r="CU127" i="33"/>
  <c r="CT127" i="33"/>
  <c r="CS127" i="33"/>
  <c r="CR127" i="33"/>
  <c r="CQ127" i="33"/>
  <c r="CP127" i="33"/>
  <c r="CO127" i="33"/>
  <c r="CN127" i="33"/>
  <c r="CM127" i="33"/>
  <c r="CL127" i="33"/>
  <c r="CK127" i="33"/>
  <c r="CJ127" i="33"/>
  <c r="CI127" i="33"/>
  <c r="CH127" i="33"/>
  <c r="CG127" i="33"/>
  <c r="CF127" i="33"/>
  <c r="CE127" i="33"/>
  <c r="CD127" i="33"/>
  <c r="CC127" i="33"/>
  <c r="CB127" i="33"/>
  <c r="CA127" i="33"/>
  <c r="BZ127" i="33"/>
  <c r="BY127" i="33"/>
  <c r="BX127" i="33"/>
  <c r="BW127" i="33"/>
  <c r="BV127" i="33"/>
  <c r="BU127" i="33"/>
  <c r="BT127" i="33"/>
  <c r="BS127" i="33"/>
  <c r="BR127" i="33"/>
  <c r="BQ127" i="33"/>
  <c r="BP127" i="33"/>
  <c r="BO127" i="33"/>
  <c r="BN127" i="33"/>
  <c r="BM127" i="33"/>
  <c r="BL127" i="33"/>
  <c r="BK127" i="33"/>
  <c r="BJ127" i="33"/>
  <c r="BI127" i="33"/>
  <c r="BH127" i="33"/>
  <c r="BG127" i="33"/>
  <c r="BF127" i="33"/>
  <c r="BE127" i="33"/>
  <c r="BD127" i="33"/>
  <c r="BC127" i="33"/>
  <c r="BB127" i="33"/>
  <c r="BA127" i="33"/>
  <c r="AZ127" i="33"/>
  <c r="AY127" i="33"/>
  <c r="AX127" i="33"/>
  <c r="AW127" i="33"/>
  <c r="AV127" i="33"/>
  <c r="AU127" i="33"/>
  <c r="AT127" i="33"/>
  <c r="AS127" i="33"/>
  <c r="AR127" i="33"/>
  <c r="AQ127" i="33"/>
  <c r="AP127" i="33"/>
  <c r="AO127" i="33"/>
  <c r="AN127" i="33"/>
  <c r="AM127" i="33"/>
  <c r="AL127" i="33"/>
  <c r="AK127" i="33"/>
  <c r="AJ127" i="33"/>
  <c r="AI127" i="33"/>
  <c r="AH127" i="33"/>
  <c r="AG127" i="33"/>
  <c r="AF127" i="33"/>
  <c r="AE127" i="33"/>
  <c r="AD127" i="33"/>
  <c r="AC127" i="33"/>
  <c r="AB127" i="33"/>
  <c r="AA127" i="33"/>
  <c r="Z127" i="33"/>
  <c r="Y127" i="33"/>
  <c r="X127" i="33"/>
  <c r="W127" i="33"/>
  <c r="V127" i="33"/>
  <c r="U127" i="33"/>
  <c r="T127" i="33"/>
  <c r="S127" i="33"/>
  <c r="R127" i="33"/>
  <c r="Q127" i="33"/>
  <c r="P127" i="33"/>
  <c r="O127" i="33"/>
  <c r="N127" i="33"/>
  <c r="M127" i="33"/>
  <c r="L127" i="33"/>
  <c r="K127" i="33"/>
  <c r="J127" i="33"/>
  <c r="I127" i="33"/>
  <c r="H127" i="33"/>
  <c r="G127" i="33"/>
  <c r="F127" i="33"/>
  <c r="E127" i="33"/>
  <c r="D127" i="33"/>
  <c r="C127" i="33"/>
  <c r="B127" i="33"/>
  <c r="A127" i="33"/>
  <c r="IV126" i="33"/>
  <c r="IU126" i="33"/>
  <c r="IT126" i="33"/>
  <c r="IS126" i="33"/>
  <c r="IR126" i="33"/>
  <c r="IQ126" i="33"/>
  <c r="IP126" i="33"/>
  <c r="IO126" i="33"/>
  <c r="IN126" i="33"/>
  <c r="IM126" i="33"/>
  <c r="IL126" i="33"/>
  <c r="IK126" i="33"/>
  <c r="IJ126" i="33"/>
  <c r="II126" i="33"/>
  <c r="IH126" i="33"/>
  <c r="IG126" i="33"/>
  <c r="IF126" i="33"/>
  <c r="IE126" i="33"/>
  <c r="ID126" i="33"/>
  <c r="IC126" i="33"/>
  <c r="IB126" i="33"/>
  <c r="IA126" i="33"/>
  <c r="HZ126" i="33"/>
  <c r="HY126" i="33"/>
  <c r="HX126" i="33"/>
  <c r="HW126" i="33"/>
  <c r="HV126" i="33"/>
  <c r="HU126" i="33"/>
  <c r="HT126" i="33"/>
  <c r="HS126" i="33"/>
  <c r="HR126" i="33"/>
  <c r="HQ126" i="33"/>
  <c r="HP126" i="33"/>
  <c r="HO126" i="33"/>
  <c r="HN126" i="33"/>
  <c r="HM126" i="33"/>
  <c r="HL126" i="33"/>
  <c r="HK126" i="33"/>
  <c r="HJ126" i="33"/>
  <c r="HI126" i="33"/>
  <c r="HH126" i="33"/>
  <c r="HG126" i="33"/>
  <c r="HF126" i="33"/>
  <c r="HE126" i="33"/>
  <c r="HD126" i="33"/>
  <c r="HC126" i="33"/>
  <c r="HB126" i="33"/>
  <c r="HA126" i="33"/>
  <c r="GZ126" i="33"/>
  <c r="GY126" i="33"/>
  <c r="GX126" i="33"/>
  <c r="GW126" i="33"/>
  <c r="GV126" i="33"/>
  <c r="GU126" i="33"/>
  <c r="GT126" i="33"/>
  <c r="GS126" i="33"/>
  <c r="GR126" i="33"/>
  <c r="GQ126" i="33"/>
  <c r="GP126" i="33"/>
  <c r="GO126" i="33"/>
  <c r="GN126" i="33"/>
  <c r="GM126" i="33"/>
  <c r="GL126" i="33"/>
  <c r="GK126" i="33"/>
  <c r="GJ126" i="33"/>
  <c r="GI126" i="33"/>
  <c r="GH126" i="33"/>
  <c r="GG126" i="33"/>
  <c r="GF126" i="33"/>
  <c r="GE126" i="33"/>
  <c r="GD126" i="33"/>
  <c r="GC126" i="33"/>
  <c r="GB126" i="33"/>
  <c r="GA126" i="33"/>
  <c r="FZ126" i="33"/>
  <c r="FY126" i="33"/>
  <c r="FX126" i="33"/>
  <c r="FW126" i="33"/>
  <c r="FV126" i="33"/>
  <c r="FU126" i="33"/>
  <c r="FT126" i="33"/>
  <c r="FS126" i="33"/>
  <c r="FR126" i="33"/>
  <c r="FQ126" i="33"/>
  <c r="FP126" i="33"/>
  <c r="FO126" i="33"/>
  <c r="FN126" i="33"/>
  <c r="FM126" i="33"/>
  <c r="FL126" i="33"/>
  <c r="FK126" i="33"/>
  <c r="FJ126" i="33"/>
  <c r="FI126" i="33"/>
  <c r="FH126" i="33"/>
  <c r="FG126" i="33"/>
  <c r="FF126" i="33"/>
  <c r="FE126" i="33"/>
  <c r="FD126" i="33"/>
  <c r="FC126" i="33"/>
  <c r="FB126" i="33"/>
  <c r="FA126" i="33"/>
  <c r="EZ126" i="33"/>
  <c r="EY126" i="33"/>
  <c r="EX126" i="33"/>
  <c r="EW126" i="33"/>
  <c r="EV126" i="33"/>
  <c r="EU126" i="33"/>
  <c r="ET126" i="33"/>
  <c r="ES126" i="33"/>
  <c r="ER126" i="33"/>
  <c r="EQ126" i="33"/>
  <c r="EP126" i="33"/>
  <c r="EO126" i="33"/>
  <c r="EN126" i="33"/>
  <c r="EM126" i="33"/>
  <c r="EL126" i="33"/>
  <c r="EK126" i="33"/>
  <c r="EJ126" i="33"/>
  <c r="EI126" i="33"/>
  <c r="EH126" i="33"/>
  <c r="EG126" i="33"/>
  <c r="EF126" i="33"/>
  <c r="EE126" i="33"/>
  <c r="ED126" i="33"/>
  <c r="EC126" i="33"/>
  <c r="EB126" i="33"/>
  <c r="EA126" i="33"/>
  <c r="DZ126" i="33"/>
  <c r="DY126" i="33"/>
  <c r="DX126" i="33"/>
  <c r="DW126" i="33"/>
  <c r="DV126" i="33"/>
  <c r="DU126" i="33"/>
  <c r="DT126" i="33"/>
  <c r="DS126" i="33"/>
  <c r="DR126" i="33"/>
  <c r="DQ126" i="33"/>
  <c r="DP126" i="33"/>
  <c r="DO126" i="33"/>
  <c r="DN126" i="33"/>
  <c r="DM126" i="33"/>
  <c r="DL126" i="33"/>
  <c r="DK126" i="33"/>
  <c r="DJ126" i="33"/>
  <c r="DI126" i="33"/>
  <c r="DH126" i="33"/>
  <c r="DG126" i="33"/>
  <c r="DF126" i="33"/>
  <c r="DE126" i="33"/>
  <c r="DD126" i="33"/>
  <c r="DC126" i="33"/>
  <c r="DB126" i="33"/>
  <c r="DA126" i="33"/>
  <c r="CZ126" i="33"/>
  <c r="CY126" i="33"/>
  <c r="CX126" i="33"/>
  <c r="CW126" i="33"/>
  <c r="CV126" i="33"/>
  <c r="CU126" i="33"/>
  <c r="CT126" i="33"/>
  <c r="CS126" i="33"/>
  <c r="CR126" i="33"/>
  <c r="CQ126" i="33"/>
  <c r="CP126" i="33"/>
  <c r="CO126" i="33"/>
  <c r="CN126" i="33"/>
  <c r="CM126" i="33"/>
  <c r="CL126" i="33"/>
  <c r="CK126" i="33"/>
  <c r="CJ126" i="33"/>
  <c r="CI126" i="33"/>
  <c r="CH126" i="33"/>
  <c r="CG126" i="33"/>
  <c r="CF126" i="33"/>
  <c r="CE126" i="33"/>
  <c r="CD126" i="33"/>
  <c r="CC126" i="33"/>
  <c r="CB126" i="33"/>
  <c r="CA126" i="33"/>
  <c r="BZ126" i="33"/>
  <c r="BY126" i="33"/>
  <c r="BX126" i="33"/>
  <c r="BW126" i="33"/>
  <c r="BV126" i="33"/>
  <c r="BU126" i="33"/>
  <c r="BT126" i="33"/>
  <c r="BS126" i="33"/>
  <c r="BR126" i="33"/>
  <c r="BQ126" i="33"/>
  <c r="BP126" i="33"/>
  <c r="BO126" i="33"/>
  <c r="BN126" i="33"/>
  <c r="BM126" i="33"/>
  <c r="BL126" i="33"/>
  <c r="BK126" i="33"/>
  <c r="BJ126" i="33"/>
  <c r="BI126" i="33"/>
  <c r="BH126" i="33"/>
  <c r="BG126" i="33"/>
  <c r="BF126" i="33"/>
  <c r="BE126" i="33"/>
  <c r="BD126" i="33"/>
  <c r="BC126" i="33"/>
  <c r="BB126" i="33"/>
  <c r="BA126" i="33"/>
  <c r="AZ126" i="33"/>
  <c r="AY126" i="33"/>
  <c r="AX126" i="33"/>
  <c r="AW126" i="33"/>
  <c r="AV126" i="33"/>
  <c r="AU126" i="33"/>
  <c r="AT126" i="33"/>
  <c r="AS126" i="33"/>
  <c r="AR126" i="33"/>
  <c r="AQ126" i="33"/>
  <c r="AP126" i="33"/>
  <c r="AO126" i="33"/>
  <c r="AN126" i="33"/>
  <c r="AM126" i="33"/>
  <c r="AL126" i="33"/>
  <c r="AK126" i="33"/>
  <c r="AJ126" i="33"/>
  <c r="AI126" i="33"/>
  <c r="AH126" i="33"/>
  <c r="AG126" i="33"/>
  <c r="AF126" i="33"/>
  <c r="AE126" i="33"/>
  <c r="AD126" i="33"/>
  <c r="AC126" i="33"/>
  <c r="AB126" i="33"/>
  <c r="AA126" i="33"/>
  <c r="Z126" i="33"/>
  <c r="Y126" i="33"/>
  <c r="X126" i="33"/>
  <c r="W126" i="33"/>
  <c r="V126" i="33"/>
  <c r="U126" i="33"/>
  <c r="T126" i="33"/>
  <c r="S126" i="33"/>
  <c r="R126" i="33"/>
  <c r="Q126" i="33"/>
  <c r="P126" i="33"/>
  <c r="O126" i="33"/>
  <c r="N126" i="33"/>
  <c r="M126" i="33"/>
  <c r="L126" i="33"/>
  <c r="K126" i="33"/>
  <c r="J126" i="33"/>
  <c r="I126" i="33"/>
  <c r="H126" i="33"/>
  <c r="G126" i="33"/>
  <c r="F126" i="33"/>
  <c r="E126" i="33"/>
  <c r="D126" i="33"/>
  <c r="C126" i="33"/>
  <c r="B126" i="33"/>
  <c r="A126" i="33"/>
  <c r="IV125" i="33"/>
  <c r="IU125" i="33"/>
  <c r="IT125" i="33"/>
  <c r="IS125" i="33"/>
  <c r="IR125" i="33"/>
  <c r="IQ125" i="33"/>
  <c r="IP125" i="33"/>
  <c r="IO125" i="33"/>
  <c r="IN125" i="33"/>
  <c r="IM125" i="33"/>
  <c r="IL125" i="33"/>
  <c r="IK125" i="33"/>
  <c r="IJ125" i="33"/>
  <c r="II125" i="33"/>
  <c r="IH125" i="33"/>
  <c r="IG125" i="33"/>
  <c r="IF125" i="33"/>
  <c r="IE125" i="33"/>
  <c r="ID125" i="33"/>
  <c r="IC125" i="33"/>
  <c r="IB125" i="33"/>
  <c r="IA125" i="33"/>
  <c r="HZ125" i="33"/>
  <c r="HY125" i="33"/>
  <c r="HX125" i="33"/>
  <c r="HW125" i="33"/>
  <c r="HV125" i="33"/>
  <c r="HU125" i="33"/>
  <c r="HT125" i="33"/>
  <c r="HS125" i="33"/>
  <c r="HR125" i="33"/>
  <c r="HQ125" i="33"/>
  <c r="HP125" i="33"/>
  <c r="HO125" i="33"/>
  <c r="HN125" i="33"/>
  <c r="HM125" i="33"/>
  <c r="HL125" i="33"/>
  <c r="HK125" i="33"/>
  <c r="HJ125" i="33"/>
  <c r="HI125" i="33"/>
  <c r="HH125" i="33"/>
  <c r="HG125" i="33"/>
  <c r="HF125" i="33"/>
  <c r="HE125" i="33"/>
  <c r="HD125" i="33"/>
  <c r="HC125" i="33"/>
  <c r="HB125" i="33"/>
  <c r="HA125" i="33"/>
  <c r="GZ125" i="33"/>
  <c r="GY125" i="33"/>
  <c r="GX125" i="33"/>
  <c r="GW125" i="33"/>
  <c r="GV125" i="33"/>
  <c r="GU125" i="33"/>
  <c r="GT125" i="33"/>
  <c r="GS125" i="33"/>
  <c r="GR125" i="33"/>
  <c r="GQ125" i="33"/>
  <c r="GP125" i="33"/>
  <c r="GO125" i="33"/>
  <c r="GN125" i="33"/>
  <c r="GM125" i="33"/>
  <c r="GL125" i="33"/>
  <c r="GK125" i="33"/>
  <c r="GJ125" i="33"/>
  <c r="GI125" i="33"/>
  <c r="GH125" i="33"/>
  <c r="GG125" i="33"/>
  <c r="GF125" i="33"/>
  <c r="GE125" i="33"/>
  <c r="GD125" i="33"/>
  <c r="GC125" i="33"/>
  <c r="GB125" i="33"/>
  <c r="GA125" i="33"/>
  <c r="FZ125" i="33"/>
  <c r="FY125" i="33"/>
  <c r="FX125" i="33"/>
  <c r="FW125" i="33"/>
  <c r="FV125" i="33"/>
  <c r="FU125" i="33"/>
  <c r="FT125" i="33"/>
  <c r="FS125" i="33"/>
  <c r="FR125" i="33"/>
  <c r="FQ125" i="33"/>
  <c r="FP125" i="33"/>
  <c r="FO125" i="33"/>
  <c r="FN125" i="33"/>
  <c r="FM125" i="33"/>
  <c r="FL125" i="33"/>
  <c r="FK125" i="33"/>
  <c r="FJ125" i="33"/>
  <c r="FI125" i="33"/>
  <c r="FH125" i="33"/>
  <c r="FG125" i="33"/>
  <c r="FF125" i="33"/>
  <c r="FE125" i="33"/>
  <c r="FD125" i="33"/>
  <c r="FC125" i="33"/>
  <c r="FB125" i="33"/>
  <c r="FA125" i="33"/>
  <c r="EZ125" i="33"/>
  <c r="EY125" i="33"/>
  <c r="EX125" i="33"/>
  <c r="EW125" i="33"/>
  <c r="EV125" i="33"/>
  <c r="EU125" i="33"/>
  <c r="ET125" i="33"/>
  <c r="ES125" i="33"/>
  <c r="ER125" i="33"/>
  <c r="EQ125" i="33"/>
  <c r="EP125" i="33"/>
  <c r="EO125" i="33"/>
  <c r="EN125" i="33"/>
  <c r="EM125" i="33"/>
  <c r="EL125" i="33"/>
  <c r="EK125" i="33"/>
  <c r="EJ125" i="33"/>
  <c r="EI125" i="33"/>
  <c r="EH125" i="33"/>
  <c r="EG125" i="33"/>
  <c r="EF125" i="33"/>
  <c r="EE125" i="33"/>
  <c r="ED125" i="33"/>
  <c r="EC125" i="33"/>
  <c r="EB125" i="33"/>
  <c r="EA125" i="33"/>
  <c r="DZ125" i="33"/>
  <c r="DY125" i="33"/>
  <c r="DX125" i="33"/>
  <c r="DW125" i="33"/>
  <c r="DV125" i="33"/>
  <c r="DU125" i="33"/>
  <c r="DT125" i="33"/>
  <c r="DS125" i="33"/>
  <c r="DR125" i="33"/>
  <c r="DQ125" i="33"/>
  <c r="DP125" i="33"/>
  <c r="DO125" i="33"/>
  <c r="DN125" i="33"/>
  <c r="DM125" i="33"/>
  <c r="DL125" i="33"/>
  <c r="DK125" i="33"/>
  <c r="DJ125" i="33"/>
  <c r="DI125" i="33"/>
  <c r="DH125" i="33"/>
  <c r="DG125" i="33"/>
  <c r="DF125" i="33"/>
  <c r="DE125" i="33"/>
  <c r="DD125" i="33"/>
  <c r="DC125" i="33"/>
  <c r="DB125" i="33"/>
  <c r="DA125" i="33"/>
  <c r="CZ125" i="33"/>
  <c r="CY125" i="33"/>
  <c r="CX125" i="33"/>
  <c r="CW125" i="33"/>
  <c r="CV125" i="33"/>
  <c r="CU125" i="33"/>
  <c r="CT125" i="33"/>
  <c r="CS125" i="33"/>
  <c r="CR125" i="33"/>
  <c r="CQ125" i="33"/>
  <c r="CP125" i="33"/>
  <c r="CO125" i="33"/>
  <c r="CN125" i="33"/>
  <c r="CM125" i="33"/>
  <c r="CL125" i="33"/>
  <c r="CK125" i="33"/>
  <c r="CJ125" i="33"/>
  <c r="CI125" i="33"/>
  <c r="CH125" i="33"/>
  <c r="CG125" i="33"/>
  <c r="CF125" i="33"/>
  <c r="CE125" i="33"/>
  <c r="CD125" i="33"/>
  <c r="CC125" i="33"/>
  <c r="CB125" i="33"/>
  <c r="CA125" i="33"/>
  <c r="BZ125" i="33"/>
  <c r="BY125" i="33"/>
  <c r="BX125" i="33"/>
  <c r="BW125" i="33"/>
  <c r="BV125" i="33"/>
  <c r="BU125" i="33"/>
  <c r="BT125" i="33"/>
  <c r="BS125" i="33"/>
  <c r="BR125" i="33"/>
  <c r="BQ125" i="33"/>
  <c r="BP125" i="33"/>
  <c r="BO125" i="33"/>
  <c r="BN125" i="33"/>
  <c r="BM125" i="33"/>
  <c r="BL125" i="33"/>
  <c r="BK125" i="33"/>
  <c r="BJ125" i="33"/>
  <c r="BI125" i="33"/>
  <c r="BH125" i="33"/>
  <c r="BG125" i="33"/>
  <c r="BF125" i="33"/>
  <c r="BE125" i="33"/>
  <c r="BD125" i="33"/>
  <c r="BC125" i="33"/>
  <c r="BB125" i="33"/>
  <c r="BA125" i="33"/>
  <c r="AZ125" i="33"/>
  <c r="AY125" i="33"/>
  <c r="AX125" i="33"/>
  <c r="AW125" i="33"/>
  <c r="AV125" i="33"/>
  <c r="AU125" i="33"/>
  <c r="AT125" i="33"/>
  <c r="AS125" i="33"/>
  <c r="AR125" i="33"/>
  <c r="AQ125" i="33"/>
  <c r="AP125" i="33"/>
  <c r="AO125" i="33"/>
  <c r="AN125" i="33"/>
  <c r="AM125" i="33"/>
  <c r="AL125" i="33"/>
  <c r="AK125" i="33"/>
  <c r="AJ125" i="33"/>
  <c r="AI125" i="33"/>
  <c r="AH125" i="33"/>
  <c r="AG125" i="33"/>
  <c r="AF125" i="33"/>
  <c r="AE125" i="33"/>
  <c r="AD125" i="33"/>
  <c r="AC125" i="33"/>
  <c r="AB125" i="33"/>
  <c r="AA125" i="33"/>
  <c r="Z125" i="33"/>
  <c r="Y125" i="33"/>
  <c r="X125" i="33"/>
  <c r="W125" i="33"/>
  <c r="V125" i="33"/>
  <c r="U125" i="33"/>
  <c r="T125" i="33"/>
  <c r="S125" i="33"/>
  <c r="R125" i="33"/>
  <c r="Q125" i="33"/>
  <c r="P125" i="33"/>
  <c r="O125" i="33"/>
  <c r="N125" i="33"/>
  <c r="M125" i="33"/>
  <c r="L125" i="33"/>
  <c r="K125" i="33"/>
  <c r="J125" i="33"/>
  <c r="I125" i="33"/>
  <c r="H125" i="33"/>
  <c r="G125" i="33"/>
  <c r="F125" i="33"/>
  <c r="E125" i="33"/>
  <c r="D125" i="33"/>
  <c r="C125" i="33"/>
  <c r="B125" i="33"/>
  <c r="A125" i="33"/>
  <c r="IV124" i="33"/>
  <c r="IU124" i="33"/>
  <c r="IT124" i="33"/>
  <c r="IS124" i="33"/>
  <c r="IR124" i="33"/>
  <c r="IQ124" i="33"/>
  <c r="IP124" i="33"/>
  <c r="IO124" i="33"/>
  <c r="IN124" i="33"/>
  <c r="IM124" i="33"/>
  <c r="IL124" i="33"/>
  <c r="IK124" i="33"/>
  <c r="IJ124" i="33"/>
  <c r="II124" i="33"/>
  <c r="IH124" i="33"/>
  <c r="IG124" i="33"/>
  <c r="IF124" i="33"/>
  <c r="IE124" i="33"/>
  <c r="ID124" i="33"/>
  <c r="IC124" i="33"/>
  <c r="IB124" i="33"/>
  <c r="IA124" i="33"/>
  <c r="HZ124" i="33"/>
  <c r="HY124" i="33"/>
  <c r="HX124" i="33"/>
  <c r="HW124" i="33"/>
  <c r="HV124" i="33"/>
  <c r="HU124" i="33"/>
  <c r="HT124" i="33"/>
  <c r="HS124" i="33"/>
  <c r="HR124" i="33"/>
  <c r="HQ124" i="33"/>
  <c r="HP124" i="33"/>
  <c r="HO124" i="33"/>
  <c r="HN124" i="33"/>
  <c r="HM124" i="33"/>
  <c r="HL124" i="33"/>
  <c r="HK124" i="33"/>
  <c r="HJ124" i="33"/>
  <c r="HI124" i="33"/>
  <c r="HH124" i="33"/>
  <c r="HG124" i="33"/>
  <c r="HF124" i="33"/>
  <c r="HE124" i="33"/>
  <c r="HD124" i="33"/>
  <c r="HC124" i="33"/>
  <c r="HB124" i="33"/>
  <c r="HA124" i="33"/>
  <c r="GZ124" i="33"/>
  <c r="GY124" i="33"/>
  <c r="GX124" i="33"/>
  <c r="GW124" i="33"/>
  <c r="GV124" i="33"/>
  <c r="GU124" i="33"/>
  <c r="GT124" i="33"/>
  <c r="GS124" i="33"/>
  <c r="GR124" i="33"/>
  <c r="GQ124" i="33"/>
  <c r="GP124" i="33"/>
  <c r="GO124" i="33"/>
  <c r="GN124" i="33"/>
  <c r="GM124" i="33"/>
  <c r="GL124" i="33"/>
  <c r="GK124" i="33"/>
  <c r="GJ124" i="33"/>
  <c r="GI124" i="33"/>
  <c r="GH124" i="33"/>
  <c r="GG124" i="33"/>
  <c r="GF124" i="33"/>
  <c r="GE124" i="33"/>
  <c r="GD124" i="33"/>
  <c r="GC124" i="33"/>
  <c r="GB124" i="33"/>
  <c r="GA124" i="33"/>
  <c r="FZ124" i="33"/>
  <c r="FY124" i="33"/>
  <c r="FX124" i="33"/>
  <c r="FW124" i="33"/>
  <c r="FV124" i="33"/>
  <c r="FU124" i="33"/>
  <c r="FT124" i="33"/>
  <c r="FS124" i="33"/>
  <c r="FR124" i="33"/>
  <c r="FQ124" i="33"/>
  <c r="FP124" i="33"/>
  <c r="FO124" i="33"/>
  <c r="FN124" i="33"/>
  <c r="FM124" i="33"/>
  <c r="FL124" i="33"/>
  <c r="FK124" i="33"/>
  <c r="FJ124" i="33"/>
  <c r="FI124" i="33"/>
  <c r="FH124" i="33"/>
  <c r="FG124" i="33"/>
  <c r="FF124" i="33"/>
  <c r="FE124" i="33"/>
  <c r="FD124" i="33"/>
  <c r="FC124" i="33"/>
  <c r="FB124" i="33"/>
  <c r="FA124" i="33"/>
  <c r="EZ124" i="33"/>
  <c r="EY124" i="33"/>
  <c r="EX124" i="33"/>
  <c r="EW124" i="33"/>
  <c r="EV124" i="33"/>
  <c r="EU124" i="33"/>
  <c r="ET124" i="33"/>
  <c r="ES124" i="33"/>
  <c r="ER124" i="33"/>
  <c r="EQ124" i="33"/>
  <c r="EP124" i="33"/>
  <c r="EO124" i="33"/>
  <c r="EN124" i="33"/>
  <c r="EM124" i="33"/>
  <c r="EL124" i="33"/>
  <c r="EK124" i="33"/>
  <c r="EJ124" i="33"/>
  <c r="EI124" i="33"/>
  <c r="EH124" i="33"/>
  <c r="EG124" i="33"/>
  <c r="EF124" i="33"/>
  <c r="EE124" i="33"/>
  <c r="ED124" i="33"/>
  <c r="EC124" i="33"/>
  <c r="EB124" i="33"/>
  <c r="EA124" i="33"/>
  <c r="DZ124" i="33"/>
  <c r="DY124" i="33"/>
  <c r="DX124" i="33"/>
  <c r="DW124" i="33"/>
  <c r="DV124" i="33"/>
  <c r="DU124" i="33"/>
  <c r="DT124" i="33"/>
  <c r="DS124" i="33"/>
  <c r="DR124" i="33"/>
  <c r="DQ124" i="33"/>
  <c r="DP124" i="33"/>
  <c r="DO124" i="33"/>
  <c r="DN124" i="33"/>
  <c r="DM124" i="33"/>
  <c r="DL124" i="33"/>
  <c r="DK124" i="33"/>
  <c r="DJ124" i="33"/>
  <c r="DI124" i="33"/>
  <c r="DH124" i="33"/>
  <c r="DG124" i="33"/>
  <c r="DF124" i="33"/>
  <c r="DE124" i="33"/>
  <c r="DD124" i="33"/>
  <c r="DC124" i="33"/>
  <c r="DB124" i="33"/>
  <c r="DA124" i="33"/>
  <c r="CZ124" i="33"/>
  <c r="CY124" i="33"/>
  <c r="CX124" i="33"/>
  <c r="CW124" i="33"/>
  <c r="CV124" i="33"/>
  <c r="CU124" i="33"/>
  <c r="CT124" i="33"/>
  <c r="CS124" i="33"/>
  <c r="CR124" i="33"/>
  <c r="CQ124" i="33"/>
  <c r="CP124" i="33"/>
  <c r="CO124" i="33"/>
  <c r="CN124" i="33"/>
  <c r="CM124" i="33"/>
  <c r="CL124" i="33"/>
  <c r="CK124" i="33"/>
  <c r="CJ124" i="33"/>
  <c r="CI124" i="33"/>
  <c r="CH124" i="33"/>
  <c r="CG124" i="33"/>
  <c r="CF124" i="33"/>
  <c r="CE124" i="33"/>
  <c r="CD124" i="33"/>
  <c r="CC124" i="33"/>
  <c r="CB124" i="33"/>
  <c r="CA124" i="33"/>
  <c r="BZ124" i="33"/>
  <c r="BY124" i="33"/>
  <c r="BX124" i="33"/>
  <c r="BW124" i="33"/>
  <c r="BV124" i="33"/>
  <c r="BU124" i="33"/>
  <c r="BT124" i="33"/>
  <c r="BS124" i="33"/>
  <c r="BR124" i="33"/>
  <c r="BQ124" i="33"/>
  <c r="BP124" i="33"/>
  <c r="BO124" i="33"/>
  <c r="BN124" i="33"/>
  <c r="BM124" i="33"/>
  <c r="BL124" i="33"/>
  <c r="BK124" i="33"/>
  <c r="BJ124" i="33"/>
  <c r="BI124" i="33"/>
  <c r="BH124" i="33"/>
  <c r="BG124" i="33"/>
  <c r="BF124" i="33"/>
  <c r="BE124" i="33"/>
  <c r="BD124" i="33"/>
  <c r="BC124" i="33"/>
  <c r="BB124" i="33"/>
  <c r="BA124" i="33"/>
  <c r="AZ124" i="33"/>
  <c r="AY124" i="33"/>
  <c r="AX124" i="33"/>
  <c r="AW124" i="33"/>
  <c r="AV124" i="33"/>
  <c r="AU124" i="33"/>
  <c r="AT124" i="33"/>
  <c r="AS124" i="33"/>
  <c r="AR124" i="33"/>
  <c r="AQ124" i="33"/>
  <c r="AP124" i="33"/>
  <c r="AO124" i="33"/>
  <c r="AN124" i="33"/>
  <c r="AM124" i="33"/>
  <c r="AL124" i="33"/>
  <c r="AK124" i="33"/>
  <c r="AJ124" i="33"/>
  <c r="AI124" i="33"/>
  <c r="AH124" i="33"/>
  <c r="AG124" i="33"/>
  <c r="AF124" i="33"/>
  <c r="AE124" i="33"/>
  <c r="AD124" i="33"/>
  <c r="AC124" i="33"/>
  <c r="AB124" i="33"/>
  <c r="AA124" i="33"/>
  <c r="Z124" i="33"/>
  <c r="Y124" i="33"/>
  <c r="X124" i="33"/>
  <c r="W124" i="33"/>
  <c r="V124" i="33"/>
  <c r="U124" i="33"/>
  <c r="T124" i="33"/>
  <c r="S124" i="33"/>
  <c r="R124" i="33"/>
  <c r="Q124" i="33"/>
  <c r="P124" i="33"/>
  <c r="O124" i="33"/>
  <c r="N124" i="33"/>
  <c r="M124" i="33"/>
  <c r="L124" i="33"/>
  <c r="K124" i="33"/>
  <c r="J124" i="33"/>
  <c r="I124" i="33"/>
  <c r="H124" i="33"/>
  <c r="G124" i="33"/>
  <c r="F124" i="33"/>
  <c r="E124" i="33"/>
  <c r="D124" i="33"/>
  <c r="C124" i="33"/>
  <c r="B124" i="33"/>
  <c r="A124" i="33"/>
  <c r="IV123" i="33"/>
  <c r="IU123" i="33"/>
  <c r="IT123" i="33"/>
  <c r="IS123" i="33"/>
  <c r="IR123" i="33"/>
  <c r="IQ123" i="33"/>
  <c r="IP123" i="33"/>
  <c r="IO123" i="33"/>
  <c r="IN123" i="33"/>
  <c r="IM123" i="33"/>
  <c r="IL123" i="33"/>
  <c r="IK123" i="33"/>
  <c r="IJ123" i="33"/>
  <c r="II123" i="33"/>
  <c r="IH123" i="33"/>
  <c r="IG123" i="33"/>
  <c r="IF123" i="33"/>
  <c r="IE123" i="33"/>
  <c r="ID123" i="33"/>
  <c r="IC123" i="33"/>
  <c r="IB123" i="33"/>
  <c r="IA123" i="33"/>
  <c r="HZ123" i="33"/>
  <c r="HY123" i="33"/>
  <c r="HX123" i="33"/>
  <c r="HW123" i="33"/>
  <c r="HV123" i="33"/>
  <c r="HU123" i="33"/>
  <c r="HT123" i="33"/>
  <c r="HS123" i="33"/>
  <c r="HR123" i="33"/>
  <c r="HQ123" i="33"/>
  <c r="HP123" i="33"/>
  <c r="HO123" i="33"/>
  <c r="HN123" i="33"/>
  <c r="HM123" i="33"/>
  <c r="HL123" i="33"/>
  <c r="HK123" i="33"/>
  <c r="HJ123" i="33"/>
  <c r="HI123" i="33"/>
  <c r="HH123" i="33"/>
  <c r="HG123" i="33"/>
  <c r="HF123" i="33"/>
  <c r="HE123" i="33"/>
  <c r="HD123" i="33"/>
  <c r="HC123" i="33"/>
  <c r="HB123" i="33"/>
  <c r="HA123" i="33"/>
  <c r="GZ123" i="33"/>
  <c r="GY123" i="33"/>
  <c r="GX123" i="33"/>
  <c r="GW123" i="33"/>
  <c r="GV123" i="33"/>
  <c r="GU123" i="33"/>
  <c r="GT123" i="33"/>
  <c r="GS123" i="33"/>
  <c r="GR123" i="33"/>
  <c r="GQ123" i="33"/>
  <c r="GP123" i="33"/>
  <c r="GO123" i="33"/>
  <c r="GN123" i="33"/>
  <c r="GM123" i="33"/>
  <c r="GL123" i="33"/>
  <c r="GK123" i="33"/>
  <c r="GJ123" i="33"/>
  <c r="GI123" i="33"/>
  <c r="GH123" i="33"/>
  <c r="GG123" i="33"/>
  <c r="GF123" i="33"/>
  <c r="GE123" i="33"/>
  <c r="GD123" i="33"/>
  <c r="GC123" i="33"/>
  <c r="GB123" i="33"/>
  <c r="GA123" i="33"/>
  <c r="FZ123" i="33"/>
  <c r="FY123" i="33"/>
  <c r="FX123" i="33"/>
  <c r="FW123" i="33"/>
  <c r="FV123" i="33"/>
  <c r="FU123" i="33"/>
  <c r="FT123" i="33"/>
  <c r="FS123" i="33"/>
  <c r="FR123" i="33"/>
  <c r="FQ123" i="33"/>
  <c r="FP123" i="33"/>
  <c r="FO123" i="33"/>
  <c r="FN123" i="33"/>
  <c r="FM123" i="33"/>
  <c r="FL123" i="33"/>
  <c r="FK123" i="33"/>
  <c r="FJ123" i="33"/>
  <c r="FI123" i="33"/>
  <c r="FH123" i="33"/>
  <c r="FG123" i="33"/>
  <c r="FF123" i="33"/>
  <c r="FE123" i="33"/>
  <c r="FD123" i="33"/>
  <c r="FC123" i="33"/>
  <c r="FB123" i="33"/>
  <c r="FA123" i="33"/>
  <c r="EZ123" i="33"/>
  <c r="EY123" i="33"/>
  <c r="EX123" i="33"/>
  <c r="EW123" i="33"/>
  <c r="EV123" i="33"/>
  <c r="EU123" i="33"/>
  <c r="ET123" i="33"/>
  <c r="ES123" i="33"/>
  <c r="ER123" i="33"/>
  <c r="EQ123" i="33"/>
  <c r="EP123" i="33"/>
  <c r="EO123" i="33"/>
  <c r="EN123" i="33"/>
  <c r="EM123" i="33"/>
  <c r="EL123" i="33"/>
  <c r="EK123" i="33"/>
  <c r="EJ123" i="33"/>
  <c r="EI123" i="33"/>
  <c r="EH123" i="33"/>
  <c r="EG123" i="33"/>
  <c r="EF123" i="33"/>
  <c r="EE123" i="33"/>
  <c r="ED123" i="33"/>
  <c r="EC123" i="33"/>
  <c r="EB123" i="33"/>
  <c r="EA123" i="33"/>
  <c r="DZ123" i="33"/>
  <c r="DY123" i="33"/>
  <c r="DX123" i="33"/>
  <c r="DW123" i="33"/>
  <c r="DV123" i="33"/>
  <c r="DU123" i="33"/>
  <c r="DT123" i="33"/>
  <c r="DS123" i="33"/>
  <c r="DR123" i="33"/>
  <c r="DQ123" i="33"/>
  <c r="DP123" i="33"/>
  <c r="DO123" i="33"/>
  <c r="DN123" i="33"/>
  <c r="DM123" i="33"/>
  <c r="DL123" i="33"/>
  <c r="DK123" i="33"/>
  <c r="DJ123" i="33"/>
  <c r="DI123" i="33"/>
  <c r="DH123" i="33"/>
  <c r="DG123" i="33"/>
  <c r="DF123" i="33"/>
  <c r="DE123" i="33"/>
  <c r="DD123" i="33"/>
  <c r="DC123" i="33"/>
  <c r="DB123" i="33"/>
  <c r="DA123" i="33"/>
  <c r="CZ123" i="33"/>
  <c r="CY123" i="33"/>
  <c r="CX123" i="33"/>
  <c r="CW123" i="33"/>
  <c r="CV123" i="33"/>
  <c r="CU123" i="33"/>
  <c r="CT123" i="33"/>
  <c r="CS123" i="33"/>
  <c r="CR123" i="33"/>
  <c r="CQ123" i="33"/>
  <c r="CP123" i="33"/>
  <c r="CO123" i="33"/>
  <c r="CN123" i="33"/>
  <c r="CM123" i="33"/>
  <c r="CL123" i="33"/>
  <c r="CK123" i="33"/>
  <c r="CJ123" i="33"/>
  <c r="CI123" i="33"/>
  <c r="CH123" i="33"/>
  <c r="CG123" i="33"/>
  <c r="CF123" i="33"/>
  <c r="CE123" i="33"/>
  <c r="CD123" i="33"/>
  <c r="CC123" i="33"/>
  <c r="CB123" i="33"/>
  <c r="CA123" i="33"/>
  <c r="BZ123" i="33"/>
  <c r="BY123" i="33"/>
  <c r="BX123" i="33"/>
  <c r="BW123" i="33"/>
  <c r="BV123" i="33"/>
  <c r="BU123" i="33"/>
  <c r="BT123" i="33"/>
  <c r="BS123" i="33"/>
  <c r="BR123" i="33"/>
  <c r="BQ123" i="33"/>
  <c r="BP123" i="33"/>
  <c r="BO123" i="33"/>
  <c r="BN123" i="33"/>
  <c r="BM123" i="33"/>
  <c r="BL123" i="33"/>
  <c r="BK123" i="33"/>
  <c r="BJ123" i="33"/>
  <c r="BI123" i="33"/>
  <c r="BH123" i="33"/>
  <c r="BG123" i="33"/>
  <c r="BF123" i="33"/>
  <c r="BE123" i="33"/>
  <c r="BD123" i="33"/>
  <c r="BC123" i="33"/>
  <c r="BB123" i="33"/>
  <c r="BA123" i="33"/>
  <c r="AZ123" i="33"/>
  <c r="AY123" i="33"/>
  <c r="AX123" i="33"/>
  <c r="AW123" i="33"/>
  <c r="AV123" i="33"/>
  <c r="AU123" i="33"/>
  <c r="AT123" i="33"/>
  <c r="AS123" i="33"/>
  <c r="AR123" i="33"/>
  <c r="AQ123" i="33"/>
  <c r="AP123" i="33"/>
  <c r="AO123" i="33"/>
  <c r="AN123" i="33"/>
  <c r="AM123" i="33"/>
  <c r="AL123" i="33"/>
  <c r="AK123" i="33"/>
  <c r="AJ123" i="33"/>
  <c r="AI123" i="33"/>
  <c r="AH123" i="33"/>
  <c r="AG123" i="33"/>
  <c r="AF123" i="33"/>
  <c r="AE123" i="33"/>
  <c r="AD123" i="33"/>
  <c r="AC123" i="33"/>
  <c r="AB123" i="33"/>
  <c r="AA123" i="33"/>
  <c r="Z123" i="33"/>
  <c r="Y123" i="33"/>
  <c r="X123" i="33"/>
  <c r="W123" i="33"/>
  <c r="V123" i="33"/>
  <c r="U123" i="33"/>
  <c r="T123" i="33"/>
  <c r="S123" i="33"/>
  <c r="R123" i="33"/>
  <c r="Q123" i="33"/>
  <c r="P123" i="33"/>
  <c r="O123" i="33"/>
  <c r="N123" i="33"/>
  <c r="M123" i="33"/>
  <c r="L123" i="33"/>
  <c r="K123" i="33"/>
  <c r="J123" i="33"/>
  <c r="I123" i="33"/>
  <c r="H123" i="33"/>
  <c r="G123" i="33"/>
  <c r="F123" i="33"/>
  <c r="E123" i="33"/>
  <c r="D123" i="33"/>
  <c r="C123" i="33"/>
  <c r="B123" i="33"/>
  <c r="A123" i="33"/>
  <c r="IV122" i="33"/>
  <c r="IU122" i="33"/>
  <c r="IT122" i="33"/>
  <c r="IS122" i="33"/>
  <c r="IR122" i="33"/>
  <c r="IQ122" i="33"/>
  <c r="IP122" i="33"/>
  <c r="IO122" i="33"/>
  <c r="IN122" i="33"/>
  <c r="IM122" i="33"/>
  <c r="IL122" i="33"/>
  <c r="IK122" i="33"/>
  <c r="IJ122" i="33"/>
  <c r="II122" i="33"/>
  <c r="IH122" i="33"/>
  <c r="IG122" i="33"/>
  <c r="IF122" i="33"/>
  <c r="IE122" i="33"/>
  <c r="ID122" i="33"/>
  <c r="IC122" i="33"/>
  <c r="IB122" i="33"/>
  <c r="IA122" i="33"/>
  <c r="HZ122" i="33"/>
  <c r="HY122" i="33"/>
  <c r="HX122" i="33"/>
  <c r="HW122" i="33"/>
  <c r="HV122" i="33"/>
  <c r="HU122" i="33"/>
  <c r="HT122" i="33"/>
  <c r="HS122" i="33"/>
  <c r="HR122" i="33"/>
  <c r="HQ122" i="33"/>
  <c r="HP122" i="33"/>
  <c r="HO122" i="33"/>
  <c r="HN122" i="33"/>
  <c r="HM122" i="33"/>
  <c r="HL122" i="33"/>
  <c r="HK122" i="33"/>
  <c r="HJ122" i="33"/>
  <c r="HI122" i="33"/>
  <c r="HH122" i="33"/>
  <c r="HG122" i="33"/>
  <c r="HF122" i="33"/>
  <c r="HE122" i="33"/>
  <c r="HD122" i="33"/>
  <c r="HC122" i="33"/>
  <c r="HB122" i="33"/>
  <c r="HA122" i="33"/>
  <c r="GZ122" i="33"/>
  <c r="GY122" i="33"/>
  <c r="GX122" i="33"/>
  <c r="GW122" i="33"/>
  <c r="GV122" i="33"/>
  <c r="GU122" i="33"/>
  <c r="GT122" i="33"/>
  <c r="GS122" i="33"/>
  <c r="GR122" i="33"/>
  <c r="GQ122" i="33"/>
  <c r="GP122" i="33"/>
  <c r="GO122" i="33"/>
  <c r="GN122" i="33"/>
  <c r="GM122" i="33"/>
  <c r="GL122" i="33"/>
  <c r="GK122" i="33"/>
  <c r="GJ122" i="33"/>
  <c r="GI122" i="33"/>
  <c r="GH122" i="33"/>
  <c r="GG122" i="33"/>
  <c r="GF122" i="33"/>
  <c r="GE122" i="33"/>
  <c r="GD122" i="33"/>
  <c r="GC122" i="33"/>
  <c r="GB122" i="33"/>
  <c r="GA122" i="33"/>
  <c r="FZ122" i="33"/>
  <c r="FY122" i="33"/>
  <c r="FX122" i="33"/>
  <c r="FW122" i="33"/>
  <c r="FV122" i="33"/>
  <c r="FU122" i="33"/>
  <c r="FT122" i="33"/>
  <c r="FS122" i="33"/>
  <c r="FR122" i="33"/>
  <c r="FQ122" i="33"/>
  <c r="FP122" i="33"/>
  <c r="FO122" i="33"/>
  <c r="FN122" i="33"/>
  <c r="FM122" i="33"/>
  <c r="FL122" i="33"/>
  <c r="FK122" i="33"/>
  <c r="FJ122" i="33"/>
  <c r="FI122" i="33"/>
  <c r="FH122" i="33"/>
  <c r="FG122" i="33"/>
  <c r="FF122" i="33"/>
  <c r="FE122" i="33"/>
  <c r="FD122" i="33"/>
  <c r="FC122" i="33"/>
  <c r="FB122" i="33"/>
  <c r="FA122" i="33"/>
  <c r="EZ122" i="33"/>
  <c r="EY122" i="33"/>
  <c r="EX122" i="33"/>
  <c r="EW122" i="33"/>
  <c r="EV122" i="33"/>
  <c r="EU122" i="33"/>
  <c r="ET122" i="33"/>
  <c r="ES122" i="33"/>
  <c r="ER122" i="33"/>
  <c r="EQ122" i="33"/>
  <c r="EP122" i="33"/>
  <c r="EO122" i="33"/>
  <c r="EN122" i="33"/>
  <c r="EM122" i="33"/>
  <c r="EL122" i="33"/>
  <c r="EK122" i="33"/>
  <c r="EJ122" i="33"/>
  <c r="EI122" i="33"/>
  <c r="EH122" i="33"/>
  <c r="EG122" i="33"/>
  <c r="EF122" i="33"/>
  <c r="EE122" i="33"/>
  <c r="ED122" i="33"/>
  <c r="EC122" i="33"/>
  <c r="EB122" i="33"/>
  <c r="EA122" i="33"/>
  <c r="DZ122" i="33"/>
  <c r="DY122" i="33"/>
  <c r="DX122" i="33"/>
  <c r="DW122" i="33"/>
  <c r="DV122" i="33"/>
  <c r="DU122" i="33"/>
  <c r="DT122" i="33"/>
  <c r="DS122" i="33"/>
  <c r="DR122" i="33"/>
  <c r="DQ122" i="33"/>
  <c r="DP122" i="33"/>
  <c r="DO122" i="33"/>
  <c r="DN122" i="33"/>
  <c r="DM122" i="33"/>
  <c r="DL122" i="33"/>
  <c r="DK122" i="33"/>
  <c r="DJ122" i="33"/>
  <c r="DI122" i="33"/>
  <c r="DH122" i="33"/>
  <c r="DG122" i="33"/>
  <c r="DF122" i="33"/>
  <c r="DE122" i="33"/>
  <c r="DD122" i="33"/>
  <c r="DC122" i="33"/>
  <c r="DB122" i="33"/>
  <c r="DA122" i="33"/>
  <c r="CZ122" i="33"/>
  <c r="CY122" i="33"/>
  <c r="CX122" i="33"/>
  <c r="CW122" i="33"/>
  <c r="CV122" i="33"/>
  <c r="CU122" i="33"/>
  <c r="CT122" i="33"/>
  <c r="CS122" i="33"/>
  <c r="CR122" i="33"/>
  <c r="CQ122" i="33"/>
  <c r="CP122" i="33"/>
  <c r="CO122" i="33"/>
  <c r="CN122" i="33"/>
  <c r="CM122" i="33"/>
  <c r="CL122" i="33"/>
  <c r="CK122" i="33"/>
  <c r="CJ122" i="33"/>
  <c r="CI122" i="33"/>
  <c r="CH122" i="33"/>
  <c r="CG122" i="33"/>
  <c r="CF122" i="33"/>
  <c r="CE122" i="33"/>
  <c r="CD122" i="33"/>
  <c r="CC122" i="33"/>
  <c r="CB122" i="33"/>
  <c r="CA122" i="33"/>
  <c r="BZ122" i="33"/>
  <c r="BY122" i="33"/>
  <c r="BX122" i="33"/>
  <c r="BW122" i="33"/>
  <c r="BV122" i="33"/>
  <c r="BU122" i="33"/>
  <c r="BT122" i="33"/>
  <c r="BS122" i="33"/>
  <c r="BR122" i="33"/>
  <c r="BQ122" i="33"/>
  <c r="BP122" i="33"/>
  <c r="BO122" i="33"/>
  <c r="BN122" i="33"/>
  <c r="BM122" i="33"/>
  <c r="BL122" i="33"/>
  <c r="BK122" i="33"/>
  <c r="BJ122" i="33"/>
  <c r="BI122" i="33"/>
  <c r="BH122" i="33"/>
  <c r="BG122" i="33"/>
  <c r="BF122" i="33"/>
  <c r="BE122" i="33"/>
  <c r="BD122" i="33"/>
  <c r="BC122" i="33"/>
  <c r="BB122" i="33"/>
  <c r="BA122" i="33"/>
  <c r="AZ122" i="33"/>
  <c r="AY122" i="33"/>
  <c r="AX122" i="33"/>
  <c r="AW122" i="33"/>
  <c r="AV122" i="33"/>
  <c r="AU122" i="33"/>
  <c r="AT122" i="33"/>
  <c r="AS122" i="33"/>
  <c r="AR122" i="33"/>
  <c r="AQ122" i="33"/>
  <c r="AP122" i="33"/>
  <c r="AO122" i="33"/>
  <c r="AN122" i="33"/>
  <c r="AM122" i="33"/>
  <c r="AL122" i="33"/>
  <c r="AK122" i="33"/>
  <c r="AJ122" i="33"/>
  <c r="AI122" i="33"/>
  <c r="AH122" i="33"/>
  <c r="AG122" i="33"/>
  <c r="AF122" i="33"/>
  <c r="AE122" i="33"/>
  <c r="AD122" i="33"/>
  <c r="AC122" i="33"/>
  <c r="AB122" i="33"/>
  <c r="AA122" i="33"/>
  <c r="Z122" i="33"/>
  <c r="Y122" i="33"/>
  <c r="X122" i="33"/>
  <c r="W122" i="33"/>
  <c r="V122" i="33"/>
  <c r="U122" i="33"/>
  <c r="T122" i="33"/>
  <c r="S122" i="33"/>
  <c r="R122" i="33"/>
  <c r="Q122" i="33"/>
  <c r="P122" i="33"/>
  <c r="O122" i="33"/>
  <c r="N122" i="33"/>
  <c r="M122" i="33"/>
  <c r="L122" i="33"/>
  <c r="K122" i="33"/>
  <c r="J122" i="33"/>
  <c r="I122" i="33"/>
  <c r="H122" i="33"/>
  <c r="G122" i="33"/>
  <c r="F122" i="33"/>
  <c r="E122" i="33"/>
  <c r="D122" i="33"/>
  <c r="C122" i="33"/>
  <c r="B122" i="33"/>
  <c r="A122" i="33"/>
  <c r="IV121" i="33"/>
  <c r="IU121" i="33"/>
  <c r="IT121" i="33"/>
  <c r="IS121" i="33"/>
  <c r="IR121" i="33"/>
  <c r="IQ121" i="33"/>
  <c r="IP121" i="33"/>
  <c r="IO121" i="33"/>
  <c r="IN121" i="33"/>
  <c r="IM121" i="33"/>
  <c r="IL121" i="33"/>
  <c r="IK121" i="33"/>
  <c r="IJ121" i="33"/>
  <c r="II121" i="33"/>
  <c r="IH121" i="33"/>
  <c r="IG121" i="33"/>
  <c r="IF121" i="33"/>
  <c r="IE121" i="33"/>
  <c r="ID121" i="33"/>
  <c r="IC121" i="33"/>
  <c r="IB121" i="33"/>
  <c r="IA121" i="33"/>
  <c r="HZ121" i="33"/>
  <c r="HY121" i="33"/>
  <c r="HX121" i="33"/>
  <c r="HW121" i="33"/>
  <c r="HV121" i="33"/>
  <c r="HU121" i="33"/>
  <c r="HT121" i="33"/>
  <c r="HS121" i="33"/>
  <c r="HR121" i="33"/>
  <c r="HQ121" i="33"/>
  <c r="HP121" i="33"/>
  <c r="HO121" i="33"/>
  <c r="HN121" i="33"/>
  <c r="HM121" i="33"/>
  <c r="HL121" i="33"/>
  <c r="HK121" i="33"/>
  <c r="HJ121" i="33"/>
  <c r="HI121" i="33"/>
  <c r="HH121" i="33"/>
  <c r="HG121" i="33"/>
  <c r="HF121" i="33"/>
  <c r="HE121" i="33"/>
  <c r="HD121" i="33"/>
  <c r="HC121" i="33"/>
  <c r="HB121" i="33"/>
  <c r="HA121" i="33"/>
  <c r="GZ121" i="33"/>
  <c r="GY121" i="33"/>
  <c r="GX121" i="33"/>
  <c r="GW121" i="33"/>
  <c r="GV121" i="33"/>
  <c r="GU121" i="33"/>
  <c r="GT121" i="33"/>
  <c r="GS121" i="33"/>
  <c r="GR121" i="33"/>
  <c r="GQ121" i="33"/>
  <c r="GP121" i="33"/>
  <c r="GO121" i="33"/>
  <c r="GN121" i="33"/>
  <c r="GM121" i="33"/>
  <c r="GL121" i="33"/>
  <c r="GK121" i="33"/>
  <c r="GJ121" i="33"/>
  <c r="GI121" i="33"/>
  <c r="GH121" i="33"/>
  <c r="GG121" i="33"/>
  <c r="GF121" i="33"/>
  <c r="GE121" i="33"/>
  <c r="GD121" i="33"/>
  <c r="GC121" i="33"/>
  <c r="GB121" i="33"/>
  <c r="GA121" i="33"/>
  <c r="FZ121" i="33"/>
  <c r="FY121" i="33"/>
  <c r="FX121" i="33"/>
  <c r="FW121" i="33"/>
  <c r="FV121" i="33"/>
  <c r="FU121" i="33"/>
  <c r="FT121" i="33"/>
  <c r="FS121" i="33"/>
  <c r="FR121" i="33"/>
  <c r="FQ121" i="33"/>
  <c r="FP121" i="33"/>
  <c r="FO121" i="33"/>
  <c r="FN121" i="33"/>
  <c r="FM121" i="33"/>
  <c r="FL121" i="33"/>
  <c r="FK121" i="33"/>
  <c r="FJ121" i="33"/>
  <c r="FI121" i="33"/>
  <c r="FH121" i="33"/>
  <c r="FG121" i="33"/>
  <c r="FF121" i="33"/>
  <c r="FE121" i="33"/>
  <c r="FD121" i="33"/>
  <c r="FC121" i="33"/>
  <c r="FB121" i="33"/>
  <c r="FA121" i="33"/>
  <c r="EZ121" i="33"/>
  <c r="EY121" i="33"/>
  <c r="EX121" i="33"/>
  <c r="EW121" i="33"/>
  <c r="EV121" i="33"/>
  <c r="EU121" i="33"/>
  <c r="ET121" i="33"/>
  <c r="ES121" i="33"/>
  <c r="ER121" i="33"/>
  <c r="EQ121" i="33"/>
  <c r="EP121" i="33"/>
  <c r="EO121" i="33"/>
  <c r="EN121" i="33"/>
  <c r="EM121" i="33"/>
  <c r="EL121" i="33"/>
  <c r="EK121" i="33"/>
  <c r="EJ121" i="33"/>
  <c r="EI121" i="33"/>
  <c r="EH121" i="33"/>
  <c r="EG121" i="33"/>
  <c r="EF121" i="33"/>
  <c r="EE121" i="33"/>
  <c r="ED121" i="33"/>
  <c r="EC121" i="33"/>
  <c r="EB121" i="33"/>
  <c r="EA121" i="33"/>
  <c r="DZ121" i="33"/>
  <c r="DY121" i="33"/>
  <c r="DX121" i="33"/>
  <c r="DW121" i="33"/>
  <c r="DV121" i="33"/>
  <c r="DU121" i="33"/>
  <c r="DT121" i="33"/>
  <c r="DS121" i="33"/>
  <c r="DR121" i="33"/>
  <c r="DQ121" i="33"/>
  <c r="DP121" i="33"/>
  <c r="DO121" i="33"/>
  <c r="DN121" i="33"/>
  <c r="DM121" i="33"/>
  <c r="DL121" i="33"/>
  <c r="DK121" i="33"/>
  <c r="DJ121" i="33"/>
  <c r="DI121" i="33"/>
  <c r="DH121" i="33"/>
  <c r="DG121" i="33"/>
  <c r="DF121" i="33"/>
  <c r="DE121" i="33"/>
  <c r="DD121" i="33"/>
  <c r="DC121" i="33"/>
  <c r="DB121" i="33"/>
  <c r="DA121" i="33"/>
  <c r="CZ121" i="33"/>
  <c r="CY121" i="33"/>
  <c r="CX121" i="33"/>
  <c r="CW121" i="33"/>
  <c r="CV121" i="33"/>
  <c r="CU121" i="33"/>
  <c r="CT121" i="33"/>
  <c r="CS121" i="33"/>
  <c r="CR121" i="33"/>
  <c r="CQ121" i="33"/>
  <c r="CP121" i="33"/>
  <c r="CO121" i="33"/>
  <c r="CN121" i="33"/>
  <c r="CM121" i="33"/>
  <c r="CL121" i="33"/>
  <c r="CK121" i="33"/>
  <c r="CJ121" i="33"/>
  <c r="CI121" i="33"/>
  <c r="CH121" i="33"/>
  <c r="CG121" i="33"/>
  <c r="CF121" i="33"/>
  <c r="CE121" i="33"/>
  <c r="CD121" i="33"/>
  <c r="CC121" i="33"/>
  <c r="CB121" i="33"/>
  <c r="CA121" i="33"/>
  <c r="BZ121" i="33"/>
  <c r="BY121" i="33"/>
  <c r="BX121" i="33"/>
  <c r="BW121" i="33"/>
  <c r="BV121" i="33"/>
  <c r="BU121" i="33"/>
  <c r="BT121" i="33"/>
  <c r="BS121" i="33"/>
  <c r="BR121" i="33"/>
  <c r="BQ121" i="33"/>
  <c r="BP121" i="33"/>
  <c r="BO121" i="33"/>
  <c r="BN121" i="33"/>
  <c r="BM121" i="33"/>
  <c r="BL121" i="33"/>
  <c r="BK121" i="33"/>
  <c r="BJ121" i="33"/>
  <c r="BI121" i="33"/>
  <c r="BH121" i="33"/>
  <c r="BG121" i="33"/>
  <c r="BF121" i="33"/>
  <c r="BE121" i="33"/>
  <c r="BD121" i="33"/>
  <c r="BC121" i="33"/>
  <c r="BB121" i="33"/>
  <c r="BA121" i="33"/>
  <c r="AZ121" i="33"/>
  <c r="AY121" i="33"/>
  <c r="AX121" i="33"/>
  <c r="AW121" i="33"/>
  <c r="AV121" i="33"/>
  <c r="AU121" i="33"/>
  <c r="AT121" i="33"/>
  <c r="AS121" i="33"/>
  <c r="AR121" i="33"/>
  <c r="AQ121" i="33"/>
  <c r="AP121" i="33"/>
  <c r="AO121" i="33"/>
  <c r="AN121" i="33"/>
  <c r="AM121" i="33"/>
  <c r="AL121" i="33"/>
  <c r="AK121" i="33"/>
  <c r="AJ121" i="33"/>
  <c r="AI121" i="33"/>
  <c r="AH121" i="33"/>
  <c r="AG121" i="33"/>
  <c r="AF121" i="33"/>
  <c r="AE121" i="33"/>
  <c r="AD121" i="33"/>
  <c r="AC121" i="33"/>
  <c r="AB121" i="33"/>
  <c r="AA121" i="33"/>
  <c r="Z121" i="33"/>
  <c r="Y121" i="33"/>
  <c r="X121" i="33"/>
  <c r="W121" i="33"/>
  <c r="V121" i="33"/>
  <c r="U121" i="33"/>
  <c r="T121" i="33"/>
  <c r="S121" i="33"/>
  <c r="R121" i="33"/>
  <c r="Q121" i="33"/>
  <c r="P121" i="33"/>
  <c r="O121" i="33"/>
  <c r="N121" i="33"/>
  <c r="M121" i="33"/>
  <c r="L121" i="33"/>
  <c r="K121" i="33"/>
  <c r="J121" i="33"/>
  <c r="I121" i="33"/>
  <c r="H121" i="33"/>
  <c r="G121" i="33"/>
  <c r="F121" i="33"/>
  <c r="E121" i="33"/>
  <c r="D121" i="33"/>
  <c r="C121" i="33"/>
  <c r="B121" i="33"/>
  <c r="A121" i="33"/>
  <c r="IV120" i="33"/>
  <c r="IU120" i="33"/>
  <c r="IT120" i="33"/>
  <c r="IS120" i="33"/>
  <c r="IR120" i="33"/>
  <c r="IQ120" i="33"/>
  <c r="IP120" i="33"/>
  <c r="IO120" i="33"/>
  <c r="IN120" i="33"/>
  <c r="IM120" i="33"/>
  <c r="IL120" i="33"/>
  <c r="IK120" i="33"/>
  <c r="IJ120" i="33"/>
  <c r="II120" i="33"/>
  <c r="IH120" i="33"/>
  <c r="IG120" i="33"/>
  <c r="IF120" i="33"/>
  <c r="IE120" i="33"/>
  <c r="ID120" i="33"/>
  <c r="IC120" i="33"/>
  <c r="IB120" i="33"/>
  <c r="IA120" i="33"/>
  <c r="HZ120" i="33"/>
  <c r="HY120" i="33"/>
  <c r="HX120" i="33"/>
  <c r="HW120" i="33"/>
  <c r="HV120" i="33"/>
  <c r="HU120" i="33"/>
  <c r="HT120" i="33"/>
  <c r="HS120" i="33"/>
  <c r="HR120" i="33"/>
  <c r="HQ120" i="33"/>
  <c r="HP120" i="33"/>
  <c r="HO120" i="33"/>
  <c r="HN120" i="33"/>
  <c r="HM120" i="33"/>
  <c r="HL120" i="33"/>
  <c r="HK120" i="33"/>
  <c r="HJ120" i="33"/>
  <c r="HI120" i="33"/>
  <c r="HH120" i="33"/>
  <c r="HG120" i="33"/>
  <c r="HF120" i="33"/>
  <c r="HE120" i="33"/>
  <c r="HD120" i="33"/>
  <c r="HC120" i="33"/>
  <c r="HB120" i="33"/>
  <c r="HA120" i="33"/>
  <c r="GZ120" i="33"/>
  <c r="GY120" i="33"/>
  <c r="GX120" i="33"/>
  <c r="GW120" i="33"/>
  <c r="GV120" i="33"/>
  <c r="GU120" i="33"/>
  <c r="GT120" i="33"/>
  <c r="GS120" i="33"/>
  <c r="GR120" i="33"/>
  <c r="GQ120" i="33"/>
  <c r="GP120" i="33"/>
  <c r="GO120" i="33"/>
  <c r="GN120" i="33"/>
  <c r="GM120" i="33"/>
  <c r="GL120" i="33"/>
  <c r="GK120" i="33"/>
  <c r="GJ120" i="33"/>
  <c r="GI120" i="33"/>
  <c r="GH120" i="33"/>
  <c r="GG120" i="33"/>
  <c r="GF120" i="33"/>
  <c r="GE120" i="33"/>
  <c r="GD120" i="33"/>
  <c r="GC120" i="33"/>
  <c r="GB120" i="33"/>
  <c r="GA120" i="33"/>
  <c r="FZ120" i="33"/>
  <c r="FY120" i="33"/>
  <c r="FX120" i="33"/>
  <c r="FW120" i="33"/>
  <c r="FV120" i="33"/>
  <c r="FU120" i="33"/>
  <c r="FT120" i="33"/>
  <c r="FS120" i="33"/>
  <c r="FR120" i="33"/>
  <c r="FQ120" i="33"/>
  <c r="FP120" i="33"/>
  <c r="FO120" i="33"/>
  <c r="FN120" i="33"/>
  <c r="FM120" i="33"/>
  <c r="FL120" i="33"/>
  <c r="FK120" i="33"/>
  <c r="FJ120" i="33"/>
  <c r="FI120" i="33"/>
  <c r="FH120" i="33"/>
  <c r="FG120" i="33"/>
  <c r="FF120" i="33"/>
  <c r="FE120" i="33"/>
  <c r="FD120" i="33"/>
  <c r="FC120" i="33"/>
  <c r="FB120" i="33"/>
  <c r="FA120" i="33"/>
  <c r="EZ120" i="33"/>
  <c r="EY120" i="33"/>
  <c r="EX120" i="33"/>
  <c r="EW120" i="33"/>
  <c r="EV120" i="33"/>
  <c r="EU120" i="33"/>
  <c r="ET120" i="33"/>
  <c r="ES120" i="33"/>
  <c r="ER120" i="33"/>
  <c r="EQ120" i="33"/>
  <c r="EP120" i="33"/>
  <c r="EO120" i="33"/>
  <c r="EN120" i="33"/>
  <c r="EM120" i="33"/>
  <c r="EL120" i="33"/>
  <c r="EK120" i="33"/>
  <c r="EJ120" i="33"/>
  <c r="EI120" i="33"/>
  <c r="EH120" i="33"/>
  <c r="EG120" i="33"/>
  <c r="EF120" i="33"/>
  <c r="EE120" i="33"/>
  <c r="ED120" i="33"/>
  <c r="EC120" i="33"/>
  <c r="EB120" i="33"/>
  <c r="EA120" i="33"/>
  <c r="DZ120" i="33"/>
  <c r="DY120" i="33"/>
  <c r="DX120" i="33"/>
  <c r="DW120" i="33"/>
  <c r="DV120" i="33"/>
  <c r="DU120" i="33"/>
  <c r="DT120" i="33"/>
  <c r="DS120" i="33"/>
  <c r="DR120" i="33"/>
  <c r="DQ120" i="33"/>
  <c r="DP120" i="33"/>
  <c r="DO120" i="33"/>
  <c r="DN120" i="33"/>
  <c r="DM120" i="33"/>
  <c r="DL120" i="33"/>
  <c r="DK120" i="33"/>
  <c r="DJ120" i="33"/>
  <c r="DI120" i="33"/>
  <c r="DH120" i="33"/>
  <c r="DG120" i="33"/>
  <c r="DF120" i="33"/>
  <c r="DE120" i="33"/>
  <c r="DD120" i="33"/>
  <c r="DC120" i="33"/>
  <c r="DB120" i="33"/>
  <c r="DA120" i="33"/>
  <c r="CZ120" i="33"/>
  <c r="CY120" i="33"/>
  <c r="CX120" i="33"/>
  <c r="CW120" i="33"/>
  <c r="CV120" i="33"/>
  <c r="CU120" i="33"/>
  <c r="CT120" i="33"/>
  <c r="CS120" i="33"/>
  <c r="CR120" i="33"/>
  <c r="CQ120" i="33"/>
  <c r="CP120" i="33"/>
  <c r="CO120" i="33"/>
  <c r="CN120" i="33"/>
  <c r="CM120" i="33"/>
  <c r="CL120" i="33"/>
  <c r="CK120" i="33"/>
  <c r="CJ120" i="33"/>
  <c r="CI120" i="33"/>
  <c r="CH120" i="33"/>
  <c r="CG120" i="33"/>
  <c r="CF120" i="33"/>
  <c r="CE120" i="33"/>
  <c r="CD120" i="33"/>
  <c r="CC120" i="33"/>
  <c r="CB120" i="33"/>
  <c r="CA120" i="33"/>
  <c r="BZ120" i="33"/>
  <c r="BY120" i="33"/>
  <c r="BX120" i="33"/>
  <c r="BW120" i="33"/>
  <c r="BV120" i="33"/>
  <c r="BU120" i="33"/>
  <c r="BT120" i="33"/>
  <c r="BS120" i="33"/>
  <c r="BR120" i="33"/>
  <c r="BQ120" i="33"/>
  <c r="BP120" i="33"/>
  <c r="BO120" i="33"/>
  <c r="BN120" i="33"/>
  <c r="BM120" i="33"/>
  <c r="BL120" i="33"/>
  <c r="BK120" i="33"/>
  <c r="BJ120" i="33"/>
  <c r="BI120" i="33"/>
  <c r="BH120" i="33"/>
  <c r="BG120" i="33"/>
  <c r="BF120" i="33"/>
  <c r="BE120" i="33"/>
  <c r="BD120" i="33"/>
  <c r="BC120" i="33"/>
  <c r="BB120" i="33"/>
  <c r="BA120" i="33"/>
  <c r="AZ120" i="33"/>
  <c r="AY120" i="33"/>
  <c r="AX120" i="33"/>
  <c r="AW120" i="33"/>
  <c r="AV120" i="33"/>
  <c r="AU120" i="33"/>
  <c r="AT120" i="33"/>
  <c r="AS120" i="33"/>
  <c r="AR120" i="33"/>
  <c r="AQ120" i="33"/>
  <c r="AP120" i="33"/>
  <c r="AO120" i="33"/>
  <c r="AN120" i="33"/>
  <c r="AM120" i="33"/>
  <c r="AL120" i="33"/>
  <c r="AK120" i="33"/>
  <c r="AJ120" i="33"/>
  <c r="AI120" i="33"/>
  <c r="AH120" i="33"/>
  <c r="AG120" i="33"/>
  <c r="AF120" i="33"/>
  <c r="AE120" i="33"/>
  <c r="AD120" i="33"/>
  <c r="AC120" i="33"/>
  <c r="AB120" i="33"/>
  <c r="AA120" i="33"/>
  <c r="Z120" i="33"/>
  <c r="Y120" i="33"/>
  <c r="X120" i="33"/>
  <c r="W120" i="33"/>
  <c r="V120" i="33"/>
  <c r="U120" i="33"/>
  <c r="T120" i="33"/>
  <c r="S120" i="33"/>
  <c r="R120" i="33"/>
  <c r="Q120" i="33"/>
  <c r="P120" i="33"/>
  <c r="O120" i="33"/>
  <c r="N120" i="33"/>
  <c r="M120" i="33"/>
  <c r="L120" i="33"/>
  <c r="K120" i="33"/>
  <c r="J120" i="33"/>
  <c r="I120" i="33"/>
  <c r="H120" i="33"/>
  <c r="G120" i="33"/>
  <c r="F120" i="33"/>
  <c r="E120" i="33"/>
  <c r="D120" i="33"/>
  <c r="C120" i="33"/>
  <c r="B120" i="33"/>
  <c r="A120" i="33"/>
  <c r="IV119" i="33"/>
  <c r="IU119" i="33"/>
  <c r="IT119" i="33"/>
  <c r="IS119" i="33"/>
  <c r="IR119" i="33"/>
  <c r="IQ119" i="33"/>
  <c r="IP119" i="33"/>
  <c r="IO119" i="33"/>
  <c r="IN119" i="33"/>
  <c r="IM119" i="33"/>
  <c r="IL119" i="33"/>
  <c r="IK119" i="33"/>
  <c r="IJ119" i="33"/>
  <c r="II119" i="33"/>
  <c r="IH119" i="33"/>
  <c r="IG119" i="33"/>
  <c r="IF119" i="33"/>
  <c r="IE119" i="33"/>
  <c r="ID119" i="33"/>
  <c r="IC119" i="33"/>
  <c r="IB119" i="33"/>
  <c r="IA119" i="33"/>
  <c r="HZ119" i="33"/>
  <c r="HY119" i="33"/>
  <c r="HX119" i="33"/>
  <c r="HW119" i="33"/>
  <c r="HV119" i="33"/>
  <c r="HU119" i="33"/>
  <c r="HT119" i="33"/>
  <c r="HS119" i="33"/>
  <c r="HR119" i="33"/>
  <c r="HQ119" i="33"/>
  <c r="HP119" i="33"/>
  <c r="HO119" i="33"/>
  <c r="HN119" i="33"/>
  <c r="HM119" i="33"/>
  <c r="HL119" i="33"/>
  <c r="HK119" i="33"/>
  <c r="HJ119" i="33"/>
  <c r="HI119" i="33"/>
  <c r="HH119" i="33"/>
  <c r="HG119" i="33"/>
  <c r="HF119" i="33"/>
  <c r="HE119" i="33"/>
  <c r="HD119" i="33"/>
  <c r="HC119" i="33"/>
  <c r="HB119" i="33"/>
  <c r="HA119" i="33"/>
  <c r="GZ119" i="33"/>
  <c r="GY119" i="33"/>
  <c r="GX119" i="33"/>
  <c r="GW119" i="33"/>
  <c r="GV119" i="33"/>
  <c r="GU119" i="33"/>
  <c r="GT119" i="33"/>
  <c r="GS119" i="33"/>
  <c r="GR119" i="33"/>
  <c r="GQ119" i="33"/>
  <c r="GP119" i="33"/>
  <c r="GO119" i="33"/>
  <c r="GN119" i="33"/>
  <c r="GM119" i="33"/>
  <c r="GL119" i="33"/>
  <c r="GK119" i="33"/>
  <c r="GJ119" i="33"/>
  <c r="GI119" i="33"/>
  <c r="GH119" i="33"/>
  <c r="GG119" i="33"/>
  <c r="GF119" i="33"/>
  <c r="GE119" i="33"/>
  <c r="GD119" i="33"/>
  <c r="GC119" i="33"/>
  <c r="GB119" i="33"/>
  <c r="GA119" i="33"/>
  <c r="FZ119" i="33"/>
  <c r="FY119" i="33"/>
  <c r="FX119" i="33"/>
  <c r="FW119" i="33"/>
  <c r="FV119" i="33"/>
  <c r="FU119" i="33"/>
  <c r="FT119" i="33"/>
  <c r="FS119" i="33"/>
  <c r="FR119" i="33"/>
  <c r="FQ119" i="33"/>
  <c r="FP119" i="33"/>
  <c r="FO119" i="33"/>
  <c r="FN119" i="33"/>
  <c r="FM119" i="33"/>
  <c r="FL119" i="33"/>
  <c r="FK119" i="33"/>
  <c r="FJ119" i="33"/>
  <c r="FI119" i="33"/>
  <c r="FH119" i="33"/>
  <c r="FG119" i="33"/>
  <c r="FF119" i="33"/>
  <c r="FE119" i="33"/>
  <c r="FD119" i="33"/>
  <c r="FC119" i="33"/>
  <c r="FB119" i="33"/>
  <c r="FA119" i="33"/>
  <c r="EZ119" i="33"/>
  <c r="EY119" i="33"/>
  <c r="EX119" i="33"/>
  <c r="EW119" i="33"/>
  <c r="EV119" i="33"/>
  <c r="EU119" i="33"/>
  <c r="ET119" i="33"/>
  <c r="ES119" i="33"/>
  <c r="ER119" i="33"/>
  <c r="EQ119" i="33"/>
  <c r="EP119" i="33"/>
  <c r="EO119" i="33"/>
  <c r="EN119" i="33"/>
  <c r="EM119" i="33"/>
  <c r="EL119" i="33"/>
  <c r="EK119" i="33"/>
  <c r="EJ119" i="33"/>
  <c r="EI119" i="33"/>
  <c r="EH119" i="33"/>
  <c r="EG119" i="33"/>
  <c r="EF119" i="33"/>
  <c r="EE119" i="33"/>
  <c r="ED119" i="33"/>
  <c r="EC119" i="33"/>
  <c r="EB119" i="33"/>
  <c r="EA119" i="33"/>
  <c r="DZ119" i="33"/>
  <c r="DY119" i="33"/>
  <c r="DX119" i="33"/>
  <c r="DW119" i="33"/>
  <c r="DV119" i="33"/>
  <c r="DU119" i="33"/>
  <c r="DT119" i="33"/>
  <c r="DS119" i="33"/>
  <c r="DR119" i="33"/>
  <c r="DQ119" i="33"/>
  <c r="DP119" i="33"/>
  <c r="DO119" i="33"/>
  <c r="DN119" i="33"/>
  <c r="DM119" i="33"/>
  <c r="DL119" i="33"/>
  <c r="DK119" i="33"/>
  <c r="DJ119" i="33"/>
  <c r="DI119" i="33"/>
  <c r="DH119" i="33"/>
  <c r="DG119" i="33"/>
  <c r="DF119" i="33"/>
  <c r="DE119" i="33"/>
  <c r="DD119" i="33"/>
  <c r="DC119" i="33"/>
  <c r="DB119" i="33"/>
  <c r="DA119" i="33"/>
  <c r="CZ119" i="33"/>
  <c r="CY119" i="33"/>
  <c r="CX119" i="33"/>
  <c r="CW119" i="33"/>
  <c r="CV119" i="33"/>
  <c r="CU119" i="33"/>
  <c r="CT119" i="33"/>
  <c r="CS119" i="33"/>
  <c r="CR119" i="33"/>
  <c r="CQ119" i="33"/>
  <c r="CP119" i="33"/>
  <c r="CO119" i="33"/>
  <c r="CN119" i="33"/>
  <c r="CM119" i="33"/>
  <c r="CL119" i="33"/>
  <c r="CK119" i="33"/>
  <c r="CJ119" i="33"/>
  <c r="CI119" i="33"/>
  <c r="CH119" i="33"/>
  <c r="CG119" i="33"/>
  <c r="CF119" i="33"/>
  <c r="CE119" i="33"/>
  <c r="CD119" i="33"/>
  <c r="CC119" i="33"/>
  <c r="CB119" i="33"/>
  <c r="CA119" i="33"/>
  <c r="BZ119" i="33"/>
  <c r="BY119" i="33"/>
  <c r="BX119" i="33"/>
  <c r="BW119" i="33"/>
  <c r="BV119" i="33"/>
  <c r="BU119" i="33"/>
  <c r="BT119" i="33"/>
  <c r="BS119" i="33"/>
  <c r="BR119" i="33"/>
  <c r="BQ119" i="33"/>
  <c r="BP119" i="33"/>
  <c r="BO119" i="33"/>
  <c r="BN119" i="33"/>
  <c r="BM119" i="33"/>
  <c r="BL119" i="33"/>
  <c r="BK119" i="33"/>
  <c r="BJ119" i="33"/>
  <c r="BI119" i="33"/>
  <c r="BH119" i="33"/>
  <c r="BG119" i="33"/>
  <c r="BF119" i="33"/>
  <c r="BE119" i="33"/>
  <c r="BD119" i="33"/>
  <c r="BC119" i="33"/>
  <c r="BB119" i="33"/>
  <c r="BA119" i="33"/>
  <c r="AZ119" i="33"/>
  <c r="AY119" i="33"/>
  <c r="AX119" i="33"/>
  <c r="AW119" i="33"/>
  <c r="AV119" i="33"/>
  <c r="AU119" i="33"/>
  <c r="AT119" i="33"/>
  <c r="AS119" i="33"/>
  <c r="AR119" i="33"/>
  <c r="AQ119" i="33"/>
  <c r="AP119" i="33"/>
  <c r="AO119" i="33"/>
  <c r="AN119" i="33"/>
  <c r="AM119" i="33"/>
  <c r="AL119" i="33"/>
  <c r="AK119" i="33"/>
  <c r="AJ119" i="33"/>
  <c r="AI119" i="33"/>
  <c r="AH119" i="33"/>
  <c r="AG119" i="33"/>
  <c r="AF119" i="33"/>
  <c r="AE119" i="33"/>
  <c r="AD119" i="33"/>
  <c r="AC119" i="33"/>
  <c r="AB119" i="33"/>
  <c r="AA119" i="33"/>
  <c r="Z119" i="33"/>
  <c r="Y119" i="33"/>
  <c r="X119" i="33"/>
  <c r="W119" i="33"/>
  <c r="V119" i="33"/>
  <c r="U119" i="33"/>
  <c r="T119" i="33"/>
  <c r="S119" i="33"/>
  <c r="R119" i="33"/>
  <c r="Q119" i="33"/>
  <c r="P119" i="33"/>
  <c r="O119" i="33"/>
  <c r="N119" i="33"/>
  <c r="M119" i="33"/>
  <c r="L119" i="33"/>
  <c r="K119" i="33"/>
  <c r="J119" i="33"/>
  <c r="I119" i="33"/>
  <c r="H119" i="33"/>
  <c r="G119" i="33"/>
  <c r="F119" i="33"/>
  <c r="E119" i="33"/>
  <c r="D119" i="33"/>
  <c r="C119" i="33"/>
  <c r="B119" i="33"/>
  <c r="A119" i="33"/>
  <c r="IV118" i="33"/>
  <c r="IU118" i="33"/>
  <c r="IT118" i="33"/>
  <c r="IS118" i="33"/>
  <c r="IR118" i="33"/>
  <c r="IQ118" i="33"/>
  <c r="IP118" i="33"/>
  <c r="IO118" i="33"/>
  <c r="IN118" i="33"/>
  <c r="IM118" i="33"/>
  <c r="IL118" i="33"/>
  <c r="IK118" i="33"/>
  <c r="IJ118" i="33"/>
  <c r="II118" i="33"/>
  <c r="IH118" i="33"/>
  <c r="IG118" i="33"/>
  <c r="IF118" i="33"/>
  <c r="IE118" i="33"/>
  <c r="ID118" i="33"/>
  <c r="IC118" i="33"/>
  <c r="IB118" i="33"/>
  <c r="IA118" i="33"/>
  <c r="HZ118" i="33"/>
  <c r="HY118" i="33"/>
  <c r="HX118" i="33"/>
  <c r="HW118" i="33"/>
  <c r="HV118" i="33"/>
  <c r="HU118" i="33"/>
  <c r="HT118" i="33"/>
  <c r="HS118" i="33"/>
  <c r="HR118" i="33"/>
  <c r="HQ118" i="33"/>
  <c r="HP118" i="33"/>
  <c r="HO118" i="33"/>
  <c r="HN118" i="33"/>
  <c r="HM118" i="33"/>
  <c r="HL118" i="33"/>
  <c r="HK118" i="33"/>
  <c r="HJ118" i="33"/>
  <c r="HI118" i="33"/>
  <c r="HH118" i="33"/>
  <c r="HG118" i="33"/>
  <c r="HF118" i="33"/>
  <c r="HE118" i="33"/>
  <c r="HD118" i="33"/>
  <c r="HC118" i="33"/>
  <c r="HB118" i="33"/>
  <c r="HA118" i="33"/>
  <c r="GZ118" i="33"/>
  <c r="GY118" i="33"/>
  <c r="GX118" i="33"/>
  <c r="GW118" i="33"/>
  <c r="GV118" i="33"/>
  <c r="GU118" i="33"/>
  <c r="GT118" i="33"/>
  <c r="GS118" i="33"/>
  <c r="GR118" i="33"/>
  <c r="GQ118" i="33"/>
  <c r="GP118" i="33"/>
  <c r="GO118" i="33"/>
  <c r="GN118" i="33"/>
  <c r="GM118" i="33"/>
  <c r="GL118" i="33"/>
  <c r="GK118" i="33"/>
  <c r="GJ118" i="33"/>
  <c r="GI118" i="33"/>
  <c r="GH118" i="33"/>
  <c r="GG118" i="33"/>
  <c r="GF118" i="33"/>
  <c r="GE118" i="33"/>
  <c r="GD118" i="33"/>
  <c r="GC118" i="33"/>
  <c r="GB118" i="33"/>
  <c r="GA118" i="33"/>
  <c r="FZ118" i="33"/>
  <c r="FY118" i="33"/>
  <c r="FX118" i="33"/>
  <c r="FW118" i="33"/>
  <c r="FV118" i="33"/>
  <c r="FU118" i="33"/>
  <c r="FT118" i="33"/>
  <c r="FS118" i="33"/>
  <c r="FR118" i="33"/>
  <c r="FQ118" i="33"/>
  <c r="FP118" i="33"/>
  <c r="FO118" i="33"/>
  <c r="FN118" i="33"/>
  <c r="FM118" i="33"/>
  <c r="FL118" i="33"/>
  <c r="FK118" i="33"/>
  <c r="FJ118" i="33"/>
  <c r="FI118" i="33"/>
  <c r="FH118" i="33"/>
  <c r="FG118" i="33"/>
  <c r="FF118" i="33"/>
  <c r="FE118" i="33"/>
  <c r="FD118" i="33"/>
  <c r="FC118" i="33"/>
  <c r="FB118" i="33"/>
  <c r="FA118" i="33"/>
  <c r="EZ118" i="33"/>
  <c r="EY118" i="33"/>
  <c r="EX118" i="33"/>
  <c r="EW118" i="33"/>
  <c r="EV118" i="33"/>
  <c r="EU118" i="33"/>
  <c r="ET118" i="33"/>
  <c r="ES118" i="33"/>
  <c r="ER118" i="33"/>
  <c r="EQ118" i="33"/>
  <c r="EP118" i="33"/>
  <c r="EO118" i="33"/>
  <c r="EN118" i="33"/>
  <c r="EM118" i="33"/>
  <c r="EL118" i="33"/>
  <c r="EK118" i="33"/>
  <c r="EJ118" i="33"/>
  <c r="EI118" i="33"/>
  <c r="EH118" i="33"/>
  <c r="EG118" i="33"/>
  <c r="EF118" i="33"/>
  <c r="EE118" i="33"/>
  <c r="ED118" i="33"/>
  <c r="EC118" i="33"/>
  <c r="EB118" i="33"/>
  <c r="EA118" i="33"/>
  <c r="DZ118" i="33"/>
  <c r="DY118" i="33"/>
  <c r="DX118" i="33"/>
  <c r="DW118" i="33"/>
  <c r="DV118" i="33"/>
  <c r="DU118" i="33"/>
  <c r="DT118" i="33"/>
  <c r="DS118" i="33"/>
  <c r="DR118" i="33"/>
  <c r="DQ118" i="33"/>
  <c r="DP118" i="33"/>
  <c r="DO118" i="33"/>
  <c r="DN118" i="33"/>
  <c r="DM118" i="33"/>
  <c r="DL118" i="33"/>
  <c r="DK118" i="33"/>
  <c r="DJ118" i="33"/>
  <c r="DI118" i="33"/>
  <c r="DH118" i="33"/>
  <c r="DG118" i="33"/>
  <c r="DF118" i="33"/>
  <c r="DE118" i="33"/>
  <c r="DD118" i="33"/>
  <c r="DC118" i="33"/>
  <c r="DB118" i="33"/>
  <c r="DA118" i="33"/>
  <c r="CZ118" i="33"/>
  <c r="CY118" i="33"/>
  <c r="CX118" i="33"/>
  <c r="CW118" i="33"/>
  <c r="CV118" i="33"/>
  <c r="CU118" i="33"/>
  <c r="CT118" i="33"/>
  <c r="CS118" i="33"/>
  <c r="CR118" i="33"/>
  <c r="CQ118" i="33"/>
  <c r="CP118" i="33"/>
  <c r="CO118" i="33"/>
  <c r="CN118" i="33"/>
  <c r="CM118" i="33"/>
  <c r="CL118" i="33"/>
  <c r="CK118" i="33"/>
  <c r="CJ118" i="33"/>
  <c r="CI118" i="33"/>
  <c r="CH118" i="33"/>
  <c r="CG118" i="33"/>
  <c r="CF118" i="33"/>
  <c r="CE118" i="33"/>
  <c r="CD118" i="33"/>
  <c r="CC118" i="33"/>
  <c r="CB118" i="33"/>
  <c r="CA118" i="33"/>
  <c r="BZ118" i="33"/>
  <c r="BY118" i="33"/>
  <c r="BX118" i="33"/>
  <c r="BW118" i="33"/>
  <c r="BV118" i="33"/>
  <c r="BU118" i="33"/>
  <c r="BT118" i="33"/>
  <c r="BS118" i="33"/>
  <c r="BR118" i="33"/>
  <c r="BQ118" i="33"/>
  <c r="BP118" i="33"/>
  <c r="BO118" i="33"/>
  <c r="BN118" i="33"/>
  <c r="BM118" i="33"/>
  <c r="BL118" i="33"/>
  <c r="BK118" i="33"/>
  <c r="BJ118" i="33"/>
  <c r="BI118" i="33"/>
  <c r="BH118" i="33"/>
  <c r="BG118" i="33"/>
  <c r="BF118" i="33"/>
  <c r="BE118" i="33"/>
  <c r="BD118" i="33"/>
  <c r="BC118" i="33"/>
  <c r="BB118" i="33"/>
  <c r="BA118" i="33"/>
  <c r="AZ118" i="33"/>
  <c r="AY118" i="33"/>
  <c r="AX118" i="33"/>
  <c r="AW118" i="33"/>
  <c r="AV118" i="33"/>
  <c r="AU118" i="33"/>
  <c r="AT118" i="33"/>
  <c r="AS118" i="33"/>
  <c r="AR118" i="33"/>
  <c r="AQ118" i="33"/>
  <c r="AP118" i="33"/>
  <c r="AO118" i="33"/>
  <c r="AN118" i="33"/>
  <c r="AM118" i="33"/>
  <c r="AL118" i="33"/>
  <c r="AK118" i="33"/>
  <c r="AJ118" i="33"/>
  <c r="AI118" i="33"/>
  <c r="AH118" i="33"/>
  <c r="AG118" i="33"/>
  <c r="AF118" i="33"/>
  <c r="AE118" i="33"/>
  <c r="AD118" i="33"/>
  <c r="AC118" i="33"/>
  <c r="AB118" i="33"/>
  <c r="AA118" i="33"/>
  <c r="Z118" i="33"/>
  <c r="Y118" i="33"/>
  <c r="X118" i="33"/>
  <c r="W118" i="33"/>
  <c r="V118" i="33"/>
  <c r="U118" i="33"/>
  <c r="T118" i="33"/>
  <c r="S118" i="33"/>
  <c r="R118" i="33"/>
  <c r="Q118" i="33"/>
  <c r="P118" i="33"/>
  <c r="O118" i="33"/>
  <c r="N118" i="33"/>
  <c r="M118" i="33"/>
  <c r="L118" i="33"/>
  <c r="K118" i="33"/>
  <c r="J118" i="33"/>
  <c r="I118" i="33"/>
  <c r="H118" i="33"/>
  <c r="G118" i="33"/>
  <c r="F118" i="33"/>
  <c r="E118" i="33"/>
  <c r="D118" i="33"/>
  <c r="C118" i="33"/>
  <c r="B118" i="33"/>
  <c r="A118" i="33"/>
  <c r="IV117" i="33"/>
  <c r="IU117" i="33"/>
  <c r="IT117" i="33"/>
  <c r="IS117" i="33"/>
  <c r="IR117" i="33"/>
  <c r="IQ117" i="33"/>
  <c r="IP117" i="33"/>
  <c r="IO117" i="33"/>
  <c r="IN117" i="33"/>
  <c r="IM117" i="33"/>
  <c r="IL117" i="33"/>
  <c r="IK117" i="33"/>
  <c r="IJ117" i="33"/>
  <c r="II117" i="33"/>
  <c r="IH117" i="33"/>
  <c r="IG117" i="33"/>
  <c r="IF117" i="33"/>
  <c r="IE117" i="33"/>
  <c r="ID117" i="33"/>
  <c r="IC117" i="33"/>
  <c r="IB117" i="33"/>
  <c r="IA117" i="33"/>
  <c r="HZ117" i="33"/>
  <c r="HY117" i="33"/>
  <c r="HX117" i="33"/>
  <c r="HW117" i="33"/>
  <c r="HV117" i="33"/>
  <c r="HU117" i="33"/>
  <c r="HT117" i="33"/>
  <c r="HS117" i="33"/>
  <c r="HR117" i="33"/>
  <c r="HQ117" i="33"/>
  <c r="HP117" i="33"/>
  <c r="HO117" i="33"/>
  <c r="HN117" i="33"/>
  <c r="HM117" i="33"/>
  <c r="HL117" i="33"/>
  <c r="HK117" i="33"/>
  <c r="HJ117" i="33"/>
  <c r="HI117" i="33"/>
  <c r="HH117" i="33"/>
  <c r="HG117" i="33"/>
  <c r="HF117" i="33"/>
  <c r="HE117" i="33"/>
  <c r="HD117" i="33"/>
  <c r="HC117" i="33"/>
  <c r="HB117" i="33"/>
  <c r="HA117" i="33"/>
  <c r="GZ117" i="33"/>
  <c r="GY117" i="33"/>
  <c r="GX117" i="33"/>
  <c r="GW117" i="33"/>
  <c r="GV117" i="33"/>
  <c r="GU117" i="33"/>
  <c r="GT117" i="33"/>
  <c r="GS117" i="33"/>
  <c r="GR117" i="33"/>
  <c r="GQ117" i="33"/>
  <c r="GP117" i="33"/>
  <c r="GO117" i="33"/>
  <c r="GN117" i="33"/>
  <c r="GM117" i="33"/>
  <c r="GL117" i="33"/>
  <c r="GK117" i="33"/>
  <c r="GJ117" i="33"/>
  <c r="GI117" i="33"/>
  <c r="GH117" i="33"/>
  <c r="GG117" i="33"/>
  <c r="GF117" i="33"/>
  <c r="GE117" i="33"/>
  <c r="GD117" i="33"/>
  <c r="GC117" i="33"/>
  <c r="GB117" i="33"/>
  <c r="GA117" i="33"/>
  <c r="FZ117" i="33"/>
  <c r="FY117" i="33"/>
  <c r="FX117" i="33"/>
  <c r="FW117" i="33"/>
  <c r="FV117" i="33"/>
  <c r="FU117" i="33"/>
  <c r="FT117" i="33"/>
  <c r="FS117" i="33"/>
  <c r="FR117" i="33"/>
  <c r="FQ117" i="33"/>
  <c r="FP117" i="33"/>
  <c r="FO117" i="33"/>
  <c r="FN117" i="33"/>
  <c r="FM117" i="33"/>
  <c r="FL117" i="33"/>
  <c r="FK117" i="33"/>
  <c r="FJ117" i="33"/>
  <c r="FI117" i="33"/>
  <c r="FH117" i="33"/>
  <c r="FG117" i="33"/>
  <c r="FF117" i="33"/>
  <c r="FE117" i="33"/>
  <c r="FD117" i="33"/>
  <c r="FC117" i="33"/>
  <c r="FB117" i="33"/>
  <c r="FA117" i="33"/>
  <c r="EZ117" i="33"/>
  <c r="EY117" i="33"/>
  <c r="EX117" i="33"/>
  <c r="EW117" i="33"/>
  <c r="EV117" i="33"/>
  <c r="EU117" i="33"/>
  <c r="ET117" i="33"/>
  <c r="ES117" i="33"/>
  <c r="ER117" i="33"/>
  <c r="EQ117" i="33"/>
  <c r="EP117" i="33"/>
  <c r="EO117" i="33"/>
  <c r="EN117" i="33"/>
  <c r="EM117" i="33"/>
  <c r="EL117" i="33"/>
  <c r="EK117" i="33"/>
  <c r="EJ117" i="33"/>
  <c r="EI117" i="33"/>
  <c r="EH117" i="33"/>
  <c r="EG117" i="33"/>
  <c r="EF117" i="33"/>
  <c r="EE117" i="33"/>
  <c r="ED117" i="33"/>
  <c r="EC117" i="33"/>
  <c r="EB117" i="33"/>
  <c r="EA117" i="33"/>
  <c r="DZ117" i="33"/>
  <c r="DY117" i="33"/>
  <c r="DX117" i="33"/>
  <c r="DW117" i="33"/>
  <c r="DV117" i="33"/>
  <c r="DU117" i="33"/>
  <c r="DT117" i="33"/>
  <c r="DS117" i="33"/>
  <c r="DR117" i="33"/>
  <c r="DQ117" i="33"/>
  <c r="DP117" i="33"/>
  <c r="DO117" i="33"/>
  <c r="DN117" i="33"/>
  <c r="DM117" i="33"/>
  <c r="DL117" i="33"/>
  <c r="DK117" i="33"/>
  <c r="DJ117" i="33"/>
  <c r="DI117" i="33"/>
  <c r="DH117" i="33"/>
  <c r="DG117" i="33"/>
  <c r="DF117" i="33"/>
  <c r="DE117" i="33"/>
  <c r="DD117" i="33"/>
  <c r="DC117" i="33"/>
  <c r="DB117" i="33"/>
  <c r="DA117" i="33"/>
  <c r="CZ117" i="33"/>
  <c r="CY117" i="33"/>
  <c r="CX117" i="33"/>
  <c r="CW117" i="33"/>
  <c r="CV117" i="33"/>
  <c r="CU117" i="33"/>
  <c r="CT117" i="33"/>
  <c r="CS117" i="33"/>
  <c r="CR117" i="33"/>
  <c r="CQ117" i="33"/>
  <c r="CP117" i="33"/>
  <c r="CO117" i="33"/>
  <c r="CN117" i="33"/>
  <c r="CM117" i="33"/>
  <c r="CL117" i="33"/>
  <c r="CK117" i="33"/>
  <c r="CJ117" i="33"/>
  <c r="CI117" i="33"/>
  <c r="CH117" i="33"/>
  <c r="CG117" i="33"/>
  <c r="CF117" i="33"/>
  <c r="CE117" i="33"/>
  <c r="CD117" i="33"/>
  <c r="CC117" i="33"/>
  <c r="CB117" i="33"/>
  <c r="CA117" i="33"/>
  <c r="BZ117" i="33"/>
  <c r="BY117" i="33"/>
  <c r="BX117" i="33"/>
  <c r="BW117" i="33"/>
  <c r="BV117" i="33"/>
  <c r="BU117" i="33"/>
  <c r="BT117" i="33"/>
  <c r="BS117" i="33"/>
  <c r="BR117" i="33"/>
  <c r="BQ117" i="33"/>
  <c r="BP117" i="33"/>
  <c r="BO117" i="33"/>
  <c r="BN117" i="33"/>
  <c r="BM117" i="33"/>
  <c r="BL117" i="33"/>
  <c r="BK117" i="33"/>
  <c r="BJ117" i="33"/>
  <c r="BI117" i="33"/>
  <c r="BH117" i="33"/>
  <c r="BG117" i="33"/>
  <c r="BF117" i="33"/>
  <c r="BE117" i="33"/>
  <c r="BD117" i="33"/>
  <c r="BC117" i="33"/>
  <c r="BB117" i="33"/>
  <c r="BA117" i="33"/>
  <c r="AZ117" i="33"/>
  <c r="AY117" i="33"/>
  <c r="AX117" i="33"/>
  <c r="AW117" i="33"/>
  <c r="AV117" i="33"/>
  <c r="AU117" i="33"/>
  <c r="AT117" i="33"/>
  <c r="AS117" i="33"/>
  <c r="AR117" i="33"/>
  <c r="AQ117" i="33"/>
  <c r="AP117" i="33"/>
  <c r="AO117" i="33"/>
  <c r="AN117" i="33"/>
  <c r="AM117" i="33"/>
  <c r="AL117" i="33"/>
  <c r="AK117" i="33"/>
  <c r="AJ117" i="33"/>
  <c r="AI117" i="33"/>
  <c r="AH117" i="33"/>
  <c r="AG117" i="33"/>
  <c r="AF117" i="33"/>
  <c r="AE117" i="33"/>
  <c r="AD117" i="33"/>
  <c r="AC117" i="33"/>
  <c r="AB117" i="33"/>
  <c r="AA117" i="33"/>
  <c r="Z117" i="33"/>
  <c r="Y117" i="33"/>
  <c r="X117" i="33"/>
  <c r="W117" i="33"/>
  <c r="V117" i="33"/>
  <c r="U117" i="33"/>
  <c r="T117" i="33"/>
  <c r="S117" i="33"/>
  <c r="R117" i="33"/>
  <c r="Q117" i="33"/>
  <c r="P117" i="33"/>
  <c r="O117" i="33"/>
  <c r="N117" i="33"/>
  <c r="M117" i="33"/>
  <c r="L117" i="33"/>
  <c r="K117" i="33"/>
  <c r="J117" i="33"/>
  <c r="I117" i="33"/>
  <c r="H117" i="33"/>
  <c r="G117" i="33"/>
  <c r="F117" i="33"/>
  <c r="E117" i="33"/>
  <c r="D117" i="33"/>
  <c r="C117" i="33"/>
  <c r="B117" i="33"/>
  <c r="A117" i="33"/>
  <c r="IV116" i="33"/>
  <c r="IU116" i="33"/>
  <c r="IT116" i="33"/>
  <c r="IS116" i="33"/>
  <c r="IR116" i="33"/>
  <c r="IQ116" i="33"/>
  <c r="IP116" i="33"/>
  <c r="IO116" i="33"/>
  <c r="IN116" i="33"/>
  <c r="IM116" i="33"/>
  <c r="IL116" i="33"/>
  <c r="IK116" i="33"/>
  <c r="IJ116" i="33"/>
  <c r="II116" i="33"/>
  <c r="IH116" i="33"/>
  <c r="IG116" i="33"/>
  <c r="IF116" i="33"/>
  <c r="IE116" i="33"/>
  <c r="ID116" i="33"/>
  <c r="IC116" i="33"/>
  <c r="IB116" i="33"/>
  <c r="IA116" i="33"/>
  <c r="HZ116" i="33"/>
  <c r="HY116" i="33"/>
  <c r="HX116" i="33"/>
  <c r="HW116" i="33"/>
  <c r="HV116" i="33"/>
  <c r="HU116" i="33"/>
  <c r="HT116" i="33"/>
  <c r="HS116" i="33"/>
  <c r="HR116" i="33"/>
  <c r="HQ116" i="33"/>
  <c r="HP116" i="33"/>
  <c r="HO116" i="33"/>
  <c r="HN116" i="33"/>
  <c r="HM116" i="33"/>
  <c r="HL116" i="33"/>
  <c r="HK116" i="33"/>
  <c r="HJ116" i="33"/>
  <c r="HI116" i="33"/>
  <c r="HH116" i="33"/>
  <c r="HG116" i="33"/>
  <c r="HF116" i="33"/>
  <c r="HE116" i="33"/>
  <c r="HD116" i="33"/>
  <c r="HC116" i="33"/>
  <c r="HB116" i="33"/>
  <c r="HA116" i="33"/>
  <c r="GZ116" i="33"/>
  <c r="GY116" i="33"/>
  <c r="GX116" i="33"/>
  <c r="GW116" i="33"/>
  <c r="GV116" i="33"/>
  <c r="GU116" i="33"/>
  <c r="GT116" i="33"/>
  <c r="GS116" i="33"/>
  <c r="GR116" i="33"/>
  <c r="GQ116" i="33"/>
  <c r="GP116" i="33"/>
  <c r="GO116" i="33"/>
  <c r="GN116" i="33"/>
  <c r="GM116" i="33"/>
  <c r="GL116" i="33"/>
  <c r="GK116" i="33"/>
  <c r="GJ116" i="33"/>
  <c r="GI116" i="33"/>
  <c r="GH116" i="33"/>
  <c r="GG116" i="33"/>
  <c r="GF116" i="33"/>
  <c r="GE116" i="33"/>
  <c r="GD116" i="33"/>
  <c r="GC116" i="33"/>
  <c r="GB116" i="33"/>
  <c r="GA116" i="33"/>
  <c r="FZ116" i="33"/>
  <c r="FY116" i="33"/>
  <c r="FX116" i="33"/>
  <c r="FW116" i="33"/>
  <c r="FV116" i="33"/>
  <c r="FU116" i="33"/>
  <c r="FT116" i="33"/>
  <c r="FS116" i="33"/>
  <c r="FR116" i="33"/>
  <c r="FQ116" i="33"/>
  <c r="FP116" i="33"/>
  <c r="FO116" i="33"/>
  <c r="FN116" i="33"/>
  <c r="FM116" i="33"/>
  <c r="FL116" i="33"/>
  <c r="FK116" i="33"/>
  <c r="FJ116" i="33"/>
  <c r="FI116" i="33"/>
  <c r="FH116" i="33"/>
  <c r="FG116" i="33"/>
  <c r="FF116" i="33"/>
  <c r="FE116" i="33"/>
  <c r="FD116" i="33"/>
  <c r="FC116" i="33"/>
  <c r="FB116" i="33"/>
  <c r="FA116" i="33"/>
  <c r="EZ116" i="33"/>
  <c r="EY116" i="33"/>
  <c r="EX116" i="33"/>
  <c r="EW116" i="33"/>
  <c r="EV116" i="33"/>
  <c r="EU116" i="33"/>
  <c r="ET116" i="33"/>
  <c r="ES116" i="33"/>
  <c r="ER116" i="33"/>
  <c r="EQ116" i="33"/>
  <c r="EP116" i="33"/>
  <c r="EO116" i="33"/>
  <c r="EN116" i="33"/>
  <c r="EM116" i="33"/>
  <c r="EL116" i="33"/>
  <c r="EK116" i="33"/>
  <c r="EJ116" i="33"/>
  <c r="EI116" i="33"/>
  <c r="EH116" i="33"/>
  <c r="EG116" i="33"/>
  <c r="EF116" i="33"/>
  <c r="EE116" i="33"/>
  <c r="ED116" i="33"/>
  <c r="EC116" i="33"/>
  <c r="EB116" i="33"/>
  <c r="EA116" i="33"/>
  <c r="DZ116" i="33"/>
  <c r="DY116" i="33"/>
  <c r="DX116" i="33"/>
  <c r="DW116" i="33"/>
  <c r="DV116" i="33"/>
  <c r="DU116" i="33"/>
  <c r="DT116" i="33"/>
  <c r="DS116" i="33"/>
  <c r="DR116" i="33"/>
  <c r="DQ116" i="33"/>
  <c r="DP116" i="33"/>
  <c r="DO116" i="33"/>
  <c r="DN116" i="33"/>
  <c r="DM116" i="33"/>
  <c r="DL116" i="33"/>
  <c r="DK116" i="33"/>
  <c r="DJ116" i="33"/>
  <c r="DI116" i="33"/>
  <c r="DH116" i="33"/>
  <c r="DG116" i="33"/>
  <c r="DF116" i="33"/>
  <c r="DE116" i="33"/>
  <c r="DD116" i="33"/>
  <c r="DC116" i="33"/>
  <c r="DB116" i="33"/>
  <c r="DA116" i="33"/>
  <c r="CZ116" i="33"/>
  <c r="CY116" i="33"/>
  <c r="CX116" i="33"/>
  <c r="CW116" i="33"/>
  <c r="CV116" i="33"/>
  <c r="CU116" i="33"/>
  <c r="CT116" i="33"/>
  <c r="CS116" i="33"/>
  <c r="CR116" i="33"/>
  <c r="CQ116" i="33"/>
  <c r="CP116" i="33"/>
  <c r="CO116" i="33"/>
  <c r="CN116" i="33"/>
  <c r="CM116" i="33"/>
  <c r="CL116" i="33"/>
  <c r="CK116" i="33"/>
  <c r="CJ116" i="33"/>
  <c r="CI116" i="33"/>
  <c r="CH116" i="33"/>
  <c r="CG116" i="33"/>
  <c r="CF116" i="33"/>
  <c r="CE116" i="33"/>
  <c r="CD116" i="33"/>
  <c r="CC116" i="33"/>
  <c r="CB116" i="33"/>
  <c r="CA116" i="33"/>
  <c r="BZ116" i="33"/>
  <c r="BY116" i="33"/>
  <c r="BX116" i="33"/>
  <c r="BW116" i="33"/>
  <c r="BV116" i="33"/>
  <c r="BU116" i="33"/>
  <c r="BT116" i="33"/>
  <c r="BS116" i="33"/>
  <c r="BR116" i="33"/>
  <c r="BQ116" i="33"/>
  <c r="BP116" i="33"/>
  <c r="BO116" i="33"/>
  <c r="BN116" i="33"/>
  <c r="BM116" i="33"/>
  <c r="BL116" i="33"/>
  <c r="BK116" i="33"/>
  <c r="BJ116" i="33"/>
  <c r="BI116" i="33"/>
  <c r="BH116" i="33"/>
  <c r="BG116" i="33"/>
  <c r="BF116" i="33"/>
  <c r="BE116" i="33"/>
  <c r="BD116" i="33"/>
  <c r="BC116" i="33"/>
  <c r="BB116" i="33"/>
  <c r="BA116" i="33"/>
  <c r="AZ116" i="33"/>
  <c r="AY116" i="33"/>
  <c r="AX116" i="33"/>
  <c r="AW116" i="33"/>
  <c r="AV116" i="33"/>
  <c r="AU116" i="33"/>
  <c r="AT116" i="33"/>
  <c r="AS116" i="33"/>
  <c r="AR116" i="33"/>
  <c r="AQ116" i="33"/>
  <c r="AP116" i="33"/>
  <c r="AO116" i="33"/>
  <c r="AN116" i="33"/>
  <c r="AM116" i="33"/>
  <c r="AL116" i="33"/>
  <c r="AK116" i="33"/>
  <c r="AJ116" i="33"/>
  <c r="AI116" i="33"/>
  <c r="AH116" i="33"/>
  <c r="AG116" i="33"/>
  <c r="AF116" i="33"/>
  <c r="AE116" i="33"/>
  <c r="AD116" i="33"/>
  <c r="AC116" i="33"/>
  <c r="AB116" i="33"/>
  <c r="AA116" i="33"/>
  <c r="Z116" i="33"/>
  <c r="Y116" i="33"/>
  <c r="X116" i="33"/>
  <c r="W116" i="33"/>
  <c r="V116" i="33"/>
  <c r="U116" i="33"/>
  <c r="T116" i="33"/>
  <c r="S116" i="33"/>
  <c r="R116" i="33"/>
  <c r="Q116" i="33"/>
  <c r="P116" i="33"/>
  <c r="O116" i="33"/>
  <c r="N116" i="33"/>
  <c r="M116" i="33"/>
  <c r="L116" i="33"/>
  <c r="K116" i="33"/>
  <c r="J116" i="33"/>
  <c r="I116" i="33"/>
  <c r="H116" i="33"/>
  <c r="G116" i="33"/>
  <c r="F116" i="33"/>
  <c r="E116" i="33"/>
  <c r="D116" i="33"/>
  <c r="C116" i="33"/>
  <c r="B116" i="33"/>
  <c r="A116" i="33"/>
  <c r="IV115" i="33"/>
  <c r="IU115" i="33"/>
  <c r="IT115" i="33"/>
  <c r="IS115" i="33"/>
  <c r="IR115" i="33"/>
  <c r="IQ115" i="33"/>
  <c r="IP115" i="33"/>
  <c r="IO115" i="33"/>
  <c r="IN115" i="33"/>
  <c r="IM115" i="33"/>
  <c r="IL115" i="33"/>
  <c r="IK115" i="33"/>
  <c r="IJ115" i="33"/>
  <c r="II115" i="33"/>
  <c r="IH115" i="33"/>
  <c r="IG115" i="33"/>
  <c r="IF115" i="33"/>
  <c r="IE115" i="33"/>
  <c r="ID115" i="33"/>
  <c r="IC115" i="33"/>
  <c r="IB115" i="33"/>
  <c r="IA115" i="33"/>
  <c r="HZ115" i="33"/>
  <c r="HY115" i="33"/>
  <c r="HX115" i="33"/>
  <c r="HW115" i="33"/>
  <c r="HV115" i="33"/>
  <c r="HU115" i="33"/>
  <c r="HT115" i="33"/>
  <c r="HS115" i="33"/>
  <c r="HR115" i="33"/>
  <c r="HQ115" i="33"/>
  <c r="HP115" i="33"/>
  <c r="HO115" i="33"/>
  <c r="HN115" i="33"/>
  <c r="HM115" i="33"/>
  <c r="HL115" i="33"/>
  <c r="HK115" i="33"/>
  <c r="HJ115" i="33"/>
  <c r="HI115" i="33"/>
  <c r="HH115" i="33"/>
  <c r="HG115" i="33"/>
  <c r="HF115" i="33"/>
  <c r="HE115" i="33"/>
  <c r="HD115" i="33"/>
  <c r="HC115" i="33"/>
  <c r="HB115" i="33"/>
  <c r="HA115" i="33"/>
  <c r="GZ115" i="33"/>
  <c r="GY115" i="33"/>
  <c r="GX115" i="33"/>
  <c r="GW115" i="33"/>
  <c r="GV115" i="33"/>
  <c r="GU115" i="33"/>
  <c r="GT115" i="33"/>
  <c r="GS115" i="33"/>
  <c r="GR115" i="33"/>
  <c r="GQ115" i="33"/>
  <c r="GP115" i="33"/>
  <c r="GO115" i="33"/>
  <c r="GN115" i="33"/>
  <c r="GM115" i="33"/>
  <c r="GL115" i="33"/>
  <c r="GK115" i="33"/>
  <c r="GJ115" i="33"/>
  <c r="GI115" i="33"/>
  <c r="GH115" i="33"/>
  <c r="GG115" i="33"/>
  <c r="GF115" i="33"/>
  <c r="GE115" i="33"/>
  <c r="GD115" i="33"/>
  <c r="GC115" i="33"/>
  <c r="GB115" i="33"/>
  <c r="GA115" i="33"/>
  <c r="FZ115" i="33"/>
  <c r="FY115" i="33"/>
  <c r="FX115" i="33"/>
  <c r="FW115" i="33"/>
  <c r="FV115" i="33"/>
  <c r="FU115" i="33"/>
  <c r="FT115" i="33"/>
  <c r="FS115" i="33"/>
  <c r="FR115" i="33"/>
  <c r="FQ115" i="33"/>
  <c r="FP115" i="33"/>
  <c r="FO115" i="33"/>
  <c r="FN115" i="33"/>
  <c r="FM115" i="33"/>
  <c r="FL115" i="33"/>
  <c r="FK115" i="33"/>
  <c r="FJ115" i="33"/>
  <c r="FI115" i="33"/>
  <c r="FH115" i="33"/>
  <c r="FG115" i="33"/>
  <c r="FF115" i="33"/>
  <c r="FE115" i="33"/>
  <c r="FD115" i="33"/>
  <c r="FC115" i="33"/>
  <c r="FB115" i="33"/>
  <c r="FA115" i="33"/>
  <c r="EZ115" i="33"/>
  <c r="EY115" i="33"/>
  <c r="EX115" i="33"/>
  <c r="EW115" i="33"/>
  <c r="EV115" i="33"/>
  <c r="EU115" i="33"/>
  <c r="ET115" i="33"/>
  <c r="ES115" i="33"/>
  <c r="ER115" i="33"/>
  <c r="EQ115" i="33"/>
  <c r="EP115" i="33"/>
  <c r="EO115" i="33"/>
  <c r="EN115" i="33"/>
  <c r="EM115" i="33"/>
  <c r="EL115" i="33"/>
  <c r="EK115" i="33"/>
  <c r="EJ115" i="33"/>
  <c r="EI115" i="33"/>
  <c r="EH115" i="33"/>
  <c r="EG115" i="33"/>
  <c r="EF115" i="33"/>
  <c r="EE115" i="33"/>
  <c r="ED115" i="33"/>
  <c r="EC115" i="33"/>
  <c r="EB115" i="33"/>
  <c r="EA115" i="33"/>
  <c r="DZ115" i="33"/>
  <c r="DY115" i="33"/>
  <c r="DX115" i="33"/>
  <c r="DW115" i="33"/>
  <c r="DV115" i="33"/>
  <c r="DU115" i="33"/>
  <c r="DT115" i="33"/>
  <c r="DS115" i="33"/>
  <c r="DR115" i="33"/>
  <c r="DQ115" i="33"/>
  <c r="DP115" i="33"/>
  <c r="DO115" i="33"/>
  <c r="DN115" i="33"/>
  <c r="DM115" i="33"/>
  <c r="DL115" i="33"/>
  <c r="DK115" i="33"/>
  <c r="DJ115" i="33"/>
  <c r="DI115" i="33"/>
  <c r="DH115" i="33"/>
  <c r="DG115" i="33"/>
  <c r="DF115" i="33"/>
  <c r="DE115" i="33"/>
  <c r="DD115" i="33"/>
  <c r="DC115" i="33"/>
  <c r="DB115" i="33"/>
  <c r="DA115" i="33"/>
  <c r="CZ115" i="33"/>
  <c r="CY115" i="33"/>
  <c r="CX115" i="33"/>
  <c r="CW115" i="33"/>
  <c r="CV115" i="33"/>
  <c r="CU115" i="33"/>
  <c r="CT115" i="33"/>
  <c r="CS115" i="33"/>
  <c r="CR115" i="33"/>
  <c r="CQ115" i="33"/>
  <c r="CP115" i="33"/>
  <c r="CO115" i="33"/>
  <c r="CN115" i="33"/>
  <c r="CM115" i="33"/>
  <c r="CL115" i="33"/>
  <c r="CK115" i="33"/>
  <c r="CJ115" i="33"/>
  <c r="CI115" i="33"/>
  <c r="CH115" i="33"/>
  <c r="CG115" i="33"/>
  <c r="CF115" i="33"/>
  <c r="CE115" i="33"/>
  <c r="CD115" i="33"/>
  <c r="CC115" i="33"/>
  <c r="CB115" i="33"/>
  <c r="CA115" i="33"/>
  <c r="BZ115" i="33"/>
  <c r="BY115" i="33"/>
  <c r="BX115" i="33"/>
  <c r="BW115" i="33"/>
  <c r="BV115" i="33"/>
  <c r="BU115" i="33"/>
  <c r="BT115" i="33"/>
  <c r="BS115" i="33"/>
  <c r="BR115" i="33"/>
  <c r="BQ115" i="33"/>
  <c r="BP115" i="33"/>
  <c r="BO115" i="33"/>
  <c r="BN115" i="33"/>
  <c r="BM115" i="33"/>
  <c r="BL115" i="33"/>
  <c r="BK115" i="33"/>
  <c r="BJ115" i="33"/>
  <c r="BI115" i="33"/>
  <c r="BH115" i="33"/>
  <c r="BG115" i="33"/>
  <c r="BF115" i="33"/>
  <c r="BE115" i="33"/>
  <c r="BD115" i="33"/>
  <c r="BC115" i="33"/>
  <c r="BB115" i="33"/>
  <c r="BA115" i="33"/>
  <c r="AZ115" i="33"/>
  <c r="AY115" i="33"/>
  <c r="AX115" i="33"/>
  <c r="AW115" i="33"/>
  <c r="AV115" i="33"/>
  <c r="AU115" i="33"/>
  <c r="AT115" i="33"/>
  <c r="AS115" i="33"/>
  <c r="AR115" i="33"/>
  <c r="AQ115" i="33"/>
  <c r="AP115" i="33"/>
  <c r="AO115" i="33"/>
  <c r="AN115" i="33"/>
  <c r="AM115" i="33"/>
  <c r="AL115" i="33"/>
  <c r="AK115" i="33"/>
  <c r="AJ115" i="33"/>
  <c r="AI115" i="33"/>
  <c r="AH115" i="33"/>
  <c r="AG115" i="33"/>
  <c r="AF115" i="33"/>
  <c r="AE115" i="33"/>
  <c r="AD115" i="33"/>
  <c r="AC115" i="33"/>
  <c r="AB115" i="33"/>
  <c r="AA115" i="33"/>
  <c r="Z115" i="33"/>
  <c r="Y115" i="33"/>
  <c r="X115" i="33"/>
  <c r="W115" i="33"/>
  <c r="V115" i="33"/>
  <c r="U115" i="33"/>
  <c r="T115" i="33"/>
  <c r="S115" i="33"/>
  <c r="R115" i="33"/>
  <c r="Q115" i="33"/>
  <c r="P115" i="33"/>
  <c r="O115" i="33"/>
  <c r="N115" i="33"/>
  <c r="M115" i="33"/>
  <c r="L115" i="33"/>
  <c r="K115" i="33"/>
  <c r="J115" i="33"/>
  <c r="I115" i="33"/>
  <c r="H115" i="33"/>
  <c r="G115" i="33"/>
  <c r="F115" i="33"/>
  <c r="E115" i="33"/>
  <c r="D115" i="33"/>
  <c r="C115" i="33"/>
  <c r="B115" i="33"/>
  <c r="A115" i="33"/>
  <c r="IV114" i="33"/>
  <c r="IU114" i="33"/>
  <c r="IT114" i="33"/>
  <c r="IS114" i="33"/>
  <c r="IR114" i="33"/>
  <c r="IQ114" i="33"/>
  <c r="IP114" i="33"/>
  <c r="IO114" i="33"/>
  <c r="IN114" i="33"/>
  <c r="IM114" i="33"/>
  <c r="IL114" i="33"/>
  <c r="IK114" i="33"/>
  <c r="IJ114" i="33"/>
  <c r="II114" i="33"/>
  <c r="IH114" i="33"/>
  <c r="IG114" i="33"/>
  <c r="IF114" i="33"/>
  <c r="IE114" i="33"/>
  <c r="ID114" i="33"/>
  <c r="IC114" i="33"/>
  <c r="IB114" i="33"/>
  <c r="IA114" i="33"/>
  <c r="HZ114" i="33"/>
  <c r="HY114" i="33"/>
  <c r="HX114" i="33"/>
  <c r="HW114" i="33"/>
  <c r="HV114" i="33"/>
  <c r="HU114" i="33"/>
  <c r="HT114" i="33"/>
  <c r="HS114" i="33"/>
  <c r="HR114" i="33"/>
  <c r="HQ114" i="33"/>
  <c r="HP114" i="33"/>
  <c r="HO114" i="33"/>
  <c r="HN114" i="33"/>
  <c r="HM114" i="33"/>
  <c r="HL114" i="33"/>
  <c r="HK114" i="33"/>
  <c r="HJ114" i="33"/>
  <c r="HI114" i="33"/>
  <c r="HH114" i="33"/>
  <c r="HG114" i="33"/>
  <c r="HF114" i="33"/>
  <c r="HE114" i="33"/>
  <c r="HD114" i="33"/>
  <c r="HC114" i="33"/>
  <c r="HB114" i="33"/>
  <c r="HA114" i="33"/>
  <c r="GZ114" i="33"/>
  <c r="GY114" i="33"/>
  <c r="GX114" i="33"/>
  <c r="GW114" i="33"/>
  <c r="GV114" i="33"/>
  <c r="GU114" i="33"/>
  <c r="GT114" i="33"/>
  <c r="GS114" i="33"/>
  <c r="GR114" i="33"/>
  <c r="GQ114" i="33"/>
  <c r="GP114" i="33"/>
  <c r="GO114" i="33"/>
  <c r="GN114" i="33"/>
  <c r="GM114" i="33"/>
  <c r="GL114" i="33"/>
  <c r="GK114" i="33"/>
  <c r="GJ114" i="33"/>
  <c r="GI114" i="33"/>
  <c r="GH114" i="33"/>
  <c r="GG114" i="33"/>
  <c r="GF114" i="33"/>
  <c r="GE114" i="33"/>
  <c r="GD114" i="33"/>
  <c r="GC114" i="33"/>
  <c r="GB114" i="33"/>
  <c r="GA114" i="33"/>
  <c r="FZ114" i="33"/>
  <c r="FY114" i="33"/>
  <c r="FX114" i="33"/>
  <c r="FW114" i="33"/>
  <c r="FV114" i="33"/>
  <c r="FU114" i="33"/>
  <c r="FT114" i="33"/>
  <c r="FS114" i="33"/>
  <c r="FR114" i="33"/>
  <c r="FQ114" i="33"/>
  <c r="FP114" i="33"/>
  <c r="FO114" i="33"/>
  <c r="FN114" i="33"/>
  <c r="FM114" i="33"/>
  <c r="FL114" i="33"/>
  <c r="FK114" i="33"/>
  <c r="FJ114" i="33"/>
  <c r="FI114" i="33"/>
  <c r="FH114" i="33"/>
  <c r="FG114" i="33"/>
  <c r="FF114" i="33"/>
  <c r="FE114" i="33"/>
  <c r="FD114" i="33"/>
  <c r="FC114" i="33"/>
  <c r="FB114" i="33"/>
  <c r="FA114" i="33"/>
  <c r="EZ114" i="33"/>
  <c r="EY114" i="33"/>
  <c r="EX114" i="33"/>
  <c r="EW114" i="33"/>
  <c r="EV114" i="33"/>
  <c r="EU114" i="33"/>
  <c r="ET114" i="33"/>
  <c r="ES114" i="33"/>
  <c r="ER114" i="33"/>
  <c r="EQ114" i="33"/>
  <c r="EP114" i="33"/>
  <c r="EO114" i="33"/>
  <c r="EN114" i="33"/>
  <c r="EM114" i="33"/>
  <c r="EL114" i="33"/>
  <c r="EK114" i="33"/>
  <c r="EJ114" i="33"/>
  <c r="EI114" i="33"/>
  <c r="EH114" i="33"/>
  <c r="EG114" i="33"/>
  <c r="EF114" i="33"/>
  <c r="EE114" i="33"/>
  <c r="ED114" i="33"/>
  <c r="EC114" i="33"/>
  <c r="EB114" i="33"/>
  <c r="EA114" i="33"/>
  <c r="DZ114" i="33"/>
  <c r="DY114" i="33"/>
  <c r="DX114" i="33"/>
  <c r="DW114" i="33"/>
  <c r="DV114" i="33"/>
  <c r="DU114" i="33"/>
  <c r="DT114" i="33"/>
  <c r="DS114" i="33"/>
  <c r="DR114" i="33"/>
  <c r="DQ114" i="33"/>
  <c r="DP114" i="33"/>
  <c r="DO114" i="33"/>
  <c r="DN114" i="33"/>
  <c r="DM114" i="33"/>
  <c r="DL114" i="33"/>
  <c r="DK114" i="33"/>
  <c r="DJ114" i="33"/>
  <c r="DI114" i="33"/>
  <c r="DH114" i="33"/>
  <c r="DG114" i="33"/>
  <c r="DF114" i="33"/>
  <c r="DE114" i="33"/>
  <c r="DD114" i="33"/>
  <c r="DC114" i="33"/>
  <c r="DB114" i="33"/>
  <c r="DA114" i="33"/>
  <c r="CZ114" i="33"/>
  <c r="CY114" i="33"/>
  <c r="CX114" i="33"/>
  <c r="CW114" i="33"/>
  <c r="CV114" i="33"/>
  <c r="CU114" i="33"/>
  <c r="CT114" i="33"/>
  <c r="CS114" i="33"/>
  <c r="CR114" i="33"/>
  <c r="CQ114" i="33"/>
  <c r="CP114" i="33"/>
  <c r="CO114" i="33"/>
  <c r="CN114" i="33"/>
  <c r="CM114" i="33"/>
  <c r="CL114" i="33"/>
  <c r="CK114" i="33"/>
  <c r="CJ114" i="33"/>
  <c r="CI114" i="33"/>
  <c r="CH114" i="33"/>
  <c r="CG114" i="33"/>
  <c r="CF114" i="33"/>
  <c r="CE114" i="33"/>
  <c r="CD114" i="33"/>
  <c r="CC114" i="33"/>
  <c r="CB114" i="33"/>
  <c r="CA114" i="33"/>
  <c r="BZ114" i="33"/>
  <c r="BY114" i="33"/>
  <c r="BX114" i="33"/>
  <c r="BW114" i="33"/>
  <c r="BV114" i="33"/>
  <c r="BU114" i="33"/>
  <c r="BT114" i="33"/>
  <c r="BS114" i="33"/>
  <c r="BR114" i="33"/>
  <c r="BQ114" i="33"/>
  <c r="BP114" i="33"/>
  <c r="BO114" i="33"/>
  <c r="BN114" i="33"/>
  <c r="BM114" i="33"/>
  <c r="BL114" i="33"/>
  <c r="BK114" i="33"/>
  <c r="BJ114" i="33"/>
  <c r="BI114" i="33"/>
  <c r="BH114" i="33"/>
  <c r="BG114" i="33"/>
  <c r="BF114" i="33"/>
  <c r="BE114" i="33"/>
  <c r="BD114" i="33"/>
  <c r="BC114" i="33"/>
  <c r="BB114" i="33"/>
  <c r="BA114" i="33"/>
  <c r="AZ114" i="33"/>
  <c r="AY114" i="33"/>
  <c r="AX114" i="33"/>
  <c r="AW114" i="33"/>
  <c r="AV114" i="33"/>
  <c r="AU114" i="33"/>
  <c r="AT114" i="33"/>
  <c r="AS114" i="33"/>
  <c r="AR114" i="33"/>
  <c r="AQ114" i="33"/>
  <c r="AP114" i="33"/>
  <c r="AO114" i="33"/>
  <c r="AN114" i="33"/>
  <c r="AM114" i="33"/>
  <c r="AL114" i="33"/>
  <c r="AK114" i="33"/>
  <c r="AJ114" i="33"/>
  <c r="AI114" i="33"/>
  <c r="AH114" i="33"/>
  <c r="AG114" i="33"/>
  <c r="AF114" i="33"/>
  <c r="AE114" i="33"/>
  <c r="AD114" i="33"/>
  <c r="AC114" i="33"/>
  <c r="AB114" i="33"/>
  <c r="AA114" i="33"/>
  <c r="Z114" i="33"/>
  <c r="Y114" i="33"/>
  <c r="X114" i="33"/>
  <c r="W114" i="33"/>
  <c r="V114" i="33"/>
  <c r="U114" i="33"/>
  <c r="T114" i="33"/>
  <c r="S114" i="33"/>
  <c r="R114" i="33"/>
  <c r="Q114" i="33"/>
  <c r="P114" i="33"/>
  <c r="O114" i="33"/>
  <c r="N114" i="33"/>
  <c r="M114" i="33"/>
  <c r="L114" i="33"/>
  <c r="K114" i="33"/>
  <c r="J114" i="33"/>
  <c r="I114" i="33"/>
  <c r="H114" i="33"/>
  <c r="G114" i="33"/>
  <c r="F114" i="33"/>
  <c r="E114" i="33"/>
  <c r="D114" i="33"/>
  <c r="C114" i="33"/>
  <c r="B114" i="33"/>
  <c r="A114" i="33"/>
  <c r="IV113" i="33"/>
  <c r="IU113" i="33"/>
  <c r="IT113" i="33"/>
  <c r="IS113" i="33"/>
  <c r="IR113" i="33"/>
  <c r="IQ113" i="33"/>
  <c r="IP113" i="33"/>
  <c r="IO113" i="33"/>
  <c r="IN113" i="33"/>
  <c r="IM113" i="33"/>
  <c r="IL113" i="33"/>
  <c r="IK113" i="33"/>
  <c r="IJ113" i="33"/>
  <c r="II113" i="33"/>
  <c r="IH113" i="33"/>
  <c r="IG113" i="33"/>
  <c r="IF113" i="33"/>
  <c r="IE113" i="33"/>
  <c r="ID113" i="33"/>
  <c r="IC113" i="33"/>
  <c r="IB113" i="33"/>
  <c r="IA113" i="33"/>
  <c r="HZ113" i="33"/>
  <c r="HY113" i="33"/>
  <c r="HX113" i="33"/>
  <c r="HW113" i="33"/>
  <c r="HV113" i="33"/>
  <c r="HU113" i="33"/>
  <c r="HT113" i="33"/>
  <c r="HS113" i="33"/>
  <c r="HR113" i="33"/>
  <c r="HQ113" i="33"/>
  <c r="HP113" i="33"/>
  <c r="HO113" i="33"/>
  <c r="HN113" i="33"/>
  <c r="HM113" i="33"/>
  <c r="HL113" i="33"/>
  <c r="HK113" i="33"/>
  <c r="HJ113" i="33"/>
  <c r="HI113" i="33"/>
  <c r="HH113" i="33"/>
  <c r="HG113" i="33"/>
  <c r="HF113" i="33"/>
  <c r="HE113" i="33"/>
  <c r="HD113" i="33"/>
  <c r="HC113" i="33"/>
  <c r="HB113" i="33"/>
  <c r="HA113" i="33"/>
  <c r="GZ113" i="33"/>
  <c r="GY113" i="33"/>
  <c r="GX113" i="33"/>
  <c r="GW113" i="33"/>
  <c r="GV113" i="33"/>
  <c r="GU113" i="33"/>
  <c r="GT113" i="33"/>
  <c r="GS113" i="33"/>
  <c r="GR113" i="33"/>
  <c r="GQ113" i="33"/>
  <c r="GP113" i="33"/>
  <c r="GO113" i="33"/>
  <c r="GN113" i="33"/>
  <c r="GM113" i="33"/>
  <c r="GL113" i="33"/>
  <c r="GK113" i="33"/>
  <c r="GJ113" i="33"/>
  <c r="GI113" i="33"/>
  <c r="GH113" i="33"/>
  <c r="GG113" i="33"/>
  <c r="GF113" i="33"/>
  <c r="GE113" i="33"/>
  <c r="GD113" i="33"/>
  <c r="GC113" i="33"/>
  <c r="GB113" i="33"/>
  <c r="GA113" i="33"/>
  <c r="FZ113" i="33"/>
  <c r="FY113" i="33"/>
  <c r="FX113" i="33"/>
  <c r="FW113" i="33"/>
  <c r="FV113" i="33"/>
  <c r="FU113" i="33"/>
  <c r="FT113" i="33"/>
  <c r="FS113" i="33"/>
  <c r="FR113" i="33"/>
  <c r="FQ113" i="33"/>
  <c r="FP113" i="33"/>
  <c r="FO113" i="33"/>
  <c r="FN113" i="33"/>
  <c r="FM113" i="33"/>
  <c r="FL113" i="33"/>
  <c r="FK113" i="33"/>
  <c r="FJ113" i="33"/>
  <c r="FI113" i="33"/>
  <c r="FH113" i="33"/>
  <c r="FG113" i="33"/>
  <c r="FF113" i="33"/>
  <c r="FE113" i="33"/>
  <c r="FD113" i="33"/>
  <c r="FC113" i="33"/>
  <c r="FB113" i="33"/>
  <c r="FA113" i="33"/>
  <c r="EZ113" i="33"/>
  <c r="EY113" i="33"/>
  <c r="EX113" i="33"/>
  <c r="EW113" i="33"/>
  <c r="EV113" i="33"/>
  <c r="EU113" i="33"/>
  <c r="ET113" i="33"/>
  <c r="ES113" i="33"/>
  <c r="ER113" i="33"/>
  <c r="EQ113" i="33"/>
  <c r="EP113" i="33"/>
  <c r="EO113" i="33"/>
  <c r="EN113" i="33"/>
  <c r="EM113" i="33"/>
  <c r="EL113" i="33"/>
  <c r="EK113" i="33"/>
  <c r="EJ113" i="33"/>
  <c r="EI113" i="33"/>
  <c r="EH113" i="33"/>
  <c r="EG113" i="33"/>
  <c r="EF113" i="33"/>
  <c r="EE113" i="33"/>
  <c r="ED113" i="33"/>
  <c r="EC113" i="33"/>
  <c r="EB113" i="33"/>
  <c r="EA113" i="33"/>
  <c r="DZ113" i="33"/>
  <c r="DY113" i="33"/>
  <c r="DX113" i="33"/>
  <c r="DW113" i="33"/>
  <c r="DV113" i="33"/>
  <c r="DU113" i="33"/>
  <c r="DT113" i="33"/>
  <c r="DS113" i="33"/>
  <c r="DR113" i="33"/>
  <c r="DQ113" i="33"/>
  <c r="DP113" i="33"/>
  <c r="DO113" i="33"/>
  <c r="DN113" i="33"/>
  <c r="DM113" i="33"/>
  <c r="DL113" i="33"/>
  <c r="DK113" i="33"/>
  <c r="DJ113" i="33"/>
  <c r="DI113" i="33"/>
  <c r="DH113" i="33"/>
  <c r="DG113" i="33"/>
  <c r="DF113" i="33"/>
  <c r="DE113" i="33"/>
  <c r="DD113" i="33"/>
  <c r="DC113" i="33"/>
  <c r="DB113" i="33"/>
  <c r="DA113" i="33"/>
  <c r="CZ113" i="33"/>
  <c r="CY113" i="33"/>
  <c r="CX113" i="33"/>
  <c r="CW113" i="33"/>
  <c r="CV113" i="33"/>
  <c r="CU113" i="33"/>
  <c r="CT113" i="33"/>
  <c r="CS113" i="33"/>
  <c r="CR113" i="33"/>
  <c r="CQ113" i="33"/>
  <c r="CP113" i="33"/>
  <c r="CO113" i="33"/>
  <c r="CN113" i="33"/>
  <c r="CM113" i="33"/>
  <c r="CL113" i="33"/>
  <c r="CK113" i="33"/>
  <c r="CJ113" i="33"/>
  <c r="CI113" i="33"/>
  <c r="CH113" i="33"/>
  <c r="CG113" i="33"/>
  <c r="CF113" i="33"/>
  <c r="CE113" i="33"/>
  <c r="CD113" i="33"/>
  <c r="CC113" i="33"/>
  <c r="CB113" i="33"/>
  <c r="CA113" i="33"/>
  <c r="BZ113" i="33"/>
  <c r="BY113" i="33"/>
  <c r="BX113" i="33"/>
  <c r="BW113" i="33"/>
  <c r="BV113" i="33"/>
  <c r="BU113" i="33"/>
  <c r="BT113" i="33"/>
  <c r="BS113" i="33"/>
  <c r="BR113" i="33"/>
  <c r="BQ113" i="33"/>
  <c r="BP113" i="33"/>
  <c r="BO113" i="33"/>
  <c r="BN113" i="33"/>
  <c r="BM113" i="33"/>
  <c r="BL113" i="33"/>
  <c r="BK113" i="33"/>
  <c r="BJ113" i="33"/>
  <c r="BI113" i="33"/>
  <c r="BH113" i="33"/>
  <c r="BG113" i="33"/>
  <c r="BF113" i="33"/>
  <c r="BE113" i="33"/>
  <c r="BD113" i="33"/>
  <c r="BC113" i="33"/>
  <c r="BB113" i="33"/>
  <c r="BA113" i="33"/>
  <c r="AZ113" i="33"/>
  <c r="AY113" i="33"/>
  <c r="AX113" i="33"/>
  <c r="AW113" i="33"/>
  <c r="AV113" i="33"/>
  <c r="AU113" i="33"/>
  <c r="AT113" i="33"/>
  <c r="AS113" i="33"/>
  <c r="AR113" i="33"/>
  <c r="AQ113" i="33"/>
  <c r="AP113" i="33"/>
  <c r="AO113" i="33"/>
  <c r="AN113" i="33"/>
  <c r="AM113" i="33"/>
  <c r="AL113" i="33"/>
  <c r="AK113" i="33"/>
  <c r="AJ113" i="33"/>
  <c r="AI113" i="33"/>
  <c r="AH113" i="33"/>
  <c r="AG113" i="33"/>
  <c r="AF113" i="33"/>
  <c r="AE113" i="33"/>
  <c r="AD113" i="33"/>
  <c r="AC113" i="33"/>
  <c r="AB113" i="33"/>
  <c r="AA113" i="33"/>
  <c r="Z113" i="33"/>
  <c r="Y113" i="33"/>
  <c r="X113" i="33"/>
  <c r="W113" i="33"/>
  <c r="V113" i="33"/>
  <c r="U113" i="33"/>
  <c r="T113" i="33"/>
  <c r="S113" i="33"/>
  <c r="R113" i="33"/>
  <c r="Q113" i="33"/>
  <c r="P113" i="33"/>
  <c r="O113" i="33"/>
  <c r="N113" i="33"/>
  <c r="M113" i="33"/>
  <c r="L113" i="33"/>
  <c r="K113" i="33"/>
  <c r="J113" i="33"/>
  <c r="I113" i="33"/>
  <c r="H113" i="33"/>
  <c r="G113" i="33"/>
  <c r="F113" i="33"/>
  <c r="E113" i="33"/>
  <c r="D113" i="33"/>
  <c r="C113" i="33"/>
  <c r="B113" i="33"/>
  <c r="A113" i="33"/>
  <c r="IV112" i="33"/>
  <c r="IU112" i="33"/>
  <c r="IT112" i="33"/>
  <c r="IS112" i="33"/>
  <c r="IR112" i="33"/>
  <c r="IQ112" i="33"/>
  <c r="IP112" i="33"/>
  <c r="IO112" i="33"/>
  <c r="IN112" i="33"/>
  <c r="IM112" i="33"/>
  <c r="IL112" i="33"/>
  <c r="IK112" i="33"/>
  <c r="IJ112" i="33"/>
  <c r="II112" i="33"/>
  <c r="IH112" i="33"/>
  <c r="IG112" i="33"/>
  <c r="IF112" i="33"/>
  <c r="IE112" i="33"/>
  <c r="ID112" i="33"/>
  <c r="IC112" i="33"/>
  <c r="IB112" i="33"/>
  <c r="IA112" i="33"/>
  <c r="HZ112" i="33"/>
  <c r="HY112" i="33"/>
  <c r="HX112" i="33"/>
  <c r="HW112" i="33"/>
  <c r="HV112" i="33"/>
  <c r="HU112" i="33"/>
  <c r="HT112" i="33"/>
  <c r="HS112" i="33"/>
  <c r="HR112" i="33"/>
  <c r="HQ112" i="33"/>
  <c r="HP112" i="33"/>
  <c r="HO112" i="33"/>
  <c r="HN112" i="33"/>
  <c r="HM112" i="33"/>
  <c r="HL112" i="33"/>
  <c r="HK112" i="33"/>
  <c r="HJ112" i="33"/>
  <c r="HI112" i="33"/>
  <c r="HH112" i="33"/>
  <c r="HG112" i="33"/>
  <c r="HF112" i="33"/>
  <c r="HE112" i="33"/>
  <c r="HD112" i="33"/>
  <c r="HC112" i="33"/>
  <c r="HB112" i="33"/>
  <c r="HA112" i="33"/>
  <c r="GZ112" i="33"/>
  <c r="GY112" i="33"/>
  <c r="GX112" i="33"/>
  <c r="GW112" i="33"/>
  <c r="GV112" i="33"/>
  <c r="GU112" i="33"/>
  <c r="GT112" i="33"/>
  <c r="GS112" i="33"/>
  <c r="GR112" i="33"/>
  <c r="GQ112" i="33"/>
  <c r="GP112" i="33"/>
  <c r="GO112" i="33"/>
  <c r="GN112" i="33"/>
  <c r="GM112" i="33"/>
  <c r="GL112" i="33"/>
  <c r="GK112" i="33"/>
  <c r="GJ112" i="33"/>
  <c r="GI112" i="33"/>
  <c r="GH112" i="33"/>
  <c r="GG112" i="33"/>
  <c r="GF112" i="33"/>
  <c r="GE112" i="33"/>
  <c r="GD112" i="33"/>
  <c r="GC112" i="33"/>
  <c r="GB112" i="33"/>
  <c r="GA112" i="33"/>
  <c r="FZ112" i="33"/>
  <c r="FY112" i="33"/>
  <c r="FX112" i="33"/>
  <c r="FW112" i="33"/>
  <c r="FV112" i="33"/>
  <c r="FU112" i="33"/>
  <c r="FT112" i="33"/>
  <c r="FS112" i="33"/>
  <c r="FR112" i="33"/>
  <c r="FQ112" i="33"/>
  <c r="FP112" i="33"/>
  <c r="FO112" i="33"/>
  <c r="FN112" i="33"/>
  <c r="FM112" i="33"/>
  <c r="FL112" i="33"/>
  <c r="FK112" i="33"/>
  <c r="FJ112" i="33"/>
  <c r="FI112" i="33"/>
  <c r="FH112" i="33"/>
  <c r="FG112" i="33"/>
  <c r="FF112" i="33"/>
  <c r="FE112" i="33"/>
  <c r="FD112" i="33"/>
  <c r="FC112" i="33"/>
  <c r="FB112" i="33"/>
  <c r="FA112" i="33"/>
  <c r="EZ112" i="33"/>
  <c r="EY112" i="33"/>
  <c r="EX112" i="33"/>
  <c r="EW112" i="33"/>
  <c r="EV112" i="33"/>
  <c r="EU112" i="33"/>
  <c r="ET112" i="33"/>
  <c r="ES112" i="33"/>
  <c r="ER112" i="33"/>
  <c r="EQ112" i="33"/>
  <c r="EP112" i="33"/>
  <c r="EO112" i="33"/>
  <c r="EN112" i="33"/>
  <c r="EM112" i="33"/>
  <c r="EL112" i="33"/>
  <c r="EK112" i="33"/>
  <c r="EJ112" i="33"/>
  <c r="EI112" i="33"/>
  <c r="EH112" i="33"/>
  <c r="EG112" i="33"/>
  <c r="EF112" i="33"/>
  <c r="EE112" i="33"/>
  <c r="ED112" i="33"/>
  <c r="EC112" i="33"/>
  <c r="EB112" i="33"/>
  <c r="EA112" i="33"/>
  <c r="DZ112" i="33"/>
  <c r="DY112" i="33"/>
  <c r="DX112" i="33"/>
  <c r="DW112" i="33"/>
  <c r="DV112" i="33"/>
  <c r="DU112" i="33"/>
  <c r="DT112" i="33"/>
  <c r="DS112" i="33"/>
  <c r="DR112" i="33"/>
  <c r="DQ112" i="33"/>
  <c r="DP112" i="33"/>
  <c r="DO112" i="33"/>
  <c r="DN112" i="33"/>
  <c r="DM112" i="33"/>
  <c r="DL112" i="33"/>
  <c r="DK112" i="33"/>
  <c r="DJ112" i="33"/>
  <c r="DI112" i="33"/>
  <c r="DH112" i="33"/>
  <c r="DG112" i="33"/>
  <c r="DF112" i="33"/>
  <c r="DE112" i="33"/>
  <c r="DD112" i="33"/>
  <c r="DC112" i="33"/>
  <c r="DB112" i="33"/>
  <c r="DA112" i="33"/>
  <c r="CZ112" i="33"/>
  <c r="CY112" i="33"/>
  <c r="CX112" i="33"/>
  <c r="CW112" i="33"/>
  <c r="CV112" i="33"/>
  <c r="CU112" i="33"/>
  <c r="CT112" i="33"/>
  <c r="CS112" i="33"/>
  <c r="CR112" i="33"/>
  <c r="CQ112" i="33"/>
  <c r="CP112" i="33"/>
  <c r="CO112" i="33"/>
  <c r="CN112" i="33"/>
  <c r="CM112" i="33"/>
  <c r="CL112" i="33"/>
  <c r="CK112" i="33"/>
  <c r="CJ112" i="33"/>
  <c r="CI112" i="33"/>
  <c r="CH112" i="33"/>
  <c r="CG112" i="33"/>
  <c r="CF112" i="33"/>
  <c r="CE112" i="33"/>
  <c r="CD112" i="33"/>
  <c r="CC112" i="33"/>
  <c r="CB112" i="33"/>
  <c r="CA112" i="33"/>
  <c r="BZ112" i="33"/>
  <c r="BY112" i="33"/>
  <c r="BX112" i="33"/>
  <c r="BW112" i="33"/>
  <c r="BV112" i="33"/>
  <c r="BU112" i="33"/>
  <c r="BT112" i="33"/>
  <c r="BS112" i="33"/>
  <c r="BR112" i="33"/>
  <c r="BQ112" i="33"/>
  <c r="BP112" i="33"/>
  <c r="BO112" i="33"/>
  <c r="BN112" i="33"/>
  <c r="BM112" i="33"/>
  <c r="BL112" i="33"/>
  <c r="BK112" i="33"/>
  <c r="BJ112" i="33"/>
  <c r="BI112" i="33"/>
  <c r="BH112" i="33"/>
  <c r="BG112" i="33"/>
  <c r="BF112" i="33"/>
  <c r="BE112" i="33"/>
  <c r="BD112" i="33"/>
  <c r="BC112" i="33"/>
  <c r="BB112" i="33"/>
  <c r="BA112" i="33"/>
  <c r="AZ112" i="33"/>
  <c r="AY112" i="33"/>
  <c r="AX112" i="33"/>
  <c r="AW112" i="33"/>
  <c r="AV112" i="33"/>
  <c r="AU112" i="33"/>
  <c r="AT112" i="33"/>
  <c r="AS112" i="33"/>
  <c r="AR112" i="33"/>
  <c r="AQ112" i="33"/>
  <c r="AP112" i="33"/>
  <c r="AO112" i="33"/>
  <c r="AN112" i="33"/>
  <c r="AM112" i="33"/>
  <c r="AL112" i="33"/>
  <c r="AK112" i="33"/>
  <c r="AJ112" i="33"/>
  <c r="AI112" i="33"/>
  <c r="AH112" i="33"/>
  <c r="AG112" i="33"/>
  <c r="AF112" i="33"/>
  <c r="AE112" i="33"/>
  <c r="AD112" i="33"/>
  <c r="AC112" i="33"/>
  <c r="AB112" i="33"/>
  <c r="AA112" i="33"/>
  <c r="Z112" i="33"/>
  <c r="Y112" i="33"/>
  <c r="X112" i="33"/>
  <c r="W112" i="33"/>
  <c r="V112" i="33"/>
  <c r="U112" i="33"/>
  <c r="T112" i="33"/>
  <c r="S112" i="33"/>
  <c r="R112" i="33"/>
  <c r="Q112" i="33"/>
  <c r="P112" i="33"/>
  <c r="O112" i="33"/>
  <c r="N112" i="33"/>
  <c r="M112" i="33"/>
  <c r="L112" i="33"/>
  <c r="K112" i="33"/>
  <c r="J112" i="33"/>
  <c r="I112" i="33"/>
  <c r="H112" i="33"/>
  <c r="G112" i="33"/>
  <c r="F112" i="33"/>
  <c r="E112" i="33"/>
  <c r="D112" i="33"/>
  <c r="C112" i="33"/>
  <c r="B112" i="33"/>
  <c r="A112" i="33"/>
  <c r="IV111" i="33"/>
  <c r="IU111" i="33"/>
  <c r="IT111" i="33"/>
  <c r="IS111" i="33"/>
  <c r="IR111" i="33"/>
  <c r="IQ111" i="33"/>
  <c r="IP111" i="33"/>
  <c r="IO111" i="33"/>
  <c r="IN111" i="33"/>
  <c r="IM111" i="33"/>
  <c r="IL111" i="33"/>
  <c r="IK111" i="33"/>
  <c r="IJ111" i="33"/>
  <c r="II111" i="33"/>
  <c r="IH111" i="33"/>
  <c r="IG111" i="33"/>
  <c r="IF111" i="33"/>
  <c r="IE111" i="33"/>
  <c r="ID111" i="33"/>
  <c r="IC111" i="33"/>
  <c r="IB111" i="33"/>
  <c r="IA111" i="33"/>
  <c r="HZ111" i="33"/>
  <c r="HY111" i="33"/>
  <c r="HX111" i="33"/>
  <c r="HW111" i="33"/>
  <c r="HV111" i="33"/>
  <c r="HU111" i="33"/>
  <c r="HT111" i="33"/>
  <c r="HS111" i="33"/>
  <c r="HR111" i="33"/>
  <c r="HQ111" i="33"/>
  <c r="HP111" i="33"/>
  <c r="HO111" i="33"/>
  <c r="HN111" i="33"/>
  <c r="HM111" i="33"/>
  <c r="HL111" i="33"/>
  <c r="HK111" i="33"/>
  <c r="HJ111" i="33"/>
  <c r="HI111" i="33"/>
  <c r="HH111" i="33"/>
  <c r="HG111" i="33"/>
  <c r="HF111" i="33"/>
  <c r="HE111" i="33"/>
  <c r="HD111" i="33"/>
  <c r="HC111" i="33"/>
  <c r="HB111" i="33"/>
  <c r="HA111" i="33"/>
  <c r="GZ111" i="33"/>
  <c r="GY111" i="33"/>
  <c r="GX111" i="33"/>
  <c r="GW111" i="33"/>
  <c r="GV111" i="33"/>
  <c r="GU111" i="33"/>
  <c r="GT111" i="33"/>
  <c r="GS111" i="33"/>
  <c r="GR111" i="33"/>
  <c r="GQ111" i="33"/>
  <c r="GP111" i="33"/>
  <c r="GO111" i="33"/>
  <c r="GN111" i="33"/>
  <c r="GM111" i="33"/>
  <c r="GL111" i="33"/>
  <c r="GK111" i="33"/>
  <c r="GJ111" i="33"/>
  <c r="GI111" i="33"/>
  <c r="GH111" i="33"/>
  <c r="GG111" i="33"/>
  <c r="GF111" i="33"/>
  <c r="GE111" i="33"/>
  <c r="GD111" i="33"/>
  <c r="GC111" i="33"/>
  <c r="GB111" i="33"/>
  <c r="GA111" i="33"/>
  <c r="FZ111" i="33"/>
  <c r="FY111" i="33"/>
  <c r="FX111" i="33"/>
  <c r="FW111" i="33"/>
  <c r="FV111" i="33"/>
  <c r="FU111" i="33"/>
  <c r="FT111" i="33"/>
  <c r="FS111" i="33"/>
  <c r="FR111" i="33"/>
  <c r="FQ111" i="33"/>
  <c r="FP111" i="33"/>
  <c r="FO111" i="33"/>
  <c r="FN111" i="33"/>
  <c r="FM111" i="33"/>
  <c r="FL111" i="33"/>
  <c r="FK111" i="33"/>
  <c r="FJ111" i="33"/>
  <c r="FI111" i="33"/>
  <c r="FH111" i="33"/>
  <c r="FG111" i="33"/>
  <c r="FF111" i="33"/>
  <c r="FE111" i="33"/>
  <c r="FD111" i="33"/>
  <c r="FC111" i="33"/>
  <c r="FB111" i="33"/>
  <c r="FA111" i="33"/>
  <c r="EZ111" i="33"/>
  <c r="EY111" i="33"/>
  <c r="EX111" i="33"/>
  <c r="EW111" i="33"/>
  <c r="EV111" i="33"/>
  <c r="EU111" i="33"/>
  <c r="ET111" i="33"/>
  <c r="ES111" i="33"/>
  <c r="ER111" i="33"/>
  <c r="EQ111" i="33"/>
  <c r="EP111" i="33"/>
  <c r="EO111" i="33"/>
  <c r="EN111" i="33"/>
  <c r="EM111" i="33"/>
  <c r="EL111" i="33"/>
  <c r="EK111" i="33"/>
  <c r="EJ111" i="33"/>
  <c r="EI111" i="33"/>
  <c r="EH111" i="33"/>
  <c r="EG111" i="33"/>
  <c r="EF111" i="33"/>
  <c r="EE111" i="33"/>
  <c r="ED111" i="33"/>
  <c r="EC111" i="33"/>
  <c r="EB111" i="33"/>
  <c r="EA111" i="33"/>
  <c r="DZ111" i="33"/>
  <c r="DY111" i="33"/>
  <c r="DX111" i="33"/>
  <c r="DW111" i="33"/>
  <c r="DV111" i="33"/>
  <c r="DU111" i="33"/>
  <c r="DT111" i="33"/>
  <c r="DS111" i="33"/>
  <c r="DR111" i="33"/>
  <c r="DQ111" i="33"/>
  <c r="DP111" i="33"/>
  <c r="DO111" i="33"/>
  <c r="DN111" i="33"/>
  <c r="DM111" i="33"/>
  <c r="DL111" i="33"/>
  <c r="DK111" i="33"/>
  <c r="DJ111" i="33"/>
  <c r="DI111" i="33"/>
  <c r="DH111" i="33"/>
  <c r="DG111" i="33"/>
  <c r="DF111" i="33"/>
  <c r="DE111" i="33"/>
  <c r="DD111" i="33"/>
  <c r="DC111" i="33"/>
  <c r="DB111" i="33"/>
  <c r="DA111" i="33"/>
  <c r="CZ111" i="33"/>
  <c r="CY111" i="33"/>
  <c r="CX111" i="33"/>
  <c r="CW111" i="33"/>
  <c r="CV111" i="33"/>
  <c r="CU111" i="33"/>
  <c r="CT111" i="33"/>
  <c r="CS111" i="33"/>
  <c r="CR111" i="33"/>
  <c r="CQ111" i="33"/>
  <c r="CP111" i="33"/>
  <c r="CO111" i="33"/>
  <c r="CN111" i="33"/>
  <c r="CM111" i="33"/>
  <c r="CL111" i="33"/>
  <c r="CK111" i="33"/>
  <c r="CJ111" i="33"/>
  <c r="CI111" i="33"/>
  <c r="CH111" i="33"/>
  <c r="CG111" i="33"/>
  <c r="CF111" i="33"/>
  <c r="CE111" i="33"/>
  <c r="CD111" i="33"/>
  <c r="CC111" i="33"/>
  <c r="CB111" i="33"/>
  <c r="CA111" i="33"/>
  <c r="BZ111" i="33"/>
  <c r="BY111" i="33"/>
  <c r="BX111" i="33"/>
  <c r="BW111" i="33"/>
  <c r="BV111" i="33"/>
  <c r="BU111" i="33"/>
  <c r="BT111" i="33"/>
  <c r="BS111" i="33"/>
  <c r="BR111" i="33"/>
  <c r="BQ111" i="33"/>
  <c r="BP111" i="33"/>
  <c r="BO111" i="33"/>
  <c r="BN111" i="33"/>
  <c r="BM111" i="33"/>
  <c r="BL111" i="33"/>
  <c r="BK111" i="33"/>
  <c r="BJ111" i="33"/>
  <c r="BI111" i="33"/>
  <c r="BH111" i="33"/>
  <c r="BG111" i="33"/>
  <c r="BF111" i="33"/>
  <c r="BE111" i="33"/>
  <c r="BD111" i="33"/>
  <c r="BC111" i="33"/>
  <c r="BB111" i="33"/>
  <c r="BA111" i="33"/>
  <c r="AZ111" i="33"/>
  <c r="AY111" i="33"/>
  <c r="AX111" i="33"/>
  <c r="AW111" i="33"/>
  <c r="AV111" i="33"/>
  <c r="AU111" i="33"/>
  <c r="AT111" i="33"/>
  <c r="AS111" i="33"/>
  <c r="AR111" i="33"/>
  <c r="AQ111" i="33"/>
  <c r="AP111" i="33"/>
  <c r="AO111" i="33"/>
  <c r="AN111" i="33"/>
  <c r="AM111" i="33"/>
  <c r="AL111" i="33"/>
  <c r="AK111" i="33"/>
  <c r="AJ111" i="33"/>
  <c r="AI111" i="33"/>
  <c r="AH111" i="33"/>
  <c r="AG111" i="33"/>
  <c r="AF111" i="33"/>
  <c r="AE111" i="33"/>
  <c r="AD111" i="33"/>
  <c r="AC111" i="33"/>
  <c r="AB111" i="33"/>
  <c r="AA111" i="33"/>
  <c r="Z111" i="33"/>
  <c r="Y111" i="33"/>
  <c r="X111" i="33"/>
  <c r="W111" i="33"/>
  <c r="V111" i="33"/>
  <c r="U111" i="33"/>
  <c r="T111" i="33"/>
  <c r="S111" i="33"/>
  <c r="R111" i="33"/>
  <c r="Q111" i="33"/>
  <c r="P111" i="33"/>
  <c r="O111" i="33"/>
  <c r="N111" i="33"/>
  <c r="M111" i="33"/>
  <c r="L111" i="33"/>
  <c r="K111" i="33"/>
  <c r="J111" i="33"/>
  <c r="I111" i="33"/>
  <c r="H111" i="33"/>
  <c r="G111" i="33"/>
  <c r="F111" i="33"/>
  <c r="E111" i="33"/>
  <c r="D111" i="33"/>
  <c r="C111" i="33"/>
  <c r="B111" i="33"/>
  <c r="A111" i="33"/>
  <c r="IV110" i="33"/>
  <c r="IU110" i="33"/>
  <c r="IT110" i="33"/>
  <c r="IS110" i="33"/>
  <c r="IR110" i="33"/>
  <c r="IQ110" i="33"/>
  <c r="IP110" i="33"/>
  <c r="IO110" i="33"/>
  <c r="IN110" i="33"/>
  <c r="IM110" i="33"/>
  <c r="IL110" i="33"/>
  <c r="IK110" i="33"/>
  <c r="IJ110" i="33"/>
  <c r="II110" i="33"/>
  <c r="IH110" i="33"/>
  <c r="IG110" i="33"/>
  <c r="IF110" i="33"/>
  <c r="IE110" i="33"/>
  <c r="ID110" i="33"/>
  <c r="IC110" i="33"/>
  <c r="IB110" i="33"/>
  <c r="IA110" i="33"/>
  <c r="HZ110" i="33"/>
  <c r="HY110" i="33"/>
  <c r="HX110" i="33"/>
  <c r="HW110" i="33"/>
  <c r="HV110" i="33"/>
  <c r="HU110" i="33"/>
  <c r="HT110" i="33"/>
  <c r="HS110" i="33"/>
  <c r="HR110" i="33"/>
  <c r="HQ110" i="33"/>
  <c r="HP110" i="33"/>
  <c r="HO110" i="33"/>
  <c r="HN110" i="33"/>
  <c r="HM110" i="33"/>
  <c r="HL110" i="33"/>
  <c r="HK110" i="33"/>
  <c r="HJ110" i="33"/>
  <c r="HI110" i="33"/>
  <c r="HH110" i="33"/>
  <c r="HG110" i="33"/>
  <c r="HF110" i="33"/>
  <c r="HE110" i="33"/>
  <c r="HD110" i="33"/>
  <c r="HC110" i="33"/>
  <c r="HB110" i="33"/>
  <c r="HA110" i="33"/>
  <c r="GZ110" i="33"/>
  <c r="GY110" i="33"/>
  <c r="GX110" i="33"/>
  <c r="GW110" i="33"/>
  <c r="GV110" i="33"/>
  <c r="GU110" i="33"/>
  <c r="GT110" i="33"/>
  <c r="GS110" i="33"/>
  <c r="GR110" i="33"/>
  <c r="GQ110" i="33"/>
  <c r="GP110" i="33"/>
  <c r="GO110" i="33"/>
  <c r="GN110" i="33"/>
  <c r="GM110" i="33"/>
  <c r="GL110" i="33"/>
  <c r="GK110" i="33"/>
  <c r="GJ110" i="33"/>
  <c r="GI110" i="33"/>
  <c r="GH110" i="33"/>
  <c r="GG110" i="33"/>
  <c r="GF110" i="33"/>
  <c r="GE110" i="33"/>
  <c r="GD110" i="33"/>
  <c r="GC110" i="33"/>
  <c r="GB110" i="33"/>
  <c r="GA110" i="33"/>
  <c r="FZ110" i="33"/>
  <c r="FY110" i="33"/>
  <c r="FX110" i="33"/>
  <c r="FW110" i="33"/>
  <c r="FV110" i="33"/>
  <c r="FU110" i="33"/>
  <c r="FT110" i="33"/>
  <c r="FS110" i="33"/>
  <c r="FR110" i="33"/>
  <c r="FQ110" i="33"/>
  <c r="FP110" i="33"/>
  <c r="FO110" i="33"/>
  <c r="FN110" i="33"/>
  <c r="FM110" i="33"/>
  <c r="FL110" i="33"/>
  <c r="FK110" i="33"/>
  <c r="FJ110" i="33"/>
  <c r="FI110" i="33"/>
  <c r="FH110" i="33"/>
  <c r="FG110" i="33"/>
  <c r="FF110" i="33"/>
  <c r="FE110" i="33"/>
  <c r="FD110" i="33"/>
  <c r="FC110" i="33"/>
  <c r="FB110" i="33"/>
  <c r="FA110" i="33"/>
  <c r="EZ110" i="33"/>
  <c r="EY110" i="33"/>
  <c r="EX110" i="33"/>
  <c r="EW110" i="33"/>
  <c r="EV110" i="33"/>
  <c r="EU110" i="33"/>
  <c r="ET110" i="33"/>
  <c r="ES110" i="33"/>
  <c r="ER110" i="33"/>
  <c r="EQ110" i="33"/>
  <c r="EP110" i="33"/>
  <c r="EO110" i="33"/>
  <c r="EN110" i="33"/>
  <c r="EM110" i="33"/>
  <c r="EL110" i="33"/>
  <c r="EK110" i="33"/>
  <c r="EJ110" i="33"/>
  <c r="EI110" i="33"/>
  <c r="EH110" i="33"/>
  <c r="EG110" i="33"/>
  <c r="EF110" i="33"/>
  <c r="EE110" i="33"/>
  <c r="ED110" i="33"/>
  <c r="EC110" i="33"/>
  <c r="EB110" i="33"/>
  <c r="EA110" i="33"/>
  <c r="DZ110" i="33"/>
  <c r="DY110" i="33"/>
  <c r="DX110" i="33"/>
  <c r="DW110" i="33"/>
  <c r="DV110" i="33"/>
  <c r="DU110" i="33"/>
  <c r="DT110" i="33"/>
  <c r="DS110" i="33"/>
  <c r="DR110" i="33"/>
  <c r="DQ110" i="33"/>
  <c r="DP110" i="33"/>
  <c r="DO110" i="33"/>
  <c r="DN110" i="33"/>
  <c r="DM110" i="33"/>
  <c r="DL110" i="33"/>
  <c r="DK110" i="33"/>
  <c r="DJ110" i="33"/>
  <c r="DI110" i="33"/>
  <c r="DH110" i="33"/>
  <c r="DG110" i="33"/>
  <c r="DF110" i="33"/>
  <c r="DE110" i="33"/>
  <c r="DD110" i="33"/>
  <c r="DC110" i="33"/>
  <c r="DB110" i="33"/>
  <c r="DA110" i="33"/>
  <c r="CZ110" i="33"/>
  <c r="CY110" i="33"/>
  <c r="CX110" i="33"/>
  <c r="CW110" i="33"/>
  <c r="CV110" i="33"/>
  <c r="CU110" i="33"/>
  <c r="CT110" i="33"/>
  <c r="CS110" i="33"/>
  <c r="CR110" i="33"/>
  <c r="CQ110" i="33"/>
  <c r="CP110" i="33"/>
  <c r="CO110" i="33"/>
  <c r="CN110" i="33"/>
  <c r="CM110" i="33"/>
  <c r="CL110" i="33"/>
  <c r="CK110" i="33"/>
  <c r="CJ110" i="33"/>
  <c r="CI110" i="33"/>
  <c r="CH110" i="33"/>
  <c r="CG110" i="33"/>
  <c r="CF110" i="33"/>
  <c r="CE110" i="33"/>
  <c r="CD110" i="33"/>
  <c r="CC110" i="33"/>
  <c r="CB110" i="33"/>
  <c r="CA110" i="33"/>
  <c r="BZ110" i="33"/>
  <c r="BY110" i="33"/>
  <c r="BX110" i="33"/>
  <c r="BW110" i="33"/>
  <c r="BV110" i="33"/>
  <c r="BU110" i="33"/>
  <c r="BT110" i="33"/>
  <c r="BS110" i="33"/>
  <c r="BR110" i="33"/>
  <c r="BQ110" i="33"/>
  <c r="BP110" i="33"/>
  <c r="BO110" i="33"/>
  <c r="BN110" i="33"/>
  <c r="BM110" i="33"/>
  <c r="BL110" i="33"/>
  <c r="BK110" i="33"/>
  <c r="BJ110" i="33"/>
  <c r="BI110" i="33"/>
  <c r="BH110" i="33"/>
  <c r="BG110" i="33"/>
  <c r="BF110" i="33"/>
  <c r="BE110" i="33"/>
  <c r="BD110" i="33"/>
  <c r="BC110" i="33"/>
  <c r="BB110" i="33"/>
  <c r="BA110" i="33"/>
  <c r="AZ110" i="33"/>
  <c r="AY110" i="33"/>
  <c r="AX110" i="33"/>
  <c r="AW110" i="33"/>
  <c r="AV110" i="33"/>
  <c r="AU110" i="33"/>
  <c r="AT110" i="33"/>
  <c r="AS110" i="33"/>
  <c r="AR110" i="33"/>
  <c r="AQ110" i="33"/>
  <c r="AP110" i="33"/>
  <c r="AO110" i="33"/>
  <c r="AN110" i="33"/>
  <c r="AM110" i="33"/>
  <c r="AL110" i="33"/>
  <c r="AK110" i="33"/>
  <c r="AJ110" i="33"/>
  <c r="AI110" i="33"/>
  <c r="AH110" i="33"/>
  <c r="AG110" i="33"/>
  <c r="AF110" i="33"/>
  <c r="AE110" i="33"/>
  <c r="AD110" i="33"/>
  <c r="AC110" i="33"/>
  <c r="AB110" i="33"/>
  <c r="AA110" i="33"/>
  <c r="Z110" i="33"/>
  <c r="Y110" i="33"/>
  <c r="X110" i="33"/>
  <c r="W110" i="33"/>
  <c r="V110" i="33"/>
  <c r="U110" i="33"/>
  <c r="T110" i="33"/>
  <c r="S110" i="33"/>
  <c r="R110" i="33"/>
  <c r="Q110" i="33"/>
  <c r="P110" i="33"/>
  <c r="O110" i="33"/>
  <c r="N110" i="33"/>
  <c r="M110" i="33"/>
  <c r="L110" i="33"/>
  <c r="K110" i="33"/>
  <c r="J110" i="33"/>
  <c r="I110" i="33"/>
  <c r="H110" i="33"/>
  <c r="G110" i="33"/>
  <c r="F110" i="33"/>
  <c r="E110" i="33"/>
  <c r="D110" i="33"/>
  <c r="C110" i="33"/>
  <c r="B110" i="33"/>
  <c r="A110" i="33"/>
  <c r="IV109" i="33"/>
  <c r="IU109" i="33"/>
  <c r="IT109" i="33"/>
  <c r="IS109" i="33"/>
  <c r="IR109" i="33"/>
  <c r="IQ109" i="33"/>
  <c r="IP109" i="33"/>
  <c r="IO109" i="33"/>
  <c r="IN109" i="33"/>
  <c r="IM109" i="33"/>
  <c r="IL109" i="33"/>
  <c r="IK109" i="33"/>
  <c r="IJ109" i="33"/>
  <c r="II109" i="33"/>
  <c r="IH109" i="33"/>
  <c r="IG109" i="33"/>
  <c r="IF109" i="33"/>
  <c r="IE109" i="33"/>
  <c r="ID109" i="33"/>
  <c r="IC109" i="33"/>
  <c r="IB109" i="33"/>
  <c r="IA109" i="33"/>
  <c r="HZ109" i="33"/>
  <c r="HY109" i="33"/>
  <c r="HX109" i="33"/>
  <c r="HW109" i="33"/>
  <c r="HV109" i="33"/>
  <c r="HU109" i="33"/>
  <c r="HT109" i="33"/>
  <c r="HS109" i="33"/>
  <c r="HR109" i="33"/>
  <c r="HQ109" i="33"/>
  <c r="HP109" i="33"/>
  <c r="HO109" i="33"/>
  <c r="HN109" i="33"/>
  <c r="HM109" i="33"/>
  <c r="HL109" i="33"/>
  <c r="HK109" i="33"/>
  <c r="HJ109" i="33"/>
  <c r="HI109" i="33"/>
  <c r="HH109" i="33"/>
  <c r="HG109" i="33"/>
  <c r="HF109" i="33"/>
  <c r="HE109" i="33"/>
  <c r="HD109" i="33"/>
  <c r="HC109" i="33"/>
  <c r="HB109" i="33"/>
  <c r="HA109" i="33"/>
  <c r="GZ109" i="33"/>
  <c r="GY109" i="33"/>
  <c r="GX109" i="33"/>
  <c r="GW109" i="33"/>
  <c r="GV109" i="33"/>
  <c r="GU109" i="33"/>
  <c r="GT109" i="33"/>
  <c r="GS109" i="33"/>
  <c r="GR109" i="33"/>
  <c r="GQ109" i="33"/>
  <c r="GP109" i="33"/>
  <c r="GO109" i="33"/>
  <c r="GN109" i="33"/>
  <c r="GM109" i="33"/>
  <c r="GL109" i="33"/>
  <c r="GK109" i="33"/>
  <c r="GJ109" i="33"/>
  <c r="GI109" i="33"/>
  <c r="GH109" i="33"/>
  <c r="GG109" i="33"/>
  <c r="GF109" i="33"/>
  <c r="GE109" i="33"/>
  <c r="GD109" i="33"/>
  <c r="GC109" i="33"/>
  <c r="GB109" i="33"/>
  <c r="GA109" i="33"/>
  <c r="FZ109" i="33"/>
  <c r="FY109" i="33"/>
  <c r="FX109" i="33"/>
  <c r="FW109" i="33"/>
  <c r="FV109" i="33"/>
  <c r="FU109" i="33"/>
  <c r="FT109" i="33"/>
  <c r="FS109" i="33"/>
  <c r="FR109" i="33"/>
  <c r="FQ109" i="33"/>
  <c r="FP109" i="33"/>
  <c r="FO109" i="33"/>
  <c r="FN109" i="33"/>
  <c r="FM109" i="33"/>
  <c r="FL109" i="33"/>
  <c r="FK109" i="33"/>
  <c r="FJ109" i="33"/>
  <c r="FI109" i="33"/>
  <c r="FH109" i="33"/>
  <c r="FG109" i="33"/>
  <c r="FF109" i="33"/>
  <c r="FE109" i="33"/>
  <c r="FD109" i="33"/>
  <c r="FC109" i="33"/>
  <c r="FB109" i="33"/>
  <c r="FA109" i="33"/>
  <c r="EZ109" i="33"/>
  <c r="EY109" i="33"/>
  <c r="EX109" i="33"/>
  <c r="EW109" i="33"/>
  <c r="EV109" i="33"/>
  <c r="EU109" i="33"/>
  <c r="ET109" i="33"/>
  <c r="ES109" i="33"/>
  <c r="ER109" i="33"/>
  <c r="EQ109" i="33"/>
  <c r="EP109" i="33"/>
  <c r="EO109" i="33"/>
  <c r="EN109" i="33"/>
  <c r="EM109" i="33"/>
  <c r="EL109" i="33"/>
  <c r="EK109" i="33"/>
  <c r="EJ109" i="33"/>
  <c r="EI109" i="33"/>
  <c r="EH109" i="33"/>
  <c r="EG109" i="33"/>
  <c r="EF109" i="33"/>
  <c r="EE109" i="33"/>
  <c r="ED109" i="33"/>
  <c r="EC109" i="33"/>
  <c r="EB109" i="33"/>
  <c r="EA109" i="33"/>
  <c r="DZ109" i="33"/>
  <c r="DY109" i="33"/>
  <c r="DX109" i="33"/>
  <c r="DW109" i="33"/>
  <c r="DV109" i="33"/>
  <c r="DU109" i="33"/>
  <c r="DT109" i="33"/>
  <c r="DS109" i="33"/>
  <c r="DR109" i="33"/>
  <c r="DQ109" i="33"/>
  <c r="DP109" i="33"/>
  <c r="DO109" i="33"/>
  <c r="DN109" i="33"/>
  <c r="DM109" i="33"/>
  <c r="DL109" i="33"/>
  <c r="DK109" i="33"/>
  <c r="DJ109" i="33"/>
  <c r="DI109" i="33"/>
  <c r="DH109" i="33"/>
  <c r="DG109" i="33"/>
  <c r="DF109" i="33"/>
  <c r="DE109" i="33"/>
  <c r="DD109" i="33"/>
  <c r="DC109" i="33"/>
  <c r="DB109" i="33"/>
  <c r="DA109" i="33"/>
  <c r="CZ109" i="33"/>
  <c r="CY109" i="33"/>
  <c r="CX109" i="33"/>
  <c r="CW109" i="33"/>
  <c r="CV109" i="33"/>
  <c r="CU109" i="33"/>
  <c r="CT109" i="33"/>
  <c r="CS109" i="33"/>
  <c r="CR109" i="33"/>
  <c r="CQ109" i="33"/>
  <c r="CP109" i="33"/>
  <c r="CO109" i="33"/>
  <c r="CN109" i="33"/>
  <c r="CM109" i="33"/>
  <c r="CL109" i="33"/>
  <c r="CK109" i="33"/>
  <c r="CJ109" i="33"/>
  <c r="CI109" i="33"/>
  <c r="CH109" i="33"/>
  <c r="CG109" i="33"/>
  <c r="CF109" i="33"/>
  <c r="CE109" i="33"/>
  <c r="CD109" i="33"/>
  <c r="CC109" i="33"/>
  <c r="CB109" i="33"/>
  <c r="CA109" i="33"/>
  <c r="BZ109" i="33"/>
  <c r="BY109" i="33"/>
  <c r="BX109" i="33"/>
  <c r="BW109" i="33"/>
  <c r="BV109" i="33"/>
  <c r="BU109" i="33"/>
  <c r="BT109" i="33"/>
  <c r="BS109" i="33"/>
  <c r="BR109" i="33"/>
  <c r="BQ109" i="33"/>
  <c r="BP109" i="33"/>
  <c r="BO109" i="33"/>
  <c r="BN109" i="33"/>
  <c r="BM109" i="33"/>
  <c r="BL109" i="33"/>
  <c r="BK109" i="33"/>
  <c r="BJ109" i="33"/>
  <c r="BI109" i="33"/>
  <c r="BH109" i="33"/>
  <c r="BG109" i="33"/>
  <c r="BF109" i="33"/>
  <c r="BE109" i="33"/>
  <c r="BD109" i="33"/>
  <c r="BC109" i="33"/>
  <c r="BB109" i="33"/>
  <c r="BA109" i="33"/>
  <c r="AZ109" i="33"/>
  <c r="AY109" i="33"/>
  <c r="AX109" i="33"/>
  <c r="AW109" i="33"/>
  <c r="AV109" i="33"/>
  <c r="AU109" i="33"/>
  <c r="AT109" i="33"/>
  <c r="AS109" i="33"/>
  <c r="AR109" i="33"/>
  <c r="AQ109" i="33"/>
  <c r="AP109" i="33"/>
  <c r="AO109" i="33"/>
  <c r="AN109" i="33"/>
  <c r="AM109" i="33"/>
  <c r="AL109" i="33"/>
  <c r="AK109" i="33"/>
  <c r="AJ109" i="33"/>
  <c r="AI109" i="33"/>
  <c r="AH109" i="33"/>
  <c r="AG109" i="33"/>
  <c r="AF109" i="33"/>
  <c r="AE109" i="33"/>
  <c r="AD109" i="33"/>
  <c r="AC109" i="33"/>
  <c r="AB109" i="33"/>
  <c r="AA109" i="33"/>
  <c r="Z109" i="33"/>
  <c r="Y109" i="33"/>
  <c r="X109" i="33"/>
  <c r="W109" i="33"/>
  <c r="V109" i="33"/>
  <c r="U109" i="33"/>
  <c r="T109" i="33"/>
  <c r="S109" i="33"/>
  <c r="R109" i="33"/>
  <c r="Q109" i="33"/>
  <c r="P109" i="33"/>
  <c r="O109" i="33"/>
  <c r="N109" i="33"/>
  <c r="M109" i="33"/>
  <c r="L109" i="33"/>
  <c r="K109" i="33"/>
  <c r="J109" i="33"/>
  <c r="I109" i="33"/>
  <c r="H109" i="33"/>
  <c r="G109" i="33"/>
  <c r="F109" i="33"/>
  <c r="E109" i="33"/>
  <c r="D109" i="33"/>
  <c r="C109" i="33"/>
  <c r="B109" i="33"/>
  <c r="A109" i="33"/>
  <c r="IV108" i="33"/>
  <c r="IU108" i="33"/>
  <c r="IT108" i="33"/>
  <c r="IS108" i="33"/>
  <c r="IR108" i="33"/>
  <c r="IQ108" i="33"/>
  <c r="IP108" i="33"/>
  <c r="IO108" i="33"/>
  <c r="IN108" i="33"/>
  <c r="IM108" i="33"/>
  <c r="IL108" i="33"/>
  <c r="IK108" i="33"/>
  <c r="IJ108" i="33"/>
  <c r="II108" i="33"/>
  <c r="IH108" i="33"/>
  <c r="IG108" i="33"/>
  <c r="IF108" i="33"/>
  <c r="IE108" i="33"/>
  <c r="ID108" i="33"/>
  <c r="IC108" i="33"/>
  <c r="IB108" i="33"/>
  <c r="IA108" i="33"/>
  <c r="HZ108" i="33"/>
  <c r="HY108" i="33"/>
  <c r="HX108" i="33"/>
  <c r="HW108" i="33"/>
  <c r="HV108" i="33"/>
  <c r="HU108" i="33"/>
  <c r="HT108" i="33"/>
  <c r="HS108" i="33"/>
  <c r="HR108" i="33"/>
  <c r="HQ108" i="33"/>
  <c r="HP108" i="33"/>
  <c r="HO108" i="33"/>
  <c r="HN108" i="33"/>
  <c r="HM108" i="33"/>
  <c r="HL108" i="33"/>
  <c r="HK108" i="33"/>
  <c r="HJ108" i="33"/>
  <c r="HI108" i="33"/>
  <c r="HH108" i="33"/>
  <c r="HG108" i="33"/>
  <c r="HF108" i="33"/>
  <c r="HE108" i="33"/>
  <c r="HD108" i="33"/>
  <c r="HC108" i="33"/>
  <c r="HB108" i="33"/>
  <c r="HA108" i="33"/>
  <c r="GZ108" i="33"/>
  <c r="GY108" i="33"/>
  <c r="GX108" i="33"/>
  <c r="GW108" i="33"/>
  <c r="GV108" i="33"/>
  <c r="GU108" i="33"/>
  <c r="GT108" i="33"/>
  <c r="GS108" i="33"/>
  <c r="GR108" i="33"/>
  <c r="GQ108" i="33"/>
  <c r="GP108" i="33"/>
  <c r="GO108" i="33"/>
  <c r="GN108" i="33"/>
  <c r="GM108" i="33"/>
  <c r="GL108" i="33"/>
  <c r="GK108" i="33"/>
  <c r="GJ108" i="33"/>
  <c r="GI108" i="33"/>
  <c r="GH108" i="33"/>
  <c r="GG108" i="33"/>
  <c r="GF108" i="33"/>
  <c r="GE108" i="33"/>
  <c r="GD108" i="33"/>
  <c r="GC108" i="33"/>
  <c r="GB108" i="33"/>
  <c r="GA108" i="33"/>
  <c r="FZ108" i="33"/>
  <c r="FY108" i="33"/>
  <c r="FX108" i="33"/>
  <c r="FW108" i="33"/>
  <c r="FV108" i="33"/>
  <c r="FU108" i="33"/>
  <c r="FT108" i="33"/>
  <c r="FS108" i="33"/>
  <c r="FR108" i="33"/>
  <c r="FQ108" i="33"/>
  <c r="FP108" i="33"/>
  <c r="FO108" i="33"/>
  <c r="FN108" i="33"/>
  <c r="FM108" i="33"/>
  <c r="FL108" i="33"/>
  <c r="FK108" i="33"/>
  <c r="FJ108" i="33"/>
  <c r="FI108" i="33"/>
  <c r="FH108" i="33"/>
  <c r="FG108" i="33"/>
  <c r="FF108" i="33"/>
  <c r="FE108" i="33"/>
  <c r="FD108" i="33"/>
  <c r="FC108" i="33"/>
  <c r="FB108" i="33"/>
  <c r="FA108" i="33"/>
  <c r="EZ108" i="33"/>
  <c r="EY108" i="33"/>
  <c r="EX108" i="33"/>
  <c r="EW108" i="33"/>
  <c r="EV108" i="33"/>
  <c r="EU108" i="33"/>
  <c r="ET108" i="33"/>
  <c r="ES108" i="33"/>
  <c r="ER108" i="33"/>
  <c r="EQ108" i="33"/>
  <c r="EP108" i="33"/>
  <c r="EO108" i="33"/>
  <c r="EN108" i="33"/>
  <c r="EM108" i="33"/>
  <c r="EL108" i="33"/>
  <c r="EK108" i="33"/>
  <c r="EJ108" i="33"/>
  <c r="EI108" i="33"/>
  <c r="EH108" i="33"/>
  <c r="EG108" i="33"/>
  <c r="EF108" i="33"/>
  <c r="EE108" i="33"/>
  <c r="ED108" i="33"/>
  <c r="EC108" i="33"/>
  <c r="EB108" i="33"/>
  <c r="EA108" i="33"/>
  <c r="DZ108" i="33"/>
  <c r="DY108" i="33"/>
  <c r="DX108" i="33"/>
  <c r="DW108" i="33"/>
  <c r="DV108" i="33"/>
  <c r="DU108" i="33"/>
  <c r="DT108" i="33"/>
  <c r="DS108" i="33"/>
  <c r="DR108" i="33"/>
  <c r="DQ108" i="33"/>
  <c r="DP108" i="33"/>
  <c r="DO108" i="33"/>
  <c r="DN108" i="33"/>
  <c r="DM108" i="33"/>
  <c r="DL108" i="33"/>
  <c r="DK108" i="33"/>
  <c r="DJ108" i="33"/>
  <c r="DI108" i="33"/>
  <c r="DH108" i="33"/>
  <c r="DG108" i="33"/>
  <c r="DF108" i="33"/>
  <c r="DE108" i="33"/>
  <c r="DD108" i="33"/>
  <c r="DC108" i="33"/>
  <c r="DB108" i="33"/>
  <c r="DA108" i="33"/>
  <c r="CZ108" i="33"/>
  <c r="CY108" i="33"/>
  <c r="CX108" i="33"/>
  <c r="CW108" i="33"/>
  <c r="CV108" i="33"/>
  <c r="CU108" i="33"/>
  <c r="CT108" i="33"/>
  <c r="CS108" i="33"/>
  <c r="CR108" i="33"/>
  <c r="CQ108" i="33"/>
  <c r="CP108" i="33"/>
  <c r="CO108" i="33"/>
  <c r="CN108" i="33"/>
  <c r="CM108" i="33"/>
  <c r="CL108" i="33"/>
  <c r="CK108" i="33"/>
  <c r="CJ108" i="33"/>
  <c r="CI108" i="33"/>
  <c r="CH108" i="33"/>
  <c r="CG108" i="33"/>
  <c r="CF108" i="33"/>
  <c r="CE108" i="33"/>
  <c r="CD108" i="33"/>
  <c r="CC108" i="33"/>
  <c r="CB108" i="33"/>
  <c r="CA108" i="33"/>
  <c r="BZ108" i="33"/>
  <c r="BY108" i="33"/>
  <c r="BX108" i="33"/>
  <c r="BW108" i="33"/>
  <c r="BV108" i="33"/>
  <c r="BU108" i="33"/>
  <c r="BT108" i="33"/>
  <c r="BS108" i="33"/>
  <c r="BR108" i="33"/>
  <c r="BQ108" i="33"/>
  <c r="BP108" i="33"/>
  <c r="BO108" i="33"/>
  <c r="BN108" i="33"/>
  <c r="BM108" i="33"/>
  <c r="BL108" i="33"/>
  <c r="BK108" i="33"/>
  <c r="BJ108" i="33"/>
  <c r="BI108" i="33"/>
  <c r="BH108" i="33"/>
  <c r="BG108" i="33"/>
  <c r="BF108" i="33"/>
  <c r="BE108" i="33"/>
  <c r="BD108" i="33"/>
  <c r="BC108" i="33"/>
  <c r="BB108" i="33"/>
  <c r="BA108" i="33"/>
  <c r="AZ108" i="33"/>
  <c r="AY108" i="33"/>
  <c r="AX108" i="33"/>
  <c r="AW108" i="33"/>
  <c r="AV108" i="33"/>
  <c r="AU108" i="33"/>
  <c r="AT108" i="33"/>
  <c r="AS108" i="33"/>
  <c r="AR108" i="33"/>
  <c r="AQ108" i="33"/>
  <c r="AP108" i="33"/>
  <c r="AO108" i="33"/>
  <c r="AN108" i="33"/>
  <c r="AM108" i="33"/>
  <c r="AL108" i="33"/>
  <c r="AK108" i="33"/>
  <c r="AJ108" i="33"/>
  <c r="AI108" i="33"/>
  <c r="AH108" i="33"/>
  <c r="AG108" i="33"/>
  <c r="AF108" i="33"/>
  <c r="AE108" i="33"/>
  <c r="AD108" i="33"/>
  <c r="AC108" i="33"/>
  <c r="AB108" i="33"/>
  <c r="AA108" i="33"/>
  <c r="Z108" i="33"/>
  <c r="Y108" i="33"/>
  <c r="X108" i="33"/>
  <c r="W108" i="33"/>
  <c r="V108" i="33"/>
  <c r="U108" i="33"/>
  <c r="T108" i="33"/>
  <c r="S108" i="33"/>
  <c r="R108" i="33"/>
  <c r="Q108" i="33"/>
  <c r="P108" i="33"/>
  <c r="O108" i="33"/>
  <c r="N108" i="33"/>
  <c r="M108" i="33"/>
  <c r="L108" i="33"/>
  <c r="K108" i="33"/>
  <c r="J108" i="33"/>
  <c r="I108" i="33"/>
  <c r="H108" i="33"/>
  <c r="G108" i="33"/>
  <c r="F108" i="33"/>
  <c r="E108" i="33"/>
  <c r="D108" i="33"/>
  <c r="C108" i="33"/>
  <c r="B108" i="33"/>
  <c r="A108" i="33"/>
  <c r="IV107" i="33"/>
  <c r="IU107" i="33"/>
  <c r="IT107" i="33"/>
  <c r="IS107" i="33"/>
  <c r="IR107" i="33"/>
  <c r="IQ107" i="33"/>
  <c r="IP107" i="33"/>
  <c r="IO107" i="33"/>
  <c r="IN107" i="33"/>
  <c r="IM107" i="33"/>
  <c r="IL107" i="33"/>
  <c r="IK107" i="33"/>
  <c r="IJ107" i="33"/>
  <c r="II107" i="33"/>
  <c r="IH107" i="33"/>
  <c r="IG107" i="33"/>
  <c r="IF107" i="33"/>
  <c r="IE107" i="33"/>
  <c r="ID107" i="33"/>
  <c r="IC107" i="33"/>
  <c r="IB107" i="33"/>
  <c r="IA107" i="33"/>
  <c r="HZ107" i="33"/>
  <c r="HY107" i="33"/>
  <c r="HX107" i="33"/>
  <c r="HW107" i="33"/>
  <c r="HV107" i="33"/>
  <c r="HU107" i="33"/>
  <c r="HT107" i="33"/>
  <c r="HS107" i="33"/>
  <c r="HR107" i="33"/>
  <c r="HQ107" i="33"/>
  <c r="HP107" i="33"/>
  <c r="HO107" i="33"/>
  <c r="HN107" i="33"/>
  <c r="HM107" i="33"/>
  <c r="HL107" i="33"/>
  <c r="HK107" i="33"/>
  <c r="HJ107" i="33"/>
  <c r="HI107" i="33"/>
  <c r="HH107" i="33"/>
  <c r="HG107" i="33"/>
  <c r="HF107" i="33"/>
  <c r="HE107" i="33"/>
  <c r="HD107" i="33"/>
  <c r="HC107" i="33"/>
  <c r="HB107" i="33"/>
  <c r="HA107" i="33"/>
  <c r="GZ107" i="33"/>
  <c r="GY107" i="33"/>
  <c r="GX107" i="33"/>
  <c r="GW107" i="33"/>
  <c r="GV107" i="33"/>
  <c r="GU107" i="33"/>
  <c r="GT107" i="33"/>
  <c r="GS107" i="33"/>
  <c r="GR107" i="33"/>
  <c r="GQ107" i="33"/>
  <c r="GP107" i="33"/>
  <c r="GO107" i="33"/>
  <c r="GN107" i="33"/>
  <c r="GM107" i="33"/>
  <c r="GL107" i="33"/>
  <c r="GK107" i="33"/>
  <c r="GJ107" i="33"/>
  <c r="GI107" i="33"/>
  <c r="GH107" i="33"/>
  <c r="GG107" i="33"/>
  <c r="GF107" i="33"/>
  <c r="GE107" i="33"/>
  <c r="GD107" i="33"/>
  <c r="GC107" i="33"/>
  <c r="GB107" i="33"/>
  <c r="GA107" i="33"/>
  <c r="FZ107" i="33"/>
  <c r="FY107" i="33"/>
  <c r="FX107" i="33"/>
  <c r="FW107" i="33"/>
  <c r="FV107" i="33"/>
  <c r="FU107" i="33"/>
  <c r="FT107" i="33"/>
  <c r="FS107" i="33"/>
  <c r="FR107" i="33"/>
  <c r="FQ107" i="33"/>
  <c r="FP107" i="33"/>
  <c r="FO107" i="33"/>
  <c r="FN107" i="33"/>
  <c r="FM107" i="33"/>
  <c r="FL107" i="33"/>
  <c r="FK107" i="33"/>
  <c r="FJ107" i="33"/>
  <c r="FI107" i="33"/>
  <c r="FH107" i="33"/>
  <c r="FG107" i="33"/>
  <c r="FF107" i="33"/>
  <c r="FE107" i="33"/>
  <c r="FD107" i="33"/>
  <c r="FC107" i="33"/>
  <c r="FB107" i="33"/>
  <c r="FA107" i="33"/>
  <c r="EZ107" i="33"/>
  <c r="EY107" i="33"/>
  <c r="EX107" i="33"/>
  <c r="EW107" i="33"/>
  <c r="EV107" i="33"/>
  <c r="EU107" i="33"/>
  <c r="ET107" i="33"/>
  <c r="ES107" i="33"/>
  <c r="ER107" i="33"/>
  <c r="EQ107" i="33"/>
  <c r="EP107" i="33"/>
  <c r="EO107" i="33"/>
  <c r="EN107" i="33"/>
  <c r="EM107" i="33"/>
  <c r="EL107" i="33"/>
  <c r="EK107" i="33"/>
  <c r="EJ107" i="33"/>
  <c r="EI107" i="33"/>
  <c r="EH107" i="33"/>
  <c r="EG107" i="33"/>
  <c r="EF107" i="33"/>
  <c r="EE107" i="33"/>
  <c r="ED107" i="33"/>
  <c r="EC107" i="33"/>
  <c r="EB107" i="33"/>
  <c r="EA107" i="33"/>
  <c r="DZ107" i="33"/>
  <c r="DY107" i="33"/>
  <c r="DX107" i="33"/>
  <c r="DW107" i="33"/>
  <c r="DV107" i="33"/>
  <c r="DU107" i="33"/>
  <c r="DT107" i="33"/>
  <c r="DS107" i="33"/>
  <c r="DR107" i="33"/>
  <c r="DQ107" i="33"/>
  <c r="DP107" i="33"/>
  <c r="DO107" i="33"/>
  <c r="DN107" i="33"/>
  <c r="DM107" i="33"/>
  <c r="DL107" i="33"/>
  <c r="DK107" i="33"/>
  <c r="DJ107" i="33"/>
  <c r="DI107" i="33"/>
  <c r="DH107" i="33"/>
  <c r="DG107" i="33"/>
  <c r="DF107" i="33"/>
  <c r="DE107" i="33"/>
  <c r="DD107" i="33"/>
  <c r="DC107" i="33"/>
  <c r="DB107" i="33"/>
  <c r="DA107" i="33"/>
  <c r="CZ107" i="33"/>
  <c r="CY107" i="33"/>
  <c r="CX107" i="33"/>
  <c r="CW107" i="33"/>
  <c r="CV107" i="33"/>
  <c r="CU107" i="33"/>
  <c r="CT107" i="33"/>
  <c r="CS107" i="33"/>
  <c r="CR107" i="33"/>
  <c r="CQ107" i="33"/>
  <c r="CP107" i="33"/>
  <c r="CO107" i="33"/>
  <c r="CN107" i="33"/>
  <c r="CM107" i="33"/>
  <c r="CL107" i="33"/>
  <c r="CK107" i="33"/>
  <c r="CJ107" i="33"/>
  <c r="CI107" i="33"/>
  <c r="CH107" i="33"/>
  <c r="CG107" i="33"/>
  <c r="CF107" i="33"/>
  <c r="CE107" i="33"/>
  <c r="CD107" i="33"/>
  <c r="CC107" i="33"/>
  <c r="CB107" i="33"/>
  <c r="CA107" i="33"/>
  <c r="BZ107" i="33"/>
  <c r="BY107" i="33"/>
  <c r="BX107" i="33"/>
  <c r="BW107" i="33"/>
  <c r="BV107" i="33"/>
  <c r="BU107" i="33"/>
  <c r="BT107" i="33"/>
  <c r="BS107" i="33"/>
  <c r="BR107" i="33"/>
  <c r="BQ107" i="33"/>
  <c r="BP107" i="33"/>
  <c r="BO107" i="33"/>
  <c r="BN107" i="33"/>
  <c r="BM107" i="33"/>
  <c r="BL107" i="33"/>
  <c r="BK107" i="33"/>
  <c r="BJ107" i="33"/>
  <c r="BI107" i="33"/>
  <c r="BH107" i="33"/>
  <c r="BG107" i="33"/>
  <c r="BF107" i="33"/>
  <c r="BE107" i="33"/>
  <c r="BD107" i="33"/>
  <c r="BC107" i="33"/>
  <c r="BB107" i="33"/>
  <c r="BA107" i="33"/>
  <c r="AZ107" i="33"/>
  <c r="AY107" i="33"/>
  <c r="AX107" i="33"/>
  <c r="AW107" i="33"/>
  <c r="AV107" i="33"/>
  <c r="AU107" i="33"/>
  <c r="AT107" i="33"/>
  <c r="AS107" i="33"/>
  <c r="AR107" i="33"/>
  <c r="AQ107" i="33"/>
  <c r="AP107" i="33"/>
  <c r="AO107" i="33"/>
  <c r="AN107" i="33"/>
  <c r="AM107" i="33"/>
  <c r="AL107" i="33"/>
  <c r="AK107" i="33"/>
  <c r="AJ107" i="33"/>
  <c r="AI107" i="33"/>
  <c r="AH107" i="33"/>
  <c r="AG107" i="33"/>
  <c r="AF107" i="33"/>
  <c r="AE107" i="33"/>
  <c r="AD107" i="33"/>
  <c r="AC107" i="33"/>
  <c r="AB107" i="33"/>
  <c r="AA107" i="33"/>
  <c r="Z107" i="33"/>
  <c r="Y107" i="33"/>
  <c r="X107" i="33"/>
  <c r="W107" i="33"/>
  <c r="V107" i="33"/>
  <c r="U107" i="33"/>
  <c r="T107" i="33"/>
  <c r="S107" i="33"/>
  <c r="R107" i="33"/>
  <c r="Q107" i="33"/>
  <c r="P107" i="33"/>
  <c r="O107" i="33"/>
  <c r="N107" i="33"/>
  <c r="M107" i="33"/>
  <c r="L107" i="33"/>
  <c r="K107" i="33"/>
  <c r="J107" i="33"/>
  <c r="I107" i="33"/>
  <c r="H107" i="33"/>
  <c r="G107" i="33"/>
  <c r="F107" i="33"/>
  <c r="E107" i="33"/>
  <c r="D107" i="33"/>
  <c r="C107" i="33"/>
  <c r="B107" i="33"/>
  <c r="A107" i="33"/>
  <c r="IV106" i="33"/>
  <c r="IU106" i="33"/>
  <c r="IT106" i="33"/>
  <c r="IS106" i="33"/>
  <c r="IR106" i="33"/>
  <c r="IQ106" i="33"/>
  <c r="IP106" i="33"/>
  <c r="IO106" i="33"/>
  <c r="IN106" i="33"/>
  <c r="IM106" i="33"/>
  <c r="IL106" i="33"/>
  <c r="IK106" i="33"/>
  <c r="IJ106" i="33"/>
  <c r="II106" i="33"/>
  <c r="IH106" i="33"/>
  <c r="IG106" i="33"/>
  <c r="IF106" i="33"/>
  <c r="IE106" i="33"/>
  <c r="ID106" i="33"/>
  <c r="IC106" i="33"/>
  <c r="IB106" i="33"/>
  <c r="IA106" i="33"/>
  <c r="HZ106" i="33"/>
  <c r="HY106" i="33"/>
  <c r="HX106" i="33"/>
  <c r="HW106" i="33"/>
  <c r="HV106" i="33"/>
  <c r="HU106" i="33"/>
  <c r="HT106" i="33"/>
  <c r="HS106" i="33"/>
  <c r="HR106" i="33"/>
  <c r="HQ106" i="33"/>
  <c r="HP106" i="33"/>
  <c r="HO106" i="33"/>
  <c r="HN106" i="33"/>
  <c r="HM106" i="33"/>
  <c r="HL106" i="33"/>
  <c r="HK106" i="33"/>
  <c r="HJ106" i="33"/>
  <c r="HI106" i="33"/>
  <c r="HH106" i="33"/>
  <c r="HG106" i="33"/>
  <c r="HF106" i="33"/>
  <c r="HE106" i="33"/>
  <c r="HD106" i="33"/>
  <c r="HC106" i="33"/>
  <c r="HB106" i="33"/>
  <c r="HA106" i="33"/>
  <c r="GZ106" i="33"/>
  <c r="GY106" i="33"/>
  <c r="GX106" i="33"/>
  <c r="GW106" i="33"/>
  <c r="GV106" i="33"/>
  <c r="GU106" i="33"/>
  <c r="GT106" i="33"/>
  <c r="GS106" i="33"/>
  <c r="GR106" i="33"/>
  <c r="GQ106" i="33"/>
  <c r="GP106" i="33"/>
  <c r="GO106" i="33"/>
  <c r="GN106" i="33"/>
  <c r="GM106" i="33"/>
  <c r="GL106" i="33"/>
  <c r="GK106" i="33"/>
  <c r="GJ106" i="33"/>
  <c r="GI106" i="33"/>
  <c r="GH106" i="33"/>
  <c r="GG106" i="33"/>
  <c r="GF106" i="33"/>
  <c r="GE106" i="33"/>
  <c r="GD106" i="33"/>
  <c r="GC106" i="33"/>
  <c r="GB106" i="33"/>
  <c r="GA106" i="33"/>
  <c r="FZ106" i="33"/>
  <c r="FY106" i="33"/>
  <c r="FX106" i="33"/>
  <c r="FW106" i="33"/>
  <c r="FV106" i="33"/>
  <c r="FU106" i="33"/>
  <c r="FT106" i="33"/>
  <c r="FS106" i="33"/>
  <c r="FR106" i="33"/>
  <c r="FQ106" i="33"/>
  <c r="FP106" i="33"/>
  <c r="FO106" i="33"/>
  <c r="FN106" i="33"/>
  <c r="FM106" i="33"/>
  <c r="FL106" i="33"/>
  <c r="FK106" i="33"/>
  <c r="FJ106" i="33"/>
  <c r="FI106" i="33"/>
  <c r="FH106" i="33"/>
  <c r="FG106" i="33"/>
  <c r="FF106" i="33"/>
  <c r="FE106" i="33"/>
  <c r="FD106" i="33"/>
  <c r="FC106" i="33"/>
  <c r="FB106" i="33"/>
  <c r="FA106" i="33"/>
  <c r="EZ106" i="33"/>
  <c r="EY106" i="33"/>
  <c r="EX106" i="33"/>
  <c r="EW106" i="33"/>
  <c r="EV106" i="33"/>
  <c r="EU106" i="33"/>
  <c r="ET106" i="33"/>
  <c r="ES106" i="33"/>
  <c r="ER106" i="33"/>
  <c r="EQ106" i="33"/>
  <c r="EP106" i="33"/>
  <c r="EO106" i="33"/>
  <c r="EN106" i="33"/>
  <c r="EM106" i="33"/>
  <c r="EL106" i="33"/>
  <c r="EK106" i="33"/>
  <c r="EJ106" i="33"/>
  <c r="EI106" i="33"/>
  <c r="EH106" i="33"/>
  <c r="EG106" i="33"/>
  <c r="EF106" i="33"/>
  <c r="EE106" i="33"/>
  <c r="ED106" i="33"/>
  <c r="EC106" i="33"/>
  <c r="EB106" i="33"/>
  <c r="EA106" i="33"/>
  <c r="DZ106" i="33"/>
  <c r="DY106" i="33"/>
  <c r="DX106" i="33"/>
  <c r="DW106" i="33"/>
  <c r="DV106" i="33"/>
  <c r="DU106" i="33"/>
  <c r="DT106" i="33"/>
  <c r="DS106" i="33"/>
  <c r="DR106" i="33"/>
  <c r="DQ106" i="33"/>
  <c r="DP106" i="33"/>
  <c r="DO106" i="33"/>
  <c r="DN106" i="33"/>
  <c r="DM106" i="33"/>
  <c r="DL106" i="33"/>
  <c r="DK106" i="33"/>
  <c r="DJ106" i="33"/>
  <c r="DI106" i="33"/>
  <c r="DH106" i="33"/>
  <c r="DG106" i="33"/>
  <c r="DF106" i="33"/>
  <c r="DE106" i="33"/>
  <c r="DD106" i="33"/>
  <c r="DC106" i="33"/>
  <c r="DB106" i="33"/>
  <c r="DA106" i="33"/>
  <c r="CZ106" i="33"/>
  <c r="CY106" i="33"/>
  <c r="CX106" i="33"/>
  <c r="CW106" i="33"/>
  <c r="CV106" i="33"/>
  <c r="CU106" i="33"/>
  <c r="CT106" i="33"/>
  <c r="CS106" i="33"/>
  <c r="CR106" i="33"/>
  <c r="CQ106" i="33"/>
  <c r="CP106" i="33"/>
  <c r="CO106" i="33"/>
  <c r="CN106" i="33"/>
  <c r="CM106" i="33"/>
  <c r="CL106" i="33"/>
  <c r="CK106" i="33"/>
  <c r="CJ106" i="33"/>
  <c r="CI106" i="33"/>
  <c r="CH106" i="33"/>
  <c r="CG106" i="33"/>
  <c r="CF106" i="33"/>
  <c r="CE106" i="33"/>
  <c r="CD106" i="33"/>
  <c r="CC106" i="33"/>
  <c r="CB106" i="33"/>
  <c r="CA106" i="33"/>
  <c r="BZ106" i="33"/>
  <c r="BY106" i="33"/>
  <c r="BX106" i="33"/>
  <c r="BW106" i="33"/>
  <c r="BV106" i="33"/>
  <c r="BU106" i="33"/>
  <c r="BT106" i="33"/>
  <c r="BS106" i="33"/>
  <c r="BR106" i="33"/>
  <c r="BQ106" i="33"/>
  <c r="BP106" i="33"/>
  <c r="BO106" i="33"/>
  <c r="BN106" i="33"/>
  <c r="BM106" i="33"/>
  <c r="BL106" i="33"/>
  <c r="BK106" i="33"/>
  <c r="BJ106" i="33"/>
  <c r="BI106" i="33"/>
  <c r="BH106" i="33"/>
  <c r="BG106" i="33"/>
  <c r="BF106" i="33"/>
  <c r="BE106" i="33"/>
  <c r="BD106" i="33"/>
  <c r="BC106" i="33"/>
  <c r="BB106" i="33"/>
  <c r="BA106" i="33"/>
  <c r="AZ106" i="33"/>
  <c r="AY106" i="33"/>
  <c r="AX106" i="33"/>
  <c r="AW106" i="33"/>
  <c r="AV106" i="33"/>
  <c r="AU106" i="33"/>
  <c r="AT106" i="33"/>
  <c r="AS106" i="33"/>
  <c r="AR106" i="33"/>
  <c r="AQ106" i="33"/>
  <c r="AP106" i="33"/>
  <c r="AO106" i="33"/>
  <c r="AN106" i="33"/>
  <c r="AM106" i="33"/>
  <c r="AL106" i="33"/>
  <c r="AK106" i="33"/>
  <c r="AJ106" i="33"/>
  <c r="AI106" i="33"/>
  <c r="AH106" i="33"/>
  <c r="AG106" i="33"/>
  <c r="AF106" i="33"/>
  <c r="AE106" i="33"/>
  <c r="AD106" i="33"/>
  <c r="AC106" i="33"/>
  <c r="AB106" i="33"/>
  <c r="AA106" i="33"/>
  <c r="Z106" i="33"/>
  <c r="Y106" i="33"/>
  <c r="X106" i="33"/>
  <c r="W106" i="33"/>
  <c r="V106" i="33"/>
  <c r="U106" i="33"/>
  <c r="T106" i="33"/>
  <c r="S106" i="33"/>
  <c r="R106" i="33"/>
  <c r="Q106" i="33"/>
  <c r="P106" i="33"/>
  <c r="O106" i="33"/>
  <c r="N106" i="33"/>
  <c r="M106" i="33"/>
  <c r="L106" i="33"/>
  <c r="K106" i="33"/>
  <c r="J106" i="33"/>
  <c r="I106" i="33"/>
  <c r="H106" i="33"/>
  <c r="G106" i="33"/>
  <c r="F106" i="33"/>
  <c r="E106" i="33"/>
  <c r="D106" i="33"/>
  <c r="C106" i="33"/>
  <c r="B106" i="33"/>
  <c r="A106" i="33"/>
  <c r="IV105" i="33"/>
  <c r="IU105" i="33"/>
  <c r="IT105" i="33"/>
  <c r="IS105" i="33"/>
  <c r="IR105" i="33"/>
  <c r="IQ105" i="33"/>
  <c r="IP105" i="33"/>
  <c r="IO105" i="33"/>
  <c r="IN105" i="33"/>
  <c r="IM105" i="33"/>
  <c r="IL105" i="33"/>
  <c r="IK105" i="33"/>
  <c r="IJ105" i="33"/>
  <c r="II105" i="33"/>
  <c r="IH105" i="33"/>
  <c r="IG105" i="33"/>
  <c r="IF105" i="33"/>
  <c r="IE105" i="33"/>
  <c r="ID105" i="33"/>
  <c r="IC105" i="33"/>
  <c r="IB105" i="33"/>
  <c r="IA105" i="33"/>
  <c r="HZ105" i="33"/>
  <c r="HY105" i="33"/>
  <c r="HX105" i="33"/>
  <c r="HW105" i="33"/>
  <c r="HV105" i="33"/>
  <c r="HU105" i="33"/>
  <c r="HT105" i="33"/>
  <c r="HS105" i="33"/>
  <c r="HR105" i="33"/>
  <c r="HQ105" i="33"/>
  <c r="HP105" i="33"/>
  <c r="HO105" i="33"/>
  <c r="HN105" i="33"/>
  <c r="HM105" i="33"/>
  <c r="HL105" i="33"/>
  <c r="HK105" i="33"/>
  <c r="HJ105" i="33"/>
  <c r="HI105" i="33"/>
  <c r="HH105" i="33"/>
  <c r="HG105" i="33"/>
  <c r="HF105" i="33"/>
  <c r="HE105" i="33"/>
  <c r="HD105" i="33"/>
  <c r="HC105" i="33"/>
  <c r="HB105" i="33"/>
  <c r="HA105" i="33"/>
  <c r="GZ105" i="33"/>
  <c r="GY105" i="33"/>
  <c r="GX105" i="33"/>
  <c r="GW105" i="33"/>
  <c r="GV105" i="33"/>
  <c r="GU105" i="33"/>
  <c r="GT105" i="33"/>
  <c r="GS105" i="33"/>
  <c r="GR105" i="33"/>
  <c r="GQ105" i="33"/>
  <c r="GP105" i="33"/>
  <c r="GO105" i="33"/>
  <c r="GN105" i="33"/>
  <c r="GM105" i="33"/>
  <c r="GL105" i="33"/>
  <c r="GK105" i="33"/>
  <c r="GJ105" i="33"/>
  <c r="GI105" i="33"/>
  <c r="GH105" i="33"/>
  <c r="GG105" i="33"/>
  <c r="GF105" i="33"/>
  <c r="GE105" i="33"/>
  <c r="GD105" i="33"/>
  <c r="GC105" i="33"/>
  <c r="GB105" i="33"/>
  <c r="GA105" i="33"/>
  <c r="FZ105" i="33"/>
  <c r="FY105" i="33"/>
  <c r="FX105" i="33"/>
  <c r="FW105" i="33"/>
  <c r="FV105" i="33"/>
  <c r="FU105" i="33"/>
  <c r="FT105" i="33"/>
  <c r="FS105" i="33"/>
  <c r="FR105" i="33"/>
  <c r="FQ105" i="33"/>
  <c r="FP105" i="33"/>
  <c r="FO105" i="33"/>
  <c r="FN105" i="33"/>
  <c r="FM105" i="33"/>
  <c r="FL105" i="33"/>
  <c r="FK105" i="33"/>
  <c r="FJ105" i="33"/>
  <c r="FI105" i="33"/>
  <c r="FH105" i="33"/>
  <c r="FG105" i="33"/>
  <c r="FF105" i="33"/>
  <c r="FE105" i="33"/>
  <c r="FD105" i="33"/>
  <c r="FC105" i="33"/>
  <c r="FB105" i="33"/>
  <c r="FA105" i="33"/>
  <c r="EZ105" i="33"/>
  <c r="EY105" i="33"/>
  <c r="EX105" i="33"/>
  <c r="EW105" i="33"/>
  <c r="EV105" i="33"/>
  <c r="EU105" i="33"/>
  <c r="ET105" i="33"/>
  <c r="ES105" i="33"/>
  <c r="ER105" i="33"/>
  <c r="EQ105" i="33"/>
  <c r="EP105" i="33"/>
  <c r="EO105" i="33"/>
  <c r="EN105" i="33"/>
  <c r="EM105" i="33"/>
  <c r="EL105" i="33"/>
  <c r="EK105" i="33"/>
  <c r="EJ105" i="33"/>
  <c r="EI105" i="33"/>
  <c r="EH105" i="33"/>
  <c r="EG105" i="33"/>
  <c r="EF105" i="33"/>
  <c r="EE105" i="33"/>
  <c r="ED105" i="33"/>
  <c r="EC105" i="33"/>
  <c r="EB105" i="33"/>
  <c r="EA105" i="33"/>
  <c r="DZ105" i="33"/>
  <c r="DY105" i="33"/>
  <c r="DX105" i="33"/>
  <c r="DW105" i="33"/>
  <c r="DV105" i="33"/>
  <c r="DU105" i="33"/>
  <c r="DT105" i="33"/>
  <c r="DS105" i="33"/>
  <c r="DR105" i="33"/>
  <c r="DQ105" i="33"/>
  <c r="DP105" i="33"/>
  <c r="DO105" i="33"/>
  <c r="DN105" i="33"/>
  <c r="DM105" i="33"/>
  <c r="DL105" i="33"/>
  <c r="DK105" i="33"/>
  <c r="DJ105" i="33"/>
  <c r="DI105" i="33"/>
  <c r="DH105" i="33"/>
  <c r="DG105" i="33"/>
  <c r="DF105" i="33"/>
  <c r="DE105" i="33"/>
  <c r="DD105" i="33"/>
  <c r="DC105" i="33"/>
  <c r="DB105" i="33"/>
  <c r="DA105" i="33"/>
  <c r="CZ105" i="33"/>
  <c r="CY105" i="33"/>
  <c r="CX105" i="33"/>
  <c r="CW105" i="33"/>
  <c r="CV105" i="33"/>
  <c r="CU105" i="33"/>
  <c r="CT105" i="33"/>
  <c r="CS105" i="33"/>
  <c r="CR105" i="33"/>
  <c r="CQ105" i="33"/>
  <c r="CP105" i="33"/>
  <c r="CO105" i="33"/>
  <c r="CN105" i="33"/>
  <c r="CM105" i="33"/>
  <c r="CL105" i="33"/>
  <c r="CK105" i="33"/>
  <c r="CJ105" i="33"/>
  <c r="CI105" i="33"/>
  <c r="CH105" i="33"/>
  <c r="CG105" i="33"/>
  <c r="CF105" i="33"/>
  <c r="CE105" i="33"/>
  <c r="CD105" i="33"/>
  <c r="CC105" i="33"/>
  <c r="CB105" i="33"/>
  <c r="CA105" i="33"/>
  <c r="BZ105" i="33"/>
  <c r="BY105" i="33"/>
  <c r="BX105" i="33"/>
  <c r="BW105" i="33"/>
  <c r="BV105" i="33"/>
  <c r="BU105" i="33"/>
  <c r="BT105" i="33"/>
  <c r="BS105" i="33"/>
  <c r="BR105" i="33"/>
  <c r="BQ105" i="33"/>
  <c r="BP105" i="33"/>
  <c r="BO105" i="33"/>
  <c r="BN105" i="33"/>
  <c r="BM105" i="33"/>
  <c r="BL105" i="33"/>
  <c r="BK105" i="33"/>
  <c r="BJ105" i="33"/>
  <c r="BI105" i="33"/>
  <c r="BH105" i="33"/>
  <c r="BG105" i="33"/>
  <c r="BF105" i="33"/>
  <c r="BE105" i="33"/>
  <c r="BD105" i="33"/>
  <c r="BC105" i="33"/>
  <c r="BB105" i="33"/>
  <c r="BA105" i="33"/>
  <c r="AZ105" i="33"/>
  <c r="AY105" i="33"/>
  <c r="AX105" i="33"/>
  <c r="AW105" i="33"/>
  <c r="AV105" i="33"/>
  <c r="AU105" i="33"/>
  <c r="AT105" i="33"/>
  <c r="AS105" i="33"/>
  <c r="AR105" i="33"/>
  <c r="AQ105" i="33"/>
  <c r="AP105" i="33"/>
  <c r="AO105" i="33"/>
  <c r="AN105" i="33"/>
  <c r="AM105" i="33"/>
  <c r="AL105" i="33"/>
  <c r="AK105" i="33"/>
  <c r="AJ105" i="33"/>
  <c r="AI105" i="33"/>
  <c r="AH105" i="33"/>
  <c r="AG105" i="33"/>
  <c r="AF105" i="33"/>
  <c r="AE105" i="33"/>
  <c r="AD105" i="33"/>
  <c r="AC105" i="33"/>
  <c r="AB105" i="33"/>
  <c r="AA105" i="33"/>
  <c r="Z105" i="33"/>
  <c r="Y105" i="33"/>
  <c r="X105" i="33"/>
  <c r="W105" i="33"/>
  <c r="V105" i="33"/>
  <c r="U105" i="33"/>
  <c r="T105" i="33"/>
  <c r="S105" i="33"/>
  <c r="R105" i="33"/>
  <c r="Q105" i="33"/>
  <c r="P105" i="33"/>
  <c r="O105" i="33"/>
  <c r="N105" i="33"/>
  <c r="M105" i="33"/>
  <c r="L105" i="33"/>
  <c r="K105" i="33"/>
  <c r="J105" i="33"/>
  <c r="I105" i="33"/>
  <c r="H105" i="33"/>
  <c r="G105" i="33"/>
  <c r="F105" i="33"/>
  <c r="E105" i="33"/>
  <c r="D105" i="33"/>
  <c r="C105" i="33"/>
  <c r="B105" i="33"/>
  <c r="A105" i="33"/>
  <c r="IV104" i="33"/>
  <c r="IU104" i="33"/>
  <c r="IT104" i="33"/>
  <c r="IS104" i="33"/>
  <c r="IR104" i="33"/>
  <c r="IQ104" i="33"/>
  <c r="IP104" i="33"/>
  <c r="IO104" i="33"/>
  <c r="IN104" i="33"/>
  <c r="IM104" i="33"/>
  <c r="IL104" i="33"/>
  <c r="IK104" i="33"/>
  <c r="IJ104" i="33"/>
  <c r="II104" i="33"/>
  <c r="IH104" i="33"/>
  <c r="IG104" i="33"/>
  <c r="IF104" i="33"/>
  <c r="IE104" i="33"/>
  <c r="ID104" i="33"/>
  <c r="IC104" i="33"/>
  <c r="IB104" i="33"/>
  <c r="IA104" i="33"/>
  <c r="HZ104" i="33"/>
  <c r="HY104" i="33"/>
  <c r="HX104" i="33"/>
  <c r="HW104" i="33"/>
  <c r="HV104" i="33"/>
  <c r="HU104" i="33"/>
  <c r="HT104" i="33"/>
  <c r="HS104" i="33"/>
  <c r="HR104" i="33"/>
  <c r="HQ104" i="33"/>
  <c r="HP104" i="33"/>
  <c r="HO104" i="33"/>
  <c r="HN104" i="33"/>
  <c r="HM104" i="33"/>
  <c r="HL104" i="33"/>
  <c r="HK104" i="33"/>
  <c r="HJ104" i="33"/>
  <c r="HI104" i="33"/>
  <c r="HH104" i="33"/>
  <c r="HG104" i="33"/>
  <c r="HF104" i="33"/>
  <c r="HE104" i="33"/>
  <c r="HD104" i="33"/>
  <c r="HC104" i="33"/>
  <c r="HB104" i="33"/>
  <c r="HA104" i="33"/>
  <c r="GZ104" i="33"/>
  <c r="GY104" i="33"/>
  <c r="GX104" i="33"/>
  <c r="GW104" i="33"/>
  <c r="GV104" i="33"/>
  <c r="GU104" i="33"/>
  <c r="GT104" i="33"/>
  <c r="GS104" i="33"/>
  <c r="GR104" i="33"/>
  <c r="GQ104" i="33"/>
  <c r="GP104" i="33"/>
  <c r="GO104" i="33"/>
  <c r="GN104" i="33"/>
  <c r="GM104" i="33"/>
  <c r="GL104" i="33"/>
  <c r="GK104" i="33"/>
  <c r="GJ104" i="33"/>
  <c r="GI104" i="33"/>
  <c r="GH104" i="33"/>
  <c r="GG104" i="33"/>
  <c r="GF104" i="33"/>
  <c r="GE104" i="33"/>
  <c r="GD104" i="33"/>
  <c r="GC104" i="33"/>
  <c r="GB104" i="33"/>
  <c r="GA104" i="33"/>
  <c r="FZ104" i="33"/>
  <c r="FY104" i="33"/>
  <c r="FX104" i="33"/>
  <c r="FW104" i="33"/>
  <c r="FV104" i="33"/>
  <c r="FU104" i="33"/>
  <c r="FT104" i="33"/>
  <c r="FS104" i="33"/>
  <c r="FR104" i="33"/>
  <c r="FQ104" i="33"/>
  <c r="FP104" i="33"/>
  <c r="FO104" i="33"/>
  <c r="FN104" i="33"/>
  <c r="FM104" i="33"/>
  <c r="FL104" i="33"/>
  <c r="FK104" i="33"/>
  <c r="FJ104" i="33"/>
  <c r="FI104" i="33"/>
  <c r="FH104" i="33"/>
  <c r="FG104" i="33"/>
  <c r="FF104" i="33"/>
  <c r="FE104" i="33"/>
  <c r="FD104" i="33"/>
  <c r="FC104" i="33"/>
  <c r="FB104" i="33"/>
  <c r="FA104" i="33"/>
  <c r="EZ104" i="33"/>
  <c r="EY104" i="33"/>
  <c r="EX104" i="33"/>
  <c r="EW104" i="33"/>
  <c r="EV104" i="33"/>
  <c r="EU104" i="33"/>
  <c r="ET104" i="33"/>
  <c r="ES104" i="33"/>
  <c r="ER104" i="33"/>
  <c r="EQ104" i="33"/>
  <c r="EP104" i="33"/>
  <c r="EO104" i="33"/>
  <c r="EN104" i="33"/>
  <c r="EM104" i="33"/>
  <c r="EL104" i="33"/>
  <c r="EK104" i="33"/>
  <c r="EJ104" i="33"/>
  <c r="EI104" i="33"/>
  <c r="EH104" i="33"/>
  <c r="EG104" i="33"/>
  <c r="EF104" i="33"/>
  <c r="EE104" i="33"/>
  <c r="ED104" i="33"/>
  <c r="EC104" i="33"/>
  <c r="EB104" i="33"/>
  <c r="EA104" i="33"/>
  <c r="DZ104" i="33"/>
  <c r="DY104" i="33"/>
  <c r="DX104" i="33"/>
  <c r="DW104" i="33"/>
  <c r="DV104" i="33"/>
  <c r="DU104" i="33"/>
  <c r="DT104" i="33"/>
  <c r="DS104" i="33"/>
  <c r="DR104" i="33"/>
  <c r="DQ104" i="33"/>
  <c r="DP104" i="33"/>
  <c r="DO104" i="33"/>
  <c r="DN104" i="33"/>
  <c r="DM104" i="33"/>
  <c r="DL104" i="33"/>
  <c r="DK104" i="33"/>
  <c r="DJ104" i="33"/>
  <c r="DI104" i="33"/>
  <c r="DH104" i="33"/>
  <c r="DG104" i="33"/>
  <c r="DF104" i="33"/>
  <c r="DE104" i="33"/>
  <c r="DD104" i="33"/>
  <c r="DC104" i="33"/>
  <c r="DB104" i="33"/>
  <c r="DA104" i="33"/>
  <c r="CZ104" i="33"/>
  <c r="CY104" i="33"/>
  <c r="CX104" i="33"/>
  <c r="CW104" i="33"/>
  <c r="CV104" i="33"/>
  <c r="CU104" i="33"/>
  <c r="CT104" i="33"/>
  <c r="CS104" i="33"/>
  <c r="CR104" i="33"/>
  <c r="CQ104" i="33"/>
  <c r="CP104" i="33"/>
  <c r="CO104" i="33"/>
  <c r="CN104" i="33"/>
  <c r="CM104" i="33"/>
  <c r="CL104" i="33"/>
  <c r="CK104" i="33"/>
  <c r="CJ104" i="33"/>
  <c r="CI104" i="33"/>
  <c r="CH104" i="33"/>
  <c r="CG104" i="33"/>
  <c r="CF104" i="33"/>
  <c r="CE104" i="33"/>
  <c r="CD104" i="33"/>
  <c r="CC104" i="33"/>
  <c r="CB104" i="33"/>
  <c r="CA104" i="33"/>
  <c r="BZ104" i="33"/>
  <c r="BY104" i="33"/>
  <c r="BX104" i="33"/>
  <c r="BW104" i="33"/>
  <c r="BV104" i="33"/>
  <c r="BU104" i="33"/>
  <c r="BT104" i="33"/>
  <c r="BS104" i="33"/>
  <c r="BR104" i="33"/>
  <c r="BQ104" i="33"/>
  <c r="BP104" i="33"/>
  <c r="BO104" i="33"/>
  <c r="BN104" i="33"/>
  <c r="BM104" i="33"/>
  <c r="BL104" i="33"/>
  <c r="BK104" i="33"/>
  <c r="BJ104" i="33"/>
  <c r="BI104" i="33"/>
  <c r="BH104" i="33"/>
  <c r="BG104" i="33"/>
  <c r="BF104" i="33"/>
  <c r="BE104" i="33"/>
  <c r="BD104" i="33"/>
  <c r="BC104" i="33"/>
  <c r="BB104" i="33"/>
  <c r="BA104" i="33"/>
  <c r="AZ104" i="33"/>
  <c r="AY104" i="33"/>
  <c r="AX104" i="33"/>
  <c r="AW104" i="33"/>
  <c r="AV104" i="33"/>
  <c r="AU104" i="33"/>
  <c r="AT104" i="33"/>
  <c r="AS104" i="33"/>
  <c r="AR104" i="33"/>
  <c r="AQ104" i="33"/>
  <c r="AP104" i="33"/>
  <c r="AO104" i="33"/>
  <c r="AN104" i="33"/>
  <c r="AM104" i="33"/>
  <c r="AL104" i="33"/>
  <c r="AK104" i="33"/>
  <c r="AJ104" i="33"/>
  <c r="AI104" i="33"/>
  <c r="AH104" i="33"/>
  <c r="AG104" i="33"/>
  <c r="AF104" i="33"/>
  <c r="AE104" i="33"/>
  <c r="AD104" i="33"/>
  <c r="AC104" i="33"/>
  <c r="AB104" i="33"/>
  <c r="AA104" i="33"/>
  <c r="Z104" i="33"/>
  <c r="Y104" i="33"/>
  <c r="X104" i="33"/>
  <c r="W104" i="33"/>
  <c r="V104" i="33"/>
  <c r="U104" i="33"/>
  <c r="T104" i="33"/>
  <c r="S104" i="33"/>
  <c r="R104" i="33"/>
  <c r="Q104" i="33"/>
  <c r="P104" i="33"/>
  <c r="O104" i="33"/>
  <c r="N104" i="33"/>
  <c r="M104" i="33"/>
  <c r="L104" i="33"/>
  <c r="K104" i="33"/>
  <c r="J104" i="33"/>
  <c r="I104" i="33"/>
  <c r="H104" i="33"/>
  <c r="G104" i="33"/>
  <c r="F104" i="33"/>
  <c r="E104" i="33"/>
  <c r="D104" i="33"/>
  <c r="C104" i="33"/>
  <c r="B104" i="33"/>
  <c r="A104" i="33"/>
  <c r="IV103" i="33"/>
  <c r="IU103" i="33"/>
  <c r="IT103" i="33"/>
  <c r="IS103" i="33"/>
  <c r="IR103" i="33"/>
  <c r="IQ103" i="33"/>
  <c r="IP103" i="33"/>
  <c r="IO103" i="33"/>
  <c r="IN103" i="33"/>
  <c r="IM103" i="33"/>
  <c r="IL103" i="33"/>
  <c r="IK103" i="33"/>
  <c r="IJ103" i="33"/>
  <c r="II103" i="33"/>
  <c r="IH103" i="33"/>
  <c r="IG103" i="33"/>
  <c r="IF103" i="33"/>
  <c r="IE103" i="33"/>
  <c r="ID103" i="33"/>
  <c r="IC103" i="33"/>
  <c r="IB103" i="33"/>
  <c r="IA103" i="33"/>
  <c r="HZ103" i="33"/>
  <c r="HY103" i="33"/>
  <c r="HX103" i="33"/>
  <c r="HW103" i="33"/>
  <c r="HV103" i="33"/>
  <c r="HU103" i="33"/>
  <c r="HT103" i="33"/>
  <c r="HS103" i="33"/>
  <c r="HR103" i="33"/>
  <c r="HQ103" i="33"/>
  <c r="HP103" i="33"/>
  <c r="HO103" i="33"/>
  <c r="HN103" i="33"/>
  <c r="HM103" i="33"/>
  <c r="HL103" i="33"/>
  <c r="HK103" i="33"/>
  <c r="HJ103" i="33"/>
  <c r="HI103" i="33"/>
  <c r="HH103" i="33"/>
  <c r="HG103" i="33"/>
  <c r="HF103" i="33"/>
  <c r="HE103" i="33"/>
  <c r="HD103" i="33"/>
  <c r="HC103" i="33"/>
  <c r="HB103" i="33"/>
  <c r="HA103" i="33"/>
  <c r="GZ103" i="33"/>
  <c r="GY103" i="33"/>
  <c r="GX103" i="33"/>
  <c r="GW103" i="33"/>
  <c r="GV103" i="33"/>
  <c r="GU103" i="33"/>
  <c r="GT103" i="33"/>
  <c r="GS103" i="33"/>
  <c r="GR103" i="33"/>
  <c r="GQ103" i="33"/>
  <c r="GP103" i="33"/>
  <c r="GO103" i="33"/>
  <c r="GN103" i="33"/>
  <c r="GM103" i="33"/>
  <c r="GL103" i="33"/>
  <c r="GK103" i="33"/>
  <c r="GJ103" i="33"/>
  <c r="GI103" i="33"/>
  <c r="GH103" i="33"/>
  <c r="GG103" i="33"/>
  <c r="GF103" i="33"/>
  <c r="GE103" i="33"/>
  <c r="GD103" i="33"/>
  <c r="GC103" i="33"/>
  <c r="GB103" i="33"/>
  <c r="GA103" i="33"/>
  <c r="FZ103" i="33"/>
  <c r="FY103" i="33"/>
  <c r="FX103" i="33"/>
  <c r="FW103" i="33"/>
  <c r="FV103" i="33"/>
  <c r="FU103" i="33"/>
  <c r="FT103" i="33"/>
  <c r="FS103" i="33"/>
  <c r="FR103" i="33"/>
  <c r="FQ103" i="33"/>
  <c r="FP103" i="33"/>
  <c r="FO103" i="33"/>
  <c r="FN103" i="33"/>
  <c r="FM103" i="33"/>
  <c r="FL103" i="33"/>
  <c r="FK103" i="33"/>
  <c r="FJ103" i="33"/>
  <c r="FI103" i="33"/>
  <c r="FH103" i="33"/>
  <c r="FG103" i="33"/>
  <c r="FF103" i="33"/>
  <c r="FE103" i="33"/>
  <c r="FD103" i="33"/>
  <c r="FC103" i="33"/>
  <c r="FB103" i="33"/>
  <c r="FA103" i="33"/>
  <c r="EZ103" i="33"/>
  <c r="EY103" i="33"/>
  <c r="EX103" i="33"/>
  <c r="EW103" i="33"/>
  <c r="EV103" i="33"/>
  <c r="EU103" i="33"/>
  <c r="ET103" i="33"/>
  <c r="ES103" i="33"/>
  <c r="ER103" i="33"/>
  <c r="EQ103" i="33"/>
  <c r="EP103" i="33"/>
  <c r="EO103" i="33"/>
  <c r="EN103" i="33"/>
  <c r="EM103" i="33"/>
  <c r="EL103" i="33"/>
  <c r="EK103" i="33"/>
  <c r="EJ103" i="33"/>
  <c r="EI103" i="33"/>
  <c r="EH103" i="33"/>
  <c r="EG103" i="33"/>
  <c r="EF103" i="33"/>
  <c r="EE103" i="33"/>
  <c r="ED103" i="33"/>
  <c r="EC103" i="33"/>
  <c r="EB103" i="33"/>
  <c r="EA103" i="33"/>
  <c r="DZ103" i="33"/>
  <c r="DY103" i="33"/>
  <c r="DX103" i="33"/>
  <c r="DW103" i="33"/>
  <c r="DV103" i="33"/>
  <c r="DU103" i="33"/>
  <c r="DT103" i="33"/>
  <c r="DS103" i="33"/>
  <c r="DR103" i="33"/>
  <c r="DQ103" i="33"/>
  <c r="DP103" i="33"/>
  <c r="DO103" i="33"/>
  <c r="DN103" i="33"/>
  <c r="DM103" i="33"/>
  <c r="DL103" i="33"/>
  <c r="DK103" i="33"/>
  <c r="DJ103" i="33"/>
  <c r="DI103" i="33"/>
  <c r="DH103" i="33"/>
  <c r="DG103" i="33"/>
  <c r="DF103" i="33"/>
  <c r="DE103" i="33"/>
  <c r="DD103" i="33"/>
  <c r="DC103" i="33"/>
  <c r="DB103" i="33"/>
  <c r="DA103" i="33"/>
  <c r="CZ103" i="33"/>
  <c r="CY103" i="33"/>
  <c r="CX103" i="33"/>
  <c r="CW103" i="33"/>
  <c r="CV103" i="33"/>
  <c r="CU103" i="33"/>
  <c r="CT103" i="33"/>
  <c r="CS103" i="33"/>
  <c r="CR103" i="33"/>
  <c r="CQ103" i="33"/>
  <c r="CP103" i="33"/>
  <c r="CO103" i="33"/>
  <c r="CN103" i="33"/>
  <c r="CM103" i="33"/>
  <c r="CL103" i="33"/>
  <c r="CK103" i="33"/>
  <c r="CJ103" i="33"/>
  <c r="CI103" i="33"/>
  <c r="CH103" i="33"/>
  <c r="CG103" i="33"/>
  <c r="CF103" i="33"/>
  <c r="CE103" i="33"/>
  <c r="CD103" i="33"/>
  <c r="CC103" i="33"/>
  <c r="CB103" i="33"/>
  <c r="CA103" i="33"/>
  <c r="BZ103" i="33"/>
  <c r="BY103" i="33"/>
  <c r="BX103" i="33"/>
  <c r="BW103" i="33"/>
  <c r="BV103" i="33"/>
  <c r="BU103" i="33"/>
  <c r="BT103" i="33"/>
  <c r="BS103" i="33"/>
  <c r="BR103" i="33"/>
  <c r="BQ103" i="33"/>
  <c r="BP103" i="33"/>
  <c r="BO103" i="33"/>
  <c r="BN103" i="33"/>
  <c r="BM103" i="33"/>
  <c r="BL103" i="33"/>
  <c r="BK103" i="33"/>
  <c r="BJ103" i="33"/>
  <c r="BI103" i="33"/>
  <c r="BH103" i="33"/>
  <c r="BG103" i="33"/>
  <c r="BF103" i="33"/>
  <c r="BE103" i="33"/>
  <c r="BD103" i="33"/>
  <c r="BC103" i="33"/>
  <c r="BB103" i="33"/>
  <c r="BA103" i="33"/>
  <c r="AZ103" i="33"/>
  <c r="AY103" i="33"/>
  <c r="AX103" i="33"/>
  <c r="AW103" i="33"/>
  <c r="AV103" i="33"/>
  <c r="AU103" i="33"/>
  <c r="AT103" i="33"/>
  <c r="AS103" i="33"/>
  <c r="AR103" i="33"/>
  <c r="AQ103" i="33"/>
  <c r="AP103" i="33"/>
  <c r="AO103" i="33"/>
  <c r="AN103" i="33"/>
  <c r="AM103" i="33"/>
  <c r="AL103" i="33"/>
  <c r="AK103" i="33"/>
  <c r="AJ103" i="33"/>
  <c r="AI103" i="33"/>
  <c r="AH103" i="33"/>
  <c r="AG103" i="33"/>
  <c r="AF103" i="33"/>
  <c r="AE103" i="33"/>
  <c r="AD103" i="33"/>
  <c r="AC103" i="33"/>
  <c r="AB103" i="33"/>
  <c r="AA103" i="33"/>
  <c r="Z103" i="33"/>
  <c r="Y103" i="33"/>
  <c r="X103" i="33"/>
  <c r="W103" i="33"/>
  <c r="V103" i="33"/>
  <c r="U103" i="33"/>
  <c r="T103" i="33"/>
  <c r="S103" i="33"/>
  <c r="R103" i="33"/>
  <c r="Q103" i="33"/>
  <c r="P103" i="33"/>
  <c r="O103" i="33"/>
  <c r="N103" i="33"/>
  <c r="M103" i="33"/>
  <c r="L103" i="33"/>
  <c r="K103" i="33"/>
  <c r="J103" i="33"/>
  <c r="I103" i="33"/>
  <c r="H103" i="33"/>
  <c r="G103" i="33"/>
  <c r="F103" i="33"/>
  <c r="E103" i="33"/>
  <c r="D103" i="33"/>
  <c r="C103" i="33"/>
  <c r="B103" i="33"/>
  <c r="A103" i="33"/>
  <c r="IV102" i="33"/>
  <c r="IU102" i="33"/>
  <c r="IT102" i="33"/>
  <c r="IS102" i="33"/>
  <c r="IR102" i="33"/>
  <c r="IQ102" i="33"/>
  <c r="IP102" i="33"/>
  <c r="IO102" i="33"/>
  <c r="IN102" i="33"/>
  <c r="IM102" i="33"/>
  <c r="IL102" i="33"/>
  <c r="IK102" i="33"/>
  <c r="IJ102" i="33"/>
  <c r="II102" i="33"/>
  <c r="IH102" i="33"/>
  <c r="IG102" i="33"/>
  <c r="IF102" i="33"/>
  <c r="IE102" i="33"/>
  <c r="ID102" i="33"/>
  <c r="IC102" i="33"/>
  <c r="IB102" i="33"/>
  <c r="IA102" i="33"/>
  <c r="HZ102" i="33"/>
  <c r="HY102" i="33"/>
  <c r="HX102" i="33"/>
  <c r="HW102" i="33"/>
  <c r="HV102" i="33"/>
  <c r="HU102" i="33"/>
  <c r="HT102" i="33"/>
  <c r="HS102" i="33"/>
  <c r="HR102" i="33"/>
  <c r="HQ102" i="33"/>
  <c r="HP102" i="33"/>
  <c r="HO102" i="33"/>
  <c r="HN102" i="33"/>
  <c r="HM102" i="33"/>
  <c r="HL102" i="33"/>
  <c r="HK102" i="33"/>
  <c r="HJ102" i="33"/>
  <c r="HI102" i="33"/>
  <c r="HH102" i="33"/>
  <c r="HG102" i="33"/>
  <c r="HF102" i="33"/>
  <c r="HE102" i="33"/>
  <c r="HD102" i="33"/>
  <c r="HC102" i="33"/>
  <c r="HB102" i="33"/>
  <c r="HA102" i="33"/>
  <c r="GZ102" i="33"/>
  <c r="GY102" i="33"/>
  <c r="GX102" i="33"/>
  <c r="GW102" i="33"/>
  <c r="GV102" i="33"/>
  <c r="GU102" i="33"/>
  <c r="GT102" i="33"/>
  <c r="GS102" i="33"/>
  <c r="GR102" i="33"/>
  <c r="GQ102" i="33"/>
  <c r="GP102" i="33"/>
  <c r="GO102" i="33"/>
  <c r="GN102" i="33"/>
  <c r="GM102" i="33"/>
  <c r="GL102" i="33"/>
  <c r="GK102" i="33"/>
  <c r="GJ102" i="33"/>
  <c r="GI102" i="33"/>
  <c r="GH102" i="33"/>
  <c r="GG102" i="33"/>
  <c r="GF102" i="33"/>
  <c r="GE102" i="33"/>
  <c r="GD102" i="33"/>
  <c r="GC102" i="33"/>
  <c r="GB102" i="33"/>
  <c r="GA102" i="33"/>
  <c r="FZ102" i="33"/>
  <c r="FY102" i="33"/>
  <c r="FX102" i="33"/>
  <c r="FW102" i="33"/>
  <c r="FV102" i="33"/>
  <c r="FU102" i="33"/>
  <c r="FT102" i="33"/>
  <c r="FS102" i="33"/>
  <c r="FR102" i="33"/>
  <c r="FQ102" i="33"/>
  <c r="FP102" i="33"/>
  <c r="FO102" i="33"/>
  <c r="FN102" i="33"/>
  <c r="FM102" i="33"/>
  <c r="FL102" i="33"/>
  <c r="FK102" i="33"/>
  <c r="FJ102" i="33"/>
  <c r="FI102" i="33"/>
  <c r="FH102" i="33"/>
  <c r="FG102" i="33"/>
  <c r="FF102" i="33"/>
  <c r="FE102" i="33"/>
  <c r="FD102" i="33"/>
  <c r="FC102" i="33"/>
  <c r="FB102" i="33"/>
  <c r="FA102" i="33"/>
  <c r="EZ102" i="33"/>
  <c r="EY102" i="33"/>
  <c r="EX102" i="33"/>
  <c r="EW102" i="33"/>
  <c r="EV102" i="33"/>
  <c r="EU102" i="33"/>
  <c r="ET102" i="33"/>
  <c r="ES102" i="33"/>
  <c r="ER102" i="33"/>
  <c r="EQ102" i="33"/>
  <c r="EP102" i="33"/>
  <c r="EO102" i="33"/>
  <c r="EN102" i="33"/>
  <c r="EM102" i="33"/>
  <c r="EL102" i="33"/>
  <c r="EK102" i="33"/>
  <c r="EJ102" i="33"/>
  <c r="EI102" i="33"/>
  <c r="EH102" i="33"/>
  <c r="EG102" i="33"/>
  <c r="EF102" i="33"/>
  <c r="EE102" i="33"/>
  <c r="ED102" i="33"/>
  <c r="EC102" i="33"/>
  <c r="EB102" i="33"/>
  <c r="EA102" i="33"/>
  <c r="DZ102" i="33"/>
  <c r="DY102" i="33"/>
  <c r="DX102" i="33"/>
  <c r="DW102" i="33"/>
  <c r="DV102" i="33"/>
  <c r="DU102" i="33"/>
  <c r="DT102" i="33"/>
  <c r="DS102" i="33"/>
  <c r="DR102" i="33"/>
  <c r="DQ102" i="33"/>
  <c r="DP102" i="33"/>
  <c r="DO102" i="33"/>
  <c r="DN102" i="33"/>
  <c r="DM102" i="33"/>
  <c r="DL102" i="33"/>
  <c r="DK102" i="33"/>
  <c r="DJ102" i="33"/>
  <c r="DI102" i="33"/>
  <c r="DH102" i="33"/>
  <c r="DG102" i="33"/>
  <c r="DF102" i="33"/>
  <c r="DE102" i="33"/>
  <c r="DD102" i="33"/>
  <c r="DC102" i="33"/>
  <c r="DB102" i="33"/>
  <c r="DA102" i="33"/>
  <c r="CZ102" i="33"/>
  <c r="CY102" i="33"/>
  <c r="CX102" i="33"/>
  <c r="CW102" i="33"/>
  <c r="CV102" i="33"/>
  <c r="CU102" i="33"/>
  <c r="CT102" i="33"/>
  <c r="CS102" i="33"/>
  <c r="CR102" i="33"/>
  <c r="CQ102" i="33"/>
  <c r="CP102" i="33"/>
  <c r="CO102" i="33"/>
  <c r="CN102" i="33"/>
  <c r="CM102" i="33"/>
  <c r="CL102" i="33"/>
  <c r="CK102" i="33"/>
  <c r="CJ102" i="33"/>
  <c r="CI102" i="33"/>
  <c r="CH102" i="33"/>
  <c r="CG102" i="33"/>
  <c r="CF102" i="33"/>
  <c r="CE102" i="33"/>
  <c r="CD102" i="33"/>
  <c r="CC102" i="33"/>
  <c r="CB102" i="33"/>
  <c r="CA102" i="33"/>
  <c r="BZ102" i="33"/>
  <c r="BY102" i="33"/>
  <c r="BX102" i="33"/>
  <c r="BW102" i="33"/>
  <c r="BV102" i="33"/>
  <c r="BU102" i="33"/>
  <c r="BT102" i="33"/>
  <c r="BS102" i="33"/>
  <c r="BR102" i="33"/>
  <c r="BQ102" i="33"/>
  <c r="BP102" i="33"/>
  <c r="BO102" i="33"/>
  <c r="BN102" i="33"/>
  <c r="BM102" i="33"/>
  <c r="BL102" i="33"/>
  <c r="BK102" i="33"/>
  <c r="BJ102" i="33"/>
  <c r="BI102" i="33"/>
  <c r="BH102" i="33"/>
  <c r="BG102" i="33"/>
  <c r="BF102" i="33"/>
  <c r="BE102" i="33"/>
  <c r="BD102" i="33"/>
  <c r="BC102" i="33"/>
  <c r="BB102" i="33"/>
  <c r="BA102" i="33"/>
  <c r="AZ102" i="33"/>
  <c r="AY102" i="33"/>
  <c r="AX102" i="33"/>
  <c r="AW102" i="33"/>
  <c r="AV102" i="33"/>
  <c r="AU102" i="33"/>
  <c r="AT102" i="33"/>
  <c r="AS102" i="33"/>
  <c r="AR102" i="33"/>
  <c r="AQ102" i="33"/>
  <c r="AP102" i="33"/>
  <c r="AO102" i="33"/>
  <c r="AN102" i="33"/>
  <c r="AM102" i="33"/>
  <c r="AL102" i="33"/>
  <c r="AK102" i="33"/>
  <c r="AJ102" i="33"/>
  <c r="AI102" i="33"/>
  <c r="AH102" i="33"/>
  <c r="AG102" i="33"/>
  <c r="AF102" i="33"/>
  <c r="AE102" i="33"/>
  <c r="AD102" i="33"/>
  <c r="AC102" i="33"/>
  <c r="AB102" i="33"/>
  <c r="AA102" i="33"/>
  <c r="Z102" i="33"/>
  <c r="Y102" i="33"/>
  <c r="X102" i="33"/>
  <c r="W102" i="33"/>
  <c r="V102" i="33"/>
  <c r="U102" i="33"/>
  <c r="T102" i="33"/>
  <c r="S102" i="33"/>
  <c r="R102" i="33"/>
  <c r="Q102" i="33"/>
  <c r="P102" i="33"/>
  <c r="O102" i="33"/>
  <c r="N102" i="33"/>
  <c r="M102" i="33"/>
  <c r="L102" i="33"/>
  <c r="K102" i="33"/>
  <c r="J102" i="33"/>
  <c r="I102" i="33"/>
  <c r="H102" i="33"/>
  <c r="G102" i="33"/>
  <c r="F102" i="33"/>
  <c r="E102" i="33"/>
  <c r="D102" i="33"/>
  <c r="C102" i="33"/>
  <c r="B102" i="33"/>
  <c r="A102" i="33"/>
  <c r="IV101" i="33"/>
  <c r="IU101" i="33"/>
  <c r="IT101" i="33"/>
  <c r="IS101" i="33"/>
  <c r="IR101" i="33"/>
  <c r="IQ101" i="33"/>
  <c r="IP101" i="33"/>
  <c r="IO101" i="33"/>
  <c r="IN101" i="33"/>
  <c r="IM101" i="33"/>
  <c r="IL101" i="33"/>
  <c r="IK101" i="33"/>
  <c r="IJ101" i="33"/>
  <c r="II101" i="33"/>
  <c r="IH101" i="33"/>
  <c r="IG101" i="33"/>
  <c r="IF101" i="33"/>
  <c r="IE101" i="33"/>
  <c r="ID101" i="33"/>
  <c r="IC101" i="33"/>
  <c r="IB101" i="33"/>
  <c r="IA101" i="33"/>
  <c r="HZ101" i="33"/>
  <c r="HY101" i="33"/>
  <c r="HX101" i="33"/>
  <c r="HW101" i="33"/>
  <c r="HV101" i="33"/>
  <c r="HU101" i="33"/>
  <c r="HT101" i="33"/>
  <c r="HS101" i="33"/>
  <c r="HR101" i="33"/>
  <c r="HQ101" i="33"/>
  <c r="HP101" i="33"/>
  <c r="HO101" i="33"/>
  <c r="HN101" i="33"/>
  <c r="HM101" i="33"/>
  <c r="HL101" i="33"/>
  <c r="HK101" i="33"/>
  <c r="HJ101" i="33"/>
  <c r="HI101" i="33"/>
  <c r="HH101" i="33"/>
  <c r="HG101" i="33"/>
  <c r="HF101" i="33"/>
  <c r="HE101" i="33"/>
  <c r="HD101" i="33"/>
  <c r="HC101" i="33"/>
  <c r="HB101" i="33"/>
  <c r="HA101" i="33"/>
  <c r="GZ101" i="33"/>
  <c r="GY101" i="33"/>
  <c r="GX101" i="33"/>
  <c r="GW101" i="33"/>
  <c r="GV101" i="33"/>
  <c r="GU101" i="33"/>
  <c r="GT101" i="33"/>
  <c r="GS101" i="33"/>
  <c r="GR101" i="33"/>
  <c r="GQ101" i="33"/>
  <c r="GP101" i="33"/>
  <c r="GO101" i="33"/>
  <c r="GN101" i="33"/>
  <c r="GM101" i="33"/>
  <c r="GL101" i="33"/>
  <c r="GK101" i="33"/>
  <c r="GJ101" i="33"/>
  <c r="GI101" i="33"/>
  <c r="GH101" i="33"/>
  <c r="GG101" i="33"/>
  <c r="GF101" i="33"/>
  <c r="GE101" i="33"/>
  <c r="GD101" i="33"/>
  <c r="GC101" i="33"/>
  <c r="GB101" i="33"/>
  <c r="GA101" i="33"/>
  <c r="FZ101" i="33"/>
  <c r="FY101" i="33"/>
  <c r="FX101" i="33"/>
  <c r="FW101" i="33"/>
  <c r="FV101" i="33"/>
  <c r="FU101" i="33"/>
  <c r="FT101" i="33"/>
  <c r="FS101" i="33"/>
  <c r="FR101" i="33"/>
  <c r="FQ101" i="33"/>
  <c r="FP101" i="33"/>
  <c r="FO101" i="33"/>
  <c r="FN101" i="33"/>
  <c r="FM101" i="33"/>
  <c r="FL101" i="33"/>
  <c r="FK101" i="33"/>
  <c r="FJ101" i="33"/>
  <c r="FI101" i="33"/>
  <c r="FH101" i="33"/>
  <c r="FG101" i="33"/>
  <c r="FF101" i="33"/>
  <c r="FE101" i="33"/>
  <c r="FD101" i="33"/>
  <c r="FC101" i="33"/>
  <c r="FB101" i="33"/>
  <c r="FA101" i="33"/>
  <c r="EZ101" i="33"/>
  <c r="EY101" i="33"/>
  <c r="EX101" i="33"/>
  <c r="EW101" i="33"/>
  <c r="EV101" i="33"/>
  <c r="EU101" i="33"/>
  <c r="ET101" i="33"/>
  <c r="ES101" i="33"/>
  <c r="ER101" i="33"/>
  <c r="EQ101" i="33"/>
  <c r="EP101" i="33"/>
  <c r="EO101" i="33"/>
  <c r="EN101" i="33"/>
  <c r="EM101" i="33"/>
  <c r="EL101" i="33"/>
  <c r="EK101" i="33"/>
  <c r="EJ101" i="33"/>
  <c r="EI101" i="33"/>
  <c r="EH101" i="33"/>
  <c r="EG101" i="33"/>
  <c r="EF101" i="33"/>
  <c r="EE101" i="33"/>
  <c r="ED101" i="33"/>
  <c r="EC101" i="33"/>
  <c r="EB101" i="33"/>
  <c r="EA101" i="33"/>
  <c r="DZ101" i="33"/>
  <c r="DY101" i="33"/>
  <c r="DX101" i="33"/>
  <c r="DW101" i="33"/>
  <c r="DV101" i="33"/>
  <c r="DU101" i="33"/>
  <c r="DT101" i="33"/>
  <c r="DS101" i="33"/>
  <c r="DR101" i="33"/>
  <c r="DQ101" i="33"/>
  <c r="DP101" i="33"/>
  <c r="DO101" i="33"/>
  <c r="DN101" i="33"/>
  <c r="DM101" i="33"/>
  <c r="DL101" i="33"/>
  <c r="DK101" i="33"/>
  <c r="DJ101" i="33"/>
  <c r="DI101" i="33"/>
  <c r="DH101" i="33"/>
  <c r="DG101" i="33"/>
  <c r="DF101" i="33"/>
  <c r="DE101" i="33"/>
  <c r="DD101" i="33"/>
  <c r="DC101" i="33"/>
  <c r="DB101" i="33"/>
  <c r="DA101" i="33"/>
  <c r="CZ101" i="33"/>
  <c r="CY101" i="33"/>
  <c r="CX101" i="33"/>
  <c r="CW101" i="33"/>
  <c r="CV101" i="33"/>
  <c r="CU101" i="33"/>
  <c r="CT101" i="33"/>
  <c r="CS101" i="33"/>
  <c r="CR101" i="33"/>
  <c r="CQ101" i="33"/>
  <c r="CP101" i="33"/>
  <c r="CO101" i="33"/>
  <c r="CN101" i="33"/>
  <c r="CM101" i="33"/>
  <c r="CL101" i="33"/>
  <c r="CK101" i="33"/>
  <c r="CJ101" i="33"/>
  <c r="CI101" i="33"/>
  <c r="CH101" i="33"/>
  <c r="CG101" i="33"/>
  <c r="CF101" i="33"/>
  <c r="CE101" i="33"/>
  <c r="CD101" i="33"/>
  <c r="CC101" i="33"/>
  <c r="CB101" i="33"/>
  <c r="CA101" i="33"/>
  <c r="BZ101" i="33"/>
  <c r="BY101" i="33"/>
  <c r="BX101" i="33"/>
  <c r="BW101" i="33"/>
  <c r="BV101" i="33"/>
  <c r="BU101" i="33"/>
  <c r="BT101" i="33"/>
  <c r="BS101" i="33"/>
  <c r="BR101" i="33"/>
  <c r="BQ101" i="33"/>
  <c r="BP101" i="33"/>
  <c r="BO101" i="33"/>
  <c r="BN101" i="33"/>
  <c r="BM101" i="33"/>
  <c r="BL101" i="33"/>
  <c r="BK101" i="33"/>
  <c r="BJ101" i="33"/>
  <c r="BI101" i="33"/>
  <c r="BH101" i="33"/>
  <c r="BG101" i="33"/>
  <c r="BF101" i="33"/>
  <c r="BE101" i="33"/>
  <c r="BD101" i="33"/>
  <c r="BC101" i="33"/>
  <c r="BB101" i="33"/>
  <c r="BA101" i="33"/>
  <c r="AZ101" i="33"/>
  <c r="AY101" i="33"/>
  <c r="AX101" i="33"/>
  <c r="AW101" i="33"/>
  <c r="AV101" i="33"/>
  <c r="AU101" i="33"/>
  <c r="AT101" i="33"/>
  <c r="AS101" i="33"/>
  <c r="AR101" i="33"/>
  <c r="AQ101" i="33"/>
  <c r="AP101" i="33"/>
  <c r="AO101" i="33"/>
  <c r="AN101" i="33"/>
  <c r="AM101" i="33"/>
  <c r="AL101" i="33"/>
  <c r="AK101" i="33"/>
  <c r="AJ101" i="33"/>
  <c r="AI101" i="33"/>
  <c r="AH101" i="33"/>
  <c r="AG101" i="33"/>
  <c r="AF101" i="33"/>
  <c r="AE101" i="33"/>
  <c r="AD101" i="33"/>
  <c r="AC101" i="33"/>
  <c r="AB101" i="33"/>
  <c r="AA101" i="33"/>
  <c r="Z101" i="33"/>
  <c r="Y101" i="33"/>
  <c r="X101" i="33"/>
  <c r="W101" i="33"/>
  <c r="V101" i="33"/>
  <c r="U101" i="33"/>
  <c r="T101" i="33"/>
  <c r="S101" i="33"/>
  <c r="R101" i="33"/>
  <c r="Q101" i="33"/>
  <c r="P101" i="33"/>
  <c r="O101" i="33"/>
  <c r="N101" i="33"/>
  <c r="M101" i="33"/>
  <c r="L101" i="33"/>
  <c r="K101" i="33"/>
  <c r="J101" i="33"/>
  <c r="I101" i="33"/>
  <c r="H101" i="33"/>
  <c r="G101" i="33"/>
  <c r="F101" i="33"/>
  <c r="E101" i="33"/>
  <c r="D101" i="33"/>
  <c r="C101" i="33"/>
  <c r="B101" i="33"/>
  <c r="A101" i="33"/>
  <c r="IV100" i="33"/>
  <c r="IU100" i="33"/>
  <c r="IT100" i="33"/>
  <c r="IS100" i="33"/>
  <c r="IR100" i="33"/>
  <c r="IQ100" i="33"/>
  <c r="IP100" i="33"/>
  <c r="IO100" i="33"/>
  <c r="IN100" i="33"/>
  <c r="IM100" i="33"/>
  <c r="IL100" i="33"/>
  <c r="IK100" i="33"/>
  <c r="IJ100" i="33"/>
  <c r="II100" i="33"/>
  <c r="IH100" i="33"/>
  <c r="IG100" i="33"/>
  <c r="IF100" i="33"/>
  <c r="IE100" i="33"/>
  <c r="ID100" i="33"/>
  <c r="IC100" i="33"/>
  <c r="IB100" i="33"/>
  <c r="IA100" i="33"/>
  <c r="HZ100" i="33"/>
  <c r="HY100" i="33"/>
  <c r="HX100" i="33"/>
  <c r="HW100" i="33"/>
  <c r="HV100" i="33"/>
  <c r="HU100" i="33"/>
  <c r="HT100" i="33"/>
  <c r="HS100" i="33"/>
  <c r="HR100" i="33"/>
  <c r="HQ100" i="33"/>
  <c r="HP100" i="33"/>
  <c r="HO100" i="33"/>
  <c r="HN100" i="33"/>
  <c r="HM100" i="33"/>
  <c r="HL100" i="33"/>
  <c r="HK100" i="33"/>
  <c r="HJ100" i="33"/>
  <c r="HI100" i="33"/>
  <c r="HH100" i="33"/>
  <c r="HG100" i="33"/>
  <c r="HF100" i="33"/>
  <c r="HE100" i="33"/>
  <c r="HD100" i="33"/>
  <c r="HC100" i="33"/>
  <c r="HB100" i="33"/>
  <c r="HA100" i="33"/>
  <c r="GZ100" i="33"/>
  <c r="GY100" i="33"/>
  <c r="GX100" i="33"/>
  <c r="GW100" i="33"/>
  <c r="GV100" i="33"/>
  <c r="GU100" i="33"/>
  <c r="GT100" i="33"/>
  <c r="GS100" i="33"/>
  <c r="GR100" i="33"/>
  <c r="GQ100" i="33"/>
  <c r="GP100" i="33"/>
  <c r="GO100" i="33"/>
  <c r="GN100" i="33"/>
  <c r="GM100" i="33"/>
  <c r="GL100" i="33"/>
  <c r="GK100" i="33"/>
  <c r="GJ100" i="33"/>
  <c r="GI100" i="33"/>
  <c r="GH100" i="33"/>
  <c r="GG100" i="33"/>
  <c r="GF100" i="33"/>
  <c r="GE100" i="33"/>
  <c r="GD100" i="33"/>
  <c r="GC100" i="33"/>
  <c r="GB100" i="33"/>
  <c r="GA100" i="33"/>
  <c r="FZ100" i="33"/>
  <c r="FY100" i="33"/>
  <c r="FX100" i="33"/>
  <c r="FW100" i="33"/>
  <c r="FV100" i="33"/>
  <c r="FU100" i="33"/>
  <c r="FT100" i="33"/>
  <c r="FS100" i="33"/>
  <c r="FR100" i="33"/>
  <c r="FQ100" i="33"/>
  <c r="FP100" i="33"/>
  <c r="FO100" i="33"/>
  <c r="FN100" i="33"/>
  <c r="FM100" i="33"/>
  <c r="FL100" i="33"/>
  <c r="FK100" i="33"/>
  <c r="FJ100" i="33"/>
  <c r="FI100" i="33"/>
  <c r="FH100" i="33"/>
  <c r="FG100" i="33"/>
  <c r="FF100" i="33"/>
  <c r="FE100" i="33"/>
  <c r="FD100" i="33"/>
  <c r="FC100" i="33"/>
  <c r="FB100" i="33"/>
  <c r="FA100" i="33"/>
  <c r="EZ100" i="33"/>
  <c r="EY100" i="33"/>
  <c r="EX100" i="33"/>
  <c r="EW100" i="33"/>
  <c r="EV100" i="33"/>
  <c r="EU100" i="33"/>
  <c r="ET100" i="33"/>
  <c r="ES100" i="33"/>
  <c r="ER100" i="33"/>
  <c r="EQ100" i="33"/>
  <c r="EP100" i="33"/>
  <c r="EO100" i="33"/>
  <c r="EN100" i="33"/>
  <c r="EM100" i="33"/>
  <c r="EL100" i="33"/>
  <c r="EK100" i="33"/>
  <c r="EJ100" i="33"/>
  <c r="EI100" i="33"/>
  <c r="EH100" i="33"/>
  <c r="EG100" i="33"/>
  <c r="EF100" i="33"/>
  <c r="EE100" i="33"/>
  <c r="ED100" i="33"/>
  <c r="EC100" i="33"/>
  <c r="EB100" i="33"/>
  <c r="EA100" i="33"/>
  <c r="DZ100" i="33"/>
  <c r="DY100" i="33"/>
  <c r="DX100" i="33"/>
  <c r="DW100" i="33"/>
  <c r="DV100" i="33"/>
  <c r="DU100" i="33"/>
  <c r="DT100" i="33"/>
  <c r="DS100" i="33"/>
  <c r="DR100" i="33"/>
  <c r="DQ100" i="33"/>
  <c r="DP100" i="33"/>
  <c r="DO100" i="33"/>
  <c r="DN100" i="33"/>
  <c r="DM100" i="33"/>
  <c r="DL100" i="33"/>
  <c r="DK100" i="33"/>
  <c r="DJ100" i="33"/>
  <c r="DI100" i="33"/>
  <c r="DH100" i="33"/>
  <c r="DG100" i="33"/>
  <c r="DF100" i="33"/>
  <c r="DE100" i="33"/>
  <c r="DD100" i="33"/>
  <c r="DC100" i="33"/>
  <c r="DB100" i="33"/>
  <c r="DA100" i="33"/>
  <c r="CZ100" i="33"/>
  <c r="CY100" i="33"/>
  <c r="CX100" i="33"/>
  <c r="CW100" i="33"/>
  <c r="CV100" i="33"/>
  <c r="CU100" i="33"/>
  <c r="CT100" i="33"/>
  <c r="CS100" i="33"/>
  <c r="CR100" i="33"/>
  <c r="CQ100" i="33"/>
  <c r="CP100" i="33"/>
  <c r="CO100" i="33"/>
  <c r="CN100" i="33"/>
  <c r="CM100" i="33"/>
  <c r="CL100" i="33"/>
  <c r="CK100" i="33"/>
  <c r="CJ100" i="33"/>
  <c r="CI100" i="33"/>
  <c r="CH100" i="33"/>
  <c r="CG100" i="33"/>
  <c r="CF100" i="33"/>
  <c r="CE100" i="33"/>
  <c r="CD100" i="33"/>
  <c r="CC100" i="33"/>
  <c r="CB100" i="33"/>
  <c r="CA100" i="33"/>
  <c r="BZ100" i="33"/>
  <c r="BY100" i="33"/>
  <c r="BX100" i="33"/>
  <c r="BW100" i="33"/>
  <c r="BV100" i="33"/>
  <c r="BU100" i="33"/>
  <c r="BT100" i="33"/>
  <c r="BS100" i="33"/>
  <c r="BR100" i="33"/>
  <c r="BQ100" i="33"/>
  <c r="BP100" i="33"/>
  <c r="BO100" i="33"/>
  <c r="BN100" i="33"/>
  <c r="BM100" i="33"/>
  <c r="BL100" i="33"/>
  <c r="BK100" i="33"/>
  <c r="BJ100" i="33"/>
  <c r="BI100" i="33"/>
  <c r="BH100" i="33"/>
  <c r="BG100" i="33"/>
  <c r="BF100" i="33"/>
  <c r="BE100" i="33"/>
  <c r="BD100" i="33"/>
  <c r="BC100" i="33"/>
  <c r="BB100" i="33"/>
  <c r="BA100" i="33"/>
  <c r="AZ100" i="33"/>
  <c r="AY100" i="33"/>
  <c r="AX100" i="33"/>
  <c r="AW100" i="33"/>
  <c r="AV100" i="33"/>
  <c r="AU100" i="33"/>
  <c r="AT100" i="33"/>
  <c r="AS100" i="33"/>
  <c r="AR100" i="33"/>
  <c r="AQ100" i="33"/>
  <c r="AP100" i="33"/>
  <c r="AO100" i="33"/>
  <c r="AN100" i="33"/>
  <c r="AM100" i="33"/>
  <c r="AL100" i="33"/>
  <c r="AK100" i="33"/>
  <c r="AJ100" i="33"/>
  <c r="AI100" i="33"/>
  <c r="AH100" i="33"/>
  <c r="AG100" i="33"/>
  <c r="AF100" i="33"/>
  <c r="AE100" i="33"/>
  <c r="AD100" i="33"/>
  <c r="AC100" i="33"/>
  <c r="AB100" i="33"/>
  <c r="AA100" i="33"/>
  <c r="Z100" i="33"/>
  <c r="Y100" i="33"/>
  <c r="X100" i="33"/>
  <c r="W100" i="33"/>
  <c r="V100" i="33"/>
  <c r="U100" i="33"/>
  <c r="T100" i="33"/>
  <c r="S100" i="33"/>
  <c r="R100" i="33"/>
  <c r="Q100" i="33"/>
  <c r="P100" i="33"/>
  <c r="O100" i="33"/>
  <c r="N100" i="33"/>
  <c r="M100" i="33"/>
  <c r="L100" i="33"/>
  <c r="K100" i="33"/>
  <c r="J100" i="33"/>
  <c r="I100" i="33"/>
  <c r="H100" i="33"/>
  <c r="G100" i="33"/>
  <c r="F100" i="33"/>
  <c r="E100" i="33"/>
  <c r="D100" i="33"/>
  <c r="C100" i="33"/>
  <c r="B100" i="33"/>
  <c r="A100" i="33"/>
  <c r="IV99" i="33"/>
  <c r="IU99" i="33"/>
  <c r="IT99" i="33"/>
  <c r="IS99" i="33"/>
  <c r="IR99" i="33"/>
  <c r="IQ99" i="33"/>
  <c r="IP99" i="33"/>
  <c r="IO99" i="33"/>
  <c r="IN99" i="33"/>
  <c r="IM99" i="33"/>
  <c r="IL99" i="33"/>
  <c r="IK99" i="33"/>
  <c r="IJ99" i="33"/>
  <c r="II99" i="33"/>
  <c r="IH99" i="33"/>
  <c r="IG99" i="33"/>
  <c r="IF99" i="33"/>
  <c r="IE99" i="33"/>
  <c r="ID99" i="33"/>
  <c r="IC99" i="33"/>
  <c r="IB99" i="33"/>
  <c r="IA99" i="33"/>
  <c r="HZ99" i="33"/>
  <c r="HY99" i="33"/>
  <c r="HX99" i="33"/>
  <c r="HW99" i="33"/>
  <c r="HV99" i="33"/>
  <c r="HU99" i="33"/>
  <c r="HT99" i="33"/>
  <c r="HS99" i="33"/>
  <c r="HR99" i="33"/>
  <c r="HQ99" i="33"/>
  <c r="HP99" i="33"/>
  <c r="HO99" i="33"/>
  <c r="HN99" i="33"/>
  <c r="HM99" i="33"/>
  <c r="HL99" i="33"/>
  <c r="HK99" i="33"/>
  <c r="HJ99" i="33"/>
  <c r="HI99" i="33"/>
  <c r="HH99" i="33"/>
  <c r="HG99" i="33"/>
  <c r="HF99" i="33"/>
  <c r="HE99" i="33"/>
  <c r="HD99" i="33"/>
  <c r="HC99" i="33"/>
  <c r="HB99" i="33"/>
  <c r="HA99" i="33"/>
  <c r="GZ99" i="33"/>
  <c r="GY99" i="33"/>
  <c r="GX99" i="33"/>
  <c r="GW99" i="33"/>
  <c r="GV99" i="33"/>
  <c r="GU99" i="33"/>
  <c r="GT99" i="33"/>
  <c r="GS99" i="33"/>
  <c r="GR99" i="33"/>
  <c r="GQ99" i="33"/>
  <c r="GP99" i="33"/>
  <c r="GO99" i="33"/>
  <c r="GN99" i="33"/>
  <c r="GM99" i="33"/>
  <c r="GL99" i="33"/>
  <c r="GK99" i="33"/>
  <c r="GJ99" i="33"/>
  <c r="GI99" i="33"/>
  <c r="GH99" i="33"/>
  <c r="GG99" i="33"/>
  <c r="GF99" i="33"/>
  <c r="GE99" i="33"/>
  <c r="GD99" i="33"/>
  <c r="GC99" i="33"/>
  <c r="GB99" i="33"/>
  <c r="GA99" i="33"/>
  <c r="FZ99" i="33"/>
  <c r="FY99" i="33"/>
  <c r="FX99" i="33"/>
  <c r="FW99" i="33"/>
  <c r="FV99" i="33"/>
  <c r="FU99" i="33"/>
  <c r="FT99" i="33"/>
  <c r="FS99" i="33"/>
  <c r="FR99" i="33"/>
  <c r="FQ99" i="33"/>
  <c r="FP99" i="33"/>
  <c r="FO99" i="33"/>
  <c r="FN99" i="33"/>
  <c r="FM99" i="33"/>
  <c r="FL99" i="33"/>
  <c r="FK99" i="33"/>
  <c r="FJ99" i="33"/>
  <c r="FI99" i="33"/>
  <c r="FH99" i="33"/>
  <c r="FG99" i="33"/>
  <c r="FF99" i="33"/>
  <c r="FE99" i="33"/>
  <c r="FD99" i="33"/>
  <c r="FC99" i="33"/>
  <c r="FB99" i="33"/>
  <c r="FA99" i="33"/>
  <c r="EZ99" i="33"/>
  <c r="EY99" i="33"/>
  <c r="EX99" i="33"/>
  <c r="EW99" i="33"/>
  <c r="EV99" i="33"/>
  <c r="EU99" i="33"/>
  <c r="ET99" i="33"/>
  <c r="ES99" i="33"/>
  <c r="ER99" i="33"/>
  <c r="EQ99" i="33"/>
  <c r="EP99" i="33"/>
  <c r="EO99" i="33"/>
  <c r="EN99" i="33"/>
  <c r="EM99" i="33"/>
  <c r="EL99" i="33"/>
  <c r="EK99" i="33"/>
  <c r="EJ99" i="33"/>
  <c r="EI99" i="33"/>
  <c r="EH99" i="33"/>
  <c r="EG99" i="33"/>
  <c r="EF99" i="33"/>
  <c r="EE99" i="33"/>
  <c r="ED99" i="33"/>
  <c r="EC99" i="33"/>
  <c r="EB99" i="33"/>
  <c r="EA99" i="33"/>
  <c r="DZ99" i="33"/>
  <c r="DY99" i="33"/>
  <c r="DX99" i="33"/>
  <c r="DW99" i="33"/>
  <c r="DV99" i="33"/>
  <c r="DU99" i="33"/>
  <c r="DT99" i="33"/>
  <c r="DS99" i="33"/>
  <c r="DR99" i="33"/>
  <c r="DQ99" i="33"/>
  <c r="DP99" i="33"/>
  <c r="DO99" i="33"/>
  <c r="DN99" i="33"/>
  <c r="DM99" i="33"/>
  <c r="DL99" i="33"/>
  <c r="DK99" i="33"/>
  <c r="DJ99" i="33"/>
  <c r="DI99" i="33"/>
  <c r="DH99" i="33"/>
  <c r="DG99" i="33"/>
  <c r="DF99" i="33"/>
  <c r="DE99" i="33"/>
  <c r="DD99" i="33"/>
  <c r="DC99" i="33"/>
  <c r="DB99" i="33"/>
  <c r="DA99" i="33"/>
  <c r="CZ99" i="33"/>
  <c r="CY99" i="33"/>
  <c r="CX99" i="33"/>
  <c r="CW99" i="33"/>
  <c r="CV99" i="33"/>
  <c r="CU99" i="33"/>
  <c r="CT99" i="33"/>
  <c r="CS99" i="33"/>
  <c r="CR99" i="33"/>
  <c r="CQ99" i="33"/>
  <c r="CP99" i="33"/>
  <c r="CO99" i="33"/>
  <c r="CN99" i="33"/>
  <c r="CM99" i="33"/>
  <c r="CL99" i="33"/>
  <c r="CK99" i="33"/>
  <c r="CJ99" i="33"/>
  <c r="CI99" i="33"/>
  <c r="CH99" i="33"/>
  <c r="CG99" i="33"/>
  <c r="CF99" i="33"/>
  <c r="CE99" i="33"/>
  <c r="CD99" i="33"/>
  <c r="CC99" i="33"/>
  <c r="CB99" i="33"/>
  <c r="CA99" i="33"/>
  <c r="BZ99" i="33"/>
  <c r="BY99" i="33"/>
  <c r="BX99" i="33"/>
  <c r="BW99" i="33"/>
  <c r="BV99" i="33"/>
  <c r="BU99" i="33"/>
  <c r="BT99" i="33"/>
  <c r="BS99" i="33"/>
  <c r="BR99" i="33"/>
  <c r="BQ99" i="33"/>
  <c r="BP99" i="33"/>
  <c r="BO99" i="33"/>
  <c r="BN99" i="33"/>
  <c r="BM99" i="33"/>
  <c r="BL99" i="33"/>
  <c r="BK99" i="33"/>
  <c r="BJ99" i="33"/>
  <c r="BI99" i="33"/>
  <c r="BH99" i="33"/>
  <c r="BG99" i="33"/>
  <c r="BF99" i="33"/>
  <c r="BE99" i="33"/>
  <c r="BD99" i="33"/>
  <c r="BC99" i="33"/>
  <c r="BB99" i="33"/>
  <c r="BA99" i="33"/>
  <c r="AZ99" i="33"/>
  <c r="AY99" i="33"/>
  <c r="AX99" i="33"/>
  <c r="AW99" i="33"/>
  <c r="AV99" i="33"/>
  <c r="AU99" i="33"/>
  <c r="AT99" i="33"/>
  <c r="AS99" i="33"/>
  <c r="AR99" i="33"/>
  <c r="AQ99" i="33"/>
  <c r="AP99" i="33"/>
  <c r="AO99" i="33"/>
  <c r="AN99" i="33"/>
  <c r="AM99" i="33"/>
  <c r="AL99" i="33"/>
  <c r="AK99" i="33"/>
  <c r="AJ99" i="33"/>
  <c r="AI99" i="33"/>
  <c r="AH99" i="33"/>
  <c r="AG99" i="33"/>
  <c r="AF99" i="33"/>
  <c r="AE99" i="33"/>
  <c r="AD99" i="33"/>
  <c r="AC99" i="33"/>
  <c r="AB99" i="33"/>
  <c r="AA99" i="33"/>
  <c r="Z99" i="33"/>
  <c r="Y99" i="33"/>
  <c r="X99" i="33"/>
  <c r="W99" i="33"/>
  <c r="V99" i="33"/>
  <c r="U99" i="33"/>
  <c r="T99" i="33"/>
  <c r="S99" i="33"/>
  <c r="R99" i="33"/>
  <c r="Q99" i="33"/>
  <c r="P99" i="33"/>
  <c r="O99" i="33"/>
  <c r="N99" i="33"/>
  <c r="M99" i="33"/>
  <c r="L99" i="33"/>
  <c r="K99" i="33"/>
  <c r="J99" i="33"/>
  <c r="I99" i="33"/>
  <c r="H99" i="33"/>
  <c r="G99" i="33"/>
  <c r="F99" i="33"/>
  <c r="E99" i="33"/>
  <c r="D99" i="33"/>
  <c r="C99" i="33"/>
  <c r="B99" i="33"/>
  <c r="A99" i="33"/>
  <c r="IV98" i="33"/>
  <c r="IU98" i="33"/>
  <c r="IT98" i="33"/>
  <c r="IS98" i="33"/>
  <c r="IR98" i="33"/>
  <c r="IQ98" i="33"/>
  <c r="IP98" i="33"/>
  <c r="IO98" i="33"/>
  <c r="IN98" i="33"/>
  <c r="IM98" i="33"/>
  <c r="IL98" i="33"/>
  <c r="IK98" i="33"/>
  <c r="IJ98" i="33"/>
  <c r="II98" i="33"/>
  <c r="IH98" i="33"/>
  <c r="IG98" i="33"/>
  <c r="IF98" i="33"/>
  <c r="IE98" i="33"/>
  <c r="ID98" i="33"/>
  <c r="IC98" i="33"/>
  <c r="IB98" i="33"/>
  <c r="IA98" i="33"/>
  <c r="HZ98" i="33"/>
  <c r="HY98" i="33"/>
  <c r="HX98" i="33"/>
  <c r="HW98" i="33"/>
  <c r="HV98" i="33"/>
  <c r="HU98" i="33"/>
  <c r="HT98" i="33"/>
  <c r="HS98" i="33"/>
  <c r="HR98" i="33"/>
  <c r="HQ98" i="33"/>
  <c r="HP98" i="33"/>
  <c r="HO98" i="33"/>
  <c r="HN98" i="33"/>
  <c r="HM98" i="33"/>
  <c r="HL98" i="33"/>
  <c r="HK98" i="33"/>
  <c r="HJ98" i="33"/>
  <c r="HI98" i="33"/>
  <c r="HH98" i="33"/>
  <c r="HG98" i="33"/>
  <c r="HF98" i="33"/>
  <c r="HE98" i="33"/>
  <c r="HD98" i="33"/>
  <c r="HC98" i="33"/>
  <c r="HB98" i="33"/>
  <c r="HA98" i="33"/>
  <c r="GZ98" i="33"/>
  <c r="GY98" i="33"/>
  <c r="GX98" i="33"/>
  <c r="GW98" i="33"/>
  <c r="GV98" i="33"/>
  <c r="GU98" i="33"/>
  <c r="GT98" i="33"/>
  <c r="GS98" i="33"/>
  <c r="GR98" i="33"/>
  <c r="GQ98" i="33"/>
  <c r="GP98" i="33"/>
  <c r="GO98" i="33"/>
  <c r="GN98" i="33"/>
  <c r="GM98" i="33"/>
  <c r="GL98" i="33"/>
  <c r="GK98" i="33"/>
  <c r="GJ98" i="33"/>
  <c r="GI98" i="33"/>
  <c r="GH98" i="33"/>
  <c r="GG98" i="33"/>
  <c r="GF98" i="33"/>
  <c r="GE98" i="33"/>
  <c r="GD98" i="33"/>
  <c r="GC98" i="33"/>
  <c r="GB98" i="33"/>
  <c r="GA98" i="33"/>
  <c r="FZ98" i="33"/>
  <c r="FY98" i="33"/>
  <c r="FX98" i="33"/>
  <c r="FW98" i="33"/>
  <c r="FV98" i="33"/>
  <c r="FU98" i="33"/>
  <c r="FT98" i="33"/>
  <c r="FS98" i="33"/>
  <c r="FR98" i="33"/>
  <c r="FQ98" i="33"/>
  <c r="FP98" i="33"/>
  <c r="FO98" i="33"/>
  <c r="FN98" i="33"/>
  <c r="FM98" i="33"/>
  <c r="FL98" i="33"/>
  <c r="FK98" i="33"/>
  <c r="FJ98" i="33"/>
  <c r="FI98" i="33"/>
  <c r="FH98" i="33"/>
  <c r="FG98" i="33"/>
  <c r="FF98" i="33"/>
  <c r="FE98" i="33"/>
  <c r="FD98" i="33"/>
  <c r="FC98" i="33"/>
  <c r="FB98" i="33"/>
  <c r="FA98" i="33"/>
  <c r="EZ98" i="33"/>
  <c r="EY98" i="33"/>
  <c r="EX98" i="33"/>
  <c r="EW98" i="33"/>
  <c r="EV98" i="33"/>
  <c r="EU98" i="33"/>
  <c r="ET98" i="33"/>
  <c r="ES98" i="33"/>
  <c r="ER98" i="33"/>
  <c r="EQ98" i="33"/>
  <c r="EP98" i="33"/>
  <c r="EO98" i="33"/>
  <c r="EN98" i="33"/>
  <c r="EM98" i="33"/>
  <c r="EL98" i="33"/>
  <c r="EK98" i="33"/>
  <c r="EJ98" i="33"/>
  <c r="EI98" i="33"/>
  <c r="EH98" i="33"/>
  <c r="EG98" i="33"/>
  <c r="EF98" i="33"/>
  <c r="EE98" i="33"/>
  <c r="ED98" i="33"/>
  <c r="EC98" i="33"/>
  <c r="EB98" i="33"/>
  <c r="EA98" i="33"/>
  <c r="DZ98" i="33"/>
  <c r="DY98" i="33"/>
  <c r="DX98" i="33"/>
  <c r="DW98" i="33"/>
  <c r="DV98" i="33"/>
  <c r="DU98" i="33"/>
  <c r="DT98" i="33"/>
  <c r="DS98" i="33"/>
  <c r="DR98" i="33"/>
  <c r="DQ98" i="33"/>
  <c r="DP98" i="33"/>
  <c r="DO98" i="33"/>
  <c r="DN98" i="33"/>
  <c r="DM98" i="33"/>
  <c r="DL98" i="33"/>
  <c r="DK98" i="33"/>
  <c r="DJ98" i="33"/>
  <c r="DI98" i="33"/>
  <c r="DH98" i="33"/>
  <c r="DG98" i="33"/>
  <c r="DF98" i="33"/>
  <c r="DE98" i="33"/>
  <c r="DD98" i="33"/>
  <c r="DC98" i="33"/>
  <c r="DB98" i="33"/>
  <c r="DA98" i="33"/>
  <c r="CZ98" i="33"/>
  <c r="CY98" i="33"/>
  <c r="CX98" i="33"/>
  <c r="CW98" i="33"/>
  <c r="CV98" i="33"/>
  <c r="CU98" i="33"/>
  <c r="CT98" i="33"/>
  <c r="CS98" i="33"/>
  <c r="CR98" i="33"/>
  <c r="CQ98" i="33"/>
  <c r="CP98" i="33"/>
  <c r="CO98" i="33"/>
  <c r="CN98" i="33"/>
  <c r="CM98" i="33"/>
  <c r="CL98" i="33"/>
  <c r="CK98" i="33"/>
  <c r="CJ98" i="33"/>
  <c r="CI98" i="33"/>
  <c r="CH98" i="33"/>
  <c r="CG98" i="33"/>
  <c r="CF98" i="33"/>
  <c r="CE98" i="33"/>
  <c r="CD98" i="33"/>
  <c r="CC98" i="33"/>
  <c r="CB98" i="33"/>
  <c r="CA98" i="33"/>
  <c r="BZ98" i="33"/>
  <c r="BY98" i="33"/>
  <c r="BX98" i="33"/>
  <c r="BW98" i="33"/>
  <c r="BV98" i="33"/>
  <c r="BU98" i="33"/>
  <c r="BT98" i="33"/>
  <c r="BS98" i="33"/>
  <c r="BR98" i="33"/>
  <c r="BQ98" i="33"/>
  <c r="BP98" i="33"/>
  <c r="BO98" i="33"/>
  <c r="BN98" i="33"/>
  <c r="BM98" i="33"/>
  <c r="BL98" i="33"/>
  <c r="BK98" i="33"/>
  <c r="BJ98" i="33"/>
  <c r="BI98" i="33"/>
  <c r="BH98" i="33"/>
  <c r="BG98" i="33"/>
  <c r="BF98" i="33"/>
  <c r="BE98" i="33"/>
  <c r="BD98" i="33"/>
  <c r="BC98" i="33"/>
  <c r="BB98" i="33"/>
  <c r="BA98" i="33"/>
  <c r="AZ98" i="33"/>
  <c r="AY98" i="33"/>
  <c r="AX98" i="33"/>
  <c r="AW98" i="33"/>
  <c r="AV98" i="33"/>
  <c r="AU98" i="33"/>
  <c r="AT98" i="33"/>
  <c r="AS98" i="33"/>
  <c r="AR98" i="33"/>
  <c r="AQ98" i="33"/>
  <c r="AP98" i="33"/>
  <c r="AO98" i="33"/>
  <c r="AN98" i="33"/>
  <c r="AM98" i="33"/>
  <c r="AL98" i="33"/>
  <c r="AK98" i="33"/>
  <c r="AJ98" i="33"/>
  <c r="AI98" i="33"/>
  <c r="AH98" i="33"/>
  <c r="AG98" i="33"/>
  <c r="AF98" i="33"/>
  <c r="AE98" i="33"/>
  <c r="AD98" i="33"/>
  <c r="AC98" i="33"/>
  <c r="AB98" i="33"/>
  <c r="AA98" i="33"/>
  <c r="Z98" i="33"/>
  <c r="Y98" i="33"/>
  <c r="X98" i="33"/>
  <c r="W98" i="33"/>
  <c r="V98" i="33"/>
  <c r="U98" i="33"/>
  <c r="T98" i="33"/>
  <c r="S98" i="33"/>
  <c r="R98" i="33"/>
  <c r="Q98" i="33"/>
  <c r="P98" i="33"/>
  <c r="O98" i="33"/>
  <c r="N98" i="33"/>
  <c r="M98" i="33"/>
  <c r="L98" i="33"/>
  <c r="K98" i="33"/>
  <c r="J98" i="33"/>
  <c r="I98" i="33"/>
  <c r="H98" i="33"/>
  <c r="G98" i="33"/>
  <c r="F98" i="33"/>
  <c r="E98" i="33"/>
  <c r="D98" i="33"/>
  <c r="C98" i="33"/>
  <c r="B98" i="33"/>
  <c r="A98" i="33"/>
  <c r="IV97" i="33"/>
  <c r="IU97" i="33"/>
  <c r="IT97" i="33"/>
  <c r="IS97" i="33"/>
  <c r="IR97" i="33"/>
  <c r="IQ97" i="33"/>
  <c r="IP97" i="33"/>
  <c r="IO97" i="33"/>
  <c r="IN97" i="33"/>
  <c r="IM97" i="33"/>
  <c r="IL97" i="33"/>
  <c r="IK97" i="33"/>
  <c r="IJ97" i="33"/>
  <c r="II97" i="33"/>
  <c r="IH97" i="33"/>
  <c r="IG97" i="33"/>
  <c r="IF97" i="33"/>
  <c r="IE97" i="33"/>
  <c r="ID97" i="33"/>
  <c r="IC97" i="33"/>
  <c r="IB97" i="33"/>
  <c r="IA97" i="33"/>
  <c r="HZ97" i="33"/>
  <c r="HY97" i="33"/>
  <c r="HX97" i="33"/>
  <c r="HW97" i="33"/>
  <c r="HV97" i="33"/>
  <c r="HU97" i="33"/>
  <c r="HT97" i="33"/>
  <c r="HS97" i="33"/>
  <c r="HR97" i="33"/>
  <c r="HQ97" i="33"/>
  <c r="HP97" i="33"/>
  <c r="HO97" i="33"/>
  <c r="HN97" i="33"/>
  <c r="HM97" i="33"/>
  <c r="HL97" i="33"/>
  <c r="HK97" i="33"/>
  <c r="HJ97" i="33"/>
  <c r="HI97" i="33"/>
  <c r="HH97" i="33"/>
  <c r="HG97" i="33"/>
  <c r="HF97" i="33"/>
  <c r="HE97" i="33"/>
  <c r="HD97" i="33"/>
  <c r="HC97" i="33"/>
  <c r="HB97" i="33"/>
  <c r="HA97" i="33"/>
  <c r="GZ97" i="33"/>
  <c r="GY97" i="33"/>
  <c r="GX97" i="33"/>
  <c r="GW97" i="33"/>
  <c r="GV97" i="33"/>
  <c r="GU97" i="33"/>
  <c r="GT97" i="33"/>
  <c r="GS97" i="33"/>
  <c r="GR97" i="33"/>
  <c r="GQ97" i="33"/>
  <c r="GP97" i="33"/>
  <c r="GO97" i="33"/>
  <c r="GN97" i="33"/>
  <c r="GM97" i="33"/>
  <c r="GL97" i="33"/>
  <c r="GK97" i="33"/>
  <c r="GJ97" i="33"/>
  <c r="GI97" i="33"/>
  <c r="GH97" i="33"/>
  <c r="GG97" i="33"/>
  <c r="GF97" i="33"/>
  <c r="GE97" i="33"/>
  <c r="GD97" i="33"/>
  <c r="GC97" i="33"/>
  <c r="GB97" i="33"/>
  <c r="GA97" i="33"/>
  <c r="FZ97" i="33"/>
  <c r="FY97" i="33"/>
  <c r="FX97" i="33"/>
  <c r="FW97" i="33"/>
  <c r="FV97" i="33"/>
  <c r="FU97" i="33"/>
  <c r="FT97" i="33"/>
  <c r="FS97" i="33"/>
  <c r="FR97" i="33"/>
  <c r="FQ97" i="33"/>
  <c r="FP97" i="33"/>
  <c r="FO97" i="33"/>
  <c r="FN97" i="33"/>
  <c r="FM97" i="33"/>
  <c r="FL97" i="33"/>
  <c r="FK97" i="33"/>
  <c r="FJ97" i="33"/>
  <c r="FI97" i="33"/>
  <c r="FH97" i="33"/>
  <c r="FG97" i="33"/>
  <c r="FF97" i="33"/>
  <c r="FE97" i="33"/>
  <c r="FD97" i="33"/>
  <c r="FC97" i="33"/>
  <c r="FB97" i="33"/>
  <c r="FA97" i="33"/>
  <c r="EZ97" i="33"/>
  <c r="EY97" i="33"/>
  <c r="EX97" i="33"/>
  <c r="EW97" i="33"/>
  <c r="EV97" i="33"/>
  <c r="EU97" i="33"/>
  <c r="ET97" i="33"/>
  <c r="ES97" i="33"/>
  <c r="ER97" i="33"/>
  <c r="EQ97" i="33"/>
  <c r="EP97" i="33"/>
  <c r="EO97" i="33"/>
  <c r="EN97" i="33"/>
  <c r="EM97" i="33"/>
  <c r="EL97" i="33"/>
  <c r="EK97" i="33"/>
  <c r="EJ97" i="33"/>
  <c r="EI97" i="33"/>
  <c r="EH97" i="33"/>
  <c r="EG97" i="33"/>
  <c r="EF97" i="33"/>
  <c r="EE97" i="33"/>
  <c r="ED97" i="33"/>
  <c r="EC97" i="33"/>
  <c r="EB97" i="33"/>
  <c r="EA97" i="33"/>
  <c r="DZ97" i="33"/>
  <c r="DY97" i="33"/>
  <c r="DX97" i="33"/>
  <c r="DW97" i="33"/>
  <c r="DV97" i="33"/>
  <c r="DU97" i="33"/>
  <c r="DT97" i="33"/>
  <c r="DS97" i="33"/>
  <c r="DR97" i="33"/>
  <c r="DQ97" i="33"/>
  <c r="DP97" i="33"/>
  <c r="DO97" i="33"/>
  <c r="DN97" i="33"/>
  <c r="DM97" i="33"/>
  <c r="DL97" i="33"/>
  <c r="DK97" i="33"/>
  <c r="DJ97" i="33"/>
  <c r="DI97" i="33"/>
  <c r="DH97" i="33"/>
  <c r="DG97" i="33"/>
  <c r="DF97" i="33"/>
  <c r="DE97" i="33"/>
  <c r="DD97" i="33"/>
  <c r="DC97" i="33"/>
  <c r="DB97" i="33"/>
  <c r="DA97" i="33"/>
  <c r="CZ97" i="33"/>
  <c r="CY97" i="33"/>
  <c r="CX97" i="33"/>
  <c r="CW97" i="33"/>
  <c r="CV97" i="33"/>
  <c r="CU97" i="33"/>
  <c r="CT97" i="33"/>
  <c r="CS97" i="33"/>
  <c r="CR97" i="33"/>
  <c r="CQ97" i="33"/>
  <c r="CP97" i="33"/>
  <c r="CO97" i="33"/>
  <c r="CN97" i="33"/>
  <c r="CM97" i="33"/>
  <c r="CL97" i="33"/>
  <c r="CK97" i="33"/>
  <c r="CJ97" i="33"/>
  <c r="CI97" i="33"/>
  <c r="CH97" i="33"/>
  <c r="CG97" i="33"/>
  <c r="CF97" i="33"/>
  <c r="CE97" i="33"/>
  <c r="CD97" i="33"/>
  <c r="CC97" i="33"/>
  <c r="CB97" i="33"/>
  <c r="CA97" i="33"/>
  <c r="BZ97" i="33"/>
  <c r="BY97" i="33"/>
  <c r="BX97" i="33"/>
  <c r="BW97" i="33"/>
  <c r="BV97" i="33"/>
  <c r="BU97" i="33"/>
  <c r="BT97" i="33"/>
  <c r="BS97" i="33"/>
  <c r="BR97" i="33"/>
  <c r="BQ97" i="33"/>
  <c r="BP97" i="33"/>
  <c r="BO97" i="33"/>
  <c r="BN97" i="33"/>
  <c r="BM97" i="33"/>
  <c r="BL97" i="33"/>
  <c r="BK97" i="33"/>
  <c r="BJ97" i="33"/>
  <c r="BI97" i="33"/>
  <c r="BH97" i="33"/>
  <c r="BG97" i="33"/>
  <c r="BF97" i="33"/>
  <c r="BE97" i="33"/>
  <c r="BD97" i="33"/>
  <c r="BC97" i="33"/>
  <c r="BB97" i="33"/>
  <c r="BA97" i="33"/>
  <c r="AZ97" i="33"/>
  <c r="AY97" i="33"/>
  <c r="AX97" i="33"/>
  <c r="AW97" i="33"/>
  <c r="AV97" i="33"/>
  <c r="AU97" i="33"/>
  <c r="AT97" i="33"/>
  <c r="AS97" i="33"/>
  <c r="AR97" i="33"/>
  <c r="AQ97" i="33"/>
  <c r="AP97" i="33"/>
  <c r="AO97" i="33"/>
  <c r="AN97" i="33"/>
  <c r="AM97" i="33"/>
  <c r="AL97" i="33"/>
  <c r="AK97" i="33"/>
  <c r="AJ97" i="33"/>
  <c r="AI97" i="33"/>
  <c r="AH97" i="33"/>
  <c r="AG97" i="33"/>
  <c r="AF97" i="33"/>
  <c r="AE97" i="33"/>
  <c r="AD97" i="33"/>
  <c r="AC97" i="33"/>
  <c r="AB97" i="33"/>
  <c r="AA97" i="33"/>
  <c r="Z97" i="33"/>
  <c r="Y97" i="33"/>
  <c r="X97" i="33"/>
  <c r="W97" i="33"/>
  <c r="V97" i="33"/>
  <c r="U97" i="33"/>
  <c r="T97" i="33"/>
  <c r="S97" i="33"/>
  <c r="R97" i="33"/>
  <c r="Q97" i="33"/>
  <c r="P97" i="33"/>
  <c r="O97" i="33"/>
  <c r="N97" i="33"/>
  <c r="M97" i="33"/>
  <c r="L97" i="33"/>
  <c r="K97" i="33"/>
  <c r="J97" i="33"/>
  <c r="I97" i="33"/>
  <c r="H97" i="33"/>
  <c r="G97" i="33"/>
  <c r="F97" i="33"/>
  <c r="E97" i="33"/>
  <c r="D97" i="33"/>
  <c r="C97" i="33"/>
  <c r="B97" i="33"/>
  <c r="A97" i="33"/>
  <c r="IV96" i="33"/>
  <c r="IU96" i="33"/>
  <c r="IT96" i="33"/>
  <c r="IS96" i="33"/>
  <c r="IR96" i="33"/>
  <c r="IQ96" i="33"/>
  <c r="IP96" i="33"/>
  <c r="IO96" i="33"/>
  <c r="IN96" i="33"/>
  <c r="IM96" i="33"/>
  <c r="IL96" i="33"/>
  <c r="IK96" i="33"/>
  <c r="IJ96" i="33"/>
  <c r="II96" i="33"/>
  <c r="IH96" i="33"/>
  <c r="IG96" i="33"/>
  <c r="IF96" i="33"/>
  <c r="IE96" i="33"/>
  <c r="ID96" i="33"/>
  <c r="IC96" i="33"/>
  <c r="IB96" i="33"/>
  <c r="IA96" i="33"/>
  <c r="HZ96" i="33"/>
  <c r="HY96" i="33"/>
  <c r="HX96" i="33"/>
  <c r="HW96" i="33"/>
  <c r="HV96" i="33"/>
  <c r="HU96" i="33"/>
  <c r="HT96" i="33"/>
  <c r="HS96" i="33"/>
  <c r="HR96" i="33"/>
  <c r="HQ96" i="33"/>
  <c r="HP96" i="33"/>
  <c r="HO96" i="33"/>
  <c r="HN96" i="33"/>
  <c r="HM96" i="33"/>
  <c r="HL96" i="33"/>
  <c r="HK96" i="33"/>
  <c r="HJ96" i="33"/>
  <c r="HI96" i="33"/>
  <c r="HH96" i="33"/>
  <c r="HG96" i="33"/>
  <c r="HF96" i="33"/>
  <c r="HE96" i="33"/>
  <c r="HD96" i="33"/>
  <c r="HC96" i="33"/>
  <c r="HB96" i="33"/>
  <c r="HA96" i="33"/>
  <c r="GZ96" i="33"/>
  <c r="GY96" i="33"/>
  <c r="GX96" i="33"/>
  <c r="GW96" i="33"/>
  <c r="GV96" i="33"/>
  <c r="GU96" i="33"/>
  <c r="GT96" i="33"/>
  <c r="GS96" i="33"/>
  <c r="GR96" i="33"/>
  <c r="GQ96" i="33"/>
  <c r="GP96" i="33"/>
  <c r="GO96" i="33"/>
  <c r="GN96" i="33"/>
  <c r="GM96" i="33"/>
  <c r="GL96" i="33"/>
  <c r="GK96" i="33"/>
  <c r="GJ96" i="33"/>
  <c r="GI96" i="33"/>
  <c r="GH96" i="33"/>
  <c r="GG96" i="33"/>
  <c r="GF96" i="33"/>
  <c r="GE96" i="33"/>
  <c r="GD96" i="33"/>
  <c r="GC96" i="33"/>
  <c r="GB96" i="33"/>
  <c r="GA96" i="33"/>
  <c r="FZ96" i="33"/>
  <c r="FY96" i="33"/>
  <c r="FX96" i="33"/>
  <c r="FW96" i="33"/>
  <c r="FV96" i="33"/>
  <c r="FU96" i="33"/>
  <c r="FT96" i="33"/>
  <c r="FS96" i="33"/>
  <c r="FR96" i="33"/>
  <c r="FQ96" i="33"/>
  <c r="FP96" i="33"/>
  <c r="FO96" i="33"/>
  <c r="FN96" i="33"/>
  <c r="FM96" i="33"/>
  <c r="FL96" i="33"/>
  <c r="FK96" i="33"/>
  <c r="FJ96" i="33"/>
  <c r="FI96" i="33"/>
  <c r="FH96" i="33"/>
  <c r="FG96" i="33"/>
  <c r="FF96" i="33"/>
  <c r="FE96" i="33"/>
  <c r="FD96" i="33"/>
  <c r="FC96" i="33"/>
  <c r="FB96" i="33"/>
  <c r="FA96" i="33"/>
  <c r="EZ96" i="33"/>
  <c r="EY96" i="33"/>
  <c r="EX96" i="33"/>
  <c r="EW96" i="33"/>
  <c r="EV96" i="33"/>
  <c r="EU96" i="33"/>
  <c r="ET96" i="33"/>
  <c r="ES96" i="33"/>
  <c r="ER96" i="33"/>
  <c r="EQ96" i="33"/>
  <c r="EP96" i="33"/>
  <c r="EO96" i="33"/>
  <c r="EN96" i="33"/>
  <c r="EM96" i="33"/>
  <c r="EL96" i="33"/>
  <c r="EK96" i="33"/>
  <c r="EJ96" i="33"/>
  <c r="EI96" i="33"/>
  <c r="EH96" i="33"/>
  <c r="EG96" i="33"/>
  <c r="EF96" i="33"/>
  <c r="EE96" i="33"/>
  <c r="ED96" i="33"/>
  <c r="EC96" i="33"/>
  <c r="EB96" i="33"/>
  <c r="EA96" i="33"/>
  <c r="DZ96" i="33"/>
  <c r="DY96" i="33"/>
  <c r="DX96" i="33"/>
  <c r="DW96" i="33"/>
  <c r="DV96" i="33"/>
  <c r="DU96" i="33"/>
  <c r="DT96" i="33"/>
  <c r="DS96" i="33"/>
  <c r="DR96" i="33"/>
  <c r="DQ96" i="33"/>
  <c r="DP96" i="33"/>
  <c r="DO96" i="33"/>
  <c r="DN96" i="33"/>
  <c r="DM96" i="33"/>
  <c r="DL96" i="33"/>
  <c r="DK96" i="33"/>
  <c r="DJ96" i="33"/>
  <c r="DI96" i="33"/>
  <c r="DH96" i="33"/>
  <c r="DG96" i="33"/>
  <c r="DF96" i="33"/>
  <c r="DE96" i="33"/>
  <c r="DD96" i="33"/>
  <c r="DC96" i="33"/>
  <c r="DB96" i="33"/>
  <c r="DA96" i="33"/>
  <c r="CZ96" i="33"/>
  <c r="CY96" i="33"/>
  <c r="CX96" i="33"/>
  <c r="CW96" i="33"/>
  <c r="CV96" i="33"/>
  <c r="CU96" i="33"/>
  <c r="CT96" i="33"/>
  <c r="CS96" i="33"/>
  <c r="CR96" i="33"/>
  <c r="CQ96" i="33"/>
  <c r="CP96" i="33"/>
  <c r="CO96" i="33"/>
  <c r="CN96" i="33"/>
  <c r="CM96" i="33"/>
  <c r="CL96" i="33"/>
  <c r="CK96" i="33"/>
  <c r="CJ96" i="33"/>
  <c r="CI96" i="33"/>
  <c r="CH96" i="33"/>
  <c r="CG96" i="33"/>
  <c r="CF96" i="33"/>
  <c r="CE96" i="33"/>
  <c r="CD96" i="33"/>
  <c r="CC96" i="33"/>
  <c r="CB96" i="33"/>
  <c r="CA96" i="33"/>
  <c r="BZ96" i="33"/>
  <c r="BY96" i="33"/>
  <c r="BX96" i="33"/>
  <c r="BW96" i="33"/>
  <c r="BV96" i="33"/>
  <c r="BU96" i="33"/>
  <c r="BT96" i="33"/>
  <c r="BS96" i="33"/>
  <c r="BR96" i="33"/>
  <c r="BQ96" i="33"/>
  <c r="BP96" i="33"/>
  <c r="BO96" i="33"/>
  <c r="BN96" i="33"/>
  <c r="BM96" i="33"/>
  <c r="BL96" i="33"/>
  <c r="BK96" i="33"/>
  <c r="BJ96" i="33"/>
  <c r="BI96" i="33"/>
  <c r="BH96" i="33"/>
  <c r="BG96" i="33"/>
  <c r="BF96" i="33"/>
  <c r="BE96" i="33"/>
  <c r="BD96" i="33"/>
  <c r="BC96" i="33"/>
  <c r="BB96" i="33"/>
  <c r="BA96" i="33"/>
  <c r="AZ96" i="33"/>
  <c r="AY96" i="33"/>
  <c r="AX96" i="33"/>
  <c r="AW96" i="33"/>
  <c r="AV96" i="33"/>
  <c r="AU96" i="33"/>
  <c r="AT96" i="33"/>
  <c r="AS96" i="33"/>
  <c r="AR96" i="33"/>
  <c r="AQ96" i="33"/>
  <c r="AP96" i="33"/>
  <c r="AO96" i="33"/>
  <c r="AN96" i="33"/>
  <c r="AM96" i="33"/>
  <c r="AL96" i="33"/>
  <c r="AK96" i="33"/>
  <c r="AJ96" i="33"/>
  <c r="AI96" i="33"/>
  <c r="AH96" i="33"/>
  <c r="AG96" i="33"/>
  <c r="AF96" i="33"/>
  <c r="AE96" i="33"/>
  <c r="AD96" i="33"/>
  <c r="AC96" i="33"/>
  <c r="AB96" i="33"/>
  <c r="AA96" i="33"/>
  <c r="Z96" i="33"/>
  <c r="Y96" i="33"/>
  <c r="X96" i="33"/>
  <c r="W96" i="33"/>
  <c r="V96" i="33"/>
  <c r="U96" i="33"/>
  <c r="T96" i="33"/>
  <c r="S96" i="33"/>
  <c r="R96" i="33"/>
  <c r="Q96" i="33"/>
  <c r="P96" i="33"/>
  <c r="O96" i="33"/>
  <c r="N96" i="33"/>
  <c r="M96" i="33"/>
  <c r="L96" i="33"/>
  <c r="K96" i="33"/>
  <c r="J96" i="33"/>
  <c r="I96" i="33"/>
  <c r="H96" i="33"/>
  <c r="G96" i="33"/>
  <c r="F96" i="33"/>
  <c r="E96" i="33"/>
  <c r="D96" i="33"/>
  <c r="C96" i="33"/>
  <c r="B96" i="33"/>
  <c r="A96" i="33"/>
  <c r="IV95" i="33"/>
  <c r="IU95" i="33"/>
  <c r="IT95" i="33"/>
  <c r="IS95" i="33"/>
  <c r="IR95" i="33"/>
  <c r="IQ95" i="33"/>
  <c r="IP95" i="33"/>
  <c r="IO95" i="33"/>
  <c r="IN95" i="33"/>
  <c r="IM95" i="33"/>
  <c r="IL95" i="33"/>
  <c r="IK95" i="33"/>
  <c r="IJ95" i="33"/>
  <c r="II95" i="33"/>
  <c r="IH95" i="33"/>
  <c r="IG95" i="33"/>
  <c r="IF95" i="33"/>
  <c r="IE95" i="33"/>
  <c r="ID95" i="33"/>
  <c r="IC95" i="33"/>
  <c r="IB95" i="33"/>
  <c r="IA95" i="33"/>
  <c r="HZ95" i="33"/>
  <c r="HY95" i="33"/>
  <c r="HX95" i="33"/>
  <c r="HW95" i="33"/>
  <c r="HV95" i="33"/>
  <c r="HU95" i="33"/>
  <c r="HT95" i="33"/>
  <c r="HS95" i="33"/>
  <c r="HR95" i="33"/>
  <c r="HQ95" i="33"/>
  <c r="HP95" i="33"/>
  <c r="HO95" i="33"/>
  <c r="HN95" i="33"/>
  <c r="HM95" i="33"/>
  <c r="HL95" i="33"/>
  <c r="HK95" i="33"/>
  <c r="HJ95" i="33"/>
  <c r="HI95" i="33"/>
  <c r="HH95" i="33"/>
  <c r="HG95" i="33"/>
  <c r="HF95" i="33"/>
  <c r="HE95" i="33"/>
  <c r="HD95" i="33"/>
  <c r="HC95" i="33"/>
  <c r="HB95" i="33"/>
  <c r="HA95" i="33"/>
  <c r="GZ95" i="33"/>
  <c r="GY95" i="33"/>
  <c r="GX95" i="33"/>
  <c r="GW95" i="33"/>
  <c r="GV95" i="33"/>
  <c r="GU95" i="33"/>
  <c r="GT95" i="33"/>
  <c r="GS95" i="33"/>
  <c r="GR95" i="33"/>
  <c r="GQ95" i="33"/>
  <c r="GP95" i="33"/>
  <c r="GO95" i="33"/>
  <c r="GN95" i="33"/>
  <c r="GM95" i="33"/>
  <c r="GL95" i="33"/>
  <c r="GK95" i="33"/>
  <c r="GJ95" i="33"/>
  <c r="GI95" i="33"/>
  <c r="GH95" i="33"/>
  <c r="GG95" i="33"/>
  <c r="GF95" i="33"/>
  <c r="GE95" i="33"/>
  <c r="GD95" i="33"/>
  <c r="GC95" i="33"/>
  <c r="GB95" i="33"/>
  <c r="GA95" i="33"/>
  <c r="FZ95" i="33"/>
  <c r="FY95" i="33"/>
  <c r="FX95" i="33"/>
  <c r="FW95" i="33"/>
  <c r="FV95" i="33"/>
  <c r="FU95" i="33"/>
  <c r="FT95" i="33"/>
  <c r="FS95" i="33"/>
  <c r="FR95" i="33"/>
  <c r="FQ95" i="33"/>
  <c r="FP95" i="33"/>
  <c r="FO95" i="33"/>
  <c r="FN95" i="33"/>
  <c r="FM95" i="33"/>
  <c r="FL95" i="33"/>
  <c r="FK95" i="33"/>
  <c r="FJ95" i="33"/>
  <c r="FI95" i="33"/>
  <c r="FH95" i="33"/>
  <c r="FG95" i="33"/>
  <c r="FF95" i="33"/>
  <c r="FE95" i="33"/>
  <c r="FD95" i="33"/>
  <c r="FC95" i="33"/>
  <c r="FB95" i="33"/>
  <c r="FA95" i="33"/>
  <c r="EZ95" i="33"/>
  <c r="EY95" i="33"/>
  <c r="EX95" i="33"/>
  <c r="EW95" i="33"/>
  <c r="EV95" i="33"/>
  <c r="EU95" i="33"/>
  <c r="ET95" i="33"/>
  <c r="ES95" i="33"/>
  <c r="ER95" i="33"/>
  <c r="EQ95" i="33"/>
  <c r="EP95" i="33"/>
  <c r="EO95" i="33"/>
  <c r="EN95" i="33"/>
  <c r="EM95" i="33"/>
  <c r="EL95" i="33"/>
  <c r="EK95" i="33"/>
  <c r="EJ95" i="33"/>
  <c r="EI95" i="33"/>
  <c r="EH95" i="33"/>
  <c r="EG95" i="33"/>
  <c r="EF95" i="33"/>
  <c r="EE95" i="33"/>
  <c r="ED95" i="33"/>
  <c r="EC95" i="33"/>
  <c r="EB95" i="33"/>
  <c r="EA95" i="33"/>
  <c r="DZ95" i="33"/>
  <c r="DY95" i="33"/>
  <c r="DX95" i="33"/>
  <c r="DW95" i="33"/>
  <c r="DV95" i="33"/>
  <c r="DU95" i="33"/>
  <c r="DT95" i="33"/>
  <c r="DS95" i="33"/>
  <c r="DR95" i="33"/>
  <c r="DQ95" i="33"/>
  <c r="DP95" i="33"/>
  <c r="DO95" i="33"/>
  <c r="DN95" i="33"/>
  <c r="DM95" i="33"/>
  <c r="DL95" i="33"/>
  <c r="DK95" i="33"/>
  <c r="DJ95" i="33"/>
  <c r="DI95" i="33"/>
  <c r="DH95" i="33"/>
  <c r="DG95" i="33"/>
  <c r="DF95" i="33"/>
  <c r="DE95" i="33"/>
  <c r="DD95" i="33"/>
  <c r="DC95" i="33"/>
  <c r="DB95" i="33"/>
  <c r="DA95" i="33"/>
  <c r="CZ95" i="33"/>
  <c r="CY95" i="33"/>
  <c r="CX95" i="33"/>
  <c r="CW95" i="33"/>
  <c r="CV95" i="33"/>
  <c r="CU95" i="33"/>
  <c r="CT95" i="33"/>
  <c r="CS95" i="33"/>
  <c r="CR95" i="33"/>
  <c r="CQ95" i="33"/>
  <c r="CP95" i="33"/>
  <c r="CO95" i="33"/>
  <c r="CN95" i="33"/>
  <c r="CM95" i="33"/>
  <c r="CL95" i="33"/>
  <c r="CK95" i="33"/>
  <c r="CJ95" i="33"/>
  <c r="CI95" i="33"/>
  <c r="CH95" i="33"/>
  <c r="CG95" i="33"/>
  <c r="CF95" i="33"/>
  <c r="CE95" i="33"/>
  <c r="CD95" i="33"/>
  <c r="CC95" i="33"/>
  <c r="CB95" i="33"/>
  <c r="CA95" i="33"/>
  <c r="BZ95" i="33"/>
  <c r="BY95" i="33"/>
  <c r="BX95" i="33"/>
  <c r="BW95" i="33"/>
  <c r="BV95" i="33"/>
  <c r="BU95" i="33"/>
  <c r="BT95" i="33"/>
  <c r="BS95" i="33"/>
  <c r="BR95" i="33"/>
  <c r="BQ95" i="33"/>
  <c r="BP95" i="33"/>
  <c r="BO95" i="33"/>
  <c r="BN95" i="33"/>
  <c r="BM95" i="33"/>
  <c r="BL95" i="33"/>
  <c r="BK95" i="33"/>
  <c r="BJ95" i="33"/>
  <c r="BI95" i="33"/>
  <c r="BH95" i="33"/>
  <c r="BG95" i="33"/>
  <c r="BF95" i="33"/>
  <c r="BE95" i="33"/>
  <c r="BD95" i="33"/>
  <c r="BC95" i="33"/>
  <c r="BB95" i="33"/>
  <c r="BA95" i="33"/>
  <c r="AZ95" i="33"/>
  <c r="AY95" i="33"/>
  <c r="AX95" i="33"/>
  <c r="AW95" i="33"/>
  <c r="AV95" i="33"/>
  <c r="AU95" i="33"/>
  <c r="AT95" i="33"/>
  <c r="AS95" i="33"/>
  <c r="AR95" i="33"/>
  <c r="AQ95" i="33"/>
  <c r="AP95" i="33"/>
  <c r="AO95" i="33"/>
  <c r="AN95" i="33"/>
  <c r="AM95" i="33"/>
  <c r="AL95" i="33"/>
  <c r="AK95" i="33"/>
  <c r="AJ95" i="33"/>
  <c r="AI95" i="33"/>
  <c r="AH95" i="33"/>
  <c r="AG95" i="33"/>
  <c r="AF95" i="33"/>
  <c r="AE95" i="33"/>
  <c r="AD95" i="33"/>
  <c r="AC95" i="33"/>
  <c r="AB95" i="33"/>
  <c r="AA95" i="33"/>
  <c r="Z95" i="33"/>
  <c r="Y95" i="33"/>
  <c r="X95" i="33"/>
  <c r="W95" i="33"/>
  <c r="V95" i="33"/>
  <c r="U95" i="33"/>
  <c r="T95" i="33"/>
  <c r="S95" i="33"/>
  <c r="R95" i="33"/>
  <c r="Q95" i="33"/>
  <c r="P95" i="33"/>
  <c r="O95" i="33"/>
  <c r="N95" i="33"/>
  <c r="M95" i="33"/>
  <c r="L95" i="33"/>
  <c r="K95" i="33"/>
  <c r="J95" i="33"/>
  <c r="I95" i="33"/>
  <c r="H95" i="33"/>
  <c r="G95" i="33"/>
  <c r="F95" i="33"/>
  <c r="E95" i="33"/>
  <c r="D95" i="33"/>
  <c r="C95" i="33"/>
  <c r="B95" i="33"/>
  <c r="A95" i="33"/>
  <c r="IV94" i="33"/>
  <c r="IU94" i="33"/>
  <c r="IT94" i="33"/>
  <c r="IS94" i="33"/>
  <c r="IR94" i="33"/>
  <c r="IQ94" i="33"/>
  <c r="IP94" i="33"/>
  <c r="IO94" i="33"/>
  <c r="IN94" i="33"/>
  <c r="IM94" i="33"/>
  <c r="IL94" i="33"/>
  <c r="IK94" i="33"/>
  <c r="IJ94" i="33"/>
  <c r="II94" i="33"/>
  <c r="IH94" i="33"/>
  <c r="IG94" i="33"/>
  <c r="IF94" i="33"/>
  <c r="IE94" i="33"/>
  <c r="ID94" i="33"/>
  <c r="IC94" i="33"/>
  <c r="IB94" i="33"/>
  <c r="IA94" i="33"/>
  <c r="HZ94" i="33"/>
  <c r="HY94" i="33"/>
  <c r="HX94" i="33"/>
  <c r="HW94" i="33"/>
  <c r="HV94" i="33"/>
  <c r="HU94" i="33"/>
  <c r="HT94" i="33"/>
  <c r="HS94" i="33"/>
  <c r="HR94" i="33"/>
  <c r="HQ94" i="33"/>
  <c r="HP94" i="33"/>
  <c r="HO94" i="33"/>
  <c r="HN94" i="33"/>
  <c r="HM94" i="33"/>
  <c r="HL94" i="33"/>
  <c r="HK94" i="33"/>
  <c r="HJ94" i="33"/>
  <c r="HI94" i="33"/>
  <c r="HH94" i="33"/>
  <c r="HG94" i="33"/>
  <c r="HF94" i="33"/>
  <c r="HE94" i="33"/>
  <c r="HD94" i="33"/>
  <c r="HC94" i="33"/>
  <c r="HB94" i="33"/>
  <c r="HA94" i="33"/>
  <c r="GZ94" i="33"/>
  <c r="GY94" i="33"/>
  <c r="GX94" i="33"/>
  <c r="GW94" i="33"/>
  <c r="GV94" i="33"/>
  <c r="GU94" i="33"/>
  <c r="GT94" i="33"/>
  <c r="GS94" i="33"/>
  <c r="GR94" i="33"/>
  <c r="GQ94" i="33"/>
  <c r="GP94" i="33"/>
  <c r="GO94" i="33"/>
  <c r="GN94" i="33"/>
  <c r="GM94" i="33"/>
  <c r="GL94" i="33"/>
  <c r="GK94" i="33"/>
  <c r="GJ94" i="33"/>
  <c r="GI94" i="33"/>
  <c r="GH94" i="33"/>
  <c r="GG94" i="33"/>
  <c r="GF94" i="33"/>
  <c r="GE94" i="33"/>
  <c r="GD94" i="33"/>
  <c r="GC94" i="33"/>
  <c r="GB94" i="33"/>
  <c r="GA94" i="33"/>
  <c r="FZ94" i="33"/>
  <c r="FY94" i="33"/>
  <c r="FX94" i="33"/>
  <c r="FW94" i="33"/>
  <c r="FV94" i="33"/>
  <c r="FU94" i="33"/>
  <c r="FT94" i="33"/>
  <c r="FS94" i="33"/>
  <c r="FR94" i="33"/>
  <c r="FQ94" i="33"/>
  <c r="FP94" i="33"/>
  <c r="FO94" i="33"/>
  <c r="FN94" i="33"/>
  <c r="FM94" i="33"/>
  <c r="FL94" i="33"/>
  <c r="FK94" i="33"/>
  <c r="FJ94" i="33"/>
  <c r="FI94" i="33"/>
  <c r="FH94" i="33"/>
  <c r="FG94" i="33"/>
  <c r="FF94" i="33"/>
  <c r="FE94" i="33"/>
  <c r="FD94" i="33"/>
  <c r="FC94" i="33"/>
  <c r="FB94" i="33"/>
  <c r="FA94" i="33"/>
  <c r="EZ94" i="33"/>
  <c r="EY94" i="33"/>
  <c r="EX94" i="33"/>
  <c r="EW94" i="33"/>
  <c r="EV94" i="33"/>
  <c r="EU94" i="33"/>
  <c r="ET94" i="33"/>
  <c r="ES94" i="33"/>
  <c r="ER94" i="33"/>
  <c r="EQ94" i="33"/>
  <c r="EP94" i="33"/>
  <c r="EO94" i="33"/>
  <c r="EN94" i="33"/>
  <c r="EM94" i="33"/>
  <c r="EL94" i="33"/>
  <c r="EK94" i="33"/>
  <c r="EJ94" i="33"/>
  <c r="EI94" i="33"/>
  <c r="EH94" i="33"/>
  <c r="EG94" i="33"/>
  <c r="EF94" i="33"/>
  <c r="EE94" i="33"/>
  <c r="ED94" i="33"/>
  <c r="EC94" i="33"/>
  <c r="EB94" i="33"/>
  <c r="EA94" i="33"/>
  <c r="DZ94" i="33"/>
  <c r="DY94" i="33"/>
  <c r="DX94" i="33"/>
  <c r="DW94" i="33"/>
  <c r="DV94" i="33"/>
  <c r="DU94" i="33"/>
  <c r="DT94" i="33"/>
  <c r="DS94" i="33"/>
  <c r="DR94" i="33"/>
  <c r="DQ94" i="33"/>
  <c r="DP94" i="33"/>
  <c r="DO94" i="33"/>
  <c r="DN94" i="33"/>
  <c r="DM94" i="33"/>
  <c r="DL94" i="33"/>
  <c r="DK94" i="33"/>
  <c r="DJ94" i="33"/>
  <c r="DI94" i="33"/>
  <c r="DH94" i="33"/>
  <c r="DG94" i="33"/>
  <c r="DF94" i="33"/>
  <c r="DE94" i="33"/>
  <c r="DD94" i="33"/>
  <c r="DC94" i="33"/>
  <c r="DB94" i="33"/>
  <c r="DA94" i="33"/>
  <c r="CZ94" i="33"/>
  <c r="CY94" i="33"/>
  <c r="CX94" i="33"/>
  <c r="CW94" i="33"/>
  <c r="CV94" i="33"/>
  <c r="CU94" i="33"/>
  <c r="CT94" i="33"/>
  <c r="CS94" i="33"/>
  <c r="CR94" i="33"/>
  <c r="CQ94" i="33"/>
  <c r="CP94" i="33"/>
  <c r="CO94" i="33"/>
  <c r="CN94" i="33"/>
  <c r="CM94" i="33"/>
  <c r="CL94" i="33"/>
  <c r="CK94" i="33"/>
  <c r="CJ94" i="33"/>
  <c r="CI94" i="33"/>
  <c r="CH94" i="33"/>
  <c r="CG94" i="33"/>
  <c r="CF94" i="33"/>
  <c r="CE94" i="33"/>
  <c r="CD94" i="33"/>
  <c r="CC94" i="33"/>
  <c r="CB94" i="33"/>
  <c r="CA94" i="33"/>
  <c r="BZ94" i="33"/>
  <c r="BY94" i="33"/>
  <c r="BX94" i="33"/>
  <c r="BW94" i="33"/>
  <c r="BV94" i="33"/>
  <c r="BU94" i="33"/>
  <c r="BT94" i="33"/>
  <c r="BS94" i="33"/>
  <c r="BR94" i="33"/>
  <c r="BQ94" i="33"/>
  <c r="BP94" i="33"/>
  <c r="BO94" i="33"/>
  <c r="BN94" i="33"/>
  <c r="BM94" i="33"/>
  <c r="BL94" i="33"/>
  <c r="BK94" i="33"/>
  <c r="BJ94" i="33"/>
  <c r="BI94" i="33"/>
  <c r="BH94" i="33"/>
  <c r="BG94" i="33"/>
  <c r="BF94" i="33"/>
  <c r="BE94" i="33"/>
  <c r="BD94" i="33"/>
  <c r="BC94" i="33"/>
  <c r="BB94" i="33"/>
  <c r="BA94" i="33"/>
  <c r="AZ94" i="33"/>
  <c r="AY94" i="33"/>
  <c r="AX94" i="33"/>
  <c r="AW94" i="33"/>
  <c r="AV94" i="33"/>
  <c r="AU94" i="33"/>
  <c r="AT94" i="33"/>
  <c r="AS94" i="33"/>
  <c r="AR94" i="33"/>
  <c r="AQ94" i="33"/>
  <c r="AP94" i="33"/>
  <c r="AO94" i="33"/>
  <c r="AN94" i="33"/>
  <c r="AM94" i="33"/>
  <c r="AL94" i="33"/>
  <c r="AK94" i="33"/>
  <c r="AJ94" i="33"/>
  <c r="AI94" i="33"/>
  <c r="AH94" i="33"/>
  <c r="AG94" i="33"/>
  <c r="AF94" i="33"/>
  <c r="AE94" i="33"/>
  <c r="AD94" i="33"/>
  <c r="AC94" i="33"/>
  <c r="AB94" i="33"/>
  <c r="AA94" i="33"/>
  <c r="Z94" i="33"/>
  <c r="Y94" i="33"/>
  <c r="X94" i="33"/>
  <c r="W94" i="33"/>
  <c r="V94" i="33"/>
  <c r="U94" i="33"/>
  <c r="T94" i="33"/>
  <c r="S94" i="33"/>
  <c r="R94" i="33"/>
  <c r="Q94" i="33"/>
  <c r="P94" i="33"/>
  <c r="O94" i="33"/>
  <c r="N94" i="33"/>
  <c r="M94" i="33"/>
  <c r="L94" i="33"/>
  <c r="K94" i="33"/>
  <c r="J94" i="33"/>
  <c r="I94" i="33"/>
  <c r="H94" i="33"/>
  <c r="G94" i="33"/>
  <c r="F94" i="33"/>
  <c r="E94" i="33"/>
  <c r="D94" i="33"/>
  <c r="C94" i="33"/>
  <c r="B94" i="33"/>
  <c r="A94" i="33"/>
  <c r="IV93" i="33"/>
  <c r="IU93" i="33"/>
  <c r="IT93" i="33"/>
  <c r="IS93" i="33"/>
  <c r="IR93" i="33"/>
  <c r="IQ93" i="33"/>
  <c r="IP93" i="33"/>
  <c r="IO93" i="33"/>
  <c r="IN93" i="33"/>
  <c r="IM93" i="33"/>
  <c r="IL93" i="33"/>
  <c r="IK93" i="33"/>
  <c r="IJ93" i="33"/>
  <c r="II93" i="33"/>
  <c r="IH93" i="33"/>
  <c r="IG93" i="33"/>
  <c r="IF93" i="33"/>
  <c r="IE93" i="33"/>
  <c r="ID93" i="33"/>
  <c r="IC93" i="33"/>
  <c r="IB93" i="33"/>
  <c r="IA93" i="33"/>
  <c r="HZ93" i="33"/>
  <c r="HY93" i="33"/>
  <c r="HX93" i="33"/>
  <c r="HW93" i="33"/>
  <c r="HV93" i="33"/>
  <c r="HU93" i="33"/>
  <c r="HT93" i="33"/>
  <c r="HS93" i="33"/>
  <c r="HR93" i="33"/>
  <c r="HQ93" i="33"/>
  <c r="HP93" i="33"/>
  <c r="HO93" i="33"/>
  <c r="HN93" i="33"/>
  <c r="HM93" i="33"/>
  <c r="HL93" i="33"/>
  <c r="HK93" i="33"/>
  <c r="HJ93" i="33"/>
  <c r="HI93" i="33"/>
  <c r="HH93" i="33"/>
  <c r="HG93" i="33"/>
  <c r="HF93" i="33"/>
  <c r="HE93" i="33"/>
  <c r="HD93" i="33"/>
  <c r="HC93" i="33"/>
  <c r="HB93" i="33"/>
  <c r="HA93" i="33"/>
  <c r="GZ93" i="33"/>
  <c r="GY93" i="33"/>
  <c r="GX93" i="33"/>
  <c r="GW93" i="33"/>
  <c r="GV93" i="33"/>
  <c r="GU93" i="33"/>
  <c r="GT93" i="33"/>
  <c r="GS93" i="33"/>
  <c r="GR93" i="33"/>
  <c r="GQ93" i="33"/>
  <c r="GP93" i="33"/>
  <c r="GO93" i="33"/>
  <c r="GN93" i="33"/>
  <c r="GM93" i="33"/>
  <c r="GL93" i="33"/>
  <c r="GK93" i="33"/>
  <c r="GJ93" i="33"/>
  <c r="GI93" i="33"/>
  <c r="GH93" i="33"/>
  <c r="GG93" i="33"/>
  <c r="GF93" i="33"/>
  <c r="GE93" i="33"/>
  <c r="GD93" i="33"/>
  <c r="GC93" i="33"/>
  <c r="GB93" i="33"/>
  <c r="GA93" i="33"/>
  <c r="FZ93" i="33"/>
  <c r="FY93" i="33"/>
  <c r="FX93" i="33"/>
  <c r="FW93" i="33"/>
  <c r="FV93" i="33"/>
  <c r="FU93" i="33"/>
  <c r="FT93" i="33"/>
  <c r="FS93" i="33"/>
  <c r="FR93" i="33"/>
  <c r="FQ93" i="33"/>
  <c r="FP93" i="33"/>
  <c r="FO93" i="33"/>
  <c r="FN93" i="33"/>
  <c r="FM93" i="33"/>
  <c r="FL93" i="33"/>
  <c r="FK93" i="33"/>
  <c r="FJ93" i="33"/>
  <c r="FI93" i="33"/>
  <c r="FH93" i="33"/>
  <c r="FG93" i="33"/>
  <c r="FF93" i="33"/>
  <c r="FE93" i="33"/>
  <c r="FD93" i="33"/>
  <c r="FC93" i="33"/>
  <c r="FB93" i="33"/>
  <c r="FA93" i="33"/>
  <c r="EZ93" i="33"/>
  <c r="EY93" i="33"/>
  <c r="EX93" i="33"/>
  <c r="EW93" i="33"/>
  <c r="EV93" i="33"/>
  <c r="EU93" i="33"/>
  <c r="ET93" i="33"/>
  <c r="ES93" i="33"/>
  <c r="ER93" i="33"/>
  <c r="EQ93" i="33"/>
  <c r="EP93" i="33"/>
  <c r="EO93" i="33"/>
  <c r="EN93" i="33"/>
  <c r="EM93" i="33"/>
  <c r="EL93" i="33"/>
  <c r="EK93" i="33"/>
  <c r="EJ93" i="33"/>
  <c r="EI93" i="33"/>
  <c r="EH93" i="33"/>
  <c r="EG93" i="33"/>
  <c r="EF93" i="33"/>
  <c r="EE93" i="33"/>
  <c r="ED93" i="33"/>
  <c r="EC93" i="33"/>
  <c r="EB93" i="33"/>
  <c r="EA93" i="33"/>
  <c r="DZ93" i="33"/>
  <c r="DY93" i="33"/>
  <c r="DX93" i="33"/>
  <c r="DW93" i="33"/>
  <c r="DV93" i="33"/>
  <c r="DU93" i="33"/>
  <c r="DT93" i="33"/>
  <c r="DS93" i="33"/>
  <c r="DR93" i="33"/>
  <c r="DQ93" i="33"/>
  <c r="DP93" i="33"/>
  <c r="DO93" i="33"/>
  <c r="DN93" i="33"/>
  <c r="DM93" i="33"/>
  <c r="DL93" i="33"/>
  <c r="DK93" i="33"/>
  <c r="DJ93" i="33"/>
  <c r="DI93" i="33"/>
  <c r="DH93" i="33"/>
  <c r="DG93" i="33"/>
  <c r="DF93" i="33"/>
  <c r="DE93" i="33"/>
  <c r="DD93" i="33"/>
  <c r="DC93" i="33"/>
  <c r="DB93" i="33"/>
  <c r="DA93" i="33"/>
  <c r="CZ93" i="33"/>
  <c r="CY93" i="33"/>
  <c r="CX93" i="33"/>
  <c r="CW93" i="33"/>
  <c r="CV93" i="33"/>
  <c r="CU93" i="33"/>
  <c r="CT93" i="33"/>
  <c r="CS93" i="33"/>
  <c r="CR93" i="33"/>
  <c r="CQ93" i="33"/>
  <c r="CP93" i="33"/>
  <c r="CO93" i="33"/>
  <c r="CN93" i="33"/>
  <c r="CM93" i="33"/>
  <c r="CL93" i="33"/>
  <c r="CK93" i="33"/>
  <c r="CJ93" i="33"/>
  <c r="CI93" i="33"/>
  <c r="CH93" i="33"/>
  <c r="CG93" i="33"/>
  <c r="CF93" i="33"/>
  <c r="CE93" i="33"/>
  <c r="CD93" i="33"/>
  <c r="CC93" i="33"/>
  <c r="CB93" i="33"/>
  <c r="CA93" i="33"/>
  <c r="BZ93" i="33"/>
  <c r="BY93" i="33"/>
  <c r="BX93" i="33"/>
  <c r="BW93" i="33"/>
  <c r="BV93" i="33"/>
  <c r="BU93" i="33"/>
  <c r="BT93" i="33"/>
  <c r="BS93" i="33"/>
  <c r="BR93" i="33"/>
  <c r="BQ93" i="33"/>
  <c r="BP93" i="33"/>
  <c r="BO93" i="33"/>
  <c r="BN93" i="33"/>
  <c r="BM93" i="33"/>
  <c r="BL93" i="33"/>
  <c r="BK93" i="33"/>
  <c r="BJ93" i="33"/>
  <c r="BI93" i="33"/>
  <c r="BH93" i="33"/>
  <c r="BG93" i="33"/>
  <c r="BF93" i="33"/>
  <c r="BE93" i="33"/>
  <c r="BD93" i="33"/>
  <c r="BC93" i="33"/>
  <c r="BB93" i="33"/>
  <c r="BA93" i="33"/>
  <c r="AZ93" i="33"/>
  <c r="AY93" i="33"/>
  <c r="AX93" i="33"/>
  <c r="AW93" i="33"/>
  <c r="AV93" i="33"/>
  <c r="AU93" i="33"/>
  <c r="AT93" i="33"/>
  <c r="AS93" i="33"/>
  <c r="AR93" i="33"/>
  <c r="AQ93" i="33"/>
  <c r="AP93" i="33"/>
  <c r="AO93" i="33"/>
  <c r="AN93" i="33"/>
  <c r="AM93" i="33"/>
  <c r="AL93" i="33"/>
  <c r="AK93" i="33"/>
  <c r="AJ93" i="33"/>
  <c r="AI93" i="33"/>
  <c r="AH93" i="33"/>
  <c r="AG93" i="33"/>
  <c r="AF93" i="33"/>
  <c r="AE93" i="33"/>
  <c r="AD93" i="33"/>
  <c r="AC93" i="33"/>
  <c r="AB93" i="33"/>
  <c r="AA93" i="33"/>
  <c r="Z93" i="33"/>
  <c r="Y93" i="33"/>
  <c r="X93" i="33"/>
  <c r="W93" i="33"/>
  <c r="V93" i="33"/>
  <c r="U93" i="33"/>
  <c r="T93" i="33"/>
  <c r="S93" i="33"/>
  <c r="R93" i="33"/>
  <c r="Q93" i="33"/>
  <c r="P93" i="33"/>
  <c r="O93" i="33"/>
  <c r="N93" i="33"/>
  <c r="M93" i="33"/>
  <c r="L93" i="33"/>
  <c r="K93" i="33"/>
  <c r="J93" i="33"/>
  <c r="I93" i="33"/>
  <c r="H93" i="33"/>
  <c r="G93" i="33"/>
  <c r="F93" i="33"/>
  <c r="E93" i="33"/>
  <c r="D93" i="33"/>
  <c r="C93" i="33"/>
  <c r="B93" i="33"/>
  <c r="A93" i="33"/>
  <c r="IV92" i="33"/>
  <c r="IU92" i="33"/>
  <c r="IT92" i="33"/>
  <c r="IS92" i="33"/>
  <c r="IR92" i="33"/>
  <c r="IQ92" i="33"/>
  <c r="IP92" i="33"/>
  <c r="IO92" i="33"/>
  <c r="IN92" i="33"/>
  <c r="IM92" i="33"/>
  <c r="IL92" i="33"/>
  <c r="IK92" i="33"/>
  <c r="IJ92" i="33"/>
  <c r="II92" i="33"/>
  <c r="IH92" i="33"/>
  <c r="IG92" i="33"/>
  <c r="IF92" i="33"/>
  <c r="IE92" i="33"/>
  <c r="ID92" i="33"/>
  <c r="IC92" i="33"/>
  <c r="IB92" i="33"/>
  <c r="IA92" i="33"/>
  <c r="HZ92" i="33"/>
  <c r="HY92" i="33"/>
  <c r="HX92" i="33"/>
  <c r="HW92" i="33"/>
  <c r="HV92" i="33"/>
  <c r="HU92" i="33"/>
  <c r="HT92" i="33"/>
  <c r="HS92" i="33"/>
  <c r="HR92" i="33"/>
  <c r="HQ92" i="33"/>
  <c r="HP92" i="33"/>
  <c r="HO92" i="33"/>
  <c r="HN92" i="33"/>
  <c r="HM92" i="33"/>
  <c r="HL92" i="33"/>
  <c r="HK92" i="33"/>
  <c r="HJ92" i="33"/>
  <c r="HI92" i="33"/>
  <c r="HH92" i="33"/>
  <c r="HG92" i="33"/>
  <c r="HF92" i="33"/>
  <c r="HE92" i="33"/>
  <c r="HD92" i="33"/>
  <c r="HC92" i="33"/>
  <c r="HB92" i="33"/>
  <c r="HA92" i="33"/>
  <c r="GZ92" i="33"/>
  <c r="GY92" i="33"/>
  <c r="GX92" i="33"/>
  <c r="GW92" i="33"/>
  <c r="GV92" i="33"/>
  <c r="GU92" i="33"/>
  <c r="GT92" i="33"/>
  <c r="GS92" i="33"/>
  <c r="GR92" i="33"/>
  <c r="GQ92" i="33"/>
  <c r="GP92" i="33"/>
  <c r="GO92" i="33"/>
  <c r="GN92" i="33"/>
  <c r="GM92" i="33"/>
  <c r="GL92" i="33"/>
  <c r="GK92" i="33"/>
  <c r="GJ92" i="33"/>
  <c r="GI92" i="33"/>
  <c r="GH92" i="33"/>
  <c r="GG92" i="33"/>
  <c r="GF92" i="33"/>
  <c r="GE92" i="33"/>
  <c r="GD92" i="33"/>
  <c r="GC92" i="33"/>
  <c r="GB92" i="33"/>
  <c r="GA92" i="33"/>
  <c r="FZ92" i="33"/>
  <c r="FY92" i="33"/>
  <c r="FX92" i="33"/>
  <c r="FW92" i="33"/>
  <c r="FV92" i="33"/>
  <c r="FU92" i="33"/>
  <c r="FT92" i="33"/>
  <c r="FS92" i="33"/>
  <c r="FR92" i="33"/>
  <c r="FQ92" i="33"/>
  <c r="FP92" i="33"/>
  <c r="FO92" i="33"/>
  <c r="FN92" i="33"/>
  <c r="FM92" i="33"/>
  <c r="FL92" i="33"/>
  <c r="FK92" i="33"/>
  <c r="FJ92" i="33"/>
  <c r="FI92" i="33"/>
  <c r="FH92" i="33"/>
  <c r="FG92" i="33"/>
  <c r="FF92" i="33"/>
  <c r="FE92" i="33"/>
  <c r="FD92" i="33"/>
  <c r="FC92" i="33"/>
  <c r="FB92" i="33"/>
  <c r="FA92" i="33"/>
  <c r="EZ92" i="33"/>
  <c r="EY92" i="33"/>
  <c r="EX92" i="33"/>
  <c r="EW92" i="33"/>
  <c r="EV92" i="33"/>
  <c r="EU92" i="33"/>
  <c r="ET92" i="33"/>
  <c r="ES92" i="33"/>
  <c r="ER92" i="33"/>
  <c r="EQ92" i="33"/>
  <c r="EP92" i="33"/>
  <c r="EO92" i="33"/>
  <c r="EN92" i="33"/>
  <c r="EM92" i="33"/>
  <c r="EL92" i="33"/>
  <c r="EK92" i="33"/>
  <c r="EJ92" i="33"/>
  <c r="EI92" i="33"/>
  <c r="EH92" i="33"/>
  <c r="EG92" i="33"/>
  <c r="EF92" i="33"/>
  <c r="EE92" i="33"/>
  <c r="ED92" i="33"/>
  <c r="EC92" i="33"/>
  <c r="EB92" i="33"/>
  <c r="EA92" i="33"/>
  <c r="DZ92" i="33"/>
  <c r="DY92" i="33"/>
  <c r="DX92" i="33"/>
  <c r="DW92" i="33"/>
  <c r="DV92" i="33"/>
  <c r="DU92" i="33"/>
  <c r="DT92" i="33"/>
  <c r="DS92" i="33"/>
  <c r="DR92" i="33"/>
  <c r="DQ92" i="33"/>
  <c r="DP92" i="33"/>
  <c r="DO92" i="33"/>
  <c r="DN92" i="33"/>
  <c r="DM92" i="33"/>
  <c r="DL92" i="33"/>
  <c r="DK92" i="33"/>
  <c r="DJ92" i="33"/>
  <c r="DI92" i="33"/>
  <c r="DH92" i="33"/>
  <c r="DG92" i="33"/>
  <c r="DF92" i="33"/>
  <c r="DE92" i="33"/>
  <c r="DD92" i="33"/>
  <c r="DC92" i="33"/>
  <c r="DB92" i="33"/>
  <c r="DA92" i="33"/>
  <c r="CZ92" i="33"/>
  <c r="CY92" i="33"/>
  <c r="CX92" i="33"/>
  <c r="CW92" i="33"/>
  <c r="CV92" i="33"/>
  <c r="CU92" i="33"/>
  <c r="CT92" i="33"/>
  <c r="CS92" i="33"/>
  <c r="CR92" i="33"/>
  <c r="CQ92" i="33"/>
  <c r="CP92" i="33"/>
  <c r="CO92" i="33"/>
  <c r="CN92" i="33"/>
  <c r="CM92" i="33"/>
  <c r="CL92" i="33"/>
  <c r="CK92" i="33"/>
  <c r="CJ92" i="33"/>
  <c r="CI92" i="33"/>
  <c r="CH92" i="33"/>
  <c r="CG92" i="33"/>
  <c r="CF92" i="33"/>
  <c r="CE92" i="33"/>
  <c r="CD92" i="33"/>
  <c r="CC92" i="33"/>
  <c r="CB92" i="33"/>
  <c r="CA92" i="33"/>
  <c r="BZ92" i="33"/>
  <c r="BY92" i="33"/>
  <c r="BX92" i="33"/>
  <c r="BW92" i="33"/>
  <c r="BV92" i="33"/>
  <c r="BU92" i="33"/>
  <c r="BT92" i="33"/>
  <c r="BS92" i="33"/>
  <c r="BR92" i="33"/>
  <c r="BQ92" i="33"/>
  <c r="BP92" i="33"/>
  <c r="BO92" i="33"/>
  <c r="BN92" i="33"/>
  <c r="BM92" i="33"/>
  <c r="BL92" i="33"/>
  <c r="BK92" i="33"/>
  <c r="BJ92" i="33"/>
  <c r="BI92" i="33"/>
  <c r="BH92" i="33"/>
  <c r="BG92" i="33"/>
  <c r="BF92" i="33"/>
  <c r="BE92" i="33"/>
  <c r="BD92" i="33"/>
  <c r="BC92" i="33"/>
  <c r="BB92" i="33"/>
  <c r="BA92" i="33"/>
  <c r="AZ92" i="33"/>
  <c r="AY92" i="33"/>
  <c r="AX92" i="33"/>
  <c r="AW92" i="33"/>
  <c r="AV92" i="33"/>
  <c r="AU92" i="33"/>
  <c r="AT92" i="33"/>
  <c r="AS92" i="33"/>
  <c r="AR92" i="33"/>
  <c r="AQ92" i="33"/>
  <c r="AP92" i="33"/>
  <c r="AO92" i="33"/>
  <c r="AN92" i="33"/>
  <c r="AM92" i="33"/>
  <c r="AL92" i="33"/>
  <c r="AK92" i="33"/>
  <c r="AJ92" i="33"/>
  <c r="AI92" i="33"/>
  <c r="AH92" i="33"/>
  <c r="AG92" i="33"/>
  <c r="AF92" i="33"/>
  <c r="AE92" i="33"/>
  <c r="AD92" i="33"/>
  <c r="AC92" i="33"/>
  <c r="AB92" i="33"/>
  <c r="AA92" i="33"/>
  <c r="Z92" i="33"/>
  <c r="Y92" i="33"/>
  <c r="X92" i="33"/>
  <c r="W92" i="33"/>
  <c r="V92" i="33"/>
  <c r="U92" i="33"/>
  <c r="T92" i="33"/>
  <c r="S92" i="33"/>
  <c r="R92" i="33"/>
  <c r="Q92" i="33"/>
  <c r="P92" i="33"/>
  <c r="O92" i="33"/>
  <c r="N92" i="33"/>
  <c r="M92" i="33"/>
  <c r="L92" i="33"/>
  <c r="K92" i="33"/>
  <c r="J92" i="33"/>
  <c r="I92" i="33"/>
  <c r="H92" i="33"/>
  <c r="G92" i="33"/>
  <c r="F92" i="33"/>
  <c r="E92" i="33"/>
  <c r="D92" i="33"/>
  <c r="C92" i="33"/>
  <c r="B92" i="33"/>
  <c r="A92" i="33"/>
  <c r="IV91" i="33"/>
  <c r="IU91" i="33"/>
  <c r="IT91" i="33"/>
  <c r="IS91" i="33"/>
  <c r="IR91" i="33"/>
  <c r="IQ91" i="33"/>
  <c r="IP91" i="33"/>
  <c r="IO91" i="33"/>
  <c r="IN91" i="33"/>
  <c r="IM91" i="33"/>
  <c r="IL91" i="33"/>
  <c r="IK91" i="33"/>
  <c r="IJ91" i="33"/>
  <c r="II91" i="33"/>
  <c r="IH91" i="33"/>
  <c r="IG91" i="33"/>
  <c r="IF91" i="33"/>
  <c r="IE91" i="33"/>
  <c r="ID91" i="33"/>
  <c r="IC91" i="33"/>
  <c r="IB91" i="33"/>
  <c r="IA91" i="33"/>
  <c r="HZ91" i="33"/>
  <c r="HY91" i="33"/>
  <c r="HX91" i="33"/>
  <c r="HW91" i="33"/>
  <c r="HV91" i="33"/>
  <c r="HU91" i="33"/>
  <c r="HT91" i="33"/>
  <c r="HS91" i="33"/>
  <c r="HR91" i="33"/>
  <c r="HQ91" i="33"/>
  <c r="HP91" i="33"/>
  <c r="HO91" i="33"/>
  <c r="HN91" i="33"/>
  <c r="HM91" i="33"/>
  <c r="HL91" i="33"/>
  <c r="HK91" i="33"/>
  <c r="HJ91" i="33"/>
  <c r="HI91" i="33"/>
  <c r="HH91" i="33"/>
  <c r="HG91" i="33"/>
  <c r="HF91" i="33"/>
  <c r="HE91" i="33"/>
  <c r="HD91" i="33"/>
  <c r="HC91" i="33"/>
  <c r="HB91" i="33"/>
  <c r="HA91" i="33"/>
  <c r="GZ91" i="33"/>
  <c r="GY91" i="33"/>
  <c r="GX91" i="33"/>
  <c r="GW91" i="33"/>
  <c r="GV91" i="33"/>
  <c r="GU91" i="33"/>
  <c r="GT91" i="33"/>
  <c r="GS91" i="33"/>
  <c r="GR91" i="33"/>
  <c r="GQ91" i="33"/>
  <c r="GP91" i="33"/>
  <c r="GO91" i="33"/>
  <c r="GN91" i="33"/>
  <c r="GM91" i="33"/>
  <c r="GL91" i="33"/>
  <c r="GK91" i="33"/>
  <c r="GJ91" i="33"/>
  <c r="GI91" i="33"/>
  <c r="GH91" i="33"/>
  <c r="GG91" i="33"/>
  <c r="GF91" i="33"/>
  <c r="GE91" i="33"/>
  <c r="GD91" i="33"/>
  <c r="GC91" i="33"/>
  <c r="GB91" i="33"/>
  <c r="GA91" i="33"/>
  <c r="FZ91" i="33"/>
  <c r="FY91" i="33"/>
  <c r="FX91" i="33"/>
  <c r="FW91" i="33"/>
  <c r="FV91" i="33"/>
  <c r="FU91" i="33"/>
  <c r="FT91" i="33"/>
  <c r="FS91" i="33"/>
  <c r="FR91" i="33"/>
  <c r="FQ91" i="33"/>
  <c r="FP91" i="33"/>
  <c r="FO91" i="33"/>
  <c r="FN91" i="33"/>
  <c r="FM91" i="33"/>
  <c r="FL91" i="33"/>
  <c r="FK91" i="33"/>
  <c r="FJ91" i="33"/>
  <c r="FI91" i="33"/>
  <c r="FH91" i="33"/>
  <c r="FG91" i="33"/>
  <c r="FF91" i="33"/>
  <c r="FE91" i="33"/>
  <c r="FD91" i="33"/>
  <c r="FC91" i="33"/>
  <c r="FB91" i="33"/>
  <c r="FA91" i="33"/>
  <c r="EZ91" i="33"/>
  <c r="EY91" i="33"/>
  <c r="EX91" i="33"/>
  <c r="EW91" i="33"/>
  <c r="EV91" i="33"/>
  <c r="EU91" i="33"/>
  <c r="ET91" i="33"/>
  <c r="ES91" i="33"/>
  <c r="ER91" i="33"/>
  <c r="EQ91" i="33"/>
  <c r="EP91" i="33"/>
  <c r="EO91" i="33"/>
  <c r="EN91" i="33"/>
  <c r="EM91" i="33"/>
  <c r="EL91" i="33"/>
  <c r="EK91" i="33"/>
  <c r="EJ91" i="33"/>
  <c r="EI91" i="33"/>
  <c r="EH91" i="33"/>
  <c r="EG91" i="33"/>
  <c r="EF91" i="33"/>
  <c r="EE91" i="33"/>
  <c r="ED91" i="33"/>
  <c r="EC91" i="33"/>
  <c r="EB91" i="33"/>
  <c r="EA91" i="33"/>
  <c r="DZ91" i="33"/>
  <c r="DY91" i="33"/>
  <c r="DX91" i="33"/>
  <c r="DW91" i="33"/>
  <c r="DV91" i="33"/>
  <c r="DU91" i="33"/>
  <c r="DT91" i="33"/>
  <c r="DS91" i="33"/>
  <c r="DR91" i="33"/>
  <c r="DQ91" i="33"/>
  <c r="DP91" i="33"/>
  <c r="DO91" i="33"/>
  <c r="DN91" i="33"/>
  <c r="DM91" i="33"/>
  <c r="DL91" i="33"/>
  <c r="DK91" i="33"/>
  <c r="DJ91" i="33"/>
  <c r="DI91" i="33"/>
  <c r="DH91" i="33"/>
  <c r="DG91" i="33"/>
  <c r="DF91" i="33"/>
  <c r="DE91" i="33"/>
  <c r="DD91" i="33"/>
  <c r="DC91" i="33"/>
  <c r="DB91" i="33"/>
  <c r="DA91" i="33"/>
  <c r="CZ91" i="33"/>
  <c r="CY91" i="33"/>
  <c r="CX91" i="33"/>
  <c r="CW91" i="33"/>
  <c r="CV91" i="33"/>
  <c r="CU91" i="33"/>
  <c r="CT91" i="33"/>
  <c r="CS91" i="33"/>
  <c r="CR91" i="33"/>
  <c r="CQ91" i="33"/>
  <c r="CP91" i="33"/>
  <c r="CO91" i="33"/>
  <c r="CN91" i="33"/>
  <c r="CM91" i="33"/>
  <c r="CL91" i="33"/>
  <c r="CK91" i="33"/>
  <c r="CJ91" i="33"/>
  <c r="CI91" i="33"/>
  <c r="CH91" i="33"/>
  <c r="CG91" i="33"/>
  <c r="CF91" i="33"/>
  <c r="CE91" i="33"/>
  <c r="CD91" i="33"/>
  <c r="CC91" i="33"/>
  <c r="CB91" i="33"/>
  <c r="CA91" i="33"/>
  <c r="BZ91" i="33"/>
  <c r="BY91" i="33"/>
  <c r="BX91" i="33"/>
  <c r="BW91" i="33"/>
  <c r="BV91" i="33"/>
  <c r="BU91" i="33"/>
  <c r="BT91" i="33"/>
  <c r="BS91" i="33"/>
  <c r="BR91" i="33"/>
  <c r="BQ91" i="33"/>
  <c r="BP91" i="33"/>
  <c r="BO91" i="33"/>
  <c r="BN91" i="33"/>
  <c r="BM91" i="33"/>
  <c r="BL91" i="33"/>
  <c r="BK91" i="33"/>
  <c r="BJ91" i="33"/>
  <c r="BI91" i="33"/>
  <c r="BH91" i="33"/>
  <c r="BG91" i="33"/>
  <c r="BF91" i="33"/>
  <c r="BE91" i="33"/>
  <c r="BD91" i="33"/>
  <c r="BC91" i="33"/>
  <c r="BB91" i="33"/>
  <c r="BA91" i="33"/>
  <c r="AZ91" i="33"/>
  <c r="AY91" i="33"/>
  <c r="AX91" i="33"/>
  <c r="AW91" i="33"/>
  <c r="AV91" i="33"/>
  <c r="AU91" i="33"/>
  <c r="AT91" i="33"/>
  <c r="AS91" i="33"/>
  <c r="AR91" i="33"/>
  <c r="AQ91" i="33"/>
  <c r="AP91" i="33"/>
  <c r="AO91" i="33"/>
  <c r="AN91" i="33"/>
  <c r="AM91" i="33"/>
  <c r="AL91" i="33"/>
  <c r="AK91" i="33"/>
  <c r="AJ91" i="33"/>
  <c r="AI91" i="33"/>
  <c r="AH91" i="33"/>
  <c r="AG91" i="33"/>
  <c r="AF91" i="33"/>
  <c r="AE91" i="33"/>
  <c r="AD91" i="33"/>
  <c r="AC91" i="33"/>
  <c r="AB91" i="33"/>
  <c r="AA91" i="33"/>
  <c r="Z91" i="33"/>
  <c r="Y91" i="33"/>
  <c r="X91" i="33"/>
  <c r="W91" i="33"/>
  <c r="V91" i="33"/>
  <c r="U91" i="33"/>
  <c r="T91" i="33"/>
  <c r="S91" i="33"/>
  <c r="R91" i="33"/>
  <c r="Q91" i="33"/>
  <c r="P91" i="33"/>
  <c r="O91" i="33"/>
  <c r="N91" i="33"/>
  <c r="M91" i="33"/>
  <c r="L91" i="33"/>
  <c r="K91" i="33"/>
  <c r="J91" i="33"/>
  <c r="I91" i="33"/>
  <c r="H91" i="33"/>
  <c r="G91" i="33"/>
  <c r="F91" i="33"/>
  <c r="E91" i="33"/>
  <c r="D91" i="33"/>
  <c r="C91" i="33"/>
  <c r="B91" i="33"/>
  <c r="A91" i="33"/>
  <c r="IV90" i="33"/>
  <c r="IU90" i="33"/>
  <c r="IT90" i="33"/>
  <c r="IS90" i="33"/>
  <c r="IR90" i="33"/>
  <c r="IQ90" i="33"/>
  <c r="IP90" i="33"/>
  <c r="IO90" i="33"/>
  <c r="IN90" i="33"/>
  <c r="IM90" i="33"/>
  <c r="IL90" i="33"/>
  <c r="IK90" i="33"/>
  <c r="IJ90" i="33"/>
  <c r="II90" i="33"/>
  <c r="IH90" i="33"/>
  <c r="IG90" i="33"/>
  <c r="IF90" i="33"/>
  <c r="IE90" i="33"/>
  <c r="ID90" i="33"/>
  <c r="IC90" i="33"/>
  <c r="IB90" i="33"/>
  <c r="IA90" i="33"/>
  <c r="HZ90" i="33"/>
  <c r="HY90" i="33"/>
  <c r="HX90" i="33"/>
  <c r="HW90" i="33"/>
  <c r="HV90" i="33"/>
  <c r="HU90" i="33"/>
  <c r="HT90" i="33"/>
  <c r="HS90" i="33"/>
  <c r="HR90" i="33"/>
  <c r="HQ90" i="33"/>
  <c r="HP90" i="33"/>
  <c r="HO90" i="33"/>
  <c r="HN90" i="33"/>
  <c r="HM90" i="33"/>
  <c r="HL90" i="33"/>
  <c r="HK90" i="33"/>
  <c r="HJ90" i="33"/>
  <c r="HI90" i="33"/>
  <c r="HH90" i="33"/>
  <c r="HG90" i="33"/>
  <c r="HF90" i="33"/>
  <c r="HE90" i="33"/>
  <c r="HD90" i="33"/>
  <c r="HC90" i="33"/>
  <c r="HB90" i="33"/>
  <c r="HA90" i="33"/>
  <c r="GZ90" i="33"/>
  <c r="GY90" i="33"/>
  <c r="GX90" i="33"/>
  <c r="GW90" i="33"/>
  <c r="GV90" i="33"/>
  <c r="GU90" i="33"/>
  <c r="GT90" i="33"/>
  <c r="GS90" i="33"/>
  <c r="GR90" i="33"/>
  <c r="GQ90" i="33"/>
  <c r="GP90" i="33"/>
  <c r="GO90" i="33"/>
  <c r="GN90" i="33"/>
  <c r="GM90" i="33"/>
  <c r="GL90" i="33"/>
  <c r="GK90" i="33"/>
  <c r="GJ90" i="33"/>
  <c r="GI90" i="33"/>
  <c r="GH90" i="33"/>
  <c r="GG90" i="33"/>
  <c r="GF90" i="33"/>
  <c r="GE90" i="33"/>
  <c r="GD90" i="33"/>
  <c r="GC90" i="33"/>
  <c r="GB90" i="33"/>
  <c r="GA90" i="33"/>
  <c r="FZ90" i="33"/>
  <c r="FY90" i="33"/>
  <c r="FX90" i="33"/>
  <c r="FW90" i="33"/>
  <c r="FV90" i="33"/>
  <c r="FU90" i="33"/>
  <c r="FT90" i="33"/>
  <c r="FS90" i="33"/>
  <c r="FR90" i="33"/>
  <c r="FQ90" i="33"/>
  <c r="FP90" i="33"/>
  <c r="FO90" i="33"/>
  <c r="FN90" i="33"/>
  <c r="FM90" i="33"/>
  <c r="FL90" i="33"/>
  <c r="FK90" i="33"/>
  <c r="FJ90" i="33"/>
  <c r="FI90" i="33"/>
  <c r="FH90" i="33"/>
  <c r="FG90" i="33"/>
  <c r="FF90" i="33"/>
  <c r="FE90" i="33"/>
  <c r="FD90" i="33"/>
  <c r="FC90" i="33"/>
  <c r="FB90" i="33"/>
  <c r="FA90" i="33"/>
  <c r="EZ90" i="33"/>
  <c r="EY90" i="33"/>
  <c r="EX90" i="33"/>
  <c r="EW90" i="33"/>
  <c r="EV90" i="33"/>
  <c r="EU90" i="33"/>
  <c r="ET90" i="33"/>
  <c r="ES90" i="33"/>
  <c r="ER90" i="33"/>
  <c r="EQ90" i="33"/>
  <c r="EP90" i="33"/>
  <c r="EO90" i="33"/>
  <c r="EN90" i="33"/>
  <c r="EM90" i="33"/>
  <c r="EL90" i="33"/>
  <c r="EK90" i="33"/>
  <c r="EJ90" i="33"/>
  <c r="EI90" i="33"/>
  <c r="EH90" i="33"/>
  <c r="EG90" i="33"/>
  <c r="EF90" i="33"/>
  <c r="EE90" i="33"/>
  <c r="ED90" i="33"/>
  <c r="EC90" i="33"/>
  <c r="EB90" i="33"/>
  <c r="EA90" i="33"/>
  <c r="DZ90" i="33"/>
  <c r="DY90" i="33"/>
  <c r="DX90" i="33"/>
  <c r="DW90" i="33"/>
  <c r="DV90" i="33"/>
  <c r="DU90" i="33"/>
  <c r="DT90" i="33"/>
  <c r="DS90" i="33"/>
  <c r="DR90" i="33"/>
  <c r="DQ90" i="33"/>
  <c r="DP90" i="33"/>
  <c r="DO90" i="33"/>
  <c r="DN90" i="33"/>
  <c r="DM90" i="33"/>
  <c r="DL90" i="33"/>
  <c r="DK90" i="33"/>
  <c r="DJ90" i="33"/>
  <c r="DI90" i="33"/>
  <c r="DH90" i="33"/>
  <c r="DG90" i="33"/>
  <c r="DF90" i="33"/>
  <c r="DE90" i="33"/>
  <c r="DD90" i="33"/>
  <c r="DC90" i="33"/>
  <c r="DB90" i="33"/>
  <c r="DA90" i="33"/>
  <c r="CZ90" i="33"/>
  <c r="CY90" i="33"/>
  <c r="CX90" i="33"/>
  <c r="CW90" i="33"/>
  <c r="CV90" i="33"/>
  <c r="CU90" i="33"/>
  <c r="CT90" i="33"/>
  <c r="CS90" i="33"/>
  <c r="CR90" i="33"/>
  <c r="CQ90" i="33"/>
  <c r="CP90" i="33"/>
  <c r="CO90" i="33"/>
  <c r="CN90" i="33"/>
  <c r="CM90" i="33"/>
  <c r="CL90" i="33"/>
  <c r="CK90" i="33"/>
  <c r="CJ90" i="33"/>
  <c r="CI90" i="33"/>
  <c r="CH90" i="33"/>
  <c r="CG90" i="33"/>
  <c r="CF90" i="33"/>
  <c r="CE90" i="33"/>
  <c r="CD90" i="33"/>
  <c r="CC90" i="33"/>
  <c r="CB90" i="33"/>
  <c r="CA90" i="33"/>
  <c r="BZ90" i="33"/>
  <c r="BY90" i="33"/>
  <c r="BX90" i="33"/>
  <c r="BW90" i="33"/>
  <c r="BV90" i="33"/>
  <c r="BU90" i="33"/>
  <c r="BT90" i="33"/>
  <c r="BS90" i="33"/>
  <c r="BR90" i="33"/>
  <c r="BQ90" i="33"/>
  <c r="BP90" i="33"/>
  <c r="BO90" i="33"/>
  <c r="BN90" i="33"/>
  <c r="BM90" i="33"/>
  <c r="BL90" i="33"/>
  <c r="BK90" i="33"/>
  <c r="BJ90" i="33"/>
  <c r="BI90" i="33"/>
  <c r="BH90" i="33"/>
  <c r="BG90" i="33"/>
  <c r="BF90" i="33"/>
  <c r="BE90" i="33"/>
  <c r="BD90" i="33"/>
  <c r="BC90" i="33"/>
  <c r="BB90" i="33"/>
  <c r="BA90" i="33"/>
  <c r="AZ90" i="33"/>
  <c r="AY90" i="33"/>
  <c r="AX90" i="33"/>
  <c r="AW90" i="33"/>
  <c r="AV90" i="33"/>
  <c r="AU90" i="33"/>
  <c r="AT90" i="33"/>
  <c r="AS90" i="33"/>
  <c r="AR90" i="33"/>
  <c r="AQ90" i="33"/>
  <c r="AP90" i="33"/>
  <c r="AO90" i="33"/>
  <c r="AN90" i="33"/>
  <c r="AM90" i="33"/>
  <c r="AL90" i="33"/>
  <c r="AK90" i="33"/>
  <c r="AJ90" i="33"/>
  <c r="AI90" i="33"/>
  <c r="AH90" i="33"/>
  <c r="AG90" i="33"/>
  <c r="AF90" i="33"/>
  <c r="AE90" i="33"/>
  <c r="AD90" i="33"/>
  <c r="AC90" i="33"/>
  <c r="AB90" i="33"/>
  <c r="AA90" i="33"/>
  <c r="Z90" i="33"/>
  <c r="Y90" i="33"/>
  <c r="X90" i="33"/>
  <c r="W90" i="33"/>
  <c r="V90" i="33"/>
  <c r="U90" i="33"/>
  <c r="T90" i="33"/>
  <c r="S90" i="33"/>
  <c r="R90" i="33"/>
  <c r="Q90" i="33"/>
  <c r="P90" i="33"/>
  <c r="O90" i="33"/>
  <c r="N90" i="33"/>
  <c r="M90" i="33"/>
  <c r="L90" i="33"/>
  <c r="K90" i="33"/>
  <c r="J90" i="33"/>
  <c r="I90" i="33"/>
  <c r="H90" i="33"/>
  <c r="G90" i="33"/>
  <c r="F90" i="33"/>
  <c r="E90" i="33"/>
  <c r="D90" i="33"/>
  <c r="C90" i="33"/>
  <c r="B90" i="33"/>
  <c r="A90" i="33"/>
  <c r="IV89" i="33"/>
  <c r="IU89" i="33"/>
  <c r="IT89" i="33"/>
  <c r="IS89" i="33"/>
  <c r="IR89" i="33"/>
  <c r="IQ89" i="33"/>
  <c r="IP89" i="33"/>
  <c r="IO89" i="33"/>
  <c r="IN89" i="33"/>
  <c r="IM89" i="33"/>
  <c r="IL89" i="33"/>
  <c r="IK89" i="33"/>
  <c r="IJ89" i="33"/>
  <c r="II89" i="33"/>
  <c r="IH89" i="33"/>
  <c r="IG89" i="33"/>
  <c r="IF89" i="33"/>
  <c r="IE89" i="33"/>
  <c r="ID89" i="33"/>
  <c r="IC89" i="33"/>
  <c r="IB89" i="33"/>
  <c r="IA89" i="33"/>
  <c r="HZ89" i="33"/>
  <c r="HY89" i="33"/>
  <c r="HX89" i="33"/>
  <c r="HW89" i="33"/>
  <c r="HV89" i="33"/>
  <c r="HU89" i="33"/>
  <c r="HT89" i="33"/>
  <c r="HS89" i="33"/>
  <c r="HR89" i="33"/>
  <c r="HQ89" i="33"/>
  <c r="HP89" i="33"/>
  <c r="HO89" i="33"/>
  <c r="HN89" i="33"/>
  <c r="HM89" i="33"/>
  <c r="HL89" i="33"/>
  <c r="HK89" i="33"/>
  <c r="HJ89" i="33"/>
  <c r="HI89" i="33"/>
  <c r="HH89" i="33"/>
  <c r="HG89" i="33"/>
  <c r="HF89" i="33"/>
  <c r="HE89" i="33"/>
  <c r="HD89" i="33"/>
  <c r="HC89" i="33"/>
  <c r="HB89" i="33"/>
  <c r="HA89" i="33"/>
  <c r="GZ89" i="33"/>
  <c r="GY89" i="33"/>
  <c r="GX89" i="33"/>
  <c r="GW89" i="33"/>
  <c r="GV89" i="33"/>
  <c r="GU89" i="33"/>
  <c r="GT89" i="33"/>
  <c r="GS89" i="33"/>
  <c r="GR89" i="33"/>
  <c r="GQ89" i="33"/>
  <c r="GP89" i="33"/>
  <c r="GO89" i="33"/>
  <c r="GN89" i="33"/>
  <c r="GM89" i="33"/>
  <c r="GL89" i="33"/>
  <c r="GK89" i="33"/>
  <c r="GJ89" i="33"/>
  <c r="GI89" i="33"/>
  <c r="GH89" i="33"/>
  <c r="GG89" i="33"/>
  <c r="GF89" i="33"/>
  <c r="GE89" i="33"/>
  <c r="GD89" i="33"/>
  <c r="GC89" i="33"/>
  <c r="GB89" i="33"/>
  <c r="GA89" i="33"/>
  <c r="FZ89" i="33"/>
  <c r="FY89" i="33"/>
  <c r="FX89" i="33"/>
  <c r="FW89" i="33"/>
  <c r="FV89" i="33"/>
  <c r="FU89" i="33"/>
  <c r="FT89" i="33"/>
  <c r="FS89" i="33"/>
  <c r="FR89" i="33"/>
  <c r="FQ89" i="33"/>
  <c r="FP89" i="33"/>
  <c r="FO89" i="33"/>
  <c r="FN89" i="33"/>
  <c r="FM89" i="33"/>
  <c r="FL89" i="33"/>
  <c r="FK89" i="33"/>
  <c r="FJ89" i="33"/>
  <c r="FI89" i="33"/>
  <c r="FH89" i="33"/>
  <c r="FG89" i="33"/>
  <c r="FF89" i="33"/>
  <c r="FE89" i="33"/>
  <c r="FD89" i="33"/>
  <c r="FC89" i="33"/>
  <c r="FB89" i="33"/>
  <c r="FA89" i="33"/>
  <c r="EZ89" i="33"/>
  <c r="EY89" i="33"/>
  <c r="EX89" i="33"/>
  <c r="EW89" i="33"/>
  <c r="EV89" i="33"/>
  <c r="EU89" i="33"/>
  <c r="ET89" i="33"/>
  <c r="ES89" i="33"/>
  <c r="ER89" i="33"/>
  <c r="EQ89" i="33"/>
  <c r="EP89" i="33"/>
  <c r="EO89" i="33"/>
  <c r="EN89" i="33"/>
  <c r="EM89" i="33"/>
  <c r="EL89" i="33"/>
  <c r="EK89" i="33"/>
  <c r="EJ89" i="33"/>
  <c r="EI89" i="33"/>
  <c r="EH89" i="33"/>
  <c r="EG89" i="33"/>
  <c r="EF89" i="33"/>
  <c r="EE89" i="33"/>
  <c r="ED89" i="33"/>
  <c r="EC89" i="33"/>
  <c r="EB89" i="33"/>
  <c r="EA89" i="33"/>
  <c r="DZ89" i="33"/>
  <c r="DY89" i="33"/>
  <c r="DX89" i="33"/>
  <c r="DW89" i="33"/>
  <c r="DV89" i="33"/>
  <c r="DU89" i="33"/>
  <c r="DT89" i="33"/>
  <c r="DS89" i="33"/>
  <c r="DR89" i="33"/>
  <c r="DQ89" i="33"/>
  <c r="DP89" i="33"/>
  <c r="DO89" i="33"/>
  <c r="DN89" i="33"/>
  <c r="DM89" i="33"/>
  <c r="DL89" i="33"/>
  <c r="DK89" i="33"/>
  <c r="DJ89" i="33"/>
  <c r="DI89" i="33"/>
  <c r="DH89" i="33"/>
  <c r="DG89" i="33"/>
  <c r="DF89" i="33"/>
  <c r="DE89" i="33"/>
  <c r="DD89" i="33"/>
  <c r="DC89" i="33"/>
  <c r="DB89" i="33"/>
  <c r="DA89" i="33"/>
  <c r="CZ89" i="33"/>
  <c r="CY89" i="33"/>
  <c r="CX89" i="33"/>
  <c r="CW89" i="33"/>
  <c r="CV89" i="33"/>
  <c r="CU89" i="33"/>
  <c r="CT89" i="33"/>
  <c r="CS89" i="33"/>
  <c r="CR89" i="33"/>
  <c r="CQ89" i="33"/>
  <c r="CP89" i="33"/>
  <c r="CO89" i="33"/>
  <c r="CN89" i="33"/>
  <c r="CM89" i="33"/>
  <c r="CL89" i="33"/>
  <c r="CK89" i="33"/>
  <c r="CJ89" i="33"/>
  <c r="CI89" i="33"/>
  <c r="CH89" i="33"/>
  <c r="CG89" i="33"/>
  <c r="CF89" i="33"/>
  <c r="CE89" i="33"/>
  <c r="CD89" i="33"/>
  <c r="CC89" i="33"/>
  <c r="CB89" i="33"/>
  <c r="CA89" i="33"/>
  <c r="BZ89" i="33"/>
  <c r="BY89" i="33"/>
  <c r="BX89" i="33"/>
  <c r="BW89" i="33"/>
  <c r="BV89" i="33"/>
  <c r="BU89" i="33"/>
  <c r="BT89" i="33"/>
  <c r="BS89" i="33"/>
  <c r="BR89" i="33"/>
  <c r="BQ89" i="33"/>
  <c r="BP89" i="33"/>
  <c r="BO89" i="33"/>
  <c r="BN89" i="33"/>
  <c r="BM89" i="33"/>
  <c r="BL89" i="33"/>
  <c r="BK89" i="33"/>
  <c r="BJ89" i="33"/>
  <c r="BI89" i="33"/>
  <c r="BH89" i="33"/>
  <c r="BG89" i="33"/>
  <c r="BF89" i="33"/>
  <c r="BE89" i="33"/>
  <c r="BD89" i="33"/>
  <c r="BC89" i="33"/>
  <c r="BB89" i="33"/>
  <c r="BA89" i="33"/>
  <c r="AZ89" i="33"/>
  <c r="AY89" i="33"/>
  <c r="AX89" i="33"/>
  <c r="AW89" i="33"/>
  <c r="AV89" i="33"/>
  <c r="AU89" i="33"/>
  <c r="AT89" i="33"/>
  <c r="AS89" i="33"/>
  <c r="AR89" i="33"/>
  <c r="AQ89" i="33"/>
  <c r="AP89" i="33"/>
  <c r="AO89" i="33"/>
  <c r="AN89" i="33"/>
  <c r="AM89" i="33"/>
  <c r="AL89" i="33"/>
  <c r="AK89" i="33"/>
  <c r="AJ89" i="33"/>
  <c r="AI89" i="33"/>
  <c r="AH89" i="33"/>
  <c r="AG89" i="33"/>
  <c r="AF89" i="33"/>
  <c r="AE89" i="33"/>
  <c r="AD89" i="33"/>
  <c r="AC89" i="33"/>
  <c r="AB89" i="33"/>
  <c r="AA89" i="33"/>
  <c r="Z89" i="33"/>
  <c r="Y89" i="33"/>
  <c r="X89" i="33"/>
  <c r="W89" i="33"/>
  <c r="V89" i="33"/>
  <c r="U89" i="33"/>
  <c r="T89" i="33"/>
  <c r="S89" i="33"/>
  <c r="R89" i="33"/>
  <c r="Q89" i="33"/>
  <c r="P89" i="33"/>
  <c r="O89" i="33"/>
  <c r="N89" i="33"/>
  <c r="M89" i="33"/>
  <c r="L89" i="33"/>
  <c r="K89" i="33"/>
  <c r="J89" i="33"/>
  <c r="I89" i="33"/>
  <c r="H89" i="33"/>
  <c r="G89" i="33"/>
  <c r="F89" i="33"/>
  <c r="E89" i="33"/>
  <c r="D89" i="33"/>
  <c r="C89" i="33"/>
  <c r="B89" i="33"/>
  <c r="A89" i="33"/>
  <c r="IV88" i="33"/>
  <c r="IU88" i="33"/>
  <c r="IT88" i="33"/>
  <c r="IS88" i="33"/>
  <c r="IR88" i="33"/>
  <c r="IQ88" i="33"/>
  <c r="IP88" i="33"/>
  <c r="IO88" i="33"/>
  <c r="IN88" i="33"/>
  <c r="IM88" i="33"/>
  <c r="IL88" i="33"/>
  <c r="IK88" i="33"/>
  <c r="IJ88" i="33"/>
  <c r="II88" i="33"/>
  <c r="IH88" i="33"/>
  <c r="IG88" i="33"/>
  <c r="IF88" i="33"/>
  <c r="IE88" i="33"/>
  <c r="ID88" i="33"/>
  <c r="IC88" i="33"/>
  <c r="IB88" i="33"/>
  <c r="IA88" i="33"/>
  <c r="HZ88" i="33"/>
  <c r="HY88" i="33"/>
  <c r="HX88" i="33"/>
  <c r="HW88" i="33"/>
  <c r="HV88" i="33"/>
  <c r="HU88" i="33"/>
  <c r="HT88" i="33"/>
  <c r="HS88" i="33"/>
  <c r="HR88" i="33"/>
  <c r="HQ88" i="33"/>
  <c r="HP88" i="33"/>
  <c r="HO88" i="33"/>
  <c r="HN88" i="33"/>
  <c r="HM88" i="33"/>
  <c r="HL88" i="33"/>
  <c r="HK88" i="33"/>
  <c r="HJ88" i="33"/>
  <c r="HI88" i="33"/>
  <c r="HH88" i="33"/>
  <c r="HG88" i="33"/>
  <c r="HF88" i="33"/>
  <c r="HE88" i="33"/>
  <c r="HD88" i="33"/>
  <c r="HC88" i="33"/>
  <c r="HB88" i="33"/>
  <c r="HA88" i="33"/>
  <c r="GZ88" i="33"/>
  <c r="GY88" i="33"/>
  <c r="GX88" i="33"/>
  <c r="GW88" i="33"/>
  <c r="GV88" i="33"/>
  <c r="GU88" i="33"/>
  <c r="GT88" i="33"/>
  <c r="GS88" i="33"/>
  <c r="GR88" i="33"/>
  <c r="GQ88" i="33"/>
  <c r="GP88" i="33"/>
  <c r="GO88" i="33"/>
  <c r="GN88" i="33"/>
  <c r="GM88" i="33"/>
  <c r="GL88" i="33"/>
  <c r="GK88" i="33"/>
  <c r="GJ88" i="33"/>
  <c r="GI88" i="33"/>
  <c r="GH88" i="33"/>
  <c r="GG88" i="33"/>
  <c r="GF88" i="33"/>
  <c r="GE88" i="33"/>
  <c r="GD88" i="33"/>
  <c r="GC88" i="33"/>
  <c r="GB88" i="33"/>
  <c r="GA88" i="33"/>
  <c r="FZ88" i="33"/>
  <c r="FY88" i="33"/>
  <c r="FX88" i="33"/>
  <c r="FW88" i="33"/>
  <c r="FV88" i="33"/>
  <c r="FU88" i="33"/>
  <c r="FT88" i="33"/>
  <c r="FS88" i="33"/>
  <c r="FR88" i="33"/>
  <c r="FQ88" i="33"/>
  <c r="FP88" i="33"/>
  <c r="FO88" i="33"/>
  <c r="FN88" i="33"/>
  <c r="FM88" i="33"/>
  <c r="FL88" i="33"/>
  <c r="FK88" i="33"/>
  <c r="FJ88" i="33"/>
  <c r="FI88" i="33"/>
  <c r="FH88" i="33"/>
  <c r="FG88" i="33"/>
  <c r="FF88" i="33"/>
  <c r="FE88" i="33"/>
  <c r="FD88" i="33"/>
  <c r="FC88" i="33"/>
  <c r="FB88" i="33"/>
  <c r="FA88" i="33"/>
  <c r="EZ88" i="33"/>
  <c r="EY88" i="33"/>
  <c r="EX88" i="33"/>
  <c r="EW88" i="33"/>
  <c r="EV88" i="33"/>
  <c r="EU88" i="33"/>
  <c r="ET88" i="33"/>
  <c r="ES88" i="33"/>
  <c r="ER88" i="33"/>
  <c r="EQ88" i="33"/>
  <c r="EP88" i="33"/>
  <c r="EO88" i="33"/>
  <c r="EN88" i="33"/>
  <c r="EM88" i="33"/>
  <c r="EL88" i="33"/>
  <c r="EK88" i="33"/>
  <c r="EJ88" i="33"/>
  <c r="EI88" i="33"/>
  <c r="EH88" i="33"/>
  <c r="EG88" i="33"/>
  <c r="EF88" i="33"/>
  <c r="EE88" i="33"/>
  <c r="ED88" i="33"/>
  <c r="EC88" i="33"/>
  <c r="EB88" i="33"/>
  <c r="EA88" i="33"/>
  <c r="DZ88" i="33"/>
  <c r="DY88" i="33"/>
  <c r="DX88" i="33"/>
  <c r="DW88" i="33"/>
  <c r="DV88" i="33"/>
  <c r="DU88" i="33"/>
  <c r="DT88" i="33"/>
  <c r="DS88" i="33"/>
  <c r="DR88" i="33"/>
  <c r="DQ88" i="33"/>
  <c r="DP88" i="33"/>
  <c r="DO88" i="33"/>
  <c r="DN88" i="33"/>
  <c r="DM88" i="33"/>
  <c r="DL88" i="33"/>
  <c r="DK88" i="33"/>
  <c r="DJ88" i="33"/>
  <c r="DI88" i="33"/>
  <c r="DH88" i="33"/>
  <c r="DG88" i="33"/>
  <c r="DF88" i="33"/>
  <c r="DE88" i="33"/>
  <c r="DD88" i="33"/>
  <c r="DC88" i="33"/>
  <c r="DB88" i="33"/>
  <c r="DA88" i="33"/>
  <c r="CZ88" i="33"/>
  <c r="CY88" i="33"/>
  <c r="CX88" i="33"/>
  <c r="CW88" i="33"/>
  <c r="CV88" i="33"/>
  <c r="CU88" i="33"/>
  <c r="CT88" i="33"/>
  <c r="CS88" i="33"/>
  <c r="CR88" i="33"/>
  <c r="CQ88" i="33"/>
  <c r="CP88" i="33"/>
  <c r="CO88" i="33"/>
  <c r="CN88" i="33"/>
  <c r="CM88" i="33"/>
  <c r="CL88" i="33"/>
  <c r="CK88" i="33"/>
  <c r="CJ88" i="33"/>
  <c r="CI88" i="33"/>
  <c r="CH88" i="33"/>
  <c r="CG88" i="33"/>
  <c r="CF88" i="33"/>
  <c r="CE88" i="33"/>
  <c r="CD88" i="33"/>
  <c r="CC88" i="33"/>
  <c r="CB88" i="33"/>
  <c r="CA88" i="33"/>
  <c r="BZ88" i="33"/>
  <c r="BY88" i="33"/>
  <c r="BX88" i="33"/>
  <c r="BW88" i="33"/>
  <c r="BV88" i="33"/>
  <c r="BU88" i="33"/>
  <c r="BT88" i="33"/>
  <c r="BS88" i="33"/>
  <c r="BR88" i="33"/>
  <c r="BQ88" i="33"/>
  <c r="BP88" i="33"/>
  <c r="BO88" i="33"/>
  <c r="BN88" i="33"/>
  <c r="BM88" i="33"/>
  <c r="BL88" i="33"/>
  <c r="BK88" i="33"/>
  <c r="BJ88" i="33"/>
  <c r="BI88" i="33"/>
  <c r="BH88" i="33"/>
  <c r="BG88" i="33"/>
  <c r="BF88" i="33"/>
  <c r="BE88" i="33"/>
  <c r="BD88" i="33"/>
  <c r="BC88" i="33"/>
  <c r="BB88" i="33"/>
  <c r="BA88" i="33"/>
  <c r="AZ88" i="33"/>
  <c r="AY88" i="33"/>
  <c r="AX88" i="33"/>
  <c r="AW88" i="33"/>
  <c r="AV88" i="33"/>
  <c r="AU88" i="33"/>
  <c r="AT88" i="33"/>
  <c r="AS88" i="33"/>
  <c r="AR88" i="33"/>
  <c r="AQ88" i="33"/>
  <c r="AP88" i="33"/>
  <c r="AO88" i="33"/>
  <c r="AN88" i="33"/>
  <c r="AM88" i="33"/>
  <c r="AL88" i="33"/>
  <c r="AK88" i="33"/>
  <c r="AJ88" i="33"/>
  <c r="AI88" i="33"/>
  <c r="AH88" i="33"/>
  <c r="AG88" i="33"/>
  <c r="AF88" i="33"/>
  <c r="AE88" i="33"/>
  <c r="AD88" i="33"/>
  <c r="AC88" i="33"/>
  <c r="AB88" i="33"/>
  <c r="AA88" i="33"/>
  <c r="Z88" i="33"/>
  <c r="Y88" i="33"/>
  <c r="X88" i="33"/>
  <c r="W88" i="33"/>
  <c r="V88" i="33"/>
  <c r="U88" i="33"/>
  <c r="T88" i="33"/>
  <c r="S88" i="33"/>
  <c r="R88" i="33"/>
  <c r="Q88" i="33"/>
  <c r="P88" i="33"/>
  <c r="O88" i="33"/>
  <c r="N88" i="33"/>
  <c r="M88" i="33"/>
  <c r="L88" i="33"/>
  <c r="K88" i="33"/>
  <c r="J88" i="33"/>
  <c r="I88" i="33"/>
  <c r="H88" i="33"/>
  <c r="G88" i="33"/>
  <c r="F88" i="33"/>
  <c r="E88" i="33"/>
  <c r="D88" i="33"/>
  <c r="C88" i="33"/>
  <c r="B88" i="33"/>
  <c r="A88" i="33"/>
  <c r="IV87" i="33"/>
  <c r="IU87" i="33"/>
  <c r="IT87" i="33"/>
  <c r="IS87" i="33"/>
  <c r="IR87" i="33"/>
  <c r="IQ87" i="33"/>
  <c r="IP87" i="33"/>
  <c r="IO87" i="33"/>
  <c r="IN87" i="33"/>
  <c r="IM87" i="33"/>
  <c r="IL87" i="33"/>
  <c r="IK87" i="33"/>
  <c r="IJ87" i="33"/>
  <c r="II87" i="33"/>
  <c r="IH87" i="33"/>
  <c r="IG87" i="33"/>
  <c r="IF87" i="33"/>
  <c r="IE87" i="33"/>
  <c r="ID87" i="33"/>
  <c r="IC87" i="33"/>
  <c r="IB87" i="33"/>
  <c r="IA87" i="33"/>
  <c r="HZ87" i="33"/>
  <c r="HY87" i="33"/>
  <c r="HX87" i="33"/>
  <c r="HW87" i="33"/>
  <c r="HV87" i="33"/>
  <c r="HU87" i="33"/>
  <c r="HT87" i="33"/>
  <c r="HS87" i="33"/>
  <c r="HR87" i="33"/>
  <c r="HQ87" i="33"/>
  <c r="HP87" i="33"/>
  <c r="HO87" i="33"/>
  <c r="HN87" i="33"/>
  <c r="HM87" i="33"/>
  <c r="HL87" i="33"/>
  <c r="HK87" i="33"/>
  <c r="HJ87" i="33"/>
  <c r="HI87" i="33"/>
  <c r="HH87" i="33"/>
  <c r="HG87" i="33"/>
  <c r="HF87" i="33"/>
  <c r="HE87" i="33"/>
  <c r="HD87" i="33"/>
  <c r="HC87" i="33"/>
  <c r="HB87" i="33"/>
  <c r="HA87" i="33"/>
  <c r="GZ87" i="33"/>
  <c r="GY87" i="33"/>
  <c r="GX87" i="33"/>
  <c r="GW87" i="33"/>
  <c r="GV87" i="33"/>
  <c r="GU87" i="33"/>
  <c r="GT87" i="33"/>
  <c r="GS87" i="33"/>
  <c r="GR87" i="33"/>
  <c r="GQ87" i="33"/>
  <c r="GP87" i="33"/>
  <c r="GO87" i="33"/>
  <c r="GN87" i="33"/>
  <c r="GM87" i="33"/>
  <c r="GL87" i="33"/>
  <c r="GK87" i="33"/>
  <c r="GJ87" i="33"/>
  <c r="GI87" i="33"/>
  <c r="GH87" i="33"/>
  <c r="GG87" i="33"/>
  <c r="GF87" i="33"/>
  <c r="GE87" i="33"/>
  <c r="GD87" i="33"/>
  <c r="GC87" i="33"/>
  <c r="GB87" i="33"/>
  <c r="GA87" i="33"/>
  <c r="FZ87" i="33"/>
  <c r="FY87" i="33"/>
  <c r="FX87" i="33"/>
  <c r="FW87" i="33"/>
  <c r="FV87" i="33"/>
  <c r="FU87" i="33"/>
  <c r="FT87" i="33"/>
  <c r="FS87" i="33"/>
  <c r="FR87" i="33"/>
  <c r="FQ87" i="33"/>
  <c r="FP87" i="33"/>
  <c r="FO87" i="33"/>
  <c r="FN87" i="33"/>
  <c r="FM87" i="33"/>
  <c r="FL87" i="33"/>
  <c r="FK87" i="33"/>
  <c r="FJ87" i="33"/>
  <c r="FI87" i="33"/>
  <c r="FH87" i="33"/>
  <c r="FG87" i="33"/>
  <c r="FF87" i="33"/>
  <c r="FE87" i="33"/>
  <c r="FD87" i="33"/>
  <c r="FC87" i="33"/>
  <c r="FB87" i="33"/>
  <c r="FA87" i="33"/>
  <c r="EZ87" i="33"/>
  <c r="EY87" i="33"/>
  <c r="EX87" i="33"/>
  <c r="EW87" i="33"/>
  <c r="EV87" i="33"/>
  <c r="EU87" i="33"/>
  <c r="ET87" i="33"/>
  <c r="ES87" i="33"/>
  <c r="ER87" i="33"/>
  <c r="EQ87" i="33"/>
  <c r="EP87" i="33"/>
  <c r="EO87" i="33"/>
  <c r="EN87" i="33"/>
  <c r="EM87" i="33"/>
  <c r="EL87" i="33"/>
  <c r="EK87" i="33"/>
  <c r="EJ87" i="33"/>
  <c r="EI87" i="33"/>
  <c r="EH87" i="33"/>
  <c r="EG87" i="33"/>
  <c r="EF87" i="33"/>
  <c r="EE87" i="33"/>
  <c r="ED87" i="33"/>
  <c r="EC87" i="33"/>
  <c r="EB87" i="33"/>
  <c r="EA87" i="33"/>
  <c r="DZ87" i="33"/>
  <c r="DY87" i="33"/>
  <c r="DX87" i="33"/>
  <c r="DW87" i="33"/>
  <c r="DV87" i="33"/>
  <c r="DU87" i="33"/>
  <c r="DT87" i="33"/>
  <c r="DS87" i="33"/>
  <c r="DR87" i="33"/>
  <c r="DQ87" i="33"/>
  <c r="DP87" i="33"/>
  <c r="DO87" i="33"/>
  <c r="DN87" i="33"/>
  <c r="DM87" i="33"/>
  <c r="DL87" i="33"/>
  <c r="DK87" i="33"/>
  <c r="DJ87" i="33"/>
  <c r="DI87" i="33"/>
  <c r="DH87" i="33"/>
  <c r="DG87" i="33"/>
  <c r="DF87" i="33"/>
  <c r="DE87" i="33"/>
  <c r="DD87" i="33"/>
  <c r="DC87" i="33"/>
  <c r="DB87" i="33"/>
  <c r="DA87" i="33"/>
  <c r="CZ87" i="33"/>
  <c r="CY87" i="33"/>
  <c r="CX87" i="33"/>
  <c r="CW87" i="33"/>
  <c r="CV87" i="33"/>
  <c r="CU87" i="33"/>
  <c r="CT87" i="33"/>
  <c r="CS87" i="33"/>
  <c r="CR87" i="33"/>
  <c r="CQ87" i="33"/>
  <c r="CP87" i="33"/>
  <c r="CO87" i="33"/>
  <c r="CN87" i="33"/>
  <c r="CM87" i="33"/>
  <c r="CL87" i="33"/>
  <c r="CK87" i="33"/>
  <c r="CJ87" i="33"/>
  <c r="CI87" i="33"/>
  <c r="CH87" i="33"/>
  <c r="CG87" i="33"/>
  <c r="CF87" i="33"/>
  <c r="CE87" i="33"/>
  <c r="CD87" i="33"/>
  <c r="CC87" i="33"/>
  <c r="CB87" i="33"/>
  <c r="CA87" i="33"/>
  <c r="BZ87" i="33"/>
  <c r="BY87" i="33"/>
  <c r="BX87" i="33"/>
  <c r="BW87" i="33"/>
  <c r="BV87" i="33"/>
  <c r="BU87" i="33"/>
  <c r="BT87" i="33"/>
  <c r="BS87" i="33"/>
  <c r="BR87" i="33"/>
  <c r="BQ87" i="33"/>
  <c r="BP87" i="33"/>
  <c r="BO87" i="33"/>
  <c r="BN87" i="33"/>
  <c r="BM87" i="33"/>
  <c r="BL87" i="33"/>
  <c r="BK87" i="33"/>
  <c r="BJ87" i="33"/>
  <c r="BI87" i="33"/>
  <c r="BH87" i="33"/>
  <c r="BG87" i="33"/>
  <c r="BF87" i="33"/>
  <c r="BE87" i="33"/>
  <c r="BD87" i="33"/>
  <c r="BC87" i="33"/>
  <c r="BB87" i="33"/>
  <c r="BA87" i="33"/>
  <c r="AZ87" i="33"/>
  <c r="AY87" i="33"/>
  <c r="AX87" i="33"/>
  <c r="AW87" i="33"/>
  <c r="AV87" i="33"/>
  <c r="AU87" i="33"/>
  <c r="AT87" i="33"/>
  <c r="AS87" i="33"/>
  <c r="AR87" i="33"/>
  <c r="AQ87" i="33"/>
  <c r="AP87" i="33"/>
  <c r="AO87" i="33"/>
  <c r="AN87" i="33"/>
  <c r="AM87" i="33"/>
  <c r="AL87" i="33"/>
  <c r="AK87" i="33"/>
  <c r="AJ87" i="33"/>
  <c r="AI87" i="33"/>
  <c r="AH87" i="33"/>
  <c r="AG87" i="33"/>
  <c r="AF87" i="33"/>
  <c r="AE87" i="33"/>
  <c r="AD87" i="33"/>
  <c r="AC87" i="33"/>
  <c r="AB87" i="33"/>
  <c r="AA87" i="33"/>
  <c r="Z87" i="33"/>
  <c r="Y87" i="33"/>
  <c r="X87" i="33"/>
  <c r="W87" i="33"/>
  <c r="V87" i="33"/>
  <c r="U87" i="33"/>
  <c r="T87" i="33"/>
  <c r="S87" i="33"/>
  <c r="R87" i="33"/>
  <c r="Q87" i="33"/>
  <c r="P87" i="33"/>
  <c r="O87" i="33"/>
  <c r="N87" i="33"/>
  <c r="M87" i="33"/>
  <c r="L87" i="33"/>
  <c r="K87" i="33"/>
  <c r="J87" i="33"/>
  <c r="I87" i="33"/>
  <c r="H87" i="33"/>
  <c r="G87" i="33"/>
  <c r="F87" i="33"/>
  <c r="E87" i="33"/>
  <c r="D87" i="33"/>
  <c r="C87" i="33"/>
  <c r="B87" i="33"/>
  <c r="A87" i="33"/>
  <c r="IV86" i="33"/>
  <c r="IU86" i="33"/>
  <c r="IT86" i="33"/>
  <c r="IS86" i="33"/>
  <c r="IR86" i="33"/>
  <c r="IQ86" i="33"/>
  <c r="IP86" i="33"/>
  <c r="IO86" i="33"/>
  <c r="IN86" i="33"/>
  <c r="IM86" i="33"/>
  <c r="IL86" i="33"/>
  <c r="IK86" i="33"/>
  <c r="IJ86" i="33"/>
  <c r="II86" i="33"/>
  <c r="IH86" i="33"/>
  <c r="IG86" i="33"/>
  <c r="IF86" i="33"/>
  <c r="IE86" i="33"/>
  <c r="ID86" i="33"/>
  <c r="IC86" i="33"/>
  <c r="IB86" i="33"/>
  <c r="IA86" i="33"/>
  <c r="HZ86" i="33"/>
  <c r="HY86" i="33"/>
  <c r="HX86" i="33"/>
  <c r="HW86" i="33"/>
  <c r="HV86" i="33"/>
  <c r="HU86" i="33"/>
  <c r="HT86" i="33"/>
  <c r="HS86" i="33"/>
  <c r="HR86" i="33"/>
  <c r="HQ86" i="33"/>
  <c r="HP86" i="33"/>
  <c r="HO86" i="33"/>
  <c r="HN86" i="33"/>
  <c r="HM86" i="33"/>
  <c r="HL86" i="33"/>
  <c r="HK86" i="33"/>
  <c r="HJ86" i="33"/>
  <c r="HI86" i="33"/>
  <c r="HH86" i="33"/>
  <c r="HG86" i="33"/>
  <c r="HF86" i="33"/>
  <c r="HE86" i="33"/>
  <c r="HD86" i="33"/>
  <c r="HC86" i="33"/>
  <c r="HB86" i="33"/>
  <c r="HA86" i="33"/>
  <c r="GZ86" i="33"/>
  <c r="GY86" i="33"/>
  <c r="GX86" i="33"/>
  <c r="GW86" i="33"/>
  <c r="GV86" i="33"/>
  <c r="GU86" i="33"/>
  <c r="GT86" i="33"/>
  <c r="GS86" i="33"/>
  <c r="GR86" i="33"/>
  <c r="GQ86" i="33"/>
  <c r="GP86" i="33"/>
  <c r="GO86" i="33"/>
  <c r="GN86" i="33"/>
  <c r="GM86" i="33"/>
  <c r="GL86" i="33"/>
  <c r="GK86" i="33"/>
  <c r="GJ86" i="33"/>
  <c r="GI86" i="33"/>
  <c r="GH86" i="33"/>
  <c r="GG86" i="33"/>
  <c r="GF86" i="33"/>
  <c r="GE86" i="33"/>
  <c r="GD86" i="33"/>
  <c r="GC86" i="33"/>
  <c r="GB86" i="33"/>
  <c r="GA86" i="33"/>
  <c r="FZ86" i="33"/>
  <c r="FY86" i="33"/>
  <c r="FX86" i="33"/>
  <c r="FW86" i="33"/>
  <c r="FV86" i="33"/>
  <c r="FU86" i="33"/>
  <c r="FT86" i="33"/>
  <c r="FS86" i="33"/>
  <c r="FR86" i="33"/>
  <c r="FQ86" i="33"/>
  <c r="FP86" i="33"/>
  <c r="FO86" i="33"/>
  <c r="FN86" i="33"/>
  <c r="FM86" i="33"/>
  <c r="FL86" i="33"/>
  <c r="FK86" i="33"/>
  <c r="FJ86" i="33"/>
  <c r="FI86" i="33"/>
  <c r="FH86" i="33"/>
  <c r="FG86" i="33"/>
  <c r="FF86" i="33"/>
  <c r="FE86" i="33"/>
  <c r="FD86" i="33"/>
  <c r="FC86" i="33"/>
  <c r="FB86" i="33"/>
  <c r="FA86" i="33"/>
  <c r="EZ86" i="33"/>
  <c r="EY86" i="33"/>
  <c r="EX86" i="33"/>
  <c r="EW86" i="33"/>
  <c r="EV86" i="33"/>
  <c r="EU86" i="33"/>
  <c r="ET86" i="33"/>
  <c r="ES86" i="33"/>
  <c r="ER86" i="33"/>
  <c r="EQ86" i="33"/>
  <c r="EP86" i="33"/>
  <c r="EO86" i="33"/>
  <c r="EN86" i="33"/>
  <c r="EM86" i="33"/>
  <c r="EL86" i="33"/>
  <c r="EK86" i="33"/>
  <c r="EJ86" i="33"/>
  <c r="EI86" i="33"/>
  <c r="EH86" i="33"/>
  <c r="EG86" i="33"/>
  <c r="EF86" i="33"/>
  <c r="EE86" i="33"/>
  <c r="ED86" i="33"/>
  <c r="EC86" i="33"/>
  <c r="EB86" i="33"/>
  <c r="EA86" i="33"/>
  <c r="DZ86" i="33"/>
  <c r="DY86" i="33"/>
  <c r="DX86" i="33"/>
  <c r="DW86" i="33"/>
  <c r="DV86" i="33"/>
  <c r="DU86" i="33"/>
  <c r="DT86" i="33"/>
  <c r="DS86" i="33"/>
  <c r="DR86" i="33"/>
  <c r="DQ86" i="33"/>
  <c r="DP86" i="33"/>
  <c r="DO86" i="33"/>
  <c r="DN86" i="33"/>
  <c r="DM86" i="33"/>
  <c r="DL86" i="33"/>
  <c r="DK86" i="33"/>
  <c r="DJ86" i="33"/>
  <c r="DI86" i="33"/>
  <c r="DH86" i="33"/>
  <c r="DG86" i="33"/>
  <c r="DF86" i="33"/>
  <c r="DE86" i="33"/>
  <c r="DD86" i="33"/>
  <c r="DC86" i="33"/>
  <c r="DB86" i="33"/>
  <c r="DA86" i="33"/>
  <c r="CZ86" i="33"/>
  <c r="CY86" i="33"/>
  <c r="CX86" i="33"/>
  <c r="CW86" i="33"/>
  <c r="CV86" i="33"/>
  <c r="CU86" i="33"/>
  <c r="CT86" i="33"/>
  <c r="CS86" i="33"/>
  <c r="CR86" i="33"/>
  <c r="CQ86" i="33"/>
  <c r="CP86" i="33"/>
  <c r="CO86" i="33"/>
  <c r="CN86" i="33"/>
  <c r="CM86" i="33"/>
  <c r="CL86" i="33"/>
  <c r="CK86" i="33"/>
  <c r="CJ86" i="33"/>
  <c r="CI86" i="33"/>
  <c r="CH86" i="33"/>
  <c r="CG86" i="33"/>
  <c r="CF86" i="33"/>
  <c r="CE86" i="33"/>
  <c r="CD86" i="33"/>
  <c r="CC86" i="33"/>
  <c r="CB86" i="33"/>
  <c r="CA86" i="33"/>
  <c r="BZ86" i="33"/>
  <c r="BY86" i="33"/>
  <c r="BX86" i="33"/>
  <c r="BW86" i="33"/>
  <c r="BV86" i="33"/>
  <c r="BU86" i="33"/>
  <c r="BT86" i="33"/>
  <c r="BS86" i="33"/>
  <c r="BR86" i="33"/>
  <c r="BQ86" i="33"/>
  <c r="BP86" i="33"/>
  <c r="BO86" i="33"/>
  <c r="BN86" i="33"/>
  <c r="BM86" i="33"/>
  <c r="BL86" i="33"/>
  <c r="BK86" i="33"/>
  <c r="BJ86" i="33"/>
  <c r="BI86" i="33"/>
  <c r="BH86" i="33"/>
  <c r="BG86" i="33"/>
  <c r="BF86" i="33"/>
  <c r="BE86" i="33"/>
  <c r="BD86" i="33"/>
  <c r="BC86" i="33"/>
  <c r="BB86" i="33"/>
  <c r="BA86" i="33"/>
  <c r="AZ86" i="33"/>
  <c r="AY86" i="33"/>
  <c r="AX86" i="33"/>
  <c r="AW86" i="33"/>
  <c r="AV86" i="33"/>
  <c r="AU86" i="33"/>
  <c r="AT86" i="33"/>
  <c r="AS86" i="33"/>
  <c r="AR86" i="33"/>
  <c r="AQ86" i="33"/>
  <c r="AP86" i="33"/>
  <c r="AO86" i="33"/>
  <c r="AN86" i="33"/>
  <c r="AM86" i="33"/>
  <c r="AL86" i="33"/>
  <c r="AK86" i="33"/>
  <c r="AJ86" i="33"/>
  <c r="AI86" i="33"/>
  <c r="AH86" i="33"/>
  <c r="AG86" i="33"/>
  <c r="AF86" i="33"/>
  <c r="AE86" i="33"/>
  <c r="AD86" i="33"/>
  <c r="AC86" i="33"/>
  <c r="AB86" i="33"/>
  <c r="AA86" i="33"/>
  <c r="Z86" i="33"/>
  <c r="Y86" i="33"/>
  <c r="X86" i="33"/>
  <c r="W86" i="33"/>
  <c r="V86" i="33"/>
  <c r="U86" i="33"/>
  <c r="T86" i="33"/>
  <c r="S86" i="33"/>
  <c r="R86" i="33"/>
  <c r="Q86" i="33"/>
  <c r="P86" i="33"/>
  <c r="O86" i="33"/>
  <c r="N86" i="33"/>
  <c r="M86" i="33"/>
  <c r="L86" i="33"/>
  <c r="K86" i="33"/>
  <c r="J86" i="33"/>
  <c r="I86" i="33"/>
  <c r="H86" i="33"/>
  <c r="G86" i="33"/>
  <c r="F86" i="33"/>
  <c r="E86" i="33"/>
  <c r="D86" i="33"/>
  <c r="C86" i="33"/>
  <c r="B86" i="33"/>
  <c r="A86" i="33"/>
  <c r="IV85" i="33"/>
  <c r="IU85" i="33"/>
  <c r="IT85" i="33"/>
  <c r="IS85" i="33"/>
  <c r="IR85" i="33"/>
  <c r="IQ85" i="33"/>
  <c r="IP85" i="33"/>
  <c r="IO85" i="33"/>
  <c r="IN85" i="33"/>
  <c r="IM85" i="33"/>
  <c r="IL85" i="33"/>
  <c r="IK85" i="33"/>
  <c r="IJ85" i="33"/>
  <c r="II85" i="33"/>
  <c r="IH85" i="33"/>
  <c r="IG85" i="33"/>
  <c r="IF85" i="33"/>
  <c r="IE85" i="33"/>
  <c r="ID85" i="33"/>
  <c r="IC85" i="33"/>
  <c r="IB85" i="33"/>
  <c r="IA85" i="33"/>
  <c r="HZ85" i="33"/>
  <c r="HY85" i="33"/>
  <c r="HX85" i="33"/>
  <c r="HW85" i="33"/>
  <c r="HV85" i="33"/>
  <c r="HU85" i="33"/>
  <c r="HT85" i="33"/>
  <c r="HS85" i="33"/>
  <c r="HR85" i="33"/>
  <c r="HQ85" i="33"/>
  <c r="HP85" i="33"/>
  <c r="HO85" i="33"/>
  <c r="HN85" i="33"/>
  <c r="HM85" i="33"/>
  <c r="HL85" i="33"/>
  <c r="HK85" i="33"/>
  <c r="HJ85" i="33"/>
  <c r="HI85" i="33"/>
  <c r="HH85" i="33"/>
  <c r="HG85" i="33"/>
  <c r="HF85" i="33"/>
  <c r="HE85" i="33"/>
  <c r="HD85" i="33"/>
  <c r="HC85" i="33"/>
  <c r="HB85" i="33"/>
  <c r="HA85" i="33"/>
  <c r="GZ85" i="33"/>
  <c r="GY85" i="33"/>
  <c r="GX85" i="33"/>
  <c r="GW85" i="33"/>
  <c r="GV85" i="33"/>
  <c r="GU85" i="33"/>
  <c r="GT85" i="33"/>
  <c r="GS85" i="33"/>
  <c r="GR85" i="33"/>
  <c r="GQ85" i="33"/>
  <c r="GP85" i="33"/>
  <c r="GO85" i="33"/>
  <c r="GN85" i="33"/>
  <c r="GM85" i="33"/>
  <c r="GL85" i="33"/>
  <c r="GK85" i="33"/>
  <c r="GJ85" i="33"/>
  <c r="GI85" i="33"/>
  <c r="GH85" i="33"/>
  <c r="GG85" i="33"/>
  <c r="GF85" i="33"/>
  <c r="GE85" i="33"/>
  <c r="GD85" i="33"/>
  <c r="GC85" i="33"/>
  <c r="GB85" i="33"/>
  <c r="GA85" i="33"/>
  <c r="FZ85" i="33"/>
  <c r="FY85" i="33"/>
  <c r="FX85" i="33"/>
  <c r="FW85" i="33"/>
  <c r="FV85" i="33"/>
  <c r="FU85" i="33"/>
  <c r="FT85" i="33"/>
  <c r="FS85" i="33"/>
  <c r="FR85" i="33"/>
  <c r="FQ85" i="33"/>
  <c r="FP85" i="33"/>
  <c r="FO85" i="33"/>
  <c r="FN85" i="33"/>
  <c r="FM85" i="33"/>
  <c r="FL85" i="33"/>
  <c r="FK85" i="33"/>
  <c r="FJ85" i="33"/>
  <c r="FI85" i="33"/>
  <c r="FH85" i="33"/>
  <c r="FG85" i="33"/>
  <c r="FF85" i="33"/>
  <c r="FE85" i="33"/>
  <c r="FD85" i="33"/>
  <c r="FC85" i="33"/>
  <c r="FB85" i="33"/>
  <c r="FA85" i="33"/>
  <c r="EZ85" i="33"/>
  <c r="EY85" i="33"/>
  <c r="EX85" i="33"/>
  <c r="EW85" i="33"/>
  <c r="EV85" i="33"/>
  <c r="EU85" i="33"/>
  <c r="ET85" i="33"/>
  <c r="ES85" i="33"/>
  <c r="ER85" i="33"/>
  <c r="EQ85" i="33"/>
  <c r="EP85" i="33"/>
  <c r="EO85" i="33"/>
  <c r="EN85" i="33"/>
  <c r="EM85" i="33"/>
  <c r="EL85" i="33"/>
  <c r="EK85" i="33"/>
  <c r="EJ85" i="33"/>
  <c r="EI85" i="33"/>
  <c r="EH85" i="33"/>
  <c r="EG85" i="33"/>
  <c r="EF85" i="33"/>
  <c r="EE85" i="33"/>
  <c r="ED85" i="33"/>
  <c r="EC85" i="33"/>
  <c r="EB85" i="33"/>
  <c r="EA85" i="33"/>
  <c r="DZ85" i="33"/>
  <c r="DY85" i="33"/>
  <c r="DX85" i="33"/>
  <c r="DW85" i="33"/>
  <c r="DV85" i="33"/>
  <c r="DU85" i="33"/>
  <c r="DT85" i="33"/>
  <c r="DS85" i="33"/>
  <c r="DR85" i="33"/>
  <c r="DQ85" i="33"/>
  <c r="DP85" i="33"/>
  <c r="DO85" i="33"/>
  <c r="DN85" i="33"/>
  <c r="DM85" i="33"/>
  <c r="DL85" i="33"/>
  <c r="DK85" i="33"/>
  <c r="DJ85" i="33"/>
  <c r="DI85" i="33"/>
  <c r="DH85" i="33"/>
  <c r="DG85" i="33"/>
  <c r="DF85" i="33"/>
  <c r="DE85" i="33"/>
  <c r="DD85" i="33"/>
  <c r="DC85" i="33"/>
  <c r="DB85" i="33"/>
  <c r="DA85" i="33"/>
  <c r="CZ85" i="33"/>
  <c r="CY85" i="33"/>
  <c r="CX85" i="33"/>
  <c r="CW85" i="33"/>
  <c r="CV85" i="33"/>
  <c r="CU85" i="33"/>
  <c r="CT85" i="33"/>
  <c r="CS85" i="33"/>
  <c r="CR85" i="33"/>
  <c r="CQ85" i="33"/>
  <c r="CP85" i="33"/>
  <c r="CO85" i="33"/>
  <c r="CN85" i="33"/>
  <c r="CM85" i="33"/>
  <c r="CL85" i="33"/>
  <c r="CK85" i="33"/>
  <c r="CJ85" i="33"/>
  <c r="CI85" i="33"/>
  <c r="CH85" i="33"/>
  <c r="CG85" i="33"/>
  <c r="CF85" i="33"/>
  <c r="CE85" i="33"/>
  <c r="CD85" i="33"/>
  <c r="CC85" i="33"/>
  <c r="CB85" i="33"/>
  <c r="CA85" i="33"/>
  <c r="BZ85" i="33"/>
  <c r="BY85" i="33"/>
  <c r="BX85" i="33"/>
  <c r="BW85" i="33"/>
  <c r="BV85" i="33"/>
  <c r="BU85" i="33"/>
  <c r="BT85" i="33"/>
  <c r="BS85" i="33"/>
  <c r="BR85" i="33"/>
  <c r="BQ85" i="33"/>
  <c r="BP85" i="33"/>
  <c r="BO85" i="33"/>
  <c r="BN85" i="33"/>
  <c r="BM85" i="33"/>
  <c r="BL85" i="33"/>
  <c r="BK85" i="33"/>
  <c r="BJ85" i="33"/>
  <c r="BI85" i="33"/>
  <c r="BH85" i="33"/>
  <c r="BG85" i="33"/>
  <c r="BF85" i="33"/>
  <c r="BE85" i="33"/>
  <c r="BD85" i="33"/>
  <c r="BC85" i="33"/>
  <c r="BB85" i="33"/>
  <c r="BA85" i="33"/>
  <c r="AZ85" i="33"/>
  <c r="AY85" i="33"/>
  <c r="AX85" i="33"/>
  <c r="AW85" i="33"/>
  <c r="AV85" i="33"/>
  <c r="AU85" i="33"/>
  <c r="AT85" i="33"/>
  <c r="AS85" i="33"/>
  <c r="AR85" i="33"/>
  <c r="AQ85" i="33"/>
  <c r="AP85" i="33"/>
  <c r="AO85" i="33"/>
  <c r="AN85" i="33"/>
  <c r="AM85" i="33"/>
  <c r="AL85" i="33"/>
  <c r="AK85" i="33"/>
  <c r="AJ85" i="33"/>
  <c r="AI85" i="33"/>
  <c r="AH85" i="33"/>
  <c r="AG85" i="33"/>
  <c r="AF85" i="33"/>
  <c r="AE85" i="33"/>
  <c r="AD85" i="33"/>
  <c r="AC85" i="33"/>
  <c r="AB85" i="33"/>
  <c r="AA85" i="33"/>
  <c r="Z85" i="33"/>
  <c r="Y85" i="33"/>
  <c r="X85" i="33"/>
  <c r="W85" i="33"/>
  <c r="V85" i="33"/>
  <c r="U85" i="33"/>
  <c r="T85" i="33"/>
  <c r="S85" i="33"/>
  <c r="R85" i="33"/>
  <c r="Q85" i="33"/>
  <c r="P85" i="33"/>
  <c r="O85" i="33"/>
  <c r="N85" i="33"/>
  <c r="M85" i="33"/>
  <c r="L85" i="33"/>
  <c r="K85" i="33"/>
  <c r="J85" i="33"/>
  <c r="I85" i="33"/>
  <c r="H85" i="33"/>
  <c r="G85" i="33"/>
  <c r="F85" i="33"/>
  <c r="E85" i="33"/>
  <c r="D85" i="33"/>
  <c r="C85" i="33"/>
  <c r="B85" i="33"/>
  <c r="A85" i="33"/>
  <c r="IV84" i="33"/>
  <c r="IU84" i="33"/>
  <c r="IT84" i="33"/>
  <c r="IS84" i="33"/>
  <c r="IR84" i="33"/>
  <c r="IQ84" i="33"/>
  <c r="IP84" i="33"/>
  <c r="IO84" i="33"/>
  <c r="IN84" i="33"/>
  <c r="IM84" i="33"/>
  <c r="IL84" i="33"/>
  <c r="IK84" i="33"/>
  <c r="IJ84" i="33"/>
  <c r="II84" i="33"/>
  <c r="IH84" i="33"/>
  <c r="IG84" i="33"/>
  <c r="IF84" i="33"/>
  <c r="IE84" i="33"/>
  <c r="ID84" i="33"/>
  <c r="IC84" i="33"/>
  <c r="IB84" i="33"/>
  <c r="IA84" i="33"/>
  <c r="HZ84" i="33"/>
  <c r="HY84" i="33"/>
  <c r="HX84" i="33"/>
  <c r="HW84" i="33"/>
  <c r="HV84" i="33"/>
  <c r="HU84" i="33"/>
  <c r="HT84" i="33"/>
  <c r="HS84" i="33"/>
  <c r="HR84" i="33"/>
  <c r="HQ84" i="33"/>
  <c r="HP84" i="33"/>
  <c r="HO84" i="33"/>
  <c r="HN84" i="33"/>
  <c r="HM84" i="33"/>
  <c r="HL84" i="33"/>
  <c r="HK84" i="33"/>
  <c r="HJ84" i="33"/>
  <c r="HI84" i="33"/>
  <c r="HH84" i="33"/>
  <c r="HG84" i="33"/>
  <c r="HF84" i="33"/>
  <c r="HE84" i="33"/>
  <c r="HD84" i="33"/>
  <c r="HC84" i="33"/>
  <c r="HB84" i="33"/>
  <c r="HA84" i="33"/>
  <c r="GZ84" i="33"/>
  <c r="GY84" i="33"/>
  <c r="GX84" i="33"/>
  <c r="GW84" i="33"/>
  <c r="GV84" i="33"/>
  <c r="GU84" i="33"/>
  <c r="GT84" i="33"/>
  <c r="GS84" i="33"/>
  <c r="GR84" i="33"/>
  <c r="GQ84" i="33"/>
  <c r="GP84" i="33"/>
  <c r="GO84" i="33"/>
  <c r="GN84" i="33"/>
  <c r="GM84" i="33"/>
  <c r="GL84" i="33"/>
  <c r="GK84" i="33"/>
  <c r="GJ84" i="33"/>
  <c r="GI84" i="33"/>
  <c r="GH84" i="33"/>
  <c r="GG84" i="33"/>
  <c r="GF84" i="33"/>
  <c r="GE84" i="33"/>
  <c r="GD84" i="33"/>
  <c r="GC84" i="33"/>
  <c r="GB84" i="33"/>
  <c r="GA84" i="33"/>
  <c r="FZ84" i="33"/>
  <c r="FY84" i="33"/>
  <c r="FX84" i="33"/>
  <c r="FW84" i="33"/>
  <c r="FV84" i="33"/>
  <c r="FU84" i="33"/>
  <c r="FT84" i="33"/>
  <c r="FS84" i="33"/>
  <c r="FR84" i="33"/>
  <c r="FQ84" i="33"/>
  <c r="FP84" i="33"/>
  <c r="FO84" i="33"/>
  <c r="FN84" i="33"/>
  <c r="FM84" i="33"/>
  <c r="FL84" i="33"/>
  <c r="FK84" i="33"/>
  <c r="FJ84" i="33"/>
  <c r="FI84" i="33"/>
  <c r="FH84" i="33"/>
  <c r="FG84" i="33"/>
  <c r="FF84" i="33"/>
  <c r="FE84" i="33"/>
  <c r="FD84" i="33"/>
  <c r="FC84" i="33"/>
  <c r="FB84" i="33"/>
  <c r="FA84" i="33"/>
  <c r="EZ84" i="33"/>
  <c r="EY84" i="33"/>
  <c r="EX84" i="33"/>
  <c r="EW84" i="33"/>
  <c r="EV84" i="33"/>
  <c r="EU84" i="33"/>
  <c r="ET84" i="33"/>
  <c r="ES84" i="33"/>
  <c r="ER84" i="33"/>
  <c r="EQ84" i="33"/>
  <c r="EP84" i="33"/>
  <c r="EO84" i="33"/>
  <c r="EN84" i="33"/>
  <c r="EM84" i="33"/>
  <c r="EL84" i="33"/>
  <c r="EK84" i="33"/>
  <c r="EJ84" i="33"/>
  <c r="EI84" i="33"/>
  <c r="EH84" i="33"/>
  <c r="EG84" i="33"/>
  <c r="EF84" i="33"/>
  <c r="EE84" i="33"/>
  <c r="ED84" i="33"/>
  <c r="EC84" i="33"/>
  <c r="EB84" i="33"/>
  <c r="EA84" i="33"/>
  <c r="DZ84" i="33"/>
  <c r="DY84" i="33"/>
  <c r="DX84" i="33"/>
  <c r="DW84" i="33"/>
  <c r="DV84" i="33"/>
  <c r="DU84" i="33"/>
  <c r="DT84" i="33"/>
  <c r="DS84" i="33"/>
  <c r="DR84" i="33"/>
  <c r="DQ84" i="33"/>
  <c r="DP84" i="33"/>
  <c r="DO84" i="33"/>
  <c r="DN84" i="33"/>
  <c r="DM84" i="33"/>
  <c r="DL84" i="33"/>
  <c r="DK84" i="33"/>
  <c r="DJ84" i="33"/>
  <c r="DI84" i="33"/>
  <c r="DH84" i="33"/>
  <c r="DG84" i="33"/>
  <c r="DF84" i="33"/>
  <c r="DE84" i="33"/>
  <c r="DD84" i="33"/>
  <c r="DC84" i="33"/>
  <c r="DB84" i="33"/>
  <c r="DA84" i="33"/>
  <c r="CZ84" i="33"/>
  <c r="CY84" i="33"/>
  <c r="CX84" i="33"/>
  <c r="CW84" i="33"/>
  <c r="CV84" i="33"/>
  <c r="CU84" i="33"/>
  <c r="CT84" i="33"/>
  <c r="CS84" i="33"/>
  <c r="CR84" i="33"/>
  <c r="CQ84" i="33"/>
  <c r="CP84" i="33"/>
  <c r="CO84" i="33"/>
  <c r="CN84" i="33"/>
  <c r="CM84" i="33"/>
  <c r="CL84" i="33"/>
  <c r="CK84" i="33"/>
  <c r="CJ84" i="33"/>
  <c r="CI84" i="33"/>
  <c r="CH84" i="33"/>
  <c r="CG84" i="33"/>
  <c r="CF84" i="33"/>
  <c r="CE84" i="33"/>
  <c r="CD84" i="33"/>
  <c r="CC84" i="33"/>
  <c r="CB84" i="33"/>
  <c r="CA84" i="33"/>
  <c r="BZ84" i="33"/>
  <c r="BY84" i="33"/>
  <c r="BX84" i="33"/>
  <c r="BW84" i="33"/>
  <c r="BV84" i="33"/>
  <c r="BU84" i="33"/>
  <c r="BT84" i="33"/>
  <c r="BS84" i="33"/>
  <c r="BR84" i="33"/>
  <c r="BQ84" i="33"/>
  <c r="BP84" i="33"/>
  <c r="BO84" i="33"/>
  <c r="BN84" i="33"/>
  <c r="BM84" i="33"/>
  <c r="BL84" i="33"/>
  <c r="BK84" i="33"/>
  <c r="BJ84" i="33"/>
  <c r="BI84" i="33"/>
  <c r="BH84" i="33"/>
  <c r="BG84" i="33"/>
  <c r="BF84" i="33"/>
  <c r="BE84" i="33"/>
  <c r="BD84" i="33"/>
  <c r="BC84" i="33"/>
  <c r="BB84" i="33"/>
  <c r="BA84" i="33"/>
  <c r="AZ84" i="33"/>
  <c r="AY84" i="33"/>
  <c r="AX84" i="33"/>
  <c r="AW84" i="33"/>
  <c r="AV84" i="33"/>
  <c r="AU84" i="33"/>
  <c r="AT84" i="33"/>
  <c r="AS84" i="33"/>
  <c r="AR84" i="33"/>
  <c r="AQ84" i="33"/>
  <c r="AP84" i="33"/>
  <c r="AO84" i="33"/>
  <c r="AN84" i="33"/>
  <c r="AM84" i="33"/>
  <c r="AL84" i="33"/>
  <c r="AK84" i="33"/>
  <c r="AJ84" i="33"/>
  <c r="AI84" i="33"/>
  <c r="AH84" i="33"/>
  <c r="AG84" i="33"/>
  <c r="AF84" i="33"/>
  <c r="AE84" i="33"/>
  <c r="AD84" i="33"/>
  <c r="AC84" i="33"/>
  <c r="AB84" i="33"/>
  <c r="AA84" i="33"/>
  <c r="Z84" i="33"/>
  <c r="Y84" i="33"/>
  <c r="X84" i="33"/>
  <c r="W84" i="33"/>
  <c r="V84" i="33"/>
  <c r="U84" i="33"/>
  <c r="T84" i="33"/>
  <c r="S84" i="33"/>
  <c r="R84" i="33"/>
  <c r="Q84" i="33"/>
  <c r="P84" i="33"/>
  <c r="O84" i="33"/>
  <c r="N84" i="33"/>
  <c r="M84" i="33"/>
  <c r="L84" i="33"/>
  <c r="K84" i="33"/>
  <c r="J84" i="33"/>
  <c r="I84" i="33"/>
  <c r="H84" i="33"/>
  <c r="G84" i="33"/>
  <c r="F84" i="33"/>
  <c r="E84" i="33"/>
  <c r="D84" i="33"/>
  <c r="C84" i="33"/>
  <c r="B84" i="33"/>
  <c r="A84" i="33"/>
  <c r="IV83" i="33"/>
  <c r="IU83" i="33"/>
  <c r="IT83" i="33"/>
  <c r="IS83" i="33"/>
  <c r="IR83" i="33"/>
  <c r="IQ83" i="33"/>
  <c r="IP83" i="33"/>
  <c r="IO83" i="33"/>
  <c r="IN83" i="33"/>
  <c r="IM83" i="33"/>
  <c r="IL83" i="33"/>
  <c r="IK83" i="33"/>
  <c r="IJ83" i="33"/>
  <c r="II83" i="33"/>
  <c r="IH83" i="33"/>
  <c r="IG83" i="33"/>
  <c r="IF83" i="33"/>
  <c r="IE83" i="33"/>
  <c r="ID83" i="33"/>
  <c r="IC83" i="33"/>
  <c r="IB83" i="33"/>
  <c r="IA83" i="33"/>
  <c r="HZ83" i="33"/>
  <c r="HY83" i="33"/>
  <c r="HX83" i="33"/>
  <c r="HW83" i="33"/>
  <c r="HV83" i="33"/>
  <c r="HU83" i="33"/>
  <c r="HT83" i="33"/>
  <c r="HS83" i="33"/>
  <c r="HR83" i="33"/>
  <c r="HQ83" i="33"/>
  <c r="HP83" i="33"/>
  <c r="HO83" i="33"/>
  <c r="HN83" i="33"/>
  <c r="HM83" i="33"/>
  <c r="HL83" i="33"/>
  <c r="HK83" i="33"/>
  <c r="HJ83" i="33"/>
  <c r="HI83" i="33"/>
  <c r="HH83" i="33"/>
  <c r="HG83" i="33"/>
  <c r="HF83" i="33"/>
  <c r="HE83" i="33"/>
  <c r="HD83" i="33"/>
  <c r="HC83" i="33"/>
  <c r="HB83" i="33"/>
  <c r="HA83" i="33"/>
  <c r="GZ83" i="33"/>
  <c r="GY83" i="33"/>
  <c r="GX83" i="33"/>
  <c r="GW83" i="33"/>
  <c r="GV83" i="33"/>
  <c r="GU83" i="33"/>
  <c r="GT83" i="33"/>
  <c r="GS83" i="33"/>
  <c r="GR83" i="33"/>
  <c r="GQ83" i="33"/>
  <c r="GP83" i="33"/>
  <c r="GO83" i="33"/>
  <c r="GN83" i="33"/>
  <c r="GM83" i="33"/>
  <c r="GL83" i="33"/>
  <c r="GK83" i="33"/>
  <c r="GJ83" i="33"/>
  <c r="GI83" i="33"/>
  <c r="GH83" i="33"/>
  <c r="GG83" i="33"/>
  <c r="GF83" i="33"/>
  <c r="GE83" i="33"/>
  <c r="GD83" i="33"/>
  <c r="GC83" i="33"/>
  <c r="GB83" i="33"/>
  <c r="GA83" i="33"/>
  <c r="FZ83" i="33"/>
  <c r="FY83" i="33"/>
  <c r="FX83" i="33"/>
  <c r="FW83" i="33"/>
  <c r="FV83" i="33"/>
  <c r="FU83" i="33"/>
  <c r="FT83" i="33"/>
  <c r="FS83" i="33"/>
  <c r="FR83" i="33"/>
  <c r="FQ83" i="33"/>
  <c r="FP83" i="33"/>
  <c r="FO83" i="33"/>
  <c r="FN83" i="33"/>
  <c r="FM83" i="33"/>
  <c r="FL83" i="33"/>
  <c r="FK83" i="33"/>
  <c r="FJ83" i="33"/>
  <c r="FI83" i="33"/>
  <c r="FH83" i="33"/>
  <c r="FG83" i="33"/>
  <c r="FF83" i="33"/>
  <c r="FE83" i="33"/>
  <c r="FD83" i="33"/>
  <c r="FC83" i="33"/>
  <c r="FB83" i="33"/>
  <c r="FA83" i="33"/>
  <c r="EZ83" i="33"/>
  <c r="EY83" i="33"/>
  <c r="EX83" i="33"/>
  <c r="EW83" i="33"/>
  <c r="EV83" i="33"/>
  <c r="EU83" i="33"/>
  <c r="ET83" i="33"/>
  <c r="ES83" i="33"/>
  <c r="ER83" i="33"/>
  <c r="EQ83" i="33"/>
  <c r="EP83" i="33"/>
  <c r="EO83" i="33"/>
  <c r="EN83" i="33"/>
  <c r="EM83" i="33"/>
  <c r="EL83" i="33"/>
  <c r="EK83" i="33"/>
  <c r="EJ83" i="33"/>
  <c r="EI83" i="33"/>
  <c r="EH83" i="33"/>
  <c r="EG83" i="33"/>
  <c r="EF83" i="33"/>
  <c r="EE83" i="33"/>
  <c r="ED83" i="33"/>
  <c r="EC83" i="33"/>
  <c r="EB83" i="33"/>
  <c r="EA83" i="33"/>
  <c r="DZ83" i="33"/>
  <c r="DY83" i="33"/>
  <c r="DX83" i="33"/>
  <c r="DW83" i="33"/>
  <c r="DV83" i="33"/>
  <c r="DU83" i="33"/>
  <c r="DT83" i="33"/>
  <c r="DS83" i="33"/>
  <c r="DR83" i="33"/>
  <c r="DQ83" i="33"/>
  <c r="DP83" i="33"/>
  <c r="DO83" i="33"/>
  <c r="DN83" i="33"/>
  <c r="DM83" i="33"/>
  <c r="DL83" i="33"/>
  <c r="DK83" i="33"/>
  <c r="DJ83" i="33"/>
  <c r="DI83" i="33"/>
  <c r="DH83" i="33"/>
  <c r="DG83" i="33"/>
  <c r="DF83" i="33"/>
  <c r="DE83" i="33"/>
  <c r="DD83" i="33"/>
  <c r="DC83" i="33"/>
  <c r="DB83" i="33"/>
  <c r="DA83" i="33"/>
  <c r="CZ83" i="33"/>
  <c r="CY83" i="33"/>
  <c r="CX83" i="33"/>
  <c r="CW83" i="33"/>
  <c r="CV83" i="33"/>
  <c r="CU83" i="33"/>
  <c r="CT83" i="33"/>
  <c r="CS83" i="33"/>
  <c r="CR83" i="33"/>
  <c r="CQ83" i="33"/>
  <c r="CP83" i="33"/>
  <c r="CO83" i="33"/>
  <c r="CN83" i="33"/>
  <c r="CM83" i="33"/>
  <c r="CL83" i="33"/>
  <c r="CK83" i="33"/>
  <c r="CJ83" i="33"/>
  <c r="CI83" i="33"/>
  <c r="CH83" i="33"/>
  <c r="CG83" i="33"/>
  <c r="CF83" i="33"/>
  <c r="CE83" i="33"/>
  <c r="CD83" i="33"/>
  <c r="CC83" i="33"/>
  <c r="CB83" i="33"/>
  <c r="CA83" i="33"/>
  <c r="BZ83" i="33"/>
  <c r="BY83" i="33"/>
  <c r="BX83" i="33"/>
  <c r="BW83" i="33"/>
  <c r="BV83" i="33"/>
  <c r="BU83" i="33"/>
  <c r="BT83" i="33"/>
  <c r="BS83" i="33"/>
  <c r="BR83" i="33"/>
  <c r="BQ83" i="33"/>
  <c r="BP83" i="33"/>
  <c r="BO83" i="33"/>
  <c r="BN83" i="33"/>
  <c r="BM83" i="33"/>
  <c r="BL83" i="33"/>
  <c r="BK83" i="33"/>
  <c r="BJ83" i="33"/>
  <c r="BI83" i="33"/>
  <c r="BH83" i="33"/>
  <c r="BG83" i="33"/>
  <c r="BF83" i="33"/>
  <c r="BE83" i="33"/>
  <c r="BD83" i="33"/>
  <c r="BC83" i="33"/>
  <c r="BB83" i="33"/>
  <c r="BA83" i="33"/>
  <c r="AZ83" i="33"/>
  <c r="AY83" i="33"/>
  <c r="AX83" i="33"/>
  <c r="AW83" i="33"/>
  <c r="AV83" i="33"/>
  <c r="AU83" i="33"/>
  <c r="AT83" i="33"/>
  <c r="AS83" i="33"/>
  <c r="AR83" i="33"/>
  <c r="AQ83" i="33"/>
  <c r="AP83" i="33"/>
  <c r="AO83" i="33"/>
  <c r="AN83" i="33"/>
  <c r="AM83" i="33"/>
  <c r="AL83" i="33"/>
  <c r="AK83" i="33"/>
  <c r="AJ83" i="33"/>
  <c r="AI83" i="33"/>
  <c r="AH83" i="33"/>
  <c r="AG83" i="33"/>
  <c r="AF83" i="33"/>
  <c r="AE83" i="33"/>
  <c r="AD83" i="33"/>
  <c r="AC83" i="33"/>
  <c r="AB83" i="33"/>
  <c r="AA83" i="33"/>
  <c r="Z83" i="33"/>
  <c r="Y83" i="33"/>
  <c r="X83" i="33"/>
  <c r="W83" i="33"/>
  <c r="V83" i="33"/>
  <c r="U83" i="33"/>
  <c r="T83" i="33"/>
  <c r="S83" i="33"/>
  <c r="R83" i="33"/>
  <c r="Q83" i="33"/>
  <c r="P83" i="33"/>
  <c r="O83" i="33"/>
  <c r="N83" i="33"/>
  <c r="M83" i="33"/>
  <c r="L83" i="33"/>
  <c r="K83" i="33"/>
  <c r="J83" i="33"/>
  <c r="I83" i="33"/>
  <c r="H83" i="33"/>
  <c r="G83" i="33"/>
  <c r="F83" i="33"/>
  <c r="E83" i="33"/>
  <c r="D83" i="33"/>
  <c r="C83" i="33"/>
  <c r="B83" i="33"/>
  <c r="A83" i="33"/>
  <c r="IV82" i="33"/>
  <c r="IU82" i="33"/>
  <c r="IT82" i="33"/>
  <c r="IS82" i="33"/>
  <c r="IR82" i="33"/>
  <c r="IQ82" i="33"/>
  <c r="IP82" i="33"/>
  <c r="IO82" i="33"/>
  <c r="IN82" i="33"/>
  <c r="IM82" i="33"/>
  <c r="IL82" i="33"/>
  <c r="IK82" i="33"/>
  <c r="IJ82" i="33"/>
  <c r="II82" i="33"/>
  <c r="IH82" i="33"/>
  <c r="IG82" i="33"/>
  <c r="IF82" i="33"/>
  <c r="IE82" i="33"/>
  <c r="ID82" i="33"/>
  <c r="IC82" i="33"/>
  <c r="IB82" i="33"/>
  <c r="IA82" i="33"/>
  <c r="HZ82" i="33"/>
  <c r="HY82" i="33"/>
  <c r="HX82" i="33"/>
  <c r="HW82" i="33"/>
  <c r="HV82" i="33"/>
  <c r="HU82" i="33"/>
  <c r="HT82" i="33"/>
  <c r="HS82" i="33"/>
  <c r="HR82" i="33"/>
  <c r="HQ82" i="33"/>
  <c r="HP82" i="33"/>
  <c r="HO82" i="33"/>
  <c r="HN82" i="33"/>
  <c r="HM82" i="33"/>
  <c r="HL82" i="33"/>
  <c r="HK82" i="33"/>
  <c r="HJ82" i="33"/>
  <c r="HI82" i="33"/>
  <c r="HH82" i="33"/>
  <c r="HG82" i="33"/>
  <c r="HF82" i="33"/>
  <c r="HE82" i="33"/>
  <c r="HD82" i="33"/>
  <c r="HC82" i="33"/>
  <c r="HB82" i="33"/>
  <c r="HA82" i="33"/>
  <c r="GZ82" i="33"/>
  <c r="GY82" i="33"/>
  <c r="GX82" i="33"/>
  <c r="GW82" i="33"/>
  <c r="GV82" i="33"/>
  <c r="GU82" i="33"/>
  <c r="GT82" i="33"/>
  <c r="GS82" i="33"/>
  <c r="GR82" i="33"/>
  <c r="GQ82" i="33"/>
  <c r="GP82" i="33"/>
  <c r="GO82" i="33"/>
  <c r="GN82" i="33"/>
  <c r="GM82" i="33"/>
  <c r="GL82" i="33"/>
  <c r="GK82" i="33"/>
  <c r="GJ82" i="33"/>
  <c r="GI82" i="33"/>
  <c r="GH82" i="33"/>
  <c r="GG82" i="33"/>
  <c r="GF82" i="33"/>
  <c r="GE82" i="33"/>
  <c r="GD82" i="33"/>
  <c r="GC82" i="33"/>
  <c r="GB82" i="33"/>
  <c r="GA82" i="33"/>
  <c r="FZ82" i="33"/>
  <c r="FY82" i="33"/>
  <c r="FX82" i="33"/>
  <c r="FW82" i="33"/>
  <c r="FV82" i="33"/>
  <c r="FU82" i="33"/>
  <c r="FT82" i="33"/>
  <c r="FS82" i="33"/>
  <c r="FR82" i="33"/>
  <c r="FQ82" i="33"/>
  <c r="FP82" i="33"/>
  <c r="FO82" i="33"/>
  <c r="FN82" i="33"/>
  <c r="FM82" i="33"/>
  <c r="FL82" i="33"/>
  <c r="FK82" i="33"/>
  <c r="FJ82" i="33"/>
  <c r="FI82" i="33"/>
  <c r="FH82" i="33"/>
  <c r="FG82" i="33"/>
  <c r="FF82" i="33"/>
  <c r="FE82" i="33"/>
  <c r="FD82" i="33"/>
  <c r="FC82" i="33"/>
  <c r="FB82" i="33"/>
  <c r="FA82" i="33"/>
  <c r="EZ82" i="33"/>
  <c r="EY82" i="33"/>
  <c r="EX82" i="33"/>
  <c r="EW82" i="33"/>
  <c r="EV82" i="33"/>
  <c r="EU82" i="33"/>
  <c r="ET82" i="33"/>
  <c r="ES82" i="33"/>
  <c r="ER82" i="33"/>
  <c r="EQ82" i="33"/>
  <c r="EP82" i="33"/>
  <c r="EO82" i="33"/>
  <c r="EN82" i="33"/>
  <c r="EM82" i="33"/>
  <c r="EL82" i="33"/>
  <c r="EK82" i="33"/>
  <c r="EJ82" i="33"/>
  <c r="EI82" i="33"/>
  <c r="EH82" i="33"/>
  <c r="EG82" i="33"/>
  <c r="EF82" i="33"/>
  <c r="EE82" i="33"/>
  <c r="ED82" i="33"/>
  <c r="EC82" i="33"/>
  <c r="EB82" i="33"/>
  <c r="EA82" i="33"/>
  <c r="DZ82" i="33"/>
  <c r="DY82" i="33"/>
  <c r="DX82" i="33"/>
  <c r="DW82" i="33"/>
  <c r="DV82" i="33"/>
  <c r="DU82" i="33"/>
  <c r="DT82" i="33"/>
  <c r="DS82" i="33"/>
  <c r="DR82" i="33"/>
  <c r="DQ82" i="33"/>
  <c r="DP82" i="33"/>
  <c r="DO82" i="33"/>
  <c r="DN82" i="33"/>
  <c r="DM82" i="33"/>
  <c r="DL82" i="33"/>
  <c r="DK82" i="33"/>
  <c r="DJ82" i="33"/>
  <c r="DI82" i="33"/>
  <c r="DH82" i="33"/>
  <c r="DG82" i="33"/>
  <c r="DF82" i="33"/>
  <c r="DE82" i="33"/>
  <c r="DD82" i="33"/>
  <c r="DC82" i="33"/>
  <c r="DB82" i="33"/>
  <c r="DA82" i="33"/>
  <c r="CZ82" i="33"/>
  <c r="CY82" i="33"/>
  <c r="CX82" i="33"/>
  <c r="CW82" i="33"/>
  <c r="CV82" i="33"/>
  <c r="CU82" i="33"/>
  <c r="CT82" i="33"/>
  <c r="CS82" i="33"/>
  <c r="CR82" i="33"/>
  <c r="CQ82" i="33"/>
  <c r="CP82" i="33"/>
  <c r="CO82" i="33"/>
  <c r="CN82" i="33"/>
  <c r="CM82" i="33"/>
  <c r="CL82" i="33"/>
  <c r="CK82" i="33"/>
  <c r="CJ82" i="33"/>
  <c r="CI82" i="33"/>
  <c r="CH82" i="33"/>
  <c r="CG82" i="33"/>
  <c r="CF82" i="33"/>
  <c r="CE82" i="33"/>
  <c r="CD82" i="33"/>
  <c r="CC82" i="33"/>
  <c r="CB82" i="33"/>
  <c r="CA82" i="33"/>
  <c r="BZ82" i="33"/>
  <c r="BY82" i="33"/>
  <c r="BX82" i="33"/>
  <c r="BW82" i="33"/>
  <c r="BV82" i="33"/>
  <c r="BU82" i="33"/>
  <c r="BT82" i="33"/>
  <c r="BS82" i="33"/>
  <c r="BR82" i="33"/>
  <c r="BQ82" i="33"/>
  <c r="BP82" i="33"/>
  <c r="BO82" i="33"/>
  <c r="BN82" i="33"/>
  <c r="BM82" i="33"/>
  <c r="BL82" i="33"/>
  <c r="BK82" i="33"/>
  <c r="BJ82" i="33"/>
  <c r="BI82" i="33"/>
  <c r="BH82" i="33"/>
  <c r="BG82" i="33"/>
  <c r="BF82" i="33"/>
  <c r="BE82" i="33"/>
  <c r="BD82" i="33"/>
  <c r="BC82" i="33"/>
  <c r="BB82" i="33"/>
  <c r="BA82" i="33"/>
  <c r="AZ82" i="33"/>
  <c r="AY82" i="33"/>
  <c r="AX82" i="33"/>
  <c r="AW82" i="33"/>
  <c r="AV82" i="33"/>
  <c r="AU82" i="33"/>
  <c r="AT82" i="33"/>
  <c r="AS82" i="33"/>
  <c r="AR82" i="33"/>
  <c r="AQ82" i="33"/>
  <c r="AP82" i="33"/>
  <c r="AO82" i="33"/>
  <c r="AN82" i="33"/>
  <c r="AM82" i="33"/>
  <c r="AL82" i="33"/>
  <c r="AK82" i="33"/>
  <c r="AJ82" i="33"/>
  <c r="AI82" i="33"/>
  <c r="AH82" i="33"/>
  <c r="AG82" i="33"/>
  <c r="AF82" i="33"/>
  <c r="AE82" i="33"/>
  <c r="AD82" i="33"/>
  <c r="AC82" i="33"/>
  <c r="AB82" i="33"/>
  <c r="AA82" i="33"/>
  <c r="Z82" i="33"/>
  <c r="Y82" i="33"/>
  <c r="X82" i="33"/>
  <c r="W82" i="33"/>
  <c r="V82" i="33"/>
  <c r="U82" i="33"/>
  <c r="T82" i="33"/>
  <c r="S82" i="33"/>
  <c r="R82" i="33"/>
  <c r="Q82" i="33"/>
  <c r="P82" i="33"/>
  <c r="O82" i="33"/>
  <c r="N82" i="33"/>
  <c r="M82" i="33"/>
  <c r="L82" i="33"/>
  <c r="K82" i="33"/>
  <c r="J82" i="33"/>
  <c r="I82" i="33"/>
  <c r="H82" i="33"/>
  <c r="G82" i="33"/>
  <c r="F82" i="33"/>
  <c r="E82" i="33"/>
  <c r="D82" i="33"/>
  <c r="C82" i="33"/>
  <c r="B82" i="33"/>
  <c r="A82" i="33"/>
  <c r="IV81" i="33"/>
  <c r="IU81" i="33"/>
  <c r="IT81" i="33"/>
  <c r="IS81" i="33"/>
  <c r="IR81" i="33"/>
  <c r="IQ81" i="33"/>
  <c r="IP81" i="33"/>
  <c r="IO81" i="33"/>
  <c r="IN81" i="33"/>
  <c r="IM81" i="33"/>
  <c r="IL81" i="33"/>
  <c r="IK81" i="33"/>
  <c r="IJ81" i="33"/>
  <c r="II81" i="33"/>
  <c r="IH81" i="33"/>
  <c r="IG81" i="33"/>
  <c r="IF81" i="33"/>
  <c r="IE81" i="33"/>
  <c r="ID81" i="33"/>
  <c r="IC81" i="33"/>
  <c r="IB81" i="33"/>
  <c r="IA81" i="33"/>
  <c r="HZ81" i="33"/>
  <c r="HY81" i="33"/>
  <c r="HX81" i="33"/>
  <c r="HW81" i="33"/>
  <c r="HV81" i="33"/>
  <c r="HU81" i="33"/>
  <c r="HT81" i="33"/>
  <c r="HS81" i="33"/>
  <c r="HR81" i="33"/>
  <c r="HQ81" i="33"/>
  <c r="HP81" i="33"/>
  <c r="HO81" i="33"/>
  <c r="HN81" i="33"/>
  <c r="HM81" i="33"/>
  <c r="HL81" i="33"/>
  <c r="HK81" i="33"/>
  <c r="HJ81" i="33"/>
  <c r="HI81" i="33"/>
  <c r="HH81" i="33"/>
  <c r="HG81" i="33"/>
  <c r="HF81" i="33"/>
  <c r="HE81" i="33"/>
  <c r="HD81" i="33"/>
  <c r="HC81" i="33"/>
  <c r="HB81" i="33"/>
  <c r="HA81" i="33"/>
  <c r="GZ81" i="33"/>
  <c r="GY81" i="33"/>
  <c r="GX81" i="33"/>
  <c r="GW81" i="33"/>
  <c r="GV81" i="33"/>
  <c r="GU81" i="33"/>
  <c r="GT81" i="33"/>
  <c r="GS81" i="33"/>
  <c r="GR81" i="33"/>
  <c r="GQ81" i="33"/>
  <c r="GP81" i="33"/>
  <c r="GO81" i="33"/>
  <c r="GN81" i="33"/>
  <c r="GM81" i="33"/>
  <c r="GL81" i="33"/>
  <c r="GK81" i="33"/>
  <c r="GJ81" i="33"/>
  <c r="GI81" i="33"/>
  <c r="GH81" i="33"/>
  <c r="GG81" i="33"/>
  <c r="GF81" i="33"/>
  <c r="GE81" i="33"/>
  <c r="GD81" i="33"/>
  <c r="GC81" i="33"/>
  <c r="GB81" i="33"/>
  <c r="GA81" i="33"/>
  <c r="FZ81" i="33"/>
  <c r="FY81" i="33"/>
  <c r="FX81" i="33"/>
  <c r="FW81" i="33"/>
  <c r="FV81" i="33"/>
  <c r="FU81" i="33"/>
  <c r="FT81" i="33"/>
  <c r="FS81" i="33"/>
  <c r="FR81" i="33"/>
  <c r="FQ81" i="33"/>
  <c r="FP81" i="33"/>
  <c r="FO81" i="33"/>
  <c r="FN81" i="33"/>
  <c r="FM81" i="33"/>
  <c r="FL81" i="33"/>
  <c r="FK81" i="33"/>
  <c r="FJ81" i="33"/>
  <c r="FI81" i="33"/>
  <c r="FH81" i="33"/>
  <c r="FG81" i="33"/>
  <c r="FF81" i="33"/>
  <c r="FE81" i="33"/>
  <c r="FD81" i="33"/>
  <c r="FC81" i="33"/>
  <c r="FB81" i="33"/>
  <c r="FA81" i="33"/>
  <c r="EZ81" i="33"/>
  <c r="EY81" i="33"/>
  <c r="EX81" i="33"/>
  <c r="EW81" i="33"/>
  <c r="EV81" i="33"/>
  <c r="EU81" i="33"/>
  <c r="ET81" i="33"/>
  <c r="ES81" i="33"/>
  <c r="ER81" i="33"/>
  <c r="EQ81" i="33"/>
  <c r="EP81" i="33"/>
  <c r="EO81" i="33"/>
  <c r="EN81" i="33"/>
  <c r="EM81" i="33"/>
  <c r="EL81" i="33"/>
  <c r="EK81" i="33"/>
  <c r="EJ81" i="33"/>
  <c r="EI81" i="33"/>
  <c r="EH81" i="33"/>
  <c r="EG81" i="33"/>
  <c r="EF81" i="33"/>
  <c r="EE81" i="33"/>
  <c r="ED81" i="33"/>
  <c r="EC81" i="33"/>
  <c r="EB81" i="33"/>
  <c r="EA81" i="33"/>
  <c r="DZ81" i="33"/>
  <c r="DY81" i="33"/>
  <c r="DX81" i="33"/>
  <c r="DW81" i="33"/>
  <c r="DV81" i="33"/>
  <c r="DU81" i="33"/>
  <c r="DT81" i="33"/>
  <c r="DS81" i="33"/>
  <c r="DR81" i="33"/>
  <c r="DQ81" i="33"/>
  <c r="DP81" i="33"/>
  <c r="DO81" i="33"/>
  <c r="DN81" i="33"/>
  <c r="DM81" i="33"/>
  <c r="DL81" i="33"/>
  <c r="DK81" i="33"/>
  <c r="DJ81" i="33"/>
  <c r="DI81" i="33"/>
  <c r="DH81" i="33"/>
  <c r="DG81" i="33"/>
  <c r="DF81" i="33"/>
  <c r="DE81" i="33"/>
  <c r="DD81" i="33"/>
  <c r="DC81" i="33"/>
  <c r="DB81" i="33"/>
  <c r="DA81" i="33"/>
  <c r="CZ81" i="33"/>
  <c r="CY81" i="33"/>
  <c r="CX81" i="33"/>
  <c r="CW81" i="33"/>
  <c r="CV81" i="33"/>
  <c r="CU81" i="33"/>
  <c r="CT81" i="33"/>
  <c r="CS81" i="33"/>
  <c r="CR81" i="33"/>
  <c r="CQ81" i="33"/>
  <c r="CP81" i="33"/>
  <c r="CO81" i="33"/>
  <c r="CN81" i="33"/>
  <c r="CM81" i="33"/>
  <c r="CL81" i="33"/>
  <c r="CK81" i="33"/>
  <c r="CJ81" i="33"/>
  <c r="CI81" i="33"/>
  <c r="CH81" i="33"/>
  <c r="CG81" i="33"/>
  <c r="CF81" i="33"/>
  <c r="CE81" i="33"/>
  <c r="CD81" i="33"/>
  <c r="CC81" i="33"/>
  <c r="CB81" i="33"/>
  <c r="CA81" i="33"/>
  <c r="BZ81" i="33"/>
  <c r="BY81" i="33"/>
  <c r="BX81" i="33"/>
  <c r="BW81" i="33"/>
  <c r="BV81" i="33"/>
  <c r="BU81" i="33"/>
  <c r="BT81" i="33"/>
  <c r="BS81" i="33"/>
  <c r="BR81" i="33"/>
  <c r="BQ81" i="33"/>
  <c r="BP81" i="33"/>
  <c r="BO81" i="33"/>
  <c r="BN81" i="33"/>
  <c r="BM81" i="33"/>
  <c r="BL81" i="33"/>
  <c r="BK81" i="33"/>
  <c r="BJ81" i="33"/>
  <c r="BI81" i="33"/>
  <c r="BH81" i="33"/>
  <c r="BG81" i="33"/>
  <c r="BF81" i="33"/>
  <c r="BE81" i="33"/>
  <c r="BD81" i="33"/>
  <c r="BC81" i="33"/>
  <c r="BB81" i="33"/>
  <c r="BA81" i="33"/>
  <c r="AZ81" i="33"/>
  <c r="AY81" i="33"/>
  <c r="AX81" i="33"/>
  <c r="AW81" i="33"/>
  <c r="AV81" i="33"/>
  <c r="AU81" i="33"/>
  <c r="AT81" i="33"/>
  <c r="AS81" i="33"/>
  <c r="AR81" i="33"/>
  <c r="AQ81" i="33"/>
  <c r="AP81" i="33"/>
  <c r="AO81" i="33"/>
  <c r="AN81" i="33"/>
  <c r="AM81" i="33"/>
  <c r="AL81" i="33"/>
  <c r="AK81" i="33"/>
  <c r="AJ81" i="33"/>
  <c r="AI81" i="33"/>
  <c r="AH81" i="33"/>
  <c r="AG81" i="33"/>
  <c r="AF81" i="33"/>
  <c r="AE81" i="33"/>
  <c r="AD81" i="33"/>
  <c r="AC81" i="33"/>
  <c r="AB81" i="33"/>
  <c r="AA81" i="33"/>
  <c r="Z81" i="33"/>
  <c r="Y81" i="33"/>
  <c r="X81" i="33"/>
  <c r="W81" i="33"/>
  <c r="V81" i="33"/>
  <c r="U81" i="33"/>
  <c r="T81" i="33"/>
  <c r="S81" i="33"/>
  <c r="R81" i="33"/>
  <c r="Q81" i="33"/>
  <c r="P81" i="33"/>
  <c r="O81" i="33"/>
  <c r="N81" i="33"/>
  <c r="M81" i="33"/>
  <c r="L81" i="33"/>
  <c r="K81" i="33"/>
  <c r="J81" i="33"/>
  <c r="I81" i="33"/>
  <c r="H81" i="33"/>
  <c r="G81" i="33"/>
  <c r="F81" i="33"/>
  <c r="E81" i="33"/>
  <c r="D81" i="33"/>
  <c r="C81" i="33"/>
  <c r="B81" i="33"/>
  <c r="A81" i="33"/>
  <c r="IV80" i="33"/>
  <c r="IU80" i="33"/>
  <c r="IT80" i="33"/>
  <c r="IS80" i="33"/>
  <c r="IR80" i="33"/>
  <c r="IQ80" i="33"/>
  <c r="IP80" i="33"/>
  <c r="IO80" i="33"/>
  <c r="IN80" i="33"/>
  <c r="IM80" i="33"/>
  <c r="IL80" i="33"/>
  <c r="IK80" i="33"/>
  <c r="IJ80" i="33"/>
  <c r="II80" i="33"/>
  <c r="IH80" i="33"/>
  <c r="IG80" i="33"/>
  <c r="IF80" i="33"/>
  <c r="IE80" i="33"/>
  <c r="ID80" i="33"/>
  <c r="IC80" i="33"/>
  <c r="IB80" i="33"/>
  <c r="IA80" i="33"/>
  <c r="HZ80" i="33"/>
  <c r="HY80" i="33"/>
  <c r="HX80" i="33"/>
  <c r="HW80" i="33"/>
  <c r="HV80" i="33"/>
  <c r="HU80" i="33"/>
  <c r="HT80" i="33"/>
  <c r="HS80" i="33"/>
  <c r="HR80" i="33"/>
  <c r="HQ80" i="33"/>
  <c r="HP80" i="33"/>
  <c r="HO80" i="33"/>
  <c r="HN80" i="33"/>
  <c r="HM80" i="33"/>
  <c r="HL80" i="33"/>
  <c r="HK80" i="33"/>
  <c r="HJ80" i="33"/>
  <c r="HI80" i="33"/>
  <c r="HH80" i="33"/>
  <c r="HG80" i="33"/>
  <c r="HF80" i="33"/>
  <c r="HE80" i="33"/>
  <c r="HD80" i="33"/>
  <c r="HC80" i="33"/>
  <c r="HB80" i="33"/>
  <c r="HA80" i="33"/>
  <c r="GZ80" i="33"/>
  <c r="GY80" i="33"/>
  <c r="GX80" i="33"/>
  <c r="GW80" i="33"/>
  <c r="GV80" i="33"/>
  <c r="GU80" i="33"/>
  <c r="GT80" i="33"/>
  <c r="GS80" i="33"/>
  <c r="GR80" i="33"/>
  <c r="GQ80" i="33"/>
  <c r="GP80" i="33"/>
  <c r="GO80" i="33"/>
  <c r="GN80" i="33"/>
  <c r="GM80" i="33"/>
  <c r="GL80" i="33"/>
  <c r="GK80" i="33"/>
  <c r="GJ80" i="33"/>
  <c r="GI80" i="33"/>
  <c r="GH80" i="33"/>
  <c r="GG80" i="33"/>
  <c r="GF80" i="33"/>
  <c r="GE80" i="33"/>
  <c r="GD80" i="33"/>
  <c r="GC80" i="33"/>
  <c r="GB80" i="33"/>
  <c r="GA80" i="33"/>
  <c r="FZ80" i="33"/>
  <c r="FY80" i="33"/>
  <c r="FX80" i="33"/>
  <c r="FW80" i="33"/>
  <c r="FV80" i="33"/>
  <c r="FU80" i="33"/>
  <c r="FT80" i="33"/>
  <c r="FS80" i="33"/>
  <c r="FR80" i="33"/>
  <c r="FQ80" i="33"/>
  <c r="FP80" i="33"/>
  <c r="FO80" i="33"/>
  <c r="FN80" i="33"/>
  <c r="FM80" i="33"/>
  <c r="FL80" i="33"/>
  <c r="FK80" i="33"/>
  <c r="FJ80" i="33"/>
  <c r="FI80" i="33"/>
  <c r="FH80" i="33"/>
  <c r="FG80" i="33"/>
  <c r="FF80" i="33"/>
  <c r="FE80" i="33"/>
  <c r="FD80" i="33"/>
  <c r="FC80" i="33"/>
  <c r="FB80" i="33"/>
  <c r="FA80" i="33"/>
  <c r="EZ80" i="33"/>
  <c r="EY80" i="33"/>
  <c r="EX80" i="33"/>
  <c r="EW80" i="33"/>
  <c r="EV80" i="33"/>
  <c r="EU80" i="33"/>
  <c r="ET80" i="33"/>
  <c r="ES80" i="33"/>
  <c r="ER80" i="33"/>
  <c r="EQ80" i="33"/>
  <c r="EP80" i="33"/>
  <c r="EO80" i="33"/>
  <c r="EN80" i="33"/>
  <c r="EM80" i="33"/>
  <c r="EL80" i="33"/>
  <c r="EK80" i="33"/>
  <c r="EJ80" i="33"/>
  <c r="EI80" i="33"/>
  <c r="EH80" i="33"/>
  <c r="EG80" i="33"/>
  <c r="EF80" i="33"/>
  <c r="EE80" i="33"/>
  <c r="ED80" i="33"/>
  <c r="EC80" i="33"/>
  <c r="EB80" i="33"/>
  <c r="EA80" i="33"/>
  <c r="DZ80" i="33"/>
  <c r="DY80" i="33"/>
  <c r="DX80" i="33"/>
  <c r="DW80" i="33"/>
  <c r="DV80" i="33"/>
  <c r="DU80" i="33"/>
  <c r="DT80" i="33"/>
  <c r="DS80" i="33"/>
  <c r="DR80" i="33"/>
  <c r="DQ80" i="33"/>
  <c r="DP80" i="33"/>
  <c r="DO80" i="33"/>
  <c r="DN80" i="33"/>
  <c r="DM80" i="33"/>
  <c r="DL80" i="33"/>
  <c r="DK80" i="33"/>
  <c r="DJ80" i="33"/>
  <c r="DI80" i="33"/>
  <c r="DH80" i="33"/>
  <c r="DG80" i="33"/>
  <c r="DF80" i="33"/>
  <c r="DE80" i="33"/>
  <c r="DD80" i="33"/>
  <c r="DC80" i="33"/>
  <c r="DB80" i="33"/>
  <c r="DA80" i="33"/>
  <c r="CZ80" i="33"/>
  <c r="CY80" i="33"/>
  <c r="CX80" i="33"/>
  <c r="CW80" i="33"/>
  <c r="CV80" i="33"/>
  <c r="CU80" i="33"/>
  <c r="CT80" i="33"/>
  <c r="CS80" i="33"/>
  <c r="CR80" i="33"/>
  <c r="CQ80" i="33"/>
  <c r="CP80" i="33"/>
  <c r="CO80" i="33"/>
  <c r="CN80" i="33"/>
  <c r="CM80" i="33"/>
  <c r="CL80" i="33"/>
  <c r="CK80" i="33"/>
  <c r="CJ80" i="33"/>
  <c r="CI80" i="33"/>
  <c r="CH80" i="33"/>
  <c r="CG80" i="33"/>
  <c r="CF80" i="33"/>
  <c r="CE80" i="33"/>
  <c r="CD80" i="33"/>
  <c r="CC80" i="33"/>
  <c r="CB80" i="33"/>
  <c r="CA80" i="33"/>
  <c r="BZ80" i="33"/>
  <c r="BY80" i="33"/>
  <c r="BX80" i="33"/>
  <c r="BW80" i="33"/>
  <c r="BV80" i="33"/>
  <c r="BU80" i="33"/>
  <c r="BT80" i="33"/>
  <c r="BS80" i="33"/>
  <c r="BR80" i="33"/>
  <c r="BQ80" i="33"/>
  <c r="BP80" i="33"/>
  <c r="BO80" i="33"/>
  <c r="BN80" i="33"/>
  <c r="BM80" i="33"/>
  <c r="BL80" i="33"/>
  <c r="BK80" i="33"/>
  <c r="BJ80" i="33"/>
  <c r="BI80" i="33"/>
  <c r="BH80" i="33"/>
  <c r="BG80" i="33"/>
  <c r="BF80" i="33"/>
  <c r="BE80" i="33"/>
  <c r="BD80" i="33"/>
  <c r="BC80" i="33"/>
  <c r="BB80" i="33"/>
  <c r="BA80" i="33"/>
  <c r="AZ80" i="33"/>
  <c r="AY80" i="33"/>
  <c r="AX80" i="33"/>
  <c r="AW80" i="33"/>
  <c r="AV80" i="33"/>
  <c r="AU80" i="33"/>
  <c r="AT80" i="33"/>
  <c r="AS80" i="33"/>
  <c r="AR80" i="33"/>
  <c r="AQ80" i="33"/>
  <c r="AP80" i="33"/>
  <c r="AO80" i="33"/>
  <c r="AN80" i="33"/>
  <c r="AM80" i="33"/>
  <c r="AL80" i="33"/>
  <c r="AK80" i="33"/>
  <c r="AJ80" i="33"/>
  <c r="AI80" i="33"/>
  <c r="AH80" i="33"/>
  <c r="AG80" i="33"/>
  <c r="AF80" i="33"/>
  <c r="AE80" i="33"/>
  <c r="AD80" i="33"/>
  <c r="AC80" i="33"/>
  <c r="AB80" i="33"/>
  <c r="AA80" i="33"/>
  <c r="Z80" i="33"/>
  <c r="Y80" i="33"/>
  <c r="X80" i="33"/>
  <c r="W80" i="33"/>
  <c r="V80" i="33"/>
  <c r="U80" i="33"/>
  <c r="T80" i="33"/>
  <c r="S80" i="33"/>
  <c r="R80" i="33"/>
  <c r="Q80" i="33"/>
  <c r="P80" i="33"/>
  <c r="O80" i="33"/>
  <c r="N80" i="33"/>
  <c r="M80" i="33"/>
  <c r="L80" i="33"/>
  <c r="K80" i="33"/>
  <c r="J80" i="33"/>
  <c r="I80" i="33"/>
  <c r="H80" i="33"/>
  <c r="G80" i="33"/>
  <c r="F80" i="33"/>
  <c r="E80" i="33"/>
  <c r="D80" i="33"/>
  <c r="C80" i="33"/>
  <c r="B80" i="33"/>
  <c r="A80" i="33"/>
  <c r="IV79" i="33"/>
  <c r="IU79" i="33"/>
  <c r="IT79" i="33"/>
  <c r="IS79" i="33"/>
  <c r="IR79" i="33"/>
  <c r="IQ79" i="33"/>
  <c r="IP79" i="33"/>
  <c r="IO79" i="33"/>
  <c r="IN79" i="33"/>
  <c r="IM79" i="33"/>
  <c r="IL79" i="33"/>
  <c r="IK79" i="33"/>
  <c r="IJ79" i="33"/>
  <c r="II79" i="33"/>
  <c r="IH79" i="33"/>
  <c r="IG79" i="33"/>
  <c r="IF79" i="33"/>
  <c r="IE79" i="33"/>
  <c r="ID79" i="33"/>
  <c r="IC79" i="33"/>
  <c r="IB79" i="33"/>
  <c r="IA79" i="33"/>
  <c r="HZ79" i="33"/>
  <c r="HY79" i="33"/>
  <c r="HX79" i="33"/>
  <c r="HW79" i="33"/>
  <c r="HV79" i="33"/>
  <c r="HU79" i="33"/>
  <c r="HT79" i="33"/>
  <c r="HS79" i="33"/>
  <c r="HR79" i="33"/>
  <c r="HQ79" i="33"/>
  <c r="HP79" i="33"/>
  <c r="HO79" i="33"/>
  <c r="HN79" i="33"/>
  <c r="HM79" i="33"/>
  <c r="HL79" i="33"/>
  <c r="HK79" i="33"/>
  <c r="HJ79" i="33"/>
  <c r="HI79" i="33"/>
  <c r="HH79" i="33"/>
  <c r="HG79" i="33"/>
  <c r="HF79" i="33"/>
  <c r="HE79" i="33"/>
  <c r="HD79" i="33"/>
  <c r="HC79" i="33"/>
  <c r="HB79" i="33"/>
  <c r="HA79" i="33"/>
  <c r="GZ79" i="33"/>
  <c r="GY79" i="33"/>
  <c r="GX79" i="33"/>
  <c r="GW79" i="33"/>
  <c r="GV79" i="33"/>
  <c r="GU79" i="33"/>
  <c r="GT79" i="33"/>
  <c r="GS79" i="33"/>
  <c r="GR79" i="33"/>
  <c r="GQ79" i="33"/>
  <c r="GP79" i="33"/>
  <c r="GO79" i="33"/>
  <c r="GN79" i="33"/>
  <c r="GM79" i="33"/>
  <c r="GL79" i="33"/>
  <c r="GK79" i="33"/>
  <c r="GJ79" i="33"/>
  <c r="GI79" i="33"/>
  <c r="GH79" i="33"/>
  <c r="GG79" i="33"/>
  <c r="GF79" i="33"/>
  <c r="GE79" i="33"/>
  <c r="GD79" i="33"/>
  <c r="GC79" i="33"/>
  <c r="GB79" i="33"/>
  <c r="GA79" i="33"/>
  <c r="FZ79" i="33"/>
  <c r="FY79" i="33"/>
  <c r="FX79" i="33"/>
  <c r="FW79" i="33"/>
  <c r="FV79" i="33"/>
  <c r="FU79" i="33"/>
  <c r="FT79" i="33"/>
  <c r="FS79" i="33"/>
  <c r="FR79" i="33"/>
  <c r="FQ79" i="33"/>
  <c r="FP79" i="33"/>
  <c r="FO79" i="33"/>
  <c r="FN79" i="33"/>
  <c r="FM79" i="33"/>
  <c r="FL79" i="33"/>
  <c r="FK79" i="33"/>
  <c r="FJ79" i="33"/>
  <c r="FI79" i="33"/>
  <c r="FH79" i="33"/>
  <c r="FG79" i="33"/>
  <c r="FF79" i="33"/>
  <c r="FE79" i="33"/>
  <c r="FD79" i="33"/>
  <c r="FC79" i="33"/>
  <c r="FB79" i="33"/>
  <c r="FA79" i="33"/>
  <c r="EZ79" i="33"/>
  <c r="EY79" i="33"/>
  <c r="EX79" i="33"/>
  <c r="EW79" i="33"/>
  <c r="EV79" i="33"/>
  <c r="EU79" i="33"/>
  <c r="ET79" i="33"/>
  <c r="ES79" i="33"/>
  <c r="ER79" i="33"/>
  <c r="EQ79" i="33"/>
  <c r="EP79" i="33"/>
  <c r="EO79" i="33"/>
  <c r="EN79" i="33"/>
  <c r="EM79" i="33"/>
  <c r="EL79" i="33"/>
  <c r="EK79" i="33"/>
  <c r="EJ79" i="33"/>
  <c r="EI79" i="33"/>
  <c r="EH79" i="33"/>
  <c r="EG79" i="33"/>
  <c r="EF79" i="33"/>
  <c r="EE79" i="33"/>
  <c r="ED79" i="33"/>
  <c r="EC79" i="33"/>
  <c r="EB79" i="33"/>
  <c r="EA79" i="33"/>
  <c r="DZ79" i="33"/>
  <c r="DY79" i="33"/>
  <c r="DX79" i="33"/>
  <c r="DW79" i="33"/>
  <c r="DV79" i="33"/>
  <c r="DU79" i="33"/>
  <c r="DT79" i="33"/>
  <c r="DS79" i="33"/>
  <c r="DR79" i="33"/>
  <c r="DQ79" i="33"/>
  <c r="DP79" i="33"/>
  <c r="DO79" i="33"/>
  <c r="DN79" i="33"/>
  <c r="DM79" i="33"/>
  <c r="DL79" i="33"/>
  <c r="DK79" i="33"/>
  <c r="DJ79" i="33"/>
  <c r="DI79" i="33"/>
  <c r="DH79" i="33"/>
  <c r="DG79" i="33"/>
  <c r="DF79" i="33"/>
  <c r="DE79" i="33"/>
  <c r="DD79" i="33"/>
  <c r="DC79" i="33"/>
  <c r="DB79" i="33"/>
  <c r="DA79" i="33"/>
  <c r="CZ79" i="33"/>
  <c r="CY79" i="33"/>
  <c r="CX79" i="33"/>
  <c r="CW79" i="33"/>
  <c r="CV79" i="33"/>
  <c r="CU79" i="33"/>
  <c r="CT79" i="33"/>
  <c r="CS79" i="33"/>
  <c r="CR79" i="33"/>
  <c r="CQ79" i="33"/>
  <c r="CP79" i="33"/>
  <c r="CO79" i="33"/>
  <c r="CN79" i="33"/>
  <c r="CM79" i="33"/>
  <c r="CL79" i="33"/>
  <c r="CK79" i="33"/>
  <c r="CJ79" i="33"/>
  <c r="CI79" i="33"/>
  <c r="CH79" i="33"/>
  <c r="CG79" i="33"/>
  <c r="CF79" i="33"/>
  <c r="CE79" i="33"/>
  <c r="CD79" i="33"/>
  <c r="CC79" i="33"/>
  <c r="CB79" i="33"/>
  <c r="CA79" i="33"/>
  <c r="BZ79" i="33"/>
  <c r="BY79" i="33"/>
  <c r="BX79" i="33"/>
  <c r="BW79" i="33"/>
  <c r="BV79" i="33"/>
  <c r="BU79" i="33"/>
  <c r="BT79" i="33"/>
  <c r="BS79" i="33"/>
  <c r="BR79" i="33"/>
  <c r="BQ79" i="33"/>
  <c r="BP79" i="33"/>
  <c r="BO79" i="33"/>
  <c r="BN79" i="33"/>
  <c r="BM79" i="33"/>
  <c r="BL79" i="33"/>
  <c r="BK79" i="33"/>
  <c r="BJ79" i="33"/>
  <c r="BI79" i="33"/>
  <c r="BH79" i="33"/>
  <c r="BG79" i="33"/>
  <c r="BF79" i="33"/>
  <c r="BE79" i="33"/>
  <c r="BD79" i="33"/>
  <c r="BC79" i="33"/>
  <c r="BB79" i="33"/>
  <c r="BA79" i="33"/>
  <c r="AZ79" i="33"/>
  <c r="AY79" i="33"/>
  <c r="AX79" i="33"/>
  <c r="AW79" i="33"/>
  <c r="AV79" i="33"/>
  <c r="AU79" i="33"/>
  <c r="AT79" i="33"/>
  <c r="AS79" i="33"/>
  <c r="AR79" i="33"/>
  <c r="AQ79" i="33"/>
  <c r="AP79" i="33"/>
  <c r="AO79" i="33"/>
  <c r="AN79" i="33"/>
  <c r="AM79" i="33"/>
  <c r="AL79" i="33"/>
  <c r="AK79" i="33"/>
  <c r="AJ79" i="33"/>
  <c r="AI79" i="33"/>
  <c r="AH79" i="33"/>
  <c r="AG79" i="33"/>
  <c r="AF79" i="33"/>
  <c r="AE79" i="33"/>
  <c r="AD79" i="33"/>
  <c r="AC79" i="33"/>
  <c r="AB79" i="33"/>
  <c r="AA79" i="33"/>
  <c r="Z79" i="33"/>
  <c r="Y79" i="33"/>
  <c r="X79" i="33"/>
  <c r="W79" i="33"/>
  <c r="V79" i="33"/>
  <c r="U79" i="33"/>
  <c r="T79" i="33"/>
  <c r="S79" i="33"/>
  <c r="R79" i="33"/>
  <c r="Q79" i="33"/>
  <c r="P79" i="33"/>
  <c r="O79" i="33"/>
  <c r="N79" i="33"/>
  <c r="M79" i="33"/>
  <c r="L79" i="33"/>
  <c r="K79" i="33"/>
  <c r="J79" i="33"/>
  <c r="I79" i="33"/>
  <c r="H79" i="33"/>
  <c r="G79" i="33"/>
  <c r="F79" i="33"/>
  <c r="E79" i="33"/>
  <c r="D79" i="33"/>
  <c r="C79" i="33"/>
  <c r="B79" i="33"/>
  <c r="A79" i="33"/>
  <c r="IV78" i="33"/>
  <c r="IU78" i="33"/>
  <c r="IT78" i="33"/>
  <c r="IS78" i="33"/>
  <c r="IR78" i="33"/>
  <c r="IQ78" i="33"/>
  <c r="IP78" i="33"/>
  <c r="IO78" i="33"/>
  <c r="IN78" i="33"/>
  <c r="IM78" i="33"/>
  <c r="IL78" i="33"/>
  <c r="IK78" i="33"/>
  <c r="IJ78" i="33"/>
  <c r="II78" i="33"/>
  <c r="IH78" i="33"/>
  <c r="IG78" i="33"/>
  <c r="IF78" i="33"/>
  <c r="IE78" i="33"/>
  <c r="ID78" i="33"/>
  <c r="IC78" i="33"/>
  <c r="IB78" i="33"/>
  <c r="IA78" i="33"/>
  <c r="HZ78" i="33"/>
  <c r="HY78" i="33"/>
  <c r="HX78" i="33"/>
  <c r="HW78" i="33"/>
  <c r="HV78" i="33"/>
  <c r="HU78" i="33"/>
  <c r="HT78" i="33"/>
  <c r="HS78" i="33"/>
  <c r="HR78" i="33"/>
  <c r="HQ78" i="33"/>
  <c r="HP78" i="33"/>
  <c r="HO78" i="33"/>
  <c r="HN78" i="33"/>
  <c r="HM78" i="33"/>
  <c r="HL78" i="33"/>
  <c r="HK78" i="33"/>
  <c r="HJ78" i="33"/>
  <c r="HI78" i="33"/>
  <c r="HH78" i="33"/>
  <c r="HG78" i="33"/>
  <c r="HF78" i="33"/>
  <c r="HE78" i="33"/>
  <c r="HD78" i="33"/>
  <c r="HC78" i="33"/>
  <c r="HB78" i="33"/>
  <c r="HA78" i="33"/>
  <c r="GZ78" i="33"/>
  <c r="GY78" i="33"/>
  <c r="GX78" i="33"/>
  <c r="GW78" i="33"/>
  <c r="GV78" i="33"/>
  <c r="GU78" i="33"/>
  <c r="GT78" i="33"/>
  <c r="GS78" i="33"/>
  <c r="GR78" i="33"/>
  <c r="GQ78" i="33"/>
  <c r="GP78" i="33"/>
  <c r="GO78" i="33"/>
  <c r="GN78" i="33"/>
  <c r="GM78" i="33"/>
  <c r="GL78" i="33"/>
  <c r="GK78" i="33"/>
  <c r="GJ78" i="33"/>
  <c r="GI78" i="33"/>
  <c r="GH78" i="33"/>
  <c r="GG78" i="33"/>
  <c r="GF78" i="33"/>
  <c r="GE78" i="33"/>
  <c r="GD78" i="33"/>
  <c r="GC78" i="33"/>
  <c r="GB78" i="33"/>
  <c r="GA78" i="33"/>
  <c r="FZ78" i="33"/>
  <c r="FY78" i="33"/>
  <c r="FX78" i="33"/>
  <c r="FW78" i="33"/>
  <c r="FV78" i="33"/>
  <c r="FU78" i="33"/>
  <c r="FT78" i="33"/>
  <c r="FS78" i="33"/>
  <c r="FR78" i="33"/>
  <c r="FQ78" i="33"/>
  <c r="FP78" i="33"/>
  <c r="FO78" i="33"/>
  <c r="FN78" i="33"/>
  <c r="FM78" i="33"/>
  <c r="FL78" i="33"/>
  <c r="FK78" i="33"/>
  <c r="FJ78" i="33"/>
  <c r="FI78" i="33"/>
  <c r="FH78" i="33"/>
  <c r="FG78" i="33"/>
  <c r="FF78" i="33"/>
  <c r="FE78" i="33"/>
  <c r="FD78" i="33"/>
  <c r="FC78" i="33"/>
  <c r="FB78" i="33"/>
  <c r="FA78" i="33"/>
  <c r="EZ78" i="33"/>
  <c r="EY78" i="33"/>
  <c r="EX78" i="33"/>
  <c r="EW78" i="33"/>
  <c r="EV78" i="33"/>
  <c r="EU78" i="33"/>
  <c r="ET78" i="33"/>
  <c r="ES78" i="33"/>
  <c r="ER78" i="33"/>
  <c r="EQ78" i="33"/>
  <c r="EP78" i="33"/>
  <c r="EO78" i="33"/>
  <c r="EN78" i="33"/>
  <c r="EM78" i="33"/>
  <c r="EL78" i="33"/>
  <c r="EK78" i="33"/>
  <c r="EJ78" i="33"/>
  <c r="EI78" i="33"/>
  <c r="EH78" i="33"/>
  <c r="EG78" i="33"/>
  <c r="EF78" i="33"/>
  <c r="EE78" i="33"/>
  <c r="ED78" i="33"/>
  <c r="EC78" i="33"/>
  <c r="EB78" i="33"/>
  <c r="EA78" i="33"/>
  <c r="DZ78" i="33"/>
  <c r="DY78" i="33"/>
  <c r="DX78" i="33"/>
  <c r="DW78" i="33"/>
  <c r="DV78" i="33"/>
  <c r="DU78" i="33"/>
  <c r="DT78" i="33"/>
  <c r="DS78" i="33"/>
  <c r="DR78" i="33"/>
  <c r="DQ78" i="33"/>
  <c r="DP78" i="33"/>
  <c r="DO78" i="33"/>
  <c r="DN78" i="33"/>
  <c r="DM78" i="33"/>
  <c r="DL78" i="33"/>
  <c r="DK78" i="33"/>
  <c r="DJ78" i="33"/>
  <c r="DI78" i="33"/>
  <c r="DH78" i="33"/>
  <c r="DG78" i="33"/>
  <c r="DF78" i="33"/>
  <c r="DE78" i="33"/>
  <c r="DD78" i="33"/>
  <c r="DC78" i="33"/>
  <c r="DB78" i="33"/>
  <c r="DA78" i="33"/>
  <c r="CZ78" i="33"/>
  <c r="CY78" i="33"/>
  <c r="CX78" i="33"/>
  <c r="CW78" i="33"/>
  <c r="CV78" i="33"/>
  <c r="CU78" i="33"/>
  <c r="CT78" i="33"/>
  <c r="CS78" i="33"/>
  <c r="CR78" i="33"/>
  <c r="CQ78" i="33"/>
  <c r="CP78" i="33"/>
  <c r="CO78" i="33"/>
  <c r="CN78" i="33"/>
  <c r="CM78" i="33"/>
  <c r="CL78" i="33"/>
  <c r="CK78" i="33"/>
  <c r="CJ78" i="33"/>
  <c r="CI78" i="33"/>
  <c r="CH78" i="33"/>
  <c r="CG78" i="33"/>
  <c r="CF78" i="33"/>
  <c r="CE78" i="33"/>
  <c r="CD78" i="33"/>
  <c r="CC78" i="33"/>
  <c r="CB78" i="33"/>
  <c r="CA78" i="33"/>
  <c r="BZ78" i="33"/>
  <c r="BY78" i="33"/>
  <c r="BX78" i="33"/>
  <c r="BW78" i="33"/>
  <c r="BV78" i="33"/>
  <c r="BU78" i="33"/>
  <c r="BT78" i="33"/>
  <c r="BS78" i="33"/>
  <c r="BR78" i="33"/>
  <c r="BQ78" i="33"/>
  <c r="BP78" i="33"/>
  <c r="BO78" i="33"/>
  <c r="BN78" i="33"/>
  <c r="BM78" i="33"/>
  <c r="BL78" i="33"/>
  <c r="BK78" i="33"/>
  <c r="BJ78" i="33"/>
  <c r="BI78" i="33"/>
  <c r="BH78" i="33"/>
  <c r="BG78" i="33"/>
  <c r="BF78" i="33"/>
  <c r="BE78" i="33"/>
  <c r="BD78" i="33"/>
  <c r="BC78" i="33"/>
  <c r="BB78" i="33"/>
  <c r="BA78" i="33"/>
  <c r="AZ78" i="33"/>
  <c r="AY78" i="33"/>
  <c r="AX78" i="33"/>
  <c r="AW78" i="33"/>
  <c r="AV78" i="33"/>
  <c r="AU78" i="33"/>
  <c r="AT78" i="33"/>
  <c r="AS78" i="33"/>
  <c r="AR78" i="33"/>
  <c r="AQ78" i="33"/>
  <c r="AP78" i="33"/>
  <c r="AO78" i="33"/>
  <c r="AN78" i="33"/>
  <c r="AM78" i="33"/>
  <c r="AL78" i="33"/>
  <c r="AK78" i="33"/>
  <c r="AJ78" i="33"/>
  <c r="AI78" i="33"/>
  <c r="AH78" i="33"/>
  <c r="AG78" i="33"/>
  <c r="AF78" i="33"/>
  <c r="AE78" i="33"/>
  <c r="AD78" i="33"/>
  <c r="AC78" i="33"/>
  <c r="AB78" i="33"/>
  <c r="AA78" i="33"/>
  <c r="Z78" i="33"/>
  <c r="Y78" i="33"/>
  <c r="X78" i="33"/>
  <c r="W78" i="33"/>
  <c r="V78" i="33"/>
  <c r="U78" i="33"/>
  <c r="T78" i="33"/>
  <c r="S78" i="33"/>
  <c r="R78" i="33"/>
  <c r="Q78" i="33"/>
  <c r="P78" i="33"/>
  <c r="O78" i="33"/>
  <c r="N78" i="33"/>
  <c r="M78" i="33"/>
  <c r="L78" i="33"/>
  <c r="K78" i="33"/>
  <c r="J78" i="33"/>
  <c r="I78" i="33"/>
  <c r="H78" i="33"/>
  <c r="G78" i="33"/>
  <c r="F78" i="33"/>
  <c r="E78" i="33"/>
  <c r="D78" i="33"/>
  <c r="C78" i="33"/>
  <c r="B78" i="33"/>
  <c r="A78" i="33"/>
  <c r="IV77" i="33"/>
  <c r="IU77" i="33"/>
  <c r="IT77" i="33"/>
  <c r="IS77" i="33"/>
  <c r="IR77" i="33"/>
  <c r="IQ77" i="33"/>
  <c r="IP77" i="33"/>
  <c r="IO77" i="33"/>
  <c r="IN77" i="33"/>
  <c r="IM77" i="33"/>
  <c r="IL77" i="33"/>
  <c r="IK77" i="33"/>
  <c r="IJ77" i="33"/>
  <c r="II77" i="33"/>
  <c r="IH77" i="33"/>
  <c r="IG77" i="33"/>
  <c r="IF77" i="33"/>
  <c r="IE77" i="33"/>
  <c r="ID77" i="33"/>
  <c r="IC77" i="33"/>
  <c r="IB77" i="33"/>
  <c r="IA77" i="33"/>
  <c r="HZ77" i="33"/>
  <c r="HY77" i="33"/>
  <c r="HX77" i="33"/>
  <c r="HW77" i="33"/>
  <c r="HV77" i="33"/>
  <c r="HU77" i="33"/>
  <c r="HT77" i="33"/>
  <c r="HS77" i="33"/>
  <c r="HR77" i="33"/>
  <c r="HQ77" i="33"/>
  <c r="HP77" i="33"/>
  <c r="HO77" i="33"/>
  <c r="HN77" i="33"/>
  <c r="HM77" i="33"/>
  <c r="HL77" i="33"/>
  <c r="HK77" i="33"/>
  <c r="HJ77" i="33"/>
  <c r="HI77" i="33"/>
  <c r="HH77" i="33"/>
  <c r="HG77" i="33"/>
  <c r="HF77" i="33"/>
  <c r="HE77" i="33"/>
  <c r="HD77" i="33"/>
  <c r="HC77" i="33"/>
  <c r="HB77" i="33"/>
  <c r="HA77" i="33"/>
  <c r="GZ77" i="33"/>
  <c r="GY77" i="33"/>
  <c r="GX77" i="33"/>
  <c r="GW77" i="33"/>
  <c r="GV77" i="33"/>
  <c r="GU77" i="33"/>
  <c r="GT77" i="33"/>
  <c r="GS77" i="33"/>
  <c r="GR77" i="33"/>
  <c r="GQ77" i="33"/>
  <c r="GP77" i="33"/>
  <c r="GO77" i="33"/>
  <c r="GN77" i="33"/>
  <c r="GM77" i="33"/>
  <c r="GL77" i="33"/>
  <c r="GK77" i="33"/>
  <c r="GJ77" i="33"/>
  <c r="GI77" i="33"/>
  <c r="GH77" i="33"/>
  <c r="GG77" i="33"/>
  <c r="GF77" i="33"/>
  <c r="GE77" i="33"/>
  <c r="GD77" i="33"/>
  <c r="GC77" i="33"/>
  <c r="GB77" i="33"/>
  <c r="GA77" i="33"/>
  <c r="FZ77" i="33"/>
  <c r="FY77" i="33"/>
  <c r="FX77" i="33"/>
  <c r="FW77" i="33"/>
  <c r="FV77" i="33"/>
  <c r="FU77" i="33"/>
  <c r="FT77" i="33"/>
  <c r="FS77" i="33"/>
  <c r="FR77" i="33"/>
  <c r="FQ77" i="33"/>
  <c r="FP77" i="33"/>
  <c r="FO77" i="33"/>
  <c r="FN77" i="33"/>
  <c r="FM77" i="33"/>
  <c r="FL77" i="33"/>
  <c r="FK77" i="33"/>
  <c r="FJ77" i="33"/>
  <c r="FI77" i="33"/>
  <c r="FH77" i="33"/>
  <c r="FG77" i="33"/>
  <c r="FF77" i="33"/>
  <c r="FE77" i="33"/>
  <c r="FD77" i="33"/>
  <c r="FC77" i="33"/>
  <c r="FB77" i="33"/>
  <c r="FA77" i="33"/>
  <c r="EZ77" i="33"/>
  <c r="EY77" i="33"/>
  <c r="EX77" i="33"/>
  <c r="EW77" i="33"/>
  <c r="EV77" i="33"/>
  <c r="EU77" i="33"/>
  <c r="ET77" i="33"/>
  <c r="ES77" i="33"/>
  <c r="ER77" i="33"/>
  <c r="EQ77" i="33"/>
  <c r="EP77" i="33"/>
  <c r="EO77" i="33"/>
  <c r="EN77" i="33"/>
  <c r="EM77" i="33"/>
  <c r="EL77" i="33"/>
  <c r="EK77" i="33"/>
  <c r="EJ77" i="33"/>
  <c r="EI77" i="33"/>
  <c r="EH77" i="33"/>
  <c r="EG77" i="33"/>
  <c r="EF77" i="33"/>
  <c r="EE77" i="33"/>
  <c r="ED77" i="33"/>
  <c r="EC77" i="33"/>
  <c r="EB77" i="33"/>
  <c r="EA77" i="33"/>
  <c r="DZ77" i="33"/>
  <c r="DY77" i="33"/>
  <c r="DX77" i="33"/>
  <c r="DW77" i="33"/>
  <c r="DV77" i="33"/>
  <c r="DU77" i="33"/>
  <c r="DT77" i="33"/>
  <c r="DS77" i="33"/>
  <c r="DR77" i="33"/>
  <c r="DQ77" i="33"/>
  <c r="DP77" i="33"/>
  <c r="DO77" i="33"/>
  <c r="DN77" i="33"/>
  <c r="DM77" i="33"/>
  <c r="DL77" i="33"/>
  <c r="DK77" i="33"/>
  <c r="DJ77" i="33"/>
  <c r="DI77" i="33"/>
  <c r="DH77" i="33"/>
  <c r="DG77" i="33"/>
  <c r="DF77" i="33"/>
  <c r="DE77" i="33"/>
  <c r="DD77" i="33"/>
  <c r="DC77" i="33"/>
  <c r="DB77" i="33"/>
  <c r="DA77" i="33"/>
  <c r="CZ77" i="33"/>
  <c r="CY77" i="33"/>
  <c r="CX77" i="33"/>
  <c r="CW77" i="33"/>
  <c r="CV77" i="33"/>
  <c r="CU77" i="33"/>
  <c r="CT77" i="33"/>
  <c r="CS77" i="33"/>
  <c r="CR77" i="33"/>
  <c r="CQ77" i="33"/>
  <c r="CP77" i="33"/>
  <c r="CO77" i="33"/>
  <c r="CN77" i="33"/>
  <c r="CM77" i="33"/>
  <c r="CL77" i="33"/>
  <c r="CK77" i="33"/>
  <c r="CJ77" i="33"/>
  <c r="CI77" i="33"/>
  <c r="CH77" i="33"/>
  <c r="CG77" i="33"/>
  <c r="CF77" i="33"/>
  <c r="CE77" i="33"/>
  <c r="CD77" i="33"/>
  <c r="CC77" i="33"/>
  <c r="CB77" i="33"/>
  <c r="CA77" i="33"/>
  <c r="BZ77" i="33"/>
  <c r="BY77" i="33"/>
  <c r="BX77" i="33"/>
  <c r="BW77" i="33"/>
  <c r="BV77" i="33"/>
  <c r="BU77" i="33"/>
  <c r="BT77" i="33"/>
  <c r="BS77" i="33"/>
  <c r="BR77" i="33"/>
  <c r="BQ77" i="33"/>
  <c r="BP77" i="33"/>
  <c r="BO77" i="33"/>
  <c r="BN77" i="33"/>
  <c r="BM77" i="33"/>
  <c r="BL77" i="33"/>
  <c r="BK77" i="33"/>
  <c r="BJ77" i="33"/>
  <c r="BI77" i="33"/>
  <c r="BH77" i="33"/>
  <c r="BG77" i="33"/>
  <c r="BF77" i="33"/>
  <c r="BE77" i="33"/>
  <c r="BD77" i="33"/>
  <c r="BC77" i="33"/>
  <c r="BB77" i="33"/>
  <c r="BA77" i="33"/>
  <c r="AZ77" i="33"/>
  <c r="AY77" i="33"/>
  <c r="AX77" i="33"/>
  <c r="AW77" i="33"/>
  <c r="AV77" i="33"/>
  <c r="AU77" i="33"/>
  <c r="AT77" i="33"/>
  <c r="AS77" i="33"/>
  <c r="AR77" i="33"/>
  <c r="AQ77" i="33"/>
  <c r="AP77" i="33"/>
  <c r="AO77" i="33"/>
  <c r="AN77" i="33"/>
  <c r="AM77" i="33"/>
  <c r="AL77" i="33"/>
  <c r="AK77" i="33"/>
  <c r="AJ77" i="33"/>
  <c r="AI77" i="33"/>
  <c r="AH77" i="33"/>
  <c r="AG77" i="33"/>
  <c r="AF77" i="33"/>
  <c r="AE77" i="33"/>
  <c r="AD77" i="33"/>
  <c r="AC77" i="33"/>
  <c r="AB77" i="33"/>
  <c r="AA77" i="33"/>
  <c r="Z77" i="33"/>
  <c r="Y77" i="33"/>
  <c r="X77" i="33"/>
  <c r="W77" i="33"/>
  <c r="V77" i="33"/>
  <c r="U77" i="33"/>
  <c r="T77" i="33"/>
  <c r="S77" i="33"/>
  <c r="R77" i="33"/>
  <c r="Q77" i="33"/>
  <c r="P77" i="33"/>
  <c r="O77" i="33"/>
  <c r="N77" i="33"/>
  <c r="M77" i="33"/>
  <c r="L77" i="33"/>
  <c r="K77" i="33"/>
  <c r="J77" i="33"/>
  <c r="I77" i="33"/>
  <c r="H77" i="33"/>
  <c r="G77" i="33"/>
  <c r="F77" i="33"/>
  <c r="E77" i="33"/>
  <c r="D77" i="33"/>
  <c r="C77" i="33"/>
  <c r="B77" i="33"/>
  <c r="A77" i="33"/>
  <c r="IV76" i="33"/>
  <c r="IU76" i="33"/>
  <c r="IT76" i="33"/>
  <c r="IS76" i="33"/>
  <c r="IR76" i="33"/>
  <c r="IQ76" i="33"/>
  <c r="IP76" i="33"/>
  <c r="IO76" i="33"/>
  <c r="IN76" i="33"/>
  <c r="IM76" i="33"/>
  <c r="IL76" i="33"/>
  <c r="IK76" i="33"/>
  <c r="IJ76" i="33"/>
  <c r="II76" i="33"/>
  <c r="IH76" i="33"/>
  <c r="IG76" i="33"/>
  <c r="IF76" i="33"/>
  <c r="IE76" i="33"/>
  <c r="ID76" i="33"/>
  <c r="IC76" i="33"/>
  <c r="IB76" i="33"/>
  <c r="IA76" i="33"/>
  <c r="HZ76" i="33"/>
  <c r="HY76" i="33"/>
  <c r="HX76" i="33"/>
  <c r="HW76" i="33"/>
  <c r="HV76" i="33"/>
  <c r="HU76" i="33"/>
  <c r="HT76" i="33"/>
  <c r="HS76" i="33"/>
  <c r="HR76" i="33"/>
  <c r="HQ76" i="33"/>
  <c r="HP76" i="33"/>
  <c r="HO76" i="33"/>
  <c r="HN76" i="33"/>
  <c r="HM76" i="33"/>
  <c r="HL76" i="33"/>
  <c r="HK76" i="33"/>
  <c r="HJ76" i="33"/>
  <c r="HI76" i="33"/>
  <c r="HH76" i="33"/>
  <c r="HG76" i="33"/>
  <c r="HF76" i="33"/>
  <c r="HE76" i="33"/>
  <c r="HD76" i="33"/>
  <c r="HC76" i="33"/>
  <c r="HB76" i="33"/>
  <c r="HA76" i="33"/>
  <c r="GZ76" i="33"/>
  <c r="GY76" i="33"/>
  <c r="GX76" i="33"/>
  <c r="GW76" i="33"/>
  <c r="GV76" i="33"/>
  <c r="GU76" i="33"/>
  <c r="GT76" i="33"/>
  <c r="GS76" i="33"/>
  <c r="GR76" i="33"/>
  <c r="GQ76" i="33"/>
  <c r="GP76" i="33"/>
  <c r="GO76" i="33"/>
  <c r="GN76" i="33"/>
  <c r="GM76" i="33"/>
  <c r="GL76" i="33"/>
  <c r="GK76" i="33"/>
  <c r="GJ76" i="33"/>
  <c r="GI76" i="33"/>
  <c r="GH76" i="33"/>
  <c r="GG76" i="33"/>
  <c r="GF76" i="33"/>
  <c r="GE76" i="33"/>
  <c r="GD76" i="33"/>
  <c r="GC76" i="33"/>
  <c r="GB76" i="33"/>
  <c r="GA76" i="33"/>
  <c r="FZ76" i="33"/>
  <c r="FY76" i="33"/>
  <c r="FX76" i="33"/>
  <c r="FW76" i="33"/>
  <c r="FV76" i="33"/>
  <c r="FU76" i="33"/>
  <c r="FT76" i="33"/>
  <c r="FS76" i="33"/>
  <c r="FR76" i="33"/>
  <c r="FQ76" i="33"/>
  <c r="FP76" i="33"/>
  <c r="FO76" i="33"/>
  <c r="FN76" i="33"/>
  <c r="FM76" i="33"/>
  <c r="FL76" i="33"/>
  <c r="FK76" i="33"/>
  <c r="FJ76" i="33"/>
  <c r="FI76" i="33"/>
  <c r="FH76" i="33"/>
  <c r="FG76" i="33"/>
  <c r="FF76" i="33"/>
  <c r="FE76" i="33"/>
  <c r="FD76" i="33"/>
  <c r="FC76" i="33"/>
  <c r="FB76" i="33"/>
  <c r="FA76" i="33"/>
  <c r="EZ76" i="33"/>
  <c r="EY76" i="33"/>
  <c r="EX76" i="33"/>
  <c r="EW76" i="33"/>
  <c r="EV76" i="33"/>
  <c r="EU76" i="33"/>
  <c r="ET76" i="33"/>
  <c r="ES76" i="33"/>
  <c r="ER76" i="33"/>
  <c r="EQ76" i="33"/>
  <c r="EP76" i="33"/>
  <c r="EO76" i="33"/>
  <c r="EN76" i="33"/>
  <c r="EM76" i="33"/>
  <c r="EL76" i="33"/>
  <c r="EK76" i="33"/>
  <c r="EJ76" i="33"/>
  <c r="EI76" i="33"/>
  <c r="EH76" i="33"/>
  <c r="EG76" i="33"/>
  <c r="EF76" i="33"/>
  <c r="EE76" i="33"/>
  <c r="ED76" i="33"/>
  <c r="EC76" i="33"/>
  <c r="EB76" i="33"/>
  <c r="EA76" i="33"/>
  <c r="DZ76" i="33"/>
  <c r="DY76" i="33"/>
  <c r="DX76" i="33"/>
  <c r="DW76" i="33"/>
  <c r="DV76" i="33"/>
  <c r="DU76" i="33"/>
  <c r="DT76" i="33"/>
  <c r="DS76" i="33"/>
  <c r="DR76" i="33"/>
  <c r="DQ76" i="33"/>
  <c r="DP76" i="33"/>
  <c r="DO76" i="33"/>
  <c r="DN76" i="33"/>
  <c r="DM76" i="33"/>
  <c r="DL76" i="33"/>
  <c r="DK76" i="33"/>
  <c r="DJ76" i="33"/>
  <c r="DI76" i="33"/>
  <c r="DH76" i="33"/>
  <c r="DG76" i="33"/>
  <c r="DF76" i="33"/>
  <c r="DE76" i="33"/>
  <c r="DD76" i="33"/>
  <c r="DC76" i="33"/>
  <c r="DB76" i="33"/>
  <c r="DA76" i="33"/>
  <c r="CZ76" i="33"/>
  <c r="CY76" i="33"/>
  <c r="CX76" i="33"/>
  <c r="CW76" i="33"/>
  <c r="CV76" i="33"/>
  <c r="CU76" i="33"/>
  <c r="CT76" i="33"/>
  <c r="CS76" i="33"/>
  <c r="CR76" i="33"/>
  <c r="CQ76" i="33"/>
  <c r="CP76" i="33"/>
  <c r="CO76" i="33"/>
  <c r="CN76" i="33"/>
  <c r="CM76" i="33"/>
  <c r="CL76" i="33"/>
  <c r="CK76" i="33"/>
  <c r="CJ76" i="33"/>
  <c r="CI76" i="33"/>
  <c r="CH76" i="33"/>
  <c r="CG76" i="33"/>
  <c r="CF76" i="33"/>
  <c r="CE76" i="33"/>
  <c r="CD76" i="33"/>
  <c r="CC76" i="33"/>
  <c r="CB76" i="33"/>
  <c r="CA76" i="33"/>
  <c r="BZ76" i="33"/>
  <c r="BY76" i="33"/>
  <c r="BX76" i="33"/>
  <c r="BW76" i="33"/>
  <c r="BV76" i="33"/>
  <c r="BU76" i="33"/>
  <c r="BT76" i="33"/>
  <c r="BS76" i="33"/>
  <c r="BR76" i="33"/>
  <c r="BQ76" i="33"/>
  <c r="BP76" i="33"/>
  <c r="BO76" i="33"/>
  <c r="BN76" i="33"/>
  <c r="BM76" i="33"/>
  <c r="BL76" i="33"/>
  <c r="BK76" i="33"/>
  <c r="BJ76" i="33"/>
  <c r="BI76" i="33"/>
  <c r="BH76" i="33"/>
  <c r="BG76" i="33"/>
  <c r="BF76" i="33"/>
  <c r="BE76" i="33"/>
  <c r="BD76" i="33"/>
  <c r="BC76" i="33"/>
  <c r="BB76" i="33"/>
  <c r="BA76" i="33"/>
  <c r="AZ76" i="33"/>
  <c r="AY76" i="33"/>
  <c r="AX76" i="33"/>
  <c r="AW76" i="33"/>
  <c r="AV76" i="33"/>
  <c r="AU76" i="33"/>
  <c r="AT76" i="33"/>
  <c r="AS76" i="33"/>
  <c r="AR76" i="33"/>
  <c r="AQ76" i="33"/>
  <c r="AP76" i="33"/>
  <c r="AO76" i="33"/>
  <c r="AN76" i="33"/>
  <c r="AM76" i="33"/>
  <c r="AL76" i="33"/>
  <c r="AK76" i="33"/>
  <c r="AJ76" i="33"/>
  <c r="AI76" i="33"/>
  <c r="AH76" i="33"/>
  <c r="AG76" i="33"/>
  <c r="AF76" i="33"/>
  <c r="AE76" i="33"/>
  <c r="AD76" i="33"/>
  <c r="AC76" i="33"/>
  <c r="AB76" i="33"/>
  <c r="AA76" i="33"/>
  <c r="Z76" i="33"/>
  <c r="Y76" i="33"/>
  <c r="X76" i="33"/>
  <c r="W76" i="33"/>
  <c r="V76" i="33"/>
  <c r="U76" i="33"/>
  <c r="T76" i="33"/>
  <c r="S76" i="33"/>
  <c r="R76" i="33"/>
  <c r="Q76" i="33"/>
  <c r="P76" i="33"/>
  <c r="O76" i="33"/>
  <c r="N76" i="33"/>
  <c r="M76" i="33"/>
  <c r="L76" i="33"/>
  <c r="K76" i="33"/>
  <c r="J76" i="33"/>
  <c r="I76" i="33"/>
  <c r="H76" i="33"/>
  <c r="G76" i="33"/>
  <c r="F76" i="33"/>
  <c r="E76" i="33"/>
  <c r="D76" i="33"/>
  <c r="C76" i="33"/>
  <c r="B76" i="33"/>
  <c r="A76" i="33"/>
  <c r="IV75" i="33"/>
  <c r="IU75" i="33"/>
  <c r="IT75" i="33"/>
  <c r="IS75" i="33"/>
  <c r="IR75" i="33"/>
  <c r="IQ75" i="33"/>
  <c r="IP75" i="33"/>
  <c r="IO75" i="33"/>
  <c r="IN75" i="33"/>
  <c r="IM75" i="33"/>
  <c r="IL75" i="33"/>
  <c r="IK75" i="33"/>
  <c r="IJ75" i="33"/>
  <c r="II75" i="33"/>
  <c r="IH75" i="33"/>
  <c r="IG75" i="33"/>
  <c r="IF75" i="33"/>
  <c r="IE75" i="33"/>
  <c r="ID75" i="33"/>
  <c r="IC75" i="33"/>
  <c r="IB75" i="33"/>
  <c r="IA75" i="33"/>
  <c r="HZ75" i="33"/>
  <c r="HY75" i="33"/>
  <c r="HX75" i="33"/>
  <c r="HW75" i="33"/>
  <c r="HV75" i="33"/>
  <c r="HU75" i="33"/>
  <c r="HT75" i="33"/>
  <c r="HS75" i="33"/>
  <c r="HR75" i="33"/>
  <c r="HQ75" i="33"/>
  <c r="HP75" i="33"/>
  <c r="HO75" i="33"/>
  <c r="HN75" i="33"/>
  <c r="HM75" i="33"/>
  <c r="HL75" i="33"/>
  <c r="HK75" i="33"/>
  <c r="HJ75" i="33"/>
  <c r="HI75" i="33"/>
  <c r="HH75" i="33"/>
  <c r="HG75" i="33"/>
  <c r="HF75" i="33"/>
  <c r="HE75" i="33"/>
  <c r="HD75" i="33"/>
  <c r="HC75" i="33"/>
  <c r="HB75" i="33"/>
  <c r="HA75" i="33"/>
  <c r="GZ75" i="33"/>
  <c r="GY75" i="33"/>
  <c r="GX75" i="33"/>
  <c r="GW75" i="33"/>
  <c r="GV75" i="33"/>
  <c r="GU75" i="33"/>
  <c r="GT75" i="33"/>
  <c r="GS75" i="33"/>
  <c r="GR75" i="33"/>
  <c r="GQ75" i="33"/>
  <c r="GP75" i="33"/>
  <c r="GO75" i="33"/>
  <c r="GN75" i="33"/>
  <c r="GM75" i="33"/>
  <c r="GL75" i="33"/>
  <c r="GK75" i="33"/>
  <c r="GJ75" i="33"/>
  <c r="GI75" i="33"/>
  <c r="GH75" i="33"/>
  <c r="GG75" i="33"/>
  <c r="GF75" i="33"/>
  <c r="GE75" i="33"/>
  <c r="GD75" i="33"/>
  <c r="GC75" i="33"/>
  <c r="GB75" i="33"/>
  <c r="GA75" i="33"/>
  <c r="FZ75" i="33"/>
  <c r="FY75" i="33"/>
  <c r="FX75" i="33"/>
  <c r="FW75" i="33"/>
  <c r="FV75" i="33"/>
  <c r="FU75" i="33"/>
  <c r="FT75" i="33"/>
  <c r="FS75" i="33"/>
  <c r="FR75" i="33"/>
  <c r="FQ75" i="33"/>
  <c r="FP75" i="33"/>
  <c r="FO75" i="33"/>
  <c r="FN75" i="33"/>
  <c r="FM75" i="33"/>
  <c r="FL75" i="33"/>
  <c r="FK75" i="33"/>
  <c r="FJ75" i="33"/>
  <c r="FI75" i="33"/>
  <c r="FH75" i="33"/>
  <c r="FG75" i="33"/>
  <c r="FF75" i="33"/>
  <c r="FE75" i="33"/>
  <c r="FD75" i="33"/>
  <c r="FC75" i="33"/>
  <c r="FB75" i="33"/>
  <c r="FA75" i="33"/>
  <c r="EZ75" i="33"/>
  <c r="EY75" i="33"/>
  <c r="EX75" i="33"/>
  <c r="EW75" i="33"/>
  <c r="EV75" i="33"/>
  <c r="EU75" i="33"/>
  <c r="ET75" i="33"/>
  <c r="ES75" i="33"/>
  <c r="ER75" i="33"/>
  <c r="EQ75" i="33"/>
  <c r="EP75" i="33"/>
  <c r="EO75" i="33"/>
  <c r="EN75" i="33"/>
  <c r="EM75" i="33"/>
  <c r="EL75" i="33"/>
  <c r="EK75" i="33"/>
  <c r="EJ75" i="33"/>
  <c r="EI75" i="33"/>
  <c r="EH75" i="33"/>
  <c r="EG75" i="33"/>
  <c r="EF75" i="33"/>
  <c r="EE75" i="33"/>
  <c r="ED75" i="33"/>
  <c r="EC75" i="33"/>
  <c r="EB75" i="33"/>
  <c r="EA75" i="33"/>
  <c r="DZ75" i="33"/>
  <c r="DY75" i="33"/>
  <c r="DX75" i="33"/>
  <c r="DW75" i="33"/>
  <c r="DV75" i="33"/>
  <c r="DU75" i="33"/>
  <c r="DT75" i="33"/>
  <c r="DS75" i="33"/>
  <c r="DR75" i="33"/>
  <c r="DQ75" i="33"/>
  <c r="DP75" i="33"/>
  <c r="DO75" i="33"/>
  <c r="DN75" i="33"/>
  <c r="DM75" i="33"/>
  <c r="DL75" i="33"/>
  <c r="DK75" i="33"/>
  <c r="DJ75" i="33"/>
  <c r="DI75" i="33"/>
  <c r="DH75" i="33"/>
  <c r="DG75" i="33"/>
  <c r="DF75" i="33"/>
  <c r="DE75" i="33"/>
  <c r="DD75" i="33"/>
  <c r="DC75" i="33"/>
  <c r="DB75" i="33"/>
  <c r="DA75" i="33"/>
  <c r="CZ75" i="33"/>
  <c r="CY75" i="33"/>
  <c r="CX75" i="33"/>
  <c r="CW75" i="33"/>
  <c r="CV75" i="33"/>
  <c r="CU75" i="33"/>
  <c r="CT75" i="33"/>
  <c r="CS75" i="33"/>
  <c r="CR75" i="33"/>
  <c r="CQ75" i="33"/>
  <c r="CP75" i="33"/>
  <c r="CO75" i="33"/>
  <c r="CN75" i="33"/>
  <c r="CM75" i="33"/>
  <c r="CL75" i="33"/>
  <c r="CK75" i="33"/>
  <c r="CJ75" i="33"/>
  <c r="CI75" i="33"/>
  <c r="CH75" i="33"/>
  <c r="CG75" i="33"/>
  <c r="CF75" i="33"/>
  <c r="CE75" i="33"/>
  <c r="CD75" i="33"/>
  <c r="CC75" i="33"/>
  <c r="CB75" i="33"/>
  <c r="CA75" i="33"/>
  <c r="BZ75" i="33"/>
  <c r="BY75" i="33"/>
  <c r="BX75" i="33"/>
  <c r="BW75" i="33"/>
  <c r="BV75" i="33"/>
  <c r="BU75" i="33"/>
  <c r="BT75" i="33"/>
  <c r="BS75" i="33"/>
  <c r="BR75" i="33"/>
  <c r="BQ75" i="33"/>
  <c r="BP75" i="33"/>
  <c r="BO75" i="33"/>
  <c r="BN75" i="33"/>
  <c r="BM75" i="33"/>
  <c r="BL75" i="33"/>
  <c r="BK75" i="33"/>
  <c r="BJ75" i="33"/>
  <c r="BI75" i="33"/>
  <c r="BH75" i="33"/>
  <c r="BG75" i="33"/>
  <c r="BF75" i="33"/>
  <c r="BE75" i="33"/>
  <c r="BD75" i="33"/>
  <c r="BC75" i="33"/>
  <c r="BB75" i="33"/>
  <c r="BA75" i="33"/>
  <c r="AZ75" i="33"/>
  <c r="AY75" i="33"/>
  <c r="AX75" i="33"/>
  <c r="AW75" i="33"/>
  <c r="AV75" i="33"/>
  <c r="AU75" i="33"/>
  <c r="AT75" i="33"/>
  <c r="AS75" i="33"/>
  <c r="AR75" i="33"/>
  <c r="AQ75" i="33"/>
  <c r="AP75" i="33"/>
  <c r="AO75" i="33"/>
  <c r="AN75" i="33"/>
  <c r="AM75" i="33"/>
  <c r="AL75" i="33"/>
  <c r="AK75" i="33"/>
  <c r="AJ75" i="33"/>
  <c r="AI75" i="33"/>
  <c r="AH75" i="33"/>
  <c r="AG75" i="33"/>
  <c r="AF75" i="33"/>
  <c r="AE75" i="33"/>
  <c r="AD75" i="33"/>
  <c r="AC75" i="33"/>
  <c r="AB75" i="33"/>
  <c r="AA75" i="33"/>
  <c r="Z75" i="33"/>
  <c r="Y75" i="33"/>
  <c r="X75" i="33"/>
  <c r="W75" i="33"/>
  <c r="V75" i="33"/>
  <c r="U75" i="33"/>
  <c r="T75" i="33"/>
  <c r="S75" i="33"/>
  <c r="R75" i="33"/>
  <c r="Q75" i="33"/>
  <c r="P75" i="33"/>
  <c r="O75" i="33"/>
  <c r="N75" i="33"/>
  <c r="M75" i="33"/>
  <c r="L75" i="33"/>
  <c r="K75" i="33"/>
  <c r="J75" i="33"/>
  <c r="I75" i="33"/>
  <c r="H75" i="33"/>
  <c r="G75" i="33"/>
  <c r="F75" i="33"/>
  <c r="E75" i="33"/>
  <c r="D75" i="33"/>
  <c r="C75" i="33"/>
  <c r="B75" i="33"/>
  <c r="A75" i="33"/>
  <c r="IV74" i="33"/>
  <c r="IU74" i="33"/>
  <c r="IT74" i="33"/>
  <c r="IS74" i="33"/>
  <c r="IR74" i="33"/>
  <c r="IQ74" i="33"/>
  <c r="IP74" i="33"/>
  <c r="IO74" i="33"/>
  <c r="IN74" i="33"/>
  <c r="IM74" i="33"/>
  <c r="IL74" i="33"/>
  <c r="IK74" i="33"/>
  <c r="IJ74" i="33"/>
  <c r="II74" i="33"/>
  <c r="IH74" i="33"/>
  <c r="IG74" i="33"/>
  <c r="IF74" i="33"/>
  <c r="IE74" i="33"/>
  <c r="ID74" i="33"/>
  <c r="IC74" i="33"/>
  <c r="IB74" i="33"/>
  <c r="IA74" i="33"/>
  <c r="HZ74" i="33"/>
  <c r="HY74" i="33"/>
  <c r="HX74" i="33"/>
  <c r="HW74" i="33"/>
  <c r="HV74" i="33"/>
  <c r="HU74" i="33"/>
  <c r="HT74" i="33"/>
  <c r="HS74" i="33"/>
  <c r="HR74" i="33"/>
  <c r="HQ74" i="33"/>
  <c r="HP74" i="33"/>
  <c r="HO74" i="33"/>
  <c r="HN74" i="33"/>
  <c r="HM74" i="33"/>
  <c r="HL74" i="33"/>
  <c r="HK74" i="33"/>
  <c r="HJ74" i="33"/>
  <c r="HI74" i="33"/>
  <c r="HH74" i="33"/>
  <c r="HG74" i="33"/>
  <c r="HF74" i="33"/>
  <c r="HE74" i="33"/>
  <c r="HD74" i="33"/>
  <c r="HC74" i="33"/>
  <c r="HB74" i="33"/>
  <c r="HA74" i="33"/>
  <c r="GZ74" i="33"/>
  <c r="GY74" i="33"/>
  <c r="GX74" i="33"/>
  <c r="GW74" i="33"/>
  <c r="GV74" i="33"/>
  <c r="GU74" i="33"/>
  <c r="GT74" i="33"/>
  <c r="GS74" i="33"/>
  <c r="GR74" i="33"/>
  <c r="GQ74" i="33"/>
  <c r="GP74" i="33"/>
  <c r="GO74" i="33"/>
  <c r="GN74" i="33"/>
  <c r="GM74" i="33"/>
  <c r="GL74" i="33"/>
  <c r="GK74" i="33"/>
  <c r="GJ74" i="33"/>
  <c r="GI74" i="33"/>
  <c r="GH74" i="33"/>
  <c r="GG74" i="33"/>
  <c r="GF74" i="33"/>
  <c r="GE74" i="33"/>
  <c r="GD74" i="33"/>
  <c r="GC74" i="33"/>
  <c r="GB74" i="33"/>
  <c r="GA74" i="33"/>
  <c r="FZ74" i="33"/>
  <c r="FY74" i="33"/>
  <c r="FX74" i="33"/>
  <c r="FW74" i="33"/>
  <c r="FV74" i="33"/>
  <c r="FU74" i="33"/>
  <c r="FT74" i="33"/>
  <c r="FS74" i="33"/>
  <c r="FR74" i="33"/>
  <c r="FQ74" i="33"/>
  <c r="FP74" i="33"/>
  <c r="FO74" i="33"/>
  <c r="FN74" i="33"/>
  <c r="FM74" i="33"/>
  <c r="FL74" i="33"/>
  <c r="FK74" i="33"/>
  <c r="FJ74" i="33"/>
  <c r="FI74" i="33"/>
  <c r="FH74" i="33"/>
  <c r="FG74" i="33"/>
  <c r="FF74" i="33"/>
  <c r="FE74" i="33"/>
  <c r="FD74" i="33"/>
  <c r="FC74" i="33"/>
  <c r="FB74" i="33"/>
  <c r="FA74" i="33"/>
  <c r="EZ74" i="33"/>
  <c r="EY74" i="33"/>
  <c r="EX74" i="33"/>
  <c r="EW74" i="33"/>
  <c r="EV74" i="33"/>
  <c r="EU74" i="33"/>
  <c r="ET74" i="33"/>
  <c r="ES74" i="33"/>
  <c r="ER74" i="33"/>
  <c r="EQ74" i="33"/>
  <c r="EP74" i="33"/>
  <c r="EO74" i="33"/>
  <c r="EN74" i="33"/>
  <c r="EM74" i="33"/>
  <c r="EL74" i="33"/>
  <c r="EK74" i="33"/>
  <c r="EJ74" i="33"/>
  <c r="EI74" i="33"/>
  <c r="EH74" i="33"/>
  <c r="EG74" i="33"/>
  <c r="EF74" i="33"/>
  <c r="EE74" i="33"/>
  <c r="ED74" i="33"/>
  <c r="EC74" i="33"/>
  <c r="EB74" i="33"/>
  <c r="EA74" i="33"/>
  <c r="DZ74" i="33"/>
  <c r="DY74" i="33"/>
  <c r="DX74" i="33"/>
  <c r="DW74" i="33"/>
  <c r="DV74" i="33"/>
  <c r="DU74" i="33"/>
  <c r="DT74" i="33"/>
  <c r="DS74" i="33"/>
  <c r="DR74" i="33"/>
  <c r="DQ74" i="33"/>
  <c r="DP74" i="33"/>
  <c r="DO74" i="33"/>
  <c r="DN74" i="33"/>
  <c r="DM74" i="33"/>
  <c r="DL74" i="33"/>
  <c r="DK74" i="33"/>
  <c r="DJ74" i="33"/>
  <c r="DI74" i="33"/>
  <c r="DH74" i="33"/>
  <c r="DG74" i="33"/>
  <c r="DF74" i="33"/>
  <c r="DE74" i="33"/>
  <c r="DD74" i="33"/>
  <c r="DC74" i="33"/>
  <c r="DB74" i="33"/>
  <c r="DA74" i="33"/>
  <c r="CZ74" i="33"/>
  <c r="CY74" i="33"/>
  <c r="CX74" i="33"/>
  <c r="CW74" i="33"/>
  <c r="CV74" i="33"/>
  <c r="CU74" i="33"/>
  <c r="CT74" i="33"/>
  <c r="CS74" i="33"/>
  <c r="CR74" i="33"/>
  <c r="CQ74" i="33"/>
  <c r="CP74" i="33"/>
  <c r="CO74" i="33"/>
  <c r="CN74" i="33"/>
  <c r="CM74" i="33"/>
  <c r="CL74" i="33"/>
  <c r="CK74" i="33"/>
  <c r="CJ74" i="33"/>
  <c r="CI74" i="33"/>
  <c r="CH74" i="33"/>
  <c r="CG74" i="33"/>
  <c r="CF74" i="33"/>
  <c r="CE74" i="33"/>
  <c r="CD74" i="33"/>
  <c r="CC74" i="33"/>
  <c r="CB74" i="33"/>
  <c r="CA74" i="33"/>
  <c r="BZ74" i="33"/>
  <c r="BY74" i="33"/>
  <c r="BX74" i="33"/>
  <c r="BW74" i="33"/>
  <c r="BV74" i="33"/>
  <c r="BU74" i="33"/>
  <c r="BT74" i="33"/>
  <c r="BS74" i="33"/>
  <c r="BR74" i="33"/>
  <c r="BQ74" i="33"/>
  <c r="BP74" i="33"/>
  <c r="BO74" i="33"/>
  <c r="BN74" i="33"/>
  <c r="BM74" i="33"/>
  <c r="BL74" i="33"/>
  <c r="BK74" i="33"/>
  <c r="BJ74" i="33"/>
  <c r="BI74" i="33"/>
  <c r="BH74" i="33"/>
  <c r="BG74" i="33"/>
  <c r="BF74" i="33"/>
  <c r="BE74" i="33"/>
  <c r="BD74" i="33"/>
  <c r="BC74" i="33"/>
  <c r="BB74" i="33"/>
  <c r="BA74" i="33"/>
  <c r="AZ74" i="33"/>
  <c r="AY74" i="33"/>
  <c r="AX74" i="33"/>
  <c r="AW74" i="33"/>
  <c r="AV74" i="33"/>
  <c r="AU74" i="33"/>
  <c r="AT74" i="33"/>
  <c r="AS74" i="33"/>
  <c r="AR74" i="33"/>
  <c r="AQ74" i="33"/>
  <c r="AP74" i="33"/>
  <c r="AO74" i="33"/>
  <c r="AN74" i="33"/>
  <c r="AM74" i="33"/>
  <c r="AL74" i="33"/>
  <c r="AK74" i="33"/>
  <c r="AJ74" i="33"/>
  <c r="AI74" i="33"/>
  <c r="AH74" i="33"/>
  <c r="AG74" i="33"/>
  <c r="AF74" i="33"/>
  <c r="AE74" i="33"/>
  <c r="AD74" i="33"/>
  <c r="AC74" i="33"/>
  <c r="AB74" i="33"/>
  <c r="AA74" i="33"/>
  <c r="Z74" i="33"/>
  <c r="Y74" i="33"/>
  <c r="X74" i="33"/>
  <c r="W74" i="33"/>
  <c r="V74" i="33"/>
  <c r="U74" i="33"/>
  <c r="T74" i="33"/>
  <c r="S74" i="33"/>
  <c r="R74" i="33"/>
  <c r="Q74" i="33"/>
  <c r="P74" i="33"/>
  <c r="O74" i="33"/>
  <c r="N74" i="33"/>
  <c r="M74" i="33"/>
  <c r="L74" i="33"/>
  <c r="K74" i="33"/>
  <c r="J74" i="33"/>
  <c r="I74" i="33"/>
  <c r="H74" i="33"/>
  <c r="G74" i="33"/>
  <c r="F74" i="33"/>
  <c r="E74" i="33"/>
  <c r="D74" i="33"/>
  <c r="C74" i="33"/>
  <c r="B74" i="33"/>
  <c r="A74" i="33"/>
  <c r="IV73" i="33"/>
  <c r="IU73" i="33"/>
  <c r="IT73" i="33"/>
  <c r="IS73" i="33"/>
  <c r="IR73" i="33"/>
  <c r="IQ73" i="33"/>
  <c r="IP73" i="33"/>
  <c r="IO73" i="33"/>
  <c r="IN73" i="33"/>
  <c r="IM73" i="33"/>
  <c r="IL73" i="33"/>
  <c r="IK73" i="33"/>
  <c r="IJ73" i="33"/>
  <c r="II73" i="33"/>
  <c r="IH73" i="33"/>
  <c r="IG73" i="33"/>
  <c r="IF73" i="33"/>
  <c r="IE73" i="33"/>
  <c r="ID73" i="33"/>
  <c r="IC73" i="33"/>
  <c r="IB73" i="33"/>
  <c r="IA73" i="33"/>
  <c r="HZ73" i="33"/>
  <c r="HY73" i="33"/>
  <c r="HX73" i="33"/>
  <c r="HW73" i="33"/>
  <c r="HV73" i="33"/>
  <c r="HU73" i="33"/>
  <c r="HT73" i="33"/>
  <c r="HS73" i="33"/>
  <c r="HR73" i="33"/>
  <c r="HQ73" i="33"/>
  <c r="HP73" i="33"/>
  <c r="HO73" i="33"/>
  <c r="HN73" i="33"/>
  <c r="HM73" i="33"/>
  <c r="HL73" i="33"/>
  <c r="HK73" i="33"/>
  <c r="HJ73" i="33"/>
  <c r="HI73" i="33"/>
  <c r="HH73" i="33"/>
  <c r="HG73" i="33"/>
  <c r="HF73" i="33"/>
  <c r="HE73" i="33"/>
  <c r="HD73" i="33"/>
  <c r="HC73" i="33"/>
  <c r="HB73" i="33"/>
  <c r="HA73" i="33"/>
  <c r="GZ73" i="33"/>
  <c r="GY73" i="33"/>
  <c r="GX73" i="33"/>
  <c r="GW73" i="33"/>
  <c r="GV73" i="33"/>
  <c r="GU73" i="33"/>
  <c r="GT73" i="33"/>
  <c r="GS73" i="33"/>
  <c r="GR73" i="33"/>
  <c r="GQ73" i="33"/>
  <c r="GP73" i="33"/>
  <c r="GO73" i="33"/>
  <c r="GN73" i="33"/>
  <c r="GM73" i="33"/>
  <c r="GL73" i="33"/>
  <c r="GK73" i="33"/>
  <c r="GJ73" i="33"/>
  <c r="GI73" i="33"/>
  <c r="GH73" i="33"/>
  <c r="GG73" i="33"/>
  <c r="GF73" i="33"/>
  <c r="GE73" i="33"/>
  <c r="GD73" i="33"/>
  <c r="GC73" i="33"/>
  <c r="GB73" i="33"/>
  <c r="GA73" i="33"/>
  <c r="FZ73" i="33"/>
  <c r="FY73" i="33"/>
  <c r="FX73" i="33"/>
  <c r="FW73" i="33"/>
  <c r="FV73" i="33"/>
  <c r="FU73" i="33"/>
  <c r="FT73" i="33"/>
  <c r="FS73" i="33"/>
  <c r="FR73" i="33"/>
  <c r="FQ73" i="33"/>
  <c r="FP73" i="33"/>
  <c r="FO73" i="33"/>
  <c r="FN73" i="33"/>
  <c r="FM73" i="33"/>
  <c r="FL73" i="33"/>
  <c r="FK73" i="33"/>
  <c r="FJ73" i="33"/>
  <c r="FI73" i="33"/>
  <c r="FH73" i="33"/>
  <c r="FG73" i="33"/>
  <c r="FF73" i="33"/>
  <c r="FE73" i="33"/>
  <c r="FD73" i="33"/>
  <c r="FC73" i="33"/>
  <c r="FB73" i="33"/>
  <c r="FA73" i="33"/>
  <c r="EZ73" i="33"/>
  <c r="EY73" i="33"/>
  <c r="EX73" i="33"/>
  <c r="EW73" i="33"/>
  <c r="EV73" i="33"/>
  <c r="EU73" i="33"/>
  <c r="ET73" i="33"/>
  <c r="ES73" i="33"/>
  <c r="ER73" i="33"/>
  <c r="EQ73" i="33"/>
  <c r="EP73" i="33"/>
  <c r="EO73" i="33"/>
  <c r="EN73" i="33"/>
  <c r="EM73" i="33"/>
  <c r="EL73" i="33"/>
  <c r="EK73" i="33"/>
  <c r="EJ73" i="33"/>
  <c r="EI73" i="33"/>
  <c r="EH73" i="33"/>
  <c r="EG73" i="33"/>
  <c r="EF73" i="33"/>
  <c r="EE73" i="33"/>
  <c r="ED73" i="33"/>
  <c r="EC73" i="33"/>
  <c r="EB73" i="33"/>
  <c r="EA73" i="33"/>
  <c r="DZ73" i="33"/>
  <c r="DY73" i="33"/>
  <c r="DX73" i="33"/>
  <c r="DW73" i="33"/>
  <c r="DV73" i="33"/>
  <c r="DU73" i="33"/>
  <c r="DT73" i="33"/>
  <c r="DS73" i="33"/>
  <c r="DR73" i="33"/>
  <c r="DQ73" i="33"/>
  <c r="DP73" i="33"/>
  <c r="DO73" i="33"/>
  <c r="DN73" i="33"/>
  <c r="DM73" i="33"/>
  <c r="DL73" i="33"/>
  <c r="DK73" i="33"/>
  <c r="DJ73" i="33"/>
  <c r="DI73" i="33"/>
  <c r="DH73" i="33"/>
  <c r="DG73" i="33"/>
  <c r="DF73" i="33"/>
  <c r="DE73" i="33"/>
  <c r="DD73" i="33"/>
  <c r="DC73" i="33"/>
  <c r="DB73" i="33"/>
  <c r="DA73" i="33"/>
  <c r="CZ73" i="33"/>
  <c r="CY73" i="33"/>
  <c r="CX73" i="33"/>
  <c r="CW73" i="33"/>
  <c r="CV73" i="33"/>
  <c r="CU73" i="33"/>
  <c r="CT73" i="33"/>
  <c r="CS73" i="33"/>
  <c r="CR73" i="33"/>
  <c r="CQ73" i="33"/>
  <c r="CP73" i="33"/>
  <c r="CO73" i="33"/>
  <c r="CN73" i="33"/>
  <c r="CM73" i="33"/>
  <c r="CL73" i="33"/>
  <c r="CK73" i="33"/>
  <c r="CJ73" i="33"/>
  <c r="CI73" i="33"/>
  <c r="CH73" i="33"/>
  <c r="CG73" i="33"/>
  <c r="CF73" i="33"/>
  <c r="CE73" i="33"/>
  <c r="CD73" i="33"/>
  <c r="CC73" i="33"/>
  <c r="CB73" i="33"/>
  <c r="CA73" i="33"/>
  <c r="BZ73" i="33"/>
  <c r="BY73" i="33"/>
  <c r="BX73" i="33"/>
  <c r="BW73" i="33"/>
  <c r="BV73" i="33"/>
  <c r="BU73" i="33"/>
  <c r="BT73" i="33"/>
  <c r="BS73" i="33"/>
  <c r="BR73" i="33"/>
  <c r="BQ73" i="33"/>
  <c r="BP73" i="33"/>
  <c r="BO73" i="33"/>
  <c r="BN73" i="33"/>
  <c r="BM73" i="33"/>
  <c r="BL73" i="33"/>
  <c r="BK73" i="33"/>
  <c r="BJ73" i="33"/>
  <c r="BI73" i="33"/>
  <c r="BH73" i="33"/>
  <c r="BG73" i="33"/>
  <c r="BF73" i="33"/>
  <c r="BE73" i="33"/>
  <c r="BD73" i="33"/>
  <c r="BC73" i="33"/>
  <c r="BB73" i="33"/>
  <c r="BA73" i="33"/>
  <c r="AZ73" i="33"/>
  <c r="AY73" i="33"/>
  <c r="AX73" i="33"/>
  <c r="AW73" i="33"/>
  <c r="AV73" i="33"/>
  <c r="AU73" i="33"/>
  <c r="AT73" i="33"/>
  <c r="AS73" i="33"/>
  <c r="AR73" i="33"/>
  <c r="AQ73" i="33"/>
  <c r="AP73" i="33"/>
  <c r="AO73" i="33"/>
  <c r="AN73" i="33"/>
  <c r="AM73" i="33"/>
  <c r="AL73" i="33"/>
  <c r="AK73" i="33"/>
  <c r="AJ73" i="33"/>
  <c r="AI73" i="33"/>
  <c r="AH73" i="33"/>
  <c r="AG73" i="33"/>
  <c r="AF73" i="33"/>
  <c r="AE73" i="33"/>
  <c r="AD73" i="33"/>
  <c r="AC73" i="33"/>
  <c r="AB73" i="33"/>
  <c r="AA73" i="33"/>
  <c r="Z73" i="33"/>
  <c r="Y73" i="33"/>
  <c r="X73" i="33"/>
  <c r="W73" i="33"/>
  <c r="V73" i="33"/>
  <c r="U73" i="33"/>
  <c r="T73" i="33"/>
  <c r="S73" i="33"/>
  <c r="R73" i="33"/>
  <c r="Q73" i="33"/>
  <c r="P73" i="33"/>
  <c r="O73" i="33"/>
  <c r="N73" i="33"/>
  <c r="M73" i="33"/>
  <c r="L73" i="33"/>
  <c r="K73" i="33"/>
  <c r="J73" i="33"/>
  <c r="I73" i="33"/>
  <c r="H73" i="33"/>
  <c r="G73" i="33"/>
  <c r="F73" i="33"/>
  <c r="E73" i="33"/>
  <c r="D73" i="33"/>
  <c r="C73" i="33"/>
  <c r="B73" i="33"/>
  <c r="A73" i="33"/>
  <c r="IV72" i="33"/>
  <c r="IU72" i="33"/>
  <c r="IT72" i="33"/>
  <c r="IS72" i="33"/>
  <c r="IR72" i="33"/>
  <c r="IQ72" i="33"/>
  <c r="IP72" i="33"/>
  <c r="IO72" i="33"/>
  <c r="IN72" i="33"/>
  <c r="IM72" i="33"/>
  <c r="IL72" i="33"/>
  <c r="IK72" i="33"/>
  <c r="IJ72" i="33"/>
  <c r="II72" i="33"/>
  <c r="IH72" i="33"/>
  <c r="IG72" i="33"/>
  <c r="IF72" i="33"/>
  <c r="IE72" i="33"/>
  <c r="ID72" i="33"/>
  <c r="IC72" i="33"/>
  <c r="IB72" i="33"/>
  <c r="IA72" i="33"/>
  <c r="HZ72" i="33"/>
  <c r="HY72" i="33"/>
  <c r="HX72" i="33"/>
  <c r="HW72" i="33"/>
  <c r="HV72" i="33"/>
  <c r="HU72" i="33"/>
  <c r="HT72" i="33"/>
  <c r="HS72" i="33"/>
  <c r="HR72" i="33"/>
  <c r="HQ72" i="33"/>
  <c r="HP72" i="33"/>
  <c r="HO72" i="33"/>
  <c r="HN72" i="33"/>
  <c r="HM72" i="33"/>
  <c r="HL72" i="33"/>
  <c r="HK72" i="33"/>
  <c r="HJ72" i="33"/>
  <c r="HI72" i="33"/>
  <c r="HH72" i="33"/>
  <c r="HG72" i="33"/>
  <c r="HF72" i="33"/>
  <c r="HE72" i="33"/>
  <c r="HD72" i="33"/>
  <c r="HC72" i="33"/>
  <c r="HB72" i="33"/>
  <c r="HA72" i="33"/>
  <c r="GZ72" i="33"/>
  <c r="GY72" i="33"/>
  <c r="GX72" i="33"/>
  <c r="GW72" i="33"/>
  <c r="GV72" i="33"/>
  <c r="GU72" i="33"/>
  <c r="GT72" i="33"/>
  <c r="GS72" i="33"/>
  <c r="GR72" i="33"/>
  <c r="GQ72" i="33"/>
  <c r="GP72" i="33"/>
  <c r="GO72" i="33"/>
  <c r="GN72" i="33"/>
  <c r="GM72" i="33"/>
  <c r="GL72" i="33"/>
  <c r="GK72" i="33"/>
  <c r="GJ72" i="33"/>
  <c r="GI72" i="33"/>
  <c r="GH72" i="33"/>
  <c r="GG72" i="33"/>
  <c r="GF72" i="33"/>
  <c r="GE72" i="33"/>
  <c r="GD72" i="33"/>
  <c r="GC72" i="33"/>
  <c r="GB72" i="33"/>
  <c r="GA72" i="33"/>
  <c r="FZ72" i="33"/>
  <c r="FY72" i="33"/>
  <c r="FX72" i="33"/>
  <c r="FW72" i="33"/>
  <c r="FV72" i="33"/>
  <c r="FU72" i="33"/>
  <c r="FT72" i="33"/>
  <c r="FS72" i="33"/>
  <c r="FR72" i="33"/>
  <c r="FQ72" i="33"/>
  <c r="FP72" i="33"/>
  <c r="FO72" i="33"/>
  <c r="FN72" i="33"/>
  <c r="FM72" i="33"/>
  <c r="FL72" i="33"/>
  <c r="FK72" i="33"/>
  <c r="FJ72" i="33"/>
  <c r="FI72" i="33"/>
  <c r="FH72" i="33"/>
  <c r="FG72" i="33"/>
  <c r="FF72" i="33"/>
  <c r="FE72" i="33"/>
  <c r="FD72" i="33"/>
  <c r="FC72" i="33"/>
  <c r="FB72" i="33"/>
  <c r="FA72" i="33"/>
  <c r="EZ72" i="33"/>
  <c r="EY72" i="33"/>
  <c r="EX72" i="33"/>
  <c r="EW72" i="33"/>
  <c r="EV72" i="33"/>
  <c r="EU72" i="33"/>
  <c r="ET72" i="33"/>
  <c r="ES72" i="33"/>
  <c r="ER72" i="33"/>
  <c r="EQ72" i="33"/>
  <c r="EP72" i="33"/>
  <c r="EO72" i="33"/>
  <c r="EN72" i="33"/>
  <c r="EM72" i="33"/>
  <c r="EL72" i="33"/>
  <c r="EK72" i="33"/>
  <c r="EJ72" i="33"/>
  <c r="EI72" i="33"/>
  <c r="EH72" i="33"/>
  <c r="EG72" i="33"/>
  <c r="EF72" i="33"/>
  <c r="EE72" i="33"/>
  <c r="ED72" i="33"/>
  <c r="EC72" i="33"/>
  <c r="EB72" i="33"/>
  <c r="EA72" i="33"/>
  <c r="DZ72" i="33"/>
  <c r="DY72" i="33"/>
  <c r="DX72" i="33"/>
  <c r="DW72" i="33"/>
  <c r="DV72" i="33"/>
  <c r="DU72" i="33"/>
  <c r="DT72" i="33"/>
  <c r="DS72" i="33"/>
  <c r="DR72" i="33"/>
  <c r="DQ72" i="33"/>
  <c r="DP72" i="33"/>
  <c r="DO72" i="33"/>
  <c r="DN72" i="33"/>
  <c r="DM72" i="33"/>
  <c r="DL72" i="33"/>
  <c r="DK72" i="33"/>
  <c r="DJ72" i="33"/>
  <c r="DI72" i="33"/>
  <c r="DH72" i="33"/>
  <c r="DG72" i="33"/>
  <c r="DF72" i="33"/>
  <c r="DE72" i="33"/>
  <c r="DD72" i="33"/>
  <c r="DC72" i="33"/>
  <c r="DB72" i="33"/>
  <c r="DA72" i="33"/>
  <c r="CZ72" i="33"/>
  <c r="CY72" i="33"/>
  <c r="CX72" i="33"/>
  <c r="CW72" i="33"/>
  <c r="CV72" i="33"/>
  <c r="CU72" i="33"/>
  <c r="CT72" i="33"/>
  <c r="CS72" i="33"/>
  <c r="CR72" i="33"/>
  <c r="CQ72" i="33"/>
  <c r="CP72" i="33"/>
  <c r="CO72" i="33"/>
  <c r="CN72" i="33"/>
  <c r="CM72" i="33"/>
  <c r="CL72" i="33"/>
  <c r="CK72" i="33"/>
  <c r="CJ72" i="33"/>
  <c r="CI72" i="33"/>
  <c r="CH72" i="33"/>
  <c r="CG72" i="33"/>
  <c r="CF72" i="33"/>
  <c r="CE72" i="33"/>
  <c r="CD72" i="33"/>
  <c r="CC72" i="33"/>
  <c r="CB72" i="33"/>
  <c r="CA72" i="33"/>
  <c r="BZ72" i="33"/>
  <c r="BY72" i="33"/>
  <c r="BX72" i="33"/>
  <c r="BW72" i="33"/>
  <c r="BV72" i="33"/>
  <c r="BU72" i="33"/>
  <c r="BT72" i="33"/>
  <c r="BS72" i="33"/>
  <c r="BR72" i="33"/>
  <c r="BQ72" i="33"/>
  <c r="BP72" i="33"/>
  <c r="BO72" i="33"/>
  <c r="BN72" i="33"/>
  <c r="BM72" i="33"/>
  <c r="BL72" i="33"/>
  <c r="BK72" i="33"/>
  <c r="BJ72" i="33"/>
  <c r="BI72" i="33"/>
  <c r="BH72" i="33"/>
  <c r="BG72" i="33"/>
  <c r="BF72" i="33"/>
  <c r="BE72" i="33"/>
  <c r="BD72" i="33"/>
  <c r="BC72" i="33"/>
  <c r="BB72" i="33"/>
  <c r="BA72" i="33"/>
  <c r="AZ72" i="33"/>
  <c r="AY72" i="33"/>
  <c r="AX72" i="33"/>
  <c r="AW72" i="33"/>
  <c r="AV72" i="33"/>
  <c r="AU72" i="33"/>
  <c r="AT72" i="33"/>
  <c r="AS72" i="33"/>
  <c r="AR72" i="33"/>
  <c r="AQ72" i="33"/>
  <c r="AP72" i="33"/>
  <c r="AO72" i="33"/>
  <c r="AN72" i="33"/>
  <c r="AM72" i="33"/>
  <c r="AL72" i="33"/>
  <c r="AK72" i="33"/>
  <c r="AJ72" i="33"/>
  <c r="AI72" i="33"/>
  <c r="AH72" i="33"/>
  <c r="AG72" i="33"/>
  <c r="AF72" i="33"/>
  <c r="AE72" i="33"/>
  <c r="AD72" i="33"/>
  <c r="AC72" i="33"/>
  <c r="AB72" i="33"/>
  <c r="AA72" i="33"/>
  <c r="Z72" i="33"/>
  <c r="Y72" i="33"/>
  <c r="X72" i="33"/>
  <c r="W72" i="33"/>
  <c r="V72" i="33"/>
  <c r="U72" i="33"/>
  <c r="T72" i="33"/>
  <c r="S72" i="33"/>
  <c r="R72" i="33"/>
  <c r="Q72" i="33"/>
  <c r="P72" i="33"/>
  <c r="O72" i="33"/>
  <c r="N72" i="33"/>
  <c r="M72" i="33"/>
  <c r="L72" i="33"/>
  <c r="K72" i="33"/>
  <c r="J72" i="33"/>
  <c r="I72" i="33"/>
  <c r="H72" i="33"/>
  <c r="G72" i="33"/>
  <c r="F72" i="33"/>
  <c r="E72" i="33"/>
  <c r="D72" i="33"/>
  <c r="C72" i="33"/>
  <c r="B72" i="33"/>
  <c r="A72" i="33"/>
  <c r="IV71" i="33"/>
  <c r="IU71" i="33"/>
  <c r="IT71" i="33"/>
  <c r="IS71" i="33"/>
  <c r="IR71" i="33"/>
  <c r="IQ71" i="33"/>
  <c r="IP71" i="33"/>
  <c r="IO71" i="33"/>
  <c r="IN71" i="33"/>
  <c r="IM71" i="33"/>
  <c r="IL71" i="33"/>
  <c r="IK71" i="33"/>
  <c r="IJ71" i="33"/>
  <c r="II71" i="33"/>
  <c r="IH71" i="33"/>
  <c r="IG71" i="33"/>
  <c r="IF71" i="33"/>
  <c r="IE71" i="33"/>
  <c r="ID71" i="33"/>
  <c r="IC71" i="33"/>
  <c r="IB71" i="33"/>
  <c r="IA71" i="33"/>
  <c r="HZ71" i="33"/>
  <c r="HY71" i="33"/>
  <c r="HX71" i="33"/>
  <c r="HW71" i="33"/>
  <c r="HV71" i="33"/>
  <c r="HU71" i="33"/>
  <c r="HT71" i="33"/>
  <c r="HS71" i="33"/>
  <c r="HR71" i="33"/>
  <c r="HQ71" i="33"/>
  <c r="HP71" i="33"/>
  <c r="HO71" i="33"/>
  <c r="HN71" i="33"/>
  <c r="HM71" i="33"/>
  <c r="HL71" i="33"/>
  <c r="HK71" i="33"/>
  <c r="HJ71" i="33"/>
  <c r="HI71" i="33"/>
  <c r="HH71" i="33"/>
  <c r="HG71" i="33"/>
  <c r="HF71" i="33"/>
  <c r="HE71" i="33"/>
  <c r="HD71" i="33"/>
  <c r="HC71" i="33"/>
  <c r="HB71" i="33"/>
  <c r="HA71" i="33"/>
  <c r="GZ71" i="33"/>
  <c r="GY71" i="33"/>
  <c r="GX71" i="33"/>
  <c r="GW71" i="33"/>
  <c r="GV71" i="33"/>
  <c r="GU71" i="33"/>
  <c r="GT71" i="33"/>
  <c r="GS71" i="33"/>
  <c r="GR71" i="33"/>
  <c r="GQ71" i="33"/>
  <c r="GP71" i="33"/>
  <c r="GO71" i="33"/>
  <c r="GN71" i="33"/>
  <c r="GM71" i="33"/>
  <c r="GL71" i="33"/>
  <c r="GK71" i="33"/>
  <c r="GJ71" i="33"/>
  <c r="GI71" i="33"/>
  <c r="GH71" i="33"/>
  <c r="GG71" i="33"/>
  <c r="GF71" i="33"/>
  <c r="GE71" i="33"/>
  <c r="GD71" i="33"/>
  <c r="GC71" i="33"/>
  <c r="GB71" i="33"/>
  <c r="GA71" i="33"/>
  <c r="FZ71" i="33"/>
  <c r="FY71" i="33"/>
  <c r="FX71" i="33"/>
  <c r="FW71" i="33"/>
  <c r="FV71" i="33"/>
  <c r="FU71" i="33"/>
  <c r="FT71" i="33"/>
  <c r="FS71" i="33"/>
  <c r="FR71" i="33"/>
  <c r="FQ71" i="33"/>
  <c r="FP71" i="33"/>
  <c r="FO71" i="33"/>
  <c r="FN71" i="33"/>
  <c r="FM71" i="33"/>
  <c r="FL71" i="33"/>
  <c r="FK71" i="33"/>
  <c r="FJ71" i="33"/>
  <c r="FI71" i="33"/>
  <c r="FH71" i="33"/>
  <c r="FG71" i="33"/>
  <c r="FF71" i="33"/>
  <c r="FE71" i="33"/>
  <c r="FD71" i="33"/>
  <c r="FC71" i="33"/>
  <c r="FB71" i="33"/>
  <c r="FA71" i="33"/>
  <c r="EZ71" i="33"/>
  <c r="EY71" i="33"/>
  <c r="EX71" i="33"/>
  <c r="EW71" i="33"/>
  <c r="EV71" i="33"/>
  <c r="EU71" i="33"/>
  <c r="ET71" i="33"/>
  <c r="ES71" i="33"/>
  <c r="ER71" i="33"/>
  <c r="EQ71" i="33"/>
  <c r="EP71" i="33"/>
  <c r="EO71" i="33"/>
  <c r="EN71" i="33"/>
  <c r="EM71" i="33"/>
  <c r="EL71" i="33"/>
  <c r="EK71" i="33"/>
  <c r="EJ71" i="33"/>
  <c r="EI71" i="33"/>
  <c r="EH71" i="33"/>
  <c r="EG71" i="33"/>
  <c r="EF71" i="33"/>
  <c r="EE71" i="33"/>
  <c r="ED71" i="33"/>
  <c r="EC71" i="33"/>
  <c r="EB71" i="33"/>
  <c r="EA71" i="33"/>
  <c r="DZ71" i="33"/>
  <c r="DY71" i="33"/>
  <c r="DX71" i="33"/>
  <c r="DW71" i="33"/>
  <c r="DV71" i="33"/>
  <c r="DU71" i="33"/>
  <c r="DT71" i="33"/>
  <c r="DS71" i="33"/>
  <c r="DR71" i="33"/>
  <c r="DQ71" i="33"/>
  <c r="DP71" i="33"/>
  <c r="DO71" i="33"/>
  <c r="DN71" i="33"/>
  <c r="DM71" i="33"/>
  <c r="DL71" i="33"/>
  <c r="DK71" i="33"/>
  <c r="DJ71" i="33"/>
  <c r="DI71" i="33"/>
  <c r="DH71" i="33"/>
  <c r="DG71" i="33"/>
  <c r="DF71" i="33"/>
  <c r="DE71" i="33"/>
  <c r="DD71" i="33"/>
  <c r="DC71" i="33"/>
  <c r="DB71" i="33"/>
  <c r="DA71" i="33"/>
  <c r="CZ71" i="33"/>
  <c r="CY71" i="33"/>
  <c r="CX71" i="33"/>
  <c r="CW71" i="33"/>
  <c r="CV71" i="33"/>
  <c r="CU71" i="33"/>
  <c r="CT71" i="33"/>
  <c r="CS71" i="33"/>
  <c r="CR71" i="33"/>
  <c r="CQ71" i="33"/>
  <c r="CP71" i="33"/>
  <c r="CO71" i="33"/>
  <c r="CN71" i="33"/>
  <c r="CM71" i="33"/>
  <c r="CL71" i="33"/>
  <c r="CK71" i="33"/>
  <c r="CJ71" i="33"/>
  <c r="CI71" i="33"/>
  <c r="CH71" i="33"/>
  <c r="CG71" i="33"/>
  <c r="CF71" i="33"/>
  <c r="CE71" i="33"/>
  <c r="CD71" i="33"/>
  <c r="CC71" i="33"/>
  <c r="CB71" i="33"/>
  <c r="CA71" i="33"/>
  <c r="BZ71" i="33"/>
  <c r="BY71" i="33"/>
  <c r="BX71" i="33"/>
  <c r="BW71" i="33"/>
  <c r="BV71" i="33"/>
  <c r="BU71" i="33"/>
  <c r="BT71" i="33"/>
  <c r="BS71" i="33"/>
  <c r="BR71" i="33"/>
  <c r="BQ71" i="33"/>
  <c r="BP71" i="33"/>
  <c r="BO71" i="33"/>
  <c r="BN71" i="33"/>
  <c r="BM71" i="33"/>
  <c r="BL71" i="33"/>
  <c r="BK71" i="33"/>
  <c r="BJ71" i="33"/>
  <c r="BI71" i="33"/>
  <c r="BH71" i="33"/>
  <c r="BG71" i="33"/>
  <c r="BF71" i="33"/>
  <c r="BE71" i="33"/>
  <c r="BD71" i="33"/>
  <c r="BC71" i="33"/>
  <c r="BB71" i="33"/>
  <c r="BA71" i="33"/>
  <c r="AZ71" i="33"/>
  <c r="AY71" i="33"/>
  <c r="AX71" i="33"/>
  <c r="AW71" i="33"/>
  <c r="AV71" i="33"/>
  <c r="AU71" i="33"/>
  <c r="AT71" i="33"/>
  <c r="AS71" i="33"/>
  <c r="AR71" i="33"/>
  <c r="AQ71" i="33"/>
  <c r="AP71" i="33"/>
  <c r="AO71" i="33"/>
  <c r="AN71" i="33"/>
  <c r="AM71" i="33"/>
  <c r="AL71" i="33"/>
  <c r="AK71" i="33"/>
  <c r="AJ71" i="33"/>
  <c r="AI71" i="33"/>
  <c r="AH71" i="33"/>
  <c r="AG71" i="33"/>
  <c r="AF71" i="33"/>
  <c r="AE71" i="33"/>
  <c r="AD71" i="33"/>
  <c r="AC71" i="33"/>
  <c r="AB71" i="33"/>
  <c r="AA71" i="33"/>
  <c r="Z71" i="33"/>
  <c r="Y71" i="33"/>
  <c r="X71" i="33"/>
  <c r="W71" i="33"/>
  <c r="V71" i="33"/>
  <c r="U71" i="33"/>
  <c r="T71" i="33"/>
  <c r="S71" i="33"/>
  <c r="R71" i="33"/>
  <c r="Q71" i="33"/>
  <c r="P71" i="33"/>
  <c r="O71" i="33"/>
  <c r="N71" i="33"/>
  <c r="M71" i="33"/>
  <c r="L71" i="33"/>
  <c r="K71" i="33"/>
  <c r="J71" i="33"/>
  <c r="I71" i="33"/>
  <c r="H71" i="33"/>
  <c r="G71" i="33"/>
  <c r="F71" i="33"/>
  <c r="E71" i="33"/>
  <c r="D71" i="33"/>
  <c r="C71" i="33"/>
  <c r="B71" i="33"/>
  <c r="A71" i="33"/>
  <c r="IV70" i="33"/>
  <c r="IU70" i="33"/>
  <c r="IT70" i="33"/>
  <c r="IS70" i="33"/>
  <c r="IR70" i="33"/>
  <c r="IQ70" i="33"/>
  <c r="IP70" i="33"/>
  <c r="IO70" i="33"/>
  <c r="IN70" i="33"/>
  <c r="IM70" i="33"/>
  <c r="IL70" i="33"/>
  <c r="IK70" i="33"/>
  <c r="IJ70" i="33"/>
  <c r="II70" i="33"/>
  <c r="IH70" i="33"/>
  <c r="IG70" i="33"/>
  <c r="IF70" i="33"/>
  <c r="IE70" i="33"/>
  <c r="ID70" i="33"/>
  <c r="IC70" i="33"/>
  <c r="IB70" i="33"/>
  <c r="IA70" i="33"/>
  <c r="HZ70" i="33"/>
  <c r="HY70" i="33"/>
  <c r="HX70" i="33"/>
  <c r="HW70" i="33"/>
  <c r="HV70" i="33"/>
  <c r="HU70" i="33"/>
  <c r="HT70" i="33"/>
  <c r="HS70" i="33"/>
  <c r="HR70" i="33"/>
  <c r="HQ70" i="33"/>
  <c r="HP70" i="33"/>
  <c r="HO70" i="33"/>
  <c r="HN70" i="33"/>
  <c r="HM70" i="33"/>
  <c r="HL70" i="33"/>
  <c r="HK70" i="33"/>
  <c r="HJ70" i="33"/>
  <c r="HI70" i="33"/>
  <c r="HH70" i="33"/>
  <c r="HG70" i="33"/>
  <c r="HF70" i="33"/>
  <c r="HE70" i="33"/>
  <c r="HD70" i="33"/>
  <c r="HC70" i="33"/>
  <c r="HB70" i="33"/>
  <c r="HA70" i="33"/>
  <c r="GZ70" i="33"/>
  <c r="GY70" i="33"/>
  <c r="GX70" i="33"/>
  <c r="GW70" i="33"/>
  <c r="GV70" i="33"/>
  <c r="GU70" i="33"/>
  <c r="GT70" i="33"/>
  <c r="GS70" i="33"/>
  <c r="GR70" i="33"/>
  <c r="GQ70" i="33"/>
  <c r="GP70" i="33"/>
  <c r="GO70" i="33"/>
  <c r="GN70" i="33"/>
  <c r="GM70" i="33"/>
  <c r="GL70" i="33"/>
  <c r="GK70" i="33"/>
  <c r="GJ70" i="33"/>
  <c r="GI70" i="33"/>
  <c r="GH70" i="33"/>
  <c r="GG70" i="33"/>
  <c r="GF70" i="33"/>
  <c r="GE70" i="33"/>
  <c r="GD70" i="33"/>
  <c r="GC70" i="33"/>
  <c r="GB70" i="33"/>
  <c r="GA70" i="33"/>
  <c r="FZ70" i="33"/>
  <c r="FY70" i="33"/>
  <c r="FX70" i="33"/>
  <c r="FW70" i="33"/>
  <c r="FV70" i="33"/>
  <c r="FU70" i="33"/>
  <c r="FT70" i="33"/>
  <c r="FS70" i="33"/>
  <c r="FR70" i="33"/>
  <c r="FQ70" i="33"/>
  <c r="FP70" i="33"/>
  <c r="FO70" i="33"/>
  <c r="FN70" i="33"/>
  <c r="FM70" i="33"/>
  <c r="FL70" i="33"/>
  <c r="FK70" i="33"/>
  <c r="FJ70" i="33"/>
  <c r="FI70" i="33"/>
  <c r="FH70" i="33"/>
  <c r="FG70" i="33"/>
  <c r="FF70" i="33"/>
  <c r="FE70" i="33"/>
  <c r="FD70" i="33"/>
  <c r="FC70" i="33"/>
  <c r="FB70" i="33"/>
  <c r="FA70" i="33"/>
  <c r="EZ70" i="33"/>
  <c r="EY70" i="33"/>
  <c r="EX70" i="33"/>
  <c r="EW70" i="33"/>
  <c r="EV70" i="33"/>
  <c r="EU70" i="33"/>
  <c r="ET70" i="33"/>
  <c r="ES70" i="33"/>
  <c r="ER70" i="33"/>
  <c r="EQ70" i="33"/>
  <c r="EP70" i="33"/>
  <c r="EO70" i="33"/>
  <c r="EN70" i="33"/>
  <c r="EM70" i="33"/>
  <c r="EL70" i="33"/>
  <c r="EK70" i="33"/>
  <c r="EJ70" i="33"/>
  <c r="EI70" i="33"/>
  <c r="EH70" i="33"/>
  <c r="EG70" i="33"/>
  <c r="EF70" i="33"/>
  <c r="EE70" i="33"/>
  <c r="ED70" i="33"/>
  <c r="EC70" i="33"/>
  <c r="EB70" i="33"/>
  <c r="EA70" i="33"/>
  <c r="DZ70" i="33"/>
  <c r="DY70" i="33"/>
  <c r="DX70" i="33"/>
  <c r="DW70" i="33"/>
  <c r="DV70" i="33"/>
  <c r="DU70" i="33"/>
  <c r="DT70" i="33"/>
  <c r="DS70" i="33"/>
  <c r="DR70" i="33"/>
  <c r="DQ70" i="33"/>
  <c r="DP70" i="33"/>
  <c r="DO70" i="33"/>
  <c r="DN70" i="33"/>
  <c r="DM70" i="33"/>
  <c r="DL70" i="33"/>
  <c r="DK70" i="33"/>
  <c r="DJ70" i="33"/>
  <c r="DI70" i="33"/>
  <c r="DH70" i="33"/>
  <c r="DG70" i="33"/>
  <c r="DF70" i="33"/>
  <c r="DE70" i="33"/>
  <c r="DD70" i="33"/>
  <c r="DC70" i="33"/>
  <c r="DB70" i="33"/>
  <c r="DA70" i="33"/>
  <c r="CZ70" i="33"/>
  <c r="CY70" i="33"/>
  <c r="CX70" i="33"/>
  <c r="CW70" i="33"/>
  <c r="CV70" i="33"/>
  <c r="CU70" i="33"/>
  <c r="CT70" i="33"/>
  <c r="CS70" i="33"/>
  <c r="CR70" i="33"/>
  <c r="CQ70" i="33"/>
  <c r="CP70" i="33"/>
  <c r="CO70" i="33"/>
  <c r="CN70" i="33"/>
  <c r="CM70" i="33"/>
  <c r="CL70" i="33"/>
  <c r="CK70" i="33"/>
  <c r="CJ70" i="33"/>
  <c r="CI70" i="33"/>
  <c r="CH70" i="33"/>
  <c r="CG70" i="33"/>
  <c r="CF70" i="33"/>
  <c r="CE70" i="33"/>
  <c r="CD70" i="33"/>
  <c r="CC70" i="33"/>
  <c r="CB70" i="33"/>
  <c r="CA70" i="33"/>
  <c r="BZ70" i="33"/>
  <c r="BY70" i="33"/>
  <c r="BX70" i="33"/>
  <c r="BW70" i="33"/>
  <c r="BV70" i="33"/>
  <c r="BU70" i="33"/>
  <c r="BT70" i="33"/>
  <c r="BS70" i="33"/>
  <c r="BR70" i="33"/>
  <c r="BQ70" i="33"/>
  <c r="BP70" i="33"/>
  <c r="BO70" i="33"/>
  <c r="BN70" i="33"/>
  <c r="BM70" i="33"/>
  <c r="BL70" i="33"/>
  <c r="BK70" i="33"/>
  <c r="BJ70" i="33"/>
  <c r="BI70" i="33"/>
  <c r="BH70" i="33"/>
  <c r="BG70" i="33"/>
  <c r="BF70" i="33"/>
  <c r="BE70" i="33"/>
  <c r="BD70" i="33"/>
  <c r="BC70" i="33"/>
  <c r="BB70" i="33"/>
  <c r="BA70" i="33"/>
  <c r="AZ70" i="33"/>
  <c r="AY70" i="33"/>
  <c r="AX70" i="33"/>
  <c r="AW70" i="33"/>
  <c r="AV70" i="33"/>
  <c r="AU70" i="33"/>
  <c r="AT70" i="33"/>
  <c r="AS70" i="33"/>
  <c r="AR70" i="33"/>
  <c r="AQ70" i="33"/>
  <c r="AP70" i="33"/>
  <c r="AO70" i="33"/>
  <c r="AN70" i="33"/>
  <c r="AM70" i="33"/>
  <c r="AL70" i="33"/>
  <c r="AK70" i="33"/>
  <c r="AJ70" i="33"/>
  <c r="AI70" i="33"/>
  <c r="AH70" i="33"/>
  <c r="AG70" i="33"/>
  <c r="AF70" i="33"/>
  <c r="AE70" i="33"/>
  <c r="AD70" i="33"/>
  <c r="AC70" i="33"/>
  <c r="AB70" i="33"/>
  <c r="AA70" i="33"/>
  <c r="Z70" i="33"/>
  <c r="Y70" i="33"/>
  <c r="X70" i="33"/>
  <c r="W70" i="33"/>
  <c r="V70" i="33"/>
  <c r="U70" i="33"/>
  <c r="T70" i="33"/>
  <c r="S70" i="33"/>
  <c r="R70" i="33"/>
  <c r="Q70" i="33"/>
  <c r="P70" i="33"/>
  <c r="O70" i="33"/>
  <c r="N70" i="33"/>
  <c r="M70" i="33"/>
  <c r="L70" i="33"/>
  <c r="K70" i="33"/>
  <c r="J70" i="33"/>
  <c r="I70" i="33"/>
  <c r="H70" i="33"/>
  <c r="G70" i="33"/>
  <c r="F70" i="33"/>
  <c r="E70" i="33"/>
  <c r="D70" i="33"/>
  <c r="C70" i="33"/>
  <c r="B70" i="33"/>
  <c r="A70" i="33"/>
  <c r="IV69" i="33"/>
  <c r="IU69" i="33"/>
  <c r="IT69" i="33"/>
  <c r="IS69" i="33"/>
  <c r="IR69" i="33"/>
  <c r="IQ69" i="33"/>
  <c r="IP69" i="33"/>
  <c r="IO69" i="33"/>
  <c r="IN69" i="33"/>
  <c r="IM69" i="33"/>
  <c r="IL69" i="33"/>
  <c r="IK69" i="33"/>
  <c r="IJ69" i="33"/>
  <c r="II69" i="33"/>
  <c r="IH69" i="33"/>
  <c r="IG69" i="33"/>
  <c r="IF69" i="33"/>
  <c r="IE69" i="33"/>
  <c r="ID69" i="33"/>
  <c r="IC69" i="33"/>
  <c r="IB69" i="33"/>
  <c r="IA69" i="33"/>
  <c r="HZ69" i="33"/>
  <c r="HY69" i="33"/>
  <c r="HX69" i="33"/>
  <c r="HW69" i="33"/>
  <c r="HV69" i="33"/>
  <c r="HU69" i="33"/>
  <c r="HT69" i="33"/>
  <c r="HS69" i="33"/>
  <c r="HR69" i="33"/>
  <c r="HQ69" i="33"/>
  <c r="HP69" i="33"/>
  <c r="HO69" i="33"/>
  <c r="HN69" i="33"/>
  <c r="HM69" i="33"/>
  <c r="HL69" i="33"/>
  <c r="HK69" i="33"/>
  <c r="HJ69" i="33"/>
  <c r="HI69" i="33"/>
  <c r="HH69" i="33"/>
  <c r="HG69" i="33"/>
  <c r="HF69" i="33"/>
  <c r="HE69" i="33"/>
  <c r="HD69" i="33"/>
  <c r="HC69" i="33"/>
  <c r="HB69" i="33"/>
  <c r="HA69" i="33"/>
  <c r="GZ69" i="33"/>
  <c r="GY69" i="33"/>
  <c r="GX69" i="33"/>
  <c r="GW69" i="33"/>
  <c r="GV69" i="33"/>
  <c r="GU69" i="33"/>
  <c r="GT69" i="33"/>
  <c r="GS69" i="33"/>
  <c r="GR69" i="33"/>
  <c r="GQ69" i="33"/>
  <c r="GP69" i="33"/>
  <c r="GO69" i="33"/>
  <c r="GN69" i="33"/>
  <c r="GM69" i="33"/>
  <c r="GL69" i="33"/>
  <c r="GK69" i="33"/>
  <c r="GJ69" i="33"/>
  <c r="GI69" i="33"/>
  <c r="GH69" i="33"/>
  <c r="GG69" i="33"/>
  <c r="GF69" i="33"/>
  <c r="GE69" i="33"/>
  <c r="GD69" i="33"/>
  <c r="GC69" i="33"/>
  <c r="GB69" i="33"/>
  <c r="GA69" i="33"/>
  <c r="FZ69" i="33"/>
  <c r="FY69" i="33"/>
  <c r="FX69" i="33"/>
  <c r="FW69" i="33"/>
  <c r="FV69" i="33"/>
  <c r="FU69" i="33"/>
  <c r="FT69" i="33"/>
  <c r="FS69" i="33"/>
  <c r="FR69" i="33"/>
  <c r="FQ69" i="33"/>
  <c r="FP69" i="33"/>
  <c r="FO69" i="33"/>
  <c r="FN69" i="33"/>
  <c r="FM69" i="33"/>
  <c r="FL69" i="33"/>
  <c r="FK69" i="33"/>
  <c r="FJ69" i="33"/>
  <c r="FI69" i="33"/>
  <c r="FH69" i="33"/>
  <c r="FG69" i="33"/>
  <c r="FF69" i="33"/>
  <c r="FE69" i="33"/>
  <c r="FD69" i="33"/>
  <c r="FC69" i="33"/>
  <c r="FB69" i="33"/>
  <c r="FA69" i="33"/>
  <c r="EZ69" i="33"/>
  <c r="EY69" i="33"/>
  <c r="EX69" i="33"/>
  <c r="EW69" i="33"/>
  <c r="EV69" i="33"/>
  <c r="EU69" i="33"/>
  <c r="ET69" i="33"/>
  <c r="ES69" i="33"/>
  <c r="ER69" i="33"/>
  <c r="EQ69" i="33"/>
  <c r="EP69" i="33"/>
  <c r="EO69" i="33"/>
  <c r="EN69" i="33"/>
  <c r="EM69" i="33"/>
  <c r="EL69" i="33"/>
  <c r="EK69" i="33"/>
  <c r="EJ69" i="33"/>
  <c r="EI69" i="33"/>
  <c r="EH69" i="33"/>
  <c r="EG69" i="33"/>
  <c r="EF69" i="33"/>
  <c r="EE69" i="33"/>
  <c r="ED69" i="33"/>
  <c r="EC69" i="33"/>
  <c r="EB69" i="33"/>
  <c r="EA69" i="33"/>
  <c r="DZ69" i="33"/>
  <c r="DY69" i="33"/>
  <c r="DX69" i="33"/>
  <c r="DW69" i="33"/>
  <c r="DV69" i="33"/>
  <c r="DU69" i="33"/>
  <c r="DT69" i="33"/>
  <c r="DS69" i="33"/>
  <c r="DR69" i="33"/>
  <c r="DQ69" i="33"/>
  <c r="DP69" i="33"/>
  <c r="DO69" i="33"/>
  <c r="DN69" i="33"/>
  <c r="DM69" i="33"/>
  <c r="DL69" i="33"/>
  <c r="DK69" i="33"/>
  <c r="DJ69" i="33"/>
  <c r="DI69" i="33"/>
  <c r="DH69" i="33"/>
  <c r="DG69" i="33"/>
  <c r="DF69" i="33"/>
  <c r="DE69" i="33"/>
  <c r="DD69" i="33"/>
  <c r="DC69" i="33"/>
  <c r="DB69" i="33"/>
  <c r="DA69" i="33"/>
  <c r="CZ69" i="33"/>
  <c r="CY69" i="33"/>
  <c r="CX69" i="33"/>
  <c r="CW69" i="33"/>
  <c r="CV69" i="33"/>
  <c r="CU69" i="33"/>
  <c r="CT69" i="33"/>
  <c r="CS69" i="33"/>
  <c r="CR69" i="33"/>
  <c r="CQ69" i="33"/>
  <c r="CP69" i="33"/>
  <c r="CO69" i="33"/>
  <c r="CN69" i="33"/>
  <c r="CM69" i="33"/>
  <c r="CL69" i="33"/>
  <c r="CK69" i="33"/>
  <c r="CJ69" i="33"/>
  <c r="CI69" i="33"/>
  <c r="CH69" i="33"/>
  <c r="CG69" i="33"/>
  <c r="CF69" i="33"/>
  <c r="CE69" i="33"/>
  <c r="CD69" i="33"/>
  <c r="CC69" i="33"/>
  <c r="CB69" i="33"/>
  <c r="CA69" i="33"/>
  <c r="BZ69" i="33"/>
  <c r="BY69" i="33"/>
  <c r="BX69" i="33"/>
  <c r="BW69" i="33"/>
  <c r="BV69" i="33"/>
  <c r="BU69" i="33"/>
  <c r="BT69" i="33"/>
  <c r="BS69" i="33"/>
  <c r="BR69" i="33"/>
  <c r="BQ69" i="33"/>
  <c r="BP69" i="33"/>
  <c r="BO69" i="33"/>
  <c r="BN69" i="33"/>
  <c r="BM69" i="33"/>
  <c r="BL69" i="33"/>
  <c r="BK69" i="33"/>
  <c r="BJ69" i="33"/>
  <c r="BI69" i="33"/>
  <c r="BH69" i="33"/>
  <c r="BG69" i="33"/>
  <c r="BF69" i="33"/>
  <c r="BE69" i="33"/>
  <c r="BD69" i="33"/>
  <c r="BC69" i="33"/>
  <c r="BB69" i="33"/>
  <c r="BA69" i="33"/>
  <c r="AZ69" i="33"/>
  <c r="AY69" i="33"/>
  <c r="AX69" i="33"/>
  <c r="AW69" i="33"/>
  <c r="AV69" i="33"/>
  <c r="AU69" i="33"/>
  <c r="AT69" i="33"/>
  <c r="AS69" i="33"/>
  <c r="AR69" i="33"/>
  <c r="AQ69" i="33"/>
  <c r="AP69" i="33"/>
  <c r="AO69" i="33"/>
  <c r="AN69" i="33"/>
  <c r="AM69" i="33"/>
  <c r="AL69" i="33"/>
  <c r="AK69" i="33"/>
  <c r="AJ69" i="33"/>
  <c r="AI69" i="33"/>
  <c r="AH69" i="33"/>
  <c r="AG69" i="33"/>
  <c r="AF69" i="33"/>
  <c r="AE69" i="33"/>
  <c r="AD69" i="33"/>
  <c r="AC69" i="33"/>
  <c r="AB69" i="33"/>
  <c r="AA69" i="33"/>
  <c r="Z69" i="33"/>
  <c r="Y69" i="33"/>
  <c r="X69" i="33"/>
  <c r="W69" i="33"/>
  <c r="V69" i="33"/>
  <c r="U69" i="33"/>
  <c r="T69" i="33"/>
  <c r="S69" i="33"/>
  <c r="R69" i="33"/>
  <c r="Q69" i="33"/>
  <c r="P69" i="33"/>
  <c r="O69" i="33"/>
  <c r="N69" i="33"/>
  <c r="M69" i="33"/>
  <c r="L69" i="33"/>
  <c r="K69" i="33"/>
  <c r="J69" i="33"/>
  <c r="I69" i="33"/>
  <c r="H69" i="33"/>
  <c r="G69" i="33"/>
  <c r="F69" i="33"/>
  <c r="E69" i="33"/>
  <c r="D69" i="33"/>
  <c r="C69" i="33"/>
  <c r="B69" i="33"/>
  <c r="A69" i="33"/>
  <c r="IV68" i="33"/>
  <c r="IU68" i="33"/>
  <c r="IT68" i="33"/>
  <c r="IS68" i="33"/>
  <c r="IR68" i="33"/>
  <c r="IQ68" i="33"/>
  <c r="IP68" i="33"/>
  <c r="IO68" i="33"/>
  <c r="IN68" i="33"/>
  <c r="IM68" i="33"/>
  <c r="IL68" i="33"/>
  <c r="IK68" i="33"/>
  <c r="IJ68" i="33"/>
  <c r="II68" i="33"/>
  <c r="IH68" i="33"/>
  <c r="IG68" i="33"/>
  <c r="IF68" i="33"/>
  <c r="IE68" i="33"/>
  <c r="ID68" i="33"/>
  <c r="IC68" i="33"/>
  <c r="IB68" i="33"/>
  <c r="IA68" i="33"/>
  <c r="HZ68" i="33"/>
  <c r="HY68" i="33"/>
  <c r="HX68" i="33"/>
  <c r="HW68" i="33"/>
  <c r="HV68" i="33"/>
  <c r="HU68" i="33"/>
  <c r="HT68" i="33"/>
  <c r="HS68" i="33"/>
  <c r="HR68" i="33"/>
  <c r="HQ68" i="33"/>
  <c r="HP68" i="33"/>
  <c r="HO68" i="33"/>
  <c r="HN68" i="33"/>
  <c r="HM68" i="33"/>
  <c r="HL68" i="33"/>
  <c r="HK68" i="33"/>
  <c r="HJ68" i="33"/>
  <c r="HI68" i="33"/>
  <c r="HH68" i="33"/>
  <c r="HG68" i="33"/>
  <c r="HF68" i="33"/>
  <c r="HE68" i="33"/>
  <c r="HD68" i="33"/>
  <c r="HC68" i="33"/>
  <c r="HB68" i="33"/>
  <c r="HA68" i="33"/>
  <c r="GZ68" i="33"/>
  <c r="GY68" i="33"/>
  <c r="GX68" i="33"/>
  <c r="GW68" i="33"/>
  <c r="GV68" i="33"/>
  <c r="GU68" i="33"/>
  <c r="GT68" i="33"/>
  <c r="GS68" i="33"/>
  <c r="GR68" i="33"/>
  <c r="GQ68" i="33"/>
  <c r="GP68" i="33"/>
  <c r="GO68" i="33"/>
  <c r="GN68" i="33"/>
  <c r="GM68" i="33"/>
  <c r="GL68" i="33"/>
  <c r="GK68" i="33"/>
  <c r="GJ68" i="33"/>
  <c r="GI68" i="33"/>
  <c r="GH68" i="33"/>
  <c r="GG68" i="33"/>
  <c r="GF68" i="33"/>
  <c r="GE68" i="33"/>
  <c r="GD68" i="33"/>
  <c r="GC68" i="33"/>
  <c r="GB68" i="33"/>
  <c r="GA68" i="33"/>
  <c r="FZ68" i="33"/>
  <c r="FY68" i="33"/>
  <c r="FX68" i="33"/>
  <c r="FW68" i="33"/>
  <c r="FV68" i="33"/>
  <c r="FU68" i="33"/>
  <c r="FT68" i="33"/>
  <c r="FS68" i="33"/>
  <c r="FR68" i="33"/>
  <c r="FQ68" i="33"/>
  <c r="FP68" i="33"/>
  <c r="FO68" i="33"/>
  <c r="FN68" i="33"/>
  <c r="FM68" i="33"/>
  <c r="FL68" i="33"/>
  <c r="FK68" i="33"/>
  <c r="FJ68" i="33"/>
  <c r="FI68" i="33"/>
  <c r="FH68" i="33"/>
  <c r="FG68" i="33"/>
  <c r="FF68" i="33"/>
  <c r="FE68" i="33"/>
  <c r="FD68" i="33"/>
  <c r="FC68" i="33"/>
  <c r="FB68" i="33"/>
  <c r="FA68" i="33"/>
  <c r="EZ68" i="33"/>
  <c r="EY68" i="33"/>
  <c r="EX68" i="33"/>
  <c r="EW68" i="33"/>
  <c r="EV68" i="33"/>
  <c r="EU68" i="33"/>
  <c r="ET68" i="33"/>
  <c r="ES68" i="33"/>
  <c r="ER68" i="33"/>
  <c r="EQ68" i="33"/>
  <c r="EP68" i="33"/>
  <c r="EO68" i="33"/>
  <c r="EN68" i="33"/>
  <c r="EM68" i="33"/>
  <c r="EL68" i="33"/>
  <c r="EK68" i="33"/>
  <c r="EJ68" i="33"/>
  <c r="EI68" i="33"/>
  <c r="EH68" i="33"/>
  <c r="EG68" i="33"/>
  <c r="EF68" i="33"/>
  <c r="EE68" i="33"/>
  <c r="ED68" i="33"/>
  <c r="EC68" i="33"/>
  <c r="EB68" i="33"/>
  <c r="EA68" i="33"/>
  <c r="DZ68" i="33"/>
  <c r="DY68" i="33"/>
  <c r="DX68" i="33"/>
  <c r="DW68" i="33"/>
  <c r="DV68" i="33"/>
  <c r="DU68" i="33"/>
  <c r="DT68" i="33"/>
  <c r="DS68" i="33"/>
  <c r="DR68" i="33"/>
  <c r="DQ68" i="33"/>
  <c r="DP68" i="33"/>
  <c r="DO68" i="33"/>
  <c r="DN68" i="33"/>
  <c r="DM68" i="33"/>
  <c r="DL68" i="33"/>
  <c r="DK68" i="33"/>
  <c r="DJ68" i="33"/>
  <c r="DI68" i="33"/>
  <c r="DH68" i="33"/>
  <c r="DG68" i="33"/>
  <c r="DF68" i="33"/>
  <c r="DE68" i="33"/>
  <c r="DD68" i="33"/>
  <c r="DC68" i="33"/>
  <c r="DB68" i="33"/>
  <c r="DA68" i="33"/>
  <c r="CZ68" i="33"/>
  <c r="CY68" i="33"/>
  <c r="CX68" i="33"/>
  <c r="CW68" i="33"/>
  <c r="CV68" i="33"/>
  <c r="CU68" i="33"/>
  <c r="CT68" i="33"/>
  <c r="CS68" i="33"/>
  <c r="CR68" i="33"/>
  <c r="CQ68" i="33"/>
  <c r="CP68" i="33"/>
  <c r="CO68" i="33"/>
  <c r="CN68" i="33"/>
  <c r="CM68" i="33"/>
  <c r="CL68" i="33"/>
  <c r="CK68" i="33"/>
  <c r="CJ68" i="33"/>
  <c r="CI68" i="33"/>
  <c r="CH68" i="33"/>
  <c r="CG68" i="33"/>
  <c r="CF68" i="33"/>
  <c r="CE68" i="33"/>
  <c r="CD68" i="33"/>
  <c r="CC68" i="33"/>
  <c r="CB68" i="33"/>
  <c r="CA68" i="33"/>
  <c r="BZ68" i="33"/>
  <c r="BY68" i="33"/>
  <c r="BX68" i="33"/>
  <c r="BW68" i="33"/>
  <c r="BV68" i="33"/>
  <c r="BU68" i="33"/>
  <c r="BT68" i="33"/>
  <c r="BS68" i="33"/>
  <c r="BR68" i="33"/>
  <c r="BQ68" i="33"/>
  <c r="BP68" i="33"/>
  <c r="BO68" i="33"/>
  <c r="BN68" i="33"/>
  <c r="BM68" i="33"/>
  <c r="BL68" i="33"/>
  <c r="BK68" i="33"/>
  <c r="BJ68" i="33"/>
  <c r="BI68" i="33"/>
  <c r="BH68" i="33"/>
  <c r="BG68" i="33"/>
  <c r="BF68" i="33"/>
  <c r="BE68" i="33"/>
  <c r="BD68" i="33"/>
  <c r="BC68" i="33"/>
  <c r="BB68" i="33"/>
  <c r="BA68" i="33"/>
  <c r="AZ68" i="33"/>
  <c r="AY68" i="33"/>
  <c r="AX68" i="33"/>
  <c r="AW68" i="33"/>
  <c r="AV68" i="33"/>
  <c r="AU68" i="33"/>
  <c r="AT68" i="33"/>
  <c r="AS68" i="33"/>
  <c r="AR68" i="33"/>
  <c r="AQ68" i="33"/>
  <c r="AP68" i="33"/>
  <c r="AO68" i="33"/>
  <c r="AN68" i="33"/>
  <c r="AM68" i="33"/>
  <c r="AL68" i="33"/>
  <c r="AK68" i="33"/>
  <c r="AJ68" i="33"/>
  <c r="AI68" i="33"/>
  <c r="AH68" i="33"/>
  <c r="AG68" i="33"/>
  <c r="AF68" i="33"/>
  <c r="AE68" i="33"/>
  <c r="AD68" i="33"/>
  <c r="AC68" i="33"/>
  <c r="AB68" i="33"/>
  <c r="AA68" i="33"/>
  <c r="Z68" i="33"/>
  <c r="Y68" i="33"/>
  <c r="X68" i="33"/>
  <c r="W68" i="33"/>
  <c r="V68" i="33"/>
  <c r="U68" i="33"/>
  <c r="T68" i="33"/>
  <c r="S68" i="33"/>
  <c r="R68" i="33"/>
  <c r="Q68" i="33"/>
  <c r="P68" i="33"/>
  <c r="O68" i="33"/>
  <c r="N68" i="33"/>
  <c r="M68" i="33"/>
  <c r="L68" i="33"/>
  <c r="K68" i="33"/>
  <c r="J68" i="33"/>
  <c r="I68" i="33"/>
  <c r="H68" i="33"/>
  <c r="G68" i="33"/>
  <c r="F68" i="33"/>
  <c r="E68" i="33"/>
  <c r="D68" i="33"/>
  <c r="C68" i="33"/>
  <c r="B68" i="33"/>
  <c r="A68" i="33"/>
  <c r="IV67" i="33"/>
  <c r="IU67" i="33"/>
  <c r="IT67" i="33"/>
  <c r="IS67" i="33"/>
  <c r="IR67" i="33"/>
  <c r="IQ67" i="33"/>
  <c r="IP67" i="33"/>
  <c r="IO67" i="33"/>
  <c r="IN67" i="33"/>
  <c r="IM67" i="33"/>
  <c r="IL67" i="33"/>
  <c r="IK67" i="33"/>
  <c r="IJ67" i="33"/>
  <c r="II67" i="33"/>
  <c r="IH67" i="33"/>
  <c r="IG67" i="33"/>
  <c r="IF67" i="33"/>
  <c r="IE67" i="33"/>
  <c r="ID67" i="33"/>
  <c r="IC67" i="33"/>
  <c r="IB67" i="33"/>
  <c r="IA67" i="33"/>
  <c r="HZ67" i="33"/>
  <c r="HY67" i="33"/>
  <c r="HX67" i="33"/>
  <c r="HW67" i="33"/>
  <c r="HV67" i="33"/>
  <c r="HU67" i="33"/>
  <c r="HT67" i="33"/>
  <c r="HS67" i="33"/>
  <c r="HR67" i="33"/>
  <c r="HQ67" i="33"/>
  <c r="HP67" i="33"/>
  <c r="HO67" i="33"/>
  <c r="HN67" i="33"/>
  <c r="HM67" i="33"/>
  <c r="HL67" i="33"/>
  <c r="HK67" i="33"/>
  <c r="HJ67" i="33"/>
  <c r="HI67" i="33"/>
  <c r="HH67" i="33"/>
  <c r="HG67" i="33"/>
  <c r="HF67" i="33"/>
  <c r="HE67" i="33"/>
  <c r="HD67" i="33"/>
  <c r="HC67" i="33"/>
  <c r="HB67" i="33"/>
  <c r="HA67" i="33"/>
  <c r="GZ67" i="33"/>
  <c r="GY67" i="33"/>
  <c r="GX67" i="33"/>
  <c r="GW67" i="33"/>
  <c r="GV67" i="33"/>
  <c r="GU67" i="33"/>
  <c r="GT67" i="33"/>
  <c r="GS67" i="33"/>
  <c r="GR67" i="33"/>
  <c r="GQ67" i="33"/>
  <c r="GP67" i="33"/>
  <c r="GO67" i="33"/>
  <c r="GN67" i="33"/>
  <c r="GM67" i="33"/>
  <c r="GL67" i="33"/>
  <c r="GK67" i="33"/>
  <c r="GJ67" i="33"/>
  <c r="GI67" i="33"/>
  <c r="GH67" i="33"/>
  <c r="GG67" i="33"/>
  <c r="GF67" i="33"/>
  <c r="GE67" i="33"/>
  <c r="GD67" i="33"/>
  <c r="GC67" i="33"/>
  <c r="GB67" i="33"/>
  <c r="GA67" i="33"/>
  <c r="FZ67" i="33"/>
  <c r="FY67" i="33"/>
  <c r="FX67" i="33"/>
  <c r="FW67" i="33"/>
  <c r="FV67" i="33"/>
  <c r="FU67" i="33"/>
  <c r="FT67" i="33"/>
  <c r="FS67" i="33"/>
  <c r="FR67" i="33"/>
  <c r="FQ67" i="33"/>
  <c r="FP67" i="33"/>
  <c r="FO67" i="33"/>
  <c r="FN67" i="33"/>
  <c r="FM67" i="33"/>
  <c r="FL67" i="33"/>
  <c r="FK67" i="33"/>
  <c r="FJ67" i="33"/>
  <c r="FI67" i="33"/>
  <c r="FH67" i="33"/>
  <c r="FG67" i="33"/>
  <c r="FF67" i="33"/>
  <c r="FE67" i="33"/>
  <c r="FD67" i="33"/>
  <c r="FC67" i="33"/>
  <c r="FB67" i="33"/>
  <c r="FA67" i="33"/>
  <c r="EZ67" i="33"/>
  <c r="EY67" i="33"/>
  <c r="EX67" i="33"/>
  <c r="EW67" i="33"/>
  <c r="EV67" i="33"/>
  <c r="EU67" i="33"/>
  <c r="ET67" i="33"/>
  <c r="ES67" i="33"/>
  <c r="ER67" i="33"/>
  <c r="EQ67" i="33"/>
  <c r="EP67" i="33"/>
  <c r="EO67" i="33"/>
  <c r="EN67" i="33"/>
  <c r="EM67" i="33"/>
  <c r="EL67" i="33"/>
  <c r="EK67" i="33"/>
  <c r="EJ67" i="33"/>
  <c r="EI67" i="33"/>
  <c r="EH67" i="33"/>
  <c r="EG67" i="33"/>
  <c r="EF67" i="33"/>
  <c r="EE67" i="33"/>
  <c r="ED67" i="33"/>
  <c r="EC67" i="33"/>
  <c r="EB67" i="33"/>
  <c r="EA67" i="33"/>
  <c r="DZ67" i="33"/>
  <c r="DY67" i="33"/>
  <c r="DX67" i="33"/>
  <c r="DW67" i="33"/>
  <c r="DV67" i="33"/>
  <c r="DU67" i="33"/>
  <c r="DT67" i="33"/>
  <c r="DS67" i="33"/>
  <c r="DR67" i="33"/>
  <c r="DQ67" i="33"/>
  <c r="DP67" i="33"/>
  <c r="DO67" i="33"/>
  <c r="DN67" i="33"/>
  <c r="DM67" i="33"/>
  <c r="DL67" i="33"/>
  <c r="DK67" i="33"/>
  <c r="DJ67" i="33"/>
  <c r="DI67" i="33"/>
  <c r="DH67" i="33"/>
  <c r="DG67" i="33"/>
  <c r="DF67" i="33"/>
  <c r="DE67" i="33"/>
  <c r="DD67" i="33"/>
  <c r="DC67" i="33"/>
  <c r="DB67" i="33"/>
  <c r="DA67" i="33"/>
  <c r="CZ67" i="33"/>
  <c r="CY67" i="33"/>
  <c r="CX67" i="33"/>
  <c r="CW67" i="33"/>
  <c r="CV67" i="33"/>
  <c r="CU67" i="33"/>
  <c r="CT67" i="33"/>
  <c r="CS67" i="33"/>
  <c r="CR67" i="33"/>
  <c r="CQ67" i="33"/>
  <c r="CP67" i="33"/>
  <c r="CO67" i="33"/>
  <c r="CN67" i="33"/>
  <c r="CM67" i="33"/>
  <c r="CL67" i="33"/>
  <c r="CK67" i="33"/>
  <c r="CJ67" i="33"/>
  <c r="CI67" i="33"/>
  <c r="CH67" i="33"/>
  <c r="CG67" i="33"/>
  <c r="CF67" i="33"/>
  <c r="CE67" i="33"/>
  <c r="CD67" i="33"/>
  <c r="CC67" i="33"/>
  <c r="CB67" i="33"/>
  <c r="CA67" i="33"/>
  <c r="BZ67" i="33"/>
  <c r="BY67" i="33"/>
  <c r="BX67" i="33"/>
  <c r="BW67" i="33"/>
  <c r="BV67" i="33"/>
  <c r="BU67" i="33"/>
  <c r="BT67" i="33"/>
  <c r="BS67" i="33"/>
  <c r="BR67" i="33"/>
  <c r="BQ67" i="33"/>
  <c r="BP67" i="33"/>
  <c r="BO67" i="33"/>
  <c r="BN67" i="33"/>
  <c r="BM67" i="33"/>
  <c r="BL67" i="33"/>
  <c r="BK67" i="33"/>
  <c r="BJ67" i="33"/>
  <c r="BI67" i="33"/>
  <c r="BH67" i="33"/>
  <c r="BG67" i="33"/>
  <c r="BF67" i="33"/>
  <c r="BE67" i="33"/>
  <c r="BD67" i="33"/>
  <c r="BC67" i="33"/>
  <c r="BB67" i="33"/>
  <c r="BA67" i="33"/>
  <c r="AZ67" i="33"/>
  <c r="AY67" i="33"/>
  <c r="AX67" i="33"/>
  <c r="AW67" i="33"/>
  <c r="AV67" i="33"/>
  <c r="AU67" i="33"/>
  <c r="AT67" i="33"/>
  <c r="AS67" i="33"/>
  <c r="AR67" i="33"/>
  <c r="AQ67" i="33"/>
  <c r="AP67" i="33"/>
  <c r="AO67" i="33"/>
  <c r="AN67" i="33"/>
  <c r="AM67" i="33"/>
  <c r="AL67" i="33"/>
  <c r="AK67" i="33"/>
  <c r="AJ67" i="33"/>
  <c r="AI67" i="33"/>
  <c r="AH67" i="33"/>
  <c r="AG67" i="33"/>
  <c r="AF67" i="33"/>
  <c r="AE67" i="33"/>
  <c r="AD67" i="33"/>
  <c r="AC67" i="33"/>
  <c r="AB67" i="33"/>
  <c r="AA67" i="33"/>
  <c r="Z67" i="33"/>
  <c r="Y67" i="33"/>
  <c r="X67" i="33"/>
  <c r="W67" i="33"/>
  <c r="V67" i="33"/>
  <c r="U67" i="33"/>
  <c r="T67" i="33"/>
  <c r="S67" i="33"/>
  <c r="R67" i="33"/>
  <c r="Q67" i="33"/>
  <c r="P67" i="33"/>
  <c r="O67" i="33"/>
  <c r="N67" i="33"/>
  <c r="M67" i="33"/>
  <c r="L67" i="33"/>
  <c r="K67" i="33"/>
  <c r="J67" i="33"/>
  <c r="I67" i="33"/>
  <c r="H67" i="33"/>
  <c r="G67" i="33"/>
  <c r="F67" i="33"/>
  <c r="E67" i="33"/>
  <c r="D67" i="33"/>
  <c r="C67" i="33"/>
  <c r="B67" i="33"/>
  <c r="A67" i="33"/>
  <c r="IV66" i="33"/>
  <c r="IU66" i="33"/>
  <c r="IT66" i="33"/>
  <c r="IS66" i="33"/>
  <c r="IR66" i="33"/>
  <c r="IQ66" i="33"/>
  <c r="IP66" i="33"/>
  <c r="IO66" i="33"/>
  <c r="IN66" i="33"/>
  <c r="IM66" i="33"/>
  <c r="IL66" i="33"/>
  <c r="IK66" i="33"/>
  <c r="IJ66" i="33"/>
  <c r="II66" i="33"/>
  <c r="IH66" i="33"/>
  <c r="IG66" i="33"/>
  <c r="IF66" i="33"/>
  <c r="IE66" i="33"/>
  <c r="ID66" i="33"/>
  <c r="IC66" i="33"/>
  <c r="IB66" i="33"/>
  <c r="IA66" i="33"/>
  <c r="HZ66" i="33"/>
  <c r="HY66" i="33"/>
  <c r="HX66" i="33"/>
  <c r="HW66" i="33"/>
  <c r="HV66" i="33"/>
  <c r="HU66" i="33"/>
  <c r="HT66" i="33"/>
  <c r="HS66" i="33"/>
  <c r="HR66" i="33"/>
  <c r="HQ66" i="33"/>
  <c r="HP66" i="33"/>
  <c r="HO66" i="33"/>
  <c r="HN66" i="33"/>
  <c r="HM66" i="33"/>
  <c r="HL66" i="33"/>
  <c r="HK66" i="33"/>
  <c r="HJ66" i="33"/>
  <c r="HI66" i="33"/>
  <c r="HH66" i="33"/>
  <c r="HG66" i="33"/>
  <c r="HF66" i="33"/>
  <c r="HE66" i="33"/>
  <c r="HD66" i="33"/>
  <c r="HC66" i="33"/>
  <c r="HB66" i="33"/>
  <c r="HA66" i="33"/>
  <c r="GZ66" i="33"/>
  <c r="GY66" i="33"/>
  <c r="GX66" i="33"/>
  <c r="GW66" i="33"/>
  <c r="GV66" i="33"/>
  <c r="GU66" i="33"/>
  <c r="GT66" i="33"/>
  <c r="GS66" i="33"/>
  <c r="GR66" i="33"/>
  <c r="GQ66" i="33"/>
  <c r="GP66" i="33"/>
  <c r="GO66" i="33"/>
  <c r="GN66" i="33"/>
  <c r="GM66" i="33"/>
  <c r="GL66" i="33"/>
  <c r="GK66" i="33"/>
  <c r="GJ66" i="33"/>
  <c r="GI66" i="33"/>
  <c r="GH66" i="33"/>
  <c r="GG66" i="33"/>
  <c r="GF66" i="33"/>
  <c r="GE66" i="33"/>
  <c r="GD66" i="33"/>
  <c r="GC66" i="33"/>
  <c r="GB66" i="33"/>
  <c r="GA66" i="33"/>
  <c r="FZ66" i="33"/>
  <c r="FY66" i="33"/>
  <c r="FX66" i="33"/>
  <c r="FW66" i="33"/>
  <c r="FV66" i="33"/>
  <c r="FU66" i="33"/>
  <c r="FT66" i="33"/>
  <c r="FS66" i="33"/>
  <c r="FR66" i="33"/>
  <c r="FQ66" i="33"/>
  <c r="FP66" i="33"/>
  <c r="FO66" i="33"/>
  <c r="FN66" i="33"/>
  <c r="FM66" i="33"/>
  <c r="FL66" i="33"/>
  <c r="FK66" i="33"/>
  <c r="FJ66" i="33"/>
  <c r="FI66" i="33"/>
  <c r="FH66" i="33"/>
  <c r="FG66" i="33"/>
  <c r="FF66" i="33"/>
  <c r="FE66" i="33"/>
  <c r="FD66" i="33"/>
  <c r="FC66" i="33"/>
  <c r="FB66" i="33"/>
  <c r="FA66" i="33"/>
  <c r="EZ66" i="33"/>
  <c r="EY66" i="33"/>
  <c r="EX66" i="33"/>
  <c r="EW66" i="33"/>
  <c r="EV66" i="33"/>
  <c r="EU66" i="33"/>
  <c r="ET66" i="33"/>
  <c r="ES66" i="33"/>
  <c r="ER66" i="33"/>
  <c r="EQ66" i="33"/>
  <c r="EP66" i="33"/>
  <c r="EO66" i="33"/>
  <c r="EN66" i="33"/>
  <c r="EM66" i="33"/>
  <c r="EL66" i="33"/>
  <c r="EK66" i="33"/>
  <c r="EJ66" i="33"/>
  <c r="EI66" i="33"/>
  <c r="EH66" i="33"/>
  <c r="EG66" i="33"/>
  <c r="EF66" i="33"/>
  <c r="EE66" i="33"/>
  <c r="ED66" i="33"/>
  <c r="EC66" i="33"/>
  <c r="EB66" i="33"/>
  <c r="EA66" i="33"/>
  <c r="DZ66" i="33"/>
  <c r="DY66" i="33"/>
  <c r="DX66" i="33"/>
  <c r="DW66" i="33"/>
  <c r="DV66" i="33"/>
  <c r="DU66" i="33"/>
  <c r="DT66" i="33"/>
  <c r="DS66" i="33"/>
  <c r="DR66" i="33"/>
  <c r="DQ66" i="33"/>
  <c r="DP66" i="33"/>
  <c r="DO66" i="33"/>
  <c r="DN66" i="33"/>
  <c r="DM66" i="33"/>
  <c r="DL66" i="33"/>
  <c r="DK66" i="33"/>
  <c r="DJ66" i="33"/>
  <c r="DI66" i="33"/>
  <c r="DH66" i="33"/>
  <c r="DG66" i="33"/>
  <c r="DF66" i="33"/>
  <c r="DE66" i="33"/>
  <c r="DD66" i="33"/>
  <c r="DC66" i="33"/>
  <c r="DB66" i="33"/>
  <c r="DA66" i="33"/>
  <c r="CZ66" i="33"/>
  <c r="CY66" i="33"/>
  <c r="CX66" i="33"/>
  <c r="CW66" i="33"/>
  <c r="CV66" i="33"/>
  <c r="CU66" i="33"/>
  <c r="CT66" i="33"/>
  <c r="CS66" i="33"/>
  <c r="CR66" i="33"/>
  <c r="CQ66" i="33"/>
  <c r="CP66" i="33"/>
  <c r="CO66" i="33"/>
  <c r="CN66" i="33"/>
  <c r="CM66" i="33"/>
  <c r="CL66" i="33"/>
  <c r="CK66" i="33"/>
  <c r="CJ66" i="33"/>
  <c r="CI66" i="33"/>
  <c r="CH66" i="33"/>
  <c r="CG66" i="33"/>
  <c r="CF66" i="33"/>
  <c r="CE66" i="33"/>
  <c r="CD66" i="33"/>
  <c r="CC66" i="33"/>
  <c r="CB66" i="33"/>
  <c r="CA66" i="33"/>
  <c r="BZ66" i="33"/>
  <c r="BY66" i="33"/>
  <c r="BX66" i="33"/>
  <c r="BW66" i="33"/>
  <c r="BV66" i="33"/>
  <c r="BU66" i="33"/>
  <c r="BT66" i="33"/>
  <c r="BS66" i="33"/>
  <c r="BR66" i="33"/>
  <c r="BQ66" i="33"/>
  <c r="BP66" i="33"/>
  <c r="BO66" i="33"/>
  <c r="BN66" i="33"/>
  <c r="BM66" i="33"/>
  <c r="BL66" i="33"/>
  <c r="BK66" i="33"/>
  <c r="BJ66" i="33"/>
  <c r="BI66" i="33"/>
  <c r="BH66" i="33"/>
  <c r="BG66" i="33"/>
  <c r="BF66" i="33"/>
  <c r="BE66" i="33"/>
  <c r="BD66" i="33"/>
  <c r="BC66" i="33"/>
  <c r="BB66" i="33"/>
  <c r="BA66" i="33"/>
  <c r="AZ66" i="33"/>
  <c r="AY66" i="33"/>
  <c r="AX66" i="33"/>
  <c r="AW66" i="33"/>
  <c r="AV66" i="33"/>
  <c r="AU66" i="33"/>
  <c r="AT66" i="33"/>
  <c r="AS66" i="33"/>
  <c r="AR66" i="33"/>
  <c r="AQ66" i="33"/>
  <c r="AP66" i="33"/>
  <c r="AO66" i="33"/>
  <c r="AN66" i="33"/>
  <c r="AM66" i="33"/>
  <c r="AL66" i="33"/>
  <c r="AK66" i="33"/>
  <c r="AJ66" i="33"/>
  <c r="AI66" i="33"/>
  <c r="AH66" i="33"/>
  <c r="AG66" i="33"/>
  <c r="AF66" i="33"/>
  <c r="AE66" i="33"/>
  <c r="AD66" i="33"/>
  <c r="AC66" i="33"/>
  <c r="AB66" i="33"/>
  <c r="AA66" i="33"/>
  <c r="Z66" i="33"/>
  <c r="Y66" i="33"/>
  <c r="X66" i="33"/>
  <c r="W66" i="33"/>
  <c r="V66" i="33"/>
  <c r="U66" i="33"/>
  <c r="T66" i="33"/>
  <c r="S66" i="33"/>
  <c r="R66" i="33"/>
  <c r="Q66" i="33"/>
  <c r="P66" i="33"/>
  <c r="O66" i="33"/>
  <c r="N66" i="33"/>
  <c r="M66" i="33"/>
  <c r="L66" i="33"/>
  <c r="K66" i="33"/>
  <c r="J66" i="33"/>
  <c r="I66" i="33"/>
  <c r="H66" i="33"/>
  <c r="G66" i="33"/>
  <c r="F66" i="33"/>
  <c r="E66" i="33"/>
  <c r="D66" i="33"/>
  <c r="C66" i="33"/>
  <c r="B66" i="33"/>
  <c r="A66" i="33"/>
  <c r="IV65" i="33"/>
  <c r="IU65" i="33"/>
  <c r="IT65" i="33"/>
  <c r="IS65" i="33"/>
  <c r="IR65" i="33"/>
  <c r="IQ65" i="33"/>
  <c r="IP65" i="33"/>
  <c r="IO65" i="33"/>
  <c r="IN65" i="33"/>
  <c r="IM65" i="33"/>
  <c r="IL65" i="33"/>
  <c r="IK65" i="33"/>
  <c r="IJ65" i="33"/>
  <c r="II65" i="33"/>
  <c r="IH65" i="33"/>
  <c r="IG65" i="33"/>
  <c r="IF65" i="33"/>
  <c r="IE65" i="33"/>
  <c r="ID65" i="33"/>
  <c r="IC65" i="33"/>
  <c r="IB65" i="33"/>
  <c r="IA65" i="33"/>
  <c r="HZ65" i="33"/>
  <c r="HY65" i="33"/>
  <c r="HX65" i="33"/>
  <c r="HW65" i="33"/>
  <c r="HV65" i="33"/>
  <c r="HU65" i="33"/>
  <c r="HT65" i="33"/>
  <c r="HS65" i="33"/>
  <c r="HR65" i="33"/>
  <c r="HQ65" i="33"/>
  <c r="HP65" i="33"/>
  <c r="HO65" i="33"/>
  <c r="HN65" i="33"/>
  <c r="HM65" i="33"/>
  <c r="HL65" i="33"/>
  <c r="HK65" i="33"/>
  <c r="HJ65" i="33"/>
  <c r="HI65" i="33"/>
  <c r="HH65" i="33"/>
  <c r="HG65" i="33"/>
  <c r="HF65" i="33"/>
  <c r="HE65" i="33"/>
  <c r="HD65" i="33"/>
  <c r="HC65" i="33"/>
  <c r="HB65" i="33"/>
  <c r="HA65" i="33"/>
  <c r="GZ65" i="33"/>
  <c r="GY65" i="33"/>
  <c r="GX65" i="33"/>
  <c r="GW65" i="33"/>
  <c r="GV65" i="33"/>
  <c r="GU65" i="33"/>
  <c r="GT65" i="33"/>
  <c r="GS65" i="33"/>
  <c r="GR65" i="33"/>
  <c r="GQ65" i="33"/>
  <c r="GP65" i="33"/>
  <c r="GO65" i="33"/>
  <c r="GN65" i="33"/>
  <c r="GM65" i="33"/>
  <c r="GL65" i="33"/>
  <c r="GK65" i="33"/>
  <c r="GJ65" i="33"/>
  <c r="GI65" i="33"/>
  <c r="GH65" i="33"/>
  <c r="GG65" i="33"/>
  <c r="GF65" i="33"/>
  <c r="GE65" i="33"/>
  <c r="GD65" i="33"/>
  <c r="GC65" i="33"/>
  <c r="GB65" i="33"/>
  <c r="GA65" i="33"/>
  <c r="FZ65" i="33"/>
  <c r="FY65" i="33"/>
  <c r="FX65" i="33"/>
  <c r="FW65" i="33"/>
  <c r="FV65" i="33"/>
  <c r="FU65" i="33"/>
  <c r="FT65" i="33"/>
  <c r="FS65" i="33"/>
  <c r="FR65" i="33"/>
  <c r="FQ65" i="33"/>
  <c r="FP65" i="33"/>
  <c r="FO65" i="33"/>
  <c r="FN65" i="33"/>
  <c r="FM65" i="33"/>
  <c r="FL65" i="33"/>
  <c r="FK65" i="33"/>
  <c r="FJ65" i="33"/>
  <c r="FI65" i="33"/>
  <c r="FH65" i="33"/>
  <c r="FG65" i="33"/>
  <c r="FF65" i="33"/>
  <c r="FE65" i="33"/>
  <c r="FD65" i="33"/>
  <c r="FC65" i="33"/>
  <c r="FB65" i="33"/>
  <c r="FA65" i="33"/>
  <c r="EZ65" i="33"/>
  <c r="EY65" i="33"/>
  <c r="EX65" i="33"/>
  <c r="EW65" i="33"/>
  <c r="EV65" i="33"/>
  <c r="EU65" i="33"/>
  <c r="ET65" i="33"/>
  <c r="ES65" i="33"/>
  <c r="ER65" i="33"/>
  <c r="EQ65" i="33"/>
  <c r="EP65" i="33"/>
  <c r="EO65" i="33"/>
  <c r="EN65" i="33"/>
  <c r="EM65" i="33"/>
  <c r="EL65" i="33"/>
  <c r="EK65" i="33"/>
  <c r="EJ65" i="33"/>
  <c r="EI65" i="33"/>
  <c r="EH65" i="33"/>
  <c r="EG65" i="33"/>
  <c r="EF65" i="33"/>
  <c r="EE65" i="33"/>
  <c r="ED65" i="33"/>
  <c r="EC65" i="33"/>
  <c r="EB65" i="33"/>
  <c r="EA65" i="33"/>
  <c r="DZ65" i="33"/>
  <c r="DY65" i="33"/>
  <c r="DX65" i="33"/>
  <c r="DW65" i="33"/>
  <c r="DV65" i="33"/>
  <c r="DU65" i="33"/>
  <c r="DT65" i="33"/>
  <c r="DS65" i="33"/>
  <c r="DR65" i="33"/>
  <c r="DQ65" i="33"/>
  <c r="DP65" i="33"/>
  <c r="DO65" i="33"/>
  <c r="DN65" i="33"/>
  <c r="DM65" i="33"/>
  <c r="DL65" i="33"/>
  <c r="DK65" i="33"/>
  <c r="DJ65" i="33"/>
  <c r="DI65" i="33"/>
  <c r="DH65" i="33"/>
  <c r="DG65" i="33"/>
  <c r="DF65" i="33"/>
  <c r="DE65" i="33"/>
  <c r="DD65" i="33"/>
  <c r="DC65" i="33"/>
  <c r="DB65" i="33"/>
  <c r="DA65" i="33"/>
  <c r="CZ65" i="33"/>
  <c r="CY65" i="33"/>
  <c r="CX65" i="33"/>
  <c r="CW65" i="33"/>
  <c r="CV65" i="33"/>
  <c r="CU65" i="33"/>
  <c r="CT65" i="33"/>
  <c r="CS65" i="33"/>
  <c r="CR65" i="33"/>
  <c r="CQ65" i="33"/>
  <c r="CP65" i="33"/>
  <c r="CO65" i="33"/>
  <c r="CN65" i="33"/>
  <c r="CM65" i="33"/>
  <c r="CL65" i="33"/>
  <c r="CK65" i="33"/>
  <c r="CJ65" i="33"/>
  <c r="CI65" i="33"/>
  <c r="CH65" i="33"/>
  <c r="CG65" i="33"/>
  <c r="CF65" i="33"/>
  <c r="CE65" i="33"/>
  <c r="CD65" i="33"/>
  <c r="CC65" i="33"/>
  <c r="CB65" i="33"/>
  <c r="CA65" i="33"/>
  <c r="BZ65" i="33"/>
  <c r="BY65" i="33"/>
  <c r="BX65" i="33"/>
  <c r="BW65" i="33"/>
  <c r="BV65" i="33"/>
  <c r="BU65" i="33"/>
  <c r="BT65" i="33"/>
  <c r="BS65" i="33"/>
  <c r="BR65" i="33"/>
  <c r="BQ65" i="33"/>
  <c r="BP65" i="33"/>
  <c r="BO65" i="33"/>
  <c r="BN65" i="33"/>
  <c r="BM65" i="33"/>
  <c r="BL65" i="33"/>
  <c r="BK65" i="33"/>
  <c r="BJ65" i="33"/>
  <c r="BI65" i="33"/>
  <c r="BH65" i="33"/>
  <c r="BG65" i="33"/>
  <c r="BF65" i="33"/>
  <c r="BE65" i="33"/>
  <c r="BD65" i="33"/>
  <c r="BC65" i="33"/>
  <c r="BB65" i="33"/>
  <c r="BA65" i="33"/>
  <c r="AZ65" i="33"/>
  <c r="AY65" i="33"/>
  <c r="AX65" i="33"/>
  <c r="AW65" i="33"/>
  <c r="AV65" i="33"/>
  <c r="AU65" i="33"/>
  <c r="AT65" i="33"/>
  <c r="AS65" i="33"/>
  <c r="AR65" i="33"/>
  <c r="AQ65" i="33"/>
  <c r="AP65" i="33"/>
  <c r="AO65" i="33"/>
  <c r="AN65" i="33"/>
  <c r="AM65" i="33"/>
  <c r="AL65" i="33"/>
  <c r="AK65" i="33"/>
  <c r="AJ65" i="33"/>
  <c r="AI65" i="33"/>
  <c r="AH65" i="33"/>
  <c r="AG65" i="33"/>
  <c r="AF65" i="33"/>
  <c r="AE65" i="33"/>
  <c r="AD65" i="33"/>
  <c r="AC65" i="33"/>
  <c r="AB65" i="33"/>
  <c r="AA65" i="33"/>
  <c r="Z65" i="33"/>
  <c r="Y65" i="33"/>
  <c r="X65" i="33"/>
  <c r="W65" i="33"/>
  <c r="V65" i="33"/>
  <c r="U65" i="33"/>
  <c r="T65" i="33"/>
  <c r="S65" i="33"/>
  <c r="R65" i="33"/>
  <c r="Q65" i="33"/>
  <c r="P65" i="33"/>
  <c r="O65" i="33"/>
  <c r="N65" i="33"/>
  <c r="M65" i="33"/>
  <c r="L65" i="33"/>
  <c r="K65" i="33"/>
  <c r="J65" i="33"/>
  <c r="I65" i="33"/>
  <c r="H65" i="33"/>
  <c r="G65" i="33"/>
  <c r="F65" i="33"/>
  <c r="E65" i="33"/>
  <c r="D65" i="33"/>
  <c r="C65" i="33"/>
  <c r="B65" i="33"/>
  <c r="A65" i="33"/>
  <c r="IV64" i="33"/>
  <c r="IU64" i="33"/>
  <c r="IT64" i="33"/>
  <c r="IS64" i="33"/>
  <c r="IR64" i="33"/>
  <c r="IQ64" i="33"/>
  <c r="IP64" i="33"/>
  <c r="IO64" i="33"/>
  <c r="IN64" i="33"/>
  <c r="IM64" i="33"/>
  <c r="IL64" i="33"/>
  <c r="IK64" i="33"/>
  <c r="IJ64" i="33"/>
  <c r="II64" i="33"/>
  <c r="IH64" i="33"/>
  <c r="IG64" i="33"/>
  <c r="IF64" i="33"/>
  <c r="IE64" i="33"/>
  <c r="ID64" i="33"/>
  <c r="IC64" i="33"/>
  <c r="IB64" i="33"/>
  <c r="IA64" i="33"/>
  <c r="HZ64" i="33"/>
  <c r="HY64" i="33"/>
  <c r="HX64" i="33"/>
  <c r="HW64" i="33"/>
  <c r="HV64" i="33"/>
  <c r="HU64" i="33"/>
  <c r="HT64" i="33"/>
  <c r="HS64" i="33"/>
  <c r="HR64" i="33"/>
  <c r="HQ64" i="33"/>
  <c r="HP64" i="33"/>
  <c r="HO64" i="33"/>
  <c r="HN64" i="33"/>
  <c r="HM64" i="33"/>
  <c r="HL64" i="33"/>
  <c r="HK64" i="33"/>
  <c r="HJ64" i="33"/>
  <c r="HI64" i="33"/>
  <c r="HH64" i="33"/>
  <c r="HG64" i="33"/>
  <c r="HF64" i="33"/>
  <c r="HE64" i="33"/>
  <c r="HD64" i="33"/>
  <c r="HC64" i="33"/>
  <c r="HB64" i="33"/>
  <c r="HA64" i="33"/>
  <c r="GZ64" i="33"/>
  <c r="GY64" i="33"/>
  <c r="GX64" i="33"/>
  <c r="GW64" i="33"/>
  <c r="GV64" i="33"/>
  <c r="GU64" i="33"/>
  <c r="GT64" i="33"/>
  <c r="GS64" i="33"/>
  <c r="GR64" i="33"/>
  <c r="GQ64" i="33"/>
  <c r="GP64" i="33"/>
  <c r="GO64" i="33"/>
  <c r="GN64" i="33"/>
  <c r="GM64" i="33"/>
  <c r="GL64" i="33"/>
  <c r="GK64" i="33"/>
  <c r="GJ64" i="33"/>
  <c r="GI64" i="33"/>
  <c r="GH64" i="33"/>
  <c r="GG64" i="33"/>
  <c r="GF64" i="33"/>
  <c r="GE64" i="33"/>
  <c r="GD64" i="33"/>
  <c r="GC64" i="33"/>
  <c r="GB64" i="33"/>
  <c r="GA64" i="33"/>
  <c r="FZ64" i="33"/>
  <c r="FY64" i="33"/>
  <c r="FX64" i="33"/>
  <c r="FW64" i="33"/>
  <c r="FV64" i="33"/>
  <c r="FU64" i="33"/>
  <c r="FT64" i="33"/>
  <c r="FS64" i="33"/>
  <c r="FR64" i="33"/>
  <c r="FQ64" i="33"/>
  <c r="FP64" i="33"/>
  <c r="FO64" i="33"/>
  <c r="FN64" i="33"/>
  <c r="FM64" i="33"/>
  <c r="FL64" i="33"/>
  <c r="FK64" i="33"/>
  <c r="FJ64" i="33"/>
  <c r="FI64" i="33"/>
  <c r="FH64" i="33"/>
  <c r="FG64" i="33"/>
  <c r="FF64" i="33"/>
  <c r="FE64" i="33"/>
  <c r="FD64" i="33"/>
  <c r="FC64" i="33"/>
  <c r="FB64" i="33"/>
  <c r="FA64" i="33"/>
  <c r="EZ64" i="33"/>
  <c r="EY64" i="33"/>
  <c r="EX64" i="33"/>
  <c r="EW64" i="33"/>
  <c r="EV64" i="33"/>
  <c r="EU64" i="33"/>
  <c r="ET64" i="33"/>
  <c r="ES64" i="33"/>
  <c r="ER64" i="33"/>
  <c r="EQ64" i="33"/>
  <c r="EP64" i="33"/>
  <c r="EO64" i="33"/>
  <c r="EN64" i="33"/>
  <c r="EM64" i="33"/>
  <c r="EL64" i="33"/>
  <c r="EK64" i="33"/>
  <c r="EJ64" i="33"/>
  <c r="EI64" i="33"/>
  <c r="EH64" i="33"/>
  <c r="EG64" i="33"/>
  <c r="EF64" i="33"/>
  <c r="EE64" i="33"/>
  <c r="ED64" i="33"/>
  <c r="EC64" i="33"/>
  <c r="EB64" i="33"/>
  <c r="EA64" i="33"/>
  <c r="DZ64" i="33"/>
  <c r="DY64" i="33"/>
  <c r="DX64" i="33"/>
  <c r="DW64" i="33"/>
  <c r="DV64" i="33"/>
  <c r="DU64" i="33"/>
  <c r="DT64" i="33"/>
  <c r="DS64" i="33"/>
  <c r="DR64" i="33"/>
  <c r="DQ64" i="33"/>
  <c r="DP64" i="33"/>
  <c r="DO64" i="33"/>
  <c r="DN64" i="33"/>
  <c r="DM64" i="33"/>
  <c r="DL64" i="33"/>
  <c r="DK64" i="33"/>
  <c r="DJ64" i="33"/>
  <c r="DI64" i="33"/>
  <c r="DH64" i="33"/>
  <c r="DG64" i="33"/>
  <c r="DF64" i="33"/>
  <c r="DE64" i="33"/>
  <c r="DD64" i="33"/>
  <c r="DC64" i="33"/>
  <c r="DB64" i="33"/>
  <c r="DA64" i="33"/>
  <c r="CZ64" i="33"/>
  <c r="CY64" i="33"/>
  <c r="CX64" i="33"/>
  <c r="CW64" i="33"/>
  <c r="CV64" i="33"/>
  <c r="CU64" i="33"/>
  <c r="CT64" i="33"/>
  <c r="CS64" i="33"/>
  <c r="CR64" i="33"/>
  <c r="CQ64" i="33"/>
  <c r="CP64" i="33"/>
  <c r="CO64" i="33"/>
  <c r="CN64" i="33"/>
  <c r="CM64" i="33"/>
  <c r="CL64" i="33"/>
  <c r="CK64" i="33"/>
  <c r="CJ64" i="33"/>
  <c r="CI64" i="33"/>
  <c r="CH64" i="33"/>
  <c r="CG64" i="33"/>
  <c r="CF64" i="33"/>
  <c r="CE64" i="33"/>
  <c r="CD64" i="33"/>
  <c r="CC64" i="33"/>
  <c r="CB64" i="33"/>
  <c r="CA64" i="33"/>
  <c r="BZ64" i="33"/>
  <c r="BY64" i="33"/>
  <c r="BX64" i="33"/>
  <c r="BW64" i="33"/>
  <c r="BV64" i="33"/>
  <c r="BU64" i="33"/>
  <c r="BT64" i="33"/>
  <c r="BS64" i="33"/>
  <c r="BR64" i="33"/>
  <c r="BQ64" i="33"/>
  <c r="BP64" i="33"/>
  <c r="BO64" i="33"/>
  <c r="BN64" i="33"/>
  <c r="BM64" i="33"/>
  <c r="BL64" i="33"/>
  <c r="BK64" i="33"/>
  <c r="BJ64" i="33"/>
  <c r="BI64" i="33"/>
  <c r="BH64" i="33"/>
  <c r="BG64" i="33"/>
  <c r="BF64" i="33"/>
  <c r="BE64" i="33"/>
  <c r="BD64" i="33"/>
  <c r="BC64" i="33"/>
  <c r="BB64" i="33"/>
  <c r="BA64" i="33"/>
  <c r="AZ64" i="33"/>
  <c r="AY64" i="33"/>
  <c r="AX64" i="33"/>
  <c r="AW64" i="33"/>
  <c r="AV64" i="33"/>
  <c r="AU64" i="33"/>
  <c r="AT64" i="33"/>
  <c r="AS64" i="33"/>
  <c r="AR64" i="33"/>
  <c r="AQ64" i="33"/>
  <c r="AP64" i="33"/>
  <c r="AO64" i="33"/>
  <c r="AN64" i="33"/>
  <c r="AM64" i="33"/>
  <c r="AL64" i="33"/>
  <c r="AK64" i="33"/>
  <c r="AJ64" i="33"/>
  <c r="AI64" i="33"/>
  <c r="AH64" i="33"/>
  <c r="AG64" i="33"/>
  <c r="AF64" i="33"/>
  <c r="AE64" i="33"/>
  <c r="AD64" i="33"/>
  <c r="AC64" i="33"/>
  <c r="AB64" i="33"/>
  <c r="AA64" i="33"/>
  <c r="Z64" i="33"/>
  <c r="Y64" i="33"/>
  <c r="X64" i="33"/>
  <c r="W64" i="33"/>
  <c r="V64" i="33"/>
  <c r="U64" i="33"/>
  <c r="T64" i="33"/>
  <c r="S64" i="33"/>
  <c r="R64" i="33"/>
  <c r="Q64" i="33"/>
  <c r="P64" i="33"/>
  <c r="O64" i="33"/>
  <c r="N64" i="33"/>
  <c r="M64" i="33"/>
  <c r="L64" i="33"/>
  <c r="K64" i="33"/>
  <c r="J64" i="33"/>
  <c r="I64" i="33"/>
  <c r="H64" i="33"/>
  <c r="G64" i="33"/>
  <c r="F64" i="33"/>
  <c r="E64" i="33"/>
  <c r="D64" i="33"/>
  <c r="C64" i="33"/>
  <c r="B64" i="33"/>
  <c r="A64" i="33"/>
  <c r="IV63" i="33"/>
  <c r="IU63" i="33"/>
  <c r="IT63" i="33"/>
  <c r="IS63" i="33"/>
  <c r="IR63" i="33"/>
  <c r="IQ63" i="33"/>
  <c r="IP63" i="33"/>
  <c r="IO63" i="33"/>
  <c r="IN63" i="33"/>
  <c r="IM63" i="33"/>
  <c r="IL63" i="33"/>
  <c r="IK63" i="33"/>
  <c r="IJ63" i="33"/>
  <c r="II63" i="33"/>
  <c r="IH63" i="33"/>
  <c r="IG63" i="33"/>
  <c r="IF63" i="33"/>
  <c r="IE63" i="33"/>
  <c r="ID63" i="33"/>
  <c r="IC63" i="33"/>
  <c r="IB63" i="33"/>
  <c r="IA63" i="33"/>
  <c r="HZ63" i="33"/>
  <c r="HY63" i="33"/>
  <c r="HX63" i="33"/>
  <c r="HW63" i="33"/>
  <c r="HV63" i="33"/>
  <c r="HU63" i="33"/>
  <c r="HT63" i="33"/>
  <c r="HS63" i="33"/>
  <c r="HR63" i="33"/>
  <c r="HQ63" i="33"/>
  <c r="HP63" i="33"/>
  <c r="HO63" i="33"/>
  <c r="HN63" i="33"/>
  <c r="HM63" i="33"/>
  <c r="HL63" i="33"/>
  <c r="HK63" i="33"/>
  <c r="HJ63" i="33"/>
  <c r="HI63" i="33"/>
  <c r="HH63" i="33"/>
  <c r="HG63" i="33"/>
  <c r="HF63" i="33"/>
  <c r="HE63" i="33"/>
  <c r="HD63" i="33"/>
  <c r="HC63" i="33"/>
  <c r="HB63" i="33"/>
  <c r="HA63" i="33"/>
  <c r="GZ63" i="33"/>
  <c r="GY63" i="33"/>
  <c r="GX63" i="33"/>
  <c r="GW63" i="33"/>
  <c r="GV63" i="33"/>
  <c r="GU63" i="33"/>
  <c r="GT63" i="33"/>
  <c r="GS63" i="33"/>
  <c r="GR63" i="33"/>
  <c r="GQ63" i="33"/>
  <c r="GP63" i="33"/>
  <c r="GO63" i="33"/>
  <c r="GN63" i="33"/>
  <c r="GM63" i="33"/>
  <c r="GL63" i="33"/>
  <c r="GK63" i="33"/>
  <c r="GJ63" i="33"/>
  <c r="GI63" i="33"/>
  <c r="GH63" i="33"/>
  <c r="GG63" i="33"/>
  <c r="GF63" i="33"/>
  <c r="GE63" i="33"/>
  <c r="GD63" i="33"/>
  <c r="GC63" i="33"/>
  <c r="GB63" i="33"/>
  <c r="GA63" i="33"/>
  <c r="FZ63" i="33"/>
  <c r="FY63" i="33"/>
  <c r="FX63" i="33"/>
  <c r="FW63" i="33"/>
  <c r="FV63" i="33"/>
  <c r="FU63" i="33"/>
  <c r="FT63" i="33"/>
  <c r="FS63" i="33"/>
  <c r="FR63" i="33"/>
  <c r="FQ63" i="33"/>
  <c r="FP63" i="33"/>
  <c r="FO63" i="33"/>
  <c r="FN63" i="33"/>
  <c r="FM63" i="33"/>
  <c r="FL63" i="33"/>
  <c r="FK63" i="33"/>
  <c r="FJ63" i="33"/>
  <c r="FI63" i="33"/>
  <c r="FH63" i="33"/>
  <c r="FG63" i="33"/>
  <c r="FF63" i="33"/>
  <c r="FE63" i="33"/>
  <c r="FD63" i="33"/>
  <c r="FC63" i="33"/>
  <c r="FB63" i="33"/>
  <c r="FA63" i="33"/>
  <c r="EZ63" i="33"/>
  <c r="EY63" i="33"/>
  <c r="EX63" i="33"/>
  <c r="EW63" i="33"/>
  <c r="EV63" i="33"/>
  <c r="EU63" i="33"/>
  <c r="ET63" i="33"/>
  <c r="ES63" i="33"/>
  <c r="ER63" i="33"/>
  <c r="EQ63" i="33"/>
  <c r="EP63" i="33"/>
  <c r="EO63" i="33"/>
  <c r="EN63" i="33"/>
  <c r="EM63" i="33"/>
  <c r="EL63" i="33"/>
  <c r="EK63" i="33"/>
  <c r="EJ63" i="33"/>
  <c r="EI63" i="33"/>
  <c r="EH63" i="33"/>
  <c r="EG63" i="33"/>
  <c r="EF63" i="33"/>
  <c r="EE63" i="33"/>
  <c r="ED63" i="33"/>
  <c r="EC63" i="33"/>
  <c r="EB63" i="33"/>
  <c r="EA63" i="33"/>
  <c r="DZ63" i="33"/>
  <c r="DY63" i="33"/>
  <c r="DX63" i="33"/>
  <c r="DW63" i="33"/>
  <c r="DV63" i="33"/>
  <c r="DU63" i="33"/>
  <c r="DT63" i="33"/>
  <c r="DS63" i="33"/>
  <c r="DR63" i="33"/>
  <c r="DQ63" i="33"/>
  <c r="DP63" i="33"/>
  <c r="DO63" i="33"/>
  <c r="DN63" i="33"/>
  <c r="DM63" i="33"/>
  <c r="DL63" i="33"/>
  <c r="DK63" i="33"/>
  <c r="DJ63" i="33"/>
  <c r="DI63" i="33"/>
  <c r="DH63" i="33"/>
  <c r="DG63" i="33"/>
  <c r="DF63" i="33"/>
  <c r="DE63" i="33"/>
  <c r="DD63" i="33"/>
  <c r="DC63" i="33"/>
  <c r="DB63" i="33"/>
  <c r="DA63" i="33"/>
  <c r="CZ63" i="33"/>
  <c r="CY63" i="33"/>
  <c r="CX63" i="33"/>
  <c r="CW63" i="33"/>
  <c r="CV63" i="33"/>
  <c r="CU63" i="33"/>
  <c r="CT63" i="33"/>
  <c r="CS63" i="33"/>
  <c r="CR63" i="33"/>
  <c r="CQ63" i="33"/>
  <c r="CP63" i="33"/>
  <c r="CO63" i="33"/>
  <c r="CN63" i="33"/>
  <c r="CM63" i="33"/>
  <c r="CL63" i="33"/>
  <c r="CK63" i="33"/>
  <c r="CJ63" i="33"/>
  <c r="CI63" i="33"/>
  <c r="CH63" i="33"/>
  <c r="CG63" i="33"/>
  <c r="CF63" i="33"/>
  <c r="CE63" i="33"/>
  <c r="CD63" i="33"/>
  <c r="CC63" i="33"/>
  <c r="CB63" i="33"/>
  <c r="CA63" i="33"/>
  <c r="BZ63" i="33"/>
  <c r="BY63" i="33"/>
  <c r="BX63" i="33"/>
  <c r="BW63" i="33"/>
  <c r="BV63" i="33"/>
  <c r="BU63" i="33"/>
  <c r="BT63" i="33"/>
  <c r="BS63" i="33"/>
  <c r="BR63" i="33"/>
  <c r="BQ63" i="33"/>
  <c r="BP63" i="33"/>
  <c r="BO63" i="33"/>
  <c r="BN63" i="33"/>
  <c r="BM63" i="33"/>
  <c r="BL63" i="33"/>
  <c r="BK63" i="33"/>
  <c r="BJ63" i="33"/>
  <c r="BI63" i="33"/>
  <c r="BH63" i="33"/>
  <c r="BG63" i="33"/>
  <c r="BF63" i="33"/>
  <c r="BE63" i="33"/>
  <c r="BD63" i="33"/>
  <c r="BC63" i="33"/>
  <c r="BB63" i="33"/>
  <c r="BA63" i="33"/>
  <c r="AZ63" i="33"/>
  <c r="AY63" i="33"/>
  <c r="AX63" i="33"/>
  <c r="AW63" i="33"/>
  <c r="AV63" i="33"/>
  <c r="AU63" i="33"/>
  <c r="AT63" i="33"/>
  <c r="AS63" i="33"/>
  <c r="AR63" i="33"/>
  <c r="AQ63" i="33"/>
  <c r="AP63" i="33"/>
  <c r="AO63" i="33"/>
  <c r="AN63" i="33"/>
  <c r="AM63" i="33"/>
  <c r="AL63" i="33"/>
  <c r="AK63" i="33"/>
  <c r="AJ63" i="33"/>
  <c r="AI63" i="33"/>
  <c r="AH63" i="33"/>
  <c r="AG63" i="33"/>
  <c r="AF63" i="33"/>
  <c r="AE63" i="33"/>
  <c r="AD63" i="33"/>
  <c r="AC63" i="33"/>
  <c r="AB63" i="33"/>
  <c r="AA63" i="33"/>
  <c r="Z63" i="33"/>
  <c r="Y63" i="33"/>
  <c r="X63" i="33"/>
  <c r="W63" i="33"/>
  <c r="V63" i="33"/>
  <c r="U63" i="33"/>
  <c r="T63" i="33"/>
  <c r="S63" i="33"/>
  <c r="R63" i="33"/>
  <c r="Q63" i="33"/>
  <c r="P63" i="33"/>
  <c r="O63" i="33"/>
  <c r="N63" i="33"/>
  <c r="M63" i="33"/>
  <c r="L63" i="33"/>
  <c r="K63" i="33"/>
  <c r="J63" i="33"/>
  <c r="I63" i="33"/>
  <c r="H63" i="33"/>
  <c r="G63" i="33"/>
  <c r="F63" i="33"/>
  <c r="E63" i="33"/>
  <c r="D63" i="33"/>
  <c r="C63" i="33"/>
  <c r="B63" i="33"/>
  <c r="A63" i="33"/>
  <c r="IV62" i="33"/>
  <c r="IU62" i="33"/>
  <c r="IT62" i="33"/>
  <c r="IS62" i="33"/>
  <c r="IR62" i="33"/>
  <c r="IQ62" i="33"/>
  <c r="IP62" i="33"/>
  <c r="IO62" i="33"/>
  <c r="IN62" i="33"/>
  <c r="IM62" i="33"/>
  <c r="IL62" i="33"/>
  <c r="IK62" i="33"/>
  <c r="IJ62" i="33"/>
  <c r="II62" i="33"/>
  <c r="IH62" i="33"/>
  <c r="IG62" i="33"/>
  <c r="IF62" i="33"/>
  <c r="IE62" i="33"/>
  <c r="ID62" i="33"/>
  <c r="IC62" i="33"/>
  <c r="IB62" i="33"/>
  <c r="IA62" i="33"/>
  <c r="HZ62" i="33"/>
  <c r="HY62" i="33"/>
  <c r="HX62" i="33"/>
  <c r="HW62" i="33"/>
  <c r="HV62" i="33"/>
  <c r="HU62" i="33"/>
  <c r="HT62" i="33"/>
  <c r="HS62" i="33"/>
  <c r="HR62" i="33"/>
  <c r="HQ62" i="33"/>
  <c r="HP62" i="33"/>
  <c r="HO62" i="33"/>
  <c r="HN62" i="33"/>
  <c r="HM62" i="33"/>
  <c r="HL62" i="33"/>
  <c r="HK62" i="33"/>
  <c r="HJ62" i="33"/>
  <c r="HI62" i="33"/>
  <c r="HH62" i="33"/>
  <c r="HG62" i="33"/>
  <c r="HF62" i="33"/>
  <c r="HE62" i="33"/>
  <c r="HD62" i="33"/>
  <c r="HC62" i="33"/>
  <c r="HB62" i="33"/>
  <c r="HA62" i="33"/>
  <c r="GZ62" i="33"/>
  <c r="GY62" i="33"/>
  <c r="GX62" i="33"/>
  <c r="GW62" i="33"/>
  <c r="GV62" i="33"/>
  <c r="GU62" i="33"/>
  <c r="GT62" i="33"/>
  <c r="GS62" i="33"/>
  <c r="GR62" i="33"/>
  <c r="GQ62" i="33"/>
  <c r="GP62" i="33"/>
  <c r="GO62" i="33"/>
  <c r="GN62" i="33"/>
  <c r="GM62" i="33"/>
  <c r="GL62" i="33"/>
  <c r="GK62" i="33"/>
  <c r="GJ62" i="33"/>
  <c r="GI62" i="33"/>
  <c r="GH62" i="33"/>
  <c r="GG62" i="33"/>
  <c r="GF62" i="33"/>
  <c r="GE62" i="33"/>
  <c r="GD62" i="33"/>
  <c r="GC62" i="33"/>
  <c r="GB62" i="33"/>
  <c r="GA62" i="33"/>
  <c r="FZ62" i="33"/>
  <c r="FY62" i="33"/>
  <c r="FX62" i="33"/>
  <c r="FW62" i="33"/>
  <c r="FV62" i="33"/>
  <c r="FU62" i="33"/>
  <c r="FT62" i="33"/>
  <c r="FS62" i="33"/>
  <c r="FR62" i="33"/>
  <c r="FQ62" i="33"/>
  <c r="FP62" i="33"/>
  <c r="FO62" i="33"/>
  <c r="FN62" i="33"/>
  <c r="FM62" i="33"/>
  <c r="FL62" i="33"/>
  <c r="FK62" i="33"/>
  <c r="FJ62" i="33"/>
  <c r="FI62" i="33"/>
  <c r="FH62" i="33"/>
  <c r="FG62" i="33"/>
  <c r="FF62" i="33"/>
  <c r="FE62" i="33"/>
  <c r="FD62" i="33"/>
  <c r="FC62" i="33"/>
  <c r="FB62" i="33"/>
  <c r="FA62" i="33"/>
  <c r="EZ62" i="33"/>
  <c r="EY62" i="33"/>
  <c r="EX62" i="33"/>
  <c r="EW62" i="33"/>
  <c r="EV62" i="33"/>
  <c r="EU62" i="33"/>
  <c r="ET62" i="33"/>
  <c r="ES62" i="33"/>
  <c r="ER62" i="33"/>
  <c r="EQ62" i="33"/>
  <c r="EP62" i="33"/>
  <c r="EO62" i="33"/>
  <c r="EN62" i="33"/>
  <c r="EM62" i="33"/>
  <c r="EL62" i="33"/>
  <c r="EK62" i="33"/>
  <c r="EJ62" i="33"/>
  <c r="EI62" i="33"/>
  <c r="EH62" i="33"/>
  <c r="EG62" i="33"/>
  <c r="EF62" i="33"/>
  <c r="EE62" i="33"/>
  <c r="ED62" i="33"/>
  <c r="EC62" i="33"/>
  <c r="EB62" i="33"/>
  <c r="EA62" i="33"/>
  <c r="DZ62" i="33"/>
  <c r="DY62" i="33"/>
  <c r="DX62" i="33"/>
  <c r="DW62" i="33"/>
  <c r="DV62" i="33"/>
  <c r="DU62" i="33"/>
  <c r="DT62" i="33"/>
  <c r="DS62" i="33"/>
  <c r="DR62" i="33"/>
  <c r="DQ62" i="33"/>
  <c r="DP62" i="33"/>
  <c r="DO62" i="33"/>
  <c r="DN62" i="33"/>
  <c r="DM62" i="33"/>
  <c r="DL62" i="33"/>
  <c r="DK62" i="33"/>
  <c r="DJ62" i="33"/>
  <c r="DI62" i="33"/>
  <c r="DH62" i="33"/>
  <c r="DG62" i="33"/>
  <c r="DF62" i="33"/>
  <c r="DE62" i="33"/>
  <c r="DD62" i="33"/>
  <c r="DC62" i="33"/>
  <c r="DB62" i="33"/>
  <c r="DA62" i="33"/>
  <c r="CZ62" i="33"/>
  <c r="CY62" i="33"/>
  <c r="CX62" i="33"/>
  <c r="CW62" i="33"/>
  <c r="CV62" i="33"/>
  <c r="CU62" i="33"/>
  <c r="CT62" i="33"/>
  <c r="CS62" i="33"/>
  <c r="CR62" i="33"/>
  <c r="CQ62" i="33"/>
  <c r="CP62" i="33"/>
  <c r="CO62" i="33"/>
  <c r="CN62" i="33"/>
  <c r="CM62" i="33"/>
  <c r="CL62" i="33"/>
  <c r="CK62" i="33"/>
  <c r="CJ62" i="33"/>
  <c r="CI62" i="33"/>
  <c r="CH62" i="33"/>
  <c r="CG62" i="33"/>
  <c r="CF62" i="33"/>
  <c r="CE62" i="33"/>
  <c r="CD62" i="33"/>
  <c r="CC62" i="33"/>
  <c r="CB62" i="33"/>
  <c r="CA62" i="33"/>
  <c r="BZ62" i="33"/>
  <c r="BY62" i="33"/>
  <c r="BX62" i="33"/>
  <c r="BW62" i="33"/>
  <c r="BV62" i="33"/>
  <c r="BU62" i="33"/>
  <c r="BT62" i="33"/>
  <c r="BS62" i="33"/>
  <c r="BR62" i="33"/>
  <c r="BQ62" i="33"/>
  <c r="BP62" i="33"/>
  <c r="BO62" i="33"/>
  <c r="BN62" i="33"/>
  <c r="BM62" i="33"/>
  <c r="BL62" i="33"/>
  <c r="BK62" i="33"/>
  <c r="BJ62" i="33"/>
  <c r="BI62" i="33"/>
  <c r="BH62" i="33"/>
  <c r="BG62" i="33"/>
  <c r="BF62" i="33"/>
  <c r="BE62" i="33"/>
  <c r="BD62" i="33"/>
  <c r="BC62" i="33"/>
  <c r="BB62" i="33"/>
  <c r="BA62" i="33"/>
  <c r="AZ62" i="33"/>
  <c r="AY62" i="33"/>
  <c r="AX62" i="33"/>
  <c r="AW62" i="33"/>
  <c r="AV62" i="33"/>
  <c r="AU62" i="33"/>
  <c r="AT62" i="33"/>
  <c r="AS62" i="33"/>
  <c r="AR62" i="33"/>
  <c r="AQ62" i="33"/>
  <c r="AP62" i="33"/>
  <c r="AO62" i="33"/>
  <c r="AN62" i="33"/>
  <c r="AM62" i="33"/>
  <c r="AL62" i="33"/>
  <c r="AK62" i="33"/>
  <c r="AJ62" i="33"/>
  <c r="AI62" i="33"/>
  <c r="AH62" i="33"/>
  <c r="AG62" i="33"/>
  <c r="AF62" i="33"/>
  <c r="AE62" i="33"/>
  <c r="AD62" i="33"/>
  <c r="AC62" i="33"/>
  <c r="AB62" i="33"/>
  <c r="AA62" i="33"/>
  <c r="Z62" i="33"/>
  <c r="Y62" i="33"/>
  <c r="X62" i="33"/>
  <c r="W62" i="33"/>
  <c r="V62" i="33"/>
  <c r="U62" i="33"/>
  <c r="T62" i="33"/>
  <c r="S62" i="33"/>
  <c r="R62" i="33"/>
  <c r="Q62" i="33"/>
  <c r="P62" i="33"/>
  <c r="O62" i="33"/>
  <c r="N62" i="33"/>
  <c r="M62" i="33"/>
  <c r="L62" i="33"/>
  <c r="K62" i="33"/>
  <c r="J62" i="33"/>
  <c r="I62" i="33"/>
  <c r="H62" i="33"/>
  <c r="G62" i="33"/>
  <c r="F62" i="33"/>
  <c r="E62" i="33"/>
  <c r="D62" i="33"/>
  <c r="C62" i="33"/>
  <c r="B62" i="33"/>
  <c r="A62" i="33"/>
  <c r="IV61" i="33"/>
  <c r="IU61" i="33"/>
  <c r="IT61" i="33"/>
  <c r="IS61" i="33"/>
  <c r="IR61" i="33"/>
  <c r="IQ61" i="33"/>
  <c r="IP61" i="33"/>
  <c r="IO61" i="33"/>
  <c r="IN61" i="33"/>
  <c r="IM61" i="33"/>
  <c r="IL61" i="33"/>
  <c r="IK61" i="33"/>
  <c r="IJ61" i="33"/>
  <c r="II61" i="33"/>
  <c r="IH61" i="33"/>
  <c r="IG61" i="33"/>
  <c r="IF61" i="33"/>
  <c r="IE61" i="33"/>
  <c r="ID61" i="33"/>
  <c r="IC61" i="33"/>
  <c r="IB61" i="33"/>
  <c r="IA61" i="33"/>
  <c r="HZ61" i="33"/>
  <c r="HY61" i="33"/>
  <c r="HX61" i="33"/>
  <c r="HW61" i="33"/>
  <c r="HV61" i="33"/>
  <c r="HU61" i="33"/>
  <c r="HT61" i="33"/>
  <c r="HS61" i="33"/>
  <c r="HR61" i="33"/>
  <c r="HQ61" i="33"/>
  <c r="HP61" i="33"/>
  <c r="HO61" i="33"/>
  <c r="HN61" i="33"/>
  <c r="HM61" i="33"/>
  <c r="HL61" i="33"/>
  <c r="HK61" i="33"/>
  <c r="HJ61" i="33"/>
  <c r="HI61" i="33"/>
  <c r="HH61" i="33"/>
  <c r="HG61" i="33"/>
  <c r="HF61" i="33"/>
  <c r="HE61" i="33"/>
  <c r="HD61" i="33"/>
  <c r="HC61" i="33"/>
  <c r="HB61" i="33"/>
  <c r="HA61" i="33"/>
  <c r="GZ61" i="33"/>
  <c r="GY61" i="33"/>
  <c r="GX61" i="33"/>
  <c r="GW61" i="33"/>
  <c r="GV61" i="33"/>
  <c r="GU61" i="33"/>
  <c r="GT61" i="33"/>
  <c r="GS61" i="33"/>
  <c r="GR61" i="33"/>
  <c r="GQ61" i="33"/>
  <c r="GP61" i="33"/>
  <c r="GO61" i="33"/>
  <c r="GN61" i="33"/>
  <c r="GM61" i="33"/>
  <c r="GL61" i="33"/>
  <c r="GK61" i="33"/>
  <c r="GJ61" i="33"/>
  <c r="GI61" i="33"/>
  <c r="GH61" i="33"/>
  <c r="GG61" i="33"/>
  <c r="GF61" i="33"/>
  <c r="GE61" i="33"/>
  <c r="GD61" i="33"/>
  <c r="GC61" i="33"/>
  <c r="GB61" i="33"/>
  <c r="GA61" i="33"/>
  <c r="FZ61" i="33"/>
  <c r="FY61" i="33"/>
  <c r="FX61" i="33"/>
  <c r="FW61" i="33"/>
  <c r="FV61" i="33"/>
  <c r="FU61" i="33"/>
  <c r="FT61" i="33"/>
  <c r="FS61" i="33"/>
  <c r="FR61" i="33"/>
  <c r="FQ61" i="33"/>
  <c r="FP61" i="33"/>
  <c r="FO61" i="33"/>
  <c r="FN61" i="33"/>
  <c r="FM61" i="33"/>
  <c r="FL61" i="33"/>
  <c r="FK61" i="33"/>
  <c r="FJ61" i="33"/>
  <c r="FI61" i="33"/>
  <c r="FH61" i="33"/>
  <c r="FG61" i="33"/>
  <c r="FF61" i="33"/>
  <c r="FE61" i="33"/>
  <c r="FD61" i="33"/>
  <c r="FC61" i="33"/>
  <c r="FB61" i="33"/>
  <c r="FA61" i="33"/>
  <c r="EZ61" i="33"/>
  <c r="EY61" i="33"/>
  <c r="EX61" i="33"/>
  <c r="EW61" i="33"/>
  <c r="EV61" i="33"/>
  <c r="EU61" i="33"/>
  <c r="ET61" i="33"/>
  <c r="ES61" i="33"/>
  <c r="ER61" i="33"/>
  <c r="EQ61" i="33"/>
  <c r="EP61" i="33"/>
  <c r="EO61" i="33"/>
  <c r="EN61" i="33"/>
  <c r="EM61" i="33"/>
  <c r="EL61" i="33"/>
  <c r="EK61" i="33"/>
  <c r="EJ61" i="33"/>
  <c r="EI61" i="33"/>
  <c r="EH61" i="33"/>
  <c r="EG61" i="33"/>
  <c r="EF61" i="33"/>
  <c r="EE61" i="33"/>
  <c r="ED61" i="33"/>
  <c r="EC61" i="33"/>
  <c r="EB61" i="33"/>
  <c r="EA61" i="33"/>
  <c r="DZ61" i="33"/>
  <c r="DY61" i="33"/>
  <c r="DX61" i="33"/>
  <c r="DW61" i="33"/>
  <c r="DV61" i="33"/>
  <c r="DU61" i="33"/>
  <c r="DT61" i="33"/>
  <c r="DS61" i="33"/>
  <c r="DR61" i="33"/>
  <c r="DQ61" i="33"/>
  <c r="DP61" i="33"/>
  <c r="DO61" i="33"/>
  <c r="DN61" i="33"/>
  <c r="DM61" i="33"/>
  <c r="DL61" i="33"/>
  <c r="DK61" i="33"/>
  <c r="DJ61" i="33"/>
  <c r="DI61" i="33"/>
  <c r="DH61" i="33"/>
  <c r="DG61" i="33"/>
  <c r="DF61" i="33"/>
  <c r="DE61" i="33"/>
  <c r="DD61" i="33"/>
  <c r="DC61" i="33"/>
  <c r="DB61" i="33"/>
  <c r="DA61" i="33"/>
  <c r="CZ61" i="33"/>
  <c r="CY61" i="33"/>
  <c r="CX61" i="33"/>
  <c r="CW61" i="33"/>
  <c r="CV61" i="33"/>
  <c r="CU61" i="33"/>
  <c r="CT61" i="33"/>
  <c r="CS61" i="33"/>
  <c r="CR61" i="33"/>
  <c r="CQ61" i="33"/>
  <c r="CP61" i="33"/>
  <c r="CO61" i="33"/>
  <c r="CN61" i="33"/>
  <c r="CM61" i="33"/>
  <c r="CL61" i="33"/>
  <c r="CK61" i="33"/>
  <c r="CJ61" i="33"/>
  <c r="CI61" i="33"/>
  <c r="CH61" i="33"/>
  <c r="CG61" i="33"/>
  <c r="CF61" i="33"/>
  <c r="CE61" i="33"/>
  <c r="CD61" i="33"/>
  <c r="CC61" i="33"/>
  <c r="CB61" i="33"/>
  <c r="CA61" i="33"/>
  <c r="BZ61" i="33"/>
  <c r="BY61" i="33"/>
  <c r="BX61" i="33"/>
  <c r="BW61" i="33"/>
  <c r="BV61" i="33"/>
  <c r="BU61" i="33"/>
  <c r="BT61" i="33"/>
  <c r="BS61" i="33"/>
  <c r="BR61" i="33"/>
  <c r="BQ61" i="33"/>
  <c r="BP61" i="33"/>
  <c r="BO61" i="33"/>
  <c r="BN61" i="33"/>
  <c r="BM61" i="33"/>
  <c r="BL61" i="33"/>
  <c r="BK61" i="33"/>
  <c r="BJ61" i="33"/>
  <c r="BI61" i="33"/>
  <c r="BH61" i="33"/>
  <c r="BG61" i="33"/>
  <c r="BF61" i="33"/>
  <c r="BE61" i="33"/>
  <c r="BD61" i="33"/>
  <c r="BC61" i="33"/>
  <c r="BB61" i="33"/>
  <c r="BA61" i="33"/>
  <c r="AZ61" i="33"/>
  <c r="AY61" i="33"/>
  <c r="AX61" i="33"/>
  <c r="AW61" i="33"/>
  <c r="AV61" i="33"/>
  <c r="AU61" i="33"/>
  <c r="AT61" i="33"/>
  <c r="AS61" i="33"/>
  <c r="AR61" i="33"/>
  <c r="AQ61" i="33"/>
  <c r="AP61" i="33"/>
  <c r="AO61" i="33"/>
  <c r="AN61" i="33"/>
  <c r="AM61" i="33"/>
  <c r="AL61" i="33"/>
  <c r="AK61" i="33"/>
  <c r="AJ61" i="33"/>
  <c r="AI61" i="33"/>
  <c r="AH61" i="33"/>
  <c r="AG61" i="33"/>
  <c r="AF61" i="33"/>
  <c r="AE61" i="33"/>
  <c r="AD61" i="33"/>
  <c r="AC61" i="33"/>
  <c r="AB61" i="33"/>
  <c r="AA61" i="33"/>
  <c r="Z61" i="33"/>
  <c r="Y61" i="33"/>
  <c r="X61" i="33"/>
  <c r="W61" i="33"/>
  <c r="V61" i="33"/>
  <c r="U61" i="33"/>
  <c r="T61" i="33"/>
  <c r="S61" i="33"/>
  <c r="R61" i="33"/>
  <c r="Q61" i="33"/>
  <c r="P61" i="33"/>
  <c r="O61" i="33"/>
  <c r="N61" i="33"/>
  <c r="M61" i="33"/>
  <c r="L61" i="33"/>
  <c r="K61" i="33"/>
  <c r="J61" i="33"/>
  <c r="I61" i="33"/>
  <c r="H61" i="33"/>
  <c r="G61" i="33"/>
  <c r="F61" i="33"/>
  <c r="E61" i="33"/>
  <c r="D61" i="33"/>
  <c r="C61" i="33"/>
  <c r="B61" i="33"/>
  <c r="A61" i="33"/>
  <c r="IV60" i="33"/>
  <c r="IU60" i="33"/>
  <c r="IT60" i="33"/>
  <c r="IS60" i="33"/>
  <c r="IR60" i="33"/>
  <c r="IQ60" i="33"/>
  <c r="IP60" i="33"/>
  <c r="IO60" i="33"/>
  <c r="IN60" i="33"/>
  <c r="IM60" i="33"/>
  <c r="IL60" i="33"/>
  <c r="IK60" i="33"/>
  <c r="IJ60" i="33"/>
  <c r="II60" i="33"/>
  <c r="IH60" i="33"/>
  <c r="IG60" i="33"/>
  <c r="IF60" i="33"/>
  <c r="IE60" i="33"/>
  <c r="ID60" i="33"/>
  <c r="IC60" i="33"/>
  <c r="IB60" i="33"/>
  <c r="IA60" i="33"/>
  <c r="HZ60" i="33"/>
  <c r="HY60" i="33"/>
  <c r="HX60" i="33"/>
  <c r="HW60" i="33"/>
  <c r="HV60" i="33"/>
  <c r="HU60" i="33"/>
  <c r="HT60" i="33"/>
  <c r="HS60" i="33"/>
  <c r="HR60" i="33"/>
  <c r="HQ60" i="33"/>
  <c r="HP60" i="33"/>
  <c r="HO60" i="33"/>
  <c r="HN60" i="33"/>
  <c r="HM60" i="33"/>
  <c r="HL60" i="33"/>
  <c r="HK60" i="33"/>
  <c r="HJ60" i="33"/>
  <c r="HI60" i="33"/>
  <c r="HH60" i="33"/>
  <c r="HG60" i="33"/>
  <c r="HF60" i="33"/>
  <c r="HE60" i="33"/>
  <c r="HD60" i="33"/>
  <c r="HC60" i="33"/>
  <c r="HB60" i="33"/>
  <c r="HA60" i="33"/>
  <c r="GZ60" i="33"/>
  <c r="GY60" i="33"/>
  <c r="GX60" i="33"/>
  <c r="GW60" i="33"/>
  <c r="GV60" i="33"/>
  <c r="GU60" i="33"/>
  <c r="GT60" i="33"/>
  <c r="GS60" i="33"/>
  <c r="GR60" i="33"/>
  <c r="GQ60" i="33"/>
  <c r="GP60" i="33"/>
  <c r="GO60" i="33"/>
  <c r="GN60" i="33"/>
  <c r="GM60" i="33"/>
  <c r="GL60" i="33"/>
  <c r="GK60" i="33"/>
  <c r="GJ60" i="33"/>
  <c r="GI60" i="33"/>
  <c r="GH60" i="33"/>
  <c r="GG60" i="33"/>
  <c r="GF60" i="33"/>
  <c r="GE60" i="33"/>
  <c r="GD60" i="33"/>
  <c r="GC60" i="33"/>
  <c r="GB60" i="33"/>
  <c r="GA60" i="33"/>
  <c r="FZ60" i="33"/>
  <c r="FY60" i="33"/>
  <c r="FX60" i="33"/>
  <c r="FW60" i="33"/>
  <c r="FV60" i="33"/>
  <c r="FU60" i="33"/>
  <c r="FT60" i="33"/>
  <c r="FS60" i="33"/>
  <c r="FR60" i="33"/>
  <c r="FQ60" i="33"/>
  <c r="FP60" i="33"/>
  <c r="FO60" i="33"/>
  <c r="FN60" i="33"/>
  <c r="FM60" i="33"/>
  <c r="FL60" i="33"/>
  <c r="FK60" i="33"/>
  <c r="FJ60" i="33"/>
  <c r="FI60" i="33"/>
  <c r="FH60" i="33"/>
  <c r="FG60" i="33"/>
  <c r="FF60" i="33"/>
  <c r="FE60" i="33"/>
  <c r="FD60" i="33"/>
  <c r="FC60" i="33"/>
  <c r="FB60" i="33"/>
  <c r="FA60" i="33"/>
  <c r="EZ60" i="33"/>
  <c r="EY60" i="33"/>
  <c r="EX60" i="33"/>
  <c r="EW60" i="33"/>
  <c r="EV60" i="33"/>
  <c r="EU60" i="33"/>
  <c r="ET60" i="33"/>
  <c r="ES60" i="33"/>
  <c r="ER60" i="33"/>
  <c r="EQ60" i="33"/>
  <c r="EP60" i="33"/>
  <c r="EO60" i="33"/>
  <c r="EN60" i="33"/>
  <c r="EM60" i="33"/>
  <c r="EL60" i="33"/>
  <c r="EK60" i="33"/>
  <c r="EJ60" i="33"/>
  <c r="EI60" i="33"/>
  <c r="EH60" i="33"/>
  <c r="EG60" i="33"/>
  <c r="EF60" i="33"/>
  <c r="EE60" i="33"/>
  <c r="ED60" i="33"/>
  <c r="EC60" i="33"/>
  <c r="EB60" i="33"/>
  <c r="EA60" i="33"/>
  <c r="DZ60" i="33"/>
  <c r="DY60" i="33"/>
  <c r="DX60" i="33"/>
  <c r="DW60" i="33"/>
  <c r="DV60" i="33"/>
  <c r="DU60" i="33"/>
  <c r="DT60" i="33"/>
  <c r="DS60" i="33"/>
  <c r="DR60" i="33"/>
  <c r="DQ60" i="33"/>
  <c r="DP60" i="33"/>
  <c r="DO60" i="33"/>
  <c r="DN60" i="33"/>
  <c r="DM60" i="33"/>
  <c r="DL60" i="33"/>
  <c r="DK60" i="33"/>
  <c r="DJ60" i="33"/>
  <c r="DI60" i="33"/>
  <c r="DH60" i="33"/>
  <c r="DG60" i="33"/>
  <c r="DF60" i="33"/>
  <c r="DE60" i="33"/>
  <c r="DD60" i="33"/>
  <c r="DC60" i="33"/>
  <c r="DB60" i="33"/>
  <c r="DA60" i="33"/>
  <c r="CZ60" i="33"/>
  <c r="CY60" i="33"/>
  <c r="CX60" i="33"/>
  <c r="CW60" i="33"/>
  <c r="CV60" i="33"/>
  <c r="CU60" i="33"/>
  <c r="CT60" i="33"/>
  <c r="CS60" i="33"/>
  <c r="CR60" i="33"/>
  <c r="CQ60" i="33"/>
  <c r="CP60" i="33"/>
  <c r="CO60" i="33"/>
  <c r="CN60" i="33"/>
  <c r="CM60" i="33"/>
  <c r="CL60" i="33"/>
  <c r="CK60" i="33"/>
  <c r="CJ60" i="33"/>
  <c r="CI60" i="33"/>
  <c r="CH60" i="33"/>
  <c r="CG60" i="33"/>
  <c r="CF60" i="33"/>
  <c r="CE60" i="33"/>
  <c r="CD60" i="33"/>
  <c r="CC60" i="33"/>
  <c r="CB60" i="33"/>
  <c r="CA60" i="33"/>
  <c r="BZ60" i="33"/>
  <c r="BY60" i="33"/>
  <c r="BX60" i="33"/>
  <c r="BW60" i="33"/>
  <c r="BV60" i="33"/>
  <c r="BU60" i="33"/>
  <c r="BT60" i="33"/>
  <c r="BS60" i="33"/>
  <c r="BR60" i="33"/>
  <c r="BQ60" i="33"/>
  <c r="BP60" i="33"/>
  <c r="BO60" i="33"/>
  <c r="BN60" i="33"/>
  <c r="BM60" i="33"/>
  <c r="BL60" i="33"/>
  <c r="BK60" i="33"/>
  <c r="BJ60" i="33"/>
  <c r="BI60" i="33"/>
  <c r="BH60" i="33"/>
  <c r="BG60" i="33"/>
  <c r="BF60" i="33"/>
  <c r="BE60" i="33"/>
  <c r="BD60" i="33"/>
  <c r="BC60" i="33"/>
  <c r="BB60" i="33"/>
  <c r="BA60" i="33"/>
  <c r="AZ60" i="33"/>
  <c r="AY60" i="33"/>
  <c r="AX60" i="33"/>
  <c r="AW60" i="33"/>
  <c r="AV60" i="33"/>
  <c r="AU60" i="33"/>
  <c r="AT60" i="33"/>
  <c r="AS60" i="33"/>
  <c r="AR60" i="33"/>
  <c r="AQ60" i="33"/>
  <c r="AP60" i="33"/>
  <c r="AO60" i="33"/>
  <c r="AN60" i="33"/>
  <c r="AM60" i="33"/>
  <c r="AL60" i="33"/>
  <c r="AK60" i="33"/>
  <c r="AJ60" i="33"/>
  <c r="AI60" i="33"/>
  <c r="AH60" i="33"/>
  <c r="AG60" i="33"/>
  <c r="AF60" i="33"/>
  <c r="AE60" i="33"/>
  <c r="AD60" i="33"/>
  <c r="AC60" i="33"/>
  <c r="AB60" i="33"/>
  <c r="AA60" i="33"/>
  <c r="Z60" i="33"/>
  <c r="Y60" i="33"/>
  <c r="X60" i="33"/>
  <c r="W60" i="33"/>
  <c r="V60" i="33"/>
  <c r="U60" i="33"/>
  <c r="T60" i="33"/>
  <c r="S60" i="33"/>
  <c r="R60" i="33"/>
  <c r="Q60" i="33"/>
  <c r="P60" i="33"/>
  <c r="O60" i="33"/>
  <c r="N60" i="33"/>
  <c r="M60" i="33"/>
  <c r="L60" i="33"/>
  <c r="K60" i="33"/>
  <c r="J60" i="33"/>
  <c r="I60" i="33"/>
  <c r="H60" i="33"/>
  <c r="G60" i="33"/>
  <c r="F60" i="33"/>
  <c r="E60" i="33"/>
  <c r="D60" i="33"/>
  <c r="C60" i="33"/>
  <c r="B60" i="33"/>
  <c r="A60" i="33"/>
  <c r="IV59" i="33"/>
  <c r="IU59" i="33"/>
  <c r="IT59" i="33"/>
  <c r="IS59" i="33"/>
  <c r="IR59" i="33"/>
  <c r="IQ59" i="33"/>
  <c r="IP59" i="33"/>
  <c r="IO59" i="33"/>
  <c r="IN59" i="33"/>
  <c r="IM59" i="33"/>
  <c r="IL59" i="33"/>
  <c r="IK59" i="33"/>
  <c r="IJ59" i="33"/>
  <c r="II59" i="33"/>
  <c r="IH59" i="33"/>
  <c r="IG59" i="33"/>
  <c r="IF59" i="33"/>
  <c r="IE59" i="33"/>
  <c r="ID59" i="33"/>
  <c r="IC59" i="33"/>
  <c r="IB59" i="33"/>
  <c r="IA59" i="33"/>
  <c r="HZ59" i="33"/>
  <c r="HY59" i="33"/>
  <c r="HX59" i="33"/>
  <c r="HW59" i="33"/>
  <c r="HV59" i="33"/>
  <c r="HU59" i="33"/>
  <c r="HT59" i="33"/>
  <c r="HS59" i="33"/>
  <c r="HR59" i="33"/>
  <c r="HQ59" i="33"/>
  <c r="HP59" i="33"/>
  <c r="HO59" i="33"/>
  <c r="HN59" i="33"/>
  <c r="HM59" i="33"/>
  <c r="HL59" i="33"/>
  <c r="HK59" i="33"/>
  <c r="HJ59" i="33"/>
  <c r="HI59" i="33"/>
  <c r="HH59" i="33"/>
  <c r="HG59" i="33"/>
  <c r="HF59" i="33"/>
  <c r="HE59" i="33"/>
  <c r="HD59" i="33"/>
  <c r="HC59" i="33"/>
  <c r="HB59" i="33"/>
  <c r="HA59" i="33"/>
  <c r="GZ59" i="33"/>
  <c r="GY59" i="33"/>
  <c r="GX59" i="33"/>
  <c r="GW59" i="33"/>
  <c r="GV59" i="33"/>
  <c r="GU59" i="33"/>
  <c r="GT59" i="33"/>
  <c r="GS59" i="33"/>
  <c r="GR59" i="33"/>
  <c r="GQ59" i="33"/>
  <c r="GP59" i="33"/>
  <c r="GO59" i="33"/>
  <c r="GN59" i="33"/>
  <c r="GM59" i="33"/>
  <c r="GL59" i="33"/>
  <c r="GK59" i="33"/>
  <c r="GJ59" i="33"/>
  <c r="GI59" i="33"/>
  <c r="GH59" i="33"/>
  <c r="GG59" i="33"/>
  <c r="GF59" i="33"/>
  <c r="GE59" i="33"/>
  <c r="GD59" i="33"/>
  <c r="GC59" i="33"/>
  <c r="GB59" i="33"/>
  <c r="GA59" i="33"/>
  <c r="FZ59" i="33"/>
  <c r="FY59" i="33"/>
  <c r="FX59" i="33"/>
  <c r="FW59" i="33"/>
  <c r="FV59" i="33"/>
  <c r="FU59" i="33"/>
  <c r="FT59" i="33"/>
  <c r="FS59" i="33"/>
  <c r="FR59" i="33"/>
  <c r="FQ59" i="33"/>
  <c r="FP59" i="33"/>
  <c r="FO59" i="33"/>
  <c r="FN59" i="33"/>
  <c r="FM59" i="33"/>
  <c r="FL59" i="33"/>
  <c r="FK59" i="33"/>
  <c r="FJ59" i="33"/>
  <c r="FI59" i="33"/>
  <c r="FH59" i="33"/>
  <c r="FG59" i="33"/>
  <c r="FF59" i="33"/>
  <c r="FE59" i="33"/>
  <c r="FD59" i="33"/>
  <c r="FC59" i="33"/>
  <c r="FB59" i="33"/>
  <c r="FA59" i="33"/>
  <c r="EZ59" i="33"/>
  <c r="EY59" i="33"/>
  <c r="EX59" i="33"/>
  <c r="EW59" i="33"/>
  <c r="EV59" i="33"/>
  <c r="EU59" i="33"/>
  <c r="ET59" i="33"/>
  <c r="ES59" i="33"/>
  <c r="ER59" i="33"/>
  <c r="EQ59" i="33"/>
  <c r="EP59" i="33"/>
  <c r="EO59" i="33"/>
  <c r="EN59" i="33"/>
  <c r="EM59" i="33"/>
  <c r="EL59" i="33"/>
  <c r="EK59" i="33"/>
  <c r="EJ59" i="33"/>
  <c r="EI59" i="33"/>
  <c r="EH59" i="33"/>
  <c r="EG59" i="33"/>
  <c r="EF59" i="33"/>
  <c r="EE59" i="33"/>
  <c r="ED59" i="33"/>
  <c r="EC59" i="33"/>
  <c r="EB59" i="33"/>
  <c r="EA59" i="33"/>
  <c r="DZ59" i="33"/>
  <c r="DY59" i="33"/>
  <c r="DX59" i="33"/>
  <c r="DW59" i="33"/>
  <c r="DV59" i="33"/>
  <c r="DU59" i="33"/>
  <c r="DT59" i="33"/>
  <c r="DS59" i="33"/>
  <c r="DR59" i="33"/>
  <c r="DQ59" i="33"/>
  <c r="DP59" i="33"/>
  <c r="DO59" i="33"/>
  <c r="DN59" i="33"/>
  <c r="DM59" i="33"/>
  <c r="DL59" i="33"/>
  <c r="DK59" i="33"/>
  <c r="DJ59" i="33"/>
  <c r="DI59" i="33"/>
  <c r="DH59" i="33"/>
  <c r="DG59" i="33"/>
  <c r="DF59" i="33"/>
  <c r="DE59" i="33"/>
  <c r="DD59" i="33"/>
  <c r="DC59" i="33"/>
  <c r="DB59" i="33"/>
  <c r="DA59" i="33"/>
  <c r="CZ59" i="33"/>
  <c r="CY59" i="33"/>
  <c r="CX59" i="33"/>
  <c r="CW59" i="33"/>
  <c r="CV59" i="33"/>
  <c r="CU59" i="33"/>
  <c r="CT59" i="33"/>
  <c r="CS59" i="33"/>
  <c r="CR59" i="33"/>
  <c r="CQ59" i="33"/>
  <c r="CP59" i="33"/>
  <c r="CO59" i="33"/>
  <c r="CN59" i="33"/>
  <c r="CM59" i="33"/>
  <c r="CL59" i="33"/>
  <c r="CK59" i="33"/>
  <c r="CJ59" i="33"/>
  <c r="CI59" i="33"/>
  <c r="CH59" i="33"/>
  <c r="CG59" i="33"/>
  <c r="CF59" i="33"/>
  <c r="CE59" i="33"/>
  <c r="CD59" i="33"/>
  <c r="CC59" i="33"/>
  <c r="CB59" i="33"/>
  <c r="CA59" i="33"/>
  <c r="BZ59" i="33"/>
  <c r="BY59" i="33"/>
  <c r="BX59" i="33"/>
  <c r="BW59" i="33"/>
  <c r="BV59" i="33"/>
  <c r="BU59" i="33"/>
  <c r="BT59" i="33"/>
  <c r="BS59" i="33"/>
  <c r="BR59" i="33"/>
  <c r="BQ59" i="33"/>
  <c r="BP59" i="33"/>
  <c r="BO59" i="33"/>
  <c r="BN59" i="33"/>
  <c r="BM59" i="33"/>
  <c r="BL59" i="33"/>
  <c r="BK59" i="33"/>
  <c r="BJ59" i="33"/>
  <c r="BI59" i="33"/>
  <c r="BH59" i="33"/>
  <c r="BG59" i="33"/>
  <c r="BF59" i="33"/>
  <c r="BE59" i="33"/>
  <c r="BD59" i="33"/>
  <c r="BC59" i="33"/>
  <c r="BB59" i="33"/>
  <c r="BA59" i="33"/>
  <c r="AZ59" i="33"/>
  <c r="AY59" i="33"/>
  <c r="AX59" i="33"/>
  <c r="AW59" i="33"/>
  <c r="AV59" i="33"/>
  <c r="AU59" i="33"/>
  <c r="AT59" i="33"/>
  <c r="AS59" i="33"/>
  <c r="AR59" i="33"/>
  <c r="AQ59" i="33"/>
  <c r="AP59" i="33"/>
  <c r="AO59" i="33"/>
  <c r="AN59" i="33"/>
  <c r="AM59" i="33"/>
  <c r="AL59" i="33"/>
  <c r="AK59" i="33"/>
  <c r="AJ59" i="33"/>
  <c r="AI59" i="33"/>
  <c r="AH59" i="33"/>
  <c r="AG59" i="33"/>
  <c r="AF59" i="33"/>
  <c r="AE59" i="33"/>
  <c r="AD59" i="33"/>
  <c r="AC59" i="33"/>
  <c r="AB59" i="33"/>
  <c r="AA59" i="33"/>
  <c r="Z59" i="33"/>
  <c r="Y59" i="33"/>
  <c r="X59" i="33"/>
  <c r="W59" i="33"/>
  <c r="V59" i="33"/>
  <c r="U59" i="33"/>
  <c r="T59" i="33"/>
  <c r="S59" i="33"/>
  <c r="R59" i="33"/>
  <c r="Q59" i="33"/>
  <c r="P59" i="33"/>
  <c r="O59" i="33"/>
  <c r="N59" i="33"/>
  <c r="M59" i="33"/>
  <c r="L59" i="33"/>
  <c r="K59" i="33"/>
  <c r="J59" i="33"/>
  <c r="I59" i="33"/>
  <c r="H59" i="33"/>
  <c r="G59" i="33"/>
  <c r="F59" i="33"/>
  <c r="E59" i="33"/>
  <c r="D59" i="33"/>
  <c r="C59" i="33"/>
  <c r="B59" i="33"/>
  <c r="A59" i="33"/>
  <c r="IV58" i="33"/>
  <c r="IU58" i="33"/>
  <c r="IT58" i="33"/>
  <c r="IS58" i="33"/>
  <c r="IR58" i="33"/>
  <c r="IQ58" i="33"/>
  <c r="IP58" i="33"/>
  <c r="IO58" i="33"/>
  <c r="IN58" i="33"/>
  <c r="IM58" i="33"/>
  <c r="IL58" i="33"/>
  <c r="IK58" i="33"/>
  <c r="IJ58" i="33"/>
  <c r="II58" i="33"/>
  <c r="IH58" i="33"/>
  <c r="IG58" i="33"/>
  <c r="IF58" i="33"/>
  <c r="IE58" i="33"/>
  <c r="ID58" i="33"/>
  <c r="IC58" i="33"/>
  <c r="IB58" i="33"/>
  <c r="IA58" i="33"/>
  <c r="HZ58" i="33"/>
  <c r="HY58" i="33"/>
  <c r="HX58" i="33"/>
  <c r="HW58" i="33"/>
  <c r="HV58" i="33"/>
  <c r="HU58" i="33"/>
  <c r="HT58" i="33"/>
  <c r="HS58" i="33"/>
  <c r="HR58" i="33"/>
  <c r="HQ58" i="33"/>
  <c r="HP58" i="33"/>
  <c r="HO58" i="33"/>
  <c r="HN58" i="33"/>
  <c r="HM58" i="33"/>
  <c r="HL58" i="33"/>
  <c r="HK58" i="33"/>
  <c r="HJ58" i="33"/>
  <c r="HI58" i="33"/>
  <c r="HH58" i="33"/>
  <c r="HG58" i="33"/>
  <c r="HF58" i="33"/>
  <c r="HE58" i="33"/>
  <c r="HD58" i="33"/>
  <c r="HC58" i="33"/>
  <c r="HB58" i="33"/>
  <c r="HA58" i="33"/>
  <c r="GZ58" i="33"/>
  <c r="GY58" i="33"/>
  <c r="GX58" i="33"/>
  <c r="GW58" i="33"/>
  <c r="GV58" i="33"/>
  <c r="GU58" i="33"/>
  <c r="GT58" i="33"/>
  <c r="GS58" i="33"/>
  <c r="GR58" i="33"/>
  <c r="GQ58" i="33"/>
  <c r="GP58" i="33"/>
  <c r="GO58" i="33"/>
  <c r="GN58" i="33"/>
  <c r="GM58" i="33"/>
  <c r="GL58" i="33"/>
  <c r="GK58" i="33"/>
  <c r="GJ58" i="33"/>
  <c r="GI58" i="33"/>
  <c r="GH58" i="33"/>
  <c r="GG58" i="33"/>
  <c r="GF58" i="33"/>
  <c r="GE58" i="33"/>
  <c r="GD58" i="33"/>
  <c r="GC58" i="33"/>
  <c r="GB58" i="33"/>
  <c r="GA58" i="33"/>
  <c r="FZ58" i="33"/>
  <c r="FY58" i="33"/>
  <c r="FX58" i="33"/>
  <c r="FW58" i="33"/>
  <c r="FV58" i="33"/>
  <c r="FU58" i="33"/>
  <c r="FT58" i="33"/>
  <c r="FS58" i="33"/>
  <c r="FR58" i="33"/>
  <c r="FQ58" i="33"/>
  <c r="FP58" i="33"/>
  <c r="FO58" i="33"/>
  <c r="FN58" i="33"/>
  <c r="FM58" i="33"/>
  <c r="FL58" i="33"/>
  <c r="FK58" i="33"/>
  <c r="FJ58" i="33"/>
  <c r="FI58" i="33"/>
  <c r="FH58" i="33"/>
  <c r="FG58" i="33"/>
  <c r="FF58" i="33"/>
  <c r="FE58" i="33"/>
  <c r="FD58" i="33"/>
  <c r="FC58" i="33"/>
  <c r="FB58" i="33"/>
  <c r="FA58" i="33"/>
  <c r="EZ58" i="33"/>
  <c r="EY58" i="33"/>
  <c r="EX58" i="33"/>
  <c r="EW58" i="33"/>
  <c r="EV58" i="33"/>
  <c r="EU58" i="33"/>
  <c r="ET58" i="33"/>
  <c r="ES58" i="33"/>
  <c r="ER58" i="33"/>
  <c r="EQ58" i="33"/>
  <c r="EP58" i="33"/>
  <c r="EO58" i="33"/>
  <c r="EN58" i="33"/>
  <c r="EM58" i="33"/>
  <c r="EL58" i="33"/>
  <c r="EK58" i="33"/>
  <c r="EJ58" i="33"/>
  <c r="EI58" i="33"/>
  <c r="EH58" i="33"/>
  <c r="EG58" i="33"/>
  <c r="EF58" i="33"/>
  <c r="EE58" i="33"/>
  <c r="ED58" i="33"/>
  <c r="EC58" i="33"/>
  <c r="EB58" i="33"/>
  <c r="EA58" i="33"/>
  <c r="DZ58" i="33"/>
  <c r="DY58" i="33"/>
  <c r="DX58" i="33"/>
  <c r="DW58" i="33"/>
  <c r="DV58" i="33"/>
  <c r="DU58" i="33"/>
  <c r="DT58" i="33"/>
  <c r="DS58" i="33"/>
  <c r="DR58" i="33"/>
  <c r="DQ58" i="33"/>
  <c r="DP58" i="33"/>
  <c r="DO58" i="33"/>
  <c r="DN58" i="33"/>
  <c r="DM58" i="33"/>
  <c r="DL58" i="33"/>
  <c r="DK58" i="33"/>
  <c r="DJ58" i="33"/>
  <c r="DI58" i="33"/>
  <c r="DH58" i="33"/>
  <c r="DG58" i="33"/>
  <c r="DF58" i="33"/>
  <c r="DE58" i="33"/>
  <c r="DD58" i="33"/>
  <c r="DC58" i="33"/>
  <c r="DB58" i="33"/>
  <c r="DA58" i="33"/>
  <c r="CZ58" i="33"/>
  <c r="CY58" i="33"/>
  <c r="CX58" i="33"/>
  <c r="CW58" i="33"/>
  <c r="CV58" i="33"/>
  <c r="CU58" i="33"/>
  <c r="CT58" i="33"/>
  <c r="CS58" i="33"/>
  <c r="CR58" i="33"/>
  <c r="CQ58" i="33"/>
  <c r="CP58" i="33"/>
  <c r="CO58" i="33"/>
  <c r="CN58" i="33"/>
  <c r="CM58" i="33"/>
  <c r="CL58" i="33"/>
  <c r="CK58" i="33"/>
  <c r="CJ58" i="33"/>
  <c r="CI58" i="33"/>
  <c r="CH58" i="33"/>
  <c r="CG58" i="33"/>
  <c r="CF58" i="33"/>
  <c r="CE58" i="33"/>
  <c r="CD58" i="33"/>
  <c r="CC58" i="33"/>
  <c r="CB58" i="33"/>
  <c r="CA58" i="33"/>
  <c r="BZ58" i="33"/>
  <c r="BY58" i="33"/>
  <c r="BX58" i="33"/>
  <c r="BW58" i="33"/>
  <c r="BV58" i="33"/>
  <c r="BU58" i="33"/>
  <c r="BT58" i="33"/>
  <c r="BS58" i="33"/>
  <c r="BR58" i="33"/>
  <c r="BQ58" i="33"/>
  <c r="BP58" i="33"/>
  <c r="BO58" i="33"/>
  <c r="BN58" i="33"/>
  <c r="BM58" i="33"/>
  <c r="BL58" i="33"/>
  <c r="BK58" i="33"/>
  <c r="BJ58" i="33"/>
  <c r="BI58" i="33"/>
  <c r="BH58" i="33"/>
  <c r="BG58" i="33"/>
  <c r="BF58" i="33"/>
  <c r="BE58" i="33"/>
  <c r="BD58" i="33"/>
  <c r="BC58" i="33"/>
  <c r="BB58" i="33"/>
  <c r="BA58" i="33"/>
  <c r="AZ58" i="33"/>
  <c r="AY58" i="33"/>
  <c r="AX58" i="33"/>
  <c r="AW58" i="33"/>
  <c r="AV58" i="33"/>
  <c r="AU58" i="33"/>
  <c r="AT58" i="33"/>
  <c r="AS58" i="33"/>
  <c r="AR58" i="33"/>
  <c r="AQ58" i="33"/>
  <c r="AP58" i="33"/>
  <c r="AO58" i="33"/>
  <c r="AN58" i="33"/>
  <c r="AM58" i="33"/>
  <c r="AL58" i="33"/>
  <c r="AK58" i="33"/>
  <c r="AJ58" i="33"/>
  <c r="AI58" i="33"/>
  <c r="AH58" i="33"/>
  <c r="AG58" i="33"/>
  <c r="AF58" i="33"/>
  <c r="AE58" i="33"/>
  <c r="AD58" i="33"/>
  <c r="AC58" i="33"/>
  <c r="AB58" i="33"/>
  <c r="AA58" i="33"/>
  <c r="Z58" i="33"/>
  <c r="Y58" i="33"/>
  <c r="X58" i="33"/>
  <c r="W58" i="33"/>
  <c r="V58" i="33"/>
  <c r="U58" i="33"/>
  <c r="T58" i="33"/>
  <c r="S58" i="33"/>
  <c r="R58" i="33"/>
  <c r="Q58" i="33"/>
  <c r="P58" i="33"/>
  <c r="O58" i="33"/>
  <c r="N58" i="33"/>
  <c r="M58" i="33"/>
  <c r="L58" i="33"/>
  <c r="K58" i="33"/>
  <c r="J58" i="33"/>
  <c r="I58" i="33"/>
  <c r="H58" i="33"/>
  <c r="G58" i="33"/>
  <c r="F58" i="33"/>
  <c r="E58" i="33"/>
  <c r="D58" i="33"/>
  <c r="C58" i="33"/>
  <c r="B58" i="33"/>
  <c r="A58" i="33"/>
  <c r="IV57" i="33"/>
  <c r="IU57" i="33"/>
  <c r="IT57" i="33"/>
  <c r="IS57" i="33"/>
  <c r="IR57" i="33"/>
  <c r="IQ57" i="33"/>
  <c r="IP57" i="33"/>
  <c r="IO57" i="33"/>
  <c r="IN57" i="33"/>
  <c r="IM57" i="33"/>
  <c r="IL57" i="33"/>
  <c r="IK57" i="33"/>
  <c r="IJ57" i="33"/>
  <c r="II57" i="33"/>
  <c r="IH57" i="33"/>
  <c r="IG57" i="33"/>
  <c r="IF57" i="33"/>
  <c r="IE57" i="33"/>
  <c r="ID57" i="33"/>
  <c r="IC57" i="33"/>
  <c r="IB57" i="33"/>
  <c r="IA57" i="33"/>
  <c r="HZ57" i="33"/>
  <c r="HY57" i="33"/>
  <c r="HX57" i="33"/>
  <c r="HW57" i="33"/>
  <c r="HV57" i="33"/>
  <c r="HU57" i="33"/>
  <c r="HT57" i="33"/>
  <c r="HS57" i="33"/>
  <c r="HR57" i="33"/>
  <c r="HQ57" i="33"/>
  <c r="HP57" i="33"/>
  <c r="HO57" i="33"/>
  <c r="HN57" i="33"/>
  <c r="HM57" i="33"/>
  <c r="HL57" i="33"/>
  <c r="HK57" i="33"/>
  <c r="HJ57" i="33"/>
  <c r="HI57" i="33"/>
  <c r="HH57" i="33"/>
  <c r="HG57" i="33"/>
  <c r="HF57" i="33"/>
  <c r="HE57" i="33"/>
  <c r="HD57" i="33"/>
  <c r="HC57" i="33"/>
  <c r="HB57" i="33"/>
  <c r="HA57" i="33"/>
  <c r="GZ57" i="33"/>
  <c r="GY57" i="33"/>
  <c r="GX57" i="33"/>
  <c r="GW57" i="33"/>
  <c r="GV57" i="33"/>
  <c r="GU57" i="33"/>
  <c r="GT57" i="33"/>
  <c r="GS57" i="33"/>
  <c r="GR57" i="33"/>
  <c r="GQ57" i="33"/>
  <c r="GP57" i="33"/>
  <c r="GO57" i="33"/>
  <c r="GN57" i="33"/>
  <c r="GM57" i="33"/>
  <c r="GL57" i="33"/>
  <c r="GK57" i="33"/>
  <c r="GJ57" i="33"/>
  <c r="GI57" i="33"/>
  <c r="GH57" i="33"/>
  <c r="GG57" i="33"/>
  <c r="GF57" i="33"/>
  <c r="GE57" i="33"/>
  <c r="GD57" i="33"/>
  <c r="GC57" i="33"/>
  <c r="GB57" i="33"/>
  <c r="GA57" i="33"/>
  <c r="FZ57" i="33"/>
  <c r="FY57" i="33"/>
  <c r="FX57" i="33"/>
  <c r="FW57" i="33"/>
  <c r="FV57" i="33"/>
  <c r="FU57" i="33"/>
  <c r="FT57" i="33"/>
  <c r="FS57" i="33"/>
  <c r="FR57" i="33"/>
  <c r="FQ57" i="33"/>
  <c r="FP57" i="33"/>
  <c r="FO57" i="33"/>
  <c r="FN57" i="33"/>
  <c r="FM57" i="33"/>
  <c r="FL57" i="33"/>
  <c r="FK57" i="33"/>
  <c r="FJ57" i="33"/>
  <c r="FI57" i="33"/>
  <c r="FH57" i="33"/>
  <c r="FG57" i="33"/>
  <c r="FF57" i="33"/>
  <c r="FE57" i="33"/>
  <c r="FD57" i="33"/>
  <c r="FC57" i="33"/>
  <c r="FB57" i="33"/>
  <c r="FA57" i="33"/>
  <c r="EZ57" i="33"/>
  <c r="EY57" i="33"/>
  <c r="EX57" i="33"/>
  <c r="EW57" i="33"/>
  <c r="EV57" i="33"/>
  <c r="EU57" i="33"/>
  <c r="ET57" i="33"/>
  <c r="ES57" i="33"/>
  <c r="ER57" i="33"/>
  <c r="EQ57" i="33"/>
  <c r="EP57" i="33"/>
  <c r="EO57" i="33"/>
  <c r="EN57" i="33"/>
  <c r="EM57" i="33"/>
  <c r="EL57" i="33"/>
  <c r="EK57" i="33"/>
  <c r="EJ57" i="33"/>
  <c r="EI57" i="33"/>
  <c r="EH57" i="33"/>
  <c r="EG57" i="33"/>
  <c r="EF57" i="33"/>
  <c r="EE57" i="33"/>
  <c r="ED57" i="33"/>
  <c r="EC57" i="33"/>
  <c r="EB57" i="33"/>
  <c r="EA57" i="33"/>
  <c r="DZ57" i="33"/>
  <c r="DY57" i="33"/>
  <c r="DX57" i="33"/>
  <c r="DW57" i="33"/>
  <c r="DV57" i="33"/>
  <c r="DU57" i="33"/>
  <c r="DT57" i="33"/>
  <c r="DS57" i="33"/>
  <c r="DR57" i="33"/>
  <c r="DQ57" i="33"/>
  <c r="DP57" i="33"/>
  <c r="DO57" i="33"/>
  <c r="DN57" i="33"/>
  <c r="DM57" i="33"/>
  <c r="DL57" i="33"/>
  <c r="DK57" i="33"/>
  <c r="DJ57" i="33"/>
  <c r="DI57" i="33"/>
  <c r="DH57" i="33"/>
  <c r="DG57" i="33"/>
  <c r="DF57" i="33"/>
  <c r="DE57" i="33"/>
  <c r="DD57" i="33"/>
  <c r="DC57" i="33"/>
  <c r="DB57" i="33"/>
  <c r="DA57" i="33"/>
  <c r="CZ57" i="33"/>
  <c r="CY57" i="33"/>
  <c r="CX57" i="33"/>
  <c r="CW57" i="33"/>
  <c r="CV57" i="33"/>
  <c r="CU57" i="33"/>
  <c r="CT57" i="33"/>
  <c r="CS57" i="33"/>
  <c r="CR57" i="33"/>
  <c r="CQ57" i="33"/>
  <c r="CP57" i="33"/>
  <c r="CO57" i="33"/>
  <c r="CN57" i="33"/>
  <c r="CM57" i="33"/>
  <c r="CL57" i="33"/>
  <c r="CK57" i="33"/>
  <c r="CJ57" i="33"/>
  <c r="CI57" i="33"/>
  <c r="CH57" i="33"/>
  <c r="CG57" i="33"/>
  <c r="CF57" i="33"/>
  <c r="CE57" i="33"/>
  <c r="CD57" i="33"/>
  <c r="CC57" i="33"/>
  <c r="CB57" i="33"/>
  <c r="CA57" i="33"/>
  <c r="BZ57" i="33"/>
  <c r="BY57" i="33"/>
  <c r="BX57" i="33"/>
  <c r="BW57" i="33"/>
  <c r="BV57" i="33"/>
  <c r="BU57" i="33"/>
  <c r="BT57" i="33"/>
  <c r="BS57" i="33"/>
  <c r="BR57" i="33"/>
  <c r="BQ57" i="33"/>
  <c r="BP57" i="33"/>
  <c r="BO57" i="33"/>
  <c r="BN57" i="33"/>
  <c r="BM57" i="33"/>
  <c r="BL57" i="33"/>
  <c r="BK57" i="33"/>
  <c r="BJ57" i="33"/>
  <c r="BI57" i="33"/>
  <c r="BH57" i="33"/>
  <c r="BG57" i="33"/>
  <c r="BF57" i="33"/>
  <c r="BE57" i="33"/>
  <c r="BD57" i="33"/>
  <c r="BC57" i="33"/>
  <c r="BB57" i="33"/>
  <c r="BA57" i="33"/>
  <c r="AZ57" i="33"/>
  <c r="AY57" i="33"/>
  <c r="AX57" i="33"/>
  <c r="AW57" i="33"/>
  <c r="AV57" i="33"/>
  <c r="AU57" i="33"/>
  <c r="AT57" i="33"/>
  <c r="AS57" i="33"/>
  <c r="AR57" i="33"/>
  <c r="AQ57" i="33"/>
  <c r="AP57" i="33"/>
  <c r="AO57" i="33"/>
  <c r="AN57" i="33"/>
  <c r="AM57" i="33"/>
  <c r="AL57" i="33"/>
  <c r="AK57" i="33"/>
  <c r="AJ57" i="33"/>
  <c r="AI57" i="33"/>
  <c r="AH57" i="33"/>
  <c r="AG57" i="33"/>
  <c r="AF57" i="33"/>
  <c r="AE57" i="33"/>
  <c r="AD57" i="33"/>
  <c r="AC57" i="33"/>
  <c r="AB57" i="33"/>
  <c r="AA57" i="33"/>
  <c r="Z57" i="33"/>
  <c r="Y57" i="33"/>
  <c r="X57" i="33"/>
  <c r="W57" i="33"/>
  <c r="V57" i="33"/>
  <c r="U57" i="33"/>
  <c r="T57" i="33"/>
  <c r="S57" i="33"/>
  <c r="R57" i="33"/>
  <c r="Q57" i="33"/>
  <c r="P57" i="33"/>
  <c r="O57" i="33"/>
  <c r="N57" i="33"/>
  <c r="M57" i="33"/>
  <c r="L57" i="33"/>
  <c r="K57" i="33"/>
  <c r="J57" i="33"/>
  <c r="I57" i="33"/>
  <c r="H57" i="33"/>
  <c r="G57" i="33"/>
  <c r="F57" i="33"/>
  <c r="E57" i="33"/>
  <c r="D57" i="33"/>
  <c r="C57" i="33"/>
  <c r="B57" i="33"/>
  <c r="A57" i="33"/>
  <c r="IV56" i="33"/>
  <c r="IU56" i="33"/>
  <c r="IT56" i="33"/>
  <c r="IS56" i="33"/>
  <c r="IR56" i="33"/>
  <c r="IQ56" i="33"/>
  <c r="IP56" i="33"/>
  <c r="IO56" i="33"/>
  <c r="IN56" i="33"/>
  <c r="IM56" i="33"/>
  <c r="IL56" i="33"/>
  <c r="IK56" i="33"/>
  <c r="IJ56" i="33"/>
  <c r="II56" i="33"/>
  <c r="IH56" i="33"/>
  <c r="IG56" i="33"/>
  <c r="IF56" i="33"/>
  <c r="IE56" i="33"/>
  <c r="ID56" i="33"/>
  <c r="IC56" i="33"/>
  <c r="IB56" i="33"/>
  <c r="IA56" i="33"/>
  <c r="HZ56" i="33"/>
  <c r="HY56" i="33"/>
  <c r="HX56" i="33"/>
  <c r="HW56" i="33"/>
  <c r="HV56" i="33"/>
  <c r="HU56" i="33"/>
  <c r="HT56" i="33"/>
  <c r="HS56" i="33"/>
  <c r="HR56" i="33"/>
  <c r="HQ56" i="33"/>
  <c r="HP56" i="33"/>
  <c r="HO56" i="33"/>
  <c r="HN56" i="33"/>
  <c r="HM56" i="33"/>
  <c r="HL56" i="33"/>
  <c r="HK56" i="33"/>
  <c r="HJ56" i="33"/>
  <c r="HI56" i="33"/>
  <c r="HH56" i="33"/>
  <c r="HG56" i="33"/>
  <c r="HF56" i="33"/>
  <c r="HE56" i="33"/>
  <c r="HD56" i="33"/>
  <c r="HC56" i="33"/>
  <c r="HB56" i="33"/>
  <c r="HA56" i="33"/>
  <c r="GZ56" i="33"/>
  <c r="GY56" i="33"/>
  <c r="GX56" i="33"/>
  <c r="GW56" i="33"/>
  <c r="GV56" i="33"/>
  <c r="GU56" i="33"/>
  <c r="GT56" i="33"/>
  <c r="GS56" i="33"/>
  <c r="GR56" i="33"/>
  <c r="GQ56" i="33"/>
  <c r="GP56" i="33"/>
  <c r="GO56" i="33"/>
  <c r="GN56" i="33"/>
  <c r="GM56" i="33"/>
  <c r="GL56" i="33"/>
  <c r="GK56" i="33"/>
  <c r="GJ56" i="33"/>
  <c r="GI56" i="33"/>
  <c r="GH56" i="33"/>
  <c r="GG56" i="33"/>
  <c r="GF56" i="33"/>
  <c r="GE56" i="33"/>
  <c r="GD56" i="33"/>
  <c r="GC56" i="33"/>
  <c r="GB56" i="33"/>
  <c r="GA56" i="33"/>
  <c r="FZ56" i="33"/>
  <c r="FY56" i="33"/>
  <c r="FX56" i="33"/>
  <c r="FW56" i="33"/>
  <c r="FV56" i="33"/>
  <c r="FU56" i="33"/>
  <c r="FT56" i="33"/>
  <c r="FS56" i="33"/>
  <c r="FR56" i="33"/>
  <c r="FQ56" i="33"/>
  <c r="FP56" i="33"/>
  <c r="FO56" i="33"/>
  <c r="FN56" i="33"/>
  <c r="FM56" i="33"/>
  <c r="FL56" i="33"/>
  <c r="FK56" i="33"/>
  <c r="FJ56" i="33"/>
  <c r="FI56" i="33"/>
  <c r="FH56" i="33"/>
  <c r="FG56" i="33"/>
  <c r="FF56" i="33"/>
  <c r="FE56" i="33"/>
  <c r="FD56" i="33"/>
  <c r="FC56" i="33"/>
  <c r="FB56" i="33"/>
  <c r="FA56" i="33"/>
  <c r="EZ56" i="33"/>
  <c r="EY56" i="33"/>
  <c r="EX56" i="33"/>
  <c r="EW56" i="33"/>
  <c r="EV56" i="33"/>
  <c r="EU56" i="33"/>
  <c r="ET56" i="33"/>
  <c r="ES56" i="33"/>
  <c r="ER56" i="33"/>
  <c r="EQ56" i="33"/>
  <c r="EP56" i="33"/>
  <c r="EO56" i="33"/>
  <c r="EN56" i="33"/>
  <c r="EM56" i="33"/>
  <c r="EL56" i="33"/>
  <c r="EK56" i="33"/>
  <c r="EJ56" i="33"/>
  <c r="EI56" i="33"/>
  <c r="EH56" i="33"/>
  <c r="EG56" i="33"/>
  <c r="EF56" i="33"/>
  <c r="EE56" i="33"/>
  <c r="ED56" i="33"/>
  <c r="EC56" i="33"/>
  <c r="EB56" i="33"/>
  <c r="EA56" i="33"/>
  <c r="DZ56" i="33"/>
  <c r="DY56" i="33"/>
  <c r="DX56" i="33"/>
  <c r="DW56" i="33"/>
  <c r="DV56" i="33"/>
  <c r="DU56" i="33"/>
  <c r="DT56" i="33"/>
  <c r="DS56" i="33"/>
  <c r="DR56" i="33"/>
  <c r="DQ56" i="33"/>
  <c r="DP56" i="33"/>
  <c r="DO56" i="33"/>
  <c r="DN56" i="33"/>
  <c r="DM56" i="33"/>
  <c r="DL56" i="33"/>
  <c r="DK56" i="33"/>
  <c r="DJ56" i="33"/>
  <c r="DI56" i="33"/>
  <c r="DH56" i="33"/>
  <c r="DG56" i="33"/>
  <c r="DF56" i="33"/>
  <c r="DE56" i="33"/>
  <c r="DD56" i="33"/>
  <c r="DC56" i="33"/>
  <c r="DB56" i="33"/>
  <c r="DA56" i="33"/>
  <c r="CZ56" i="33"/>
  <c r="CY56" i="33"/>
  <c r="CX56" i="33"/>
  <c r="CW56" i="33"/>
  <c r="CV56" i="33"/>
  <c r="CU56" i="33"/>
  <c r="CT56" i="33"/>
  <c r="CS56" i="33"/>
  <c r="CR56" i="33"/>
  <c r="CQ56" i="33"/>
  <c r="CP56" i="33"/>
  <c r="CO56" i="33"/>
  <c r="CN56" i="33"/>
  <c r="CM56" i="33"/>
  <c r="CL56" i="33"/>
  <c r="CK56" i="33"/>
  <c r="CJ56" i="33"/>
  <c r="CI56" i="33"/>
  <c r="CH56" i="33"/>
  <c r="CG56" i="33"/>
  <c r="CF56" i="33"/>
  <c r="CE56" i="33"/>
  <c r="CD56" i="33"/>
  <c r="CC56" i="33"/>
  <c r="CB56" i="33"/>
  <c r="CA56" i="33"/>
  <c r="BZ56" i="33"/>
  <c r="BY56" i="33"/>
  <c r="BX56" i="33"/>
  <c r="BW56" i="33"/>
  <c r="BV56" i="33"/>
  <c r="BU56" i="33"/>
  <c r="BT56" i="33"/>
  <c r="BS56" i="33"/>
  <c r="BR56" i="33"/>
  <c r="BQ56" i="33"/>
  <c r="BP56" i="33"/>
  <c r="BO56" i="33"/>
  <c r="BN56" i="33"/>
  <c r="BM56" i="33"/>
  <c r="BL56" i="33"/>
  <c r="BK56" i="33"/>
  <c r="BJ56" i="33"/>
  <c r="BI56" i="33"/>
  <c r="BH56" i="33"/>
  <c r="BG56" i="33"/>
  <c r="BF56" i="33"/>
  <c r="BE56" i="33"/>
  <c r="BD56" i="33"/>
  <c r="BC56" i="33"/>
  <c r="BB56" i="33"/>
  <c r="BA56" i="33"/>
  <c r="AZ56" i="33"/>
  <c r="AY56" i="33"/>
  <c r="AX56" i="33"/>
  <c r="AW56" i="33"/>
  <c r="AV56" i="33"/>
  <c r="AU56" i="33"/>
  <c r="AT56" i="33"/>
  <c r="AS56" i="33"/>
  <c r="AR56" i="33"/>
  <c r="AQ56" i="33"/>
  <c r="AP56" i="33"/>
  <c r="AO56" i="33"/>
  <c r="AN56" i="33"/>
  <c r="AM56" i="33"/>
  <c r="AL56" i="33"/>
  <c r="AK56" i="33"/>
  <c r="AJ56" i="33"/>
  <c r="AI56" i="33"/>
  <c r="AH56" i="33"/>
  <c r="AG56" i="33"/>
  <c r="AF56" i="33"/>
  <c r="AE56" i="33"/>
  <c r="AD56" i="33"/>
  <c r="AC56" i="33"/>
  <c r="AB56" i="33"/>
  <c r="AA56" i="33"/>
  <c r="Z56" i="33"/>
  <c r="Y56" i="33"/>
  <c r="X56" i="33"/>
  <c r="W56" i="33"/>
  <c r="V56" i="33"/>
  <c r="U56" i="33"/>
  <c r="T56" i="33"/>
  <c r="S56" i="33"/>
  <c r="R56" i="33"/>
  <c r="Q56" i="33"/>
  <c r="P56" i="33"/>
  <c r="O56" i="33"/>
  <c r="N56" i="33"/>
  <c r="M56" i="33"/>
  <c r="L56" i="33"/>
  <c r="K56" i="33"/>
  <c r="J56" i="33"/>
  <c r="I56" i="33"/>
  <c r="H56" i="33"/>
  <c r="G56" i="33"/>
  <c r="F56" i="33"/>
  <c r="E56" i="33"/>
  <c r="D56" i="33"/>
  <c r="C56" i="33"/>
  <c r="B56" i="33"/>
  <c r="A56" i="33"/>
  <c r="IV55" i="33"/>
  <c r="IU55" i="33"/>
  <c r="IT55" i="33"/>
  <c r="IS55" i="33"/>
  <c r="IR55" i="33"/>
  <c r="IQ55" i="33"/>
  <c r="IP55" i="33"/>
  <c r="IO55" i="33"/>
  <c r="IN55" i="33"/>
  <c r="IM55" i="33"/>
  <c r="IL55" i="33"/>
  <c r="IK55" i="33"/>
  <c r="IJ55" i="33"/>
  <c r="II55" i="33"/>
  <c r="IH55" i="33"/>
  <c r="IG55" i="33"/>
  <c r="IF55" i="33"/>
  <c r="IE55" i="33"/>
  <c r="ID55" i="33"/>
  <c r="IC55" i="33"/>
  <c r="IB55" i="33"/>
  <c r="IA55" i="33"/>
  <c r="HZ55" i="33"/>
  <c r="HY55" i="33"/>
  <c r="HX55" i="33"/>
  <c r="HW55" i="33"/>
  <c r="HV55" i="33"/>
  <c r="HU55" i="33"/>
  <c r="HT55" i="33"/>
  <c r="HS55" i="33"/>
  <c r="HR55" i="33"/>
  <c r="HQ55" i="33"/>
  <c r="HP55" i="33"/>
  <c r="HO55" i="33"/>
  <c r="HN55" i="33"/>
  <c r="HM55" i="33"/>
  <c r="HL55" i="33"/>
  <c r="HK55" i="33"/>
  <c r="HJ55" i="33"/>
  <c r="HI55" i="33"/>
  <c r="HH55" i="33"/>
  <c r="HG55" i="33"/>
  <c r="HF55" i="33"/>
  <c r="HE55" i="33"/>
  <c r="HD55" i="33"/>
  <c r="HC55" i="33"/>
  <c r="HB55" i="33"/>
  <c r="HA55" i="33"/>
  <c r="GZ55" i="33"/>
  <c r="GY55" i="33"/>
  <c r="GX55" i="33"/>
  <c r="GW55" i="33"/>
  <c r="GV55" i="33"/>
  <c r="GU55" i="33"/>
  <c r="GT55" i="33"/>
  <c r="GS55" i="33"/>
  <c r="GR55" i="33"/>
  <c r="GQ55" i="33"/>
  <c r="GP55" i="33"/>
  <c r="GO55" i="33"/>
  <c r="GN55" i="33"/>
  <c r="GM55" i="33"/>
  <c r="GL55" i="33"/>
  <c r="GK55" i="33"/>
  <c r="GJ55" i="33"/>
  <c r="GI55" i="33"/>
  <c r="GH55" i="33"/>
  <c r="GG55" i="33"/>
  <c r="GF55" i="33"/>
  <c r="GE55" i="33"/>
  <c r="GD55" i="33"/>
  <c r="GC55" i="33"/>
  <c r="GB55" i="33"/>
  <c r="GA55" i="33"/>
  <c r="FZ55" i="33"/>
  <c r="FY55" i="33"/>
  <c r="FX55" i="33"/>
  <c r="FW55" i="33"/>
  <c r="FV55" i="33"/>
  <c r="FU55" i="33"/>
  <c r="FT55" i="33"/>
  <c r="FS55" i="33"/>
  <c r="FR55" i="33"/>
  <c r="FQ55" i="33"/>
  <c r="FP55" i="33"/>
  <c r="FO55" i="33"/>
  <c r="FN55" i="33"/>
  <c r="FM55" i="33"/>
  <c r="FL55" i="33"/>
  <c r="FK55" i="33"/>
  <c r="FJ55" i="33"/>
  <c r="FI55" i="33"/>
  <c r="FH55" i="33"/>
  <c r="FG55" i="33"/>
  <c r="FF55" i="33"/>
  <c r="FE55" i="33"/>
  <c r="FD55" i="33"/>
  <c r="FC55" i="33"/>
  <c r="FB55" i="33"/>
  <c r="FA55" i="33"/>
  <c r="EZ55" i="33"/>
  <c r="EY55" i="33"/>
  <c r="EX55" i="33"/>
  <c r="EW55" i="33"/>
  <c r="EV55" i="33"/>
  <c r="EU55" i="33"/>
  <c r="ET55" i="33"/>
  <c r="ES55" i="33"/>
  <c r="ER55" i="33"/>
  <c r="EQ55" i="33"/>
  <c r="EP55" i="33"/>
  <c r="EO55" i="33"/>
  <c r="EN55" i="33"/>
  <c r="EM55" i="33"/>
  <c r="EL55" i="33"/>
  <c r="EK55" i="33"/>
  <c r="EJ55" i="33"/>
  <c r="EI55" i="33"/>
  <c r="EH55" i="33"/>
  <c r="EG55" i="33"/>
  <c r="EF55" i="33"/>
  <c r="EE55" i="33"/>
  <c r="ED55" i="33"/>
  <c r="EC55" i="33"/>
  <c r="EB55" i="33"/>
  <c r="EA55" i="33"/>
  <c r="DZ55" i="33"/>
  <c r="DY55" i="33"/>
  <c r="DX55" i="33"/>
  <c r="DW55" i="33"/>
  <c r="DV55" i="33"/>
  <c r="DU55" i="33"/>
  <c r="DT55" i="33"/>
  <c r="DS55" i="33"/>
  <c r="DR55" i="33"/>
  <c r="DQ55" i="33"/>
  <c r="DP55" i="33"/>
  <c r="DO55" i="33"/>
  <c r="DN55" i="33"/>
  <c r="DM55" i="33"/>
  <c r="DL55" i="33"/>
  <c r="DK55" i="33"/>
  <c r="DJ55" i="33"/>
  <c r="DI55" i="33"/>
  <c r="DH55" i="33"/>
  <c r="DG55" i="33"/>
  <c r="DF55" i="33"/>
  <c r="DE55" i="33"/>
  <c r="DD55" i="33"/>
  <c r="DC55" i="33"/>
  <c r="DB55" i="33"/>
  <c r="DA55" i="33"/>
  <c r="CZ55" i="33"/>
  <c r="CY55" i="33"/>
  <c r="CX55" i="33"/>
  <c r="CW55" i="33"/>
  <c r="CV55" i="33"/>
  <c r="CU55" i="33"/>
  <c r="CT55" i="33"/>
  <c r="CS55" i="33"/>
  <c r="CR55" i="33"/>
  <c r="CQ55" i="33"/>
  <c r="CP55" i="33"/>
  <c r="CO55" i="33"/>
  <c r="CN55" i="33"/>
  <c r="CM55" i="33"/>
  <c r="CL55" i="33"/>
  <c r="CK55" i="33"/>
  <c r="CJ55" i="33"/>
  <c r="CI55" i="33"/>
  <c r="CH55" i="33"/>
  <c r="CG55" i="33"/>
  <c r="CF55" i="33"/>
  <c r="CE55" i="33"/>
  <c r="CD55" i="33"/>
  <c r="CC55" i="33"/>
  <c r="CB55" i="33"/>
  <c r="CA55" i="33"/>
  <c r="BZ55" i="33"/>
  <c r="BY55" i="33"/>
  <c r="BX55" i="33"/>
  <c r="BW55" i="33"/>
  <c r="BV55" i="33"/>
  <c r="BU55" i="33"/>
  <c r="BT55" i="33"/>
  <c r="BS55" i="33"/>
  <c r="BR55" i="33"/>
  <c r="BQ55" i="33"/>
  <c r="BP55" i="33"/>
  <c r="BO55" i="33"/>
  <c r="BN55" i="33"/>
  <c r="BM55" i="33"/>
  <c r="BL55" i="33"/>
  <c r="BK55" i="33"/>
  <c r="BJ55" i="33"/>
  <c r="BI55" i="33"/>
  <c r="BH55" i="33"/>
  <c r="BG55" i="33"/>
  <c r="BF55" i="33"/>
  <c r="BE55" i="33"/>
  <c r="BD55" i="33"/>
  <c r="BC55" i="33"/>
  <c r="BB55" i="33"/>
  <c r="BA55" i="33"/>
  <c r="AZ55" i="33"/>
  <c r="AY55" i="33"/>
  <c r="AX55" i="33"/>
  <c r="AW55" i="33"/>
  <c r="AV55" i="33"/>
  <c r="AU55" i="33"/>
  <c r="AT55" i="33"/>
  <c r="AS55" i="33"/>
  <c r="AR55" i="33"/>
  <c r="AQ55" i="33"/>
  <c r="AP55" i="33"/>
  <c r="AO55" i="33"/>
  <c r="AN55" i="33"/>
  <c r="AM55" i="33"/>
  <c r="AL55" i="33"/>
  <c r="AK55" i="33"/>
  <c r="AJ55" i="33"/>
  <c r="AI55" i="33"/>
  <c r="AH55" i="33"/>
  <c r="AG55" i="33"/>
  <c r="AF55" i="33"/>
  <c r="AE55" i="33"/>
  <c r="AD55" i="33"/>
  <c r="AC55" i="33"/>
  <c r="AB55" i="33"/>
  <c r="AA55" i="33"/>
  <c r="Z55" i="33"/>
  <c r="Y55" i="33"/>
  <c r="X55" i="33"/>
  <c r="W55" i="33"/>
  <c r="V55" i="33"/>
  <c r="U55" i="33"/>
  <c r="T55" i="33"/>
  <c r="S55" i="33"/>
  <c r="R55" i="33"/>
  <c r="Q55" i="33"/>
  <c r="P55" i="33"/>
  <c r="O55" i="33"/>
  <c r="N55" i="33"/>
  <c r="M55" i="33"/>
  <c r="L55" i="33"/>
  <c r="K55" i="33"/>
  <c r="J55" i="33"/>
  <c r="I55" i="33"/>
  <c r="H55" i="33"/>
  <c r="G55" i="33"/>
  <c r="F55" i="33"/>
  <c r="E55" i="33"/>
  <c r="D55" i="33"/>
  <c r="C55" i="33"/>
  <c r="B55" i="33"/>
  <c r="A55" i="33"/>
  <c r="IV54" i="33"/>
  <c r="IU54" i="33"/>
  <c r="IT54" i="33"/>
  <c r="IS54" i="33"/>
  <c r="IR54" i="33"/>
  <c r="IQ54" i="33"/>
  <c r="IP54" i="33"/>
  <c r="IO54" i="33"/>
  <c r="IN54" i="33"/>
  <c r="IM54" i="33"/>
  <c r="IL54" i="33"/>
  <c r="IK54" i="33"/>
  <c r="IJ54" i="33"/>
  <c r="II54" i="33"/>
  <c r="IH54" i="33"/>
  <c r="IG54" i="33"/>
  <c r="IF54" i="33"/>
  <c r="IE54" i="33"/>
  <c r="ID54" i="33"/>
  <c r="IC54" i="33"/>
  <c r="IB54" i="33"/>
  <c r="IA54" i="33"/>
  <c r="HZ54" i="33"/>
  <c r="HY54" i="33"/>
  <c r="HX54" i="33"/>
  <c r="HW54" i="33"/>
  <c r="HV54" i="33"/>
  <c r="HU54" i="33"/>
  <c r="HT54" i="33"/>
  <c r="HS54" i="33"/>
  <c r="HR54" i="33"/>
  <c r="HQ54" i="33"/>
  <c r="HP54" i="33"/>
  <c r="HO54" i="33"/>
  <c r="HN54" i="33"/>
  <c r="HM54" i="33"/>
  <c r="HL54" i="33"/>
  <c r="HK54" i="33"/>
  <c r="HJ54" i="33"/>
  <c r="HI54" i="33"/>
  <c r="HH54" i="33"/>
  <c r="HG54" i="33"/>
  <c r="HF54" i="33"/>
  <c r="HE54" i="33"/>
  <c r="HD54" i="33"/>
  <c r="HC54" i="33"/>
  <c r="HB54" i="33"/>
  <c r="HA54" i="33"/>
  <c r="GZ54" i="33"/>
  <c r="GY54" i="33"/>
  <c r="GX54" i="33"/>
  <c r="GW54" i="33"/>
  <c r="GV54" i="33"/>
  <c r="GU54" i="33"/>
  <c r="GT54" i="33"/>
  <c r="GS54" i="33"/>
  <c r="GR54" i="33"/>
  <c r="GQ54" i="33"/>
  <c r="GP54" i="33"/>
  <c r="GO54" i="33"/>
  <c r="GN54" i="33"/>
  <c r="GM54" i="33"/>
  <c r="GL54" i="33"/>
  <c r="GK54" i="33"/>
  <c r="GJ54" i="33"/>
  <c r="GI54" i="33"/>
  <c r="GH54" i="33"/>
  <c r="GG54" i="33"/>
  <c r="GF54" i="33"/>
  <c r="GE54" i="33"/>
  <c r="GD54" i="33"/>
  <c r="GC54" i="33"/>
  <c r="GB54" i="33"/>
  <c r="GA54" i="33"/>
  <c r="FZ54" i="33"/>
  <c r="FY54" i="33"/>
  <c r="FX54" i="33"/>
  <c r="FW54" i="33"/>
  <c r="FV54" i="33"/>
  <c r="FU54" i="33"/>
  <c r="FT54" i="33"/>
  <c r="FS54" i="33"/>
  <c r="FR54" i="33"/>
  <c r="FQ54" i="33"/>
  <c r="FP54" i="33"/>
  <c r="FO54" i="33"/>
  <c r="FN54" i="33"/>
  <c r="FM54" i="33"/>
  <c r="FL54" i="33"/>
  <c r="FK54" i="33"/>
  <c r="FJ54" i="33"/>
  <c r="FI54" i="33"/>
  <c r="FH54" i="33"/>
  <c r="FG54" i="33"/>
  <c r="FF54" i="33"/>
  <c r="FE54" i="33"/>
  <c r="FD54" i="33"/>
  <c r="FC54" i="33"/>
  <c r="FB54" i="33"/>
  <c r="FA54" i="33"/>
  <c r="EZ54" i="33"/>
  <c r="EY54" i="33"/>
  <c r="EX54" i="33"/>
  <c r="EW54" i="33"/>
  <c r="EV54" i="33"/>
  <c r="EU54" i="33"/>
  <c r="ET54" i="33"/>
  <c r="ES54" i="33"/>
  <c r="ER54" i="33"/>
  <c r="EQ54" i="33"/>
  <c r="EP54" i="33"/>
  <c r="EO54" i="33"/>
  <c r="EN54" i="33"/>
  <c r="EM54" i="33"/>
  <c r="EL54" i="33"/>
  <c r="EK54" i="33"/>
  <c r="EJ54" i="33"/>
  <c r="EI54" i="33"/>
  <c r="EH54" i="33"/>
  <c r="EG54" i="33"/>
  <c r="EF54" i="33"/>
  <c r="EE54" i="33"/>
  <c r="ED54" i="33"/>
  <c r="EC54" i="33"/>
  <c r="EB54" i="33"/>
  <c r="EA54" i="33"/>
  <c r="DZ54" i="33"/>
  <c r="DY54" i="33"/>
  <c r="DX54" i="33"/>
  <c r="DW54" i="33"/>
  <c r="DV54" i="33"/>
  <c r="DU54" i="33"/>
  <c r="DT54" i="33"/>
  <c r="DS54" i="33"/>
  <c r="DR54" i="33"/>
  <c r="DQ54" i="33"/>
  <c r="DP54" i="33"/>
  <c r="DO54" i="33"/>
  <c r="DN54" i="33"/>
  <c r="DM54" i="33"/>
  <c r="DL54" i="33"/>
  <c r="DK54" i="33"/>
  <c r="DJ54" i="33"/>
  <c r="DI54" i="33"/>
  <c r="DH54" i="33"/>
  <c r="DG54" i="33"/>
  <c r="DF54" i="33"/>
  <c r="DE54" i="33"/>
  <c r="DD54" i="33"/>
  <c r="DC54" i="33"/>
  <c r="DB54" i="33"/>
  <c r="DA54" i="33"/>
  <c r="CZ54" i="33"/>
  <c r="CY54" i="33"/>
  <c r="CX54" i="33"/>
  <c r="CW54" i="33"/>
  <c r="CV54" i="33"/>
  <c r="CU54" i="33"/>
  <c r="CT54" i="33"/>
  <c r="CS54" i="33"/>
  <c r="CR54" i="33"/>
  <c r="CQ54" i="33"/>
  <c r="CP54" i="33"/>
  <c r="CO54" i="33"/>
  <c r="CN54" i="33"/>
  <c r="CM54" i="33"/>
  <c r="CL54" i="33"/>
  <c r="CK54" i="33"/>
  <c r="CJ54" i="33"/>
  <c r="CI54" i="33"/>
  <c r="CH54" i="33"/>
  <c r="CG54" i="33"/>
  <c r="CF54" i="33"/>
  <c r="CE54" i="33"/>
  <c r="CD54" i="33"/>
  <c r="CC54" i="33"/>
  <c r="CB54" i="33"/>
  <c r="CA54" i="33"/>
  <c r="BZ54" i="33"/>
  <c r="BY54" i="33"/>
  <c r="BX54" i="33"/>
  <c r="BW54" i="33"/>
  <c r="BV54" i="33"/>
  <c r="BU54" i="33"/>
  <c r="BT54" i="33"/>
  <c r="BS54" i="33"/>
  <c r="BR54" i="33"/>
  <c r="BQ54" i="33"/>
  <c r="BP54" i="33"/>
  <c r="BO54" i="33"/>
  <c r="BN54" i="33"/>
  <c r="BM54" i="33"/>
  <c r="BL54" i="33"/>
  <c r="BK54" i="33"/>
  <c r="BJ54" i="33"/>
  <c r="BI54" i="33"/>
  <c r="BH54" i="33"/>
  <c r="BG54" i="33"/>
  <c r="BF54" i="33"/>
  <c r="BE54" i="33"/>
  <c r="BD54" i="33"/>
  <c r="BC54" i="33"/>
  <c r="BB54" i="33"/>
  <c r="BA54" i="33"/>
  <c r="AZ54" i="33"/>
  <c r="AY54" i="33"/>
  <c r="AX54" i="33"/>
  <c r="AW54" i="33"/>
  <c r="AV54" i="33"/>
  <c r="AU54" i="33"/>
  <c r="AT54" i="33"/>
  <c r="AS54" i="33"/>
  <c r="AR54" i="33"/>
  <c r="AQ54" i="33"/>
  <c r="AP54" i="33"/>
  <c r="AO54" i="33"/>
  <c r="AN54" i="33"/>
  <c r="AM54" i="33"/>
  <c r="AL54" i="33"/>
  <c r="AK54" i="33"/>
  <c r="AJ54" i="33"/>
  <c r="AI54" i="33"/>
  <c r="AH54" i="33"/>
  <c r="AG54" i="33"/>
  <c r="AF54" i="33"/>
  <c r="AE54" i="33"/>
  <c r="AD54" i="33"/>
  <c r="AC54" i="33"/>
  <c r="AB54" i="33"/>
  <c r="AA54" i="33"/>
  <c r="Z54" i="33"/>
  <c r="Y54" i="33"/>
  <c r="X54" i="33"/>
  <c r="W54" i="33"/>
  <c r="V54" i="33"/>
  <c r="U54" i="33"/>
  <c r="T54" i="33"/>
  <c r="S54" i="33"/>
  <c r="R54" i="33"/>
  <c r="Q54" i="33"/>
  <c r="P54" i="33"/>
  <c r="O54" i="33"/>
  <c r="N54" i="33"/>
  <c r="M54" i="33"/>
  <c r="L54" i="33"/>
  <c r="K54" i="33"/>
  <c r="J54" i="33"/>
  <c r="I54" i="33"/>
  <c r="H54" i="33"/>
  <c r="G54" i="33"/>
  <c r="F54" i="33"/>
  <c r="E54" i="33"/>
  <c r="D54" i="33"/>
  <c r="C54" i="33"/>
  <c r="B54" i="33"/>
  <c r="A54" i="33"/>
  <c r="IV53" i="33"/>
  <c r="IU53" i="33"/>
  <c r="IT53" i="33"/>
  <c r="IS53" i="33"/>
  <c r="IR53" i="33"/>
  <c r="IQ53" i="33"/>
  <c r="IP53" i="33"/>
  <c r="IO53" i="33"/>
  <c r="IN53" i="33"/>
  <c r="IM53" i="33"/>
  <c r="IL53" i="33"/>
  <c r="IK53" i="33"/>
  <c r="IJ53" i="33"/>
  <c r="II53" i="33"/>
  <c r="IH53" i="33"/>
  <c r="IG53" i="33"/>
  <c r="IF53" i="33"/>
  <c r="IE53" i="33"/>
  <c r="ID53" i="33"/>
  <c r="IC53" i="33"/>
  <c r="IB53" i="33"/>
  <c r="IA53" i="33"/>
  <c r="HZ53" i="33"/>
  <c r="HY53" i="33"/>
  <c r="HX53" i="33"/>
  <c r="HW53" i="33"/>
  <c r="HV53" i="33"/>
  <c r="HU53" i="33"/>
  <c r="HT53" i="33"/>
  <c r="HS53" i="33"/>
  <c r="HR53" i="33"/>
  <c r="HQ53" i="33"/>
  <c r="HP53" i="33"/>
  <c r="HO53" i="33"/>
  <c r="HN53" i="33"/>
  <c r="HM53" i="33"/>
  <c r="HL53" i="33"/>
  <c r="HK53" i="33"/>
  <c r="HJ53" i="33"/>
  <c r="HI53" i="33"/>
  <c r="HH53" i="33"/>
  <c r="HG53" i="33"/>
  <c r="HF53" i="33"/>
  <c r="HE53" i="33"/>
  <c r="HD53" i="33"/>
  <c r="HC53" i="33"/>
  <c r="HB53" i="33"/>
  <c r="HA53" i="33"/>
  <c r="GZ53" i="33"/>
  <c r="GY53" i="33"/>
  <c r="GX53" i="33"/>
  <c r="GW53" i="33"/>
  <c r="GV53" i="33"/>
  <c r="GU53" i="33"/>
  <c r="GT53" i="33"/>
  <c r="GS53" i="33"/>
  <c r="GR53" i="33"/>
  <c r="GQ53" i="33"/>
  <c r="GP53" i="33"/>
  <c r="GO53" i="33"/>
  <c r="GN53" i="33"/>
  <c r="GM53" i="33"/>
  <c r="GL53" i="33"/>
  <c r="GK53" i="33"/>
  <c r="GJ53" i="33"/>
  <c r="GI53" i="33"/>
  <c r="GH53" i="33"/>
  <c r="GG53" i="33"/>
  <c r="GF53" i="33"/>
  <c r="GE53" i="33"/>
  <c r="GD53" i="33"/>
  <c r="GC53" i="33"/>
  <c r="GB53" i="33"/>
  <c r="GA53" i="33"/>
  <c r="FZ53" i="33"/>
  <c r="FY53" i="33"/>
  <c r="FX53" i="33"/>
  <c r="FW53" i="33"/>
  <c r="FV53" i="33"/>
  <c r="FU53" i="33"/>
  <c r="FT53" i="33"/>
  <c r="FS53" i="33"/>
  <c r="FR53" i="33"/>
  <c r="FQ53" i="33"/>
  <c r="FP53" i="33"/>
  <c r="FO53" i="33"/>
  <c r="FN53" i="33"/>
  <c r="FM53" i="33"/>
  <c r="FL53" i="33"/>
  <c r="FK53" i="33"/>
  <c r="FJ53" i="33"/>
  <c r="FI53" i="33"/>
  <c r="FH53" i="33"/>
  <c r="FG53" i="33"/>
  <c r="FF53" i="33"/>
  <c r="FE53" i="33"/>
  <c r="FD53" i="33"/>
  <c r="FC53" i="33"/>
  <c r="FB53" i="33"/>
  <c r="FA53" i="33"/>
  <c r="EZ53" i="33"/>
  <c r="EY53" i="33"/>
  <c r="EX53" i="33"/>
  <c r="EW53" i="33"/>
  <c r="EV53" i="33"/>
  <c r="EU53" i="33"/>
  <c r="ET53" i="33"/>
  <c r="ES53" i="33"/>
  <c r="ER53" i="33"/>
  <c r="EQ53" i="33"/>
  <c r="EP53" i="33"/>
  <c r="EO53" i="33"/>
  <c r="EN53" i="33"/>
  <c r="EM53" i="33"/>
  <c r="EL53" i="33"/>
  <c r="EK53" i="33"/>
  <c r="EJ53" i="33"/>
  <c r="EI53" i="33"/>
  <c r="EH53" i="33"/>
  <c r="EG53" i="33"/>
  <c r="EF53" i="33"/>
  <c r="EE53" i="33"/>
  <c r="ED53" i="33"/>
  <c r="EC53" i="33"/>
  <c r="EB53" i="33"/>
  <c r="EA53" i="33"/>
  <c r="DZ53" i="33"/>
  <c r="DY53" i="33"/>
  <c r="DX53" i="33"/>
  <c r="DW53" i="33"/>
  <c r="DV53" i="33"/>
  <c r="DU53" i="33"/>
  <c r="DT53" i="33"/>
  <c r="DS53" i="33"/>
  <c r="DR53" i="33"/>
  <c r="DQ53" i="33"/>
  <c r="DP53" i="33"/>
  <c r="DO53" i="33"/>
  <c r="DN53" i="33"/>
  <c r="DM53" i="33"/>
  <c r="DL53" i="33"/>
  <c r="DK53" i="33"/>
  <c r="DJ53" i="33"/>
  <c r="DI53" i="33"/>
  <c r="DH53" i="33"/>
  <c r="DG53" i="33"/>
  <c r="DF53" i="33"/>
  <c r="DE53" i="33"/>
  <c r="DD53" i="33"/>
  <c r="DC53" i="33"/>
  <c r="DB53" i="33"/>
  <c r="DA53" i="33"/>
  <c r="CZ53" i="33"/>
  <c r="CY53" i="33"/>
  <c r="CX53" i="33"/>
  <c r="CW53" i="33"/>
  <c r="CV53" i="33"/>
  <c r="CU53" i="33"/>
  <c r="CT53" i="33"/>
  <c r="CS53" i="33"/>
  <c r="CR53" i="33"/>
  <c r="CQ53" i="33"/>
  <c r="CP53" i="33"/>
  <c r="CO53" i="33"/>
  <c r="CN53" i="33"/>
  <c r="CM53" i="33"/>
  <c r="CL53" i="33"/>
  <c r="CK53" i="33"/>
  <c r="CJ53" i="33"/>
  <c r="CI53" i="33"/>
  <c r="CH53" i="33"/>
  <c r="CG53" i="33"/>
  <c r="CF53" i="33"/>
  <c r="CE53" i="33"/>
  <c r="CD53" i="33"/>
  <c r="CC53" i="33"/>
  <c r="CB53" i="33"/>
  <c r="CA53" i="33"/>
  <c r="BZ53" i="33"/>
  <c r="BY53" i="33"/>
  <c r="BX53" i="33"/>
  <c r="BW53" i="33"/>
  <c r="BV53" i="33"/>
  <c r="BU53" i="33"/>
  <c r="BT53" i="33"/>
  <c r="BS53" i="33"/>
  <c r="BR53" i="33"/>
  <c r="BQ53" i="33"/>
  <c r="BP53" i="33"/>
  <c r="BO53" i="33"/>
  <c r="BN53" i="33"/>
  <c r="BM53" i="33"/>
  <c r="BL53" i="33"/>
  <c r="BK53" i="33"/>
  <c r="BJ53" i="33"/>
  <c r="BI53" i="33"/>
  <c r="BH53" i="33"/>
  <c r="BG53" i="33"/>
  <c r="BF53" i="33"/>
  <c r="BE53" i="33"/>
  <c r="BD53" i="33"/>
  <c r="BC53" i="33"/>
  <c r="BB53" i="33"/>
  <c r="BA53" i="33"/>
  <c r="AZ53" i="33"/>
  <c r="AY53" i="33"/>
  <c r="AX53" i="33"/>
  <c r="AW53" i="33"/>
  <c r="AV53" i="33"/>
  <c r="AU53" i="33"/>
  <c r="AT53" i="33"/>
  <c r="AS53" i="33"/>
  <c r="AR53" i="33"/>
  <c r="AQ53" i="33"/>
  <c r="AP53" i="33"/>
  <c r="AO53" i="33"/>
  <c r="AN53" i="33"/>
  <c r="AM53" i="33"/>
  <c r="AL53" i="33"/>
  <c r="AK53" i="33"/>
  <c r="AJ53" i="33"/>
  <c r="AI53" i="33"/>
  <c r="AH53" i="33"/>
  <c r="AG53" i="33"/>
  <c r="AF53" i="33"/>
  <c r="AE53" i="33"/>
  <c r="AD53" i="33"/>
  <c r="AC53" i="33"/>
  <c r="AB53" i="33"/>
  <c r="AA53" i="33"/>
  <c r="Z53" i="33"/>
  <c r="Y53" i="33"/>
  <c r="X53" i="33"/>
  <c r="W53" i="33"/>
  <c r="V53" i="33"/>
  <c r="U53" i="33"/>
  <c r="T53" i="33"/>
  <c r="S53" i="33"/>
  <c r="R53" i="33"/>
  <c r="Q53" i="33"/>
  <c r="P53" i="33"/>
  <c r="O53" i="33"/>
  <c r="N53" i="33"/>
  <c r="M53" i="33"/>
  <c r="L53" i="33"/>
  <c r="K53" i="33"/>
  <c r="J53" i="33"/>
  <c r="I53" i="33"/>
  <c r="H53" i="33"/>
  <c r="G53" i="33"/>
  <c r="F53" i="33"/>
  <c r="E53" i="33"/>
  <c r="D53" i="33"/>
  <c r="C53" i="33"/>
  <c r="B53" i="33"/>
  <c r="A53" i="33"/>
  <c r="IV52" i="33"/>
  <c r="IU52" i="33"/>
  <c r="IT52" i="33"/>
  <c r="IS52" i="33"/>
  <c r="IR52" i="33"/>
  <c r="IQ52" i="33"/>
  <c r="IP52" i="33"/>
  <c r="IO52" i="33"/>
  <c r="IN52" i="33"/>
  <c r="IM52" i="33"/>
  <c r="IL52" i="33"/>
  <c r="IK52" i="33"/>
  <c r="IJ52" i="33"/>
  <c r="II52" i="33"/>
  <c r="IH52" i="33"/>
  <c r="IG52" i="33"/>
  <c r="IF52" i="33"/>
  <c r="IE52" i="33"/>
  <c r="ID52" i="33"/>
  <c r="IC52" i="33"/>
  <c r="IB52" i="33"/>
  <c r="IA52" i="33"/>
  <c r="HZ52" i="33"/>
  <c r="HY52" i="33"/>
  <c r="HX52" i="33"/>
  <c r="HW52" i="33"/>
  <c r="HV52" i="33"/>
  <c r="HU52" i="33"/>
  <c r="HT52" i="33"/>
  <c r="HS52" i="33"/>
  <c r="HR52" i="33"/>
  <c r="HQ52" i="33"/>
  <c r="HP52" i="33"/>
  <c r="HO52" i="33"/>
  <c r="HN52" i="33"/>
  <c r="HM52" i="33"/>
  <c r="HL52" i="33"/>
  <c r="HK52" i="33"/>
  <c r="HJ52" i="33"/>
  <c r="HI52" i="33"/>
  <c r="HH52" i="33"/>
  <c r="HG52" i="33"/>
  <c r="HF52" i="33"/>
  <c r="HE52" i="33"/>
  <c r="HD52" i="33"/>
  <c r="HC52" i="33"/>
  <c r="HB52" i="33"/>
  <c r="HA52" i="33"/>
  <c r="GZ52" i="33"/>
  <c r="GY52" i="33"/>
  <c r="GX52" i="33"/>
  <c r="GW52" i="33"/>
  <c r="GV52" i="33"/>
  <c r="GU52" i="33"/>
  <c r="GT52" i="33"/>
  <c r="GS52" i="33"/>
  <c r="GR52" i="33"/>
  <c r="GQ52" i="33"/>
  <c r="GP52" i="33"/>
  <c r="GO52" i="33"/>
  <c r="GN52" i="33"/>
  <c r="GM52" i="33"/>
  <c r="GL52" i="33"/>
  <c r="GK52" i="33"/>
  <c r="GJ52" i="33"/>
  <c r="GI52" i="33"/>
  <c r="GH52" i="33"/>
  <c r="GG52" i="33"/>
  <c r="GF52" i="33"/>
  <c r="GE52" i="33"/>
  <c r="GD52" i="33"/>
  <c r="GC52" i="33"/>
  <c r="GB52" i="33"/>
  <c r="GA52" i="33"/>
  <c r="FZ52" i="33"/>
  <c r="FY52" i="33"/>
  <c r="FX52" i="33"/>
  <c r="FW52" i="33"/>
  <c r="FV52" i="33"/>
  <c r="FU52" i="33"/>
  <c r="FT52" i="33"/>
  <c r="FS52" i="33"/>
  <c r="FR52" i="33"/>
  <c r="FQ52" i="33"/>
  <c r="FP52" i="33"/>
  <c r="FO52" i="33"/>
  <c r="FN52" i="33"/>
  <c r="FM52" i="33"/>
  <c r="FL52" i="33"/>
  <c r="FK52" i="33"/>
  <c r="FJ52" i="33"/>
  <c r="FI52" i="33"/>
  <c r="FH52" i="33"/>
  <c r="FG52" i="33"/>
  <c r="FF52" i="33"/>
  <c r="FE52" i="33"/>
  <c r="FD52" i="33"/>
  <c r="FC52" i="33"/>
  <c r="FB52" i="33"/>
  <c r="FA52" i="33"/>
  <c r="EZ52" i="33"/>
  <c r="EY52" i="33"/>
  <c r="EX52" i="33"/>
  <c r="EW52" i="33"/>
  <c r="EV52" i="33"/>
  <c r="EU52" i="33"/>
  <c r="ET52" i="33"/>
  <c r="ES52" i="33"/>
  <c r="ER52" i="33"/>
  <c r="EQ52" i="33"/>
  <c r="EP52" i="33"/>
  <c r="EO52" i="33"/>
  <c r="EN52" i="33"/>
  <c r="EM52" i="33"/>
  <c r="EL52" i="33"/>
  <c r="EK52" i="33"/>
  <c r="EJ52" i="33"/>
  <c r="EI52" i="33"/>
  <c r="EH52" i="33"/>
  <c r="EG52" i="33"/>
  <c r="EF52" i="33"/>
  <c r="EE52" i="33"/>
  <c r="ED52" i="33"/>
  <c r="EC52" i="33"/>
  <c r="EB52" i="33"/>
  <c r="EA52" i="33"/>
  <c r="DZ52" i="33"/>
  <c r="DY52" i="33"/>
  <c r="DX52" i="33"/>
  <c r="DW52" i="33"/>
  <c r="DV52" i="33"/>
  <c r="DU52" i="33"/>
  <c r="DT52" i="33"/>
  <c r="DS52" i="33"/>
  <c r="DR52" i="33"/>
  <c r="DQ52" i="33"/>
  <c r="DP52" i="33"/>
  <c r="DO52" i="33"/>
  <c r="DN52" i="33"/>
  <c r="DM52" i="33"/>
  <c r="DL52" i="33"/>
  <c r="DK52" i="33"/>
  <c r="DJ52" i="33"/>
  <c r="DI52" i="33"/>
  <c r="DH52" i="33"/>
  <c r="DG52" i="33"/>
  <c r="DF52" i="33"/>
  <c r="DE52" i="33"/>
  <c r="DD52" i="33"/>
  <c r="DC52" i="33"/>
  <c r="DB52" i="33"/>
  <c r="DA52" i="33"/>
  <c r="CZ52" i="33"/>
  <c r="CY52" i="33"/>
  <c r="CX52" i="33"/>
  <c r="CW52" i="33"/>
  <c r="CV52" i="33"/>
  <c r="CU52" i="33"/>
  <c r="CT52" i="33"/>
  <c r="CS52" i="33"/>
  <c r="CR52" i="33"/>
  <c r="CQ52" i="33"/>
  <c r="CP52" i="33"/>
  <c r="CO52" i="33"/>
  <c r="CN52" i="33"/>
  <c r="CM52" i="33"/>
  <c r="CL52" i="33"/>
  <c r="CK52" i="33"/>
  <c r="CJ52" i="33"/>
  <c r="CI52" i="33"/>
  <c r="CH52" i="33"/>
  <c r="CG52" i="33"/>
  <c r="CF52" i="33"/>
  <c r="CE52" i="33"/>
  <c r="CD52" i="33"/>
  <c r="CC52" i="33"/>
  <c r="CB52" i="33"/>
  <c r="CA52" i="33"/>
  <c r="BZ52" i="33"/>
  <c r="BY52" i="33"/>
  <c r="BX52" i="33"/>
  <c r="BW52" i="33"/>
  <c r="BV52" i="33"/>
  <c r="BU52" i="33"/>
  <c r="BT52" i="33"/>
  <c r="BS52" i="33"/>
  <c r="BR52" i="33"/>
  <c r="BQ52" i="33"/>
  <c r="BP52" i="33"/>
  <c r="BO52" i="33"/>
  <c r="BN52" i="33"/>
  <c r="BM52" i="33"/>
  <c r="BL52" i="33"/>
  <c r="BK52" i="33"/>
  <c r="BJ52" i="33"/>
  <c r="BI52" i="33"/>
  <c r="BH52" i="33"/>
  <c r="BG52" i="33"/>
  <c r="BF52" i="33"/>
  <c r="BE52" i="33"/>
  <c r="BD52" i="33"/>
  <c r="BC52" i="33"/>
  <c r="BB52" i="33"/>
  <c r="BA52" i="33"/>
  <c r="AZ52" i="33"/>
  <c r="AY52" i="33"/>
  <c r="AX52" i="33"/>
  <c r="AW52" i="33"/>
  <c r="AV52" i="33"/>
  <c r="AU52" i="33"/>
  <c r="AT52" i="33"/>
  <c r="AS52" i="33"/>
  <c r="AR52" i="33"/>
  <c r="AQ52" i="33"/>
  <c r="AP52" i="33"/>
  <c r="AO52" i="33"/>
  <c r="AN52" i="33"/>
  <c r="AM52" i="33"/>
  <c r="AL52" i="33"/>
  <c r="AK52" i="33"/>
  <c r="AJ52" i="33"/>
  <c r="AI52" i="33"/>
  <c r="AH52" i="33"/>
  <c r="AG52" i="33"/>
  <c r="AF52" i="33"/>
  <c r="AE52" i="33"/>
  <c r="AD52" i="33"/>
  <c r="AC52" i="33"/>
  <c r="AB52" i="33"/>
  <c r="AA52" i="33"/>
  <c r="Z52" i="33"/>
  <c r="Y52" i="33"/>
  <c r="X52" i="33"/>
  <c r="W52" i="33"/>
  <c r="V52" i="33"/>
  <c r="U52" i="33"/>
  <c r="T52" i="33"/>
  <c r="S52" i="33"/>
  <c r="R52" i="33"/>
  <c r="Q52" i="33"/>
  <c r="P52" i="33"/>
  <c r="O52" i="33"/>
  <c r="N52" i="33"/>
  <c r="M52" i="33"/>
  <c r="L52" i="33"/>
  <c r="K52" i="33"/>
  <c r="J52" i="33"/>
  <c r="I52" i="33"/>
  <c r="H52" i="33"/>
  <c r="G52" i="33"/>
  <c r="F52" i="33"/>
  <c r="E52" i="33"/>
  <c r="D52" i="33"/>
  <c r="C52" i="33"/>
  <c r="B52" i="33"/>
  <c r="A52" i="33"/>
  <c r="IV51" i="33"/>
  <c r="IU51" i="33"/>
  <c r="IT51" i="33"/>
  <c r="IS51" i="33"/>
  <c r="IR51" i="33"/>
  <c r="IQ51" i="33"/>
  <c r="IP51" i="33"/>
  <c r="IO51" i="33"/>
  <c r="IN51" i="33"/>
  <c r="IM51" i="33"/>
  <c r="IL51" i="33"/>
  <c r="IK51" i="33"/>
  <c r="IJ51" i="33"/>
  <c r="II51" i="33"/>
  <c r="IH51" i="33"/>
  <c r="IG51" i="33"/>
  <c r="IF51" i="33"/>
  <c r="IE51" i="33"/>
  <c r="ID51" i="33"/>
  <c r="IC51" i="33"/>
  <c r="IB51" i="33"/>
  <c r="IA51" i="33"/>
  <c r="HZ51" i="33"/>
  <c r="HY51" i="33"/>
  <c r="HX51" i="33"/>
  <c r="HW51" i="33"/>
  <c r="HV51" i="33"/>
  <c r="HU51" i="33"/>
  <c r="HT51" i="33"/>
  <c r="HS51" i="33"/>
  <c r="HR51" i="33"/>
  <c r="HQ51" i="33"/>
  <c r="HP51" i="33"/>
  <c r="HO51" i="33"/>
  <c r="HN51" i="33"/>
  <c r="HM51" i="33"/>
  <c r="HL51" i="33"/>
  <c r="HK51" i="33"/>
  <c r="HJ51" i="33"/>
  <c r="HI51" i="33"/>
  <c r="HH51" i="33"/>
  <c r="HG51" i="33"/>
  <c r="HF51" i="33"/>
  <c r="HE51" i="33"/>
  <c r="HD51" i="33"/>
  <c r="HC51" i="33"/>
  <c r="HB51" i="33"/>
  <c r="HA51" i="33"/>
  <c r="GZ51" i="33"/>
  <c r="GY51" i="33"/>
  <c r="GX51" i="33"/>
  <c r="GW51" i="33"/>
  <c r="GV51" i="33"/>
  <c r="GU51" i="33"/>
  <c r="GT51" i="33"/>
  <c r="GS51" i="33"/>
  <c r="GR51" i="33"/>
  <c r="GQ51" i="33"/>
  <c r="GP51" i="33"/>
  <c r="GO51" i="33"/>
  <c r="GN51" i="33"/>
  <c r="GM51" i="33"/>
  <c r="GL51" i="33"/>
  <c r="GK51" i="33"/>
  <c r="GJ51" i="33"/>
  <c r="GI51" i="33"/>
  <c r="GH51" i="33"/>
  <c r="GG51" i="33"/>
  <c r="GF51" i="33"/>
  <c r="GE51" i="33"/>
  <c r="GD51" i="33"/>
  <c r="GC51" i="33"/>
  <c r="GB51" i="33"/>
  <c r="GA51" i="33"/>
  <c r="FZ51" i="33"/>
  <c r="FY51" i="33"/>
  <c r="FX51" i="33"/>
  <c r="FW51" i="33"/>
  <c r="FV51" i="33"/>
  <c r="FU51" i="33"/>
  <c r="FT51" i="33"/>
  <c r="FS51" i="33"/>
  <c r="FR51" i="33"/>
  <c r="FQ51" i="33"/>
  <c r="FP51" i="33"/>
  <c r="FO51" i="33"/>
  <c r="FN51" i="33"/>
  <c r="FM51" i="33"/>
  <c r="FL51" i="33"/>
  <c r="FK51" i="33"/>
  <c r="FJ51" i="33"/>
  <c r="FI51" i="33"/>
  <c r="FH51" i="33"/>
  <c r="FG51" i="33"/>
  <c r="FF51" i="33"/>
  <c r="FE51" i="33"/>
  <c r="FD51" i="33"/>
  <c r="FC51" i="33"/>
  <c r="FB51" i="33"/>
  <c r="FA51" i="33"/>
  <c r="EZ51" i="33"/>
  <c r="EY51" i="33"/>
  <c r="EX51" i="33"/>
  <c r="EW51" i="33"/>
  <c r="EV51" i="33"/>
  <c r="EU51" i="33"/>
  <c r="ET51" i="33"/>
  <c r="ES51" i="33"/>
  <c r="ER51" i="33"/>
  <c r="EQ51" i="33"/>
  <c r="EP51" i="33"/>
  <c r="EO51" i="33"/>
  <c r="EN51" i="33"/>
  <c r="EM51" i="33"/>
  <c r="EL51" i="33"/>
  <c r="EK51" i="33"/>
  <c r="EJ51" i="33"/>
  <c r="EI51" i="33"/>
  <c r="EH51" i="33"/>
  <c r="EG51" i="33"/>
  <c r="EF51" i="33"/>
  <c r="EE51" i="33"/>
  <c r="ED51" i="33"/>
  <c r="EC51" i="33"/>
  <c r="EB51" i="33"/>
  <c r="EA51" i="33"/>
  <c r="DZ51" i="33"/>
  <c r="DY51" i="33"/>
  <c r="DX51" i="33"/>
  <c r="DW51" i="33"/>
  <c r="DV51" i="33"/>
  <c r="DU51" i="33"/>
  <c r="DT51" i="33"/>
  <c r="DS51" i="33"/>
  <c r="DR51" i="33"/>
  <c r="DQ51" i="33"/>
  <c r="DP51" i="33"/>
  <c r="DO51" i="33"/>
  <c r="DN51" i="33"/>
  <c r="DM51" i="33"/>
  <c r="DL51" i="33"/>
  <c r="DK51" i="33"/>
  <c r="DJ51" i="33"/>
  <c r="DI51" i="33"/>
  <c r="DH51" i="33"/>
  <c r="DG51" i="33"/>
  <c r="DF51" i="33"/>
  <c r="DE51" i="33"/>
  <c r="DD51" i="33"/>
  <c r="DC51" i="33"/>
  <c r="DB51" i="33"/>
  <c r="DA51" i="33"/>
  <c r="CZ51" i="33"/>
  <c r="CY51" i="33"/>
  <c r="CX51" i="33"/>
  <c r="CW51" i="33"/>
  <c r="CV51" i="33"/>
  <c r="CU51" i="33"/>
  <c r="CT51" i="33"/>
  <c r="CS51" i="33"/>
  <c r="CR51" i="33"/>
  <c r="CQ51" i="33"/>
  <c r="CP51" i="33"/>
  <c r="CO51" i="33"/>
  <c r="CN51" i="33"/>
  <c r="CM51" i="33"/>
  <c r="CL51" i="33"/>
  <c r="CK51" i="33"/>
  <c r="CJ51" i="33"/>
  <c r="CI51" i="33"/>
  <c r="CH51" i="33"/>
  <c r="CG51" i="33"/>
  <c r="CF51" i="33"/>
  <c r="CE51" i="33"/>
  <c r="CD51" i="33"/>
  <c r="CC51" i="33"/>
  <c r="CB51" i="33"/>
  <c r="CA51" i="33"/>
  <c r="BZ51" i="33"/>
  <c r="BY51" i="33"/>
  <c r="BX51" i="33"/>
  <c r="BW51" i="33"/>
  <c r="BV51" i="33"/>
  <c r="BU51" i="33"/>
  <c r="BT51" i="33"/>
  <c r="BS51" i="33"/>
  <c r="BR51" i="33"/>
  <c r="BQ51" i="33"/>
  <c r="BP51" i="33"/>
  <c r="BO51" i="33"/>
  <c r="BN51" i="33"/>
  <c r="BM51" i="33"/>
  <c r="BL51" i="33"/>
  <c r="BK51" i="33"/>
  <c r="BJ51" i="33"/>
  <c r="BI51" i="33"/>
  <c r="BH51" i="33"/>
  <c r="BG51" i="33"/>
  <c r="BF51" i="33"/>
  <c r="BE51" i="33"/>
  <c r="BD51" i="33"/>
  <c r="BC51" i="33"/>
  <c r="BB51" i="33"/>
  <c r="BA51" i="33"/>
  <c r="AZ51" i="33"/>
  <c r="AY51" i="33"/>
  <c r="AX51" i="33"/>
  <c r="AW51" i="33"/>
  <c r="AV51" i="33"/>
  <c r="AU51" i="33"/>
  <c r="AT51" i="33"/>
  <c r="AS51" i="33"/>
  <c r="AR51" i="33"/>
  <c r="AQ51" i="33"/>
  <c r="AP51" i="33"/>
  <c r="AO51" i="33"/>
  <c r="AN51" i="33"/>
  <c r="AM51" i="33"/>
  <c r="AL51" i="33"/>
  <c r="AK51" i="33"/>
  <c r="AJ51" i="33"/>
  <c r="AI51" i="33"/>
  <c r="AH51" i="33"/>
  <c r="AG51" i="33"/>
  <c r="AF51" i="33"/>
  <c r="AE51" i="33"/>
  <c r="AD51" i="33"/>
  <c r="AC51" i="33"/>
  <c r="AB51" i="33"/>
  <c r="AA51" i="33"/>
  <c r="Z51" i="33"/>
  <c r="Y51" i="33"/>
  <c r="X51" i="33"/>
  <c r="W51" i="33"/>
  <c r="V51" i="33"/>
  <c r="U51" i="33"/>
  <c r="T51" i="33"/>
  <c r="S51" i="33"/>
  <c r="R51" i="33"/>
  <c r="Q51" i="33"/>
  <c r="P51" i="33"/>
  <c r="O51" i="33"/>
  <c r="N51" i="33"/>
  <c r="M51" i="33"/>
  <c r="L51" i="33"/>
  <c r="K51" i="33"/>
  <c r="J51" i="33"/>
  <c r="I51" i="33"/>
  <c r="H51" i="33"/>
  <c r="G51" i="33"/>
  <c r="F51" i="33"/>
  <c r="E51" i="33"/>
  <c r="D51" i="33"/>
  <c r="C51" i="33"/>
  <c r="B51" i="33"/>
  <c r="A51" i="33"/>
  <c r="IV50" i="33"/>
  <c r="IU50" i="33"/>
  <c r="IT50" i="33"/>
  <c r="IS50" i="33"/>
  <c r="IR50" i="33"/>
  <c r="IQ50" i="33"/>
  <c r="IP50" i="33"/>
  <c r="IO50" i="33"/>
  <c r="IN50" i="33"/>
  <c r="IM50" i="33"/>
  <c r="IL50" i="33"/>
  <c r="IK50" i="33"/>
  <c r="IJ50" i="33"/>
  <c r="II50" i="33"/>
  <c r="IH50" i="33"/>
  <c r="IG50" i="33"/>
  <c r="IF50" i="33"/>
  <c r="IE50" i="33"/>
  <c r="ID50" i="33"/>
  <c r="IC50" i="33"/>
  <c r="IB50" i="33"/>
  <c r="IA50" i="33"/>
  <c r="HZ50" i="33"/>
  <c r="HY50" i="33"/>
  <c r="HX50" i="33"/>
  <c r="HW50" i="33"/>
  <c r="HV50" i="33"/>
  <c r="HU50" i="33"/>
  <c r="HT50" i="33"/>
  <c r="HS50" i="33"/>
  <c r="HR50" i="33"/>
  <c r="HQ50" i="33"/>
  <c r="HP50" i="33"/>
  <c r="HO50" i="33"/>
  <c r="HN50" i="33"/>
  <c r="HM50" i="33"/>
  <c r="HL50" i="33"/>
  <c r="HK50" i="33"/>
  <c r="HJ50" i="33"/>
  <c r="HI50" i="33"/>
  <c r="HH50" i="33"/>
  <c r="HG50" i="33"/>
  <c r="HF50" i="33"/>
  <c r="HE50" i="33"/>
  <c r="HD50" i="33"/>
  <c r="HC50" i="33"/>
  <c r="HB50" i="33"/>
  <c r="HA50" i="33"/>
  <c r="GZ50" i="33"/>
  <c r="GY50" i="33"/>
  <c r="GX50" i="33"/>
  <c r="GW50" i="33"/>
  <c r="GV50" i="33"/>
  <c r="GU50" i="33"/>
  <c r="GT50" i="33"/>
  <c r="GS50" i="33"/>
  <c r="GR50" i="33"/>
  <c r="GQ50" i="33"/>
  <c r="GP50" i="33"/>
  <c r="GO50" i="33"/>
  <c r="GN50" i="33"/>
  <c r="GM50" i="33"/>
  <c r="GL50" i="33"/>
  <c r="GK50" i="33"/>
  <c r="GJ50" i="33"/>
  <c r="GI50" i="33"/>
  <c r="GH50" i="33"/>
  <c r="GG50" i="33"/>
  <c r="GF50" i="33"/>
  <c r="GE50" i="33"/>
  <c r="GD50" i="33"/>
  <c r="GC50" i="33"/>
  <c r="GB50" i="33"/>
  <c r="GA50" i="33"/>
  <c r="FZ50" i="33"/>
  <c r="FY50" i="33"/>
  <c r="FX50" i="33"/>
  <c r="FW50" i="33"/>
  <c r="FV50" i="33"/>
  <c r="FU50" i="33"/>
  <c r="FT50" i="33"/>
  <c r="FS50" i="33"/>
  <c r="FR50" i="33"/>
  <c r="FQ50" i="33"/>
  <c r="FP50" i="33"/>
  <c r="FO50" i="33"/>
  <c r="FN50" i="33"/>
  <c r="FM50" i="33"/>
  <c r="FL50" i="33"/>
  <c r="FK50" i="33"/>
  <c r="FJ50" i="33"/>
  <c r="FI50" i="33"/>
  <c r="FH50" i="33"/>
  <c r="FG50" i="33"/>
  <c r="FF50" i="33"/>
  <c r="FE50" i="33"/>
  <c r="FD50" i="33"/>
  <c r="FC50" i="33"/>
  <c r="FB50" i="33"/>
  <c r="FA50" i="33"/>
  <c r="EZ50" i="33"/>
  <c r="EY50" i="33"/>
  <c r="EX50" i="33"/>
  <c r="EW50" i="33"/>
  <c r="EV50" i="33"/>
  <c r="EU50" i="33"/>
  <c r="ET50" i="33"/>
  <c r="ES50" i="33"/>
  <c r="ER50" i="33"/>
  <c r="EQ50" i="33"/>
  <c r="EP50" i="33"/>
  <c r="EO50" i="33"/>
  <c r="EN50" i="33"/>
  <c r="EM50" i="33"/>
  <c r="EL50" i="33"/>
  <c r="EK50" i="33"/>
  <c r="EJ50" i="33"/>
  <c r="EI50" i="33"/>
  <c r="EH50" i="33"/>
  <c r="EG50" i="33"/>
  <c r="EF50" i="33"/>
  <c r="EE50" i="33"/>
  <c r="ED50" i="33"/>
  <c r="EC50" i="33"/>
  <c r="EB50" i="33"/>
  <c r="EA50" i="33"/>
  <c r="DZ50" i="33"/>
  <c r="DY50" i="33"/>
  <c r="DX50" i="33"/>
  <c r="DW50" i="33"/>
  <c r="DV50" i="33"/>
  <c r="DU50" i="33"/>
  <c r="DT50" i="33"/>
  <c r="DS50" i="33"/>
  <c r="DR50" i="33"/>
  <c r="DQ50" i="33"/>
  <c r="DP50" i="33"/>
  <c r="DO50" i="33"/>
  <c r="DN50" i="33"/>
  <c r="DM50" i="33"/>
  <c r="DL50" i="33"/>
  <c r="DK50" i="33"/>
  <c r="DJ50" i="33"/>
  <c r="DI50" i="33"/>
  <c r="DH50" i="33"/>
  <c r="DG50" i="33"/>
  <c r="DF50" i="33"/>
  <c r="DE50" i="33"/>
  <c r="DD50" i="33"/>
  <c r="DC50" i="33"/>
  <c r="DB50" i="33"/>
  <c r="DA50" i="33"/>
  <c r="CZ50" i="33"/>
  <c r="CY50" i="33"/>
  <c r="CX50" i="33"/>
  <c r="CW50" i="33"/>
  <c r="CV50" i="33"/>
  <c r="CU50" i="33"/>
  <c r="CT50" i="33"/>
  <c r="CS50" i="33"/>
  <c r="CR50" i="33"/>
  <c r="CQ50" i="33"/>
  <c r="CP50" i="33"/>
  <c r="CO50" i="33"/>
  <c r="CN50" i="33"/>
  <c r="CM50" i="33"/>
  <c r="CL50" i="33"/>
  <c r="CK50" i="33"/>
  <c r="CJ50" i="33"/>
  <c r="CI50" i="33"/>
  <c r="CH50" i="33"/>
  <c r="CG50" i="33"/>
  <c r="CF50" i="33"/>
  <c r="CE50" i="33"/>
  <c r="CD50" i="33"/>
  <c r="CC50" i="33"/>
  <c r="CB50" i="33"/>
  <c r="CA50" i="33"/>
  <c r="BZ50" i="33"/>
  <c r="BY50" i="33"/>
  <c r="BX50" i="33"/>
  <c r="BW50" i="33"/>
  <c r="BV50" i="33"/>
  <c r="BU50" i="33"/>
  <c r="BT50" i="33"/>
  <c r="BS50" i="33"/>
  <c r="BR50" i="33"/>
  <c r="BQ50" i="33"/>
  <c r="BP50" i="33"/>
  <c r="BO50" i="33"/>
  <c r="BN50" i="33"/>
  <c r="BM50" i="33"/>
  <c r="BL50" i="33"/>
  <c r="BK50" i="33"/>
  <c r="BJ50" i="33"/>
  <c r="BI50" i="33"/>
  <c r="BH50" i="33"/>
  <c r="BG50" i="33"/>
  <c r="BF50" i="33"/>
  <c r="BE50" i="33"/>
  <c r="BD50" i="33"/>
  <c r="BC50" i="33"/>
  <c r="BB50" i="33"/>
  <c r="BA50" i="33"/>
  <c r="AZ50" i="33"/>
  <c r="AY50" i="33"/>
  <c r="AX50" i="33"/>
  <c r="AW50" i="33"/>
  <c r="AV50" i="33"/>
  <c r="AU50" i="33"/>
  <c r="AT50" i="33"/>
  <c r="AS50" i="33"/>
  <c r="AR50" i="33"/>
  <c r="AQ50" i="33"/>
  <c r="AP50" i="33"/>
  <c r="AO50" i="33"/>
  <c r="AN50" i="33"/>
  <c r="AM50" i="33"/>
  <c r="AL50" i="33"/>
  <c r="AK50" i="33"/>
  <c r="AJ50" i="33"/>
  <c r="AI50" i="33"/>
  <c r="AH50" i="33"/>
  <c r="AG50" i="33"/>
  <c r="AF50" i="33"/>
  <c r="AE50" i="33"/>
  <c r="AD50" i="33"/>
  <c r="AC50" i="33"/>
  <c r="AB50" i="33"/>
  <c r="AA50" i="33"/>
  <c r="Z50" i="33"/>
  <c r="Y50" i="33"/>
  <c r="X50" i="33"/>
  <c r="W50" i="33"/>
  <c r="V50" i="33"/>
  <c r="U50" i="33"/>
  <c r="T50" i="33"/>
  <c r="S50" i="33"/>
  <c r="R50" i="33"/>
  <c r="Q50" i="33"/>
  <c r="P50" i="33"/>
  <c r="O50" i="33"/>
  <c r="N50" i="33"/>
  <c r="M50" i="33"/>
  <c r="L50" i="33"/>
  <c r="K50" i="33"/>
  <c r="J50" i="33"/>
  <c r="I50" i="33"/>
  <c r="H50" i="33"/>
  <c r="G50" i="33"/>
  <c r="F50" i="33"/>
  <c r="E50" i="33"/>
  <c r="D50" i="33"/>
  <c r="C50" i="33"/>
  <c r="B50" i="33"/>
  <c r="A50" i="33"/>
  <c r="IV49" i="33"/>
  <c r="IU49" i="33"/>
  <c r="IT49" i="33"/>
  <c r="IS49" i="33"/>
  <c r="IR49" i="33"/>
  <c r="IQ49" i="33"/>
  <c r="IP49" i="33"/>
  <c r="IO49" i="33"/>
  <c r="IN49" i="33"/>
  <c r="IM49" i="33"/>
  <c r="IL49" i="33"/>
  <c r="IK49" i="33"/>
  <c r="IJ49" i="33"/>
  <c r="II49" i="33"/>
  <c r="IH49" i="33"/>
  <c r="IG49" i="33"/>
  <c r="IF49" i="33"/>
  <c r="IE49" i="33"/>
  <c r="ID49" i="33"/>
  <c r="IC49" i="33"/>
  <c r="IB49" i="33"/>
  <c r="IA49" i="33"/>
  <c r="HZ49" i="33"/>
  <c r="HY49" i="33"/>
  <c r="HX49" i="33"/>
  <c r="HW49" i="33"/>
  <c r="HV49" i="33"/>
  <c r="HU49" i="33"/>
  <c r="HT49" i="33"/>
  <c r="HS49" i="33"/>
  <c r="HR49" i="33"/>
  <c r="HQ49" i="33"/>
  <c r="HP49" i="33"/>
  <c r="HO49" i="33"/>
  <c r="HN49" i="33"/>
  <c r="HM49" i="33"/>
  <c r="HL49" i="33"/>
  <c r="HK49" i="33"/>
  <c r="HJ49" i="33"/>
  <c r="HI49" i="33"/>
  <c r="HH49" i="33"/>
  <c r="HG49" i="33"/>
  <c r="HF49" i="33"/>
  <c r="HE49" i="33"/>
  <c r="HD49" i="33"/>
  <c r="HC49" i="33"/>
  <c r="HB49" i="33"/>
  <c r="HA49" i="33"/>
  <c r="GZ49" i="33"/>
  <c r="GY49" i="33"/>
  <c r="GX49" i="33"/>
  <c r="GW49" i="33"/>
  <c r="GV49" i="33"/>
  <c r="GU49" i="33"/>
  <c r="GT49" i="33"/>
  <c r="GS49" i="33"/>
  <c r="GR49" i="33"/>
  <c r="GQ49" i="33"/>
  <c r="GP49" i="33"/>
  <c r="GO49" i="33"/>
  <c r="GN49" i="33"/>
  <c r="GM49" i="33"/>
  <c r="GL49" i="33"/>
  <c r="GK49" i="33"/>
  <c r="GJ49" i="33"/>
  <c r="GI49" i="33"/>
  <c r="GH49" i="33"/>
  <c r="GG49" i="33"/>
  <c r="GF49" i="33"/>
  <c r="GE49" i="33"/>
  <c r="GD49" i="33"/>
  <c r="GC49" i="33"/>
  <c r="GB49" i="33"/>
  <c r="GA49" i="33"/>
  <c r="FZ49" i="33"/>
  <c r="FY49" i="33"/>
  <c r="FX49" i="33"/>
  <c r="FW49" i="33"/>
  <c r="FV49" i="33"/>
  <c r="FU49" i="33"/>
  <c r="FT49" i="33"/>
  <c r="FS49" i="33"/>
  <c r="FR49" i="33"/>
  <c r="FQ49" i="33"/>
  <c r="FP49" i="33"/>
  <c r="FO49" i="33"/>
  <c r="FN49" i="33"/>
  <c r="FM49" i="33"/>
  <c r="FL49" i="33"/>
  <c r="FK49" i="33"/>
  <c r="FJ49" i="33"/>
  <c r="FI49" i="33"/>
  <c r="FH49" i="33"/>
  <c r="FG49" i="33"/>
  <c r="FF49" i="33"/>
  <c r="FE49" i="33"/>
  <c r="FD49" i="33"/>
  <c r="FC49" i="33"/>
  <c r="FB49" i="33"/>
  <c r="FA49" i="33"/>
  <c r="EZ49" i="33"/>
  <c r="EY49" i="33"/>
  <c r="EX49" i="33"/>
  <c r="EW49" i="33"/>
  <c r="EV49" i="33"/>
  <c r="EU49" i="33"/>
  <c r="ET49" i="33"/>
  <c r="ES49" i="33"/>
  <c r="ER49" i="33"/>
  <c r="EQ49" i="33"/>
  <c r="EP49" i="33"/>
  <c r="EO49" i="33"/>
  <c r="EN49" i="33"/>
  <c r="EM49" i="33"/>
  <c r="EL49" i="33"/>
  <c r="EK49" i="33"/>
  <c r="EJ49" i="33"/>
  <c r="EI49" i="33"/>
  <c r="EH49" i="33"/>
  <c r="EG49" i="33"/>
  <c r="EF49" i="33"/>
  <c r="EE49" i="33"/>
  <c r="ED49" i="33"/>
  <c r="EC49" i="33"/>
  <c r="EB49" i="33"/>
  <c r="EA49" i="33"/>
  <c r="DZ49" i="33"/>
  <c r="DY49" i="33"/>
  <c r="DX49" i="33"/>
  <c r="DW49" i="33"/>
  <c r="DV49" i="33"/>
  <c r="DU49" i="33"/>
  <c r="DT49" i="33"/>
  <c r="DS49" i="33"/>
  <c r="DR49" i="33"/>
  <c r="DQ49" i="33"/>
  <c r="DP49" i="33"/>
  <c r="DO49" i="33"/>
  <c r="DN49" i="33"/>
  <c r="DM49" i="33"/>
  <c r="DL49" i="33"/>
  <c r="DK49" i="33"/>
  <c r="DJ49" i="33"/>
  <c r="DI49" i="33"/>
  <c r="DH49" i="33"/>
  <c r="DG49" i="33"/>
  <c r="DF49" i="33"/>
  <c r="DE49" i="33"/>
  <c r="DD49" i="33"/>
  <c r="DC49" i="33"/>
  <c r="DB49" i="33"/>
  <c r="DA49" i="33"/>
  <c r="CZ49" i="33"/>
  <c r="CY49" i="33"/>
  <c r="CX49" i="33"/>
  <c r="CW49" i="33"/>
  <c r="CV49" i="33"/>
  <c r="CU49" i="33"/>
  <c r="CT49" i="33"/>
  <c r="CS49" i="33"/>
  <c r="CR49" i="33"/>
  <c r="CQ49" i="33"/>
  <c r="CP49" i="33"/>
  <c r="CO49" i="33"/>
  <c r="CN49" i="33"/>
  <c r="CM49" i="33"/>
  <c r="CL49" i="33"/>
  <c r="CK49" i="33"/>
  <c r="CJ49" i="33"/>
  <c r="CI49" i="33"/>
  <c r="CH49" i="33"/>
  <c r="CG49" i="33"/>
  <c r="CF49" i="33"/>
  <c r="CE49" i="33"/>
  <c r="CD49" i="33"/>
  <c r="CC49" i="33"/>
  <c r="CB49" i="33"/>
  <c r="CA49" i="33"/>
  <c r="BZ49" i="33"/>
  <c r="BY49" i="33"/>
  <c r="BX49" i="33"/>
  <c r="BW49" i="33"/>
  <c r="BV49" i="33"/>
  <c r="BU49" i="33"/>
  <c r="BT49" i="33"/>
  <c r="BS49" i="33"/>
  <c r="BR49" i="33"/>
  <c r="BQ49" i="33"/>
  <c r="BP49" i="33"/>
  <c r="BO49" i="33"/>
  <c r="BN49" i="33"/>
  <c r="BM49" i="33"/>
  <c r="BL49" i="33"/>
  <c r="BK49" i="33"/>
  <c r="BJ49" i="33"/>
  <c r="BI49" i="33"/>
  <c r="BH49" i="33"/>
  <c r="BG49" i="33"/>
  <c r="BF49" i="33"/>
  <c r="BE49" i="33"/>
  <c r="BD49" i="33"/>
  <c r="BC49" i="33"/>
  <c r="BB49" i="33"/>
  <c r="BA49" i="33"/>
  <c r="AZ49" i="33"/>
  <c r="AY49" i="33"/>
  <c r="AX49" i="33"/>
  <c r="AW49" i="33"/>
  <c r="AV49" i="33"/>
  <c r="AU49" i="33"/>
  <c r="AT49" i="33"/>
  <c r="AS49" i="33"/>
  <c r="AR49" i="33"/>
  <c r="AQ49" i="33"/>
  <c r="AP49" i="33"/>
  <c r="AO49" i="33"/>
  <c r="AN49" i="33"/>
  <c r="AM49" i="33"/>
  <c r="AL49" i="33"/>
  <c r="AK49" i="33"/>
  <c r="AJ49" i="33"/>
  <c r="AI49" i="33"/>
  <c r="AH49" i="33"/>
  <c r="AG49" i="33"/>
  <c r="AF49" i="33"/>
  <c r="AE49" i="33"/>
  <c r="AD49" i="33"/>
  <c r="AC49" i="33"/>
  <c r="AB49" i="33"/>
  <c r="AA49" i="33"/>
  <c r="Z49" i="33"/>
  <c r="Y49" i="33"/>
  <c r="X49" i="33"/>
  <c r="W49" i="33"/>
  <c r="V49" i="33"/>
  <c r="U49" i="33"/>
  <c r="T49" i="33"/>
  <c r="S49" i="33"/>
  <c r="R49" i="33"/>
  <c r="Q49" i="33"/>
  <c r="P49" i="33"/>
  <c r="O49" i="33"/>
  <c r="N49" i="33"/>
  <c r="M49" i="33"/>
  <c r="L49" i="33"/>
  <c r="K49" i="33"/>
  <c r="J49" i="33"/>
  <c r="I49" i="33"/>
  <c r="H49" i="33"/>
  <c r="G49" i="33"/>
  <c r="F49" i="33"/>
  <c r="E49" i="33"/>
  <c r="D49" i="33"/>
  <c r="C49" i="33"/>
  <c r="B49" i="33"/>
  <c r="A49" i="33"/>
  <c r="IV48" i="33"/>
  <c r="IU48" i="33"/>
  <c r="IT48" i="33"/>
  <c r="IS48" i="33"/>
  <c r="IR48" i="33"/>
  <c r="IQ48" i="33"/>
  <c r="IP48" i="33"/>
  <c r="IO48" i="33"/>
  <c r="IN48" i="33"/>
  <c r="IM48" i="33"/>
  <c r="IL48" i="33"/>
  <c r="IK48" i="33"/>
  <c r="IJ48" i="33"/>
  <c r="II48" i="33"/>
  <c r="IH48" i="33"/>
  <c r="IG48" i="33"/>
  <c r="IF48" i="33"/>
  <c r="IE48" i="33"/>
  <c r="ID48" i="33"/>
  <c r="IC48" i="33"/>
  <c r="IB48" i="33"/>
  <c r="IA48" i="33"/>
  <c r="HZ48" i="33"/>
  <c r="HY48" i="33"/>
  <c r="HX48" i="33"/>
  <c r="HW48" i="33"/>
  <c r="HV48" i="33"/>
  <c r="HU48" i="33"/>
  <c r="HT48" i="33"/>
  <c r="HS48" i="33"/>
  <c r="HR48" i="33"/>
  <c r="HQ48" i="33"/>
  <c r="HP48" i="33"/>
  <c r="HO48" i="33"/>
  <c r="HN48" i="33"/>
  <c r="HM48" i="33"/>
  <c r="HL48" i="33"/>
  <c r="HK48" i="33"/>
  <c r="HJ48" i="33"/>
  <c r="HI48" i="33"/>
  <c r="HH48" i="33"/>
  <c r="HG48" i="33"/>
  <c r="HF48" i="33"/>
  <c r="HE48" i="33"/>
  <c r="HD48" i="33"/>
  <c r="HC48" i="33"/>
  <c r="HB48" i="33"/>
  <c r="HA48" i="33"/>
  <c r="GZ48" i="33"/>
  <c r="GY48" i="33"/>
  <c r="GX48" i="33"/>
  <c r="GW48" i="33"/>
  <c r="GV48" i="33"/>
  <c r="GU48" i="33"/>
  <c r="GT48" i="33"/>
  <c r="GS48" i="33"/>
  <c r="GR48" i="33"/>
  <c r="GQ48" i="33"/>
  <c r="GP48" i="33"/>
  <c r="GO48" i="33"/>
  <c r="GN48" i="33"/>
  <c r="GM48" i="33"/>
  <c r="GL48" i="33"/>
  <c r="GK48" i="33"/>
  <c r="GJ48" i="33"/>
  <c r="GI48" i="33"/>
  <c r="GH48" i="33"/>
  <c r="GG48" i="33"/>
  <c r="GF48" i="33"/>
  <c r="GE48" i="33"/>
  <c r="GD48" i="33"/>
  <c r="GC48" i="33"/>
  <c r="GB48" i="33"/>
  <c r="GA48" i="33"/>
  <c r="FZ48" i="33"/>
  <c r="FY48" i="33"/>
  <c r="FX48" i="33"/>
  <c r="FW48" i="33"/>
  <c r="FV48" i="33"/>
  <c r="FU48" i="33"/>
  <c r="FT48" i="33"/>
  <c r="FS48" i="33"/>
  <c r="FR48" i="33"/>
  <c r="FQ48" i="33"/>
  <c r="FP48" i="33"/>
  <c r="FO48" i="33"/>
  <c r="FN48" i="33"/>
  <c r="FM48" i="33"/>
  <c r="FL48" i="33"/>
  <c r="FK48" i="33"/>
  <c r="FJ48" i="33"/>
  <c r="FI48" i="33"/>
  <c r="FH48" i="33"/>
  <c r="FG48" i="33"/>
  <c r="FF48" i="33"/>
  <c r="FE48" i="33"/>
  <c r="FD48" i="33"/>
  <c r="FC48" i="33"/>
  <c r="FB48" i="33"/>
  <c r="FA48" i="33"/>
  <c r="EZ48" i="33"/>
  <c r="EY48" i="33"/>
  <c r="EX48" i="33"/>
  <c r="EW48" i="33"/>
  <c r="EV48" i="33"/>
  <c r="EU48" i="33"/>
  <c r="ET48" i="33"/>
  <c r="ES48" i="33"/>
  <c r="ER48" i="33"/>
  <c r="EQ48" i="33"/>
  <c r="EP48" i="33"/>
  <c r="EO48" i="33"/>
  <c r="EN48" i="33"/>
  <c r="EM48" i="33"/>
  <c r="EL48" i="33"/>
  <c r="EK48" i="33"/>
  <c r="EJ48" i="33"/>
  <c r="EI48" i="33"/>
  <c r="EH48" i="33"/>
  <c r="EG48" i="33"/>
  <c r="EF48" i="33"/>
  <c r="EE48" i="33"/>
  <c r="ED48" i="33"/>
  <c r="EC48" i="33"/>
  <c r="EB48" i="33"/>
  <c r="EA48" i="33"/>
  <c r="DZ48" i="33"/>
  <c r="DY48" i="33"/>
  <c r="DX48" i="33"/>
  <c r="DW48" i="33"/>
  <c r="DV48" i="33"/>
  <c r="DU48" i="33"/>
  <c r="DT48" i="33"/>
  <c r="DS48" i="33"/>
  <c r="DR48" i="33"/>
  <c r="DQ48" i="33"/>
  <c r="DP48" i="33"/>
  <c r="DO48" i="33"/>
  <c r="DN48" i="33"/>
  <c r="DM48" i="33"/>
  <c r="DL48" i="33"/>
  <c r="DK48" i="33"/>
  <c r="DJ48" i="33"/>
  <c r="DI48" i="33"/>
  <c r="DH48" i="33"/>
  <c r="DG48" i="33"/>
  <c r="DF48" i="33"/>
  <c r="DE48" i="33"/>
  <c r="DD48" i="33"/>
  <c r="DC48" i="33"/>
  <c r="DB48" i="33"/>
  <c r="DA48" i="33"/>
  <c r="CZ48" i="33"/>
  <c r="CY48" i="33"/>
  <c r="CX48" i="33"/>
  <c r="CW48" i="33"/>
  <c r="CV48" i="33"/>
  <c r="CU48" i="33"/>
  <c r="CT48" i="33"/>
  <c r="CS48" i="33"/>
  <c r="CR48" i="33"/>
  <c r="CQ48" i="33"/>
  <c r="CP48" i="33"/>
  <c r="CO48" i="33"/>
  <c r="CN48" i="33"/>
  <c r="CM48" i="33"/>
  <c r="CL48" i="33"/>
  <c r="CK48" i="33"/>
  <c r="CJ48" i="33"/>
  <c r="CI48" i="33"/>
  <c r="CH48" i="33"/>
  <c r="CG48" i="33"/>
  <c r="CF48" i="33"/>
  <c r="CE48" i="33"/>
  <c r="CD48" i="33"/>
  <c r="CC48" i="33"/>
  <c r="CB48" i="33"/>
  <c r="CA48" i="33"/>
  <c r="BZ48" i="33"/>
  <c r="BY48" i="33"/>
  <c r="BX48" i="33"/>
  <c r="BW48" i="33"/>
  <c r="BV48" i="33"/>
  <c r="BU48" i="33"/>
  <c r="BT48" i="33"/>
  <c r="BS48" i="33"/>
  <c r="BR48" i="33"/>
  <c r="BQ48" i="33"/>
  <c r="BP48" i="33"/>
  <c r="BO48" i="33"/>
  <c r="BN48" i="33"/>
  <c r="BM48" i="33"/>
  <c r="BL48" i="33"/>
  <c r="BK48" i="33"/>
  <c r="BJ48" i="33"/>
  <c r="BI48" i="33"/>
  <c r="BH48" i="33"/>
  <c r="BG48" i="33"/>
  <c r="BF48" i="33"/>
  <c r="BE48" i="33"/>
  <c r="BD48" i="33"/>
  <c r="BC48" i="33"/>
  <c r="BB48" i="33"/>
  <c r="BA48" i="33"/>
  <c r="AZ48" i="33"/>
  <c r="AY48" i="33"/>
  <c r="AX48" i="33"/>
  <c r="AW48" i="33"/>
  <c r="AV48" i="33"/>
  <c r="AU48" i="33"/>
  <c r="AT48" i="33"/>
  <c r="AS48" i="33"/>
  <c r="AR48" i="33"/>
  <c r="AQ48" i="33"/>
  <c r="AP48" i="33"/>
  <c r="AO48" i="33"/>
  <c r="AN48" i="33"/>
  <c r="AM48" i="33"/>
  <c r="AL48" i="33"/>
  <c r="AK48" i="33"/>
  <c r="AJ48" i="33"/>
  <c r="AI48" i="33"/>
  <c r="AH48" i="33"/>
  <c r="AG48" i="33"/>
  <c r="AF48" i="33"/>
  <c r="AE48" i="33"/>
  <c r="AD48" i="33"/>
  <c r="AC48" i="33"/>
  <c r="AB48" i="33"/>
  <c r="AA48" i="33"/>
  <c r="Z48" i="33"/>
  <c r="Y48" i="33"/>
  <c r="X48" i="33"/>
  <c r="W48" i="33"/>
  <c r="V48" i="33"/>
  <c r="U48" i="33"/>
  <c r="T48" i="33"/>
  <c r="S48" i="33"/>
  <c r="R48" i="33"/>
  <c r="Q48" i="33"/>
  <c r="P48" i="33"/>
  <c r="O48" i="33"/>
  <c r="N48" i="33"/>
  <c r="M48" i="33"/>
  <c r="L48" i="33"/>
  <c r="K48" i="33"/>
  <c r="J48" i="33"/>
  <c r="I48" i="33"/>
  <c r="H48" i="33"/>
  <c r="G48" i="33"/>
  <c r="F48" i="33"/>
  <c r="E48" i="33"/>
  <c r="D48" i="33"/>
  <c r="C48" i="33"/>
  <c r="B48" i="33"/>
  <c r="A48" i="33"/>
  <c r="IV47" i="33"/>
  <c r="IU47" i="33"/>
  <c r="IT47" i="33"/>
  <c r="IS47" i="33"/>
  <c r="IR47" i="33"/>
  <c r="IQ47" i="33"/>
  <c r="IP47" i="33"/>
  <c r="IO47" i="33"/>
  <c r="IN47" i="33"/>
  <c r="IM47" i="33"/>
  <c r="IL47" i="33"/>
  <c r="IK47" i="33"/>
  <c r="IJ47" i="33"/>
  <c r="II47" i="33"/>
  <c r="IH47" i="33"/>
  <c r="IG47" i="33"/>
  <c r="IF47" i="33"/>
  <c r="IE47" i="33"/>
  <c r="ID47" i="33"/>
  <c r="IC47" i="33"/>
  <c r="IB47" i="33"/>
  <c r="IA47" i="33"/>
  <c r="HZ47" i="33"/>
  <c r="HY47" i="33"/>
  <c r="HX47" i="33"/>
  <c r="HW47" i="33"/>
  <c r="HV47" i="33"/>
  <c r="HU47" i="33"/>
  <c r="HT47" i="33"/>
  <c r="HS47" i="33"/>
  <c r="HR47" i="33"/>
  <c r="HQ47" i="33"/>
  <c r="HP47" i="33"/>
  <c r="HO47" i="33"/>
  <c r="HN47" i="33"/>
  <c r="HM47" i="33"/>
  <c r="HL47" i="33"/>
  <c r="HK47" i="33"/>
  <c r="HJ47" i="33"/>
  <c r="HI47" i="33"/>
  <c r="HH47" i="33"/>
  <c r="HG47" i="33"/>
  <c r="HF47" i="33"/>
  <c r="HE47" i="33"/>
  <c r="HD47" i="33"/>
  <c r="HC47" i="33"/>
  <c r="HB47" i="33"/>
  <c r="HA47" i="33"/>
  <c r="GZ47" i="33"/>
  <c r="GY47" i="33"/>
  <c r="GX47" i="33"/>
  <c r="GW47" i="33"/>
  <c r="GV47" i="33"/>
  <c r="GU47" i="33"/>
  <c r="GT47" i="33"/>
  <c r="GS47" i="33"/>
  <c r="GR47" i="33"/>
  <c r="GQ47" i="33"/>
  <c r="GP47" i="33"/>
  <c r="GO47" i="33"/>
  <c r="GN47" i="33"/>
  <c r="GM47" i="33"/>
  <c r="GL47" i="33"/>
  <c r="GK47" i="33"/>
  <c r="GJ47" i="33"/>
  <c r="GI47" i="33"/>
  <c r="GH47" i="33"/>
  <c r="GG47" i="33"/>
  <c r="GF47" i="33"/>
  <c r="GE47" i="33"/>
  <c r="GD47" i="33"/>
  <c r="GC47" i="33"/>
  <c r="GB47" i="33"/>
  <c r="GA47" i="33"/>
  <c r="FZ47" i="33"/>
  <c r="FY47" i="33"/>
  <c r="FX47" i="33"/>
  <c r="FW47" i="33"/>
  <c r="FV47" i="33"/>
  <c r="FU47" i="33"/>
  <c r="FT47" i="33"/>
  <c r="FS47" i="33"/>
  <c r="FR47" i="33"/>
  <c r="FQ47" i="33"/>
  <c r="FP47" i="33"/>
  <c r="FO47" i="33"/>
  <c r="FN47" i="33"/>
  <c r="FM47" i="33"/>
  <c r="FL47" i="33"/>
  <c r="FK47" i="33"/>
  <c r="FJ47" i="33"/>
  <c r="FI47" i="33"/>
  <c r="FH47" i="33"/>
  <c r="FG47" i="33"/>
  <c r="FF47" i="33"/>
  <c r="FE47" i="33"/>
  <c r="FD47" i="33"/>
  <c r="FC47" i="33"/>
  <c r="FB47" i="33"/>
  <c r="FA47" i="33"/>
  <c r="EZ47" i="33"/>
  <c r="EY47" i="33"/>
  <c r="EX47" i="33"/>
  <c r="EW47" i="33"/>
  <c r="EV47" i="33"/>
  <c r="EU47" i="33"/>
  <c r="ET47" i="33"/>
  <c r="ES47" i="33"/>
  <c r="ER47" i="33"/>
  <c r="EQ47" i="33"/>
  <c r="EP47" i="33"/>
  <c r="EO47" i="33"/>
  <c r="EN47" i="33"/>
  <c r="EM47" i="33"/>
  <c r="EL47" i="33"/>
  <c r="EK47" i="33"/>
  <c r="EJ47" i="33"/>
  <c r="EI47" i="33"/>
  <c r="EH47" i="33"/>
  <c r="EG47" i="33"/>
  <c r="EF47" i="33"/>
  <c r="EE47" i="33"/>
  <c r="ED47" i="33"/>
  <c r="EC47" i="33"/>
  <c r="EB47" i="33"/>
  <c r="EA47" i="33"/>
  <c r="DZ47" i="33"/>
  <c r="DY47" i="33"/>
  <c r="DX47" i="33"/>
  <c r="DW47" i="33"/>
  <c r="DV47" i="33"/>
  <c r="DU47" i="33"/>
  <c r="DT47" i="33"/>
  <c r="DS47" i="33"/>
  <c r="DR47" i="33"/>
  <c r="DQ47" i="33"/>
  <c r="DP47" i="33"/>
  <c r="DO47" i="33"/>
  <c r="DN47" i="33"/>
  <c r="DM47" i="33"/>
  <c r="DL47" i="33"/>
  <c r="DK47" i="33"/>
  <c r="DJ47" i="33"/>
  <c r="DI47" i="33"/>
  <c r="DH47" i="33"/>
  <c r="DG47" i="33"/>
  <c r="DF47" i="33"/>
  <c r="DE47" i="33"/>
  <c r="DD47" i="33"/>
  <c r="DC47" i="33"/>
  <c r="DB47" i="33"/>
  <c r="DA47" i="33"/>
  <c r="CZ47" i="33"/>
  <c r="CY47" i="33"/>
  <c r="CX47" i="33"/>
  <c r="CW47" i="33"/>
  <c r="CV47" i="33"/>
  <c r="CU47" i="33"/>
  <c r="CT47" i="33"/>
  <c r="CS47" i="33"/>
  <c r="CR47" i="33"/>
  <c r="CQ47" i="33"/>
  <c r="CP47" i="33"/>
  <c r="CO47" i="33"/>
  <c r="CN47" i="33"/>
  <c r="CM47" i="33"/>
  <c r="CL47" i="33"/>
  <c r="CK47" i="33"/>
  <c r="CJ47" i="33"/>
  <c r="CI47" i="33"/>
  <c r="CH47" i="33"/>
  <c r="CG47" i="33"/>
  <c r="CF47" i="33"/>
  <c r="CE47" i="33"/>
  <c r="CD47" i="33"/>
  <c r="CC47" i="33"/>
  <c r="CB47" i="33"/>
  <c r="CA47" i="33"/>
  <c r="BZ47" i="33"/>
  <c r="BY47" i="33"/>
  <c r="BX47" i="33"/>
  <c r="BW47" i="33"/>
  <c r="BV47" i="33"/>
  <c r="BU47" i="33"/>
  <c r="BT47" i="33"/>
  <c r="BS47" i="33"/>
  <c r="BR47" i="33"/>
  <c r="BQ47" i="33"/>
  <c r="BP47" i="33"/>
  <c r="BO47" i="33"/>
  <c r="BN47" i="33"/>
  <c r="BM47" i="33"/>
  <c r="BL47" i="33"/>
  <c r="BK47" i="33"/>
  <c r="BJ47" i="33"/>
  <c r="BI47" i="33"/>
  <c r="BH47" i="33"/>
  <c r="BG47" i="33"/>
  <c r="BF47" i="33"/>
  <c r="BE47" i="33"/>
  <c r="BD47" i="33"/>
  <c r="BC47" i="33"/>
  <c r="BB47" i="33"/>
  <c r="BA47" i="33"/>
  <c r="AZ47" i="33"/>
  <c r="AY47" i="33"/>
  <c r="AX47" i="33"/>
  <c r="AW47" i="33"/>
  <c r="AV47" i="33"/>
  <c r="AU47" i="33"/>
  <c r="AT47" i="33"/>
  <c r="AS47" i="33"/>
  <c r="AR47" i="33"/>
  <c r="AQ47" i="33"/>
  <c r="AP47" i="33"/>
  <c r="AO47" i="33"/>
  <c r="AN47" i="33"/>
  <c r="AM47" i="33"/>
  <c r="AL47" i="33"/>
  <c r="AK47" i="33"/>
  <c r="AJ47" i="33"/>
  <c r="AI47" i="33"/>
  <c r="AH47" i="33"/>
  <c r="AG47" i="33"/>
  <c r="AF47" i="33"/>
  <c r="AE47" i="33"/>
  <c r="AD47" i="33"/>
  <c r="AC47" i="33"/>
  <c r="AB47" i="33"/>
  <c r="AA47" i="33"/>
  <c r="Z47" i="33"/>
  <c r="Y47" i="33"/>
  <c r="X47" i="33"/>
  <c r="W47" i="33"/>
  <c r="V47" i="33"/>
  <c r="U47" i="33"/>
  <c r="T47" i="33"/>
  <c r="S47" i="33"/>
  <c r="R47" i="33"/>
  <c r="Q47" i="33"/>
  <c r="P47" i="33"/>
  <c r="O47" i="33"/>
  <c r="N47" i="33"/>
  <c r="M47" i="33"/>
  <c r="L47" i="33"/>
  <c r="K47" i="33"/>
  <c r="J47" i="33"/>
  <c r="I47" i="33"/>
  <c r="H47" i="33"/>
  <c r="G47" i="33"/>
  <c r="F47" i="33"/>
  <c r="E47" i="33"/>
  <c r="D47" i="33"/>
  <c r="C47" i="33"/>
  <c r="B47" i="33"/>
  <c r="A47" i="33"/>
  <c r="IV46" i="33"/>
  <c r="IU46" i="33"/>
  <c r="IT46" i="33"/>
  <c r="IS46" i="33"/>
  <c r="IR46" i="33"/>
  <c r="IQ46" i="33"/>
  <c r="IP46" i="33"/>
  <c r="IO46" i="33"/>
  <c r="IN46" i="33"/>
  <c r="IM46" i="33"/>
  <c r="IL46" i="33"/>
  <c r="IK46" i="33"/>
  <c r="IJ46" i="33"/>
  <c r="II46" i="33"/>
  <c r="IH46" i="33"/>
  <c r="IG46" i="33"/>
  <c r="IF46" i="33"/>
  <c r="IE46" i="33"/>
  <c r="ID46" i="33"/>
  <c r="IC46" i="33"/>
  <c r="IB46" i="33"/>
  <c r="IA46" i="33"/>
  <c r="HZ46" i="33"/>
  <c r="HY46" i="33"/>
  <c r="HX46" i="33"/>
  <c r="HW46" i="33"/>
  <c r="HV46" i="33"/>
  <c r="HU46" i="33"/>
  <c r="HT46" i="33"/>
  <c r="HS46" i="33"/>
  <c r="HR46" i="33"/>
  <c r="HQ46" i="33"/>
  <c r="HP46" i="33"/>
  <c r="HO46" i="33"/>
  <c r="HN46" i="33"/>
  <c r="HM46" i="33"/>
  <c r="HL46" i="33"/>
  <c r="HK46" i="33"/>
  <c r="HJ46" i="33"/>
  <c r="HI46" i="33"/>
  <c r="HH46" i="33"/>
  <c r="HG46" i="33"/>
  <c r="HF46" i="33"/>
  <c r="HE46" i="33"/>
  <c r="HD46" i="33"/>
  <c r="HC46" i="33"/>
  <c r="HB46" i="33"/>
  <c r="HA46" i="33"/>
  <c r="GZ46" i="33"/>
  <c r="GY46" i="33"/>
  <c r="GX46" i="33"/>
  <c r="GW46" i="33"/>
  <c r="GV46" i="33"/>
  <c r="GU46" i="33"/>
  <c r="GT46" i="33"/>
  <c r="GS46" i="33"/>
  <c r="GR46" i="33"/>
  <c r="GQ46" i="33"/>
  <c r="GP46" i="33"/>
  <c r="GO46" i="33"/>
  <c r="GN46" i="33"/>
  <c r="GM46" i="33"/>
  <c r="GL46" i="33"/>
  <c r="GK46" i="33"/>
  <c r="GJ46" i="33"/>
  <c r="GI46" i="33"/>
  <c r="GH46" i="33"/>
  <c r="GG46" i="33"/>
  <c r="GF46" i="33"/>
  <c r="GE46" i="33"/>
  <c r="GD46" i="33"/>
  <c r="GC46" i="33"/>
  <c r="GB46" i="33"/>
  <c r="GA46" i="33"/>
  <c r="FZ46" i="33"/>
  <c r="FY46" i="33"/>
  <c r="FX46" i="33"/>
  <c r="FW46" i="33"/>
  <c r="FV46" i="33"/>
  <c r="FU46" i="33"/>
  <c r="FT46" i="33"/>
  <c r="FS46" i="33"/>
  <c r="FR46" i="33"/>
  <c r="FQ46" i="33"/>
  <c r="FP46" i="33"/>
  <c r="FO46" i="33"/>
  <c r="FN46" i="33"/>
  <c r="FM46" i="33"/>
  <c r="FL46" i="33"/>
  <c r="FK46" i="33"/>
  <c r="FJ46" i="33"/>
  <c r="FI46" i="33"/>
  <c r="FH46" i="33"/>
  <c r="FG46" i="33"/>
  <c r="FF46" i="33"/>
  <c r="FE46" i="33"/>
  <c r="FD46" i="33"/>
  <c r="FC46" i="33"/>
  <c r="FB46" i="33"/>
  <c r="FA46" i="33"/>
  <c r="EZ46" i="33"/>
  <c r="EY46" i="33"/>
  <c r="EX46" i="33"/>
  <c r="EW46" i="33"/>
  <c r="EV46" i="33"/>
  <c r="EU46" i="33"/>
  <c r="ET46" i="33"/>
  <c r="ES46" i="33"/>
  <c r="ER46" i="33"/>
  <c r="EQ46" i="33"/>
  <c r="EP46" i="33"/>
  <c r="EO46" i="33"/>
  <c r="EN46" i="33"/>
  <c r="EM46" i="33"/>
  <c r="EL46" i="33"/>
  <c r="EK46" i="33"/>
  <c r="EJ46" i="33"/>
  <c r="EI46" i="33"/>
  <c r="EH46" i="33"/>
  <c r="EG46" i="33"/>
  <c r="EF46" i="33"/>
  <c r="EE46" i="33"/>
  <c r="ED46" i="33"/>
  <c r="EC46" i="33"/>
  <c r="EB46" i="33"/>
  <c r="EA46" i="33"/>
  <c r="DZ46" i="33"/>
  <c r="DY46" i="33"/>
  <c r="DX46" i="33"/>
  <c r="DW46" i="33"/>
  <c r="DV46" i="33"/>
  <c r="DU46" i="33"/>
  <c r="DT46" i="33"/>
  <c r="DS46" i="33"/>
  <c r="DR46" i="33"/>
  <c r="DQ46" i="33"/>
  <c r="DP46" i="33"/>
  <c r="DO46" i="33"/>
  <c r="DN46" i="33"/>
  <c r="DM46" i="33"/>
  <c r="DL46" i="33"/>
  <c r="DK46" i="33"/>
  <c r="DJ46" i="33"/>
  <c r="DI46" i="33"/>
  <c r="DH46" i="33"/>
  <c r="DG46" i="33"/>
  <c r="DF46" i="33"/>
  <c r="DE46" i="33"/>
  <c r="DD46" i="33"/>
  <c r="DC46" i="33"/>
  <c r="DB46" i="33"/>
  <c r="DA46" i="33"/>
  <c r="CZ46" i="33"/>
  <c r="CY46" i="33"/>
  <c r="CX46" i="33"/>
  <c r="CW46" i="33"/>
  <c r="CV46" i="33"/>
  <c r="CU46" i="33"/>
  <c r="CT46" i="33"/>
  <c r="CS46" i="33"/>
  <c r="CR46" i="33"/>
  <c r="CQ46" i="33"/>
  <c r="CP46" i="33"/>
  <c r="CO46" i="33"/>
  <c r="CN46" i="33"/>
  <c r="CM46" i="33"/>
  <c r="CL46" i="33"/>
  <c r="CK46" i="33"/>
  <c r="CJ46" i="33"/>
  <c r="CI46" i="33"/>
  <c r="CH46" i="33"/>
  <c r="CG46" i="33"/>
  <c r="CF46" i="33"/>
  <c r="CE46" i="33"/>
  <c r="CD46" i="33"/>
  <c r="CC46" i="33"/>
  <c r="CB46" i="33"/>
  <c r="CA46" i="33"/>
  <c r="BZ46" i="33"/>
  <c r="BY46" i="33"/>
  <c r="BX46" i="33"/>
  <c r="BW46" i="33"/>
  <c r="BV46" i="33"/>
  <c r="BU46" i="33"/>
  <c r="BT46" i="33"/>
  <c r="BS46" i="33"/>
  <c r="BR46" i="33"/>
  <c r="BQ46" i="33"/>
  <c r="BP46" i="33"/>
  <c r="BO46" i="33"/>
  <c r="BN46" i="33"/>
  <c r="BM46" i="33"/>
  <c r="BL46" i="33"/>
  <c r="BK46" i="33"/>
  <c r="BJ46" i="33"/>
  <c r="BI46" i="33"/>
  <c r="BH46" i="33"/>
  <c r="BG46" i="33"/>
  <c r="BF46" i="33"/>
  <c r="BE46" i="33"/>
  <c r="BD46" i="33"/>
  <c r="BC46" i="33"/>
  <c r="BB46" i="33"/>
  <c r="BA46" i="33"/>
  <c r="AZ46" i="33"/>
  <c r="AY46" i="33"/>
  <c r="AX46" i="33"/>
  <c r="AW46" i="33"/>
  <c r="AV46" i="33"/>
  <c r="AU46" i="33"/>
  <c r="AT46" i="33"/>
  <c r="AS46" i="33"/>
  <c r="AR46" i="33"/>
  <c r="AQ46" i="33"/>
  <c r="AP46" i="33"/>
  <c r="AO46" i="33"/>
  <c r="AN46" i="33"/>
  <c r="AM46" i="33"/>
  <c r="AL46" i="33"/>
  <c r="AK46" i="33"/>
  <c r="AJ46" i="33"/>
  <c r="AI46" i="33"/>
  <c r="AH46" i="33"/>
  <c r="AG46" i="33"/>
  <c r="AF46" i="33"/>
  <c r="AE46" i="33"/>
  <c r="AD46" i="33"/>
  <c r="AC46" i="33"/>
  <c r="AB46" i="33"/>
  <c r="AA46" i="33"/>
  <c r="Z46" i="33"/>
  <c r="Y46" i="33"/>
  <c r="X46" i="33"/>
  <c r="W46" i="33"/>
  <c r="V46" i="33"/>
  <c r="U46" i="33"/>
  <c r="T46" i="33"/>
  <c r="S46" i="33"/>
  <c r="R46" i="33"/>
  <c r="Q46" i="33"/>
  <c r="P46" i="33"/>
  <c r="O46" i="33"/>
  <c r="N46" i="33"/>
  <c r="M46" i="33"/>
  <c r="L46" i="33"/>
  <c r="K46" i="33"/>
  <c r="J46" i="33"/>
  <c r="I46" i="33"/>
  <c r="H46" i="33"/>
  <c r="G46" i="33"/>
  <c r="F46" i="33"/>
  <c r="E46" i="33"/>
  <c r="D46" i="33"/>
  <c r="C46" i="33"/>
  <c r="B46" i="33"/>
  <c r="A46" i="33"/>
  <c r="IV45" i="33"/>
  <c r="IU45" i="33"/>
  <c r="IT45" i="33"/>
  <c r="IS45" i="33"/>
  <c r="IR45" i="33"/>
  <c r="IQ45" i="33"/>
  <c r="IP45" i="33"/>
  <c r="IO45" i="33"/>
  <c r="IN45" i="33"/>
  <c r="IM45" i="33"/>
  <c r="IL45" i="33"/>
  <c r="IK45" i="33"/>
  <c r="IJ45" i="33"/>
  <c r="II45" i="33"/>
  <c r="IH45" i="33"/>
  <c r="IG45" i="33"/>
  <c r="IF45" i="33"/>
  <c r="IE45" i="33"/>
  <c r="ID45" i="33"/>
  <c r="IC45" i="33"/>
  <c r="IB45" i="33"/>
  <c r="IA45" i="33"/>
  <c r="HZ45" i="33"/>
  <c r="HY45" i="33"/>
  <c r="HX45" i="33"/>
  <c r="HW45" i="33"/>
  <c r="HV45" i="33"/>
  <c r="HU45" i="33"/>
  <c r="HT45" i="33"/>
  <c r="HS45" i="33"/>
  <c r="HR45" i="33"/>
  <c r="HQ45" i="33"/>
  <c r="HP45" i="33"/>
  <c r="HO45" i="33"/>
  <c r="HN45" i="33"/>
  <c r="HM45" i="33"/>
  <c r="HL45" i="33"/>
  <c r="HK45" i="33"/>
  <c r="HJ45" i="33"/>
  <c r="HI45" i="33"/>
  <c r="HH45" i="33"/>
  <c r="HG45" i="33"/>
  <c r="HF45" i="33"/>
  <c r="HE45" i="33"/>
  <c r="HD45" i="33"/>
  <c r="HC45" i="33"/>
  <c r="HB45" i="33"/>
  <c r="HA45" i="33"/>
  <c r="GZ45" i="33"/>
  <c r="GY45" i="33"/>
  <c r="GX45" i="33"/>
  <c r="GW45" i="33"/>
  <c r="GV45" i="33"/>
  <c r="GU45" i="33"/>
  <c r="GT45" i="33"/>
  <c r="GS45" i="33"/>
  <c r="GR45" i="33"/>
  <c r="GQ45" i="33"/>
  <c r="GP45" i="33"/>
  <c r="GO45" i="33"/>
  <c r="GN45" i="33"/>
  <c r="GM45" i="33"/>
  <c r="GL45" i="33"/>
  <c r="GK45" i="33"/>
  <c r="GJ45" i="33"/>
  <c r="GI45" i="33"/>
  <c r="GH45" i="33"/>
  <c r="GG45" i="33"/>
  <c r="GF45" i="33"/>
  <c r="GE45" i="33"/>
  <c r="GD45" i="33"/>
  <c r="GC45" i="33"/>
  <c r="GB45" i="33"/>
  <c r="GA45" i="33"/>
  <c r="FZ45" i="33"/>
  <c r="FY45" i="33"/>
  <c r="FX45" i="33"/>
  <c r="FW45" i="33"/>
  <c r="FV45" i="33"/>
  <c r="FU45" i="33"/>
  <c r="FT45" i="33"/>
  <c r="FS45" i="33"/>
  <c r="FR45" i="33"/>
  <c r="FQ45" i="33"/>
  <c r="FP45" i="33"/>
  <c r="FO45" i="33"/>
  <c r="FN45" i="33"/>
  <c r="FM45" i="33"/>
  <c r="FL45" i="33"/>
  <c r="FK45" i="33"/>
  <c r="FJ45" i="33"/>
  <c r="FI45" i="33"/>
  <c r="FH45" i="33"/>
  <c r="FG45" i="33"/>
  <c r="FF45" i="33"/>
  <c r="FE45" i="33"/>
  <c r="FD45" i="33"/>
  <c r="FC45" i="33"/>
  <c r="FB45" i="33"/>
  <c r="FA45" i="33"/>
  <c r="EZ45" i="33"/>
  <c r="EY45" i="33"/>
  <c r="EX45" i="33"/>
  <c r="EW45" i="33"/>
  <c r="EV45" i="33"/>
  <c r="EU45" i="33"/>
  <c r="ET45" i="33"/>
  <c r="ES45" i="33"/>
  <c r="ER45" i="33"/>
  <c r="EQ45" i="33"/>
  <c r="EP45" i="33"/>
  <c r="EO45" i="33"/>
  <c r="EN45" i="33"/>
  <c r="EM45" i="33"/>
  <c r="EL45" i="33"/>
  <c r="EK45" i="33"/>
  <c r="EJ45" i="33"/>
  <c r="EI45" i="33"/>
  <c r="EH45" i="33"/>
  <c r="EG45" i="33"/>
  <c r="EF45" i="33"/>
  <c r="EE45" i="33"/>
  <c r="ED45" i="33"/>
  <c r="EC45" i="33"/>
  <c r="EB45" i="33"/>
  <c r="EA45" i="33"/>
  <c r="DZ45" i="33"/>
  <c r="DY45" i="33"/>
  <c r="DX45" i="33"/>
  <c r="DW45" i="33"/>
  <c r="DV45" i="33"/>
  <c r="DU45" i="33"/>
  <c r="DT45" i="33"/>
  <c r="DS45" i="33"/>
  <c r="DR45" i="33"/>
  <c r="DQ45" i="33"/>
  <c r="DP45" i="33"/>
  <c r="DO45" i="33"/>
  <c r="DN45" i="33"/>
  <c r="DM45" i="33"/>
  <c r="DL45" i="33"/>
  <c r="DK45" i="33"/>
  <c r="DJ45" i="33"/>
  <c r="DI45" i="33"/>
  <c r="DH45" i="33"/>
  <c r="DG45" i="33"/>
  <c r="DF45" i="33"/>
  <c r="DE45" i="33"/>
  <c r="DD45" i="33"/>
  <c r="DC45" i="33"/>
  <c r="DB45" i="33"/>
  <c r="DA45" i="33"/>
  <c r="CZ45" i="33"/>
  <c r="CY45" i="33"/>
  <c r="CX45" i="33"/>
  <c r="CW45" i="33"/>
  <c r="CV45" i="33"/>
  <c r="CU45" i="33"/>
  <c r="CT45" i="33"/>
  <c r="CS45" i="33"/>
  <c r="CR45" i="33"/>
  <c r="CQ45" i="33"/>
  <c r="CP45" i="33"/>
  <c r="CO45" i="33"/>
  <c r="CN45" i="33"/>
  <c r="CM45" i="33"/>
  <c r="CL45" i="33"/>
  <c r="CK45" i="33"/>
  <c r="CJ45" i="33"/>
  <c r="CI45" i="33"/>
  <c r="CH45" i="33"/>
  <c r="CG45" i="33"/>
  <c r="CF45" i="33"/>
  <c r="CE45" i="33"/>
  <c r="CD45" i="33"/>
  <c r="CC45" i="33"/>
  <c r="CB45" i="33"/>
  <c r="CA45" i="33"/>
  <c r="BZ45" i="33"/>
  <c r="BY45" i="33"/>
  <c r="BX45" i="33"/>
  <c r="BW45" i="33"/>
  <c r="BV45" i="33"/>
  <c r="BU45" i="33"/>
  <c r="BT45" i="33"/>
  <c r="BS45" i="33"/>
  <c r="BR45" i="33"/>
  <c r="BQ45" i="33"/>
  <c r="BP45" i="33"/>
  <c r="BO45" i="33"/>
  <c r="BN45" i="33"/>
  <c r="BM45" i="33"/>
  <c r="BL45" i="33"/>
  <c r="BK45" i="33"/>
  <c r="BJ45" i="33"/>
  <c r="BI45" i="33"/>
  <c r="BH45" i="33"/>
  <c r="BG45" i="33"/>
  <c r="BF45" i="33"/>
  <c r="BE45" i="33"/>
  <c r="BD45" i="33"/>
  <c r="BC45" i="33"/>
  <c r="BB45" i="33"/>
  <c r="BA45" i="33"/>
  <c r="AZ45" i="33"/>
  <c r="AY45" i="33"/>
  <c r="AX45" i="33"/>
  <c r="AW45" i="33"/>
  <c r="AV45" i="33"/>
  <c r="AU45" i="33"/>
  <c r="AT45" i="33"/>
  <c r="AS45" i="33"/>
  <c r="AR45" i="33"/>
  <c r="AQ45" i="33"/>
  <c r="AP45" i="33"/>
  <c r="AO45" i="33"/>
  <c r="AN45" i="33"/>
  <c r="AM45" i="33"/>
  <c r="AL45" i="33"/>
  <c r="AK45" i="33"/>
  <c r="AJ45" i="33"/>
  <c r="AI45" i="33"/>
  <c r="AH45" i="33"/>
  <c r="AG45" i="33"/>
  <c r="AF45" i="33"/>
  <c r="AE45" i="33"/>
  <c r="AD45" i="33"/>
  <c r="AC45" i="33"/>
  <c r="AB45" i="33"/>
  <c r="AA45" i="33"/>
  <c r="Z45" i="33"/>
  <c r="Y45" i="33"/>
  <c r="X45" i="33"/>
  <c r="W45" i="33"/>
  <c r="V45" i="33"/>
  <c r="U45" i="33"/>
  <c r="T45" i="33"/>
  <c r="S45" i="33"/>
  <c r="R45" i="33"/>
  <c r="Q45" i="33"/>
  <c r="P45" i="33"/>
  <c r="O45" i="33"/>
  <c r="N45" i="33"/>
  <c r="M45" i="33"/>
  <c r="L45" i="33"/>
  <c r="K45" i="33"/>
  <c r="J45" i="33"/>
  <c r="I45" i="33"/>
  <c r="H45" i="33"/>
  <c r="G45" i="33"/>
  <c r="F45" i="33"/>
  <c r="E45" i="33"/>
  <c r="D45" i="33"/>
  <c r="C45" i="33"/>
  <c r="B45" i="33"/>
  <c r="A45" i="33"/>
  <c r="IV44" i="33"/>
  <c r="IU44" i="33"/>
  <c r="IT44" i="33"/>
  <c r="IS44" i="33"/>
  <c r="IR44" i="33"/>
  <c r="IQ44" i="33"/>
  <c r="IP44" i="33"/>
  <c r="IO44" i="33"/>
  <c r="IN44" i="33"/>
  <c r="IM44" i="33"/>
  <c r="IL44" i="33"/>
  <c r="IK44" i="33"/>
  <c r="IJ44" i="33"/>
  <c r="II44" i="33"/>
  <c r="IH44" i="33"/>
  <c r="IG44" i="33"/>
  <c r="IF44" i="33"/>
  <c r="IE44" i="33"/>
  <c r="ID44" i="33"/>
  <c r="IC44" i="33"/>
  <c r="IB44" i="33"/>
  <c r="IA44" i="33"/>
  <c r="HZ44" i="33"/>
  <c r="HY44" i="33"/>
  <c r="HX44" i="33"/>
  <c r="HW44" i="33"/>
  <c r="HV44" i="33"/>
  <c r="HU44" i="33"/>
  <c r="HT44" i="33"/>
  <c r="HS44" i="33"/>
  <c r="HR44" i="33"/>
  <c r="HQ44" i="33"/>
  <c r="HP44" i="33"/>
  <c r="HO44" i="33"/>
  <c r="HN44" i="33"/>
  <c r="HM44" i="33"/>
  <c r="HL44" i="33"/>
  <c r="HK44" i="33"/>
  <c r="HJ44" i="33"/>
  <c r="HI44" i="33"/>
  <c r="HH44" i="33"/>
  <c r="HG44" i="33"/>
  <c r="HF44" i="33"/>
  <c r="HE44" i="33"/>
  <c r="HD44" i="33"/>
  <c r="HC44" i="33"/>
  <c r="HB44" i="33"/>
  <c r="HA44" i="33"/>
  <c r="GZ44" i="33"/>
  <c r="GY44" i="33"/>
  <c r="GX44" i="33"/>
  <c r="GW44" i="33"/>
  <c r="GV44" i="33"/>
  <c r="GU44" i="33"/>
  <c r="GT44" i="33"/>
  <c r="GS44" i="33"/>
  <c r="GR44" i="33"/>
  <c r="GQ44" i="33"/>
  <c r="GP44" i="33"/>
  <c r="GO44" i="33"/>
  <c r="GN44" i="33"/>
  <c r="GM44" i="33"/>
  <c r="GL44" i="33"/>
  <c r="GK44" i="33"/>
  <c r="GJ44" i="33"/>
  <c r="GI44" i="33"/>
  <c r="GH44" i="33"/>
  <c r="GG44" i="33"/>
  <c r="GF44" i="33"/>
  <c r="GE44" i="33"/>
  <c r="GD44" i="33"/>
  <c r="GC44" i="33"/>
  <c r="GB44" i="33"/>
  <c r="GA44" i="33"/>
  <c r="FZ44" i="33"/>
  <c r="FY44" i="33"/>
  <c r="FX44" i="33"/>
  <c r="FW44" i="33"/>
  <c r="FV44" i="33"/>
  <c r="FU44" i="33"/>
  <c r="FT44" i="33"/>
  <c r="FS44" i="33"/>
  <c r="FR44" i="33"/>
  <c r="FQ44" i="33"/>
  <c r="FP44" i="33"/>
  <c r="FO44" i="33"/>
  <c r="FN44" i="33"/>
  <c r="FM44" i="33"/>
  <c r="FL44" i="33"/>
  <c r="FK44" i="33"/>
  <c r="FJ44" i="33"/>
  <c r="FI44" i="33"/>
  <c r="FH44" i="33"/>
  <c r="FG44" i="33"/>
  <c r="FF44" i="33"/>
  <c r="FE44" i="33"/>
  <c r="FD44" i="33"/>
  <c r="FC44" i="33"/>
  <c r="FB44" i="33"/>
  <c r="FA44" i="33"/>
  <c r="EZ44" i="33"/>
  <c r="EY44" i="33"/>
  <c r="EX44" i="33"/>
  <c r="EW44" i="33"/>
  <c r="EV44" i="33"/>
  <c r="EU44" i="33"/>
  <c r="ET44" i="33"/>
  <c r="ES44" i="33"/>
  <c r="ER44" i="33"/>
  <c r="EQ44" i="33"/>
  <c r="EP44" i="33"/>
  <c r="EO44" i="33"/>
  <c r="EN44" i="33"/>
  <c r="EM44" i="33"/>
  <c r="EL44" i="33"/>
  <c r="EK44" i="33"/>
  <c r="EJ44" i="33"/>
  <c r="EI44" i="33"/>
  <c r="EH44" i="33"/>
  <c r="EG44" i="33"/>
  <c r="EF44" i="33"/>
  <c r="EE44" i="33"/>
  <c r="ED44" i="33"/>
  <c r="EC44" i="33"/>
  <c r="EB44" i="33"/>
  <c r="EA44" i="33"/>
  <c r="DZ44" i="33"/>
  <c r="DY44" i="33"/>
  <c r="DX44" i="33"/>
  <c r="DW44" i="33"/>
  <c r="DV44" i="33"/>
  <c r="DU44" i="33"/>
  <c r="DT44" i="33"/>
  <c r="DS44" i="33"/>
  <c r="DR44" i="33"/>
  <c r="DQ44" i="33"/>
  <c r="DP44" i="33"/>
  <c r="DO44" i="33"/>
  <c r="DN44" i="33"/>
  <c r="DM44" i="33"/>
  <c r="DL44" i="33"/>
  <c r="DK44" i="33"/>
  <c r="DJ44" i="33"/>
  <c r="DI44" i="33"/>
  <c r="DH44" i="33"/>
  <c r="DG44" i="33"/>
  <c r="DF44" i="33"/>
  <c r="DE44" i="33"/>
  <c r="DD44" i="33"/>
  <c r="DC44" i="33"/>
  <c r="DB44" i="33"/>
  <c r="DA44" i="33"/>
  <c r="CZ44" i="33"/>
  <c r="CY44" i="33"/>
  <c r="CX44" i="33"/>
  <c r="CW44" i="33"/>
  <c r="CV44" i="33"/>
  <c r="CU44" i="33"/>
  <c r="CT44" i="33"/>
  <c r="CS44" i="33"/>
  <c r="CR44" i="33"/>
  <c r="CQ44" i="33"/>
  <c r="CP44" i="33"/>
  <c r="CO44" i="33"/>
  <c r="CN44" i="33"/>
  <c r="CM44" i="33"/>
  <c r="CL44" i="33"/>
  <c r="CK44" i="33"/>
  <c r="CJ44" i="33"/>
  <c r="CI44" i="33"/>
  <c r="CH44" i="33"/>
  <c r="CG44" i="33"/>
  <c r="CF44" i="33"/>
  <c r="CE44" i="33"/>
  <c r="CD44" i="33"/>
  <c r="CC44" i="33"/>
  <c r="CB44" i="33"/>
  <c r="CA44" i="33"/>
  <c r="BZ44" i="33"/>
  <c r="BY44" i="33"/>
  <c r="BX44" i="33"/>
  <c r="BW44" i="33"/>
  <c r="BV44" i="33"/>
  <c r="BU44" i="33"/>
  <c r="BT44" i="33"/>
  <c r="BS44" i="33"/>
  <c r="BR44" i="33"/>
  <c r="BQ44" i="33"/>
  <c r="BP44" i="33"/>
  <c r="BO44" i="33"/>
  <c r="BN44" i="33"/>
  <c r="BM44" i="33"/>
  <c r="BL44" i="33"/>
  <c r="BK44" i="33"/>
  <c r="BJ44" i="33"/>
  <c r="BI44" i="33"/>
  <c r="BH44" i="33"/>
  <c r="BG44" i="33"/>
  <c r="BF44" i="33"/>
  <c r="BE44" i="33"/>
  <c r="BD44" i="33"/>
  <c r="BC44" i="33"/>
  <c r="BB44" i="33"/>
  <c r="BA44" i="33"/>
  <c r="AZ44" i="33"/>
  <c r="AY44" i="33"/>
  <c r="AX44" i="33"/>
  <c r="AW44" i="33"/>
  <c r="AV44" i="33"/>
  <c r="AU44" i="33"/>
  <c r="AT44" i="33"/>
  <c r="AS44" i="33"/>
  <c r="AR44" i="33"/>
  <c r="AQ44" i="33"/>
  <c r="AP44" i="33"/>
  <c r="AO44" i="33"/>
  <c r="AN44" i="33"/>
  <c r="AM44" i="33"/>
  <c r="AL44" i="33"/>
  <c r="AK44" i="33"/>
  <c r="AJ44" i="33"/>
  <c r="AI44" i="33"/>
  <c r="AH44" i="33"/>
  <c r="AG44" i="33"/>
  <c r="AF44" i="33"/>
  <c r="AE44" i="33"/>
  <c r="AD44" i="33"/>
  <c r="AC44" i="33"/>
  <c r="AB44" i="33"/>
  <c r="AA44" i="33"/>
  <c r="Z44" i="33"/>
  <c r="Y44" i="33"/>
  <c r="X44" i="33"/>
  <c r="W44" i="33"/>
  <c r="V44" i="33"/>
  <c r="U44" i="33"/>
  <c r="T44" i="33"/>
  <c r="S44" i="33"/>
  <c r="R44" i="33"/>
  <c r="Q44" i="33"/>
  <c r="P44" i="33"/>
  <c r="O44" i="33"/>
  <c r="N44" i="33"/>
  <c r="M44" i="33"/>
  <c r="L44" i="33"/>
  <c r="K44" i="33"/>
  <c r="J44" i="33"/>
  <c r="I44" i="33"/>
  <c r="H44" i="33"/>
  <c r="G44" i="33"/>
  <c r="F44" i="33"/>
  <c r="E44" i="33"/>
  <c r="D44" i="33"/>
  <c r="C44" i="33"/>
  <c r="B44" i="33"/>
  <c r="A44" i="33"/>
  <c r="IV43" i="33"/>
  <c r="IU43" i="33"/>
  <c r="IT43" i="33"/>
  <c r="IS43" i="33"/>
  <c r="IR43" i="33"/>
  <c r="IQ43" i="33"/>
  <c r="IP43" i="33"/>
  <c r="IO43" i="33"/>
  <c r="IN43" i="33"/>
  <c r="IM43" i="33"/>
  <c r="IL43" i="33"/>
  <c r="IK43" i="33"/>
  <c r="IJ43" i="33"/>
  <c r="II43" i="33"/>
  <c r="IH43" i="33"/>
  <c r="IG43" i="33"/>
  <c r="IF43" i="33"/>
  <c r="IE43" i="33"/>
  <c r="ID43" i="33"/>
  <c r="IC43" i="33"/>
  <c r="IB43" i="33"/>
  <c r="IA43" i="33"/>
  <c r="HZ43" i="33"/>
  <c r="HY43" i="33"/>
  <c r="HX43" i="33"/>
  <c r="HW43" i="33"/>
  <c r="HV43" i="33"/>
  <c r="HU43" i="33"/>
  <c r="HT43" i="33"/>
  <c r="HS43" i="33"/>
  <c r="HR43" i="33"/>
  <c r="HQ43" i="33"/>
  <c r="HP43" i="33"/>
  <c r="HO43" i="33"/>
  <c r="HN43" i="33"/>
  <c r="HM43" i="33"/>
  <c r="HL43" i="33"/>
  <c r="HK43" i="33"/>
  <c r="HJ43" i="33"/>
  <c r="HI43" i="33"/>
  <c r="HH43" i="33"/>
  <c r="HG43" i="33"/>
  <c r="HF43" i="33"/>
  <c r="HE43" i="33"/>
  <c r="HD43" i="33"/>
  <c r="HC43" i="33"/>
  <c r="HB43" i="33"/>
  <c r="HA43" i="33"/>
  <c r="GZ43" i="33"/>
  <c r="GY43" i="33"/>
  <c r="GX43" i="33"/>
  <c r="GW43" i="33"/>
  <c r="GV43" i="33"/>
  <c r="GU43" i="33"/>
  <c r="GT43" i="33"/>
  <c r="GS43" i="33"/>
  <c r="GR43" i="33"/>
  <c r="GQ43" i="33"/>
  <c r="GP43" i="33"/>
  <c r="GO43" i="33"/>
  <c r="GN43" i="33"/>
  <c r="GM43" i="33"/>
  <c r="GL43" i="33"/>
  <c r="GK43" i="33"/>
  <c r="GJ43" i="33"/>
  <c r="GI43" i="33"/>
  <c r="GH43" i="33"/>
  <c r="GG43" i="33"/>
  <c r="GF43" i="33"/>
  <c r="GE43" i="33"/>
  <c r="GD43" i="33"/>
  <c r="GC43" i="33"/>
  <c r="GB43" i="33"/>
  <c r="GA43" i="33"/>
  <c r="FZ43" i="33"/>
  <c r="FY43" i="33"/>
  <c r="FX43" i="33"/>
  <c r="FW43" i="33"/>
  <c r="FV43" i="33"/>
  <c r="FU43" i="33"/>
  <c r="FT43" i="33"/>
  <c r="FS43" i="33"/>
  <c r="FR43" i="33"/>
  <c r="FQ43" i="33"/>
  <c r="FP43" i="33"/>
  <c r="FO43" i="33"/>
  <c r="FN43" i="33"/>
  <c r="FM43" i="33"/>
  <c r="FL43" i="33"/>
  <c r="FK43" i="33"/>
  <c r="FJ43" i="33"/>
  <c r="FI43" i="33"/>
  <c r="FH43" i="33"/>
  <c r="FG43" i="33"/>
  <c r="FF43" i="33"/>
  <c r="FE43" i="33"/>
  <c r="FD43" i="33"/>
  <c r="FC43" i="33"/>
  <c r="FB43" i="33"/>
  <c r="FA43" i="33"/>
  <c r="EZ43" i="33"/>
  <c r="EY43" i="33"/>
  <c r="EX43" i="33"/>
  <c r="EW43" i="33"/>
  <c r="EV43" i="33"/>
  <c r="EU43" i="33"/>
  <c r="ET43" i="33"/>
  <c r="ES43" i="33"/>
  <c r="ER43" i="33"/>
  <c r="EQ43" i="33"/>
  <c r="EP43" i="33"/>
  <c r="EO43" i="33"/>
  <c r="EN43" i="33"/>
  <c r="EM43" i="33"/>
  <c r="EL43" i="33"/>
  <c r="EK43" i="33"/>
  <c r="EJ43" i="33"/>
  <c r="EI43" i="33"/>
  <c r="EH43" i="33"/>
  <c r="EG43" i="33"/>
  <c r="EF43" i="33"/>
  <c r="EE43" i="33"/>
  <c r="ED43" i="33"/>
  <c r="EC43" i="33"/>
  <c r="EB43" i="33"/>
  <c r="EA43" i="33"/>
  <c r="DZ43" i="33"/>
  <c r="DY43" i="33"/>
  <c r="DX43" i="33"/>
  <c r="DW43" i="33"/>
  <c r="DV43" i="33"/>
  <c r="DU43" i="33"/>
  <c r="DT43" i="33"/>
  <c r="DS43" i="33"/>
  <c r="DR43" i="33"/>
  <c r="DQ43" i="33"/>
  <c r="DP43" i="33"/>
  <c r="DO43" i="33"/>
  <c r="DN43" i="33"/>
  <c r="DM43" i="33"/>
  <c r="DL43" i="33"/>
  <c r="DK43" i="33"/>
  <c r="DJ43" i="33"/>
  <c r="DI43" i="33"/>
  <c r="DH43" i="33"/>
  <c r="DG43" i="33"/>
  <c r="DF43" i="33"/>
  <c r="DE43" i="33"/>
  <c r="DD43" i="33"/>
  <c r="DC43" i="33"/>
  <c r="DB43" i="33"/>
  <c r="DA43" i="33"/>
  <c r="CZ43" i="33"/>
  <c r="CY43" i="33"/>
  <c r="CX43" i="33"/>
  <c r="CW43" i="33"/>
  <c r="CV43" i="33"/>
  <c r="CU43" i="33"/>
  <c r="CT43" i="33"/>
  <c r="CS43" i="33"/>
  <c r="CR43" i="33"/>
  <c r="CQ43" i="33"/>
  <c r="CP43" i="33"/>
  <c r="CO43" i="33"/>
  <c r="CN43" i="33"/>
  <c r="CM43" i="33"/>
  <c r="CL43" i="33"/>
  <c r="CK43" i="33"/>
  <c r="CJ43" i="33"/>
  <c r="CI43" i="33"/>
  <c r="CH43" i="33"/>
  <c r="CG43" i="33"/>
  <c r="CF43" i="33"/>
  <c r="CE43" i="33"/>
  <c r="CD43" i="33"/>
  <c r="CC43" i="33"/>
  <c r="CB43" i="33"/>
  <c r="CA43" i="33"/>
  <c r="BZ43" i="33"/>
  <c r="BY43" i="33"/>
  <c r="BX43" i="33"/>
  <c r="BW43" i="33"/>
  <c r="BV43" i="33"/>
  <c r="BU43" i="33"/>
  <c r="BT43" i="33"/>
  <c r="BS43" i="33"/>
  <c r="BR43" i="33"/>
  <c r="BQ43" i="33"/>
  <c r="BP43" i="33"/>
  <c r="BO43" i="33"/>
  <c r="BN43" i="33"/>
  <c r="BM43" i="33"/>
  <c r="BL43" i="33"/>
  <c r="BK43" i="33"/>
  <c r="BJ43" i="33"/>
  <c r="BI43" i="33"/>
  <c r="BH43" i="33"/>
  <c r="BG43" i="33"/>
  <c r="BF43" i="33"/>
  <c r="BE43" i="33"/>
  <c r="BD43" i="33"/>
  <c r="BC43" i="33"/>
  <c r="BB43" i="33"/>
  <c r="BA43" i="33"/>
  <c r="AZ43" i="33"/>
  <c r="AY43" i="33"/>
  <c r="AX43" i="33"/>
  <c r="AW43" i="33"/>
  <c r="AV43" i="33"/>
  <c r="AU43" i="33"/>
  <c r="AT43" i="33"/>
  <c r="AS43" i="33"/>
  <c r="AR43" i="33"/>
  <c r="AQ43" i="33"/>
  <c r="AP43" i="33"/>
  <c r="AO43" i="33"/>
  <c r="AN43" i="33"/>
  <c r="AM43" i="33"/>
  <c r="AL43" i="33"/>
  <c r="AK43" i="33"/>
  <c r="AJ43" i="33"/>
  <c r="AI43" i="33"/>
  <c r="AH43" i="33"/>
  <c r="AG43" i="33"/>
  <c r="AF43" i="33"/>
  <c r="AE43" i="33"/>
  <c r="AD43" i="33"/>
  <c r="AC43" i="33"/>
  <c r="AB43" i="33"/>
  <c r="AA43" i="33"/>
  <c r="Z43" i="33"/>
  <c r="Y43" i="33"/>
  <c r="X43" i="33"/>
  <c r="W43" i="33"/>
  <c r="V43" i="33"/>
  <c r="U43" i="33"/>
  <c r="T43" i="33"/>
  <c r="S43" i="33"/>
  <c r="R43" i="33"/>
  <c r="Q43" i="33"/>
  <c r="P43" i="33"/>
  <c r="O43" i="33"/>
  <c r="N43" i="33"/>
  <c r="M43" i="33"/>
  <c r="L43" i="33"/>
  <c r="K43" i="33"/>
  <c r="J43" i="33"/>
  <c r="I43" i="33"/>
  <c r="H43" i="33"/>
  <c r="G43" i="33"/>
  <c r="F43" i="33"/>
  <c r="E43" i="33"/>
  <c r="D43" i="33"/>
  <c r="C43" i="33"/>
  <c r="B43" i="33"/>
  <c r="A43" i="33"/>
  <c r="IV42" i="33"/>
  <c r="IU42" i="33"/>
  <c r="IT42" i="33"/>
  <c r="IS42" i="33"/>
  <c r="IR42" i="33"/>
  <c r="IQ42" i="33"/>
  <c r="IP42" i="33"/>
  <c r="IO42" i="33"/>
  <c r="IN42" i="33"/>
  <c r="IM42" i="33"/>
  <c r="IL42" i="33"/>
  <c r="IK42" i="33"/>
  <c r="IJ42" i="33"/>
  <c r="II42" i="33"/>
  <c r="IH42" i="33"/>
  <c r="IG42" i="33"/>
  <c r="IF42" i="33"/>
  <c r="IE42" i="33"/>
  <c r="ID42" i="33"/>
  <c r="IC42" i="33"/>
  <c r="IB42" i="33"/>
  <c r="IA42" i="33"/>
  <c r="HZ42" i="33"/>
  <c r="HY42" i="33"/>
  <c r="HX42" i="33"/>
  <c r="HW42" i="33"/>
  <c r="HV42" i="33"/>
  <c r="HU42" i="33"/>
  <c r="HT42" i="33"/>
  <c r="HS42" i="33"/>
  <c r="HR42" i="33"/>
  <c r="HQ42" i="33"/>
  <c r="HP42" i="33"/>
  <c r="HO42" i="33"/>
  <c r="HN42" i="33"/>
  <c r="HM42" i="33"/>
  <c r="HL42" i="33"/>
  <c r="HK42" i="33"/>
  <c r="HJ42" i="33"/>
  <c r="HI42" i="33"/>
  <c r="HH42" i="33"/>
  <c r="HG42" i="33"/>
  <c r="HF42" i="33"/>
  <c r="HE42" i="33"/>
  <c r="HD42" i="33"/>
  <c r="HC42" i="33"/>
  <c r="HB42" i="33"/>
  <c r="HA42" i="33"/>
  <c r="GZ42" i="33"/>
  <c r="GY42" i="33"/>
  <c r="GX42" i="33"/>
  <c r="GW42" i="33"/>
  <c r="GV42" i="33"/>
  <c r="GU42" i="33"/>
  <c r="GT42" i="33"/>
  <c r="GS42" i="33"/>
  <c r="GR42" i="33"/>
  <c r="GQ42" i="33"/>
  <c r="GP42" i="33"/>
  <c r="GO42" i="33"/>
  <c r="GN42" i="33"/>
  <c r="GM42" i="33"/>
  <c r="GL42" i="33"/>
  <c r="GK42" i="33"/>
  <c r="GJ42" i="33"/>
  <c r="GI42" i="33"/>
  <c r="GH42" i="33"/>
  <c r="GG42" i="33"/>
  <c r="GF42" i="33"/>
  <c r="GE42" i="33"/>
  <c r="GD42" i="33"/>
  <c r="GC42" i="33"/>
  <c r="GB42" i="33"/>
  <c r="GA42" i="33"/>
  <c r="FZ42" i="33"/>
  <c r="FY42" i="33"/>
  <c r="FX42" i="33"/>
  <c r="FW42" i="33"/>
  <c r="FV42" i="33"/>
  <c r="FU42" i="33"/>
  <c r="FT42" i="33"/>
  <c r="FS42" i="33"/>
  <c r="FR42" i="33"/>
  <c r="FQ42" i="33"/>
  <c r="FP42" i="33"/>
  <c r="FO42" i="33"/>
  <c r="FN42" i="33"/>
  <c r="FM42" i="33"/>
  <c r="FL42" i="33"/>
  <c r="FK42" i="33"/>
  <c r="FJ42" i="33"/>
  <c r="FI42" i="33"/>
  <c r="FH42" i="33"/>
  <c r="FG42" i="33"/>
  <c r="FF42" i="33"/>
  <c r="FE42" i="33"/>
  <c r="FD42" i="33"/>
  <c r="FC42" i="33"/>
  <c r="FB42" i="33"/>
  <c r="FA42" i="33"/>
  <c r="EZ42" i="33"/>
  <c r="EY42" i="33"/>
  <c r="EX42" i="33"/>
  <c r="EW42" i="33"/>
  <c r="EV42" i="33"/>
  <c r="EU42" i="33"/>
  <c r="ET42" i="33"/>
  <c r="ES42" i="33"/>
  <c r="ER42" i="33"/>
  <c r="EQ42" i="33"/>
  <c r="EP42" i="33"/>
  <c r="EO42" i="33"/>
  <c r="EN42" i="33"/>
  <c r="EM42" i="33"/>
  <c r="EL42" i="33"/>
  <c r="EK42" i="33"/>
  <c r="EJ42" i="33"/>
  <c r="EI42" i="33"/>
  <c r="EH42" i="33"/>
  <c r="EG42" i="33"/>
  <c r="EF42" i="33"/>
  <c r="EE42" i="33"/>
  <c r="ED42" i="33"/>
  <c r="EC42" i="33"/>
  <c r="EB42" i="33"/>
  <c r="EA42" i="33"/>
  <c r="DZ42" i="33"/>
  <c r="DY42" i="33"/>
  <c r="DX42" i="33"/>
  <c r="DW42" i="33"/>
  <c r="DV42" i="33"/>
  <c r="DU42" i="33"/>
  <c r="DT42" i="33"/>
  <c r="DS42" i="33"/>
  <c r="DR42" i="33"/>
  <c r="DQ42" i="33"/>
  <c r="DP42" i="33"/>
  <c r="DO42" i="33"/>
  <c r="DN42" i="33"/>
  <c r="DM42" i="33"/>
  <c r="DL42" i="33"/>
  <c r="DK42" i="33"/>
  <c r="DJ42" i="33"/>
  <c r="DI42" i="33"/>
  <c r="DH42" i="33"/>
  <c r="DG42" i="33"/>
  <c r="DF42" i="33"/>
  <c r="DE42" i="33"/>
  <c r="DD42" i="33"/>
  <c r="DC42" i="33"/>
  <c r="DB42" i="33"/>
  <c r="DA42" i="33"/>
  <c r="CZ42" i="33"/>
  <c r="CY42" i="33"/>
  <c r="CX42" i="33"/>
  <c r="CW42" i="33"/>
  <c r="CV42" i="33"/>
  <c r="CU42" i="33"/>
  <c r="CT42" i="33"/>
  <c r="CS42" i="33"/>
  <c r="CR42" i="33"/>
  <c r="CQ42" i="33"/>
  <c r="CP42" i="33"/>
  <c r="CO42" i="33"/>
  <c r="CN42" i="33"/>
  <c r="CM42" i="33"/>
  <c r="CL42" i="33"/>
  <c r="CK42" i="33"/>
  <c r="CJ42" i="33"/>
  <c r="CI42" i="33"/>
  <c r="CH42" i="33"/>
  <c r="CG42" i="33"/>
  <c r="CF42" i="33"/>
  <c r="CE42" i="33"/>
  <c r="CD42" i="33"/>
  <c r="CC42" i="33"/>
  <c r="CB42" i="33"/>
  <c r="CA42" i="33"/>
  <c r="BZ42" i="33"/>
  <c r="BY42" i="33"/>
  <c r="BX42" i="33"/>
  <c r="BW42" i="33"/>
  <c r="BV42" i="33"/>
  <c r="BU42" i="33"/>
  <c r="BT42" i="33"/>
  <c r="BS42" i="33"/>
  <c r="BR42" i="33"/>
  <c r="BQ42" i="33"/>
  <c r="BP42" i="33"/>
  <c r="BO42" i="33"/>
  <c r="BN42" i="33"/>
  <c r="BM42" i="33"/>
  <c r="BL42" i="33"/>
  <c r="BK42" i="33"/>
  <c r="BJ42" i="33"/>
  <c r="BI42" i="33"/>
  <c r="BH42" i="33"/>
  <c r="BG42" i="33"/>
  <c r="BF42" i="33"/>
  <c r="BE42" i="33"/>
  <c r="BD42" i="33"/>
  <c r="BC42" i="33"/>
  <c r="BB42" i="33"/>
  <c r="BA42" i="33"/>
  <c r="AZ42" i="33"/>
  <c r="AY42" i="33"/>
  <c r="AX42" i="33"/>
  <c r="AW42" i="33"/>
  <c r="AV42" i="33"/>
  <c r="AU42" i="33"/>
  <c r="AT42" i="33"/>
  <c r="AS42" i="33"/>
  <c r="AR42" i="33"/>
  <c r="AQ42" i="33"/>
  <c r="AP42" i="33"/>
  <c r="AO42" i="33"/>
  <c r="AN42" i="33"/>
  <c r="AM42" i="33"/>
  <c r="AL42" i="33"/>
  <c r="AK42" i="33"/>
  <c r="AJ42" i="33"/>
  <c r="AI42" i="33"/>
  <c r="AH42" i="33"/>
  <c r="AG42" i="33"/>
  <c r="AF42" i="33"/>
  <c r="AE42" i="33"/>
  <c r="AD42" i="33"/>
  <c r="AC42" i="33"/>
  <c r="AB42" i="33"/>
  <c r="AA42" i="33"/>
  <c r="Z42" i="33"/>
  <c r="Y42" i="33"/>
  <c r="X42" i="33"/>
  <c r="W42" i="33"/>
  <c r="V42" i="33"/>
  <c r="U42" i="33"/>
  <c r="T42" i="33"/>
  <c r="S42" i="33"/>
  <c r="R42" i="33"/>
  <c r="Q42" i="33"/>
  <c r="P42" i="33"/>
  <c r="O42" i="33"/>
  <c r="N42" i="33"/>
  <c r="M42" i="33"/>
  <c r="L42" i="33"/>
  <c r="K42" i="33"/>
  <c r="J42" i="33"/>
  <c r="I42" i="33"/>
  <c r="H42" i="33"/>
  <c r="G42" i="33"/>
  <c r="F42" i="33"/>
  <c r="E42" i="33"/>
  <c r="D42" i="33"/>
  <c r="C42" i="33"/>
  <c r="B42" i="33"/>
  <c r="A42" i="33"/>
  <c r="IV41" i="33"/>
  <c r="IU41" i="33"/>
  <c r="IT41" i="33"/>
  <c r="IS41" i="33"/>
  <c r="IR41" i="33"/>
  <c r="IQ41" i="33"/>
  <c r="IP41" i="33"/>
  <c r="IO41" i="33"/>
  <c r="IN41" i="33"/>
  <c r="IM41" i="33"/>
  <c r="IL41" i="33"/>
  <c r="IK41" i="33"/>
  <c r="IJ41" i="33"/>
  <c r="II41" i="33"/>
  <c r="IH41" i="33"/>
  <c r="IG41" i="33"/>
  <c r="IF41" i="33"/>
  <c r="IE41" i="33"/>
  <c r="ID41" i="33"/>
  <c r="IC41" i="33"/>
  <c r="IB41" i="33"/>
  <c r="IA41" i="33"/>
  <c r="HZ41" i="33"/>
  <c r="HY41" i="33"/>
  <c r="HX41" i="33"/>
  <c r="HW41" i="33"/>
  <c r="HV41" i="33"/>
  <c r="HU41" i="33"/>
  <c r="HT41" i="33"/>
  <c r="HS41" i="33"/>
  <c r="HR41" i="33"/>
  <c r="HQ41" i="33"/>
  <c r="HP41" i="33"/>
  <c r="HO41" i="33"/>
  <c r="HN41" i="33"/>
  <c r="HM41" i="33"/>
  <c r="HL41" i="33"/>
  <c r="HK41" i="33"/>
  <c r="HJ41" i="33"/>
  <c r="HI41" i="33"/>
  <c r="HH41" i="33"/>
  <c r="HG41" i="33"/>
  <c r="HF41" i="33"/>
  <c r="HE41" i="33"/>
  <c r="HD41" i="33"/>
  <c r="HC41" i="33"/>
  <c r="HB41" i="33"/>
  <c r="HA41" i="33"/>
  <c r="GZ41" i="33"/>
  <c r="GY41" i="33"/>
  <c r="GX41" i="33"/>
  <c r="GW41" i="33"/>
  <c r="GV41" i="33"/>
  <c r="GU41" i="33"/>
  <c r="GT41" i="33"/>
  <c r="GS41" i="33"/>
  <c r="GR41" i="33"/>
  <c r="GQ41" i="33"/>
  <c r="GP41" i="33"/>
  <c r="GO41" i="33"/>
  <c r="GN41" i="33"/>
  <c r="GM41" i="33"/>
  <c r="GL41" i="33"/>
  <c r="GK41" i="33"/>
  <c r="GJ41" i="33"/>
  <c r="GI41" i="33"/>
  <c r="GH41" i="33"/>
  <c r="GG41" i="33"/>
  <c r="GF41" i="33"/>
  <c r="GE41" i="33"/>
  <c r="GD41" i="33"/>
  <c r="GC41" i="33"/>
  <c r="GB41" i="33"/>
  <c r="GA41" i="33"/>
  <c r="FZ41" i="33"/>
  <c r="FY41" i="33"/>
  <c r="FX41" i="33"/>
  <c r="FW41" i="33"/>
  <c r="FV41" i="33"/>
  <c r="FU41" i="33"/>
  <c r="FT41" i="33"/>
  <c r="FS41" i="33"/>
  <c r="FR41" i="33"/>
  <c r="FQ41" i="33"/>
  <c r="FP41" i="33"/>
  <c r="FO41" i="33"/>
  <c r="FN41" i="33"/>
  <c r="FM41" i="33"/>
  <c r="FL41" i="33"/>
  <c r="FK41" i="33"/>
  <c r="FJ41" i="33"/>
  <c r="FI41" i="33"/>
  <c r="FH41" i="33"/>
  <c r="FG41" i="33"/>
  <c r="FF41" i="33"/>
  <c r="FE41" i="33"/>
  <c r="FD41" i="33"/>
  <c r="FC41" i="33"/>
  <c r="FB41" i="33"/>
  <c r="FA41" i="33"/>
  <c r="EZ41" i="33"/>
  <c r="EY41" i="33"/>
  <c r="EX41" i="33"/>
  <c r="EW41" i="33"/>
  <c r="EV41" i="33"/>
  <c r="EU41" i="33"/>
  <c r="ET41" i="33"/>
  <c r="ES41" i="33"/>
  <c r="ER41" i="33"/>
  <c r="EQ41" i="33"/>
  <c r="EP41" i="33"/>
  <c r="EO41" i="33"/>
  <c r="EN41" i="33"/>
  <c r="EM41" i="33"/>
  <c r="EL41" i="33"/>
  <c r="EK41" i="33"/>
  <c r="EJ41" i="33"/>
  <c r="EI41" i="33"/>
  <c r="EH41" i="33"/>
  <c r="EG41" i="33"/>
  <c r="EF41" i="33"/>
  <c r="EE41" i="33"/>
  <c r="ED41" i="33"/>
  <c r="EC41" i="33"/>
  <c r="EB41" i="33"/>
  <c r="EA41" i="33"/>
  <c r="DZ41" i="33"/>
  <c r="DY41" i="33"/>
  <c r="DX41" i="33"/>
  <c r="DW41" i="33"/>
  <c r="DV41" i="33"/>
  <c r="DU41" i="33"/>
  <c r="DT41" i="33"/>
  <c r="DS41" i="33"/>
  <c r="DR41" i="33"/>
  <c r="DQ41" i="33"/>
  <c r="DP41" i="33"/>
  <c r="DO41" i="33"/>
  <c r="DN41" i="33"/>
  <c r="DM41" i="33"/>
  <c r="DL41" i="33"/>
  <c r="DK41" i="33"/>
  <c r="DJ41" i="33"/>
  <c r="DI41" i="33"/>
  <c r="DH41" i="33"/>
  <c r="DG41" i="33"/>
  <c r="DF41" i="33"/>
  <c r="DE41" i="33"/>
  <c r="DD41" i="33"/>
  <c r="DC41" i="33"/>
  <c r="DB41" i="33"/>
  <c r="DA41" i="33"/>
  <c r="CZ41" i="33"/>
  <c r="CY41" i="33"/>
  <c r="CX41" i="33"/>
  <c r="CW41" i="33"/>
  <c r="CV41" i="33"/>
  <c r="CU41" i="33"/>
  <c r="CT41" i="33"/>
  <c r="CS41" i="33"/>
  <c r="CR41" i="33"/>
  <c r="CQ41" i="33"/>
  <c r="CP41" i="33"/>
  <c r="CO41" i="33"/>
  <c r="CN41" i="33"/>
  <c r="CM41" i="33"/>
  <c r="CL41" i="33"/>
  <c r="CK41" i="33"/>
  <c r="CJ41" i="33"/>
  <c r="CI41" i="33"/>
  <c r="CH41" i="33"/>
  <c r="CG41" i="33"/>
  <c r="CF41" i="33"/>
  <c r="CE41" i="33"/>
  <c r="CD41" i="33"/>
  <c r="CC41" i="33"/>
  <c r="CB41" i="33"/>
  <c r="CA41" i="33"/>
  <c r="BZ41" i="33"/>
  <c r="BY41" i="33"/>
  <c r="BX41" i="33"/>
  <c r="BW41" i="33"/>
  <c r="BV41" i="33"/>
  <c r="BU41" i="33"/>
  <c r="BT41" i="33"/>
  <c r="BS41" i="33"/>
  <c r="BR41" i="33"/>
  <c r="BQ41" i="33"/>
  <c r="BP41" i="33"/>
  <c r="BO41" i="33"/>
  <c r="BN41" i="33"/>
  <c r="BM41" i="33"/>
  <c r="BL41" i="33"/>
  <c r="BK41" i="33"/>
  <c r="BJ41" i="33"/>
  <c r="BI41" i="33"/>
  <c r="BH41" i="33"/>
  <c r="BG41" i="33"/>
  <c r="BF41" i="33"/>
  <c r="BE41" i="33"/>
  <c r="BD41" i="33"/>
  <c r="BC41" i="33"/>
  <c r="BB41" i="33"/>
  <c r="BA41" i="33"/>
  <c r="AZ41" i="33"/>
  <c r="AY41" i="33"/>
  <c r="AX41" i="33"/>
  <c r="AW41" i="33"/>
  <c r="AV41" i="33"/>
  <c r="AU41" i="33"/>
  <c r="AT41" i="33"/>
  <c r="AS41" i="33"/>
  <c r="AR41" i="33"/>
  <c r="AQ41" i="33"/>
  <c r="AP41" i="33"/>
  <c r="AO41" i="33"/>
  <c r="AN41" i="33"/>
  <c r="AM41" i="33"/>
  <c r="AL41" i="33"/>
  <c r="AK41" i="33"/>
  <c r="AJ41" i="33"/>
  <c r="AI41" i="33"/>
  <c r="AH41" i="33"/>
  <c r="AG41" i="33"/>
  <c r="AF41" i="33"/>
  <c r="AE41" i="33"/>
  <c r="AD41" i="33"/>
  <c r="AC41" i="33"/>
  <c r="AB41" i="33"/>
  <c r="AA41" i="33"/>
  <c r="Z41" i="33"/>
  <c r="Y41" i="33"/>
  <c r="X41" i="33"/>
  <c r="W41" i="33"/>
  <c r="V41" i="33"/>
  <c r="U41" i="33"/>
  <c r="T41" i="33"/>
  <c r="S41" i="33"/>
  <c r="R41" i="33"/>
  <c r="Q41" i="33"/>
  <c r="P41" i="33"/>
  <c r="O41" i="33"/>
  <c r="N41" i="33"/>
  <c r="M41" i="33"/>
  <c r="L41" i="33"/>
  <c r="K41" i="33"/>
  <c r="J41" i="33"/>
  <c r="I41" i="33"/>
  <c r="H41" i="33"/>
  <c r="G41" i="33"/>
  <c r="F41" i="33"/>
  <c r="E41" i="33"/>
  <c r="D41" i="33"/>
  <c r="C41" i="33"/>
  <c r="B41" i="33"/>
  <c r="A41" i="33"/>
  <c r="IV40" i="33"/>
  <c r="IU40" i="33"/>
  <c r="IT40" i="33"/>
  <c r="IS40" i="33"/>
  <c r="IR40" i="33"/>
  <c r="IQ40" i="33"/>
  <c r="IP40" i="33"/>
  <c r="IO40" i="33"/>
  <c r="IN40" i="33"/>
  <c r="IM40" i="33"/>
  <c r="IL40" i="33"/>
  <c r="IK40" i="33"/>
  <c r="IJ40" i="33"/>
  <c r="II40" i="33"/>
  <c r="IH40" i="33"/>
  <c r="IG40" i="33"/>
  <c r="IF40" i="33"/>
  <c r="IE40" i="33"/>
  <c r="ID40" i="33"/>
  <c r="IC40" i="33"/>
  <c r="IB40" i="33"/>
  <c r="IA40" i="33"/>
  <c r="HZ40" i="33"/>
  <c r="HY40" i="33"/>
  <c r="HX40" i="33"/>
  <c r="HW40" i="33"/>
  <c r="HV40" i="33"/>
  <c r="HU40" i="33"/>
  <c r="HT40" i="33"/>
  <c r="HS40" i="33"/>
  <c r="HR40" i="33"/>
  <c r="HQ40" i="33"/>
  <c r="HP40" i="33"/>
  <c r="HO40" i="33"/>
  <c r="HN40" i="33"/>
  <c r="HM40" i="33"/>
  <c r="HL40" i="33"/>
  <c r="HK40" i="33"/>
  <c r="HJ40" i="33"/>
  <c r="HI40" i="33"/>
  <c r="HH40" i="33"/>
  <c r="HG40" i="33"/>
  <c r="HF40" i="33"/>
  <c r="HE40" i="33"/>
  <c r="HD40" i="33"/>
  <c r="HC40" i="33"/>
  <c r="HB40" i="33"/>
  <c r="HA40" i="33"/>
  <c r="GZ40" i="33"/>
  <c r="GY40" i="33"/>
  <c r="GX40" i="33"/>
  <c r="GW40" i="33"/>
  <c r="GV40" i="33"/>
  <c r="GU40" i="33"/>
  <c r="GT40" i="33"/>
  <c r="GS40" i="33"/>
  <c r="GR40" i="33"/>
  <c r="GQ40" i="33"/>
  <c r="GP40" i="33"/>
  <c r="GO40" i="33"/>
  <c r="GN40" i="33"/>
  <c r="GM40" i="33"/>
  <c r="GL40" i="33"/>
  <c r="GK40" i="33"/>
  <c r="GJ40" i="33"/>
  <c r="GI40" i="33"/>
  <c r="GH40" i="33"/>
  <c r="GG40" i="33"/>
  <c r="GF40" i="33"/>
  <c r="GE40" i="33"/>
  <c r="GD40" i="33"/>
  <c r="GC40" i="33"/>
  <c r="GB40" i="33"/>
  <c r="GA40" i="33"/>
  <c r="FZ40" i="33"/>
  <c r="FY40" i="33"/>
  <c r="FX40" i="33"/>
  <c r="FW40" i="33"/>
  <c r="FV40" i="33"/>
  <c r="FU40" i="33"/>
  <c r="FT40" i="33"/>
  <c r="FS40" i="33"/>
  <c r="FR40" i="33"/>
  <c r="FQ40" i="33"/>
  <c r="FP40" i="33"/>
  <c r="FO40" i="33"/>
  <c r="FN40" i="33"/>
  <c r="FM40" i="33"/>
  <c r="FL40" i="33"/>
  <c r="FK40" i="33"/>
  <c r="FJ40" i="33"/>
  <c r="FI40" i="33"/>
  <c r="FH40" i="33"/>
  <c r="FG40" i="33"/>
  <c r="FF40" i="33"/>
  <c r="FE40" i="33"/>
  <c r="FD40" i="33"/>
  <c r="FC40" i="33"/>
  <c r="FB40" i="33"/>
  <c r="FA40" i="33"/>
  <c r="EZ40" i="33"/>
  <c r="EY40" i="33"/>
  <c r="EX40" i="33"/>
  <c r="EW40" i="33"/>
  <c r="EV40" i="33"/>
  <c r="EU40" i="33"/>
  <c r="ET40" i="33"/>
  <c r="ES40" i="33"/>
  <c r="ER40" i="33"/>
  <c r="EQ40" i="33"/>
  <c r="EP40" i="33"/>
  <c r="EO40" i="33"/>
  <c r="EN40" i="33"/>
  <c r="EM40" i="33"/>
  <c r="EL40" i="33"/>
  <c r="EK40" i="33"/>
  <c r="EJ40" i="33"/>
  <c r="EI40" i="33"/>
  <c r="EH40" i="33"/>
  <c r="EG40" i="33"/>
  <c r="EF40" i="33"/>
  <c r="EE40" i="33"/>
  <c r="ED40" i="33"/>
  <c r="EC40" i="33"/>
  <c r="EB40" i="33"/>
  <c r="EA40" i="33"/>
  <c r="DZ40" i="33"/>
  <c r="DY40" i="33"/>
  <c r="DX40" i="33"/>
  <c r="DW40" i="33"/>
  <c r="DV40" i="33"/>
  <c r="DU40" i="33"/>
  <c r="DT40" i="33"/>
  <c r="DS40" i="33"/>
  <c r="DR40" i="33"/>
  <c r="DQ40" i="33"/>
  <c r="DP40" i="33"/>
  <c r="DO40" i="33"/>
  <c r="DN40" i="33"/>
  <c r="DM40" i="33"/>
  <c r="DL40" i="33"/>
  <c r="DK40" i="33"/>
  <c r="DJ40" i="33"/>
  <c r="DI40" i="33"/>
  <c r="DH40" i="33"/>
  <c r="DG40" i="33"/>
  <c r="DF40" i="33"/>
  <c r="DE40" i="33"/>
  <c r="DD40" i="33"/>
  <c r="DC40" i="33"/>
  <c r="DB40" i="33"/>
  <c r="DA40" i="33"/>
  <c r="CZ40" i="33"/>
  <c r="CY40" i="33"/>
  <c r="CX40" i="33"/>
  <c r="CW40" i="33"/>
  <c r="CV40" i="33"/>
  <c r="CU40" i="33"/>
  <c r="CT40" i="33"/>
  <c r="CS40" i="33"/>
  <c r="CR40" i="33"/>
  <c r="CQ40" i="33"/>
  <c r="CP40" i="33"/>
  <c r="CO40" i="33"/>
  <c r="CN40" i="33"/>
  <c r="CM40" i="33"/>
  <c r="CL40" i="33"/>
  <c r="CK40" i="33"/>
  <c r="CJ40" i="33"/>
  <c r="CI40" i="33"/>
  <c r="CH40" i="33"/>
  <c r="CG40" i="33"/>
  <c r="CF40" i="33"/>
  <c r="CE40" i="33"/>
  <c r="CD40" i="33"/>
  <c r="CC40" i="33"/>
  <c r="CB40" i="33"/>
  <c r="CA40" i="33"/>
  <c r="BZ40" i="33"/>
  <c r="BY40" i="33"/>
  <c r="BX40" i="33"/>
  <c r="BW40" i="33"/>
  <c r="BV40" i="33"/>
  <c r="BU40" i="33"/>
  <c r="BT40" i="33"/>
  <c r="BS40" i="33"/>
  <c r="BR40" i="33"/>
  <c r="BQ40" i="33"/>
  <c r="BP40" i="33"/>
  <c r="BO40" i="33"/>
  <c r="BN40" i="33"/>
  <c r="BM40" i="33"/>
  <c r="BL40" i="33"/>
  <c r="BK40" i="33"/>
  <c r="BJ40" i="33"/>
  <c r="BI40" i="33"/>
  <c r="BH40" i="33"/>
  <c r="BG40" i="33"/>
  <c r="BF40" i="33"/>
  <c r="BE40" i="33"/>
  <c r="BD40" i="33"/>
  <c r="BC40" i="33"/>
  <c r="BB40" i="33"/>
  <c r="BA40" i="33"/>
  <c r="AZ40" i="33"/>
  <c r="AY40" i="33"/>
  <c r="AX40" i="33"/>
  <c r="AW40" i="33"/>
  <c r="AV40" i="33"/>
  <c r="AU40" i="33"/>
  <c r="AT40" i="33"/>
  <c r="AS40" i="33"/>
  <c r="AR40" i="33"/>
  <c r="AQ40" i="33"/>
  <c r="AP40" i="33"/>
  <c r="AO40" i="33"/>
  <c r="AN40" i="33"/>
  <c r="AM40" i="33"/>
  <c r="AL40" i="33"/>
  <c r="AK40" i="33"/>
  <c r="AJ40" i="33"/>
  <c r="AI40" i="33"/>
  <c r="AH40" i="33"/>
  <c r="AG40" i="33"/>
  <c r="AF40" i="33"/>
  <c r="AE40" i="33"/>
  <c r="AD40" i="33"/>
  <c r="AC40" i="33"/>
  <c r="AB40" i="33"/>
  <c r="AA40" i="33"/>
  <c r="Z40" i="33"/>
  <c r="Y40" i="33"/>
  <c r="X40" i="33"/>
  <c r="W40" i="33"/>
  <c r="V40" i="33"/>
  <c r="U40" i="33"/>
  <c r="T40" i="33"/>
  <c r="S40" i="33"/>
  <c r="R40" i="33"/>
  <c r="Q40" i="33"/>
  <c r="P40" i="33"/>
  <c r="O40" i="33"/>
  <c r="N40" i="33"/>
  <c r="M40" i="33"/>
  <c r="L40" i="33"/>
  <c r="K40" i="33"/>
  <c r="J40" i="33"/>
  <c r="I40" i="33"/>
  <c r="H40" i="33"/>
  <c r="G40" i="33"/>
  <c r="F40" i="33"/>
  <c r="E40" i="33"/>
  <c r="D40" i="33"/>
  <c r="C40" i="33"/>
  <c r="B40" i="33"/>
  <c r="A40" i="33"/>
  <c r="IV39" i="33"/>
  <c r="IU39" i="33"/>
  <c r="IT39" i="33"/>
  <c r="IS39" i="33"/>
  <c r="IR39" i="33"/>
  <c r="IQ39" i="33"/>
  <c r="IP39" i="33"/>
  <c r="IO39" i="33"/>
  <c r="IN39" i="33"/>
  <c r="IM39" i="33"/>
  <c r="IL39" i="33"/>
  <c r="IK39" i="33"/>
  <c r="IJ39" i="33"/>
  <c r="II39" i="33"/>
  <c r="IH39" i="33"/>
  <c r="IG39" i="33"/>
  <c r="IF39" i="33"/>
  <c r="IE39" i="33"/>
  <c r="ID39" i="33"/>
  <c r="IC39" i="33"/>
  <c r="IB39" i="33"/>
  <c r="IA39" i="33"/>
  <c r="HZ39" i="33"/>
  <c r="HY39" i="33"/>
  <c r="HX39" i="33"/>
  <c r="HW39" i="33"/>
  <c r="HV39" i="33"/>
  <c r="HU39" i="33"/>
  <c r="HT39" i="33"/>
  <c r="HS39" i="33"/>
  <c r="HR39" i="33"/>
  <c r="HQ39" i="33"/>
  <c r="HP39" i="33"/>
  <c r="HO39" i="33"/>
  <c r="HN39" i="33"/>
  <c r="HM39" i="33"/>
  <c r="HL39" i="33"/>
  <c r="HK39" i="33"/>
  <c r="HJ39" i="33"/>
  <c r="HI39" i="33"/>
  <c r="HH39" i="33"/>
  <c r="HG39" i="33"/>
  <c r="HF39" i="33"/>
  <c r="HE39" i="33"/>
  <c r="HD39" i="33"/>
  <c r="HC39" i="33"/>
  <c r="HB39" i="33"/>
  <c r="HA39" i="33"/>
  <c r="GZ39" i="33"/>
  <c r="GY39" i="33"/>
  <c r="GX39" i="33"/>
  <c r="GW39" i="33"/>
  <c r="GV39" i="33"/>
  <c r="GU39" i="33"/>
  <c r="GT39" i="33"/>
  <c r="GS39" i="33"/>
  <c r="GR39" i="33"/>
  <c r="GQ39" i="33"/>
  <c r="GP39" i="33"/>
  <c r="GO39" i="33"/>
  <c r="GN39" i="33"/>
  <c r="GM39" i="33"/>
  <c r="GL39" i="33"/>
  <c r="GK39" i="33"/>
  <c r="GJ39" i="33"/>
  <c r="GI39" i="33"/>
  <c r="GH39" i="33"/>
  <c r="GG39" i="33"/>
  <c r="GF39" i="33"/>
  <c r="GE39" i="33"/>
  <c r="GD39" i="33"/>
  <c r="GC39" i="33"/>
  <c r="GB39" i="33"/>
  <c r="GA39" i="33"/>
  <c r="FZ39" i="33"/>
  <c r="FY39" i="33"/>
  <c r="FX39" i="33"/>
  <c r="FW39" i="33"/>
  <c r="FV39" i="33"/>
  <c r="FU39" i="33"/>
  <c r="FT39" i="33"/>
  <c r="FS39" i="33"/>
  <c r="FR39" i="33"/>
  <c r="FQ39" i="33"/>
  <c r="FP39" i="33"/>
  <c r="FO39" i="33"/>
  <c r="FN39" i="33"/>
  <c r="FM39" i="33"/>
  <c r="FL39" i="33"/>
  <c r="FK39" i="33"/>
  <c r="FJ39" i="33"/>
  <c r="FI39" i="33"/>
  <c r="FH39" i="33"/>
  <c r="FG39" i="33"/>
  <c r="FF39" i="33"/>
  <c r="FE39" i="33"/>
  <c r="FD39" i="33"/>
  <c r="FC39" i="33"/>
  <c r="FB39" i="33"/>
  <c r="FA39" i="33"/>
  <c r="EZ39" i="33"/>
  <c r="EY39" i="33"/>
  <c r="EX39" i="33"/>
  <c r="EW39" i="33"/>
  <c r="EV39" i="33"/>
  <c r="EU39" i="33"/>
  <c r="ET39" i="33"/>
  <c r="ES39" i="33"/>
  <c r="ER39" i="33"/>
  <c r="EQ39" i="33"/>
  <c r="EP39" i="33"/>
  <c r="EO39" i="33"/>
  <c r="EN39" i="33"/>
  <c r="EM39" i="33"/>
  <c r="EL39" i="33"/>
  <c r="EK39" i="33"/>
  <c r="EJ39" i="33"/>
  <c r="EI39" i="33"/>
  <c r="EH39" i="33"/>
  <c r="EG39" i="33"/>
  <c r="EF39" i="33"/>
  <c r="EE39" i="33"/>
  <c r="ED39" i="33"/>
  <c r="EC39" i="33"/>
  <c r="EB39" i="33"/>
  <c r="EA39" i="33"/>
  <c r="DZ39" i="33"/>
  <c r="DY39" i="33"/>
  <c r="DX39" i="33"/>
  <c r="DW39" i="33"/>
  <c r="DV39" i="33"/>
  <c r="DU39" i="33"/>
  <c r="DT39" i="33"/>
  <c r="DS39" i="33"/>
  <c r="DR39" i="33"/>
  <c r="DQ39" i="33"/>
  <c r="DP39" i="33"/>
  <c r="DO39" i="33"/>
  <c r="DN39" i="33"/>
  <c r="DM39" i="33"/>
  <c r="DL39" i="33"/>
  <c r="DK39" i="33"/>
  <c r="DJ39" i="33"/>
  <c r="DI39" i="33"/>
  <c r="DH39" i="33"/>
  <c r="DG39" i="33"/>
  <c r="DF39" i="33"/>
  <c r="DE39" i="33"/>
  <c r="DD39" i="33"/>
  <c r="DC39" i="33"/>
  <c r="DB39" i="33"/>
  <c r="DA39" i="33"/>
  <c r="CZ39" i="33"/>
  <c r="CY39" i="33"/>
  <c r="CX39" i="33"/>
  <c r="CW39" i="33"/>
  <c r="CV39" i="33"/>
  <c r="CU39" i="33"/>
  <c r="CT39" i="33"/>
  <c r="CS39" i="33"/>
  <c r="CR39" i="33"/>
  <c r="CQ39" i="33"/>
  <c r="CP39" i="33"/>
  <c r="CO39" i="33"/>
  <c r="CN39" i="33"/>
  <c r="CM39" i="33"/>
  <c r="CL39" i="33"/>
  <c r="CK39" i="33"/>
  <c r="CJ39" i="33"/>
  <c r="CI39" i="33"/>
  <c r="CH39" i="33"/>
  <c r="CG39" i="33"/>
  <c r="CF39" i="33"/>
  <c r="CE39" i="33"/>
  <c r="CD39" i="33"/>
  <c r="CC39" i="33"/>
  <c r="CB39" i="33"/>
  <c r="CA39" i="33"/>
  <c r="BZ39" i="33"/>
  <c r="BY39" i="33"/>
  <c r="BX39" i="33"/>
  <c r="BW39" i="33"/>
  <c r="BV39" i="33"/>
  <c r="BU39" i="33"/>
  <c r="BT39" i="33"/>
  <c r="BS39" i="33"/>
  <c r="BR39" i="33"/>
  <c r="BQ39" i="33"/>
  <c r="BP39" i="33"/>
  <c r="BO39" i="33"/>
  <c r="BN39" i="33"/>
  <c r="BM39" i="33"/>
  <c r="BL39" i="33"/>
  <c r="BK39" i="33"/>
  <c r="BJ39" i="33"/>
  <c r="BI39" i="33"/>
  <c r="BH39" i="33"/>
  <c r="BG39" i="33"/>
  <c r="BF39" i="33"/>
  <c r="BE39" i="33"/>
  <c r="BD39" i="33"/>
  <c r="BC39" i="33"/>
  <c r="BB39" i="33"/>
  <c r="BA39" i="33"/>
  <c r="AZ39" i="33"/>
  <c r="AY39" i="33"/>
  <c r="AX39" i="33"/>
  <c r="AW39" i="33"/>
  <c r="AV39" i="33"/>
  <c r="AU39" i="33"/>
  <c r="AT39" i="33"/>
  <c r="AS39" i="33"/>
  <c r="AR39" i="33"/>
  <c r="AQ39" i="33"/>
  <c r="AP39" i="33"/>
  <c r="AO39" i="33"/>
  <c r="AN39" i="33"/>
  <c r="AM39" i="33"/>
  <c r="AL39" i="33"/>
  <c r="AK39" i="33"/>
  <c r="AJ39" i="33"/>
  <c r="AI39" i="33"/>
  <c r="AH39" i="33"/>
  <c r="AG39" i="33"/>
  <c r="AF39" i="33"/>
  <c r="AE39" i="33"/>
  <c r="AD39" i="33"/>
  <c r="AC39" i="33"/>
  <c r="AB39" i="33"/>
  <c r="AA39" i="33"/>
  <c r="Z39" i="33"/>
  <c r="Y39" i="33"/>
  <c r="X39" i="33"/>
  <c r="W39" i="33"/>
  <c r="V39" i="33"/>
  <c r="U39" i="33"/>
  <c r="T39" i="33"/>
  <c r="S39" i="33"/>
  <c r="R39" i="33"/>
  <c r="Q39" i="33"/>
  <c r="P39" i="33"/>
  <c r="O39" i="33"/>
  <c r="N39" i="33"/>
  <c r="M39" i="33"/>
  <c r="L39" i="33"/>
  <c r="K39" i="33"/>
  <c r="J39" i="33"/>
  <c r="I39" i="33"/>
  <c r="H39" i="33"/>
  <c r="G39" i="33"/>
  <c r="F39" i="33"/>
  <c r="E39" i="33"/>
  <c r="D39" i="33"/>
  <c r="C39" i="33"/>
  <c r="B39" i="33"/>
  <c r="A39" i="33"/>
  <c r="IV38" i="33"/>
  <c r="IU38" i="33"/>
  <c r="IT38" i="33"/>
  <c r="IS38" i="33"/>
  <c r="IR38" i="33"/>
  <c r="IQ38" i="33"/>
  <c r="IP38" i="33"/>
  <c r="IO38" i="33"/>
  <c r="IN38" i="33"/>
  <c r="IM38" i="33"/>
  <c r="IL38" i="33"/>
  <c r="IK38" i="33"/>
  <c r="IJ38" i="33"/>
  <c r="II38" i="33"/>
  <c r="IH38" i="33"/>
  <c r="IG38" i="33"/>
  <c r="IF38" i="33"/>
  <c r="IE38" i="33"/>
  <c r="ID38" i="33"/>
  <c r="IC38" i="33"/>
  <c r="IB38" i="33"/>
  <c r="IA38" i="33"/>
  <c r="HZ38" i="33"/>
  <c r="HY38" i="33"/>
  <c r="HX38" i="33"/>
  <c r="HW38" i="33"/>
  <c r="HV38" i="33"/>
  <c r="HU38" i="33"/>
  <c r="HT38" i="33"/>
  <c r="HS38" i="33"/>
  <c r="HR38" i="33"/>
  <c r="HQ38" i="33"/>
  <c r="HP38" i="33"/>
  <c r="HO38" i="33"/>
  <c r="HN38" i="33"/>
  <c r="HM38" i="33"/>
  <c r="HL38" i="33"/>
  <c r="HK38" i="33"/>
  <c r="HJ38" i="33"/>
  <c r="HI38" i="33"/>
  <c r="HH38" i="33"/>
  <c r="HG38" i="33"/>
  <c r="HF38" i="33"/>
  <c r="HE38" i="33"/>
  <c r="HD38" i="33"/>
  <c r="HC38" i="33"/>
  <c r="HB38" i="33"/>
  <c r="HA38" i="33"/>
  <c r="GZ38" i="33"/>
  <c r="GY38" i="33"/>
  <c r="GX38" i="33"/>
  <c r="GW38" i="33"/>
  <c r="GV38" i="33"/>
  <c r="GU38" i="33"/>
  <c r="GT38" i="33"/>
  <c r="GS38" i="33"/>
  <c r="GR38" i="33"/>
  <c r="GQ38" i="33"/>
  <c r="GP38" i="33"/>
  <c r="GO38" i="33"/>
  <c r="GN38" i="33"/>
  <c r="GM38" i="33"/>
  <c r="GL38" i="33"/>
  <c r="GK38" i="33"/>
  <c r="GJ38" i="33"/>
  <c r="GI38" i="33"/>
  <c r="GH38" i="33"/>
  <c r="GG38" i="33"/>
  <c r="GF38" i="33"/>
  <c r="GE38" i="33"/>
  <c r="GD38" i="33"/>
  <c r="GC38" i="33"/>
  <c r="GB38" i="33"/>
  <c r="GA38" i="33"/>
  <c r="FZ38" i="33"/>
  <c r="FY38" i="33"/>
  <c r="FX38" i="33"/>
  <c r="FW38" i="33"/>
  <c r="FV38" i="33"/>
  <c r="FU38" i="33"/>
  <c r="FT38" i="33"/>
  <c r="FS38" i="33"/>
  <c r="FR38" i="33"/>
  <c r="FQ38" i="33"/>
  <c r="FP38" i="33"/>
  <c r="FO38" i="33"/>
  <c r="FN38" i="33"/>
  <c r="FM38" i="33"/>
  <c r="FL38" i="33"/>
  <c r="FK38" i="33"/>
  <c r="FJ38" i="33"/>
  <c r="FI38" i="33"/>
  <c r="FH38" i="33"/>
  <c r="FG38" i="33"/>
  <c r="FF38" i="33"/>
  <c r="FE38" i="33"/>
  <c r="FD38" i="33"/>
  <c r="FC38" i="33"/>
  <c r="FB38" i="33"/>
  <c r="FA38" i="33"/>
  <c r="EZ38" i="33"/>
  <c r="EY38" i="33"/>
  <c r="EX38" i="33"/>
  <c r="EW38" i="33"/>
  <c r="EV38" i="33"/>
  <c r="EU38" i="33"/>
  <c r="ET38" i="33"/>
  <c r="ES38" i="33"/>
  <c r="ER38" i="33"/>
  <c r="EQ38" i="33"/>
  <c r="EP38" i="33"/>
  <c r="EO38" i="33"/>
  <c r="EN38" i="33"/>
  <c r="EM38" i="33"/>
  <c r="EL38" i="33"/>
  <c r="EK38" i="33"/>
  <c r="EJ38" i="33"/>
  <c r="EI38" i="33"/>
  <c r="EH38" i="33"/>
  <c r="EG38" i="33"/>
  <c r="EF38" i="33"/>
  <c r="EE38" i="33"/>
  <c r="ED38" i="33"/>
  <c r="EC38" i="33"/>
  <c r="EB38" i="33"/>
  <c r="EA38" i="33"/>
  <c r="DZ38" i="33"/>
  <c r="DY38" i="33"/>
  <c r="DX38" i="33"/>
  <c r="DW38" i="33"/>
  <c r="DV38" i="33"/>
  <c r="DU38" i="33"/>
  <c r="DT38" i="33"/>
  <c r="DS38" i="33"/>
  <c r="DR38" i="33"/>
  <c r="DQ38" i="33"/>
  <c r="DP38" i="33"/>
  <c r="DO38" i="33"/>
  <c r="DN38" i="33"/>
  <c r="DM38" i="33"/>
  <c r="DL38" i="33"/>
  <c r="DK38" i="33"/>
  <c r="DJ38" i="33"/>
  <c r="DI38" i="33"/>
  <c r="DH38" i="33"/>
  <c r="DG38" i="33"/>
  <c r="DF38" i="33"/>
  <c r="DE38" i="33"/>
  <c r="DD38" i="33"/>
  <c r="DC38" i="33"/>
  <c r="DB38" i="33"/>
  <c r="DA38" i="33"/>
  <c r="CZ38" i="33"/>
  <c r="CY38" i="33"/>
  <c r="CX38" i="33"/>
  <c r="CW38" i="33"/>
  <c r="CV38" i="33"/>
  <c r="CU38" i="33"/>
  <c r="CT38" i="33"/>
  <c r="CS38" i="33"/>
  <c r="CR38" i="33"/>
  <c r="CQ38" i="33"/>
  <c r="CP38" i="33"/>
  <c r="CO38" i="33"/>
  <c r="CN38" i="33"/>
  <c r="CM38" i="33"/>
  <c r="CL38" i="33"/>
  <c r="CK38" i="33"/>
  <c r="CJ38" i="33"/>
  <c r="CI38" i="33"/>
  <c r="CH38" i="33"/>
  <c r="CG38" i="33"/>
  <c r="CF38" i="33"/>
  <c r="CE38" i="33"/>
  <c r="CD38" i="33"/>
  <c r="CC38" i="33"/>
  <c r="CB38" i="33"/>
  <c r="CA38" i="33"/>
  <c r="BZ38" i="33"/>
  <c r="BY38" i="33"/>
  <c r="BX38" i="33"/>
  <c r="BW38" i="33"/>
  <c r="BV38" i="33"/>
  <c r="BU38" i="33"/>
  <c r="BT38" i="33"/>
  <c r="BS38" i="33"/>
  <c r="BR38" i="33"/>
  <c r="BQ38" i="33"/>
  <c r="BP38" i="33"/>
  <c r="BO38" i="33"/>
  <c r="BN38" i="33"/>
  <c r="BM38" i="33"/>
  <c r="BL38" i="33"/>
  <c r="BK38" i="33"/>
  <c r="BJ38" i="33"/>
  <c r="BI38" i="33"/>
  <c r="BH38" i="33"/>
  <c r="BG38" i="33"/>
  <c r="BF38" i="33"/>
  <c r="BE38" i="33"/>
  <c r="BD38" i="33"/>
  <c r="BC38" i="33"/>
  <c r="BB38" i="33"/>
  <c r="BA38" i="33"/>
  <c r="AZ38" i="33"/>
  <c r="AY38" i="33"/>
  <c r="AX38" i="33"/>
  <c r="AW38" i="33"/>
  <c r="AV38" i="33"/>
  <c r="AU38" i="33"/>
  <c r="AT38" i="33"/>
  <c r="AS38" i="33"/>
  <c r="AR38" i="33"/>
  <c r="AQ38" i="33"/>
  <c r="AP38" i="33"/>
  <c r="AO38" i="33"/>
  <c r="AN38" i="33"/>
  <c r="AM38" i="33"/>
  <c r="AL38" i="33"/>
  <c r="AK38" i="33"/>
  <c r="AJ38" i="33"/>
  <c r="AI38" i="33"/>
  <c r="AH38" i="33"/>
  <c r="AG38" i="33"/>
  <c r="AF38" i="33"/>
  <c r="AE38" i="33"/>
  <c r="AD38" i="33"/>
  <c r="AC38" i="33"/>
  <c r="AB38" i="33"/>
  <c r="AA38" i="33"/>
  <c r="Z38" i="33"/>
  <c r="Y38" i="33"/>
  <c r="X38" i="33"/>
  <c r="W38" i="33"/>
  <c r="V38" i="33"/>
  <c r="U38" i="33"/>
  <c r="T38" i="33"/>
  <c r="S38" i="33"/>
  <c r="R38" i="33"/>
  <c r="Q38" i="33"/>
  <c r="P38" i="33"/>
  <c r="O38" i="33"/>
  <c r="N38" i="33"/>
  <c r="M38" i="33"/>
  <c r="L38" i="33"/>
  <c r="K38" i="33"/>
  <c r="J38" i="33"/>
  <c r="I38" i="33"/>
  <c r="H38" i="33"/>
  <c r="G38" i="33"/>
  <c r="F38" i="33"/>
  <c r="E38" i="33"/>
  <c r="D38" i="33"/>
  <c r="C38" i="33"/>
  <c r="B38" i="33"/>
  <c r="A38" i="33"/>
  <c r="IV37" i="33"/>
  <c r="IU37" i="33"/>
  <c r="IT37" i="33"/>
  <c r="IS37" i="33"/>
  <c r="IR37" i="33"/>
  <c r="IQ37" i="33"/>
  <c r="IP37" i="33"/>
  <c r="IO37" i="33"/>
  <c r="IN37" i="33"/>
  <c r="IM37" i="33"/>
  <c r="IL37" i="33"/>
  <c r="IK37" i="33"/>
  <c r="IJ37" i="33"/>
  <c r="II37" i="33"/>
  <c r="IH37" i="33"/>
  <c r="IG37" i="33"/>
  <c r="IF37" i="33"/>
  <c r="IE37" i="33"/>
  <c r="ID37" i="33"/>
  <c r="IC37" i="33"/>
  <c r="IB37" i="33"/>
  <c r="IA37" i="33"/>
  <c r="HZ37" i="33"/>
  <c r="HY37" i="33"/>
  <c r="HX37" i="33"/>
  <c r="HW37" i="33"/>
  <c r="HV37" i="33"/>
  <c r="HU37" i="33"/>
  <c r="HT37" i="33"/>
  <c r="HS37" i="33"/>
  <c r="HR37" i="33"/>
  <c r="HQ37" i="33"/>
  <c r="HP37" i="33"/>
  <c r="HO37" i="33"/>
  <c r="HN37" i="33"/>
  <c r="HM37" i="33"/>
  <c r="HL37" i="33"/>
  <c r="HK37" i="33"/>
  <c r="HJ37" i="33"/>
  <c r="HI37" i="33"/>
  <c r="HH37" i="33"/>
  <c r="HG37" i="33"/>
  <c r="HF37" i="33"/>
  <c r="HE37" i="33"/>
  <c r="HD37" i="33"/>
  <c r="HC37" i="33"/>
  <c r="HB37" i="33"/>
  <c r="HA37" i="33"/>
  <c r="GZ37" i="33"/>
  <c r="GY37" i="33"/>
  <c r="GX37" i="33"/>
  <c r="GW37" i="33"/>
  <c r="GV37" i="33"/>
  <c r="GU37" i="33"/>
  <c r="GT37" i="33"/>
  <c r="GS37" i="33"/>
  <c r="GR37" i="33"/>
  <c r="GQ37" i="33"/>
  <c r="GP37" i="33"/>
  <c r="GO37" i="33"/>
  <c r="GN37" i="33"/>
  <c r="GM37" i="33"/>
  <c r="GL37" i="33"/>
  <c r="GK37" i="33"/>
  <c r="GJ37" i="33"/>
  <c r="GI37" i="33"/>
  <c r="GH37" i="33"/>
  <c r="GG37" i="33"/>
  <c r="GF37" i="33"/>
  <c r="GE37" i="33"/>
  <c r="GD37" i="33"/>
  <c r="GC37" i="33"/>
  <c r="GB37" i="33"/>
  <c r="GA37" i="33"/>
  <c r="FZ37" i="33"/>
  <c r="FY37" i="33"/>
  <c r="FX37" i="33"/>
  <c r="FW37" i="33"/>
  <c r="FV37" i="33"/>
  <c r="FU37" i="33"/>
  <c r="FT37" i="33"/>
  <c r="FS37" i="33"/>
  <c r="FR37" i="33"/>
  <c r="FQ37" i="33"/>
  <c r="FP37" i="33"/>
  <c r="FO37" i="33"/>
  <c r="FN37" i="33"/>
  <c r="FM37" i="33"/>
  <c r="FL37" i="33"/>
  <c r="FK37" i="33"/>
  <c r="FJ37" i="33"/>
  <c r="FI37" i="33"/>
  <c r="FH37" i="33"/>
  <c r="FG37" i="33"/>
  <c r="FF37" i="33"/>
  <c r="FE37" i="33"/>
  <c r="FD37" i="33"/>
  <c r="FC37" i="33"/>
  <c r="FB37" i="33"/>
  <c r="FA37" i="33"/>
  <c r="EZ37" i="33"/>
  <c r="EY37" i="33"/>
  <c r="EX37" i="33"/>
  <c r="EW37" i="33"/>
  <c r="EV37" i="33"/>
  <c r="EU37" i="33"/>
  <c r="ET37" i="33"/>
  <c r="ES37" i="33"/>
  <c r="ER37" i="33"/>
  <c r="EQ37" i="33"/>
  <c r="EP37" i="33"/>
  <c r="EO37" i="33"/>
  <c r="EN37" i="33"/>
  <c r="EM37" i="33"/>
  <c r="EL37" i="33"/>
  <c r="EK37" i="33"/>
  <c r="EJ37" i="33"/>
  <c r="EI37" i="33"/>
  <c r="EH37" i="33"/>
  <c r="EG37" i="33"/>
  <c r="EF37" i="33"/>
  <c r="EE37" i="33"/>
  <c r="ED37" i="33"/>
  <c r="EC37" i="33"/>
  <c r="EB37" i="33"/>
  <c r="EA37" i="33"/>
  <c r="DZ37" i="33"/>
  <c r="DY37" i="33"/>
  <c r="DX37" i="33"/>
  <c r="DW37" i="33"/>
  <c r="DV37" i="33"/>
  <c r="DU37" i="33"/>
  <c r="DT37" i="33"/>
  <c r="DS37" i="33"/>
  <c r="DR37" i="33"/>
  <c r="DQ37" i="33"/>
  <c r="DP37" i="33"/>
  <c r="DO37" i="33"/>
  <c r="DN37" i="33"/>
  <c r="DM37" i="33"/>
  <c r="DL37" i="33"/>
  <c r="DK37" i="33"/>
  <c r="DJ37" i="33"/>
  <c r="DI37" i="33"/>
  <c r="DH37" i="33"/>
  <c r="DG37" i="33"/>
  <c r="DF37" i="33"/>
  <c r="DE37" i="33"/>
  <c r="DD37" i="33"/>
  <c r="DC37" i="33"/>
  <c r="DB37" i="33"/>
  <c r="DA37" i="33"/>
  <c r="CZ37" i="33"/>
  <c r="CY37" i="33"/>
  <c r="CX37" i="33"/>
  <c r="CW37" i="33"/>
  <c r="CV37" i="33"/>
  <c r="CU37" i="33"/>
  <c r="CT37" i="33"/>
  <c r="CS37" i="33"/>
  <c r="CR37" i="33"/>
  <c r="CQ37" i="33"/>
  <c r="CP37" i="33"/>
  <c r="CO37" i="33"/>
  <c r="CN37" i="33"/>
  <c r="CM37" i="33"/>
  <c r="CL37" i="33"/>
  <c r="CK37" i="33"/>
  <c r="CJ37" i="33"/>
  <c r="CI37" i="33"/>
  <c r="CH37" i="33"/>
  <c r="CG37" i="33"/>
  <c r="CF37" i="33"/>
  <c r="CE37" i="33"/>
  <c r="CD37" i="33"/>
  <c r="CC37" i="33"/>
  <c r="CB37" i="33"/>
  <c r="CA37" i="33"/>
  <c r="BZ37" i="33"/>
  <c r="BY37" i="33"/>
  <c r="BX37" i="33"/>
  <c r="BW37" i="33"/>
  <c r="BV37" i="33"/>
  <c r="BU37" i="33"/>
  <c r="BT37" i="33"/>
  <c r="BS37" i="33"/>
  <c r="BR37" i="33"/>
  <c r="BQ37" i="33"/>
  <c r="BP37" i="33"/>
  <c r="BO37" i="33"/>
  <c r="BN37" i="33"/>
  <c r="BM37" i="33"/>
  <c r="BL37" i="33"/>
  <c r="BK37" i="33"/>
  <c r="BJ37" i="33"/>
  <c r="BI37" i="33"/>
  <c r="BH37" i="33"/>
  <c r="BG37" i="33"/>
  <c r="BF37" i="33"/>
  <c r="BE37" i="33"/>
  <c r="BD37" i="33"/>
  <c r="BC37" i="33"/>
  <c r="BB37" i="33"/>
  <c r="BA37" i="33"/>
  <c r="AZ37" i="33"/>
  <c r="AY37" i="33"/>
  <c r="AX37" i="33"/>
  <c r="AW37" i="33"/>
  <c r="AV37" i="33"/>
  <c r="AU37" i="33"/>
  <c r="AT37" i="33"/>
  <c r="AS37" i="33"/>
  <c r="AR37" i="33"/>
  <c r="AQ37" i="33"/>
  <c r="AP37" i="33"/>
  <c r="AO37" i="33"/>
  <c r="AN37" i="33"/>
  <c r="AM37" i="33"/>
  <c r="AL37" i="33"/>
  <c r="AK37" i="33"/>
  <c r="AJ37" i="33"/>
  <c r="AI37" i="33"/>
  <c r="AH37" i="33"/>
  <c r="AG37" i="33"/>
  <c r="AF37" i="33"/>
  <c r="AE37" i="33"/>
  <c r="AD37" i="33"/>
  <c r="AC37" i="33"/>
  <c r="AB37" i="33"/>
  <c r="AA37" i="33"/>
  <c r="Z37" i="33"/>
  <c r="Y37" i="33"/>
  <c r="X37" i="33"/>
  <c r="W37" i="33"/>
  <c r="V37" i="33"/>
  <c r="U37" i="33"/>
  <c r="T37" i="33"/>
  <c r="S37" i="33"/>
  <c r="R37" i="33"/>
  <c r="Q37" i="33"/>
  <c r="P37" i="33"/>
  <c r="O37" i="33"/>
  <c r="N37" i="33"/>
  <c r="M37" i="33"/>
  <c r="L37" i="33"/>
  <c r="K37" i="33"/>
  <c r="J37" i="33"/>
  <c r="I37" i="33"/>
  <c r="H37" i="33"/>
  <c r="G37" i="33"/>
  <c r="F37" i="33"/>
  <c r="E37" i="33"/>
  <c r="D37" i="33"/>
  <c r="C37" i="33"/>
  <c r="B37" i="33"/>
  <c r="A37" i="33"/>
  <c r="IV36" i="33"/>
  <c r="IU36" i="33"/>
  <c r="IT36" i="33"/>
  <c r="IS36" i="33"/>
  <c r="IR36" i="33"/>
  <c r="IQ36" i="33"/>
  <c r="IP36" i="33"/>
  <c r="IO36" i="33"/>
  <c r="IN36" i="33"/>
  <c r="IM36" i="33"/>
  <c r="IL36" i="33"/>
  <c r="IK36" i="33"/>
  <c r="IJ36" i="33"/>
  <c r="II36" i="33"/>
  <c r="IH36" i="33"/>
  <c r="IG36" i="33"/>
  <c r="IF36" i="33"/>
  <c r="IE36" i="33"/>
  <c r="ID36" i="33"/>
  <c r="IC36" i="33"/>
  <c r="IB36" i="33"/>
  <c r="IA36" i="33"/>
  <c r="HZ36" i="33"/>
  <c r="HY36" i="33"/>
  <c r="HX36" i="33"/>
  <c r="HW36" i="33"/>
  <c r="HV36" i="33"/>
  <c r="HU36" i="33"/>
  <c r="HT36" i="33"/>
  <c r="HS36" i="33"/>
  <c r="HR36" i="33"/>
  <c r="HQ36" i="33"/>
  <c r="HP36" i="33"/>
  <c r="HO36" i="33"/>
  <c r="HN36" i="33"/>
  <c r="HM36" i="33"/>
  <c r="HL36" i="33"/>
  <c r="HK36" i="33"/>
  <c r="HJ36" i="33"/>
  <c r="HI36" i="33"/>
  <c r="HH36" i="33"/>
  <c r="HG36" i="33"/>
  <c r="HF36" i="33"/>
  <c r="HE36" i="33"/>
  <c r="HD36" i="33"/>
  <c r="HC36" i="33"/>
  <c r="HB36" i="33"/>
  <c r="HA36" i="33"/>
  <c r="GZ36" i="33"/>
  <c r="GY36" i="33"/>
  <c r="GX36" i="33"/>
  <c r="GW36" i="33"/>
  <c r="GV36" i="33"/>
  <c r="GU36" i="33"/>
  <c r="GT36" i="33"/>
  <c r="GS36" i="33"/>
  <c r="GR36" i="33"/>
  <c r="GQ36" i="33"/>
  <c r="GP36" i="33"/>
  <c r="GO36" i="33"/>
  <c r="GN36" i="33"/>
  <c r="GM36" i="33"/>
  <c r="GL36" i="33"/>
  <c r="GK36" i="33"/>
  <c r="GJ36" i="33"/>
  <c r="GI36" i="33"/>
  <c r="GH36" i="33"/>
  <c r="GG36" i="33"/>
  <c r="GF36" i="33"/>
  <c r="GE36" i="33"/>
  <c r="GD36" i="33"/>
  <c r="GC36" i="33"/>
  <c r="GB36" i="33"/>
  <c r="GA36" i="33"/>
  <c r="FZ36" i="33"/>
  <c r="FY36" i="33"/>
  <c r="FX36" i="33"/>
  <c r="FW36" i="33"/>
  <c r="FV36" i="33"/>
  <c r="FU36" i="33"/>
  <c r="FT36" i="33"/>
  <c r="FS36" i="33"/>
  <c r="FR36" i="33"/>
  <c r="FQ36" i="33"/>
  <c r="FP36" i="33"/>
  <c r="FO36" i="33"/>
  <c r="FN36" i="33"/>
  <c r="FM36" i="33"/>
  <c r="FL36" i="33"/>
  <c r="FK36" i="33"/>
  <c r="FJ36" i="33"/>
  <c r="FI36" i="33"/>
  <c r="FH36" i="33"/>
  <c r="FG36" i="33"/>
  <c r="FF36" i="33"/>
  <c r="FE36" i="33"/>
  <c r="FD36" i="33"/>
  <c r="FC36" i="33"/>
  <c r="FB36" i="33"/>
  <c r="FA36" i="33"/>
  <c r="EZ36" i="33"/>
  <c r="EY36" i="33"/>
  <c r="EX36" i="33"/>
  <c r="EW36" i="33"/>
  <c r="EV36" i="33"/>
  <c r="EU36" i="33"/>
  <c r="ET36" i="33"/>
  <c r="ES36" i="33"/>
  <c r="ER36" i="33"/>
  <c r="EQ36" i="33"/>
  <c r="EP36" i="33"/>
  <c r="EO36" i="33"/>
  <c r="EN36" i="33"/>
  <c r="EM36" i="33"/>
  <c r="EL36" i="33"/>
  <c r="EK36" i="33"/>
  <c r="EJ36" i="33"/>
  <c r="EI36" i="33"/>
  <c r="EH36" i="33"/>
  <c r="EG36" i="33"/>
  <c r="EF36" i="33"/>
  <c r="EE36" i="33"/>
  <c r="ED36" i="33"/>
  <c r="EC36" i="33"/>
  <c r="EB36" i="33"/>
  <c r="EA36" i="33"/>
  <c r="DZ36" i="33"/>
  <c r="DY36" i="33"/>
  <c r="DX36" i="33"/>
  <c r="DW36" i="33"/>
  <c r="DV36" i="33"/>
  <c r="DU36" i="33"/>
  <c r="DT36" i="33"/>
  <c r="DS36" i="33"/>
  <c r="DR36" i="33"/>
  <c r="DQ36" i="33"/>
  <c r="DP36" i="33"/>
  <c r="DO36" i="33"/>
  <c r="DN36" i="33"/>
  <c r="DM36" i="33"/>
  <c r="DL36" i="33"/>
  <c r="DK36" i="33"/>
  <c r="DJ36" i="33"/>
  <c r="DI36" i="33"/>
  <c r="DH36" i="33"/>
  <c r="DG36" i="33"/>
  <c r="DF36" i="33"/>
  <c r="DE36" i="33"/>
  <c r="DD36" i="33"/>
  <c r="DC36" i="33"/>
  <c r="DB36" i="33"/>
  <c r="DA36" i="33"/>
  <c r="CZ36" i="33"/>
  <c r="CY36" i="33"/>
  <c r="CX36" i="33"/>
  <c r="CW36" i="33"/>
  <c r="CV36" i="33"/>
  <c r="CU36" i="33"/>
  <c r="CT36" i="33"/>
  <c r="CS36" i="33"/>
  <c r="CR36" i="33"/>
  <c r="CQ36" i="33"/>
  <c r="CP36" i="33"/>
  <c r="CO36" i="33"/>
  <c r="CN36" i="33"/>
  <c r="CM36" i="33"/>
  <c r="CL36" i="33"/>
  <c r="CK36" i="33"/>
  <c r="CJ36" i="33"/>
  <c r="CI36" i="33"/>
  <c r="CH36" i="33"/>
  <c r="CG36" i="33"/>
  <c r="CF36" i="33"/>
  <c r="CE36" i="33"/>
  <c r="CD36" i="33"/>
  <c r="CC36" i="33"/>
  <c r="CB36" i="33"/>
  <c r="CA36" i="33"/>
  <c r="BZ36" i="33"/>
  <c r="BY36" i="33"/>
  <c r="BX36" i="33"/>
  <c r="BW36" i="33"/>
  <c r="BV36" i="33"/>
  <c r="BU36" i="33"/>
  <c r="BT36" i="33"/>
  <c r="BS36" i="33"/>
  <c r="BR36" i="33"/>
  <c r="BQ36" i="33"/>
  <c r="BP36" i="33"/>
  <c r="BO36" i="33"/>
  <c r="BN36" i="33"/>
  <c r="BM36" i="33"/>
  <c r="BL36" i="33"/>
  <c r="BK36" i="33"/>
  <c r="BJ36" i="33"/>
  <c r="BI36" i="33"/>
  <c r="BH36" i="33"/>
  <c r="BG36" i="33"/>
  <c r="BF36" i="33"/>
  <c r="BE36" i="33"/>
  <c r="BD36" i="33"/>
  <c r="BC36" i="33"/>
  <c r="BB36" i="33"/>
  <c r="BA36" i="33"/>
  <c r="AZ36" i="33"/>
  <c r="AY36" i="33"/>
  <c r="AX36" i="33"/>
  <c r="AW36" i="33"/>
  <c r="AV36" i="33"/>
  <c r="AU36" i="33"/>
  <c r="AT36" i="33"/>
  <c r="AS36" i="33"/>
  <c r="AR36" i="33"/>
  <c r="AQ36" i="33"/>
  <c r="AP36" i="33"/>
  <c r="AO36" i="33"/>
  <c r="AN36" i="33"/>
  <c r="AM36" i="33"/>
  <c r="AL36" i="33"/>
  <c r="AK36" i="33"/>
  <c r="AJ36" i="33"/>
  <c r="AI36" i="33"/>
  <c r="AH36" i="33"/>
  <c r="AG36" i="33"/>
  <c r="AF36" i="33"/>
  <c r="AE36" i="33"/>
  <c r="AD36" i="33"/>
  <c r="AC36" i="33"/>
  <c r="AB36" i="33"/>
  <c r="AA36" i="33"/>
  <c r="Z36" i="33"/>
  <c r="Y36" i="33"/>
  <c r="X36" i="33"/>
  <c r="W36" i="33"/>
  <c r="V36" i="33"/>
  <c r="U36" i="33"/>
  <c r="T36" i="33"/>
  <c r="S36" i="33"/>
  <c r="R36" i="33"/>
  <c r="Q36" i="33"/>
  <c r="P36" i="33"/>
  <c r="O36" i="33"/>
  <c r="N36" i="33"/>
  <c r="M36" i="33"/>
  <c r="L36" i="33"/>
  <c r="K36" i="33"/>
  <c r="J36" i="33"/>
  <c r="I36" i="33"/>
  <c r="H36" i="33"/>
  <c r="G36" i="33"/>
  <c r="F36" i="33"/>
  <c r="E36" i="33"/>
  <c r="D36" i="33"/>
  <c r="C36" i="33"/>
  <c r="B36" i="33"/>
  <c r="A36" i="33"/>
  <c r="IV35" i="33"/>
  <c r="IU35" i="33"/>
  <c r="IT35" i="33"/>
  <c r="IS35" i="33"/>
  <c r="IR35" i="33"/>
  <c r="IQ35" i="33"/>
  <c r="IP35" i="33"/>
  <c r="IO35" i="33"/>
  <c r="IN35" i="33"/>
  <c r="IM35" i="33"/>
  <c r="IL35" i="33"/>
  <c r="IK35" i="33"/>
  <c r="IJ35" i="33"/>
  <c r="II35" i="33"/>
  <c r="IH35" i="33"/>
  <c r="IG35" i="33"/>
  <c r="IF35" i="33"/>
  <c r="IE35" i="33"/>
  <c r="ID35" i="33"/>
  <c r="IC35" i="33"/>
  <c r="IB35" i="33"/>
  <c r="IA35" i="33"/>
  <c r="HZ35" i="33"/>
  <c r="HY35" i="33"/>
  <c r="HX35" i="33"/>
  <c r="HW35" i="33"/>
  <c r="HV35" i="33"/>
  <c r="HU35" i="33"/>
  <c r="HT35" i="33"/>
  <c r="HS35" i="33"/>
  <c r="HR35" i="33"/>
  <c r="HQ35" i="33"/>
  <c r="HP35" i="33"/>
  <c r="HO35" i="33"/>
  <c r="HN35" i="33"/>
  <c r="HM35" i="33"/>
  <c r="HL35" i="33"/>
  <c r="HK35" i="33"/>
  <c r="HJ35" i="33"/>
  <c r="HI35" i="33"/>
  <c r="HH35" i="33"/>
  <c r="HG35" i="33"/>
  <c r="HF35" i="33"/>
  <c r="HE35" i="33"/>
  <c r="HD35" i="33"/>
  <c r="HC35" i="33"/>
  <c r="HB35" i="33"/>
  <c r="HA35" i="33"/>
  <c r="GZ35" i="33"/>
  <c r="GY35" i="33"/>
  <c r="GX35" i="33"/>
  <c r="GW35" i="33"/>
  <c r="GV35" i="33"/>
  <c r="GU35" i="33"/>
  <c r="GT35" i="33"/>
  <c r="GS35" i="33"/>
  <c r="GR35" i="33"/>
  <c r="GQ35" i="33"/>
  <c r="GP35" i="33"/>
  <c r="GO35" i="33"/>
  <c r="GN35" i="33"/>
  <c r="GM35" i="33"/>
  <c r="GL35" i="33"/>
  <c r="GK35" i="33"/>
  <c r="GJ35" i="33"/>
  <c r="GI35" i="33"/>
  <c r="GH35" i="33"/>
  <c r="GG35" i="33"/>
  <c r="GF35" i="33"/>
  <c r="GE35" i="33"/>
  <c r="GD35" i="33"/>
  <c r="GC35" i="33"/>
  <c r="GB35" i="33"/>
  <c r="GA35" i="33"/>
  <c r="FZ35" i="33"/>
  <c r="FY35" i="33"/>
  <c r="FX35" i="33"/>
  <c r="FW35" i="33"/>
  <c r="FV35" i="33"/>
  <c r="FU35" i="33"/>
  <c r="FT35" i="33"/>
  <c r="FS35" i="33"/>
  <c r="FR35" i="33"/>
  <c r="FQ35" i="33"/>
  <c r="FP35" i="33"/>
  <c r="FO35" i="33"/>
  <c r="FN35" i="33"/>
  <c r="FM35" i="33"/>
  <c r="FL35" i="33"/>
  <c r="FK35" i="33"/>
  <c r="FJ35" i="33"/>
  <c r="FI35" i="33"/>
  <c r="FH35" i="33"/>
  <c r="FG35" i="33"/>
  <c r="FF35" i="33"/>
  <c r="FE35" i="33"/>
  <c r="FD35" i="33"/>
  <c r="FC35" i="33"/>
  <c r="FB35" i="33"/>
  <c r="FA35" i="33"/>
  <c r="EZ35" i="33"/>
  <c r="EY35" i="33"/>
  <c r="EX35" i="33"/>
  <c r="EW35" i="33"/>
  <c r="EV35" i="33"/>
  <c r="EU35" i="33"/>
  <c r="ET35" i="33"/>
  <c r="ES35" i="33"/>
  <c r="ER35" i="33"/>
  <c r="EQ35" i="33"/>
  <c r="EP35" i="33"/>
  <c r="EO35" i="33"/>
  <c r="EN35" i="33"/>
  <c r="EM35" i="33"/>
  <c r="EL35" i="33"/>
  <c r="EK35" i="33"/>
  <c r="EJ35" i="33"/>
  <c r="EI35" i="33"/>
  <c r="EH35" i="33"/>
  <c r="EG35" i="33"/>
  <c r="EF35" i="33"/>
  <c r="EE35" i="33"/>
  <c r="ED35" i="33"/>
  <c r="EC35" i="33"/>
  <c r="EB35" i="33"/>
  <c r="EA35" i="33"/>
  <c r="DZ35" i="33"/>
  <c r="DY35" i="33"/>
  <c r="DX35" i="33"/>
  <c r="DW35" i="33"/>
  <c r="DV35" i="33"/>
  <c r="DU35" i="33"/>
  <c r="DT35" i="33"/>
  <c r="DS35" i="33"/>
  <c r="DR35" i="33"/>
  <c r="DQ35" i="33"/>
  <c r="DP35" i="33"/>
  <c r="DO35" i="33"/>
  <c r="DN35" i="33"/>
  <c r="DM35" i="33"/>
  <c r="DL35" i="33"/>
  <c r="DK35" i="33"/>
  <c r="DJ35" i="33"/>
  <c r="DI35" i="33"/>
  <c r="DH35" i="33"/>
  <c r="DG35" i="33"/>
  <c r="DF35" i="33"/>
  <c r="DE35" i="33"/>
  <c r="DD35" i="33"/>
  <c r="DC35" i="33"/>
  <c r="DB35" i="33"/>
  <c r="DA35" i="33"/>
  <c r="CZ35" i="33"/>
  <c r="CY35" i="33"/>
  <c r="CX35" i="33"/>
  <c r="CW35" i="33"/>
  <c r="CV35" i="33"/>
  <c r="CU35" i="33"/>
  <c r="CT35" i="33"/>
  <c r="CS35" i="33"/>
  <c r="CR35" i="33"/>
  <c r="CQ35" i="33"/>
  <c r="CP35" i="33"/>
  <c r="CO35" i="33"/>
  <c r="CN35" i="33"/>
  <c r="CM35" i="33"/>
  <c r="CL35" i="33"/>
  <c r="CK35" i="33"/>
  <c r="CJ35" i="33"/>
  <c r="CI35" i="33"/>
  <c r="CH35" i="33"/>
  <c r="CG35" i="33"/>
  <c r="CF35" i="33"/>
  <c r="CE35" i="33"/>
  <c r="CD35" i="33"/>
  <c r="CC35" i="33"/>
  <c r="CB35" i="33"/>
  <c r="CA35" i="33"/>
  <c r="BZ35" i="33"/>
  <c r="BY35" i="33"/>
  <c r="BX35" i="33"/>
  <c r="BW35" i="33"/>
  <c r="BV35" i="33"/>
  <c r="BU35" i="33"/>
  <c r="BT35" i="33"/>
  <c r="BS35" i="33"/>
  <c r="BR35" i="33"/>
  <c r="BQ35" i="33"/>
  <c r="BP35" i="33"/>
  <c r="BO35" i="33"/>
  <c r="BN35" i="33"/>
  <c r="BM35" i="33"/>
  <c r="BL35" i="33"/>
  <c r="BK35" i="33"/>
  <c r="BJ35" i="33"/>
  <c r="BI35" i="33"/>
  <c r="BH35" i="33"/>
  <c r="BG35" i="33"/>
  <c r="BF35" i="33"/>
  <c r="BE35" i="33"/>
  <c r="BD35" i="33"/>
  <c r="BC35" i="33"/>
  <c r="BB35" i="33"/>
  <c r="BA35" i="33"/>
  <c r="AZ35" i="33"/>
  <c r="AY35" i="33"/>
  <c r="AX35" i="33"/>
  <c r="AW35" i="33"/>
  <c r="AV35" i="33"/>
  <c r="AU35" i="33"/>
  <c r="AT35" i="33"/>
  <c r="AS35" i="33"/>
  <c r="AR35" i="33"/>
  <c r="AQ35" i="33"/>
  <c r="AP35" i="33"/>
  <c r="AO35" i="33"/>
  <c r="AN35" i="33"/>
  <c r="AM35" i="33"/>
  <c r="AL35" i="33"/>
  <c r="AK35" i="33"/>
  <c r="AJ35" i="33"/>
  <c r="AI35" i="33"/>
  <c r="AH35" i="33"/>
  <c r="AG35" i="33"/>
  <c r="AF35" i="33"/>
  <c r="AE35" i="33"/>
  <c r="AD35" i="33"/>
  <c r="AC35" i="33"/>
  <c r="AB35" i="33"/>
  <c r="AA35" i="33"/>
  <c r="Z35" i="33"/>
  <c r="Y35" i="33"/>
  <c r="X35" i="33"/>
  <c r="W35" i="33"/>
  <c r="V35" i="33"/>
  <c r="U35" i="33"/>
  <c r="T35" i="33"/>
  <c r="S35" i="33"/>
  <c r="R35" i="33"/>
  <c r="Q35" i="33"/>
  <c r="P35" i="33"/>
  <c r="O35" i="33"/>
  <c r="N35" i="33"/>
  <c r="M35" i="33"/>
  <c r="L35" i="33"/>
  <c r="K35" i="33"/>
  <c r="J35" i="33"/>
  <c r="I35" i="33"/>
  <c r="H35" i="33"/>
  <c r="G35" i="33"/>
  <c r="F35" i="33"/>
  <c r="E35" i="33"/>
  <c r="D35" i="33"/>
  <c r="C35" i="33"/>
  <c r="B35" i="33"/>
  <c r="A35" i="33"/>
  <c r="IV34" i="33"/>
  <c r="IU34" i="33"/>
  <c r="IT34" i="33"/>
  <c r="IS34" i="33"/>
  <c r="IR34" i="33"/>
  <c r="IQ34" i="33"/>
  <c r="IP34" i="33"/>
  <c r="IO34" i="33"/>
  <c r="IN34" i="33"/>
  <c r="IM34" i="33"/>
  <c r="IL34" i="33"/>
  <c r="IK34" i="33"/>
  <c r="IJ34" i="33"/>
  <c r="II34" i="33"/>
  <c r="IH34" i="33"/>
  <c r="IG34" i="33"/>
  <c r="IF34" i="33"/>
  <c r="IE34" i="33"/>
  <c r="ID34" i="33"/>
  <c r="IC34" i="33"/>
  <c r="IB34" i="33"/>
  <c r="IA34" i="33"/>
  <c r="HZ34" i="33"/>
  <c r="HY34" i="33"/>
  <c r="HX34" i="33"/>
  <c r="HW34" i="33"/>
  <c r="HV34" i="33"/>
  <c r="HU34" i="33"/>
  <c r="HT34" i="33"/>
  <c r="HS34" i="33"/>
  <c r="HR34" i="33"/>
  <c r="HQ34" i="33"/>
  <c r="HP34" i="33"/>
  <c r="HO34" i="33"/>
  <c r="HN34" i="33"/>
  <c r="HM34" i="33"/>
  <c r="HL34" i="33"/>
  <c r="HK34" i="33"/>
  <c r="HJ34" i="33"/>
  <c r="HI34" i="33"/>
  <c r="HH34" i="33"/>
  <c r="HG34" i="33"/>
  <c r="HF34" i="33"/>
  <c r="HE34" i="33"/>
  <c r="HD34" i="33"/>
  <c r="HC34" i="33"/>
  <c r="HB34" i="33"/>
  <c r="HA34" i="33"/>
  <c r="GZ34" i="33"/>
  <c r="GY34" i="33"/>
  <c r="GX34" i="33"/>
  <c r="GW34" i="33"/>
  <c r="GV34" i="33"/>
  <c r="GU34" i="33"/>
  <c r="GT34" i="33"/>
  <c r="GS34" i="33"/>
  <c r="GR34" i="33"/>
  <c r="GQ34" i="33"/>
  <c r="GP34" i="33"/>
  <c r="GO34" i="33"/>
  <c r="GN34" i="33"/>
  <c r="GM34" i="33"/>
  <c r="GL34" i="33"/>
  <c r="GK34" i="33"/>
  <c r="GJ34" i="33"/>
  <c r="GI34" i="33"/>
  <c r="GH34" i="33"/>
  <c r="GG34" i="33"/>
  <c r="GF34" i="33"/>
  <c r="GE34" i="33"/>
  <c r="GD34" i="33"/>
  <c r="GC34" i="33"/>
  <c r="GB34" i="33"/>
  <c r="GA34" i="33"/>
  <c r="FZ34" i="33"/>
  <c r="FY34" i="33"/>
  <c r="FX34" i="33"/>
  <c r="FW34" i="33"/>
  <c r="FV34" i="33"/>
  <c r="FU34" i="33"/>
  <c r="FT34" i="33"/>
  <c r="FS34" i="33"/>
  <c r="FR34" i="33"/>
  <c r="FQ34" i="33"/>
  <c r="FP34" i="33"/>
  <c r="FO34" i="33"/>
  <c r="FN34" i="33"/>
  <c r="FM34" i="33"/>
  <c r="FL34" i="33"/>
  <c r="FK34" i="33"/>
  <c r="FJ34" i="33"/>
  <c r="FI34" i="33"/>
  <c r="FH34" i="33"/>
  <c r="FG34" i="33"/>
  <c r="FF34" i="33"/>
  <c r="FE34" i="33"/>
  <c r="FD34" i="33"/>
  <c r="FC34" i="33"/>
  <c r="FB34" i="33"/>
  <c r="FA34" i="33"/>
  <c r="EZ34" i="33"/>
  <c r="EY34" i="33"/>
  <c r="EX34" i="33"/>
  <c r="EW34" i="33"/>
  <c r="EV34" i="33"/>
  <c r="EU34" i="33"/>
  <c r="ET34" i="33"/>
  <c r="ES34" i="33"/>
  <c r="ER34" i="33"/>
  <c r="EQ34" i="33"/>
  <c r="EP34" i="33"/>
  <c r="EO34" i="33"/>
  <c r="EN34" i="33"/>
  <c r="EM34" i="33"/>
  <c r="EL34" i="33"/>
  <c r="EK34" i="33"/>
  <c r="EJ34" i="33"/>
  <c r="EI34" i="33"/>
  <c r="EH34" i="33"/>
  <c r="EG34" i="33"/>
  <c r="EF34" i="33"/>
  <c r="EE34" i="33"/>
  <c r="ED34" i="33"/>
  <c r="EC34" i="33"/>
  <c r="EB34" i="33"/>
  <c r="EA34" i="33"/>
  <c r="DZ34" i="33"/>
  <c r="DY34" i="33"/>
  <c r="DX34" i="33"/>
  <c r="DW34" i="33"/>
  <c r="DV34" i="33"/>
  <c r="DU34" i="33"/>
  <c r="DT34" i="33"/>
  <c r="DS34" i="33"/>
  <c r="DR34" i="33"/>
  <c r="DQ34" i="33"/>
  <c r="DP34" i="33"/>
  <c r="DO34" i="33"/>
  <c r="DN34" i="33"/>
  <c r="DM34" i="33"/>
  <c r="DL34" i="33"/>
  <c r="DK34" i="33"/>
  <c r="DJ34" i="33"/>
  <c r="DI34" i="33"/>
  <c r="DH34" i="33"/>
  <c r="DG34" i="33"/>
  <c r="DF34" i="33"/>
  <c r="DE34" i="33"/>
  <c r="DD34" i="33"/>
  <c r="DC34" i="33"/>
  <c r="DB34" i="33"/>
  <c r="DA34" i="33"/>
  <c r="CZ34" i="33"/>
  <c r="CY34" i="33"/>
  <c r="CX34" i="33"/>
  <c r="CW34" i="33"/>
  <c r="CV34" i="33"/>
  <c r="CU34" i="33"/>
  <c r="CT34" i="33"/>
  <c r="CS34" i="33"/>
  <c r="CR34" i="33"/>
  <c r="CQ34" i="33"/>
  <c r="CP34" i="33"/>
  <c r="CO34" i="33"/>
  <c r="CN34" i="33"/>
  <c r="CM34" i="33"/>
  <c r="CL34" i="33"/>
  <c r="CK34" i="33"/>
  <c r="CJ34" i="33"/>
  <c r="CI34" i="33"/>
  <c r="CH34" i="33"/>
  <c r="CG34" i="33"/>
  <c r="CF34" i="33"/>
  <c r="CE34" i="33"/>
  <c r="CD34" i="33"/>
  <c r="CC34" i="33"/>
  <c r="CB34" i="33"/>
  <c r="CA34" i="33"/>
  <c r="BZ34" i="33"/>
  <c r="BY34" i="33"/>
  <c r="BX34" i="33"/>
  <c r="BW34" i="33"/>
  <c r="BV34" i="33"/>
  <c r="BU34" i="33"/>
  <c r="BT34" i="33"/>
  <c r="BS34" i="33"/>
  <c r="BR34" i="33"/>
  <c r="BQ34" i="33"/>
  <c r="BP34" i="33"/>
  <c r="BO34" i="33"/>
  <c r="BN34" i="33"/>
  <c r="BM34" i="33"/>
  <c r="BL34" i="33"/>
  <c r="BK34" i="33"/>
  <c r="BJ34" i="33"/>
  <c r="BI34" i="33"/>
  <c r="BH34" i="33"/>
  <c r="BG34" i="33"/>
  <c r="BF34" i="33"/>
  <c r="BE34" i="33"/>
  <c r="BD34" i="33"/>
  <c r="BC34" i="33"/>
  <c r="BB34" i="33"/>
  <c r="BA34" i="33"/>
  <c r="AZ34" i="33"/>
  <c r="AY34" i="33"/>
  <c r="AX34" i="33"/>
  <c r="AW34" i="33"/>
  <c r="AV34" i="33"/>
  <c r="AU34" i="33"/>
  <c r="AT34" i="33"/>
  <c r="AS34" i="33"/>
  <c r="AR34" i="33"/>
  <c r="AQ34" i="33"/>
  <c r="AP34" i="33"/>
  <c r="AO34" i="33"/>
  <c r="AN34" i="33"/>
  <c r="AM34" i="33"/>
  <c r="AL34" i="33"/>
  <c r="AK34" i="33"/>
  <c r="AJ34" i="33"/>
  <c r="AI34" i="33"/>
  <c r="AH34" i="33"/>
  <c r="AG34" i="33"/>
  <c r="AF34" i="33"/>
  <c r="AE34" i="33"/>
  <c r="AD34" i="33"/>
  <c r="AC34" i="33"/>
  <c r="AB34" i="33"/>
  <c r="AA34" i="33"/>
  <c r="Z34" i="33"/>
  <c r="Y34" i="33"/>
  <c r="X34" i="33"/>
  <c r="W34" i="33"/>
  <c r="V34" i="33"/>
  <c r="U34" i="33"/>
  <c r="T34" i="33"/>
  <c r="S34" i="33"/>
  <c r="R34" i="33"/>
  <c r="Q34" i="33"/>
  <c r="P34" i="33"/>
  <c r="O34" i="33"/>
  <c r="N34" i="33"/>
  <c r="M34" i="33"/>
  <c r="L34" i="33"/>
  <c r="K34" i="33"/>
  <c r="J34" i="33"/>
  <c r="I34" i="33"/>
  <c r="H34" i="33"/>
  <c r="G34" i="33"/>
  <c r="F34" i="33"/>
  <c r="E34" i="33"/>
  <c r="D34" i="33"/>
  <c r="C34" i="33"/>
  <c r="B34" i="33"/>
  <c r="A34" i="33"/>
  <c r="IV33" i="33"/>
  <c r="IU33" i="33"/>
  <c r="IT33" i="33"/>
  <c r="IS33" i="33"/>
  <c r="IR33" i="33"/>
  <c r="IQ33" i="33"/>
  <c r="IP33" i="33"/>
  <c r="IO33" i="33"/>
  <c r="IN33" i="33"/>
  <c r="IM33" i="33"/>
  <c r="IL33" i="33"/>
  <c r="IK33" i="33"/>
  <c r="IJ33" i="33"/>
  <c r="II33" i="33"/>
  <c r="IH33" i="33"/>
  <c r="IG33" i="33"/>
  <c r="IF33" i="33"/>
  <c r="IE33" i="33"/>
  <c r="ID33" i="33"/>
  <c r="IC33" i="33"/>
  <c r="IB33" i="33"/>
  <c r="IA33" i="33"/>
  <c r="HZ33" i="33"/>
  <c r="HY33" i="33"/>
  <c r="HX33" i="33"/>
  <c r="HW33" i="33"/>
  <c r="HV33" i="33"/>
  <c r="HU33" i="33"/>
  <c r="HT33" i="33"/>
  <c r="HS33" i="33"/>
  <c r="HR33" i="33"/>
  <c r="HQ33" i="33"/>
  <c r="HP33" i="33"/>
  <c r="HO33" i="33"/>
  <c r="HN33" i="33"/>
  <c r="HM33" i="33"/>
  <c r="HL33" i="33"/>
  <c r="HK33" i="33"/>
  <c r="HJ33" i="33"/>
  <c r="HI33" i="33"/>
  <c r="HH33" i="33"/>
  <c r="HG33" i="33"/>
  <c r="HF33" i="33"/>
  <c r="HE33" i="33"/>
  <c r="HD33" i="33"/>
  <c r="HC33" i="33"/>
  <c r="HB33" i="33"/>
  <c r="HA33" i="33"/>
  <c r="GZ33" i="33"/>
  <c r="GY33" i="33"/>
  <c r="GX33" i="33"/>
  <c r="GW33" i="33"/>
  <c r="GV33" i="33"/>
  <c r="GU33" i="33"/>
  <c r="GT33" i="33"/>
  <c r="GS33" i="33"/>
  <c r="GR33" i="33"/>
  <c r="GQ33" i="33"/>
  <c r="GP33" i="33"/>
  <c r="GO33" i="33"/>
  <c r="GN33" i="33"/>
  <c r="GM33" i="33"/>
  <c r="GL33" i="33"/>
  <c r="GK33" i="33"/>
  <c r="GJ33" i="33"/>
  <c r="GI33" i="33"/>
  <c r="GH33" i="33"/>
  <c r="GG33" i="33"/>
  <c r="GF33" i="33"/>
  <c r="GE33" i="33"/>
  <c r="GD33" i="33"/>
  <c r="GC33" i="33"/>
  <c r="GB33" i="33"/>
  <c r="GA33" i="33"/>
  <c r="FZ33" i="33"/>
  <c r="FY33" i="33"/>
  <c r="FX33" i="33"/>
  <c r="FW33" i="33"/>
  <c r="FV33" i="33"/>
  <c r="FU33" i="33"/>
  <c r="FT33" i="33"/>
  <c r="FS33" i="33"/>
  <c r="FR33" i="33"/>
  <c r="FQ33" i="33"/>
  <c r="FP33" i="33"/>
  <c r="FO33" i="33"/>
  <c r="FN33" i="33"/>
  <c r="FM33" i="33"/>
  <c r="FL33" i="33"/>
  <c r="FK33" i="33"/>
  <c r="FJ33" i="33"/>
  <c r="FI33" i="33"/>
  <c r="FH33" i="33"/>
  <c r="FG33" i="33"/>
  <c r="FF33" i="33"/>
  <c r="FE33" i="33"/>
  <c r="FD33" i="33"/>
  <c r="FC33" i="33"/>
  <c r="FB33" i="33"/>
  <c r="FA33" i="33"/>
  <c r="EZ33" i="33"/>
  <c r="EY33" i="33"/>
  <c r="EX33" i="33"/>
  <c r="EW33" i="33"/>
  <c r="EV33" i="33"/>
  <c r="EU33" i="33"/>
  <c r="ET33" i="33"/>
  <c r="ES33" i="33"/>
  <c r="ER33" i="33"/>
  <c r="EQ33" i="33"/>
  <c r="EP33" i="33"/>
  <c r="EO33" i="33"/>
  <c r="EN33" i="33"/>
  <c r="EM33" i="33"/>
  <c r="EL33" i="33"/>
  <c r="EK33" i="33"/>
  <c r="EJ33" i="33"/>
  <c r="EI33" i="33"/>
  <c r="EH33" i="33"/>
  <c r="EG33" i="33"/>
  <c r="EF33" i="33"/>
  <c r="EE33" i="33"/>
  <c r="ED33" i="33"/>
  <c r="EC33" i="33"/>
  <c r="EB33" i="33"/>
  <c r="EA33" i="33"/>
  <c r="DZ33" i="33"/>
  <c r="DY33" i="33"/>
  <c r="DX33" i="33"/>
  <c r="DW33" i="33"/>
  <c r="DV33" i="33"/>
  <c r="DU33" i="33"/>
  <c r="DT33" i="33"/>
  <c r="DS33" i="33"/>
  <c r="DR33" i="33"/>
  <c r="DQ33" i="33"/>
  <c r="DP33" i="33"/>
  <c r="DO33" i="33"/>
  <c r="DN33" i="33"/>
  <c r="DM33" i="33"/>
  <c r="DL33" i="33"/>
  <c r="DK33" i="33"/>
  <c r="DJ33" i="33"/>
  <c r="DI33" i="33"/>
  <c r="DH33" i="33"/>
  <c r="DG33" i="33"/>
  <c r="DF33" i="33"/>
  <c r="DE33" i="33"/>
  <c r="DD33" i="33"/>
  <c r="DC33" i="33"/>
  <c r="DB33" i="33"/>
  <c r="DA33" i="33"/>
  <c r="CZ33" i="33"/>
  <c r="CY33" i="33"/>
  <c r="CX33" i="33"/>
  <c r="CW33" i="33"/>
  <c r="CV33" i="33"/>
  <c r="CU33" i="33"/>
  <c r="CT33" i="33"/>
  <c r="CS33" i="33"/>
  <c r="CR33" i="33"/>
  <c r="CQ33" i="33"/>
  <c r="CP33" i="33"/>
  <c r="CO33" i="33"/>
  <c r="CN33" i="33"/>
  <c r="CM33" i="33"/>
  <c r="CL33" i="33"/>
  <c r="CK33" i="33"/>
  <c r="CJ33" i="33"/>
  <c r="CI33" i="33"/>
  <c r="CH33" i="33"/>
  <c r="CG33" i="33"/>
  <c r="CF33" i="33"/>
  <c r="CE33" i="33"/>
  <c r="CD33" i="33"/>
  <c r="CC33" i="33"/>
  <c r="CB33" i="33"/>
  <c r="CA33" i="33"/>
  <c r="BZ33" i="33"/>
  <c r="BY33" i="33"/>
  <c r="BX33" i="33"/>
  <c r="BW33" i="33"/>
  <c r="BV33" i="33"/>
  <c r="BU33" i="33"/>
  <c r="BT33" i="33"/>
  <c r="BS33" i="33"/>
  <c r="BR33" i="33"/>
  <c r="BQ33" i="33"/>
  <c r="BP33" i="33"/>
  <c r="BO33" i="33"/>
  <c r="BN33" i="33"/>
  <c r="BM33" i="33"/>
  <c r="BL33" i="33"/>
  <c r="BK33" i="33"/>
  <c r="BJ33" i="33"/>
  <c r="BI33" i="33"/>
  <c r="BH33" i="33"/>
  <c r="BG33" i="33"/>
  <c r="BF33" i="33"/>
  <c r="BE33" i="33"/>
  <c r="BD33" i="33"/>
  <c r="BC33" i="33"/>
  <c r="BB33" i="33"/>
  <c r="BA33" i="33"/>
  <c r="AZ33" i="33"/>
  <c r="AY33" i="33"/>
  <c r="AX33" i="33"/>
  <c r="AW33" i="33"/>
  <c r="AV33" i="33"/>
  <c r="AU33" i="33"/>
  <c r="AT33" i="33"/>
  <c r="AS33" i="33"/>
  <c r="AR33" i="33"/>
  <c r="AQ33" i="33"/>
  <c r="AP33" i="33"/>
  <c r="AO33" i="33"/>
  <c r="AN33" i="33"/>
  <c r="AM33" i="33"/>
  <c r="AL33" i="33"/>
  <c r="AK33" i="33"/>
  <c r="AJ33" i="33"/>
  <c r="AI33" i="33"/>
  <c r="AH33" i="33"/>
  <c r="AG33" i="33"/>
  <c r="AF33" i="33"/>
  <c r="AE33" i="33"/>
  <c r="AD33" i="33"/>
  <c r="AC33" i="33"/>
  <c r="AB33" i="33"/>
  <c r="AA33" i="33"/>
  <c r="Z33" i="33"/>
  <c r="Y33" i="33"/>
  <c r="X33" i="33"/>
  <c r="W33" i="33"/>
  <c r="V33" i="33"/>
  <c r="U33" i="33"/>
  <c r="T33" i="33"/>
  <c r="S33" i="33"/>
  <c r="R33" i="33"/>
  <c r="Q33" i="33"/>
  <c r="P33" i="33"/>
  <c r="O33" i="33"/>
  <c r="N33" i="33"/>
  <c r="M33" i="33"/>
  <c r="L33" i="33"/>
  <c r="K33" i="33"/>
  <c r="J33" i="33"/>
  <c r="I33" i="33"/>
  <c r="H33" i="33"/>
  <c r="G33" i="33"/>
  <c r="F33" i="33"/>
  <c r="E33" i="33"/>
  <c r="D33" i="33"/>
  <c r="C33" i="33"/>
  <c r="B33" i="33"/>
  <c r="A33" i="33"/>
  <c r="IV32" i="33"/>
  <c r="IU32" i="33"/>
  <c r="IT32" i="33"/>
  <c r="IS32" i="33"/>
  <c r="IR32" i="33"/>
  <c r="IQ32" i="33"/>
  <c r="IP32" i="33"/>
  <c r="IO32" i="33"/>
  <c r="IN32" i="33"/>
  <c r="IM32" i="33"/>
  <c r="IL32" i="33"/>
  <c r="IK32" i="33"/>
  <c r="IJ32" i="33"/>
  <c r="II32" i="33"/>
  <c r="IH32" i="33"/>
  <c r="IG32" i="33"/>
  <c r="IF32" i="33"/>
  <c r="IE32" i="33"/>
  <c r="ID32" i="33"/>
  <c r="IC32" i="33"/>
  <c r="IB32" i="33"/>
  <c r="IA32" i="33"/>
  <c r="HZ32" i="33"/>
  <c r="HY32" i="33"/>
  <c r="HX32" i="33"/>
  <c r="HW32" i="33"/>
  <c r="HV32" i="33"/>
  <c r="HU32" i="33"/>
  <c r="HT32" i="33"/>
  <c r="HS32" i="33"/>
  <c r="HR32" i="33"/>
  <c r="HQ32" i="33"/>
  <c r="HP32" i="33"/>
  <c r="HO32" i="33"/>
  <c r="HN32" i="33"/>
  <c r="HM32" i="33"/>
  <c r="HL32" i="33"/>
  <c r="HK32" i="33"/>
  <c r="HJ32" i="33"/>
  <c r="HI32" i="33"/>
  <c r="HH32" i="33"/>
  <c r="HG32" i="33"/>
  <c r="HF32" i="33"/>
  <c r="HE32" i="33"/>
  <c r="HD32" i="33"/>
  <c r="HC32" i="33"/>
  <c r="HB32" i="33"/>
  <c r="HA32" i="33"/>
  <c r="GZ32" i="33"/>
  <c r="GY32" i="33"/>
  <c r="GX32" i="33"/>
  <c r="GW32" i="33"/>
  <c r="GV32" i="33"/>
  <c r="GU32" i="33"/>
  <c r="GT32" i="33"/>
  <c r="GS32" i="33"/>
  <c r="GR32" i="33"/>
  <c r="GQ32" i="33"/>
  <c r="GP32" i="33"/>
  <c r="GO32" i="33"/>
  <c r="GN32" i="33"/>
  <c r="GM32" i="33"/>
  <c r="GL32" i="33"/>
  <c r="GK32" i="33"/>
  <c r="GJ32" i="33"/>
  <c r="GI32" i="33"/>
  <c r="GH32" i="33"/>
  <c r="GG32" i="33"/>
  <c r="GF32" i="33"/>
  <c r="GE32" i="33"/>
  <c r="GD32" i="33"/>
  <c r="GC32" i="33"/>
  <c r="GB32" i="33"/>
  <c r="GA32" i="33"/>
  <c r="FZ32" i="33"/>
  <c r="FY32" i="33"/>
  <c r="FX32" i="33"/>
  <c r="FW32" i="33"/>
  <c r="FV32" i="33"/>
  <c r="FU32" i="33"/>
  <c r="FT32" i="33"/>
  <c r="FS32" i="33"/>
  <c r="FR32" i="33"/>
  <c r="FQ32" i="33"/>
  <c r="FP32" i="33"/>
  <c r="FO32" i="33"/>
  <c r="FN32" i="33"/>
  <c r="FM32" i="33"/>
  <c r="FL32" i="33"/>
  <c r="FK32" i="33"/>
  <c r="FJ32" i="33"/>
  <c r="FI32" i="33"/>
  <c r="FH32" i="33"/>
  <c r="FG32" i="33"/>
  <c r="FF32" i="33"/>
  <c r="FE32" i="33"/>
  <c r="FD32" i="33"/>
  <c r="FC32" i="33"/>
  <c r="FB32" i="33"/>
  <c r="FA32" i="33"/>
  <c r="EZ32" i="33"/>
  <c r="EY32" i="33"/>
  <c r="EX32" i="33"/>
  <c r="EW32" i="33"/>
  <c r="EV32" i="33"/>
  <c r="EU32" i="33"/>
  <c r="ET32" i="33"/>
  <c r="ES32" i="33"/>
  <c r="ER32" i="33"/>
  <c r="EQ32" i="33"/>
  <c r="EP32" i="33"/>
  <c r="EO32" i="33"/>
  <c r="EN32" i="33"/>
  <c r="EM32" i="33"/>
  <c r="EL32" i="33"/>
  <c r="EK32" i="33"/>
  <c r="EJ32" i="33"/>
  <c r="EI32" i="33"/>
  <c r="EH32" i="33"/>
  <c r="EG32" i="33"/>
  <c r="EF32" i="33"/>
  <c r="EE32" i="33"/>
  <c r="ED32" i="33"/>
  <c r="EC32" i="33"/>
  <c r="EB32" i="33"/>
  <c r="EA32" i="33"/>
  <c r="DZ32" i="33"/>
  <c r="DY32" i="33"/>
  <c r="DX32" i="33"/>
  <c r="DW32" i="33"/>
  <c r="DV32" i="33"/>
  <c r="DU32" i="33"/>
  <c r="DT32" i="33"/>
  <c r="DS32" i="33"/>
  <c r="DR32" i="33"/>
  <c r="DQ32" i="33"/>
  <c r="DP32" i="33"/>
  <c r="DO32" i="33"/>
  <c r="DN32" i="33"/>
  <c r="DM32" i="33"/>
  <c r="DL32" i="33"/>
  <c r="DK32" i="33"/>
  <c r="DJ32" i="33"/>
  <c r="DI32" i="33"/>
  <c r="DH32" i="33"/>
  <c r="DG32" i="33"/>
  <c r="DF32" i="33"/>
  <c r="DE32" i="33"/>
  <c r="DD32" i="33"/>
  <c r="DC32" i="33"/>
  <c r="DB32" i="33"/>
  <c r="DA32" i="33"/>
  <c r="CZ32" i="33"/>
  <c r="CY32" i="33"/>
  <c r="CX32" i="33"/>
  <c r="CW32" i="33"/>
  <c r="CV32" i="33"/>
  <c r="CU32" i="33"/>
  <c r="CT32" i="33"/>
  <c r="CS32" i="33"/>
  <c r="CR32" i="33"/>
  <c r="CQ32" i="33"/>
  <c r="CP32" i="33"/>
  <c r="CO32" i="33"/>
  <c r="CN32" i="33"/>
  <c r="CM32" i="33"/>
  <c r="CL32" i="33"/>
  <c r="CK32" i="33"/>
  <c r="CJ32" i="33"/>
  <c r="CI32" i="33"/>
  <c r="CH32" i="33"/>
  <c r="CG32" i="33"/>
  <c r="CF32" i="33"/>
  <c r="CE32" i="33"/>
  <c r="CD32" i="33"/>
  <c r="CC32" i="33"/>
  <c r="CB32" i="33"/>
  <c r="CA32" i="33"/>
  <c r="BZ32" i="33"/>
  <c r="BY32" i="33"/>
  <c r="BX32" i="33"/>
  <c r="BW32" i="33"/>
  <c r="BV32" i="33"/>
  <c r="BU32" i="33"/>
  <c r="BT32" i="33"/>
  <c r="BS32" i="33"/>
  <c r="BR32" i="33"/>
  <c r="BQ32" i="33"/>
  <c r="BP32" i="33"/>
  <c r="BO32" i="33"/>
  <c r="BN32" i="33"/>
  <c r="BM32" i="33"/>
  <c r="BL32" i="33"/>
  <c r="BK32" i="33"/>
  <c r="BJ32" i="33"/>
  <c r="BI32" i="33"/>
  <c r="BH32" i="33"/>
  <c r="BG32" i="33"/>
  <c r="BF32" i="33"/>
  <c r="BE32" i="33"/>
  <c r="BD32" i="33"/>
  <c r="BC32" i="33"/>
  <c r="BB32" i="33"/>
  <c r="BA32" i="33"/>
  <c r="AZ32" i="33"/>
  <c r="AY32" i="33"/>
  <c r="AX32" i="33"/>
  <c r="AW32" i="33"/>
  <c r="AV32" i="33"/>
  <c r="AU32" i="33"/>
  <c r="AT32" i="33"/>
  <c r="AS32" i="33"/>
  <c r="AR32" i="33"/>
  <c r="AQ32" i="33"/>
  <c r="AP32" i="33"/>
  <c r="AO32" i="33"/>
  <c r="AN32" i="33"/>
  <c r="AM32" i="33"/>
  <c r="AL32" i="33"/>
  <c r="AK32" i="33"/>
  <c r="AJ32" i="33"/>
  <c r="AI32" i="33"/>
  <c r="AH32" i="33"/>
  <c r="AG32" i="33"/>
  <c r="AF32" i="33"/>
  <c r="AE32" i="33"/>
  <c r="AD32" i="33"/>
  <c r="AC32" i="33"/>
  <c r="AB32" i="33"/>
  <c r="AA32" i="33"/>
  <c r="Z32" i="33"/>
  <c r="Y32" i="33"/>
  <c r="X32" i="33"/>
  <c r="W32" i="33"/>
  <c r="V32" i="33"/>
  <c r="U32" i="33"/>
  <c r="T32" i="33"/>
  <c r="S32" i="33"/>
  <c r="R32" i="33"/>
  <c r="Q32" i="33"/>
  <c r="P32" i="33"/>
  <c r="O32" i="33"/>
  <c r="N32" i="33"/>
  <c r="M32" i="33"/>
  <c r="L32" i="33"/>
  <c r="K32" i="33"/>
  <c r="J32" i="33"/>
  <c r="I32" i="33"/>
  <c r="H32" i="33"/>
  <c r="G32" i="33"/>
  <c r="F32" i="33"/>
  <c r="E32" i="33"/>
  <c r="D32" i="33"/>
  <c r="C32" i="33"/>
  <c r="B32" i="33"/>
  <c r="A32" i="33"/>
  <c r="IV31" i="33"/>
  <c r="IU31" i="33"/>
  <c r="IT31" i="33"/>
  <c r="IS31" i="33"/>
  <c r="IR31" i="33"/>
  <c r="IQ31" i="33"/>
  <c r="IP31" i="33"/>
  <c r="IO31" i="33"/>
  <c r="IN31" i="33"/>
  <c r="IM31" i="33"/>
  <c r="IL31" i="33"/>
  <c r="IK31" i="33"/>
  <c r="IJ31" i="33"/>
  <c r="II31" i="33"/>
  <c r="IH31" i="33"/>
  <c r="IG31" i="33"/>
  <c r="IF31" i="33"/>
  <c r="IE31" i="33"/>
  <c r="ID31" i="33"/>
  <c r="IC31" i="33"/>
  <c r="IB31" i="33"/>
  <c r="IA31" i="33"/>
  <c r="HZ31" i="33"/>
  <c r="HY31" i="33"/>
  <c r="HX31" i="33"/>
  <c r="HW31" i="33"/>
  <c r="HV31" i="33"/>
  <c r="HU31" i="33"/>
  <c r="HT31" i="33"/>
  <c r="HS31" i="33"/>
  <c r="HR31" i="33"/>
  <c r="HQ31" i="33"/>
  <c r="HP31" i="33"/>
  <c r="HO31" i="33"/>
  <c r="HN31" i="33"/>
  <c r="HM31" i="33"/>
  <c r="HL31" i="33"/>
  <c r="HK31" i="33"/>
  <c r="HJ31" i="33"/>
  <c r="HI31" i="33"/>
  <c r="HH31" i="33"/>
  <c r="HG31" i="33"/>
  <c r="HF31" i="33"/>
  <c r="HE31" i="33"/>
  <c r="HD31" i="33"/>
  <c r="HC31" i="33"/>
  <c r="HB31" i="33"/>
  <c r="HA31" i="33"/>
  <c r="GZ31" i="33"/>
  <c r="GY31" i="33"/>
  <c r="GX31" i="33"/>
  <c r="GW31" i="33"/>
  <c r="GV31" i="33"/>
  <c r="GU31" i="33"/>
  <c r="GT31" i="33"/>
  <c r="GS31" i="33"/>
  <c r="GR31" i="33"/>
  <c r="GQ31" i="33"/>
  <c r="GP31" i="33"/>
  <c r="GO31" i="33"/>
  <c r="GN31" i="33"/>
  <c r="GM31" i="33"/>
  <c r="GL31" i="33"/>
  <c r="GK31" i="33"/>
  <c r="GJ31" i="33"/>
  <c r="GI31" i="33"/>
  <c r="GH31" i="33"/>
  <c r="GG31" i="33"/>
  <c r="GF31" i="33"/>
  <c r="GE31" i="33"/>
  <c r="GD31" i="33"/>
  <c r="GC31" i="33"/>
  <c r="GB31" i="33"/>
  <c r="GA31" i="33"/>
  <c r="FZ31" i="33"/>
  <c r="FY31" i="33"/>
  <c r="FX31" i="33"/>
  <c r="FW31" i="33"/>
  <c r="FV31" i="33"/>
  <c r="FU31" i="33"/>
  <c r="FT31" i="33"/>
  <c r="FS31" i="33"/>
  <c r="FR31" i="33"/>
  <c r="FQ31" i="33"/>
  <c r="FP31" i="33"/>
  <c r="FO31" i="33"/>
  <c r="FN31" i="33"/>
  <c r="FM31" i="33"/>
  <c r="FL31" i="33"/>
  <c r="FK31" i="33"/>
  <c r="FJ31" i="33"/>
  <c r="FI31" i="33"/>
  <c r="FH31" i="33"/>
  <c r="FG31" i="33"/>
  <c r="FF31" i="33"/>
  <c r="FE31" i="33"/>
  <c r="FD31" i="33"/>
  <c r="FC31" i="33"/>
  <c r="FB31" i="33"/>
  <c r="FA31" i="33"/>
  <c r="EZ31" i="33"/>
  <c r="EY31" i="33"/>
  <c r="EX31" i="33"/>
  <c r="EW31" i="33"/>
  <c r="EV31" i="33"/>
  <c r="EU31" i="33"/>
  <c r="ET31" i="33"/>
  <c r="ES31" i="33"/>
  <c r="ER31" i="33"/>
  <c r="EQ31" i="33"/>
  <c r="EP31" i="33"/>
  <c r="EO31" i="33"/>
  <c r="EN31" i="33"/>
  <c r="EM31" i="33"/>
  <c r="EL31" i="33"/>
  <c r="EK31" i="33"/>
  <c r="EJ31" i="33"/>
  <c r="EI31" i="33"/>
  <c r="EH31" i="33"/>
  <c r="EG31" i="33"/>
  <c r="EF31" i="33"/>
  <c r="EE31" i="33"/>
  <c r="ED31" i="33"/>
  <c r="EC31" i="33"/>
  <c r="EB31" i="33"/>
  <c r="EA31" i="33"/>
  <c r="DZ31" i="33"/>
  <c r="DY31" i="33"/>
  <c r="DX31" i="33"/>
  <c r="DW31" i="33"/>
  <c r="DV31" i="33"/>
  <c r="DU31" i="33"/>
  <c r="DT31" i="33"/>
  <c r="DS31" i="33"/>
  <c r="DR31" i="33"/>
  <c r="DQ31" i="33"/>
  <c r="DP31" i="33"/>
  <c r="DO31" i="33"/>
  <c r="DN31" i="33"/>
  <c r="DM31" i="33"/>
  <c r="DL31" i="33"/>
  <c r="DK31" i="33"/>
  <c r="DJ31" i="33"/>
  <c r="DI31" i="33"/>
  <c r="DH31" i="33"/>
  <c r="DG31" i="33"/>
  <c r="DF31" i="33"/>
  <c r="DE31" i="33"/>
  <c r="DD31" i="33"/>
  <c r="DC31" i="33"/>
  <c r="DB31" i="33"/>
  <c r="DA31" i="33"/>
  <c r="CZ31" i="33"/>
  <c r="CY31" i="33"/>
  <c r="CX31" i="33"/>
  <c r="CW31" i="33"/>
  <c r="CV31" i="33"/>
  <c r="CU31" i="33"/>
  <c r="CT31" i="33"/>
  <c r="CS31" i="33"/>
  <c r="CR31" i="33"/>
  <c r="CQ31" i="33"/>
  <c r="CP31" i="33"/>
  <c r="CO31" i="33"/>
  <c r="CN31" i="33"/>
  <c r="CM31" i="33"/>
  <c r="CL31" i="33"/>
  <c r="CK31" i="33"/>
  <c r="CJ31" i="33"/>
  <c r="CI31" i="33"/>
  <c r="CH31" i="33"/>
  <c r="CG31" i="33"/>
  <c r="CF31" i="33"/>
  <c r="CE31" i="33"/>
  <c r="CD31" i="33"/>
  <c r="CC31" i="33"/>
  <c r="CB31" i="33"/>
  <c r="CA31" i="33"/>
  <c r="BZ31" i="33"/>
  <c r="BY31" i="33"/>
  <c r="BX31" i="33"/>
  <c r="BW31" i="33"/>
  <c r="BV31" i="33"/>
  <c r="BU31" i="33"/>
  <c r="BT31" i="33"/>
  <c r="BS31" i="33"/>
  <c r="BR31" i="33"/>
  <c r="BQ31" i="33"/>
  <c r="BP31" i="33"/>
  <c r="BO31" i="33"/>
  <c r="BN31" i="33"/>
  <c r="BM31" i="33"/>
  <c r="BL31" i="33"/>
  <c r="BK31" i="33"/>
  <c r="BJ31" i="33"/>
  <c r="BI31" i="33"/>
  <c r="BH31" i="33"/>
  <c r="BG31" i="33"/>
  <c r="BF31" i="33"/>
  <c r="BE31" i="33"/>
  <c r="BD31" i="33"/>
  <c r="BC31" i="33"/>
  <c r="BB31" i="33"/>
  <c r="BA31" i="33"/>
  <c r="AZ31" i="33"/>
  <c r="AY31" i="33"/>
  <c r="AX31" i="33"/>
  <c r="AW31" i="33"/>
  <c r="AV31" i="33"/>
  <c r="AU31" i="33"/>
  <c r="AT31" i="33"/>
  <c r="AS31" i="33"/>
  <c r="AR31" i="33"/>
  <c r="AQ31" i="33"/>
  <c r="AP31" i="33"/>
  <c r="AO31" i="33"/>
  <c r="AN31" i="33"/>
  <c r="AM31" i="33"/>
  <c r="AL31" i="33"/>
  <c r="AK31" i="33"/>
  <c r="AJ31" i="33"/>
  <c r="AI31" i="33"/>
  <c r="AH31" i="33"/>
  <c r="AG31" i="33"/>
  <c r="AF31" i="33"/>
  <c r="AE31" i="33"/>
  <c r="AD31" i="33"/>
  <c r="AC31" i="33"/>
  <c r="AB31" i="33"/>
  <c r="AA31" i="33"/>
  <c r="Z31" i="33"/>
  <c r="Y31" i="33"/>
  <c r="X31" i="33"/>
  <c r="W31" i="33"/>
  <c r="V31" i="33"/>
  <c r="U31" i="33"/>
  <c r="T31" i="33"/>
  <c r="S31" i="33"/>
  <c r="R31" i="33"/>
  <c r="Q31" i="33"/>
  <c r="P31" i="33"/>
  <c r="O31" i="33"/>
  <c r="N31" i="33"/>
  <c r="M31" i="33"/>
  <c r="L31" i="33"/>
  <c r="K31" i="33"/>
  <c r="J31" i="33"/>
  <c r="I31" i="33"/>
  <c r="H31" i="33"/>
  <c r="G31" i="33"/>
  <c r="F31" i="33"/>
  <c r="E31" i="33"/>
  <c r="D31" i="33"/>
  <c r="C31" i="33"/>
  <c r="B31" i="33"/>
  <c r="A31" i="33"/>
  <c r="IV30" i="33"/>
  <c r="IU30" i="33"/>
  <c r="IT30" i="33"/>
  <c r="IS30" i="33"/>
  <c r="IR30" i="33"/>
  <c r="IQ30" i="33"/>
  <c r="IP30" i="33"/>
  <c r="IO30" i="33"/>
  <c r="IN30" i="33"/>
  <c r="IM30" i="33"/>
  <c r="IL30" i="33"/>
  <c r="IK30" i="33"/>
  <c r="IJ30" i="33"/>
  <c r="II30" i="33"/>
  <c r="IH30" i="33"/>
  <c r="IG30" i="33"/>
  <c r="IF30" i="33"/>
  <c r="IE30" i="33"/>
  <c r="ID30" i="33"/>
  <c r="IC30" i="33"/>
  <c r="IB30" i="33"/>
  <c r="IA30" i="33"/>
  <c r="HZ30" i="33"/>
  <c r="HY30" i="33"/>
  <c r="HX30" i="33"/>
  <c r="HW30" i="33"/>
  <c r="HV30" i="33"/>
  <c r="HU30" i="33"/>
  <c r="HT30" i="33"/>
  <c r="HS30" i="33"/>
  <c r="HR30" i="33"/>
  <c r="HQ30" i="33"/>
  <c r="HP30" i="33"/>
  <c r="HO30" i="33"/>
  <c r="HN30" i="33"/>
  <c r="HM30" i="33"/>
  <c r="HL30" i="33"/>
  <c r="HK30" i="33"/>
  <c r="HJ30" i="33"/>
  <c r="HI30" i="33"/>
  <c r="HH30" i="33"/>
  <c r="HG30" i="33"/>
  <c r="HF30" i="33"/>
  <c r="HE30" i="33"/>
  <c r="HD30" i="33"/>
  <c r="HC30" i="33"/>
  <c r="HB30" i="33"/>
  <c r="HA30" i="33"/>
  <c r="GZ30" i="33"/>
  <c r="GY30" i="33"/>
  <c r="GX30" i="33"/>
  <c r="GW30" i="33"/>
  <c r="GV30" i="33"/>
  <c r="GU30" i="33"/>
  <c r="GT30" i="33"/>
  <c r="GS30" i="33"/>
  <c r="GR30" i="33"/>
  <c r="GQ30" i="33"/>
  <c r="GP30" i="33"/>
  <c r="GO30" i="33"/>
  <c r="GN30" i="33"/>
  <c r="GM30" i="33"/>
  <c r="GL30" i="33"/>
  <c r="GK30" i="33"/>
  <c r="GJ30" i="33"/>
  <c r="GI30" i="33"/>
  <c r="GH30" i="33"/>
  <c r="GG30" i="33"/>
  <c r="GF30" i="33"/>
  <c r="GE30" i="33"/>
  <c r="GD30" i="33"/>
  <c r="GC30" i="33"/>
  <c r="GB30" i="33"/>
  <c r="GA30" i="33"/>
  <c r="FZ30" i="33"/>
  <c r="FY30" i="33"/>
  <c r="FX30" i="33"/>
  <c r="FW30" i="33"/>
  <c r="FV30" i="33"/>
  <c r="FU30" i="33"/>
  <c r="FT30" i="33"/>
  <c r="FS30" i="33"/>
  <c r="FR30" i="33"/>
  <c r="FQ30" i="33"/>
  <c r="FP30" i="33"/>
  <c r="FO30" i="33"/>
  <c r="FN30" i="33"/>
  <c r="FM30" i="33"/>
  <c r="FL30" i="33"/>
  <c r="FK30" i="33"/>
  <c r="FJ30" i="33"/>
  <c r="FI30" i="33"/>
  <c r="FH30" i="33"/>
  <c r="FG30" i="33"/>
  <c r="FF30" i="33"/>
  <c r="FE30" i="33"/>
  <c r="FD30" i="33"/>
  <c r="FC30" i="33"/>
  <c r="FB30" i="33"/>
  <c r="FA30" i="33"/>
  <c r="EZ30" i="33"/>
  <c r="EY30" i="33"/>
  <c r="EX30" i="33"/>
  <c r="EW30" i="33"/>
  <c r="EV30" i="33"/>
  <c r="EU30" i="33"/>
  <c r="ET30" i="33"/>
  <c r="ES30" i="33"/>
  <c r="ER30" i="33"/>
  <c r="EQ30" i="33"/>
  <c r="EP30" i="33"/>
  <c r="EO30" i="33"/>
  <c r="EN30" i="33"/>
  <c r="EM30" i="33"/>
  <c r="EL30" i="33"/>
  <c r="EK30" i="33"/>
  <c r="EJ30" i="33"/>
  <c r="EI30" i="33"/>
  <c r="EH30" i="33"/>
  <c r="EG30" i="33"/>
  <c r="EF30" i="33"/>
  <c r="EE30" i="33"/>
  <c r="ED30" i="33"/>
  <c r="EC30" i="33"/>
  <c r="EB30" i="33"/>
  <c r="EA30" i="33"/>
  <c r="DZ30" i="33"/>
  <c r="DY30" i="33"/>
  <c r="DX30" i="33"/>
  <c r="DW30" i="33"/>
  <c r="DV30" i="33"/>
  <c r="DU30" i="33"/>
  <c r="DT30" i="33"/>
  <c r="DS30" i="33"/>
  <c r="DR30" i="33"/>
  <c r="DQ30" i="33"/>
  <c r="DP30" i="33"/>
  <c r="DO30" i="33"/>
  <c r="DN30" i="33"/>
  <c r="DM30" i="33"/>
  <c r="DL30" i="33"/>
  <c r="DK30" i="33"/>
  <c r="DJ30" i="33"/>
  <c r="DI30" i="33"/>
  <c r="DH30" i="33"/>
  <c r="DG30" i="33"/>
  <c r="DF30" i="33"/>
  <c r="DE30" i="33"/>
  <c r="DD30" i="33"/>
  <c r="DC30" i="33"/>
  <c r="DB30" i="33"/>
  <c r="DA30" i="33"/>
  <c r="CZ30" i="33"/>
  <c r="CY30" i="33"/>
  <c r="CX30" i="33"/>
  <c r="CW30" i="33"/>
  <c r="CV30" i="33"/>
  <c r="CU30" i="33"/>
  <c r="CT30" i="33"/>
  <c r="CS30" i="33"/>
  <c r="CR30" i="33"/>
  <c r="CQ30" i="33"/>
  <c r="CP30" i="33"/>
  <c r="CO30" i="33"/>
  <c r="CN30" i="33"/>
  <c r="CM30" i="33"/>
  <c r="CL30" i="33"/>
  <c r="CK30" i="33"/>
  <c r="CJ30" i="33"/>
  <c r="CI30" i="33"/>
  <c r="CH30" i="33"/>
  <c r="CG30" i="33"/>
  <c r="CF30" i="33"/>
  <c r="CE30" i="33"/>
  <c r="CD30" i="33"/>
  <c r="CC30" i="33"/>
  <c r="CB30" i="33"/>
  <c r="CA30" i="33"/>
  <c r="BZ30" i="33"/>
  <c r="BY30" i="33"/>
  <c r="BX30" i="33"/>
  <c r="BW30" i="33"/>
  <c r="BV30" i="33"/>
  <c r="BU30" i="33"/>
  <c r="BT30" i="33"/>
  <c r="BS30" i="33"/>
  <c r="BR30" i="33"/>
  <c r="BQ30" i="33"/>
  <c r="BP30" i="33"/>
  <c r="BO30" i="33"/>
  <c r="BN30" i="33"/>
  <c r="BM30" i="33"/>
  <c r="BL30" i="33"/>
  <c r="BK30" i="33"/>
  <c r="BJ30" i="33"/>
  <c r="BI30" i="33"/>
  <c r="BH30" i="33"/>
  <c r="BG30" i="33"/>
  <c r="BF30" i="33"/>
  <c r="BE30" i="33"/>
  <c r="BD30" i="33"/>
  <c r="BC30" i="33"/>
  <c r="BB30" i="33"/>
  <c r="BA30" i="33"/>
  <c r="AZ30" i="33"/>
  <c r="AY30" i="33"/>
  <c r="AX30" i="33"/>
  <c r="AW30" i="33"/>
  <c r="AV30" i="33"/>
  <c r="AU30" i="33"/>
  <c r="AT30" i="33"/>
  <c r="AS30" i="33"/>
  <c r="AR30" i="33"/>
  <c r="AQ30" i="33"/>
  <c r="AP30" i="33"/>
  <c r="AO30" i="33"/>
  <c r="AN30" i="33"/>
  <c r="AM30" i="33"/>
  <c r="AL30" i="33"/>
  <c r="AK30" i="33"/>
  <c r="AJ30" i="33"/>
  <c r="AI30" i="33"/>
  <c r="AH30" i="33"/>
  <c r="AG30" i="33"/>
  <c r="AF30" i="33"/>
  <c r="AE30" i="33"/>
  <c r="AD30" i="33"/>
  <c r="AC30" i="33"/>
  <c r="AB30" i="33"/>
  <c r="AA30" i="33"/>
  <c r="Z30" i="33"/>
  <c r="Y30" i="33"/>
  <c r="X30" i="33"/>
  <c r="W30" i="33"/>
  <c r="V30" i="33"/>
  <c r="U30" i="33"/>
  <c r="T30" i="33"/>
  <c r="S30" i="33"/>
  <c r="R30" i="33"/>
  <c r="Q30" i="33"/>
  <c r="P30" i="33"/>
  <c r="O30" i="33"/>
  <c r="N30" i="33"/>
  <c r="M30" i="33"/>
  <c r="L30" i="33"/>
  <c r="K30" i="33"/>
  <c r="J30" i="33"/>
  <c r="I30" i="33"/>
  <c r="H30" i="33"/>
  <c r="G30" i="33"/>
  <c r="F30" i="33"/>
  <c r="E30" i="33"/>
  <c r="D30" i="33"/>
  <c r="C30" i="33"/>
  <c r="B30" i="33"/>
  <c r="A30" i="33"/>
  <c r="IV29" i="33"/>
  <c r="IU29" i="33"/>
  <c r="IT29" i="33"/>
  <c r="IS29" i="33"/>
  <c r="IR29" i="33"/>
  <c r="IQ29" i="33"/>
  <c r="IP29" i="33"/>
  <c r="IO29" i="33"/>
  <c r="IN29" i="33"/>
  <c r="IM29" i="33"/>
  <c r="IL29" i="33"/>
  <c r="IK29" i="33"/>
  <c r="IJ29" i="33"/>
  <c r="II29" i="33"/>
  <c r="IH29" i="33"/>
  <c r="IG29" i="33"/>
  <c r="IF29" i="33"/>
  <c r="IE29" i="33"/>
  <c r="ID29" i="33"/>
  <c r="IC29" i="33"/>
  <c r="IB29" i="33"/>
  <c r="IA29" i="33"/>
  <c r="HZ29" i="33"/>
  <c r="HY29" i="33"/>
  <c r="HX29" i="33"/>
  <c r="HW29" i="33"/>
  <c r="HV29" i="33"/>
  <c r="HU29" i="33"/>
  <c r="HT29" i="33"/>
  <c r="HS29" i="33"/>
  <c r="HR29" i="33"/>
  <c r="HQ29" i="33"/>
  <c r="HP29" i="33"/>
  <c r="HO29" i="33"/>
  <c r="HN29" i="33"/>
  <c r="HM29" i="33"/>
  <c r="HL29" i="33"/>
  <c r="HK29" i="33"/>
  <c r="HJ29" i="33"/>
  <c r="HI29" i="33"/>
  <c r="HH29" i="33"/>
  <c r="HG29" i="33"/>
  <c r="HF29" i="33"/>
  <c r="HE29" i="33"/>
  <c r="HD29" i="33"/>
  <c r="HC29" i="33"/>
  <c r="HB29" i="33"/>
  <c r="HA29" i="33"/>
  <c r="GZ29" i="33"/>
  <c r="GY29" i="33"/>
  <c r="GX29" i="33"/>
  <c r="GW29" i="33"/>
  <c r="GV29" i="33"/>
  <c r="GU29" i="33"/>
  <c r="GT29" i="33"/>
  <c r="GS29" i="33"/>
  <c r="GR29" i="33"/>
  <c r="GQ29" i="33"/>
  <c r="GP29" i="33"/>
  <c r="GO29" i="33"/>
  <c r="GN29" i="33"/>
  <c r="GM29" i="33"/>
  <c r="GL29" i="33"/>
  <c r="GK29" i="33"/>
  <c r="GJ29" i="33"/>
  <c r="GI29" i="33"/>
  <c r="GH29" i="33"/>
  <c r="GG29" i="33"/>
  <c r="GF29" i="33"/>
  <c r="GE29" i="33"/>
  <c r="GD29" i="33"/>
  <c r="GC29" i="33"/>
  <c r="GB29" i="33"/>
  <c r="GA29" i="33"/>
  <c r="FZ29" i="33"/>
  <c r="FY29" i="33"/>
  <c r="FX29" i="33"/>
  <c r="FW29" i="33"/>
  <c r="FV29" i="33"/>
  <c r="FU29" i="33"/>
  <c r="FT29" i="33"/>
  <c r="FS29" i="33"/>
  <c r="FR29" i="33"/>
  <c r="FQ29" i="33"/>
  <c r="FP29" i="33"/>
  <c r="FO29" i="33"/>
  <c r="FN29" i="33"/>
  <c r="FM29" i="33"/>
  <c r="FL29" i="33"/>
  <c r="FK29" i="33"/>
  <c r="FJ29" i="33"/>
  <c r="FI29" i="33"/>
  <c r="FH29" i="33"/>
  <c r="FG29" i="33"/>
  <c r="FF29" i="33"/>
  <c r="FE29" i="33"/>
  <c r="FD29" i="33"/>
  <c r="FC29" i="33"/>
  <c r="FB29" i="33"/>
  <c r="FA29" i="33"/>
  <c r="EZ29" i="33"/>
  <c r="EY29" i="33"/>
  <c r="EX29" i="33"/>
  <c r="EW29" i="33"/>
  <c r="EV29" i="33"/>
  <c r="EU29" i="33"/>
  <c r="ET29" i="33"/>
  <c r="ES29" i="33"/>
  <c r="ER29" i="33"/>
  <c r="EQ29" i="33"/>
  <c r="EP29" i="33"/>
  <c r="EO29" i="33"/>
  <c r="EN29" i="33"/>
  <c r="EM29" i="33"/>
  <c r="EL29" i="33"/>
  <c r="EK29" i="33"/>
  <c r="EJ29" i="33"/>
  <c r="EI29" i="33"/>
  <c r="EH29" i="33"/>
  <c r="EG29" i="33"/>
  <c r="EF29" i="33"/>
  <c r="EE29" i="33"/>
  <c r="ED29" i="33"/>
  <c r="EC29" i="33"/>
  <c r="EB29" i="33"/>
  <c r="EA29" i="33"/>
  <c r="DZ29" i="33"/>
  <c r="DY29" i="33"/>
  <c r="DX29" i="33"/>
  <c r="DW29" i="33"/>
  <c r="DV29" i="33"/>
  <c r="DU29" i="33"/>
  <c r="DT29" i="33"/>
  <c r="DS29" i="33"/>
  <c r="DR29" i="33"/>
  <c r="DQ29" i="33"/>
  <c r="DP29" i="33"/>
  <c r="DO29" i="33"/>
  <c r="DN29" i="33"/>
  <c r="DM29" i="33"/>
  <c r="DL29" i="33"/>
  <c r="DK29" i="33"/>
  <c r="DJ29" i="33"/>
  <c r="DI29" i="33"/>
  <c r="DH29" i="33"/>
  <c r="DG29" i="33"/>
  <c r="DF29" i="33"/>
  <c r="DE29" i="33"/>
  <c r="DD29" i="33"/>
  <c r="DC29" i="33"/>
  <c r="DB29" i="33"/>
  <c r="DA29" i="33"/>
  <c r="CZ29" i="33"/>
  <c r="CY29" i="33"/>
  <c r="CX29" i="33"/>
  <c r="CW29" i="33"/>
  <c r="CV29" i="33"/>
  <c r="CU29" i="33"/>
  <c r="CT29" i="33"/>
  <c r="CS29" i="33"/>
  <c r="CR29" i="33"/>
  <c r="CQ29" i="33"/>
  <c r="CP29" i="33"/>
  <c r="CO29" i="33"/>
  <c r="CN29" i="33"/>
  <c r="CM29" i="33"/>
  <c r="CL29" i="33"/>
  <c r="CK29" i="33"/>
  <c r="CJ29" i="33"/>
  <c r="CI29" i="33"/>
  <c r="CH29" i="33"/>
  <c r="CG29" i="33"/>
  <c r="CF29" i="33"/>
  <c r="CE29" i="33"/>
  <c r="CD29" i="33"/>
  <c r="CC29" i="33"/>
  <c r="CB29" i="33"/>
  <c r="CA29" i="33"/>
  <c r="BZ29" i="33"/>
  <c r="BY29" i="33"/>
  <c r="BX29" i="33"/>
  <c r="BW29" i="33"/>
  <c r="BV29" i="33"/>
  <c r="BU29" i="33"/>
  <c r="BT29" i="33"/>
  <c r="BS29" i="33"/>
  <c r="BR29" i="33"/>
  <c r="BQ29" i="33"/>
  <c r="BP29" i="33"/>
  <c r="BO29" i="33"/>
  <c r="BN29" i="33"/>
  <c r="BM29" i="33"/>
  <c r="BL29" i="33"/>
  <c r="BK29" i="33"/>
  <c r="BJ29" i="33"/>
  <c r="BI29" i="33"/>
  <c r="BH29" i="33"/>
  <c r="BG29" i="33"/>
  <c r="BF29" i="33"/>
  <c r="BE29" i="33"/>
  <c r="BD29" i="33"/>
  <c r="BC29" i="33"/>
  <c r="BB29" i="33"/>
  <c r="BA29" i="33"/>
  <c r="AZ29" i="33"/>
  <c r="AY29" i="33"/>
  <c r="AX29" i="33"/>
  <c r="AW29" i="33"/>
  <c r="AV29" i="33"/>
  <c r="AU29" i="33"/>
  <c r="AT29" i="33"/>
  <c r="AS29" i="33"/>
  <c r="AR29" i="33"/>
  <c r="AQ29" i="33"/>
  <c r="AP29" i="33"/>
  <c r="AO29" i="33"/>
  <c r="AN29" i="33"/>
  <c r="AM29" i="33"/>
  <c r="AL29" i="33"/>
  <c r="AK29" i="33"/>
  <c r="AJ29" i="33"/>
  <c r="AI29" i="33"/>
  <c r="AH29" i="33"/>
  <c r="AG29" i="33"/>
  <c r="AF29" i="33"/>
  <c r="AE29" i="33"/>
  <c r="AD29" i="33"/>
  <c r="AC29" i="33"/>
  <c r="AB29" i="33"/>
  <c r="AA29" i="33"/>
  <c r="Z29" i="33"/>
  <c r="Y29" i="33"/>
  <c r="X29" i="33"/>
  <c r="W29" i="33"/>
  <c r="V29" i="33"/>
  <c r="U29" i="33"/>
  <c r="T29" i="33"/>
  <c r="S29" i="33"/>
  <c r="R29" i="33"/>
  <c r="Q29" i="33"/>
  <c r="P29" i="33"/>
  <c r="O29" i="33"/>
  <c r="N29" i="33"/>
  <c r="M29" i="33"/>
  <c r="L29" i="33"/>
  <c r="K29" i="33"/>
  <c r="J29" i="33"/>
  <c r="I29" i="33"/>
  <c r="H29" i="33"/>
  <c r="G29" i="33"/>
  <c r="F29" i="33"/>
  <c r="E29" i="33"/>
  <c r="D29" i="33"/>
  <c r="C29" i="33"/>
  <c r="B29" i="33"/>
  <c r="A29" i="33"/>
  <c r="IV28" i="33"/>
  <c r="IU28" i="33"/>
  <c r="IT28" i="33"/>
  <c r="IS28" i="33"/>
  <c r="IR28" i="33"/>
  <c r="IQ28" i="33"/>
  <c r="IP28" i="33"/>
  <c r="IO28" i="33"/>
  <c r="IN28" i="33"/>
  <c r="IM28" i="33"/>
  <c r="IL28" i="33"/>
  <c r="IK28" i="33"/>
  <c r="IJ28" i="33"/>
  <c r="II28" i="33"/>
  <c r="IH28" i="33"/>
  <c r="IG28" i="33"/>
  <c r="IF28" i="33"/>
  <c r="IE28" i="33"/>
  <c r="ID28" i="33"/>
  <c r="IC28" i="33"/>
  <c r="IB28" i="33"/>
  <c r="IA28" i="33"/>
  <c r="HZ28" i="33"/>
  <c r="HY28" i="33"/>
  <c r="HX28" i="33"/>
  <c r="HW28" i="33"/>
  <c r="HV28" i="33"/>
  <c r="HU28" i="33"/>
  <c r="HT28" i="33"/>
  <c r="HS28" i="33"/>
  <c r="HR28" i="33"/>
  <c r="HQ28" i="33"/>
  <c r="HP28" i="33"/>
  <c r="HO28" i="33"/>
  <c r="HN28" i="33"/>
  <c r="HM28" i="33"/>
  <c r="HL28" i="33"/>
  <c r="HK28" i="33"/>
  <c r="HJ28" i="33"/>
  <c r="HI28" i="33"/>
  <c r="HH28" i="33"/>
  <c r="HG28" i="33"/>
  <c r="HF28" i="33"/>
  <c r="HE28" i="33"/>
  <c r="HD28" i="33"/>
  <c r="HC28" i="33"/>
  <c r="HB28" i="33"/>
  <c r="HA28" i="33"/>
  <c r="GZ28" i="33"/>
  <c r="GY28" i="33"/>
  <c r="GX28" i="33"/>
  <c r="GW28" i="33"/>
  <c r="GV28" i="33"/>
  <c r="GU28" i="33"/>
  <c r="GT28" i="33"/>
  <c r="GS28" i="33"/>
  <c r="GR28" i="33"/>
  <c r="GQ28" i="33"/>
  <c r="GP28" i="33"/>
  <c r="GO28" i="33"/>
  <c r="GN28" i="33"/>
  <c r="GM28" i="33"/>
  <c r="GL28" i="33"/>
  <c r="GK28" i="33"/>
  <c r="GJ28" i="33"/>
  <c r="GI28" i="33"/>
  <c r="GH28" i="33"/>
  <c r="GG28" i="33"/>
  <c r="GF28" i="33"/>
  <c r="GE28" i="33"/>
  <c r="GD28" i="33"/>
  <c r="GC28" i="33"/>
  <c r="GB28" i="33"/>
  <c r="GA28" i="33"/>
  <c r="FZ28" i="33"/>
  <c r="FY28" i="33"/>
  <c r="FX28" i="33"/>
  <c r="FW28" i="33"/>
  <c r="FV28" i="33"/>
  <c r="FU28" i="33"/>
  <c r="FT28" i="33"/>
  <c r="FS28" i="33"/>
  <c r="FR28" i="33"/>
  <c r="FQ28" i="33"/>
  <c r="FP28" i="33"/>
  <c r="FO28" i="33"/>
  <c r="FN28" i="33"/>
  <c r="FM28" i="33"/>
  <c r="FL28" i="33"/>
  <c r="FK28" i="33"/>
  <c r="FJ28" i="33"/>
  <c r="FI28" i="33"/>
  <c r="FH28" i="33"/>
  <c r="FG28" i="33"/>
  <c r="FF28" i="33"/>
  <c r="FE28" i="33"/>
  <c r="FD28" i="33"/>
  <c r="FC28" i="33"/>
  <c r="FB28" i="33"/>
  <c r="FA28" i="33"/>
  <c r="EZ28" i="33"/>
  <c r="EY28" i="33"/>
  <c r="EX28" i="33"/>
  <c r="EW28" i="33"/>
  <c r="EV28" i="33"/>
  <c r="EU28" i="33"/>
  <c r="ET28" i="33"/>
  <c r="ES28" i="33"/>
  <c r="ER28" i="33"/>
  <c r="EQ28" i="33"/>
  <c r="EP28" i="33"/>
  <c r="EO28" i="33"/>
  <c r="EN28" i="33"/>
  <c r="EM28" i="33"/>
  <c r="EL28" i="33"/>
  <c r="EK28" i="33"/>
  <c r="EJ28" i="33"/>
  <c r="EI28" i="33"/>
  <c r="EH28" i="33"/>
  <c r="EG28" i="33"/>
  <c r="EF28" i="33"/>
  <c r="EE28" i="33"/>
  <c r="ED28" i="33"/>
  <c r="EC28" i="33"/>
  <c r="EB28" i="33"/>
  <c r="EA28" i="33"/>
  <c r="DZ28" i="33"/>
  <c r="DY28" i="33"/>
  <c r="DX28" i="33"/>
  <c r="DW28" i="33"/>
  <c r="DV28" i="33"/>
  <c r="DU28" i="33"/>
  <c r="DT28" i="33"/>
  <c r="DS28" i="33"/>
  <c r="DR28" i="33"/>
  <c r="DQ28" i="33"/>
  <c r="DP28" i="33"/>
  <c r="DO28" i="33"/>
  <c r="DN28" i="33"/>
  <c r="DM28" i="33"/>
  <c r="DL28" i="33"/>
  <c r="DK28" i="33"/>
  <c r="DJ28" i="33"/>
  <c r="DI28" i="33"/>
  <c r="DH28" i="33"/>
  <c r="DG28" i="33"/>
  <c r="DF28" i="33"/>
  <c r="DE28" i="33"/>
  <c r="DD28" i="33"/>
  <c r="DC28" i="33"/>
  <c r="DB28" i="33"/>
  <c r="DA28" i="33"/>
  <c r="CZ28" i="33"/>
  <c r="CY28" i="33"/>
  <c r="CX28" i="33"/>
  <c r="CW28" i="33"/>
  <c r="CV28" i="33"/>
  <c r="CU28" i="33"/>
  <c r="CT28" i="33"/>
  <c r="CS28" i="33"/>
  <c r="CR28" i="33"/>
  <c r="CQ28" i="33"/>
  <c r="CP28" i="33"/>
  <c r="CO28" i="33"/>
  <c r="CN28" i="33"/>
  <c r="CM28" i="33"/>
  <c r="CL28" i="33"/>
  <c r="CK28" i="33"/>
  <c r="CJ28" i="33"/>
  <c r="CI28" i="33"/>
  <c r="CH28" i="33"/>
  <c r="CG28" i="33"/>
  <c r="CF28" i="33"/>
  <c r="CE28" i="33"/>
  <c r="CD28" i="33"/>
  <c r="CC28" i="33"/>
  <c r="CB28" i="33"/>
  <c r="CA28" i="33"/>
  <c r="BZ28" i="33"/>
  <c r="BY28" i="33"/>
  <c r="BX28" i="33"/>
  <c r="BW28" i="33"/>
  <c r="BV28" i="33"/>
  <c r="BU28" i="33"/>
  <c r="BT28" i="33"/>
  <c r="BS28" i="33"/>
  <c r="BR28" i="33"/>
  <c r="BQ28" i="33"/>
  <c r="BP28" i="33"/>
  <c r="BO28" i="33"/>
  <c r="BN28" i="33"/>
  <c r="BM28" i="33"/>
  <c r="BL28" i="33"/>
  <c r="BK28" i="33"/>
  <c r="BJ28" i="33"/>
  <c r="BI28" i="33"/>
  <c r="BH28" i="33"/>
  <c r="BG28" i="33"/>
  <c r="BF28" i="33"/>
  <c r="BE28" i="33"/>
  <c r="BD28" i="33"/>
  <c r="BC28" i="33"/>
  <c r="BB28" i="33"/>
  <c r="BA28" i="33"/>
  <c r="AZ28" i="33"/>
  <c r="AY28" i="33"/>
  <c r="AX28" i="33"/>
  <c r="AW28" i="33"/>
  <c r="AV28" i="33"/>
  <c r="AU28" i="33"/>
  <c r="AT28" i="33"/>
  <c r="AS28" i="33"/>
  <c r="AR28" i="33"/>
  <c r="AQ28" i="33"/>
  <c r="AP28" i="33"/>
  <c r="AO28" i="33"/>
  <c r="AN28" i="33"/>
  <c r="AM28" i="33"/>
  <c r="AL28" i="33"/>
  <c r="AK28" i="33"/>
  <c r="AJ28" i="33"/>
  <c r="AI28" i="33"/>
  <c r="AH28" i="33"/>
  <c r="AG28" i="33"/>
  <c r="AF28" i="33"/>
  <c r="AE28" i="33"/>
  <c r="AD28" i="33"/>
  <c r="AC28" i="33"/>
  <c r="AB28" i="33"/>
  <c r="AA28" i="33"/>
  <c r="Z28" i="33"/>
  <c r="Y28" i="33"/>
  <c r="X28" i="33"/>
  <c r="W28" i="33"/>
  <c r="V28" i="33"/>
  <c r="U28" i="33"/>
  <c r="T28" i="33"/>
  <c r="S28" i="33"/>
  <c r="R28" i="33"/>
  <c r="Q28" i="33"/>
  <c r="P28" i="33"/>
  <c r="O28" i="33"/>
  <c r="N28" i="33"/>
  <c r="M28" i="33"/>
  <c r="L28" i="33"/>
  <c r="K28" i="33"/>
  <c r="J28" i="33"/>
  <c r="I28" i="33"/>
  <c r="H28" i="33"/>
  <c r="G28" i="33"/>
  <c r="F28" i="33"/>
  <c r="E28" i="33"/>
  <c r="D28" i="33"/>
  <c r="C28" i="33"/>
  <c r="B28" i="33"/>
  <c r="A28" i="33"/>
  <c r="IV27" i="33"/>
  <c r="IU27" i="33"/>
  <c r="IT27" i="33"/>
  <c r="IS27" i="33"/>
  <c r="IR27" i="33"/>
  <c r="IQ27" i="33"/>
  <c r="IP27" i="33"/>
  <c r="IO27" i="33"/>
  <c r="IN27" i="33"/>
  <c r="IM27" i="33"/>
  <c r="IL27" i="33"/>
  <c r="IK27" i="33"/>
  <c r="IJ27" i="33"/>
  <c r="II27" i="33"/>
  <c r="IH27" i="33"/>
  <c r="IG27" i="33"/>
  <c r="IF27" i="33"/>
  <c r="IE27" i="33"/>
  <c r="ID27" i="33"/>
  <c r="IC27" i="33"/>
  <c r="IB27" i="33"/>
  <c r="IA27" i="33"/>
  <c r="HZ27" i="33"/>
  <c r="HY27" i="33"/>
  <c r="HX27" i="33"/>
  <c r="HW27" i="33"/>
  <c r="HV27" i="33"/>
  <c r="HU27" i="33"/>
  <c r="HT27" i="33"/>
  <c r="HS27" i="33"/>
  <c r="HR27" i="33"/>
  <c r="HQ27" i="33"/>
  <c r="HP27" i="33"/>
  <c r="HO27" i="33"/>
  <c r="HN27" i="33"/>
  <c r="HM27" i="33"/>
  <c r="HL27" i="33"/>
  <c r="HK27" i="33"/>
  <c r="HJ27" i="33"/>
  <c r="HI27" i="33"/>
  <c r="HH27" i="33"/>
  <c r="HG27" i="33"/>
  <c r="HF27" i="33"/>
  <c r="HE27" i="33"/>
  <c r="HD27" i="33"/>
  <c r="HC27" i="33"/>
  <c r="HB27" i="33"/>
  <c r="HA27" i="33"/>
  <c r="GZ27" i="33"/>
  <c r="GY27" i="33"/>
  <c r="GX27" i="33"/>
  <c r="GW27" i="33"/>
  <c r="GV27" i="33"/>
  <c r="GU27" i="33"/>
  <c r="GT27" i="33"/>
  <c r="GS27" i="33"/>
  <c r="GR27" i="33"/>
  <c r="GQ27" i="33"/>
  <c r="GP27" i="33"/>
  <c r="GO27" i="33"/>
  <c r="GN27" i="33"/>
  <c r="GM27" i="33"/>
  <c r="GL27" i="33"/>
  <c r="GK27" i="33"/>
  <c r="GJ27" i="33"/>
  <c r="GI27" i="33"/>
  <c r="GH27" i="33"/>
  <c r="GG27" i="33"/>
  <c r="GF27" i="33"/>
  <c r="GE27" i="33"/>
  <c r="GD27" i="33"/>
  <c r="GC27" i="33"/>
  <c r="GB27" i="33"/>
  <c r="GA27" i="33"/>
  <c r="FZ27" i="33"/>
  <c r="FY27" i="33"/>
  <c r="FX27" i="33"/>
  <c r="FW27" i="33"/>
  <c r="FV27" i="33"/>
  <c r="FU27" i="33"/>
  <c r="FT27" i="33"/>
  <c r="FS27" i="33"/>
  <c r="FR27" i="33"/>
  <c r="FQ27" i="33"/>
  <c r="FP27" i="33"/>
  <c r="FO27" i="33"/>
  <c r="FN27" i="33"/>
  <c r="FM27" i="33"/>
  <c r="FL27" i="33"/>
  <c r="FK27" i="33"/>
  <c r="FJ27" i="33"/>
  <c r="FI27" i="33"/>
  <c r="FH27" i="33"/>
  <c r="FG27" i="33"/>
  <c r="FF27" i="33"/>
  <c r="FE27" i="33"/>
  <c r="FD27" i="33"/>
  <c r="FC27" i="33"/>
  <c r="FB27" i="33"/>
  <c r="FA27" i="33"/>
  <c r="EZ27" i="33"/>
  <c r="EY27" i="33"/>
  <c r="EX27" i="33"/>
  <c r="EW27" i="33"/>
  <c r="EV27" i="33"/>
  <c r="EU27" i="33"/>
  <c r="ET27" i="33"/>
  <c r="ES27" i="33"/>
  <c r="ER27" i="33"/>
  <c r="EQ27" i="33"/>
  <c r="EP27" i="33"/>
  <c r="EO27" i="33"/>
  <c r="EN27" i="33"/>
  <c r="EM27" i="33"/>
  <c r="EL27" i="33"/>
  <c r="EK27" i="33"/>
  <c r="EJ27" i="33"/>
  <c r="EI27" i="33"/>
  <c r="EH27" i="33"/>
  <c r="EG27" i="33"/>
  <c r="EF27" i="33"/>
  <c r="EE27" i="33"/>
  <c r="ED27" i="33"/>
  <c r="EC27" i="33"/>
  <c r="EB27" i="33"/>
  <c r="EA27" i="33"/>
  <c r="DZ27" i="33"/>
  <c r="DY27" i="33"/>
  <c r="DX27" i="33"/>
  <c r="DW27" i="33"/>
  <c r="DV27" i="33"/>
  <c r="DU27" i="33"/>
  <c r="DT27" i="33"/>
  <c r="DS27" i="33"/>
  <c r="DR27" i="33"/>
  <c r="DQ27" i="33"/>
  <c r="DP27" i="33"/>
  <c r="DO27" i="33"/>
  <c r="DN27" i="33"/>
  <c r="DM27" i="33"/>
  <c r="DL27" i="33"/>
  <c r="DK27" i="33"/>
  <c r="DJ27" i="33"/>
  <c r="DI27" i="33"/>
  <c r="DH27" i="33"/>
  <c r="DG27" i="33"/>
  <c r="DF27" i="33"/>
  <c r="DE27" i="33"/>
  <c r="DD27" i="33"/>
  <c r="DC27" i="33"/>
  <c r="DB27" i="33"/>
  <c r="DA27" i="33"/>
  <c r="CZ27" i="33"/>
  <c r="CY27" i="33"/>
  <c r="CX27" i="33"/>
  <c r="CW27" i="33"/>
  <c r="CV27" i="33"/>
  <c r="CU27" i="33"/>
  <c r="CT27" i="33"/>
  <c r="CS27" i="33"/>
  <c r="CR27" i="33"/>
  <c r="CQ27" i="33"/>
  <c r="CP27" i="33"/>
  <c r="CO27" i="33"/>
  <c r="CN27" i="33"/>
  <c r="CM27" i="33"/>
  <c r="CL27" i="33"/>
  <c r="CK27" i="33"/>
  <c r="CJ27" i="33"/>
  <c r="CI27" i="33"/>
  <c r="CH27" i="33"/>
  <c r="CG27" i="33"/>
  <c r="CF27" i="33"/>
  <c r="CE27" i="33"/>
  <c r="CD27" i="33"/>
  <c r="CC27" i="33"/>
  <c r="CB27" i="33"/>
  <c r="CA27" i="33"/>
  <c r="BZ27" i="33"/>
  <c r="BY27" i="33"/>
  <c r="BX27" i="33"/>
  <c r="BW27" i="33"/>
  <c r="BV27" i="33"/>
  <c r="BU27" i="33"/>
  <c r="BT27" i="33"/>
  <c r="BS27" i="33"/>
  <c r="BR27" i="33"/>
  <c r="BQ27" i="33"/>
  <c r="BP27" i="33"/>
  <c r="BO27" i="33"/>
  <c r="BN27" i="33"/>
  <c r="BM27" i="33"/>
  <c r="BL27" i="33"/>
  <c r="BK27" i="33"/>
  <c r="BJ27" i="33"/>
  <c r="BI27" i="33"/>
  <c r="BH27" i="33"/>
  <c r="BG27" i="33"/>
  <c r="BF27" i="33"/>
  <c r="BE27" i="33"/>
  <c r="BD27" i="33"/>
  <c r="BC27" i="33"/>
  <c r="BB27" i="33"/>
  <c r="BA27" i="33"/>
  <c r="AZ27" i="33"/>
  <c r="AY27" i="33"/>
  <c r="AX27" i="33"/>
  <c r="AW27" i="33"/>
  <c r="AV27" i="33"/>
  <c r="AU27" i="33"/>
  <c r="AT27" i="33"/>
  <c r="AS27" i="33"/>
  <c r="AR27" i="33"/>
  <c r="AQ27" i="33"/>
  <c r="AP27" i="33"/>
  <c r="AO27" i="33"/>
  <c r="AN27" i="33"/>
  <c r="AM27" i="33"/>
  <c r="AL27" i="33"/>
  <c r="AK27" i="33"/>
  <c r="AJ27" i="33"/>
  <c r="AI27" i="33"/>
  <c r="AH27" i="33"/>
  <c r="AG27" i="33"/>
  <c r="AF27" i="33"/>
  <c r="AE27" i="33"/>
  <c r="AD27" i="33"/>
  <c r="AC27" i="33"/>
  <c r="AB27" i="33"/>
  <c r="AA27" i="33"/>
  <c r="Z27" i="33"/>
  <c r="Y27" i="33"/>
  <c r="X27" i="33"/>
  <c r="W27" i="33"/>
  <c r="V27" i="33"/>
  <c r="U27" i="33"/>
  <c r="T27" i="33"/>
  <c r="S27" i="33"/>
  <c r="R27" i="33"/>
  <c r="Q27" i="33"/>
  <c r="P27" i="33"/>
  <c r="O27" i="33"/>
  <c r="N27" i="33"/>
  <c r="M27" i="33"/>
  <c r="L27" i="33"/>
  <c r="K27" i="33"/>
  <c r="J27" i="33"/>
  <c r="I27" i="33"/>
  <c r="H27" i="33"/>
  <c r="G27" i="33"/>
  <c r="F27" i="33"/>
  <c r="E27" i="33"/>
  <c r="D27" i="33"/>
  <c r="C27" i="33"/>
  <c r="B27" i="33"/>
  <c r="A27" i="33"/>
  <c r="IV26" i="33"/>
  <c r="IU26" i="33"/>
  <c r="IT26" i="33"/>
  <c r="IS26" i="33"/>
  <c r="IR26" i="33"/>
  <c r="IQ26" i="33"/>
  <c r="IP26" i="33"/>
  <c r="IO26" i="33"/>
  <c r="IN26" i="33"/>
  <c r="IM26" i="33"/>
  <c r="IL26" i="33"/>
  <c r="IK26" i="33"/>
  <c r="IJ26" i="33"/>
  <c r="II26" i="33"/>
  <c r="IH26" i="33"/>
  <c r="IG26" i="33"/>
  <c r="IF26" i="33"/>
  <c r="IE26" i="33"/>
  <c r="ID26" i="33"/>
  <c r="IC26" i="33"/>
  <c r="IB26" i="33"/>
  <c r="IA26" i="33"/>
  <c r="HZ26" i="33"/>
  <c r="HY26" i="33"/>
  <c r="HX26" i="33"/>
  <c r="HW26" i="33"/>
  <c r="HV26" i="33"/>
  <c r="HU26" i="33"/>
  <c r="HT26" i="33"/>
  <c r="HS26" i="33"/>
  <c r="HR26" i="33"/>
  <c r="HQ26" i="33"/>
  <c r="HP26" i="33"/>
  <c r="HO26" i="33"/>
  <c r="HN26" i="33"/>
  <c r="HM26" i="33"/>
  <c r="HL26" i="33"/>
  <c r="HK26" i="33"/>
  <c r="HJ26" i="33"/>
  <c r="HI26" i="33"/>
  <c r="HH26" i="33"/>
  <c r="HG26" i="33"/>
  <c r="HF26" i="33"/>
  <c r="HE26" i="33"/>
  <c r="HD26" i="33"/>
  <c r="HC26" i="33"/>
  <c r="HB26" i="33"/>
  <c r="HA26" i="33"/>
  <c r="GZ26" i="33"/>
  <c r="GY26" i="33"/>
  <c r="GX26" i="33"/>
  <c r="GW26" i="33"/>
  <c r="GV26" i="33"/>
  <c r="GU26" i="33"/>
  <c r="GT26" i="33"/>
  <c r="GS26" i="33"/>
  <c r="GR26" i="33"/>
  <c r="GQ26" i="33"/>
  <c r="GP26" i="33"/>
  <c r="GO26" i="33"/>
  <c r="GN26" i="33"/>
  <c r="GM26" i="33"/>
  <c r="GL26" i="33"/>
  <c r="GK26" i="33"/>
  <c r="GJ26" i="33"/>
  <c r="GI26" i="33"/>
  <c r="GH26" i="33"/>
  <c r="GG26" i="33"/>
  <c r="GF26" i="33"/>
  <c r="GE26" i="33"/>
  <c r="GD26" i="33"/>
  <c r="GC26" i="33"/>
  <c r="GB26" i="33"/>
  <c r="GA26" i="33"/>
  <c r="FZ26" i="33"/>
  <c r="FY26" i="33"/>
  <c r="FX26" i="33"/>
  <c r="FW26" i="33"/>
  <c r="FV26" i="33"/>
  <c r="FU26" i="33"/>
  <c r="FT26" i="33"/>
  <c r="FS26" i="33"/>
  <c r="FR26" i="33"/>
  <c r="FQ26" i="33"/>
  <c r="FP26" i="33"/>
  <c r="FO26" i="33"/>
  <c r="FN26" i="33"/>
  <c r="FM26" i="33"/>
  <c r="FL26" i="33"/>
  <c r="FK26" i="33"/>
  <c r="FJ26" i="33"/>
  <c r="FI26" i="33"/>
  <c r="FH26" i="33"/>
  <c r="FG26" i="33"/>
  <c r="FF26" i="33"/>
  <c r="FE26" i="33"/>
  <c r="FD26" i="33"/>
  <c r="FC26" i="33"/>
  <c r="FB26" i="33"/>
  <c r="FA26" i="33"/>
  <c r="EZ26" i="33"/>
  <c r="EY26" i="33"/>
  <c r="EX26" i="33"/>
  <c r="EW26" i="33"/>
  <c r="EV26" i="33"/>
  <c r="EU26" i="33"/>
  <c r="ET26" i="33"/>
  <c r="ES26" i="33"/>
  <c r="ER26" i="33"/>
  <c r="EQ26" i="33"/>
  <c r="EP26" i="33"/>
  <c r="EO26" i="33"/>
  <c r="EN26" i="33"/>
  <c r="EM26" i="33"/>
  <c r="EL26" i="33"/>
  <c r="EK26" i="33"/>
  <c r="EJ26" i="33"/>
  <c r="EI26" i="33"/>
  <c r="EH26" i="33"/>
  <c r="EG26" i="33"/>
  <c r="EF26" i="33"/>
  <c r="EE26" i="33"/>
  <c r="ED26" i="33"/>
  <c r="EC26" i="33"/>
  <c r="EB26" i="33"/>
  <c r="EA26" i="33"/>
  <c r="DZ26" i="33"/>
  <c r="DY26" i="33"/>
  <c r="DX26" i="33"/>
  <c r="DW26" i="33"/>
  <c r="DV26" i="33"/>
  <c r="DU26" i="33"/>
  <c r="DT26" i="33"/>
  <c r="DS26" i="33"/>
  <c r="DR26" i="33"/>
  <c r="DQ26" i="33"/>
  <c r="DP26" i="33"/>
  <c r="DO26" i="33"/>
  <c r="DN26" i="33"/>
  <c r="DM26" i="33"/>
  <c r="DL26" i="33"/>
  <c r="DK26" i="33"/>
  <c r="DJ26" i="33"/>
  <c r="DI26" i="33"/>
  <c r="DH26" i="33"/>
  <c r="DG26" i="33"/>
  <c r="DF26" i="33"/>
  <c r="DE26" i="33"/>
  <c r="DD26" i="33"/>
  <c r="DC26" i="33"/>
  <c r="DB26" i="33"/>
  <c r="DA26" i="33"/>
  <c r="CZ26" i="33"/>
  <c r="CY26" i="33"/>
  <c r="CX26" i="33"/>
  <c r="CW26" i="33"/>
  <c r="CV26" i="33"/>
  <c r="CU26" i="33"/>
  <c r="CT26" i="33"/>
  <c r="CS26" i="33"/>
  <c r="CR26" i="33"/>
  <c r="CQ26" i="33"/>
  <c r="CP26" i="33"/>
  <c r="CO26" i="33"/>
  <c r="CN26" i="33"/>
  <c r="CM26" i="33"/>
  <c r="CL26" i="33"/>
  <c r="CK26" i="33"/>
  <c r="CJ26" i="33"/>
  <c r="CI26" i="33"/>
  <c r="CH26" i="33"/>
  <c r="CG26" i="33"/>
  <c r="CF26" i="33"/>
  <c r="CE26" i="33"/>
  <c r="CD26" i="33"/>
  <c r="CC26" i="33"/>
  <c r="CB26" i="33"/>
  <c r="CA26" i="33"/>
  <c r="BZ26" i="33"/>
  <c r="BY26" i="33"/>
  <c r="BX26" i="33"/>
  <c r="BW26" i="33"/>
  <c r="BV26" i="33"/>
  <c r="BU26" i="33"/>
  <c r="BT26" i="33"/>
  <c r="BS26" i="33"/>
  <c r="BR26" i="33"/>
  <c r="BQ26" i="33"/>
  <c r="BP26" i="33"/>
  <c r="BO26" i="33"/>
  <c r="BN26" i="33"/>
  <c r="BM26" i="33"/>
  <c r="BL26" i="33"/>
  <c r="BK26" i="33"/>
  <c r="BJ26" i="33"/>
  <c r="BI26" i="33"/>
  <c r="BH26" i="33"/>
  <c r="BG26" i="33"/>
  <c r="BF26" i="33"/>
  <c r="BE26" i="33"/>
  <c r="BD26" i="33"/>
  <c r="BC26" i="33"/>
  <c r="BB26" i="33"/>
  <c r="BA26" i="33"/>
  <c r="AZ26" i="33"/>
  <c r="AY26" i="33"/>
  <c r="AX26" i="33"/>
  <c r="AW26" i="33"/>
  <c r="AV26" i="33"/>
  <c r="AU26" i="33"/>
  <c r="AT26" i="33"/>
  <c r="AS26" i="33"/>
  <c r="AR26" i="33"/>
  <c r="AQ26" i="33"/>
  <c r="AP26" i="33"/>
  <c r="AO26" i="33"/>
  <c r="AN26" i="33"/>
  <c r="AM26" i="33"/>
  <c r="AL26" i="33"/>
  <c r="AK26" i="33"/>
  <c r="AJ26" i="33"/>
  <c r="AI26" i="33"/>
  <c r="AH26" i="33"/>
  <c r="AG26" i="33"/>
  <c r="AF26" i="33"/>
  <c r="AE26" i="33"/>
  <c r="AD26" i="33"/>
  <c r="AC26" i="33"/>
  <c r="AB26" i="33"/>
  <c r="AA26" i="33"/>
  <c r="Z26" i="33"/>
  <c r="Y26" i="33"/>
  <c r="X26" i="33"/>
  <c r="W26" i="33"/>
  <c r="V26" i="33"/>
  <c r="U26" i="33"/>
  <c r="T26" i="33"/>
  <c r="S26" i="33"/>
  <c r="R26" i="33"/>
  <c r="Q26" i="33"/>
  <c r="P26" i="33"/>
  <c r="O26" i="33"/>
  <c r="N26" i="33"/>
  <c r="M26" i="33"/>
  <c r="L26" i="33"/>
  <c r="K26" i="33"/>
  <c r="J26" i="33"/>
  <c r="I26" i="33"/>
  <c r="H26" i="33"/>
  <c r="G26" i="33"/>
  <c r="F26" i="33"/>
  <c r="E26" i="33"/>
  <c r="D26" i="33"/>
  <c r="C26" i="33"/>
  <c r="B26" i="33"/>
  <c r="A26" i="33"/>
  <c r="IV25" i="33"/>
  <c r="IU25" i="33"/>
  <c r="IT25" i="33"/>
  <c r="IS25" i="33"/>
  <c r="IR25" i="33"/>
  <c r="IQ25" i="33"/>
  <c r="IP25" i="33"/>
  <c r="IO25" i="33"/>
  <c r="IN25" i="33"/>
  <c r="IM25" i="33"/>
  <c r="IL25" i="33"/>
  <c r="IK25" i="33"/>
  <c r="IJ25" i="33"/>
  <c r="II25" i="33"/>
  <c r="IH25" i="33"/>
  <c r="IG25" i="33"/>
  <c r="IF25" i="33"/>
  <c r="IE25" i="33"/>
  <c r="ID25" i="33"/>
  <c r="IC25" i="33"/>
  <c r="IB25" i="33"/>
  <c r="IA25" i="33"/>
  <c r="HZ25" i="33"/>
  <c r="HY25" i="33"/>
  <c r="HX25" i="33"/>
  <c r="HW25" i="33"/>
  <c r="HV25" i="33"/>
  <c r="HU25" i="33"/>
  <c r="HT25" i="33"/>
  <c r="HS25" i="33"/>
  <c r="HR25" i="33"/>
  <c r="HQ25" i="33"/>
  <c r="HP25" i="33"/>
  <c r="HO25" i="33"/>
  <c r="HN25" i="33"/>
  <c r="HM25" i="33"/>
  <c r="HL25" i="33"/>
  <c r="HK25" i="33"/>
  <c r="HJ25" i="33"/>
  <c r="HI25" i="33"/>
  <c r="HH25" i="33"/>
  <c r="HG25" i="33"/>
  <c r="HF25" i="33"/>
  <c r="HE25" i="33"/>
  <c r="HD25" i="33"/>
  <c r="HC25" i="33"/>
  <c r="HB25" i="33"/>
  <c r="HA25" i="33"/>
  <c r="GZ25" i="33"/>
  <c r="GY25" i="33"/>
  <c r="GX25" i="33"/>
  <c r="GW25" i="33"/>
  <c r="GV25" i="33"/>
  <c r="GU25" i="33"/>
  <c r="GT25" i="33"/>
  <c r="GS25" i="33"/>
  <c r="GR25" i="33"/>
  <c r="GQ25" i="33"/>
  <c r="GP25" i="33"/>
  <c r="GO25" i="33"/>
  <c r="GN25" i="33"/>
  <c r="GM25" i="33"/>
  <c r="GL25" i="33"/>
  <c r="GK25" i="33"/>
  <c r="GJ25" i="33"/>
  <c r="GI25" i="33"/>
  <c r="GH25" i="33"/>
  <c r="GG25" i="33"/>
  <c r="GF25" i="33"/>
  <c r="GE25" i="33"/>
  <c r="GD25" i="33"/>
  <c r="GC25" i="33"/>
  <c r="GB25" i="33"/>
  <c r="GA25" i="33"/>
  <c r="FZ25" i="33"/>
  <c r="FY25" i="33"/>
  <c r="FX25" i="33"/>
  <c r="FW25" i="33"/>
  <c r="FV25" i="33"/>
  <c r="FU25" i="33"/>
  <c r="FT25" i="33"/>
  <c r="FS25" i="33"/>
  <c r="FR25" i="33"/>
  <c r="FQ25" i="33"/>
  <c r="FP25" i="33"/>
  <c r="FO25" i="33"/>
  <c r="FN25" i="33"/>
  <c r="FM25" i="33"/>
  <c r="FL25" i="33"/>
  <c r="FK25" i="33"/>
  <c r="FJ25" i="33"/>
  <c r="FI25" i="33"/>
  <c r="FH25" i="33"/>
  <c r="FG25" i="33"/>
  <c r="FF25" i="33"/>
  <c r="FE25" i="33"/>
  <c r="FD25" i="33"/>
  <c r="FC25" i="33"/>
  <c r="FB25" i="33"/>
  <c r="FA25" i="33"/>
  <c r="EZ25" i="33"/>
  <c r="EY25" i="33"/>
  <c r="EX25" i="33"/>
  <c r="EW25" i="33"/>
  <c r="EV25" i="33"/>
  <c r="EU25" i="33"/>
  <c r="ET25" i="33"/>
  <c r="ES25" i="33"/>
  <c r="ER25" i="33"/>
  <c r="EQ25" i="33"/>
  <c r="EP25" i="33"/>
  <c r="EO25" i="33"/>
  <c r="EN25" i="33"/>
  <c r="EM25" i="33"/>
  <c r="EL25" i="33"/>
  <c r="EK25" i="33"/>
  <c r="EJ25" i="33"/>
  <c r="EI25" i="33"/>
  <c r="EH25" i="33"/>
  <c r="EG25" i="33"/>
  <c r="EF25" i="33"/>
  <c r="EE25" i="33"/>
  <c r="ED25" i="33"/>
  <c r="EC25" i="33"/>
  <c r="EB25" i="33"/>
  <c r="EA25" i="33"/>
  <c r="DZ25" i="33"/>
  <c r="DY25" i="33"/>
  <c r="DX25" i="33"/>
  <c r="DW25" i="33"/>
  <c r="DV25" i="33"/>
  <c r="DU25" i="33"/>
  <c r="DT25" i="33"/>
  <c r="DS25" i="33"/>
  <c r="DR25" i="33"/>
  <c r="DQ25" i="33"/>
  <c r="DP25" i="33"/>
  <c r="DO25" i="33"/>
  <c r="DN25" i="33"/>
  <c r="DM25" i="33"/>
  <c r="DL25" i="33"/>
  <c r="DK25" i="33"/>
  <c r="DJ25" i="33"/>
  <c r="DI25" i="33"/>
  <c r="DH25" i="33"/>
  <c r="DG25" i="33"/>
  <c r="DF25" i="33"/>
  <c r="DE25" i="33"/>
  <c r="DD25" i="33"/>
  <c r="DC25" i="33"/>
  <c r="DB25" i="33"/>
  <c r="DA25" i="33"/>
  <c r="CZ25" i="33"/>
  <c r="CY25" i="33"/>
  <c r="CX25" i="33"/>
  <c r="CW25" i="33"/>
  <c r="CV25" i="33"/>
  <c r="CU25" i="33"/>
  <c r="CT25" i="33"/>
  <c r="CS25" i="33"/>
  <c r="CR25" i="33"/>
  <c r="CQ25" i="33"/>
  <c r="CP25" i="33"/>
  <c r="CO25" i="33"/>
  <c r="CN25" i="33"/>
  <c r="CM25" i="33"/>
  <c r="CL25" i="33"/>
  <c r="CK25" i="33"/>
  <c r="CJ25" i="33"/>
  <c r="CI25" i="33"/>
  <c r="CH25" i="33"/>
  <c r="CG25" i="33"/>
  <c r="CF25" i="33"/>
  <c r="CE25" i="33"/>
  <c r="CD25" i="33"/>
  <c r="CC25" i="33"/>
  <c r="CB25" i="33"/>
  <c r="CA25" i="33"/>
  <c r="BZ25" i="33"/>
  <c r="BY25" i="33"/>
  <c r="BX25" i="33"/>
  <c r="BW25" i="33"/>
  <c r="BV25" i="33"/>
  <c r="BU25" i="33"/>
  <c r="BT25" i="33"/>
  <c r="BS25" i="33"/>
  <c r="BR25" i="33"/>
  <c r="BQ25" i="33"/>
  <c r="BP25" i="33"/>
  <c r="BO25" i="33"/>
  <c r="BN25" i="33"/>
  <c r="BM25" i="33"/>
  <c r="BL25" i="33"/>
  <c r="BK25" i="33"/>
  <c r="BJ25" i="33"/>
  <c r="BI25" i="33"/>
  <c r="BH25" i="33"/>
  <c r="BG25" i="33"/>
  <c r="BF25" i="33"/>
  <c r="BE25" i="33"/>
  <c r="BD25" i="33"/>
  <c r="BC25" i="33"/>
  <c r="BB25" i="33"/>
  <c r="BA25" i="33"/>
  <c r="AZ25" i="33"/>
  <c r="AY25" i="33"/>
  <c r="AX25" i="33"/>
  <c r="AW25" i="33"/>
  <c r="AV25" i="33"/>
  <c r="AU25" i="33"/>
  <c r="AT25" i="33"/>
  <c r="AS25" i="33"/>
  <c r="AR25" i="33"/>
  <c r="AQ25" i="33"/>
  <c r="AP25" i="33"/>
  <c r="AO25" i="33"/>
  <c r="AN25" i="33"/>
  <c r="AM25" i="33"/>
  <c r="AL25" i="33"/>
  <c r="AK25" i="33"/>
  <c r="AJ25" i="33"/>
  <c r="AI25" i="33"/>
  <c r="AH25" i="33"/>
  <c r="AG25" i="33"/>
  <c r="AF25" i="33"/>
  <c r="AE25" i="33"/>
  <c r="AD25" i="33"/>
  <c r="AC25" i="33"/>
  <c r="AB25" i="33"/>
  <c r="AA25" i="33"/>
  <c r="Z25" i="33"/>
  <c r="Y25" i="33"/>
  <c r="X25" i="33"/>
  <c r="W25" i="33"/>
  <c r="V25" i="33"/>
  <c r="U25" i="33"/>
  <c r="T25" i="33"/>
  <c r="S25" i="33"/>
  <c r="R25" i="33"/>
  <c r="Q25" i="33"/>
  <c r="P25" i="33"/>
  <c r="O25" i="33"/>
  <c r="N25" i="33"/>
  <c r="M25" i="33"/>
  <c r="L25" i="33"/>
  <c r="K25" i="33"/>
  <c r="J25" i="33"/>
  <c r="I25" i="33"/>
  <c r="H25" i="33"/>
  <c r="G25" i="33"/>
  <c r="F25" i="33"/>
  <c r="E25" i="33"/>
  <c r="D25" i="33"/>
  <c r="C25" i="33"/>
  <c r="B25" i="33"/>
  <c r="A25" i="33"/>
  <c r="IV24" i="33"/>
  <c r="IU24" i="33"/>
  <c r="IT24" i="33"/>
  <c r="IS24" i="33"/>
  <c r="IR24" i="33"/>
  <c r="IQ24" i="33"/>
  <c r="IP24" i="33"/>
  <c r="IO24" i="33"/>
  <c r="IN24" i="33"/>
  <c r="IM24" i="33"/>
  <c r="IL24" i="33"/>
  <c r="IK24" i="33"/>
  <c r="IJ24" i="33"/>
  <c r="II24" i="33"/>
  <c r="IH24" i="33"/>
  <c r="IG24" i="33"/>
  <c r="IF24" i="33"/>
  <c r="IE24" i="33"/>
  <c r="ID24" i="33"/>
  <c r="IC24" i="33"/>
  <c r="IB24" i="33"/>
  <c r="IA24" i="33"/>
  <c r="HZ24" i="33"/>
  <c r="HY24" i="33"/>
  <c r="HX24" i="33"/>
  <c r="HW24" i="33"/>
  <c r="HV24" i="33"/>
  <c r="HU24" i="33"/>
  <c r="HT24" i="33"/>
  <c r="HS24" i="33"/>
  <c r="HR24" i="33"/>
  <c r="HQ24" i="33"/>
  <c r="HP24" i="33"/>
  <c r="HO24" i="33"/>
  <c r="HN24" i="33"/>
  <c r="HM24" i="33"/>
  <c r="HL24" i="33"/>
  <c r="HK24" i="33"/>
  <c r="HJ24" i="33"/>
  <c r="HI24" i="33"/>
  <c r="HH24" i="33"/>
  <c r="HG24" i="33"/>
  <c r="HF24" i="33"/>
  <c r="HE24" i="33"/>
  <c r="HD24" i="33"/>
  <c r="HC24" i="33"/>
  <c r="HB24" i="33"/>
  <c r="HA24" i="33"/>
  <c r="GZ24" i="33"/>
  <c r="GY24" i="33"/>
  <c r="GX24" i="33"/>
  <c r="GW24" i="33"/>
  <c r="GV24" i="33"/>
  <c r="GU24" i="33"/>
  <c r="GT24" i="33"/>
  <c r="GS24" i="33"/>
  <c r="GR24" i="33"/>
  <c r="GQ24" i="33"/>
  <c r="GP24" i="33"/>
  <c r="GO24" i="33"/>
  <c r="GN24" i="33"/>
  <c r="GM24" i="33"/>
  <c r="GL24" i="33"/>
  <c r="GK24" i="33"/>
  <c r="GJ24" i="33"/>
  <c r="GI24" i="33"/>
  <c r="GH24" i="33"/>
  <c r="GG24" i="33"/>
  <c r="GF24" i="33"/>
  <c r="GE24" i="33"/>
  <c r="GD24" i="33"/>
  <c r="GC24" i="33"/>
  <c r="GB24" i="33"/>
  <c r="GA24" i="33"/>
  <c r="FZ24" i="33"/>
  <c r="FY24" i="33"/>
  <c r="FX24" i="33"/>
  <c r="FW24" i="33"/>
  <c r="FV24" i="33"/>
  <c r="FU24" i="33"/>
  <c r="FT24" i="33"/>
  <c r="FS24" i="33"/>
  <c r="FR24" i="33"/>
  <c r="FQ24" i="33"/>
  <c r="FP24" i="33"/>
  <c r="FO24" i="33"/>
  <c r="FN24" i="33"/>
  <c r="FM24" i="33"/>
  <c r="FL24" i="33"/>
  <c r="FK24" i="33"/>
  <c r="FJ24" i="33"/>
  <c r="FI24" i="33"/>
  <c r="FH24" i="33"/>
  <c r="FG24" i="33"/>
  <c r="FF24" i="33"/>
  <c r="FE24" i="33"/>
  <c r="FD24" i="33"/>
  <c r="FC24" i="33"/>
  <c r="FB24" i="33"/>
  <c r="FA24" i="33"/>
  <c r="EZ24" i="33"/>
  <c r="EY24" i="33"/>
  <c r="EX24" i="33"/>
  <c r="EW24" i="33"/>
  <c r="EV24" i="33"/>
  <c r="EU24" i="33"/>
  <c r="ET24" i="33"/>
  <c r="ES24" i="33"/>
  <c r="ER24" i="33"/>
  <c r="EQ24" i="33"/>
  <c r="EP24" i="33"/>
  <c r="EO24" i="33"/>
  <c r="EN24" i="33"/>
  <c r="EM24" i="33"/>
  <c r="EL24" i="33"/>
  <c r="EK24" i="33"/>
  <c r="EJ24" i="33"/>
  <c r="EI24" i="33"/>
  <c r="EH24" i="33"/>
  <c r="EG24" i="33"/>
  <c r="EF24" i="33"/>
  <c r="EE24" i="33"/>
  <c r="ED24" i="33"/>
  <c r="EC24" i="33"/>
  <c r="EB24" i="33"/>
  <c r="EA24" i="33"/>
  <c r="DZ24" i="33"/>
  <c r="DY24" i="33"/>
  <c r="DX24" i="33"/>
  <c r="DW24" i="33"/>
  <c r="DV24" i="33"/>
  <c r="DU24" i="33"/>
  <c r="DT24" i="33"/>
  <c r="DS24" i="33"/>
  <c r="DR24" i="33"/>
  <c r="DQ24" i="33"/>
  <c r="DP24" i="33"/>
  <c r="DO24" i="33"/>
  <c r="DN24" i="33"/>
  <c r="DM24" i="33"/>
  <c r="DL24" i="33"/>
  <c r="DK24" i="33"/>
  <c r="DJ24" i="33"/>
  <c r="DI24" i="33"/>
  <c r="DH24" i="33"/>
  <c r="DG24" i="33"/>
  <c r="DF24" i="33"/>
  <c r="DE24" i="33"/>
  <c r="DD24" i="33"/>
  <c r="DC24" i="33"/>
  <c r="DB24" i="33"/>
  <c r="DA24" i="33"/>
  <c r="CZ24" i="33"/>
  <c r="CY24" i="33"/>
  <c r="CX24" i="33"/>
  <c r="CW24" i="33"/>
  <c r="CV24" i="33"/>
  <c r="CU24" i="33"/>
  <c r="CT24" i="33"/>
  <c r="CS24" i="33"/>
  <c r="CR24" i="33"/>
  <c r="CQ24" i="33"/>
  <c r="CP24" i="33"/>
  <c r="CO24" i="33"/>
  <c r="CN24" i="33"/>
  <c r="CM24" i="33"/>
  <c r="CL24" i="33"/>
  <c r="CK24" i="33"/>
  <c r="CJ24" i="33"/>
  <c r="CI24" i="33"/>
  <c r="CH24" i="33"/>
  <c r="CG24" i="33"/>
  <c r="CF24" i="33"/>
  <c r="CE24" i="33"/>
  <c r="CD24" i="33"/>
  <c r="CC24" i="33"/>
  <c r="CB24" i="33"/>
  <c r="CA24" i="33"/>
  <c r="BZ24" i="33"/>
  <c r="BY24" i="33"/>
  <c r="BX24" i="33"/>
  <c r="BW24" i="33"/>
  <c r="BV24" i="33"/>
  <c r="BU24" i="33"/>
  <c r="BT24" i="33"/>
  <c r="BS24" i="33"/>
  <c r="BR24" i="33"/>
  <c r="BQ24" i="33"/>
  <c r="BP24" i="33"/>
  <c r="BO24" i="33"/>
  <c r="BN24" i="33"/>
  <c r="BM24" i="33"/>
  <c r="BL24" i="33"/>
  <c r="BK24" i="33"/>
  <c r="BJ24" i="33"/>
  <c r="BI24" i="33"/>
  <c r="BH24" i="33"/>
  <c r="BG24" i="33"/>
  <c r="BF24" i="33"/>
  <c r="BE24" i="33"/>
  <c r="BD24" i="33"/>
  <c r="BC24" i="33"/>
  <c r="BB24" i="33"/>
  <c r="BA24" i="33"/>
  <c r="AZ24" i="33"/>
  <c r="AY24" i="33"/>
  <c r="AX24" i="33"/>
  <c r="AW24" i="33"/>
  <c r="AV24" i="33"/>
  <c r="AU24" i="33"/>
  <c r="AT24" i="33"/>
  <c r="AS24" i="33"/>
  <c r="AR24" i="33"/>
  <c r="AQ24" i="33"/>
  <c r="AP24" i="33"/>
  <c r="AO24" i="33"/>
  <c r="AN24" i="33"/>
  <c r="AM24" i="33"/>
  <c r="AL24" i="33"/>
  <c r="AK24" i="33"/>
  <c r="AJ24" i="33"/>
  <c r="AI24" i="33"/>
  <c r="AH24" i="33"/>
  <c r="AG24" i="33"/>
  <c r="AF24" i="33"/>
  <c r="AE24" i="33"/>
  <c r="AD24" i="33"/>
  <c r="AC24" i="33"/>
  <c r="AB24" i="33"/>
  <c r="AA24" i="33"/>
  <c r="Z24" i="33"/>
  <c r="Y24" i="33"/>
  <c r="X24" i="33"/>
  <c r="W24" i="33"/>
  <c r="V24" i="33"/>
  <c r="U24" i="33"/>
  <c r="T24" i="33"/>
  <c r="S24" i="33"/>
  <c r="R24" i="33"/>
  <c r="Q24" i="33"/>
  <c r="P24" i="33"/>
  <c r="O24" i="33"/>
  <c r="N24" i="33"/>
  <c r="M24" i="33"/>
  <c r="L24" i="33"/>
  <c r="K24" i="33"/>
  <c r="J24" i="33"/>
  <c r="I24" i="33"/>
  <c r="H24" i="33"/>
  <c r="G24" i="33"/>
  <c r="F24" i="33"/>
  <c r="E24" i="33"/>
  <c r="D24" i="33"/>
  <c r="C24" i="33"/>
  <c r="B24" i="33"/>
  <c r="A24" i="33"/>
  <c r="IV23" i="33"/>
  <c r="IU23" i="33"/>
  <c r="IT23" i="33"/>
  <c r="IS23" i="33"/>
  <c r="IR23" i="33"/>
  <c r="IQ23" i="33"/>
  <c r="IP23" i="33"/>
  <c r="IO23" i="33"/>
  <c r="IN23" i="33"/>
  <c r="IM23" i="33"/>
  <c r="IL23" i="33"/>
  <c r="IK23" i="33"/>
  <c r="IJ23" i="33"/>
  <c r="II23" i="33"/>
  <c r="IH23" i="33"/>
  <c r="IG23" i="33"/>
  <c r="IF23" i="33"/>
  <c r="IE23" i="33"/>
  <c r="ID23" i="33"/>
  <c r="IC23" i="33"/>
  <c r="IB23" i="33"/>
  <c r="IA23" i="33"/>
  <c r="HZ23" i="33"/>
  <c r="HY23" i="33"/>
  <c r="HX23" i="33"/>
  <c r="HW23" i="33"/>
  <c r="HV23" i="33"/>
  <c r="HU23" i="33"/>
  <c r="HT23" i="33"/>
  <c r="HS23" i="33"/>
  <c r="HR23" i="33"/>
  <c r="HQ23" i="33"/>
  <c r="HP23" i="33"/>
  <c r="HO23" i="33"/>
  <c r="HN23" i="33"/>
  <c r="HM23" i="33"/>
  <c r="HL23" i="33"/>
  <c r="HK23" i="33"/>
  <c r="HJ23" i="33"/>
  <c r="HI23" i="33"/>
  <c r="HH23" i="33"/>
  <c r="HG23" i="33"/>
  <c r="HF23" i="33"/>
  <c r="HE23" i="33"/>
  <c r="HD23" i="33"/>
  <c r="HC23" i="33"/>
  <c r="HB23" i="33"/>
  <c r="HA23" i="33"/>
  <c r="GZ23" i="33"/>
  <c r="GY23" i="33"/>
  <c r="GX23" i="33"/>
  <c r="GW23" i="33"/>
  <c r="GV23" i="33"/>
  <c r="GU23" i="33"/>
  <c r="GT23" i="33"/>
  <c r="GS23" i="33"/>
  <c r="GR23" i="33"/>
  <c r="GQ23" i="33"/>
  <c r="GP23" i="33"/>
  <c r="GO23" i="33"/>
  <c r="GN23" i="33"/>
  <c r="GM23" i="33"/>
  <c r="GL23" i="33"/>
  <c r="GK23" i="33"/>
  <c r="GJ23" i="33"/>
  <c r="GI23" i="33"/>
  <c r="GH23" i="33"/>
  <c r="GG23" i="33"/>
  <c r="GF23" i="33"/>
  <c r="GE23" i="33"/>
  <c r="GD23" i="33"/>
  <c r="GC23" i="33"/>
  <c r="GB23" i="33"/>
  <c r="GA23" i="33"/>
  <c r="FZ23" i="33"/>
  <c r="FY23" i="33"/>
  <c r="FX23" i="33"/>
  <c r="FW23" i="33"/>
  <c r="FV23" i="33"/>
  <c r="FU23" i="33"/>
  <c r="FT23" i="33"/>
  <c r="FS23" i="33"/>
  <c r="FR23" i="33"/>
  <c r="FQ23" i="33"/>
  <c r="FP23" i="33"/>
  <c r="FO23" i="33"/>
  <c r="FN23" i="33"/>
  <c r="FM23" i="33"/>
  <c r="FL23" i="33"/>
  <c r="FK23" i="33"/>
  <c r="FJ23" i="33"/>
  <c r="FI23" i="33"/>
  <c r="FH23" i="33"/>
  <c r="FG23" i="33"/>
  <c r="FF23" i="33"/>
  <c r="FE23" i="33"/>
  <c r="FD23" i="33"/>
  <c r="FC23" i="33"/>
  <c r="FB23" i="33"/>
  <c r="FA23" i="33"/>
  <c r="EZ23" i="33"/>
  <c r="EY23" i="33"/>
  <c r="EX23" i="33"/>
  <c r="EW23" i="33"/>
  <c r="EV23" i="33"/>
  <c r="EU23" i="33"/>
  <c r="ET23" i="33"/>
  <c r="ES23" i="33"/>
  <c r="ER23" i="33"/>
  <c r="EQ23" i="33"/>
  <c r="EP23" i="33"/>
  <c r="EO23" i="33"/>
  <c r="EN23" i="33"/>
  <c r="EM23" i="33"/>
  <c r="EL23" i="33"/>
  <c r="EK23" i="33"/>
  <c r="EJ23" i="33"/>
  <c r="EI23" i="33"/>
  <c r="EH23" i="33"/>
  <c r="EG23" i="33"/>
  <c r="EF23" i="33"/>
  <c r="EE23" i="33"/>
  <c r="ED23" i="33"/>
  <c r="EC23" i="33"/>
  <c r="EB23" i="33"/>
  <c r="EA23" i="33"/>
  <c r="DZ23" i="33"/>
  <c r="DY23" i="33"/>
  <c r="DX23" i="33"/>
  <c r="DW23" i="33"/>
  <c r="DV23" i="33"/>
  <c r="DU23" i="33"/>
  <c r="DT23" i="33"/>
  <c r="DS23" i="33"/>
  <c r="DR23" i="33"/>
  <c r="DQ23" i="33"/>
  <c r="DP23" i="33"/>
  <c r="DO23" i="33"/>
  <c r="DN23" i="33"/>
  <c r="DM23" i="33"/>
  <c r="DL23" i="33"/>
  <c r="DK23" i="33"/>
  <c r="DJ23" i="33"/>
  <c r="DI23" i="33"/>
  <c r="DH23" i="33"/>
  <c r="DG23" i="33"/>
  <c r="DF23" i="33"/>
  <c r="DE23" i="33"/>
  <c r="DD23" i="33"/>
  <c r="DC23" i="33"/>
  <c r="DB23" i="33"/>
  <c r="DA23" i="33"/>
  <c r="CZ23" i="33"/>
  <c r="CY23" i="33"/>
  <c r="CX23" i="33"/>
  <c r="CW23" i="33"/>
  <c r="CV23" i="33"/>
  <c r="CU23" i="33"/>
  <c r="CT23" i="33"/>
  <c r="CS23" i="33"/>
  <c r="CR23" i="33"/>
  <c r="CQ23" i="33"/>
  <c r="CP23" i="33"/>
  <c r="CO23" i="33"/>
  <c r="CN23" i="33"/>
  <c r="CM23" i="33"/>
  <c r="CL23" i="33"/>
  <c r="CK23" i="33"/>
  <c r="CJ23" i="33"/>
  <c r="CI23" i="33"/>
  <c r="CH23" i="33"/>
  <c r="CG23" i="33"/>
  <c r="CF23" i="33"/>
  <c r="CE23" i="33"/>
  <c r="CD23" i="33"/>
  <c r="CC23" i="33"/>
  <c r="CB23" i="33"/>
  <c r="CA23" i="33"/>
  <c r="BZ23" i="33"/>
  <c r="BY23" i="33"/>
  <c r="BX23" i="33"/>
  <c r="BW23" i="33"/>
  <c r="BV23" i="33"/>
  <c r="BU23" i="33"/>
  <c r="BT23" i="33"/>
  <c r="BS23" i="33"/>
  <c r="BR23" i="33"/>
  <c r="BQ23" i="33"/>
  <c r="BP23" i="33"/>
  <c r="BO23" i="33"/>
  <c r="BN23" i="33"/>
  <c r="BM23" i="33"/>
  <c r="BL23" i="33"/>
  <c r="BK23" i="33"/>
  <c r="BJ23" i="33"/>
  <c r="BI23" i="33"/>
  <c r="BH23" i="33"/>
  <c r="BG23" i="33"/>
  <c r="BF23" i="33"/>
  <c r="BE23" i="33"/>
  <c r="BD23" i="33"/>
  <c r="BC23" i="33"/>
  <c r="BB23" i="33"/>
  <c r="BA23" i="33"/>
  <c r="AZ23" i="33"/>
  <c r="AY23" i="33"/>
  <c r="AX23" i="33"/>
  <c r="AW23" i="33"/>
  <c r="AV23" i="33"/>
  <c r="AU23" i="33"/>
  <c r="AT23" i="33"/>
  <c r="AS23" i="33"/>
  <c r="AR23" i="33"/>
  <c r="AQ23" i="33"/>
  <c r="AP23" i="33"/>
  <c r="AO23" i="33"/>
  <c r="AN23" i="33"/>
  <c r="AM23" i="33"/>
  <c r="AL23" i="33"/>
  <c r="AK23" i="33"/>
  <c r="AJ23" i="33"/>
  <c r="AI23" i="33"/>
  <c r="AH23" i="33"/>
  <c r="AG23" i="33"/>
  <c r="AF23" i="33"/>
  <c r="AE23" i="33"/>
  <c r="AD23" i="33"/>
  <c r="AC23" i="33"/>
  <c r="AB23" i="33"/>
  <c r="AA23" i="33"/>
  <c r="Z23" i="33"/>
  <c r="Y23" i="33"/>
  <c r="X23" i="33"/>
  <c r="W23" i="33"/>
  <c r="V23" i="33"/>
  <c r="U23" i="33"/>
  <c r="T23" i="33"/>
  <c r="S23" i="33"/>
  <c r="R23" i="33"/>
  <c r="Q23" i="33"/>
  <c r="P23" i="33"/>
  <c r="O23" i="33"/>
  <c r="N23" i="33"/>
  <c r="M23" i="33"/>
  <c r="L23" i="33"/>
  <c r="K23" i="33"/>
  <c r="J23" i="33"/>
  <c r="I23" i="33"/>
  <c r="H23" i="33"/>
  <c r="G23" i="33"/>
  <c r="F23" i="33"/>
  <c r="E23" i="33"/>
  <c r="D23" i="33"/>
  <c r="C23" i="33"/>
  <c r="B23" i="33"/>
  <c r="A23" i="33"/>
  <c r="IV22" i="33"/>
  <c r="IU22" i="33"/>
  <c r="IT22" i="33"/>
  <c r="IS22" i="33"/>
  <c r="IR22" i="33"/>
  <c r="IQ22" i="33"/>
  <c r="IP22" i="33"/>
  <c r="IO22" i="33"/>
  <c r="IN22" i="33"/>
  <c r="IM22" i="33"/>
  <c r="IL22" i="33"/>
  <c r="IK22" i="33"/>
  <c r="IJ22" i="33"/>
  <c r="II22" i="33"/>
  <c r="IH22" i="33"/>
  <c r="IG22" i="33"/>
  <c r="IF22" i="33"/>
  <c r="IE22" i="33"/>
  <c r="ID22" i="33"/>
  <c r="IC22" i="33"/>
  <c r="IB22" i="33"/>
  <c r="IA22" i="33"/>
  <c r="HZ22" i="33"/>
  <c r="HY22" i="33"/>
  <c r="HX22" i="33"/>
  <c r="HW22" i="33"/>
  <c r="HV22" i="33"/>
  <c r="HU22" i="33"/>
  <c r="HT22" i="33"/>
  <c r="HS22" i="33"/>
  <c r="HR22" i="33"/>
  <c r="HQ22" i="33"/>
  <c r="HP22" i="33"/>
  <c r="HO22" i="33"/>
  <c r="HN22" i="33"/>
  <c r="HM22" i="33"/>
  <c r="HL22" i="33"/>
  <c r="HK22" i="33"/>
  <c r="HJ22" i="33"/>
  <c r="HI22" i="33"/>
  <c r="HH22" i="33"/>
  <c r="HG22" i="33"/>
  <c r="HF22" i="33"/>
  <c r="HE22" i="33"/>
  <c r="HD22" i="33"/>
  <c r="HC22" i="33"/>
  <c r="HB22" i="33"/>
  <c r="HA22" i="33"/>
  <c r="GZ22" i="33"/>
  <c r="GY22" i="33"/>
  <c r="GX22" i="33"/>
  <c r="GW22" i="33"/>
  <c r="GV22" i="33"/>
  <c r="GU22" i="33"/>
  <c r="GT22" i="33"/>
  <c r="GS22" i="33"/>
  <c r="GR22" i="33"/>
  <c r="GQ22" i="33"/>
  <c r="GP22" i="33"/>
  <c r="GO22" i="33"/>
  <c r="GN22" i="33"/>
  <c r="GM22" i="33"/>
  <c r="GL22" i="33"/>
  <c r="GK22" i="33"/>
  <c r="GJ22" i="33"/>
  <c r="GI22" i="33"/>
  <c r="GH22" i="33"/>
  <c r="GG22" i="33"/>
  <c r="GF22" i="33"/>
  <c r="GE22" i="33"/>
  <c r="GD22" i="33"/>
  <c r="GC22" i="33"/>
  <c r="GB22" i="33"/>
  <c r="GA22" i="33"/>
  <c r="FZ22" i="33"/>
  <c r="FY22" i="33"/>
  <c r="FX22" i="33"/>
  <c r="FW22" i="33"/>
  <c r="FV22" i="33"/>
  <c r="FU22" i="33"/>
  <c r="FT22" i="33"/>
  <c r="FS22" i="33"/>
  <c r="FR22" i="33"/>
  <c r="FQ22" i="33"/>
  <c r="FP22" i="33"/>
  <c r="FO22" i="33"/>
  <c r="FN22" i="33"/>
  <c r="FM22" i="33"/>
  <c r="FL22" i="33"/>
  <c r="FK22" i="33"/>
  <c r="FJ22" i="33"/>
  <c r="FI22" i="33"/>
  <c r="FH22" i="33"/>
  <c r="FG22" i="33"/>
  <c r="FF22" i="33"/>
  <c r="FE22" i="33"/>
  <c r="FD22" i="33"/>
  <c r="FC22" i="33"/>
  <c r="FB22" i="33"/>
  <c r="FA22" i="33"/>
  <c r="EZ22" i="33"/>
  <c r="EY22" i="33"/>
  <c r="EX22" i="33"/>
  <c r="EW22" i="33"/>
  <c r="EV22" i="33"/>
  <c r="EU22" i="33"/>
  <c r="ET22" i="33"/>
  <c r="ES22" i="33"/>
  <c r="ER22" i="33"/>
  <c r="EQ22" i="33"/>
  <c r="EP22" i="33"/>
  <c r="EO22" i="33"/>
  <c r="EN22" i="33"/>
  <c r="EM22" i="33"/>
  <c r="EL22" i="33"/>
  <c r="EK22" i="33"/>
  <c r="EJ22" i="33"/>
  <c r="EI22" i="33"/>
  <c r="EH22" i="33"/>
  <c r="EG22" i="33"/>
  <c r="EF22" i="33"/>
  <c r="EE22" i="33"/>
  <c r="ED22" i="33"/>
  <c r="EC22" i="33"/>
  <c r="EB22" i="33"/>
  <c r="EA22" i="33"/>
  <c r="DZ22" i="33"/>
  <c r="DY22" i="33"/>
  <c r="DX22" i="33"/>
  <c r="DW22" i="33"/>
  <c r="DV22" i="33"/>
  <c r="DU22" i="33"/>
  <c r="DT22" i="33"/>
  <c r="DS22" i="33"/>
  <c r="DR22" i="33"/>
  <c r="DQ22" i="33"/>
  <c r="DP22" i="33"/>
  <c r="DO22" i="33"/>
  <c r="DN22" i="33"/>
  <c r="DM22" i="33"/>
  <c r="DL22" i="33"/>
  <c r="DK22" i="33"/>
  <c r="DJ22" i="33"/>
  <c r="DI22" i="33"/>
  <c r="DH22" i="33"/>
  <c r="DG22" i="33"/>
  <c r="DF22" i="33"/>
  <c r="DE22" i="33"/>
  <c r="DD22" i="33"/>
  <c r="DC22" i="33"/>
  <c r="DB22" i="33"/>
  <c r="DA22" i="33"/>
  <c r="CZ22" i="33"/>
  <c r="CY22" i="33"/>
  <c r="CX22" i="33"/>
  <c r="CW22" i="33"/>
  <c r="CV22" i="33"/>
  <c r="CU22" i="33"/>
  <c r="CT22" i="33"/>
  <c r="CS22" i="33"/>
  <c r="CR22" i="33"/>
  <c r="CQ22" i="33"/>
  <c r="CP22" i="33"/>
  <c r="CO22" i="33"/>
  <c r="CN22" i="33"/>
  <c r="CM22" i="33"/>
  <c r="CL22" i="33"/>
  <c r="CK22" i="33"/>
  <c r="CJ22" i="33"/>
  <c r="CI22" i="33"/>
  <c r="CH22" i="33"/>
  <c r="CG22" i="33"/>
  <c r="CF22" i="33"/>
  <c r="CE22" i="33"/>
  <c r="CD22" i="33"/>
  <c r="CC22" i="33"/>
  <c r="CB22" i="33"/>
  <c r="CA22" i="33"/>
  <c r="BZ22" i="33"/>
  <c r="BY22" i="33"/>
  <c r="BX22" i="33"/>
  <c r="BW22" i="33"/>
  <c r="BV22" i="33"/>
  <c r="BU22" i="33"/>
  <c r="BT22" i="33"/>
  <c r="BS22" i="33"/>
  <c r="BR22" i="33"/>
  <c r="BQ22" i="33"/>
  <c r="BP22" i="33"/>
  <c r="BO22" i="33"/>
  <c r="BN22" i="33"/>
  <c r="BM22" i="33"/>
  <c r="BL22" i="33"/>
  <c r="BK22" i="33"/>
  <c r="BJ22" i="33"/>
  <c r="BI22" i="33"/>
  <c r="BH22" i="33"/>
  <c r="BG22" i="33"/>
  <c r="BF22" i="33"/>
  <c r="BE22" i="33"/>
  <c r="BD22" i="33"/>
  <c r="BC22" i="33"/>
  <c r="BB22" i="33"/>
  <c r="BA22" i="33"/>
  <c r="AZ22" i="33"/>
  <c r="AY22" i="33"/>
  <c r="AX22" i="33"/>
  <c r="AW22" i="33"/>
  <c r="AV22" i="33"/>
  <c r="AU22" i="33"/>
  <c r="AT22" i="33"/>
  <c r="AS22" i="33"/>
  <c r="AR22" i="33"/>
  <c r="AQ22" i="33"/>
  <c r="AP22" i="33"/>
  <c r="AO22" i="33"/>
  <c r="AN22" i="33"/>
  <c r="AM22" i="33"/>
  <c r="AL22" i="33"/>
  <c r="AK22" i="33"/>
  <c r="AJ22" i="33"/>
  <c r="AI22" i="33"/>
  <c r="AH22" i="33"/>
  <c r="AG22" i="33"/>
  <c r="AF22" i="33"/>
  <c r="AE22" i="33"/>
  <c r="AD22" i="33"/>
  <c r="AC22" i="33"/>
  <c r="AB22" i="33"/>
  <c r="AA22" i="33"/>
  <c r="Z22" i="33"/>
  <c r="Y22" i="33"/>
  <c r="X22" i="33"/>
  <c r="W22" i="33"/>
  <c r="V22" i="33"/>
  <c r="U22" i="33"/>
  <c r="T22" i="33"/>
  <c r="S22" i="33"/>
  <c r="R22" i="33"/>
  <c r="Q22" i="33"/>
  <c r="P22" i="33"/>
  <c r="O22" i="33"/>
  <c r="N22" i="33"/>
  <c r="M22" i="33"/>
  <c r="L22" i="33"/>
  <c r="K22" i="33"/>
  <c r="J22" i="33"/>
  <c r="I22" i="33"/>
  <c r="H22" i="33"/>
  <c r="G22" i="33"/>
  <c r="F22" i="33"/>
  <c r="E22" i="33"/>
  <c r="D22" i="33"/>
  <c r="C22" i="33"/>
  <c r="B22" i="33"/>
  <c r="A22" i="33"/>
  <c r="IV21" i="33"/>
  <c r="IU21" i="33"/>
  <c r="IT21" i="33"/>
  <c r="IS21" i="33"/>
  <c r="IR21" i="33"/>
  <c r="IQ21" i="33"/>
  <c r="IP21" i="33"/>
  <c r="IO21" i="33"/>
  <c r="IN21" i="33"/>
  <c r="IM21" i="33"/>
  <c r="IL21" i="33"/>
  <c r="IK21" i="33"/>
  <c r="IJ21" i="33"/>
  <c r="II21" i="33"/>
  <c r="IH21" i="33"/>
  <c r="IG21" i="33"/>
  <c r="IF21" i="33"/>
  <c r="IE21" i="33"/>
  <c r="ID21" i="33"/>
  <c r="IC21" i="33"/>
  <c r="IB21" i="33"/>
  <c r="IA21" i="33"/>
  <c r="HZ21" i="33"/>
  <c r="HY21" i="33"/>
  <c r="HX21" i="33"/>
  <c r="HW21" i="33"/>
  <c r="HV21" i="33"/>
  <c r="HU21" i="33"/>
  <c r="HT21" i="33"/>
  <c r="HS21" i="33"/>
  <c r="HR21" i="33"/>
  <c r="HQ21" i="33"/>
  <c r="HP21" i="33"/>
  <c r="HO21" i="33"/>
  <c r="HN21" i="33"/>
  <c r="HM21" i="33"/>
  <c r="HL21" i="33"/>
  <c r="HK21" i="33"/>
  <c r="HJ21" i="33"/>
  <c r="HI21" i="33"/>
  <c r="HH21" i="33"/>
  <c r="HG21" i="33"/>
  <c r="HF21" i="33"/>
  <c r="HE21" i="33"/>
  <c r="HD21" i="33"/>
  <c r="HC21" i="33"/>
  <c r="HB21" i="33"/>
  <c r="HA21" i="33"/>
  <c r="GZ21" i="33"/>
  <c r="GY21" i="33"/>
  <c r="GX21" i="33"/>
  <c r="GW21" i="33"/>
  <c r="GV21" i="33"/>
  <c r="GU21" i="33"/>
  <c r="GT21" i="33"/>
  <c r="GS21" i="33"/>
  <c r="GR21" i="33"/>
  <c r="GQ21" i="33"/>
  <c r="GP21" i="33"/>
  <c r="GO21" i="33"/>
  <c r="GN21" i="33"/>
  <c r="GM21" i="33"/>
  <c r="GL21" i="33"/>
  <c r="GK21" i="33"/>
  <c r="GJ21" i="33"/>
  <c r="GI21" i="33"/>
  <c r="GH21" i="33"/>
  <c r="GG21" i="33"/>
  <c r="GF21" i="33"/>
  <c r="GE21" i="33"/>
  <c r="GD21" i="33"/>
  <c r="GC21" i="33"/>
  <c r="GB21" i="33"/>
  <c r="GA21" i="33"/>
  <c r="FZ21" i="33"/>
  <c r="FY21" i="33"/>
  <c r="FX21" i="33"/>
  <c r="FW21" i="33"/>
  <c r="FV21" i="33"/>
  <c r="FU21" i="33"/>
  <c r="FT21" i="33"/>
  <c r="FS21" i="33"/>
  <c r="FR21" i="33"/>
  <c r="FQ21" i="33"/>
  <c r="FP21" i="33"/>
  <c r="FO21" i="33"/>
  <c r="FN21" i="33"/>
  <c r="FM21" i="33"/>
  <c r="FL21" i="33"/>
  <c r="FK21" i="33"/>
  <c r="FJ21" i="33"/>
  <c r="FI21" i="33"/>
  <c r="FH21" i="33"/>
  <c r="FG21" i="33"/>
  <c r="FF21" i="33"/>
  <c r="FE21" i="33"/>
  <c r="FD21" i="33"/>
  <c r="FC21" i="33"/>
  <c r="FB21" i="33"/>
  <c r="FA21" i="33"/>
  <c r="EZ21" i="33"/>
  <c r="EY21" i="33"/>
  <c r="EX21" i="33"/>
  <c r="EW21" i="33"/>
  <c r="EV21" i="33"/>
  <c r="EU21" i="33"/>
  <c r="ET21" i="33"/>
  <c r="ES21" i="33"/>
  <c r="ER21" i="33"/>
  <c r="EQ21" i="33"/>
  <c r="EP21" i="33"/>
  <c r="EO21" i="33"/>
  <c r="EN21" i="33"/>
  <c r="EM21" i="33"/>
  <c r="EL21" i="33"/>
  <c r="EK21" i="33"/>
  <c r="EJ21" i="33"/>
  <c r="EI21" i="33"/>
  <c r="EH21" i="33"/>
  <c r="EG21" i="33"/>
  <c r="EF21" i="33"/>
  <c r="EE21" i="33"/>
  <c r="ED21" i="33"/>
  <c r="EC21" i="33"/>
  <c r="EB21" i="33"/>
  <c r="EA21" i="33"/>
  <c r="DZ21" i="33"/>
  <c r="DY21" i="33"/>
  <c r="DX21" i="33"/>
  <c r="DW21" i="33"/>
  <c r="DV21" i="33"/>
  <c r="DU21" i="33"/>
  <c r="DT21" i="33"/>
  <c r="DS21" i="33"/>
  <c r="DR21" i="33"/>
  <c r="DQ21" i="33"/>
  <c r="DP21" i="33"/>
  <c r="DO21" i="33"/>
  <c r="DN21" i="33"/>
  <c r="DM21" i="33"/>
  <c r="DL21" i="33"/>
  <c r="DK21" i="33"/>
  <c r="DJ21" i="33"/>
  <c r="DI21" i="33"/>
  <c r="DH21" i="33"/>
  <c r="DG21" i="33"/>
  <c r="DF21" i="33"/>
  <c r="DE21" i="33"/>
  <c r="DD21" i="33"/>
  <c r="DC21" i="33"/>
  <c r="DB21" i="33"/>
  <c r="DA21" i="33"/>
  <c r="CZ21" i="33"/>
  <c r="CY21" i="33"/>
  <c r="CX21" i="33"/>
  <c r="CW21" i="33"/>
  <c r="CV21" i="33"/>
  <c r="CU21" i="33"/>
  <c r="CT21" i="33"/>
  <c r="CS21" i="33"/>
  <c r="CR21" i="33"/>
  <c r="CQ21" i="33"/>
  <c r="CP21" i="33"/>
  <c r="CO21" i="33"/>
  <c r="CN21" i="33"/>
  <c r="CM21" i="33"/>
  <c r="CL21" i="33"/>
  <c r="CK21" i="33"/>
  <c r="CJ21" i="33"/>
  <c r="CI21" i="33"/>
  <c r="CH21" i="33"/>
  <c r="CG21" i="33"/>
  <c r="CF21" i="33"/>
  <c r="CE21" i="33"/>
  <c r="CD21" i="33"/>
  <c r="CC21" i="33"/>
  <c r="CB21" i="33"/>
  <c r="CA21" i="33"/>
  <c r="BZ21" i="33"/>
  <c r="BY21" i="33"/>
  <c r="BX21" i="33"/>
  <c r="BW21" i="33"/>
  <c r="BV21" i="33"/>
  <c r="BU21" i="33"/>
  <c r="BT21" i="33"/>
  <c r="BS21" i="33"/>
  <c r="BR21" i="33"/>
  <c r="BQ21" i="33"/>
  <c r="BP21" i="33"/>
  <c r="BO21" i="33"/>
  <c r="BN21" i="33"/>
  <c r="BM21" i="33"/>
  <c r="BL21" i="33"/>
  <c r="BK21" i="33"/>
  <c r="BJ21" i="33"/>
  <c r="BI21" i="33"/>
  <c r="BH21" i="33"/>
  <c r="BG21" i="33"/>
  <c r="BF21" i="33"/>
  <c r="BE21" i="33"/>
  <c r="BD21" i="33"/>
  <c r="BC21" i="33"/>
  <c r="BB21" i="33"/>
  <c r="BA21" i="33"/>
  <c r="AZ21" i="33"/>
  <c r="AY21" i="33"/>
  <c r="AX21" i="33"/>
  <c r="AW21" i="33"/>
  <c r="AV21" i="33"/>
  <c r="AU21" i="33"/>
  <c r="AT21" i="33"/>
  <c r="AS21" i="33"/>
  <c r="AR21" i="33"/>
  <c r="AQ21" i="33"/>
  <c r="AP21" i="33"/>
  <c r="AO21" i="33"/>
  <c r="AN21" i="33"/>
  <c r="AM21" i="33"/>
  <c r="AL21" i="33"/>
  <c r="AK21" i="33"/>
  <c r="AJ21" i="33"/>
  <c r="AI21" i="33"/>
  <c r="AH21" i="33"/>
  <c r="AG21" i="33"/>
  <c r="AF21" i="33"/>
  <c r="AE21" i="33"/>
  <c r="AD21" i="33"/>
  <c r="AC21" i="33"/>
  <c r="AB21" i="33"/>
  <c r="AA21" i="33"/>
  <c r="Z21" i="33"/>
  <c r="Y21" i="33"/>
  <c r="X21" i="33"/>
  <c r="W21" i="33"/>
  <c r="V21" i="33"/>
  <c r="U21" i="33"/>
  <c r="T21" i="33"/>
  <c r="S21" i="33"/>
  <c r="R21" i="33"/>
  <c r="Q21" i="33"/>
  <c r="P21" i="33"/>
  <c r="O21" i="33"/>
  <c r="N21" i="33"/>
  <c r="M21" i="33"/>
  <c r="L21" i="33"/>
  <c r="K21" i="33"/>
  <c r="J21" i="33"/>
  <c r="I21" i="33"/>
  <c r="H21" i="33"/>
  <c r="G21" i="33"/>
  <c r="F21" i="33"/>
  <c r="E21" i="33"/>
  <c r="D21" i="33"/>
  <c r="C21" i="33"/>
  <c r="B21" i="33"/>
  <c r="A21" i="33"/>
  <c r="IV20" i="33"/>
  <c r="IU20" i="33"/>
  <c r="IT20" i="33"/>
  <c r="IS20" i="33"/>
  <c r="IR20" i="33"/>
  <c r="IQ20" i="33"/>
  <c r="IP20" i="33"/>
  <c r="IO20" i="33"/>
  <c r="IN20" i="33"/>
  <c r="IM20" i="33"/>
  <c r="IL20" i="33"/>
  <c r="IK20" i="33"/>
  <c r="IJ20" i="33"/>
  <c r="II20" i="33"/>
  <c r="IH20" i="33"/>
  <c r="IG20" i="33"/>
  <c r="IF20" i="33"/>
  <c r="IE20" i="33"/>
  <c r="ID20" i="33"/>
  <c r="IC20" i="33"/>
  <c r="IB20" i="33"/>
  <c r="IA20" i="33"/>
  <c r="HZ20" i="33"/>
  <c r="HY20" i="33"/>
  <c r="HX20" i="33"/>
  <c r="HW20" i="33"/>
  <c r="HV20" i="33"/>
  <c r="HU20" i="33"/>
  <c r="HT20" i="33"/>
  <c r="HS20" i="33"/>
  <c r="HR20" i="33"/>
  <c r="HQ20" i="33"/>
  <c r="HP20" i="33"/>
  <c r="HO20" i="33"/>
  <c r="HN20" i="33"/>
  <c r="HM20" i="33"/>
  <c r="HL20" i="33"/>
  <c r="HK20" i="33"/>
  <c r="HJ20" i="33"/>
  <c r="HI20" i="33"/>
  <c r="HH20" i="33"/>
  <c r="HG20" i="33"/>
  <c r="HF20" i="33"/>
  <c r="HE20" i="33"/>
  <c r="HD20" i="33"/>
  <c r="HC20" i="33"/>
  <c r="HB20" i="33"/>
  <c r="HA20" i="33"/>
  <c r="GZ20" i="33"/>
  <c r="GY20" i="33"/>
  <c r="GX20" i="33"/>
  <c r="GW20" i="33"/>
  <c r="GV20" i="33"/>
  <c r="GU20" i="33"/>
  <c r="GT20" i="33"/>
  <c r="GS20" i="33"/>
  <c r="GR20" i="33"/>
  <c r="GQ20" i="33"/>
  <c r="GP20" i="33"/>
  <c r="GO20" i="33"/>
  <c r="GN20" i="33"/>
  <c r="GM20" i="33"/>
  <c r="GL20" i="33"/>
  <c r="GK20" i="33"/>
  <c r="GJ20" i="33"/>
  <c r="GI20" i="33"/>
  <c r="GH20" i="33"/>
  <c r="GG20" i="33"/>
  <c r="GF20" i="33"/>
  <c r="GE20" i="33"/>
  <c r="GD20" i="33"/>
  <c r="GC20" i="33"/>
  <c r="GB20" i="33"/>
  <c r="GA20" i="33"/>
  <c r="FZ20" i="33"/>
  <c r="FY20" i="33"/>
  <c r="FX20" i="33"/>
  <c r="FW20" i="33"/>
  <c r="FV20" i="33"/>
  <c r="FU20" i="33"/>
  <c r="FT20" i="33"/>
  <c r="FS20" i="33"/>
  <c r="FR20" i="33"/>
  <c r="FQ20" i="33"/>
  <c r="FP20" i="33"/>
  <c r="FO20" i="33"/>
  <c r="FN20" i="33"/>
  <c r="FM20" i="33"/>
  <c r="FL20" i="33"/>
  <c r="FK20" i="33"/>
  <c r="FJ20" i="33"/>
  <c r="FI20" i="33"/>
  <c r="FH20" i="33"/>
  <c r="FG20" i="33"/>
  <c r="FF20" i="33"/>
  <c r="FE20" i="33"/>
  <c r="FD20" i="33"/>
  <c r="FC20" i="33"/>
  <c r="FB20" i="33"/>
  <c r="FA20" i="33"/>
  <c r="EZ20" i="33"/>
  <c r="EY20" i="33"/>
  <c r="EX20" i="33"/>
  <c r="EW20" i="33"/>
  <c r="EV20" i="33"/>
  <c r="EU20" i="33"/>
  <c r="ET20" i="33"/>
  <c r="ES20" i="33"/>
  <c r="ER20" i="33"/>
  <c r="EQ20" i="33"/>
  <c r="EP20" i="33"/>
  <c r="EO20" i="33"/>
  <c r="EN20" i="33"/>
  <c r="EM20" i="33"/>
  <c r="EL20" i="33"/>
  <c r="EK20" i="33"/>
  <c r="EJ20" i="33"/>
  <c r="EI20" i="33"/>
  <c r="EH20" i="33"/>
  <c r="EG20" i="33"/>
  <c r="EF20" i="33"/>
  <c r="EE20" i="33"/>
  <c r="ED20" i="33"/>
  <c r="EC20" i="33"/>
  <c r="EB20" i="33"/>
  <c r="EA20" i="33"/>
  <c r="DZ20" i="33"/>
  <c r="DY20" i="33"/>
  <c r="DX20" i="33"/>
  <c r="DW20" i="33"/>
  <c r="DV20" i="33"/>
  <c r="DU20" i="33"/>
  <c r="DT20" i="33"/>
  <c r="DS20" i="33"/>
  <c r="DR20" i="33"/>
  <c r="DQ20" i="33"/>
  <c r="DP20" i="33"/>
  <c r="DO20" i="33"/>
  <c r="DN20" i="33"/>
  <c r="DM20" i="33"/>
  <c r="DL20" i="33"/>
  <c r="DK20" i="33"/>
  <c r="DJ20" i="33"/>
  <c r="DI20" i="33"/>
  <c r="DH20" i="33"/>
  <c r="DG20" i="33"/>
  <c r="DF20" i="33"/>
  <c r="DE20" i="33"/>
  <c r="DD20" i="33"/>
  <c r="DC20" i="33"/>
  <c r="DB20" i="33"/>
  <c r="DA20" i="33"/>
  <c r="CZ20" i="33"/>
  <c r="CY20" i="33"/>
  <c r="CX20" i="33"/>
  <c r="CW20" i="33"/>
  <c r="CV20" i="33"/>
  <c r="CU20" i="33"/>
  <c r="CT20" i="33"/>
  <c r="CS20" i="33"/>
  <c r="CR20" i="33"/>
  <c r="CQ20" i="33"/>
  <c r="CP20" i="33"/>
  <c r="CO20" i="33"/>
  <c r="CN20" i="33"/>
  <c r="CM20" i="33"/>
  <c r="CL20" i="33"/>
  <c r="CK20" i="33"/>
  <c r="CJ20" i="33"/>
  <c r="CI20" i="33"/>
  <c r="CH20" i="33"/>
  <c r="CG20" i="33"/>
  <c r="CF20" i="33"/>
  <c r="CE20" i="33"/>
  <c r="CD20" i="33"/>
  <c r="CC20" i="33"/>
  <c r="CB20" i="33"/>
  <c r="CA20" i="33"/>
  <c r="BZ20" i="33"/>
  <c r="BY20" i="33"/>
  <c r="BX20" i="33"/>
  <c r="BW20" i="33"/>
  <c r="BV20" i="33"/>
  <c r="BU20" i="33"/>
  <c r="BT20" i="33"/>
  <c r="BS20" i="33"/>
  <c r="BR20" i="33"/>
  <c r="BQ20" i="33"/>
  <c r="BP20" i="33"/>
  <c r="BO20" i="33"/>
  <c r="BN20" i="33"/>
  <c r="BM20" i="33"/>
  <c r="BL20" i="33"/>
  <c r="BK20" i="33"/>
  <c r="BJ20" i="33"/>
  <c r="BI20" i="33"/>
  <c r="BH20" i="33"/>
  <c r="BG20" i="33"/>
  <c r="BF20" i="33"/>
  <c r="BE20" i="33"/>
  <c r="BD20" i="33"/>
  <c r="BC20" i="33"/>
  <c r="BB20" i="33"/>
  <c r="BA20" i="33"/>
  <c r="AZ20" i="33"/>
  <c r="AY20" i="33"/>
  <c r="AX20" i="33"/>
  <c r="AW20" i="33"/>
  <c r="AV20" i="33"/>
  <c r="AU20" i="33"/>
  <c r="AT20" i="33"/>
  <c r="AS20" i="33"/>
  <c r="AR20" i="33"/>
  <c r="AQ20" i="33"/>
  <c r="AP20" i="33"/>
  <c r="AO20" i="33"/>
  <c r="AN20" i="33"/>
  <c r="AM20" i="33"/>
  <c r="AL20" i="33"/>
  <c r="AK20" i="33"/>
  <c r="AJ20" i="33"/>
  <c r="AI20" i="33"/>
  <c r="AH20" i="33"/>
  <c r="AG20" i="33"/>
  <c r="AF20" i="33"/>
  <c r="AE20" i="33"/>
  <c r="AD20" i="33"/>
  <c r="AC20" i="33"/>
  <c r="AB20" i="33"/>
  <c r="AA20" i="33"/>
  <c r="Z20" i="33"/>
  <c r="Y20" i="33"/>
  <c r="X20" i="33"/>
  <c r="W20" i="33"/>
  <c r="V20" i="33"/>
  <c r="U20" i="33"/>
  <c r="T20" i="33"/>
  <c r="S20" i="33"/>
  <c r="R20" i="33"/>
  <c r="Q20" i="33"/>
  <c r="P20" i="33"/>
  <c r="O20" i="33"/>
  <c r="N20" i="33"/>
  <c r="M20" i="33"/>
  <c r="L20" i="33"/>
  <c r="K20" i="33"/>
  <c r="J20" i="33"/>
  <c r="I20" i="33"/>
  <c r="H20" i="33"/>
  <c r="G20" i="33"/>
  <c r="F20" i="33"/>
  <c r="E20" i="33"/>
  <c r="D20" i="33"/>
  <c r="C20" i="33"/>
  <c r="B20" i="33"/>
  <c r="A20" i="33"/>
  <c r="IV19" i="33"/>
  <c r="IU19" i="33"/>
  <c r="IT19" i="33"/>
  <c r="IS19" i="33"/>
  <c r="IR19" i="33"/>
  <c r="IQ19" i="33"/>
  <c r="IP19" i="33"/>
  <c r="IO19" i="33"/>
  <c r="IN19" i="33"/>
  <c r="IM19" i="33"/>
  <c r="IL19" i="33"/>
  <c r="IK19" i="33"/>
  <c r="IJ19" i="33"/>
  <c r="II19" i="33"/>
  <c r="IH19" i="33"/>
  <c r="IG19" i="33"/>
  <c r="IF19" i="33"/>
  <c r="IE19" i="33"/>
  <c r="ID19" i="33"/>
  <c r="IC19" i="33"/>
  <c r="IB19" i="33"/>
  <c r="IA19" i="33"/>
  <c r="HZ19" i="33"/>
  <c r="HY19" i="33"/>
  <c r="HX19" i="33"/>
  <c r="HW19" i="33"/>
  <c r="HV19" i="33"/>
  <c r="HU19" i="33"/>
  <c r="HT19" i="33"/>
  <c r="HS19" i="33"/>
  <c r="HR19" i="33"/>
  <c r="HQ19" i="33"/>
  <c r="HP19" i="33"/>
  <c r="HO19" i="33"/>
  <c r="HN19" i="33"/>
  <c r="HM19" i="33"/>
  <c r="HL19" i="33"/>
  <c r="HK19" i="33"/>
  <c r="HJ19" i="33"/>
  <c r="HI19" i="33"/>
  <c r="HH19" i="33"/>
  <c r="HG19" i="33"/>
  <c r="HF19" i="33"/>
  <c r="HE19" i="33"/>
  <c r="HD19" i="33"/>
  <c r="HC19" i="33"/>
  <c r="HB19" i="33"/>
  <c r="HA19" i="33"/>
  <c r="GZ19" i="33"/>
  <c r="GY19" i="33"/>
  <c r="GX19" i="33"/>
  <c r="GW19" i="33"/>
  <c r="GV19" i="33"/>
  <c r="GU19" i="33"/>
  <c r="GT19" i="33"/>
  <c r="GS19" i="33"/>
  <c r="GR19" i="33"/>
  <c r="GQ19" i="33"/>
  <c r="GP19" i="33"/>
  <c r="GO19" i="33"/>
  <c r="GN19" i="33"/>
  <c r="GM19" i="33"/>
  <c r="GL19" i="33"/>
  <c r="GK19" i="33"/>
  <c r="GJ19" i="33"/>
  <c r="GI19" i="33"/>
  <c r="GH19" i="33"/>
  <c r="GG19" i="33"/>
  <c r="GF19" i="33"/>
  <c r="GE19" i="33"/>
  <c r="GD19" i="33"/>
  <c r="GC19" i="33"/>
  <c r="GB19" i="33"/>
  <c r="GA19" i="33"/>
  <c r="FZ19" i="33"/>
  <c r="FY19" i="33"/>
  <c r="FX19" i="33"/>
  <c r="FW19" i="33"/>
  <c r="FV19" i="33"/>
  <c r="FU19" i="33"/>
  <c r="FT19" i="33"/>
  <c r="FS19" i="33"/>
  <c r="FR19" i="33"/>
  <c r="FQ19" i="33"/>
  <c r="FP19" i="33"/>
  <c r="FO19" i="33"/>
  <c r="FN19" i="33"/>
  <c r="FM19" i="33"/>
  <c r="FL19" i="33"/>
  <c r="FK19" i="33"/>
  <c r="FJ19" i="33"/>
  <c r="FI19" i="33"/>
  <c r="FH19" i="33"/>
  <c r="FG19" i="33"/>
  <c r="FF19" i="33"/>
  <c r="FE19" i="33"/>
  <c r="FD19" i="33"/>
  <c r="FC19" i="33"/>
  <c r="FB19" i="33"/>
  <c r="FA19" i="33"/>
  <c r="EZ19" i="33"/>
  <c r="EY19" i="33"/>
  <c r="EX19" i="33"/>
  <c r="EW19" i="33"/>
  <c r="EV19" i="33"/>
  <c r="EU19" i="33"/>
  <c r="ET19" i="33"/>
  <c r="ES19" i="33"/>
  <c r="ER19" i="33"/>
  <c r="EQ19" i="33"/>
  <c r="EP19" i="33"/>
  <c r="EO19" i="33"/>
  <c r="EN19" i="33"/>
  <c r="EM19" i="33"/>
  <c r="EL19" i="33"/>
  <c r="EK19" i="33"/>
  <c r="EJ19" i="33"/>
  <c r="EI19" i="33"/>
  <c r="EH19" i="33"/>
  <c r="EG19" i="33"/>
  <c r="EF19" i="33"/>
  <c r="EE19" i="33"/>
  <c r="ED19" i="33"/>
  <c r="EC19" i="33"/>
  <c r="EB19" i="33"/>
  <c r="EA19" i="33"/>
  <c r="DZ19" i="33"/>
  <c r="DY19" i="33"/>
  <c r="DX19" i="33"/>
  <c r="DW19" i="33"/>
  <c r="DV19" i="33"/>
  <c r="DU19" i="33"/>
  <c r="DT19" i="33"/>
  <c r="DS19" i="33"/>
  <c r="DR19" i="33"/>
  <c r="DQ19" i="33"/>
  <c r="DP19" i="33"/>
  <c r="DO19" i="33"/>
  <c r="DN19" i="33"/>
  <c r="DM19" i="33"/>
  <c r="DL19" i="33"/>
  <c r="DK19" i="33"/>
  <c r="DJ19" i="33"/>
  <c r="DI19" i="33"/>
  <c r="DH19" i="33"/>
  <c r="DG19" i="33"/>
  <c r="DF19" i="33"/>
  <c r="DE19" i="33"/>
  <c r="DD19" i="33"/>
  <c r="DC19" i="33"/>
  <c r="DB19" i="33"/>
  <c r="DA19" i="33"/>
  <c r="CZ19" i="33"/>
  <c r="CY19" i="33"/>
  <c r="CX19" i="33"/>
  <c r="CW19" i="33"/>
  <c r="CV19" i="33"/>
  <c r="CU19" i="33"/>
  <c r="CT19" i="33"/>
  <c r="CS19" i="33"/>
  <c r="CR19" i="33"/>
  <c r="CQ19" i="33"/>
  <c r="CP19" i="33"/>
  <c r="CO19" i="33"/>
  <c r="CN19" i="33"/>
  <c r="CM19" i="33"/>
  <c r="CL19" i="33"/>
  <c r="CK19" i="33"/>
  <c r="CJ19" i="33"/>
  <c r="CI19" i="33"/>
  <c r="CH19" i="33"/>
  <c r="CG19" i="33"/>
  <c r="CF19" i="33"/>
  <c r="CE19" i="33"/>
  <c r="CD19" i="33"/>
  <c r="CC19" i="33"/>
  <c r="CB19" i="33"/>
  <c r="CA19" i="33"/>
  <c r="BZ19" i="33"/>
  <c r="BY19" i="33"/>
  <c r="BX19" i="33"/>
  <c r="BW19" i="33"/>
  <c r="BV19" i="33"/>
  <c r="BU19" i="33"/>
  <c r="BT19" i="33"/>
  <c r="BS19" i="33"/>
  <c r="BR19" i="33"/>
  <c r="BQ19" i="33"/>
  <c r="BP19" i="33"/>
  <c r="BO19" i="33"/>
  <c r="BN19" i="33"/>
  <c r="BM19" i="33"/>
  <c r="BL19" i="33"/>
  <c r="BK19" i="33"/>
  <c r="BJ19" i="33"/>
  <c r="BI19" i="33"/>
  <c r="BH19" i="33"/>
  <c r="BG19" i="33"/>
  <c r="BF19" i="33"/>
  <c r="BE19" i="33"/>
  <c r="BD19" i="33"/>
  <c r="BC19" i="33"/>
  <c r="BB19" i="33"/>
  <c r="BA19" i="33"/>
  <c r="AZ19" i="33"/>
  <c r="AY19" i="33"/>
  <c r="AX19" i="33"/>
  <c r="AW19" i="33"/>
  <c r="AV19" i="33"/>
  <c r="AU19" i="33"/>
  <c r="AT19" i="33"/>
  <c r="AS19" i="33"/>
  <c r="AR19" i="33"/>
  <c r="AQ19" i="33"/>
  <c r="AP19" i="33"/>
  <c r="AO19" i="33"/>
  <c r="AN19" i="33"/>
  <c r="AM19" i="33"/>
  <c r="AL19" i="33"/>
  <c r="AK19" i="33"/>
  <c r="AJ19" i="33"/>
  <c r="AI19" i="33"/>
  <c r="AH19" i="33"/>
  <c r="AG19" i="33"/>
  <c r="AF19" i="33"/>
  <c r="AE19" i="33"/>
  <c r="AD19" i="33"/>
  <c r="AC19" i="33"/>
  <c r="AB19" i="33"/>
  <c r="AA19" i="33"/>
  <c r="Z19" i="33"/>
  <c r="Y19" i="33"/>
  <c r="X19" i="33"/>
  <c r="W19" i="33"/>
  <c r="V19" i="33"/>
  <c r="U19" i="33"/>
  <c r="T19" i="33"/>
  <c r="S19" i="33"/>
  <c r="R19" i="33"/>
  <c r="Q19" i="33"/>
  <c r="P19" i="33"/>
  <c r="O19" i="33"/>
  <c r="N19" i="33"/>
  <c r="M19" i="33"/>
  <c r="L19" i="33"/>
  <c r="K19" i="33"/>
  <c r="J19" i="33"/>
  <c r="I19" i="33"/>
  <c r="H19" i="33"/>
  <c r="G19" i="33"/>
  <c r="F19" i="33"/>
  <c r="E19" i="33"/>
  <c r="D19" i="33"/>
  <c r="C19" i="33"/>
  <c r="B19" i="33"/>
  <c r="A19" i="33"/>
  <c r="IV18" i="33"/>
  <c r="IU18" i="33"/>
  <c r="IT18" i="33"/>
  <c r="IS18" i="33"/>
  <c r="IR18" i="33"/>
  <c r="IQ18" i="33"/>
  <c r="IP18" i="33"/>
  <c r="IO18" i="33"/>
  <c r="IN18" i="33"/>
  <c r="IM18" i="33"/>
  <c r="IL18" i="33"/>
  <c r="IK18" i="33"/>
  <c r="IJ18" i="33"/>
  <c r="II18" i="33"/>
  <c r="IH18" i="33"/>
  <c r="IG18" i="33"/>
  <c r="IF18" i="33"/>
  <c r="IE18" i="33"/>
  <c r="ID18" i="33"/>
  <c r="IC18" i="33"/>
  <c r="IB18" i="33"/>
  <c r="IA18" i="33"/>
  <c r="HZ18" i="33"/>
  <c r="HY18" i="33"/>
  <c r="HX18" i="33"/>
  <c r="HW18" i="33"/>
  <c r="HV18" i="33"/>
  <c r="HU18" i="33"/>
  <c r="HT18" i="33"/>
  <c r="HS18" i="33"/>
  <c r="HR18" i="33"/>
  <c r="HQ18" i="33"/>
  <c r="HP18" i="33"/>
  <c r="HO18" i="33"/>
  <c r="HN18" i="33"/>
  <c r="HM18" i="33"/>
  <c r="HL18" i="33"/>
  <c r="HK18" i="33"/>
  <c r="HJ18" i="33"/>
  <c r="HI18" i="33"/>
  <c r="HH18" i="33"/>
  <c r="HG18" i="33"/>
  <c r="HF18" i="33"/>
  <c r="HE18" i="33"/>
  <c r="HD18" i="33"/>
  <c r="HC18" i="33"/>
  <c r="HB18" i="33"/>
  <c r="HA18" i="33"/>
  <c r="GZ18" i="33"/>
  <c r="GY18" i="33"/>
  <c r="GX18" i="33"/>
  <c r="GW18" i="33"/>
  <c r="GV18" i="33"/>
  <c r="GU18" i="33"/>
  <c r="GT18" i="33"/>
  <c r="GS18" i="33"/>
  <c r="GR18" i="33"/>
  <c r="GQ18" i="33"/>
  <c r="GP18" i="33"/>
  <c r="GO18" i="33"/>
  <c r="GN18" i="33"/>
  <c r="GM18" i="33"/>
  <c r="GL18" i="33"/>
  <c r="GK18" i="33"/>
  <c r="GJ18" i="33"/>
  <c r="GI18" i="33"/>
  <c r="GH18" i="33"/>
  <c r="GG18" i="33"/>
  <c r="GF18" i="33"/>
  <c r="GE18" i="33"/>
  <c r="GD18" i="33"/>
  <c r="GC18" i="33"/>
  <c r="GB18" i="33"/>
  <c r="GA18" i="33"/>
  <c r="FZ18" i="33"/>
  <c r="FY18" i="33"/>
  <c r="FX18" i="33"/>
  <c r="FW18" i="33"/>
  <c r="FV18" i="33"/>
  <c r="FU18" i="33"/>
  <c r="FT18" i="33"/>
  <c r="FS18" i="33"/>
  <c r="FR18" i="33"/>
  <c r="FQ18" i="33"/>
  <c r="FP18" i="33"/>
  <c r="FO18" i="33"/>
  <c r="FN18" i="33"/>
  <c r="FM18" i="33"/>
  <c r="FL18" i="33"/>
  <c r="FK18" i="33"/>
  <c r="FJ18" i="33"/>
  <c r="FI18" i="33"/>
  <c r="FH18" i="33"/>
  <c r="FG18" i="33"/>
  <c r="FF18" i="33"/>
  <c r="FE18" i="33"/>
  <c r="FD18" i="33"/>
  <c r="FC18" i="33"/>
  <c r="FB18" i="33"/>
  <c r="FA18" i="33"/>
  <c r="EZ18" i="33"/>
  <c r="EY18" i="33"/>
  <c r="EX18" i="33"/>
  <c r="EW18" i="33"/>
  <c r="EV18" i="33"/>
  <c r="EU18" i="33"/>
  <c r="ET18" i="33"/>
  <c r="ES18" i="33"/>
  <c r="ER18" i="33"/>
  <c r="EQ18" i="33"/>
  <c r="EP18" i="33"/>
  <c r="EO18" i="33"/>
  <c r="EN18" i="33"/>
  <c r="EM18" i="33"/>
  <c r="EL18" i="33"/>
  <c r="EK18" i="33"/>
  <c r="EJ18" i="33"/>
  <c r="EI18" i="33"/>
  <c r="EH18" i="33"/>
  <c r="EG18" i="33"/>
  <c r="EF18" i="33"/>
  <c r="EE18" i="33"/>
  <c r="ED18" i="33"/>
  <c r="EC18" i="33"/>
  <c r="EB18" i="33"/>
  <c r="EA18" i="33"/>
  <c r="DZ18" i="33"/>
  <c r="DY18" i="33"/>
  <c r="DX18" i="33"/>
  <c r="DW18" i="33"/>
  <c r="DV18" i="33"/>
  <c r="DU18" i="33"/>
  <c r="DT18" i="33"/>
  <c r="DS18" i="33"/>
  <c r="DR18" i="33"/>
  <c r="DQ18" i="33"/>
  <c r="DP18" i="33"/>
  <c r="DO18" i="33"/>
  <c r="DN18" i="33"/>
  <c r="DM18" i="33"/>
  <c r="DL18" i="33"/>
  <c r="DK18" i="33"/>
  <c r="DJ18" i="33"/>
  <c r="DI18" i="33"/>
  <c r="DH18" i="33"/>
  <c r="DG18" i="33"/>
  <c r="DF18" i="33"/>
  <c r="DE18" i="33"/>
  <c r="DD18" i="33"/>
  <c r="DC18" i="33"/>
  <c r="DB18" i="33"/>
  <c r="DA18" i="33"/>
  <c r="CZ18" i="33"/>
  <c r="CY18" i="33"/>
  <c r="CX18" i="33"/>
  <c r="CW18" i="33"/>
  <c r="CV18" i="33"/>
  <c r="CU18" i="33"/>
  <c r="CT18" i="33"/>
  <c r="CS18" i="33"/>
  <c r="CR18" i="33"/>
  <c r="CQ18" i="33"/>
  <c r="CP18" i="33"/>
  <c r="CO18" i="33"/>
  <c r="CN18" i="33"/>
  <c r="CM18" i="33"/>
  <c r="CL18" i="33"/>
  <c r="CK18" i="33"/>
  <c r="CJ18" i="33"/>
  <c r="CI18" i="33"/>
  <c r="CH18" i="33"/>
  <c r="CG18" i="33"/>
  <c r="CF18" i="33"/>
  <c r="CE18" i="33"/>
  <c r="CD18" i="33"/>
  <c r="CC18" i="33"/>
  <c r="CB18" i="33"/>
  <c r="CA18" i="33"/>
  <c r="BZ18" i="33"/>
  <c r="BY18" i="33"/>
  <c r="BX18" i="33"/>
  <c r="BW18" i="33"/>
  <c r="BV18" i="33"/>
  <c r="BU18" i="33"/>
  <c r="BT18" i="33"/>
  <c r="BS18" i="33"/>
  <c r="BR18" i="33"/>
  <c r="BQ18" i="33"/>
  <c r="BP18" i="33"/>
  <c r="BO18" i="33"/>
  <c r="BN18" i="33"/>
  <c r="BM18" i="33"/>
  <c r="BL18" i="33"/>
  <c r="BK18" i="33"/>
  <c r="BJ18" i="33"/>
  <c r="BI18" i="33"/>
  <c r="BH18" i="33"/>
  <c r="BG18" i="33"/>
  <c r="BF18" i="33"/>
  <c r="BE18" i="33"/>
  <c r="BD18" i="33"/>
  <c r="BC18" i="33"/>
  <c r="BB18" i="33"/>
  <c r="BA18" i="33"/>
  <c r="AZ18" i="33"/>
  <c r="AY18" i="33"/>
  <c r="AX18" i="33"/>
  <c r="AW18" i="33"/>
  <c r="AV18" i="33"/>
  <c r="AU18" i="33"/>
  <c r="AT18" i="33"/>
  <c r="AS18" i="33"/>
  <c r="AR18" i="33"/>
  <c r="AQ18" i="33"/>
  <c r="AP18" i="33"/>
  <c r="AO18" i="33"/>
  <c r="AN18" i="33"/>
  <c r="AM18" i="33"/>
  <c r="AL18" i="33"/>
  <c r="AK18" i="33"/>
  <c r="AJ18" i="33"/>
  <c r="AI18" i="33"/>
  <c r="AH18" i="33"/>
  <c r="AG18" i="33"/>
  <c r="AF18" i="33"/>
  <c r="AE18" i="33"/>
  <c r="AD18" i="33"/>
  <c r="AC18" i="33"/>
  <c r="AB18" i="33"/>
  <c r="AA18" i="33"/>
  <c r="Z18" i="33"/>
  <c r="Y18" i="33"/>
  <c r="X18" i="33"/>
  <c r="W18" i="33"/>
  <c r="V18" i="33"/>
  <c r="U18" i="33"/>
  <c r="T18" i="33"/>
  <c r="S18" i="33"/>
  <c r="R18" i="33"/>
  <c r="Q18" i="33"/>
  <c r="P18" i="33"/>
  <c r="O18" i="33"/>
  <c r="N18" i="33"/>
  <c r="M18" i="33"/>
  <c r="L18" i="33"/>
  <c r="K18" i="33"/>
  <c r="J18" i="33"/>
  <c r="I18" i="33"/>
  <c r="H18" i="33"/>
  <c r="G18" i="33"/>
  <c r="F18" i="33"/>
  <c r="E18" i="33"/>
  <c r="D18" i="33"/>
  <c r="C18" i="33"/>
  <c r="B18" i="33"/>
  <c r="A18" i="33"/>
  <c r="IV17" i="33"/>
  <c r="IU17" i="33"/>
  <c r="IT17" i="33"/>
  <c r="IS17" i="33"/>
  <c r="IR17" i="33"/>
  <c r="IQ17" i="33"/>
  <c r="IP17" i="33"/>
  <c r="IO17" i="33"/>
  <c r="IN17" i="33"/>
  <c r="IM17" i="33"/>
  <c r="IL17" i="33"/>
  <c r="IK17" i="33"/>
  <c r="IJ17" i="33"/>
  <c r="II17" i="33"/>
  <c r="IH17" i="33"/>
  <c r="IG17" i="33"/>
  <c r="IF17" i="33"/>
  <c r="IE17" i="33"/>
  <c r="ID17" i="33"/>
  <c r="IC17" i="33"/>
  <c r="IB17" i="33"/>
  <c r="IA17" i="33"/>
  <c r="HZ17" i="33"/>
  <c r="HY17" i="33"/>
  <c r="HX17" i="33"/>
  <c r="HW17" i="33"/>
  <c r="HV17" i="33"/>
  <c r="HU17" i="33"/>
  <c r="HT17" i="33"/>
  <c r="HS17" i="33"/>
  <c r="HR17" i="33"/>
  <c r="HQ17" i="33"/>
  <c r="HP17" i="33"/>
  <c r="HO17" i="33"/>
  <c r="HN17" i="33"/>
  <c r="HM17" i="33"/>
  <c r="HL17" i="33"/>
  <c r="HK17" i="33"/>
  <c r="HJ17" i="33"/>
  <c r="HI17" i="33"/>
  <c r="HH17" i="33"/>
  <c r="HG17" i="33"/>
  <c r="HF17" i="33"/>
  <c r="HE17" i="33"/>
  <c r="HD17" i="33"/>
  <c r="HC17" i="33"/>
  <c r="HB17" i="33"/>
  <c r="HA17" i="33"/>
  <c r="GZ17" i="33"/>
  <c r="GY17" i="33"/>
  <c r="GX17" i="33"/>
  <c r="GW17" i="33"/>
  <c r="GV17" i="33"/>
  <c r="GU17" i="33"/>
  <c r="GT17" i="33"/>
  <c r="GS17" i="33"/>
  <c r="GR17" i="33"/>
  <c r="GQ17" i="33"/>
  <c r="GP17" i="33"/>
  <c r="GO17" i="33"/>
  <c r="GN17" i="33"/>
  <c r="GM17" i="33"/>
  <c r="GL17" i="33"/>
  <c r="GK17" i="33"/>
  <c r="GJ17" i="33"/>
  <c r="GI17" i="33"/>
  <c r="GH17" i="33"/>
  <c r="GG17" i="33"/>
  <c r="GF17" i="33"/>
  <c r="GE17" i="33"/>
  <c r="GD17" i="33"/>
  <c r="GC17" i="33"/>
  <c r="GB17" i="33"/>
  <c r="GA17" i="33"/>
  <c r="FZ17" i="33"/>
  <c r="FY17" i="33"/>
  <c r="FX17" i="33"/>
  <c r="FW17" i="33"/>
  <c r="FV17" i="33"/>
  <c r="FU17" i="33"/>
  <c r="FT17" i="33"/>
  <c r="FS17" i="33"/>
  <c r="FR17" i="33"/>
  <c r="FQ17" i="33"/>
  <c r="FP17" i="33"/>
  <c r="FO17" i="33"/>
  <c r="FN17" i="33"/>
  <c r="FM17" i="33"/>
  <c r="FL17" i="33"/>
  <c r="FK17" i="33"/>
  <c r="FJ17" i="33"/>
  <c r="FI17" i="33"/>
  <c r="FH17" i="33"/>
  <c r="FG17" i="33"/>
  <c r="FF17" i="33"/>
  <c r="FE17" i="33"/>
  <c r="FD17" i="33"/>
  <c r="FC17" i="33"/>
  <c r="FB17" i="33"/>
  <c r="FA17" i="33"/>
  <c r="EZ17" i="33"/>
  <c r="EY17" i="33"/>
  <c r="EX17" i="33"/>
  <c r="EW17" i="33"/>
  <c r="EV17" i="33"/>
  <c r="EU17" i="33"/>
  <c r="ET17" i="33"/>
  <c r="ES17" i="33"/>
  <c r="ER17" i="33"/>
  <c r="EQ17" i="33"/>
  <c r="EP17" i="33"/>
  <c r="EO17" i="33"/>
  <c r="EN17" i="33"/>
  <c r="EM17" i="33"/>
  <c r="EL17" i="33"/>
  <c r="EK17" i="33"/>
  <c r="EJ17" i="33"/>
  <c r="EI17" i="33"/>
  <c r="EH17" i="33"/>
  <c r="EG17" i="33"/>
  <c r="EF17" i="33"/>
  <c r="EE17" i="33"/>
  <c r="ED17" i="33"/>
  <c r="EC17" i="33"/>
  <c r="EB17" i="33"/>
  <c r="EA17" i="33"/>
  <c r="DZ17" i="33"/>
  <c r="DY17" i="33"/>
  <c r="DX17" i="33"/>
  <c r="DW17" i="33"/>
  <c r="DV17" i="33"/>
  <c r="DU17" i="33"/>
  <c r="DT17" i="33"/>
  <c r="DS17" i="33"/>
  <c r="DR17" i="33"/>
  <c r="DQ17" i="33"/>
  <c r="DP17" i="33"/>
  <c r="DO17" i="33"/>
  <c r="DN17" i="33"/>
  <c r="DM17" i="33"/>
  <c r="DL17" i="33"/>
  <c r="DK17" i="33"/>
  <c r="DJ17" i="33"/>
  <c r="DI17" i="33"/>
  <c r="DH17" i="33"/>
  <c r="DG17" i="33"/>
  <c r="DF17" i="33"/>
  <c r="DE17" i="33"/>
  <c r="DD17" i="33"/>
  <c r="DC17" i="33"/>
  <c r="DB17" i="33"/>
  <c r="DA17" i="33"/>
  <c r="CZ17" i="33"/>
  <c r="CY17" i="33"/>
  <c r="CX17" i="33"/>
  <c r="CW17" i="33"/>
  <c r="CV17" i="33"/>
  <c r="CU17" i="33"/>
  <c r="CT17" i="33"/>
  <c r="CS17" i="33"/>
  <c r="CR17" i="33"/>
  <c r="CQ17" i="33"/>
  <c r="CP17" i="33"/>
  <c r="CO17" i="33"/>
  <c r="CN17" i="33"/>
  <c r="CM17" i="33"/>
  <c r="CL17" i="33"/>
  <c r="CK17" i="33"/>
  <c r="CJ17" i="33"/>
  <c r="CI17" i="33"/>
  <c r="CH17" i="33"/>
  <c r="CG17" i="33"/>
  <c r="CF17" i="33"/>
  <c r="CE17" i="33"/>
  <c r="CD17" i="33"/>
  <c r="CC17" i="33"/>
  <c r="CB17" i="33"/>
  <c r="CA17" i="33"/>
  <c r="BZ17" i="33"/>
  <c r="BY17" i="33"/>
  <c r="BX17" i="33"/>
  <c r="BW17" i="33"/>
  <c r="BV17" i="33"/>
  <c r="BU17" i="33"/>
  <c r="BT17" i="33"/>
  <c r="BS17" i="33"/>
  <c r="BR17" i="33"/>
  <c r="BQ17" i="33"/>
  <c r="BP17" i="33"/>
  <c r="BO17" i="33"/>
  <c r="BN17" i="33"/>
  <c r="BM17" i="33"/>
  <c r="BL17" i="33"/>
  <c r="BK17" i="33"/>
  <c r="BJ17" i="33"/>
  <c r="BI17" i="33"/>
  <c r="BH17" i="33"/>
  <c r="BG17" i="33"/>
  <c r="BF17" i="33"/>
  <c r="BE17" i="33"/>
  <c r="BD17" i="33"/>
  <c r="BC17" i="33"/>
  <c r="BB17" i="33"/>
  <c r="BA17" i="33"/>
  <c r="AZ17" i="33"/>
  <c r="AY17" i="33"/>
  <c r="AX17" i="33"/>
  <c r="AW17" i="33"/>
  <c r="AV17" i="33"/>
  <c r="AU17" i="33"/>
  <c r="AT17" i="33"/>
  <c r="AS17" i="33"/>
  <c r="AR17" i="33"/>
  <c r="AQ17" i="33"/>
  <c r="AP17" i="33"/>
  <c r="AO17" i="33"/>
  <c r="AN17" i="33"/>
  <c r="AM17" i="33"/>
  <c r="AL17" i="33"/>
  <c r="AK17" i="33"/>
  <c r="AJ17" i="33"/>
  <c r="AI17" i="33"/>
  <c r="AH17" i="33"/>
  <c r="AG17" i="33"/>
  <c r="AF17" i="33"/>
  <c r="AE17" i="33"/>
  <c r="AD17" i="33"/>
  <c r="AC17" i="33"/>
  <c r="AB17" i="33"/>
  <c r="AA17" i="33"/>
  <c r="Z17" i="33"/>
  <c r="Y17" i="33"/>
  <c r="X17" i="33"/>
  <c r="W17" i="33"/>
  <c r="V17" i="33"/>
  <c r="U17" i="33"/>
  <c r="T17" i="33"/>
  <c r="S17" i="33"/>
  <c r="R17" i="33"/>
  <c r="Q17" i="33"/>
  <c r="P17" i="33"/>
  <c r="O17" i="33"/>
  <c r="N17" i="33"/>
  <c r="M17" i="33"/>
  <c r="L17" i="33"/>
  <c r="K17" i="33"/>
  <c r="J17" i="33"/>
  <c r="I17" i="33"/>
  <c r="H17" i="33"/>
  <c r="G17" i="33"/>
  <c r="F17" i="33"/>
  <c r="E17" i="33"/>
  <c r="D17" i="33"/>
  <c r="C17" i="33"/>
  <c r="B17" i="33"/>
  <c r="A17" i="33"/>
  <c r="IV16" i="33"/>
  <c r="IU16" i="33"/>
  <c r="IT16" i="33"/>
  <c r="IS16" i="33"/>
  <c r="IR16" i="33"/>
  <c r="IQ16" i="33"/>
  <c r="IP16" i="33"/>
  <c r="IO16" i="33"/>
  <c r="IN16" i="33"/>
  <c r="IM16" i="33"/>
  <c r="IL16" i="33"/>
  <c r="IK16" i="33"/>
  <c r="IJ16" i="33"/>
  <c r="II16" i="33"/>
  <c r="IH16" i="33"/>
  <c r="IG16" i="33"/>
  <c r="IF16" i="33"/>
  <c r="IE16" i="33"/>
  <c r="ID16" i="33"/>
  <c r="IC16" i="33"/>
  <c r="IB16" i="33"/>
  <c r="IA16" i="33"/>
  <c r="HZ16" i="33"/>
  <c r="HY16" i="33"/>
  <c r="HX16" i="33"/>
  <c r="HW16" i="33"/>
  <c r="HV16" i="33"/>
  <c r="HU16" i="33"/>
  <c r="HT16" i="33"/>
  <c r="HS16" i="33"/>
  <c r="HR16" i="33"/>
  <c r="HQ16" i="33"/>
  <c r="HP16" i="33"/>
  <c r="HO16" i="33"/>
  <c r="HN16" i="33"/>
  <c r="HM16" i="33"/>
  <c r="HL16" i="33"/>
  <c r="HK16" i="33"/>
  <c r="HJ16" i="33"/>
  <c r="HI16" i="33"/>
  <c r="HH16" i="33"/>
  <c r="HG16" i="33"/>
  <c r="HF16" i="33"/>
  <c r="HE16" i="33"/>
  <c r="HD16" i="33"/>
  <c r="HC16" i="33"/>
  <c r="HB16" i="33"/>
  <c r="HA16" i="33"/>
  <c r="GZ16" i="33"/>
  <c r="GY16" i="33"/>
  <c r="GX16" i="33"/>
  <c r="GW16" i="33"/>
  <c r="GV16" i="33"/>
  <c r="GU16" i="33"/>
  <c r="GT16" i="33"/>
  <c r="GS16" i="33"/>
  <c r="GR16" i="33"/>
  <c r="GQ16" i="33"/>
  <c r="GP16" i="33"/>
  <c r="GO16" i="33"/>
  <c r="GN16" i="33"/>
  <c r="GM16" i="33"/>
  <c r="GL16" i="33"/>
  <c r="GK16" i="33"/>
  <c r="GJ16" i="33"/>
  <c r="GI16" i="33"/>
  <c r="GH16" i="33"/>
  <c r="GG16" i="33"/>
  <c r="GF16" i="33"/>
  <c r="GE16" i="33"/>
  <c r="GD16" i="33"/>
  <c r="GC16" i="33"/>
  <c r="GB16" i="33"/>
  <c r="GA16" i="33"/>
  <c r="FZ16" i="33"/>
  <c r="FY16" i="33"/>
  <c r="FX16" i="33"/>
  <c r="FW16" i="33"/>
  <c r="FV16" i="33"/>
  <c r="FU16" i="33"/>
  <c r="FT16" i="33"/>
  <c r="FS16" i="33"/>
  <c r="FR16" i="33"/>
  <c r="FQ16" i="33"/>
  <c r="FP16" i="33"/>
  <c r="FO16" i="33"/>
  <c r="FN16" i="33"/>
  <c r="FM16" i="33"/>
  <c r="FL16" i="33"/>
  <c r="FK16" i="33"/>
  <c r="FJ16" i="33"/>
  <c r="FI16" i="33"/>
  <c r="FH16" i="33"/>
  <c r="FG16" i="33"/>
  <c r="FF16" i="33"/>
  <c r="FE16" i="33"/>
  <c r="FD16" i="33"/>
  <c r="FC16" i="33"/>
  <c r="FB16" i="33"/>
  <c r="FA16" i="33"/>
  <c r="EZ16" i="33"/>
  <c r="EY16" i="33"/>
  <c r="EX16" i="33"/>
  <c r="EW16" i="33"/>
  <c r="EV16" i="33"/>
  <c r="EU16" i="33"/>
  <c r="ET16" i="33"/>
  <c r="ES16" i="33"/>
  <c r="ER16" i="33"/>
  <c r="EQ16" i="33"/>
  <c r="EP16" i="33"/>
  <c r="EO16" i="33"/>
  <c r="EN16" i="33"/>
  <c r="EM16" i="33"/>
  <c r="EL16" i="33"/>
  <c r="EK16" i="33"/>
  <c r="EJ16" i="33"/>
  <c r="EI16" i="33"/>
  <c r="EH16" i="33"/>
  <c r="EG16" i="33"/>
  <c r="EF16" i="33"/>
  <c r="EE16" i="33"/>
  <c r="ED16" i="33"/>
  <c r="EC16" i="33"/>
  <c r="EB16" i="33"/>
  <c r="EA16" i="33"/>
  <c r="DZ16" i="33"/>
  <c r="DY16" i="33"/>
  <c r="DX16" i="33"/>
  <c r="DW16" i="33"/>
  <c r="DV16" i="33"/>
  <c r="DU16" i="33"/>
  <c r="DT16" i="33"/>
  <c r="DS16" i="33"/>
  <c r="DR16" i="33"/>
  <c r="DQ16" i="33"/>
  <c r="DP16" i="33"/>
  <c r="DO16" i="33"/>
  <c r="DN16" i="33"/>
  <c r="DM16" i="33"/>
  <c r="DL16" i="33"/>
  <c r="DK16" i="33"/>
  <c r="DJ16" i="33"/>
  <c r="DI16" i="33"/>
  <c r="DH16" i="33"/>
  <c r="DG16" i="33"/>
  <c r="DF16" i="33"/>
  <c r="DE16" i="33"/>
  <c r="DD16" i="33"/>
  <c r="DC16" i="33"/>
  <c r="DB16" i="33"/>
  <c r="DA16" i="33"/>
  <c r="CZ16" i="33"/>
  <c r="CY16" i="33"/>
  <c r="CX16" i="33"/>
  <c r="CW16" i="33"/>
  <c r="CV16" i="33"/>
  <c r="CU16" i="33"/>
  <c r="CT16" i="33"/>
  <c r="CS16" i="33"/>
  <c r="CR16" i="33"/>
  <c r="CQ16" i="33"/>
  <c r="CP16" i="33"/>
  <c r="CO16" i="33"/>
  <c r="CN16" i="33"/>
  <c r="CM16" i="33"/>
  <c r="CL16" i="33"/>
  <c r="CK16" i="33"/>
  <c r="CJ16" i="33"/>
  <c r="CI16" i="33"/>
  <c r="CH16" i="33"/>
  <c r="CG16" i="33"/>
  <c r="CF16" i="33"/>
  <c r="CE16" i="33"/>
  <c r="CD16" i="33"/>
  <c r="CC16" i="33"/>
  <c r="CB16" i="33"/>
  <c r="CA16" i="33"/>
  <c r="BZ16" i="33"/>
  <c r="BY16" i="33"/>
  <c r="BX16" i="33"/>
  <c r="BW16" i="33"/>
  <c r="BV16" i="33"/>
  <c r="BU16" i="33"/>
  <c r="BT16" i="33"/>
  <c r="BS16" i="33"/>
  <c r="BR16" i="33"/>
  <c r="BQ16" i="33"/>
  <c r="BP16" i="33"/>
  <c r="BO16" i="33"/>
  <c r="BN16" i="33"/>
  <c r="BM16" i="33"/>
  <c r="BL16" i="33"/>
  <c r="BK16" i="33"/>
  <c r="BJ16" i="33"/>
  <c r="BI16" i="33"/>
  <c r="BH16" i="33"/>
  <c r="BG16" i="33"/>
  <c r="BF16" i="33"/>
  <c r="BE16" i="33"/>
  <c r="BD16" i="33"/>
  <c r="BC16" i="33"/>
  <c r="BB16" i="33"/>
  <c r="BA16" i="33"/>
  <c r="AZ16" i="33"/>
  <c r="AY16" i="33"/>
  <c r="AX16" i="33"/>
  <c r="AW16" i="33"/>
  <c r="AV16" i="33"/>
  <c r="AU16" i="33"/>
  <c r="AT16" i="33"/>
  <c r="AS16" i="33"/>
  <c r="AR16" i="33"/>
  <c r="AQ16" i="33"/>
  <c r="AP16" i="33"/>
  <c r="AO16" i="33"/>
  <c r="AN16" i="33"/>
  <c r="AM16" i="33"/>
  <c r="AL16" i="33"/>
  <c r="AK16" i="33"/>
  <c r="AJ16" i="33"/>
  <c r="AI16" i="33"/>
  <c r="AH16" i="33"/>
  <c r="AG16" i="33"/>
  <c r="AF16" i="33"/>
  <c r="AE16" i="33"/>
  <c r="AD16" i="33"/>
  <c r="AC16" i="33"/>
  <c r="AB16" i="33"/>
  <c r="AA16" i="33"/>
  <c r="Z16" i="33"/>
  <c r="Y16" i="33"/>
  <c r="X16" i="33"/>
  <c r="W16" i="33"/>
  <c r="V16" i="33"/>
  <c r="U16" i="33"/>
  <c r="T16" i="33"/>
  <c r="S16" i="33"/>
  <c r="R16" i="33"/>
  <c r="Q16" i="33"/>
  <c r="P16" i="33"/>
  <c r="O16" i="33"/>
  <c r="N16" i="33"/>
  <c r="M16" i="33"/>
  <c r="L16" i="33"/>
  <c r="K16" i="33"/>
  <c r="J16" i="33"/>
  <c r="I16" i="33"/>
  <c r="H16" i="33"/>
  <c r="G16" i="33"/>
  <c r="F16" i="33"/>
  <c r="E16" i="33"/>
  <c r="D16" i="33"/>
  <c r="C16" i="33"/>
  <c r="B16" i="33"/>
  <c r="A16" i="33"/>
  <c r="IV15" i="33"/>
  <c r="IU15" i="33"/>
  <c r="IT15" i="33"/>
  <c r="IS15" i="33"/>
  <c r="IR15" i="33"/>
  <c r="IQ15" i="33"/>
  <c r="IP15" i="33"/>
  <c r="IO15" i="33"/>
  <c r="IN15" i="33"/>
  <c r="IM15" i="33"/>
  <c r="IL15" i="33"/>
  <c r="IK15" i="33"/>
  <c r="IJ15" i="33"/>
  <c r="II15" i="33"/>
  <c r="IH15" i="33"/>
  <c r="IG15" i="33"/>
  <c r="IF15" i="33"/>
  <c r="IE15" i="33"/>
  <c r="ID15" i="33"/>
  <c r="IC15" i="33"/>
  <c r="IB15" i="33"/>
  <c r="IA15" i="33"/>
  <c r="HZ15" i="33"/>
  <c r="HY15" i="33"/>
  <c r="HX15" i="33"/>
  <c r="HW15" i="33"/>
  <c r="HV15" i="33"/>
  <c r="HU15" i="33"/>
  <c r="HT15" i="33"/>
  <c r="HS15" i="33"/>
  <c r="HR15" i="33"/>
  <c r="HQ15" i="33"/>
  <c r="HP15" i="33"/>
  <c r="HO15" i="33"/>
  <c r="HN15" i="33"/>
  <c r="HM15" i="33"/>
  <c r="HL15" i="33"/>
  <c r="HK15" i="33"/>
  <c r="HJ15" i="33"/>
  <c r="HI15" i="33"/>
  <c r="HH15" i="33"/>
  <c r="HG15" i="33"/>
  <c r="HF15" i="33"/>
  <c r="HE15" i="33"/>
  <c r="HD15" i="33"/>
  <c r="HC15" i="33"/>
  <c r="HB15" i="33"/>
  <c r="HA15" i="33"/>
  <c r="GZ15" i="33"/>
  <c r="GY15" i="33"/>
  <c r="GX15" i="33"/>
  <c r="GW15" i="33"/>
  <c r="GV15" i="33"/>
  <c r="GU15" i="33"/>
  <c r="GT15" i="33"/>
  <c r="GS15" i="33"/>
  <c r="GR15" i="33"/>
  <c r="GQ15" i="33"/>
  <c r="GP15" i="33"/>
  <c r="GO15" i="33"/>
  <c r="GN15" i="33"/>
  <c r="GM15" i="33"/>
  <c r="GL15" i="33"/>
  <c r="GK15" i="33"/>
  <c r="GJ15" i="33"/>
  <c r="GI15" i="33"/>
  <c r="GH15" i="33"/>
  <c r="GG15" i="33"/>
  <c r="GF15" i="33"/>
  <c r="GE15" i="33"/>
  <c r="GD15" i="33"/>
  <c r="GC15" i="33"/>
  <c r="GB15" i="33"/>
  <c r="GA15" i="33"/>
  <c r="FZ15" i="33"/>
  <c r="FY15" i="33"/>
  <c r="FX15" i="33"/>
  <c r="FW15" i="33"/>
  <c r="FV15" i="33"/>
  <c r="FU15" i="33"/>
  <c r="FT15" i="33"/>
  <c r="FS15" i="33"/>
  <c r="FR15" i="33"/>
  <c r="FQ15" i="33"/>
  <c r="FP15" i="33"/>
  <c r="FO15" i="33"/>
  <c r="FN15" i="33"/>
  <c r="FM15" i="33"/>
  <c r="FL15" i="33"/>
  <c r="FK15" i="33"/>
  <c r="FJ15" i="33"/>
  <c r="FI15" i="33"/>
  <c r="FH15" i="33"/>
  <c r="FG15" i="33"/>
  <c r="FF15" i="33"/>
  <c r="FE15" i="33"/>
  <c r="FD15" i="33"/>
  <c r="FC15" i="33"/>
  <c r="FB15" i="33"/>
  <c r="FA15" i="33"/>
  <c r="EZ15" i="33"/>
  <c r="EY15" i="33"/>
  <c r="EX15" i="33"/>
  <c r="EW15" i="33"/>
  <c r="EV15" i="33"/>
  <c r="EU15" i="33"/>
  <c r="ET15" i="33"/>
  <c r="ES15" i="33"/>
  <c r="ER15" i="33"/>
  <c r="EQ15" i="33"/>
  <c r="EP15" i="33"/>
  <c r="EO15" i="33"/>
  <c r="EN15" i="33"/>
  <c r="EM15" i="33"/>
  <c r="EL15" i="33"/>
  <c r="EK15" i="33"/>
  <c r="EJ15" i="33"/>
  <c r="EI15" i="33"/>
  <c r="EH15" i="33"/>
  <c r="EG15" i="33"/>
  <c r="EF15" i="33"/>
  <c r="EE15" i="33"/>
  <c r="ED15" i="33"/>
  <c r="EC15" i="33"/>
  <c r="EB15" i="33"/>
  <c r="EA15" i="33"/>
  <c r="DZ15" i="33"/>
  <c r="DY15" i="33"/>
  <c r="DX15" i="33"/>
  <c r="DW15" i="33"/>
  <c r="DV15" i="33"/>
  <c r="DU15" i="33"/>
  <c r="DT15" i="33"/>
  <c r="DS15" i="33"/>
  <c r="DR15" i="33"/>
  <c r="DQ15" i="33"/>
  <c r="DP15" i="33"/>
  <c r="DO15" i="33"/>
  <c r="DN15" i="33"/>
  <c r="DM15" i="33"/>
  <c r="DL15" i="33"/>
  <c r="DK15" i="33"/>
  <c r="DJ15" i="33"/>
  <c r="DI15" i="33"/>
  <c r="DH15" i="33"/>
  <c r="DG15" i="33"/>
  <c r="DF15" i="33"/>
  <c r="DE15" i="33"/>
  <c r="DD15" i="33"/>
  <c r="DC15" i="33"/>
  <c r="DB15" i="33"/>
  <c r="DA15" i="33"/>
  <c r="CZ15" i="33"/>
  <c r="CY15" i="33"/>
  <c r="CX15" i="33"/>
  <c r="CW15" i="33"/>
  <c r="CV15" i="33"/>
  <c r="CU15" i="33"/>
  <c r="CT15" i="33"/>
  <c r="CS15" i="33"/>
  <c r="CR15" i="33"/>
  <c r="CQ15" i="33"/>
  <c r="CP15" i="33"/>
  <c r="CO15" i="33"/>
  <c r="CN15" i="33"/>
  <c r="CM15" i="33"/>
  <c r="CL15" i="33"/>
  <c r="CK15" i="33"/>
  <c r="CJ15" i="33"/>
  <c r="CI15" i="33"/>
  <c r="CH15" i="33"/>
  <c r="CG15" i="33"/>
  <c r="CF15" i="33"/>
  <c r="CE15" i="33"/>
  <c r="CD15" i="33"/>
  <c r="CC15" i="33"/>
  <c r="CB15" i="33"/>
  <c r="CA15" i="33"/>
  <c r="BZ15" i="33"/>
  <c r="BY15" i="33"/>
  <c r="BX15" i="33"/>
  <c r="BW15" i="33"/>
  <c r="BV15" i="33"/>
  <c r="BU15" i="33"/>
  <c r="BT15" i="33"/>
  <c r="BS15" i="33"/>
  <c r="BR15" i="33"/>
  <c r="BQ15" i="33"/>
  <c r="BP15" i="33"/>
  <c r="BO15" i="33"/>
  <c r="BN15" i="33"/>
  <c r="BM15" i="33"/>
  <c r="BL15" i="33"/>
  <c r="BK15" i="33"/>
  <c r="BJ15" i="33"/>
  <c r="BI15" i="33"/>
  <c r="BH15" i="33"/>
  <c r="BG15" i="33"/>
  <c r="BF15" i="33"/>
  <c r="BE15" i="33"/>
  <c r="BD15" i="33"/>
  <c r="BC15" i="33"/>
  <c r="BB15" i="33"/>
  <c r="BA15" i="33"/>
  <c r="AZ15" i="33"/>
  <c r="AY15" i="33"/>
  <c r="AX15" i="33"/>
  <c r="AW15" i="33"/>
  <c r="AV15" i="33"/>
  <c r="AU15" i="33"/>
  <c r="AT15" i="33"/>
  <c r="AS15" i="33"/>
  <c r="AR15" i="33"/>
  <c r="AQ15" i="33"/>
  <c r="AP15" i="33"/>
  <c r="AO15" i="33"/>
  <c r="AN15" i="33"/>
  <c r="AM15" i="33"/>
  <c r="AL15" i="33"/>
  <c r="AK15" i="33"/>
  <c r="AJ15" i="33"/>
  <c r="AI15" i="33"/>
  <c r="AH15" i="33"/>
  <c r="AG15" i="33"/>
  <c r="AF15" i="33"/>
  <c r="AE15" i="33"/>
  <c r="AD15" i="33"/>
  <c r="AC15" i="33"/>
  <c r="AB15" i="33"/>
  <c r="AA15" i="33"/>
  <c r="Z15" i="33"/>
  <c r="Y15" i="33"/>
  <c r="X15" i="33"/>
  <c r="W15" i="33"/>
  <c r="V15" i="33"/>
  <c r="U15" i="33"/>
  <c r="T15" i="33"/>
  <c r="S15" i="33"/>
  <c r="R15" i="33"/>
  <c r="Q15" i="33"/>
  <c r="P15" i="33"/>
  <c r="O15" i="33"/>
  <c r="N15" i="33"/>
  <c r="M15" i="33"/>
  <c r="L15" i="33"/>
  <c r="K15" i="33"/>
  <c r="J15" i="33"/>
  <c r="I15" i="33"/>
  <c r="H15" i="33"/>
  <c r="G15" i="33"/>
  <c r="F15" i="33"/>
  <c r="E15" i="33"/>
  <c r="D15" i="33"/>
  <c r="C15" i="33"/>
  <c r="B15" i="33"/>
  <c r="A15" i="33"/>
  <c r="IV14" i="33"/>
  <c r="IU14" i="33"/>
  <c r="IT14" i="33"/>
  <c r="IS14" i="33"/>
  <c r="IR14" i="33"/>
  <c r="IQ14" i="33"/>
  <c r="IP14" i="33"/>
  <c r="IO14" i="33"/>
  <c r="IN14" i="33"/>
  <c r="IM14" i="33"/>
  <c r="IL14" i="33"/>
  <c r="IK14" i="33"/>
  <c r="IJ14" i="33"/>
  <c r="II14" i="33"/>
  <c r="IH14" i="33"/>
  <c r="IG14" i="33"/>
  <c r="IF14" i="33"/>
  <c r="IE14" i="33"/>
  <c r="ID14" i="33"/>
  <c r="IC14" i="33"/>
  <c r="IB14" i="33"/>
  <c r="IA14" i="33"/>
  <c r="HZ14" i="33"/>
  <c r="HY14" i="33"/>
  <c r="HX14" i="33"/>
  <c r="HW14" i="33"/>
  <c r="HV14" i="33"/>
  <c r="HU14" i="33"/>
  <c r="HT14" i="33"/>
  <c r="HS14" i="33"/>
  <c r="HR14" i="33"/>
  <c r="HQ14" i="33"/>
  <c r="HP14" i="33"/>
  <c r="HO14" i="33"/>
  <c r="HN14" i="33"/>
  <c r="HM14" i="33"/>
  <c r="HL14" i="33"/>
  <c r="HK14" i="33"/>
  <c r="HJ14" i="33"/>
  <c r="HI14" i="33"/>
  <c r="HH14" i="33"/>
  <c r="HG14" i="33"/>
  <c r="HF14" i="33"/>
  <c r="HE14" i="33"/>
  <c r="HD14" i="33"/>
  <c r="HC14" i="33"/>
  <c r="HB14" i="33"/>
  <c r="HA14" i="33"/>
  <c r="GZ14" i="33"/>
  <c r="GY14" i="33"/>
  <c r="GX14" i="33"/>
  <c r="GW14" i="33"/>
  <c r="GV14" i="33"/>
  <c r="GU14" i="33"/>
  <c r="GT14" i="33"/>
  <c r="GS14" i="33"/>
  <c r="GR14" i="33"/>
  <c r="GQ14" i="33"/>
  <c r="GP14" i="33"/>
  <c r="GO14" i="33"/>
  <c r="GN14" i="33"/>
  <c r="GM14" i="33"/>
  <c r="GL14" i="33"/>
  <c r="GK14" i="33"/>
  <c r="GJ14" i="33"/>
  <c r="GI14" i="33"/>
  <c r="GH14" i="33"/>
  <c r="GG14" i="33"/>
  <c r="GF14" i="33"/>
  <c r="GE14" i="33"/>
  <c r="GD14" i="33"/>
  <c r="GC14" i="33"/>
  <c r="GB14" i="33"/>
  <c r="GA14" i="33"/>
  <c r="FZ14" i="33"/>
  <c r="FY14" i="33"/>
  <c r="FX14" i="33"/>
  <c r="FW14" i="33"/>
  <c r="FV14" i="33"/>
  <c r="FU14" i="33"/>
  <c r="FT14" i="33"/>
  <c r="FS14" i="33"/>
  <c r="FR14" i="33"/>
  <c r="FQ14" i="33"/>
  <c r="FP14" i="33"/>
  <c r="FO14" i="33"/>
  <c r="FN14" i="33"/>
  <c r="FM14" i="33"/>
  <c r="FL14" i="33"/>
  <c r="FK14" i="33"/>
  <c r="FJ14" i="33"/>
  <c r="FI14" i="33"/>
  <c r="FH14" i="33"/>
  <c r="FG14" i="33"/>
  <c r="FF14" i="33"/>
  <c r="FE14" i="33"/>
  <c r="FD14" i="33"/>
  <c r="FC14" i="33"/>
  <c r="FB14" i="33"/>
  <c r="FA14" i="33"/>
  <c r="EZ14" i="33"/>
  <c r="EY14" i="33"/>
  <c r="EX14" i="33"/>
  <c r="EW14" i="33"/>
  <c r="EV14" i="33"/>
  <c r="EU14" i="33"/>
  <c r="ET14" i="33"/>
  <c r="ES14" i="33"/>
  <c r="ER14" i="33"/>
  <c r="EQ14" i="33"/>
  <c r="EP14" i="33"/>
  <c r="EO14" i="33"/>
  <c r="EN14" i="33"/>
  <c r="EM14" i="33"/>
  <c r="EL14" i="33"/>
  <c r="EK14" i="33"/>
  <c r="EJ14" i="33"/>
  <c r="EI14" i="33"/>
  <c r="EH14" i="33"/>
  <c r="EG14" i="33"/>
  <c r="EF14" i="33"/>
  <c r="EE14" i="33"/>
  <c r="ED14" i="33"/>
  <c r="EC14" i="33"/>
  <c r="EB14" i="33"/>
  <c r="EA14" i="33"/>
  <c r="DZ14" i="33"/>
  <c r="DY14" i="33"/>
  <c r="DX14" i="33"/>
  <c r="DW14" i="33"/>
  <c r="DV14" i="33"/>
  <c r="DU14" i="33"/>
  <c r="DT14" i="33"/>
  <c r="DS14" i="33"/>
  <c r="DR14" i="33"/>
  <c r="DQ14" i="33"/>
  <c r="DP14" i="33"/>
  <c r="DO14" i="33"/>
  <c r="DN14" i="33"/>
  <c r="DM14" i="33"/>
  <c r="DL14" i="33"/>
  <c r="DK14" i="33"/>
  <c r="DJ14" i="33"/>
  <c r="DI14" i="33"/>
  <c r="DH14" i="33"/>
  <c r="DG14" i="33"/>
  <c r="DF14" i="33"/>
  <c r="DE14" i="33"/>
  <c r="DD14" i="33"/>
  <c r="DC14" i="33"/>
  <c r="DB14" i="33"/>
  <c r="DA14" i="33"/>
  <c r="CZ14" i="33"/>
  <c r="CY14" i="33"/>
  <c r="CX14" i="33"/>
  <c r="CW14" i="33"/>
  <c r="CV14" i="33"/>
  <c r="CU14" i="33"/>
  <c r="CT14" i="33"/>
  <c r="CS14" i="33"/>
  <c r="CR14" i="33"/>
  <c r="CQ14" i="33"/>
  <c r="CP14" i="33"/>
  <c r="CO14" i="33"/>
  <c r="CN14" i="33"/>
  <c r="CM14" i="33"/>
  <c r="CL14" i="33"/>
  <c r="CK14" i="33"/>
  <c r="CJ14" i="33"/>
  <c r="CI14" i="33"/>
  <c r="CH14" i="33"/>
  <c r="CG14" i="33"/>
  <c r="CF14" i="33"/>
  <c r="CE14" i="33"/>
  <c r="CD14" i="33"/>
  <c r="CC14" i="33"/>
  <c r="CB14" i="33"/>
  <c r="CA14" i="33"/>
  <c r="BZ14" i="33"/>
  <c r="BY14" i="33"/>
  <c r="BX14" i="33"/>
  <c r="BW14" i="33"/>
  <c r="BV14" i="33"/>
  <c r="BU14" i="33"/>
  <c r="BT14" i="33"/>
  <c r="BS14" i="33"/>
  <c r="BR14" i="33"/>
  <c r="BQ14" i="33"/>
  <c r="BP14" i="33"/>
  <c r="BO14" i="33"/>
  <c r="BN14" i="33"/>
  <c r="BM14" i="33"/>
  <c r="BL14" i="33"/>
  <c r="BK14" i="33"/>
  <c r="BJ14" i="33"/>
  <c r="BI14" i="33"/>
  <c r="BH14" i="33"/>
  <c r="BG14" i="33"/>
  <c r="BF14" i="33"/>
  <c r="BE14" i="33"/>
  <c r="BD14" i="33"/>
  <c r="BC14" i="33"/>
  <c r="BB14" i="33"/>
  <c r="BA14" i="33"/>
  <c r="AZ14" i="33"/>
  <c r="AY14" i="33"/>
  <c r="AX14" i="33"/>
  <c r="AW14" i="33"/>
  <c r="AV14" i="33"/>
  <c r="AU14" i="33"/>
  <c r="AT14" i="33"/>
  <c r="AS14" i="33"/>
  <c r="AR14" i="33"/>
  <c r="AQ14" i="33"/>
  <c r="AP14" i="33"/>
  <c r="AO14" i="33"/>
  <c r="AN14" i="33"/>
  <c r="AM14" i="33"/>
  <c r="AL14" i="33"/>
  <c r="AK14" i="33"/>
  <c r="AJ14" i="33"/>
  <c r="AI14" i="33"/>
  <c r="AH14" i="33"/>
  <c r="AG14" i="33"/>
  <c r="AF14" i="33"/>
  <c r="AE14" i="33"/>
  <c r="AD14" i="33"/>
  <c r="AC14" i="33"/>
  <c r="AB14" i="33"/>
  <c r="AA14" i="33"/>
  <c r="Z14" i="33"/>
  <c r="Y14" i="33"/>
  <c r="X14" i="33"/>
  <c r="W14" i="33"/>
  <c r="V14" i="33"/>
  <c r="U14" i="33"/>
  <c r="T14" i="33"/>
  <c r="S14" i="33"/>
  <c r="R14" i="33"/>
  <c r="Q14" i="33"/>
  <c r="P14" i="33"/>
  <c r="O14" i="33"/>
  <c r="N14" i="33"/>
  <c r="M14" i="33"/>
  <c r="L14" i="33"/>
  <c r="K14" i="33"/>
  <c r="J14" i="33"/>
  <c r="I14" i="33"/>
  <c r="H14" i="33"/>
  <c r="G14" i="33"/>
  <c r="F14" i="33"/>
  <c r="E14" i="33"/>
  <c r="D14" i="33"/>
  <c r="C14" i="33"/>
  <c r="B14" i="33"/>
  <c r="A14" i="33"/>
  <c r="IV13" i="33"/>
  <c r="IU13" i="33"/>
  <c r="IT13" i="33"/>
  <c r="IS13" i="33"/>
  <c r="IR13" i="33"/>
  <c r="IQ13" i="33"/>
  <c r="IP13" i="33"/>
  <c r="IO13" i="33"/>
  <c r="IN13" i="33"/>
  <c r="IM13" i="33"/>
  <c r="IL13" i="33"/>
  <c r="IK13" i="33"/>
  <c r="IJ13" i="33"/>
  <c r="II13" i="33"/>
  <c r="IH13" i="33"/>
  <c r="IG13" i="33"/>
  <c r="IF13" i="33"/>
  <c r="IE13" i="33"/>
  <c r="ID13" i="33"/>
  <c r="IC13" i="33"/>
  <c r="IB13" i="33"/>
  <c r="IA13" i="33"/>
  <c r="HZ13" i="33"/>
  <c r="HY13" i="33"/>
  <c r="HX13" i="33"/>
  <c r="HW13" i="33"/>
  <c r="HV13" i="33"/>
  <c r="HU13" i="33"/>
  <c r="HT13" i="33"/>
  <c r="HS13" i="33"/>
  <c r="HR13" i="33"/>
  <c r="HQ13" i="33"/>
  <c r="HP13" i="33"/>
  <c r="HO13" i="33"/>
  <c r="HN13" i="33"/>
  <c r="HM13" i="33"/>
  <c r="HL13" i="33"/>
  <c r="HK13" i="33"/>
  <c r="HJ13" i="33"/>
  <c r="HI13" i="33"/>
  <c r="HH13" i="33"/>
  <c r="HG13" i="33"/>
  <c r="HF13" i="33"/>
  <c r="HE13" i="33"/>
  <c r="HD13" i="33"/>
  <c r="HC13" i="33"/>
  <c r="HB13" i="33"/>
  <c r="HA13" i="33"/>
  <c r="GZ13" i="33"/>
  <c r="GY13" i="33"/>
  <c r="GX13" i="33"/>
  <c r="GW13" i="33"/>
  <c r="GV13" i="33"/>
  <c r="GU13" i="33"/>
  <c r="GT13" i="33"/>
  <c r="GS13" i="33"/>
  <c r="GR13" i="33"/>
  <c r="GQ13" i="33"/>
  <c r="GP13" i="33"/>
  <c r="GO13" i="33"/>
  <c r="GN13" i="33"/>
  <c r="GM13" i="33"/>
  <c r="GL13" i="33"/>
  <c r="GK13" i="33"/>
  <c r="GJ13" i="33"/>
  <c r="GI13" i="33"/>
  <c r="GH13" i="33"/>
  <c r="GG13" i="33"/>
  <c r="GF13" i="33"/>
  <c r="GE13" i="33"/>
  <c r="GD13" i="33"/>
  <c r="GC13" i="33"/>
  <c r="GB13" i="33"/>
  <c r="GA13" i="33"/>
  <c r="FZ13" i="33"/>
  <c r="FY13" i="33"/>
  <c r="FX13" i="33"/>
  <c r="FW13" i="33"/>
  <c r="FV13" i="33"/>
  <c r="FU13" i="33"/>
  <c r="FT13" i="33"/>
  <c r="FS13" i="33"/>
  <c r="FR13" i="33"/>
  <c r="FQ13" i="33"/>
  <c r="FP13" i="33"/>
  <c r="FO13" i="33"/>
  <c r="FN13" i="33"/>
  <c r="FM13" i="33"/>
  <c r="FL13" i="33"/>
  <c r="FK13" i="33"/>
  <c r="FJ13" i="33"/>
  <c r="FI13" i="33"/>
  <c r="FH13" i="33"/>
  <c r="FG13" i="33"/>
  <c r="FF13" i="33"/>
  <c r="FE13" i="33"/>
  <c r="FD13" i="33"/>
  <c r="FC13" i="33"/>
  <c r="FB13" i="33"/>
  <c r="FA13" i="33"/>
  <c r="EZ13" i="33"/>
  <c r="EY13" i="33"/>
  <c r="EX13" i="33"/>
  <c r="EW13" i="33"/>
  <c r="EV13" i="33"/>
  <c r="EU13" i="33"/>
  <c r="ET13" i="33"/>
  <c r="ES13" i="33"/>
  <c r="ER13" i="33"/>
  <c r="EQ13" i="33"/>
  <c r="EP13" i="33"/>
  <c r="EO13" i="33"/>
  <c r="EN13" i="33"/>
  <c r="EM13" i="33"/>
  <c r="EL13" i="33"/>
  <c r="EK13" i="33"/>
  <c r="EJ13" i="33"/>
  <c r="EI13" i="33"/>
  <c r="EH13" i="33"/>
  <c r="EG13" i="33"/>
  <c r="EF13" i="33"/>
  <c r="EE13" i="33"/>
  <c r="ED13" i="33"/>
  <c r="EC13" i="33"/>
  <c r="EB13" i="33"/>
  <c r="EA13" i="33"/>
  <c r="DZ13" i="33"/>
  <c r="DY13" i="33"/>
  <c r="DX13" i="33"/>
  <c r="DW13" i="33"/>
  <c r="DV13" i="33"/>
  <c r="DU13" i="33"/>
  <c r="DT13" i="33"/>
  <c r="DS13" i="33"/>
  <c r="DR13" i="33"/>
  <c r="DQ13" i="33"/>
  <c r="DP13" i="33"/>
  <c r="DO13" i="33"/>
  <c r="DN13" i="33"/>
  <c r="DM13" i="33"/>
  <c r="DL13" i="33"/>
  <c r="DK13" i="33"/>
  <c r="DJ13" i="33"/>
  <c r="DI13" i="33"/>
  <c r="DH13" i="33"/>
  <c r="DG13" i="33"/>
  <c r="DF13" i="33"/>
  <c r="DE13" i="33"/>
  <c r="DD13" i="33"/>
  <c r="DC13" i="33"/>
  <c r="DB13" i="33"/>
  <c r="DA13" i="33"/>
  <c r="CZ13" i="33"/>
  <c r="CY13" i="33"/>
  <c r="CX13" i="33"/>
  <c r="CW13" i="33"/>
  <c r="CV13" i="33"/>
  <c r="CU13" i="33"/>
  <c r="CT13" i="33"/>
  <c r="CS13" i="33"/>
  <c r="CR13" i="33"/>
  <c r="CQ13" i="33"/>
  <c r="CP13" i="33"/>
  <c r="CO13" i="33"/>
  <c r="CN13" i="33"/>
  <c r="CM13" i="33"/>
  <c r="CL13" i="33"/>
  <c r="CK13" i="33"/>
  <c r="CJ13" i="33"/>
  <c r="CI13" i="33"/>
  <c r="CH13" i="33"/>
  <c r="CG13" i="33"/>
  <c r="CF13" i="33"/>
  <c r="CE13" i="33"/>
  <c r="CD13" i="33"/>
  <c r="CC13" i="33"/>
  <c r="CB13" i="33"/>
  <c r="CA13" i="33"/>
  <c r="BZ13" i="33"/>
  <c r="BY13" i="33"/>
  <c r="BX13" i="33"/>
  <c r="BW13" i="33"/>
  <c r="BV13" i="33"/>
  <c r="BU13" i="33"/>
  <c r="BT13" i="33"/>
  <c r="BS13" i="33"/>
  <c r="BR13" i="33"/>
  <c r="BQ13" i="33"/>
  <c r="BP13" i="33"/>
  <c r="BO13" i="33"/>
  <c r="BN13" i="33"/>
  <c r="BM13" i="33"/>
  <c r="BL13" i="33"/>
  <c r="BK13" i="33"/>
  <c r="BJ13" i="33"/>
  <c r="BI13" i="33"/>
  <c r="BH13" i="33"/>
  <c r="BG13" i="33"/>
  <c r="BF13" i="33"/>
  <c r="BE13" i="33"/>
  <c r="BD13" i="33"/>
  <c r="BC13" i="33"/>
  <c r="BB13" i="33"/>
  <c r="BA13" i="33"/>
  <c r="AZ13" i="33"/>
  <c r="AY13" i="33"/>
  <c r="AX13" i="33"/>
  <c r="AW13" i="33"/>
  <c r="AV13" i="33"/>
  <c r="AU13" i="33"/>
  <c r="AT13" i="33"/>
  <c r="AS13" i="33"/>
  <c r="AR13" i="33"/>
  <c r="AQ13" i="33"/>
  <c r="AP13" i="33"/>
  <c r="AO13" i="33"/>
  <c r="AN13" i="33"/>
  <c r="AM13" i="33"/>
  <c r="AL13" i="33"/>
  <c r="AK13" i="33"/>
  <c r="AJ13" i="33"/>
  <c r="AI13" i="33"/>
  <c r="AH13" i="33"/>
  <c r="AG13" i="33"/>
  <c r="AF13" i="33"/>
  <c r="AE13" i="33"/>
  <c r="AD13" i="33"/>
  <c r="AC13" i="33"/>
  <c r="AB13" i="33"/>
  <c r="AA13" i="33"/>
  <c r="Z13" i="33"/>
  <c r="Y13" i="33"/>
  <c r="X13" i="33"/>
  <c r="W13" i="33"/>
  <c r="V13" i="33"/>
  <c r="U13" i="33"/>
  <c r="T13" i="33"/>
  <c r="S13" i="33"/>
  <c r="R13" i="33"/>
  <c r="Q13" i="33"/>
  <c r="P13" i="33"/>
  <c r="O13" i="33"/>
  <c r="N13" i="33"/>
  <c r="M13" i="33"/>
  <c r="L13" i="33"/>
  <c r="K13" i="33"/>
  <c r="J13" i="33"/>
  <c r="I13" i="33"/>
  <c r="H13" i="33"/>
  <c r="G13" i="33"/>
  <c r="F13" i="33"/>
  <c r="E13" i="33"/>
  <c r="D13" i="33"/>
  <c r="C13" i="33"/>
  <c r="B13" i="33"/>
  <c r="A13" i="33"/>
  <c r="IV12" i="33"/>
  <c r="IU12" i="33"/>
  <c r="IT12" i="33"/>
  <c r="IS12" i="33"/>
  <c r="IR12" i="33"/>
  <c r="IQ12" i="33"/>
  <c r="IP12" i="33"/>
  <c r="IO12" i="33"/>
  <c r="IN12" i="33"/>
  <c r="IM12" i="33"/>
  <c r="IL12" i="33"/>
  <c r="IK12" i="33"/>
  <c r="IJ12" i="33"/>
  <c r="II12" i="33"/>
  <c r="IH12" i="33"/>
  <c r="IG12" i="33"/>
  <c r="IF12" i="33"/>
  <c r="IE12" i="33"/>
  <c r="ID12" i="33"/>
  <c r="IC12" i="33"/>
  <c r="IB12" i="33"/>
  <c r="IA12" i="33"/>
  <c r="HZ12" i="33"/>
  <c r="HY12" i="33"/>
  <c r="HX12" i="33"/>
  <c r="HW12" i="33"/>
  <c r="HV12" i="33"/>
  <c r="HU12" i="33"/>
  <c r="HT12" i="33"/>
  <c r="HS12" i="33"/>
  <c r="HR12" i="33"/>
  <c r="HQ12" i="33"/>
  <c r="HP12" i="33"/>
  <c r="HO12" i="33"/>
  <c r="HN12" i="33"/>
  <c r="HM12" i="33"/>
  <c r="HL12" i="33"/>
  <c r="HK12" i="33"/>
  <c r="HJ12" i="33"/>
  <c r="HI12" i="33"/>
  <c r="HH12" i="33"/>
  <c r="HG12" i="33"/>
  <c r="HF12" i="33"/>
  <c r="HE12" i="33"/>
  <c r="HD12" i="33"/>
  <c r="HC12" i="33"/>
  <c r="HB12" i="33"/>
  <c r="HA12" i="33"/>
  <c r="GZ12" i="33"/>
  <c r="GY12" i="33"/>
  <c r="GX12" i="33"/>
  <c r="GW12" i="33"/>
  <c r="GV12" i="33"/>
  <c r="GU12" i="33"/>
  <c r="GT12" i="33"/>
  <c r="GS12" i="33"/>
  <c r="GR12" i="33"/>
  <c r="GQ12" i="33"/>
  <c r="GP12" i="33"/>
  <c r="GO12" i="33"/>
  <c r="GN12" i="33"/>
  <c r="GM12" i="33"/>
  <c r="GL12" i="33"/>
  <c r="GK12" i="33"/>
  <c r="GJ12" i="33"/>
  <c r="GI12" i="33"/>
  <c r="GH12" i="33"/>
  <c r="GG12" i="33"/>
  <c r="GF12" i="33"/>
  <c r="GE12" i="33"/>
  <c r="GD12" i="33"/>
  <c r="GC12" i="33"/>
  <c r="GB12" i="33"/>
  <c r="GA12" i="33"/>
  <c r="FZ12" i="33"/>
  <c r="FY12" i="33"/>
  <c r="FX12" i="33"/>
  <c r="FW12" i="33"/>
  <c r="FV12" i="33"/>
  <c r="FU12" i="33"/>
  <c r="FT12" i="33"/>
  <c r="FS12" i="33"/>
  <c r="FR12" i="33"/>
  <c r="FQ12" i="33"/>
  <c r="FP12" i="33"/>
  <c r="FO12" i="33"/>
  <c r="FN12" i="33"/>
  <c r="FM12" i="33"/>
  <c r="FL12" i="33"/>
  <c r="FK12" i="33"/>
  <c r="FJ12" i="33"/>
  <c r="FI12" i="33"/>
  <c r="FH12" i="33"/>
  <c r="FG12" i="33"/>
  <c r="FF12" i="33"/>
  <c r="FE12" i="33"/>
  <c r="FD12" i="33"/>
  <c r="FC12" i="33"/>
  <c r="FB12" i="33"/>
  <c r="FA12" i="33"/>
  <c r="EZ12" i="33"/>
  <c r="EY12" i="33"/>
  <c r="EX12" i="33"/>
  <c r="EW12" i="33"/>
  <c r="EV12" i="33"/>
  <c r="EU12" i="33"/>
  <c r="ET12" i="33"/>
  <c r="ES12" i="33"/>
  <c r="ER12" i="33"/>
  <c r="EQ12" i="33"/>
  <c r="EP12" i="33"/>
  <c r="EO12" i="33"/>
  <c r="EN12" i="33"/>
  <c r="EM12" i="33"/>
  <c r="EL12" i="33"/>
  <c r="EK12" i="33"/>
  <c r="EJ12" i="33"/>
  <c r="EI12" i="33"/>
  <c r="EH12" i="33"/>
  <c r="EG12" i="33"/>
  <c r="EF12" i="33"/>
  <c r="EE12" i="33"/>
  <c r="ED12" i="33"/>
  <c r="EC12" i="33"/>
  <c r="EB12" i="33"/>
  <c r="EA12" i="33"/>
  <c r="DZ12" i="33"/>
  <c r="DY12" i="33"/>
  <c r="DX12" i="33"/>
  <c r="DW12" i="33"/>
  <c r="DV12" i="33"/>
  <c r="DU12" i="33"/>
  <c r="DT12" i="33"/>
  <c r="DS12" i="33"/>
  <c r="DR12" i="33"/>
  <c r="DQ12" i="33"/>
  <c r="DP12" i="33"/>
  <c r="DO12" i="33"/>
  <c r="DN12" i="33"/>
  <c r="DM12" i="33"/>
  <c r="DL12" i="33"/>
  <c r="DK12" i="33"/>
  <c r="DJ12" i="33"/>
  <c r="DI12" i="33"/>
  <c r="DH12" i="33"/>
  <c r="DG12" i="33"/>
  <c r="DF12" i="33"/>
  <c r="DE12" i="33"/>
  <c r="DD12" i="33"/>
  <c r="DC12" i="33"/>
  <c r="DB12" i="33"/>
  <c r="DA12" i="33"/>
  <c r="CZ12" i="33"/>
  <c r="CY12" i="33"/>
  <c r="CX12" i="33"/>
  <c r="CW12" i="33"/>
  <c r="CV12" i="33"/>
  <c r="CU12" i="33"/>
  <c r="CT12" i="33"/>
  <c r="CS12" i="33"/>
  <c r="CR12" i="33"/>
  <c r="CQ12" i="33"/>
  <c r="CP12" i="33"/>
  <c r="CO12" i="33"/>
  <c r="CN12" i="33"/>
  <c r="CM12" i="33"/>
  <c r="CL12" i="33"/>
  <c r="CK12" i="33"/>
  <c r="CJ12" i="33"/>
  <c r="CI12" i="33"/>
  <c r="CH12" i="33"/>
  <c r="CG12" i="33"/>
  <c r="CF12" i="33"/>
  <c r="CE12" i="33"/>
  <c r="CD12" i="33"/>
  <c r="CC12" i="33"/>
  <c r="CB12" i="33"/>
  <c r="CA12" i="33"/>
  <c r="BZ12" i="33"/>
  <c r="BY12" i="33"/>
  <c r="BX12" i="33"/>
  <c r="BW12" i="33"/>
  <c r="BV12" i="33"/>
  <c r="BU12" i="33"/>
  <c r="BT12" i="33"/>
  <c r="BS12" i="33"/>
  <c r="BR12" i="33"/>
  <c r="BQ12" i="33"/>
  <c r="BP12" i="33"/>
  <c r="BO12" i="33"/>
  <c r="BN12" i="33"/>
  <c r="BM12" i="33"/>
  <c r="BL12" i="33"/>
  <c r="BK12" i="33"/>
  <c r="BJ12" i="33"/>
  <c r="BI12" i="33"/>
  <c r="BH12" i="33"/>
  <c r="BG12" i="33"/>
  <c r="BF12" i="33"/>
  <c r="BE12" i="33"/>
  <c r="BD12" i="33"/>
  <c r="BC12" i="33"/>
  <c r="BB12" i="33"/>
  <c r="BA12" i="33"/>
  <c r="AZ12" i="33"/>
  <c r="AY12" i="33"/>
  <c r="AX12" i="33"/>
  <c r="AW12" i="33"/>
  <c r="AV12" i="33"/>
  <c r="AU12" i="33"/>
  <c r="AT12" i="33"/>
  <c r="AS12" i="33"/>
  <c r="AR12" i="33"/>
  <c r="AQ12" i="33"/>
  <c r="AP12" i="33"/>
  <c r="AO12" i="33"/>
  <c r="AN12" i="33"/>
  <c r="AM12" i="33"/>
  <c r="AL12" i="33"/>
  <c r="AK12" i="33"/>
  <c r="AJ12" i="33"/>
  <c r="AI12" i="33"/>
  <c r="AH12" i="33"/>
  <c r="AG12" i="33"/>
  <c r="AF12" i="33"/>
  <c r="AE12" i="33"/>
  <c r="AD12" i="33"/>
  <c r="AC12" i="33"/>
  <c r="AB12" i="33"/>
  <c r="AA12" i="33"/>
  <c r="Z12" i="33"/>
  <c r="Y12" i="33"/>
  <c r="X12" i="33"/>
  <c r="W12" i="33"/>
  <c r="V12" i="33"/>
  <c r="U12" i="33"/>
  <c r="T12" i="33"/>
  <c r="S12" i="33"/>
  <c r="R12" i="33"/>
  <c r="Q12" i="33"/>
  <c r="P12" i="33"/>
  <c r="O12" i="33"/>
  <c r="N12" i="33"/>
  <c r="M12" i="33"/>
  <c r="L12" i="33"/>
  <c r="K12" i="33"/>
  <c r="J12" i="33"/>
  <c r="I12" i="33"/>
  <c r="H12" i="33"/>
  <c r="G12" i="33"/>
  <c r="F12" i="33"/>
  <c r="E12" i="33"/>
  <c r="D12" i="33"/>
  <c r="C12" i="33"/>
  <c r="B12" i="33"/>
  <c r="A12" i="33"/>
  <c r="IV11" i="33"/>
  <c r="IU11" i="33"/>
  <c r="IT11" i="33"/>
  <c r="IS11" i="33"/>
  <c r="IR11" i="33"/>
  <c r="IQ11" i="33"/>
  <c r="IP11" i="33"/>
  <c r="IO11" i="33"/>
  <c r="IN11" i="33"/>
  <c r="IM11" i="33"/>
  <c r="IL11" i="33"/>
  <c r="IK11" i="33"/>
  <c r="IJ11" i="33"/>
  <c r="II11" i="33"/>
  <c r="IH11" i="33"/>
  <c r="IG11" i="33"/>
  <c r="IF11" i="33"/>
  <c r="IE11" i="33"/>
  <c r="ID11" i="33"/>
  <c r="IC11" i="33"/>
  <c r="IB11" i="33"/>
  <c r="IA11" i="33"/>
  <c r="HZ11" i="33"/>
  <c r="HY11" i="33"/>
  <c r="HX11" i="33"/>
  <c r="HW11" i="33"/>
  <c r="HV11" i="33"/>
  <c r="HU11" i="33"/>
  <c r="HT11" i="33"/>
  <c r="HS11" i="33"/>
  <c r="HR11" i="33"/>
  <c r="HQ11" i="33"/>
  <c r="HP11" i="33"/>
  <c r="HO11" i="33"/>
  <c r="HN11" i="33"/>
  <c r="HM11" i="33"/>
  <c r="HL11" i="33"/>
  <c r="HK11" i="33"/>
  <c r="HJ11" i="33"/>
  <c r="HI11" i="33"/>
  <c r="HH11" i="33"/>
  <c r="HG11" i="33"/>
  <c r="HF11" i="33"/>
  <c r="HE11" i="33"/>
  <c r="HD11" i="33"/>
  <c r="HC11" i="33"/>
  <c r="HB11" i="33"/>
  <c r="HA11" i="33"/>
  <c r="GZ11" i="33"/>
  <c r="GY11" i="33"/>
  <c r="GX11" i="33"/>
  <c r="GW11" i="33"/>
  <c r="GV11" i="33"/>
  <c r="GU11" i="33"/>
  <c r="GT11" i="33"/>
  <c r="GS11" i="33"/>
  <c r="GR11" i="33"/>
  <c r="GQ11" i="33"/>
  <c r="GP11" i="33"/>
  <c r="GO11" i="33"/>
  <c r="GN11" i="33"/>
  <c r="GM11" i="33"/>
  <c r="GL11" i="33"/>
  <c r="GK11" i="33"/>
  <c r="GJ11" i="33"/>
  <c r="GI11" i="33"/>
  <c r="GH11" i="33"/>
  <c r="GG11" i="33"/>
  <c r="GF11" i="33"/>
  <c r="GE11" i="33"/>
  <c r="GD11" i="33"/>
  <c r="GC11" i="33"/>
  <c r="GB11" i="33"/>
  <c r="GA11" i="33"/>
  <c r="FZ11" i="33"/>
  <c r="FY11" i="33"/>
  <c r="FX11" i="33"/>
  <c r="FW11" i="33"/>
  <c r="FV11" i="33"/>
  <c r="FU11" i="33"/>
  <c r="FT11" i="33"/>
  <c r="FS11" i="33"/>
  <c r="FR11" i="33"/>
  <c r="FQ11" i="33"/>
  <c r="FP11" i="33"/>
  <c r="FO11" i="33"/>
  <c r="FN11" i="33"/>
  <c r="FM11" i="33"/>
  <c r="FL11" i="33"/>
  <c r="FK11" i="33"/>
  <c r="FJ11" i="33"/>
  <c r="FI11" i="33"/>
  <c r="FH11" i="33"/>
  <c r="FG11" i="33"/>
  <c r="FF11" i="33"/>
  <c r="FE11" i="33"/>
  <c r="FD11" i="33"/>
  <c r="FC11" i="33"/>
  <c r="FB11" i="33"/>
  <c r="FA11" i="33"/>
  <c r="EZ11" i="33"/>
  <c r="EY11" i="33"/>
  <c r="EX11" i="33"/>
  <c r="EW11" i="33"/>
  <c r="EV11" i="33"/>
  <c r="EU11" i="33"/>
  <c r="ET11" i="33"/>
  <c r="ES11" i="33"/>
  <c r="ER11" i="33"/>
  <c r="EQ11" i="33"/>
  <c r="EP11" i="33"/>
  <c r="EO11" i="33"/>
  <c r="EN11" i="33"/>
  <c r="EM11" i="33"/>
  <c r="EL11" i="33"/>
  <c r="EK11" i="33"/>
  <c r="EJ11" i="33"/>
  <c r="EI11" i="33"/>
  <c r="EH11" i="33"/>
  <c r="EG11" i="33"/>
  <c r="EF11" i="33"/>
  <c r="EE11" i="33"/>
  <c r="ED11" i="33"/>
  <c r="EC11" i="33"/>
  <c r="EB11" i="33"/>
  <c r="EA11" i="33"/>
  <c r="DZ11" i="33"/>
  <c r="DY11" i="33"/>
  <c r="DX11" i="33"/>
  <c r="DW11" i="33"/>
  <c r="DV11" i="33"/>
  <c r="DU11" i="33"/>
  <c r="DT11" i="33"/>
  <c r="DS11" i="33"/>
  <c r="DR11" i="33"/>
  <c r="DQ11" i="33"/>
  <c r="DP11" i="33"/>
  <c r="DO11" i="33"/>
  <c r="DN11" i="33"/>
  <c r="DM11" i="33"/>
  <c r="DL11" i="33"/>
  <c r="DK11" i="33"/>
  <c r="DJ11" i="33"/>
  <c r="DI11" i="33"/>
  <c r="DH11" i="33"/>
  <c r="DG11" i="33"/>
  <c r="DF11" i="33"/>
  <c r="DE11" i="33"/>
  <c r="DD11" i="33"/>
  <c r="DC11" i="33"/>
  <c r="DB11" i="33"/>
  <c r="DA11" i="33"/>
  <c r="CZ11" i="33"/>
  <c r="CY11" i="33"/>
  <c r="CX11" i="33"/>
  <c r="CW11" i="33"/>
  <c r="CV11" i="33"/>
  <c r="CU11" i="33"/>
  <c r="CT11" i="33"/>
  <c r="CS11" i="33"/>
  <c r="CR11" i="33"/>
  <c r="CQ11" i="33"/>
  <c r="CP11" i="33"/>
  <c r="CO11" i="33"/>
  <c r="CN11" i="33"/>
  <c r="CM11" i="33"/>
  <c r="CL11" i="33"/>
  <c r="CK11" i="33"/>
  <c r="CJ11" i="33"/>
  <c r="CI11" i="33"/>
  <c r="CH11" i="33"/>
  <c r="CG11" i="33"/>
  <c r="CF11" i="33"/>
  <c r="CE11" i="33"/>
  <c r="CD11" i="33"/>
  <c r="CC11" i="33"/>
  <c r="CB11" i="33"/>
  <c r="CA11" i="33"/>
  <c r="BZ11" i="33"/>
  <c r="BY11" i="33"/>
  <c r="BX11" i="33"/>
  <c r="BW11" i="33"/>
  <c r="BV11" i="33"/>
  <c r="BU11" i="33"/>
  <c r="BT11" i="33"/>
  <c r="BS11" i="33"/>
  <c r="BR11" i="33"/>
  <c r="BQ11" i="33"/>
  <c r="BP11" i="33"/>
  <c r="BO11" i="33"/>
  <c r="BN11" i="33"/>
  <c r="BM11" i="33"/>
  <c r="BL11" i="33"/>
  <c r="BK11" i="33"/>
  <c r="BJ11" i="33"/>
  <c r="BI11" i="33"/>
  <c r="BH11" i="33"/>
  <c r="BG11" i="33"/>
  <c r="BF11" i="33"/>
  <c r="BE11" i="33"/>
  <c r="BD11" i="33"/>
  <c r="BC11" i="33"/>
  <c r="BB11" i="33"/>
  <c r="BA11" i="33"/>
  <c r="AZ11" i="33"/>
  <c r="AY11" i="33"/>
  <c r="AX11" i="33"/>
  <c r="AW11" i="33"/>
  <c r="AV11" i="33"/>
  <c r="AU11" i="33"/>
  <c r="AT11" i="33"/>
  <c r="AS11" i="33"/>
  <c r="AR11" i="33"/>
  <c r="AQ11" i="33"/>
  <c r="AP11" i="33"/>
  <c r="AO11" i="33"/>
  <c r="AN11" i="33"/>
  <c r="AM11" i="33"/>
  <c r="AL11" i="33"/>
  <c r="AK11" i="33"/>
  <c r="AJ11" i="33"/>
  <c r="AI11" i="33"/>
  <c r="AH11" i="33"/>
  <c r="AG11" i="33"/>
  <c r="AF11" i="33"/>
  <c r="AE11" i="33"/>
  <c r="AD11" i="33"/>
  <c r="AC11" i="33"/>
  <c r="AB11" i="33"/>
  <c r="AA11" i="33"/>
  <c r="Z11" i="33"/>
  <c r="Y11" i="33"/>
  <c r="X11" i="33"/>
  <c r="W11" i="33"/>
  <c r="V11" i="33"/>
  <c r="U11" i="33"/>
  <c r="T11" i="33"/>
  <c r="S11" i="33"/>
  <c r="R11" i="33"/>
  <c r="Q11" i="33"/>
  <c r="P11" i="33"/>
  <c r="O11" i="33"/>
  <c r="N11" i="33"/>
  <c r="M11" i="33"/>
  <c r="L11" i="33"/>
  <c r="K11" i="33"/>
  <c r="J11" i="33"/>
  <c r="I11" i="33"/>
  <c r="H11" i="33"/>
  <c r="G11" i="33"/>
  <c r="F11" i="33"/>
  <c r="E11" i="33"/>
  <c r="D11" i="33"/>
  <c r="C11" i="33"/>
  <c r="B11" i="33"/>
  <c r="A11" i="33"/>
  <c r="IV10" i="33"/>
  <c r="IU10" i="33"/>
  <c r="IT10" i="33"/>
  <c r="IS10" i="33"/>
  <c r="IR10" i="33"/>
  <c r="IQ10" i="33"/>
  <c r="IP10" i="33"/>
  <c r="IO10" i="33"/>
  <c r="IN10" i="33"/>
  <c r="IM10" i="33"/>
  <c r="IL10" i="33"/>
  <c r="IK10" i="33"/>
  <c r="IJ10" i="33"/>
  <c r="II10" i="33"/>
  <c r="IH10" i="33"/>
  <c r="IG10" i="33"/>
  <c r="IF10" i="33"/>
  <c r="IE10" i="33"/>
  <c r="ID10" i="33"/>
  <c r="IC10" i="33"/>
  <c r="IB10" i="33"/>
  <c r="IA10" i="33"/>
  <c r="HZ10" i="33"/>
  <c r="HY10" i="33"/>
  <c r="HX10" i="33"/>
  <c r="HW10" i="33"/>
  <c r="HV10" i="33"/>
  <c r="HU10" i="33"/>
  <c r="HT10" i="33"/>
  <c r="HS10" i="33"/>
  <c r="HR10" i="33"/>
  <c r="HQ10" i="33"/>
  <c r="HP10" i="33"/>
  <c r="HO10" i="33"/>
  <c r="HN10" i="33"/>
  <c r="HM10" i="33"/>
  <c r="HL10" i="33"/>
  <c r="HK10" i="33"/>
  <c r="HJ10" i="33"/>
  <c r="HI10" i="33"/>
  <c r="HH10" i="33"/>
  <c r="HG10" i="33"/>
  <c r="HF10" i="33"/>
  <c r="HE10" i="33"/>
  <c r="HD10" i="33"/>
  <c r="HC10" i="33"/>
  <c r="HB10" i="33"/>
  <c r="HA10" i="33"/>
  <c r="GZ10" i="33"/>
  <c r="GY10" i="33"/>
  <c r="GX10" i="33"/>
  <c r="GW10" i="33"/>
  <c r="GV10" i="33"/>
  <c r="GU10" i="33"/>
  <c r="GT10" i="33"/>
  <c r="GS10" i="33"/>
  <c r="GR10" i="33"/>
  <c r="GQ10" i="33"/>
  <c r="GP10" i="33"/>
  <c r="GO10" i="33"/>
  <c r="GN10" i="33"/>
  <c r="GM10" i="33"/>
  <c r="GL10" i="33"/>
  <c r="GK10" i="33"/>
  <c r="GJ10" i="33"/>
  <c r="GI10" i="33"/>
  <c r="GH10" i="33"/>
  <c r="GG10" i="33"/>
  <c r="GF10" i="33"/>
  <c r="GE10" i="33"/>
  <c r="GD10" i="33"/>
  <c r="GC10" i="33"/>
  <c r="GB10" i="33"/>
  <c r="GA10" i="33"/>
  <c r="FZ10" i="33"/>
  <c r="FY10" i="33"/>
  <c r="FX10" i="33"/>
  <c r="FW10" i="33"/>
  <c r="FV10" i="33"/>
  <c r="FU10" i="33"/>
  <c r="FT10" i="33"/>
  <c r="FS10" i="33"/>
  <c r="FR10" i="33"/>
  <c r="FQ10" i="33"/>
  <c r="FP10" i="33"/>
  <c r="FO10" i="33"/>
  <c r="FN10" i="33"/>
  <c r="FM10" i="33"/>
  <c r="FL10" i="33"/>
  <c r="FK10" i="33"/>
  <c r="FJ10" i="33"/>
  <c r="FI10" i="33"/>
  <c r="FH10" i="33"/>
  <c r="FG10" i="33"/>
  <c r="FF10" i="33"/>
  <c r="FE10" i="33"/>
  <c r="FD10" i="33"/>
  <c r="FC10" i="33"/>
  <c r="FB10" i="33"/>
  <c r="FA10" i="33"/>
  <c r="EZ10" i="33"/>
  <c r="EY10" i="33"/>
  <c r="EX10" i="33"/>
  <c r="EW10" i="33"/>
  <c r="EV10" i="33"/>
  <c r="EU10" i="33"/>
  <c r="ET10" i="33"/>
  <c r="ES10" i="33"/>
  <c r="ER10" i="33"/>
  <c r="EQ10" i="33"/>
  <c r="EP10" i="33"/>
  <c r="EO10" i="33"/>
  <c r="EN10" i="33"/>
  <c r="EM10" i="33"/>
  <c r="EL10" i="33"/>
  <c r="EK10" i="33"/>
  <c r="EJ10" i="33"/>
  <c r="EI10" i="33"/>
  <c r="EH10" i="33"/>
  <c r="EG10" i="33"/>
  <c r="EF10" i="33"/>
  <c r="EE10" i="33"/>
  <c r="ED10" i="33"/>
  <c r="EC10" i="33"/>
  <c r="EB10" i="33"/>
  <c r="EA10" i="33"/>
  <c r="DZ10" i="33"/>
  <c r="DY10" i="33"/>
  <c r="DX10" i="33"/>
  <c r="DW10" i="33"/>
  <c r="DV10" i="33"/>
  <c r="DU10" i="33"/>
  <c r="DT10" i="33"/>
  <c r="DS10" i="33"/>
  <c r="DR10" i="33"/>
  <c r="DQ10" i="33"/>
  <c r="DP10" i="33"/>
  <c r="DO10" i="33"/>
  <c r="DN10" i="33"/>
  <c r="DM10" i="33"/>
  <c r="DL10" i="33"/>
  <c r="DK10" i="33"/>
  <c r="DJ10" i="33"/>
  <c r="DI10" i="33"/>
  <c r="DH10" i="33"/>
  <c r="DG10" i="33"/>
  <c r="DF10" i="33"/>
  <c r="DE10" i="33"/>
  <c r="DD10" i="33"/>
  <c r="DC10" i="33"/>
  <c r="DB10" i="33"/>
  <c r="DA10" i="33"/>
  <c r="CZ10" i="33"/>
  <c r="CY10" i="33"/>
  <c r="CX10" i="33"/>
  <c r="CW10" i="33"/>
  <c r="CV10" i="33"/>
  <c r="CU10" i="33"/>
  <c r="CT10" i="33"/>
  <c r="CS10" i="33"/>
  <c r="CR10" i="33"/>
  <c r="CQ10" i="33"/>
  <c r="CP10" i="33"/>
  <c r="CO10" i="33"/>
  <c r="CN10" i="33"/>
  <c r="CM10" i="33"/>
  <c r="CL10" i="33"/>
  <c r="CK10" i="33"/>
  <c r="CJ10" i="33"/>
  <c r="CI10" i="33"/>
  <c r="CH10" i="33"/>
  <c r="CG10" i="33"/>
  <c r="CF10" i="33"/>
  <c r="CE10" i="33"/>
  <c r="CD10" i="33"/>
  <c r="CC10" i="33"/>
  <c r="CB10" i="33"/>
  <c r="CA10" i="33"/>
  <c r="BZ10" i="33"/>
  <c r="BY10" i="33"/>
  <c r="BX10" i="33"/>
  <c r="BW10" i="33"/>
  <c r="BV10" i="33"/>
  <c r="BU10" i="33"/>
  <c r="BT10" i="33"/>
  <c r="BS10" i="33"/>
  <c r="BR10" i="33"/>
  <c r="BQ10" i="33"/>
  <c r="BP10" i="33"/>
  <c r="BO10" i="33"/>
  <c r="BN10" i="33"/>
  <c r="BM10" i="33"/>
  <c r="BL10" i="33"/>
  <c r="BK10" i="33"/>
  <c r="BJ10" i="33"/>
  <c r="BI10" i="33"/>
  <c r="BH10" i="33"/>
  <c r="BG10" i="33"/>
  <c r="BF10" i="33"/>
  <c r="BE10" i="33"/>
  <c r="BD10" i="33"/>
  <c r="BC10" i="33"/>
  <c r="BB10" i="33"/>
  <c r="BA10" i="33"/>
  <c r="AZ10" i="33"/>
  <c r="AY10" i="33"/>
  <c r="AX10" i="33"/>
  <c r="AW10" i="33"/>
  <c r="AV10" i="33"/>
  <c r="AU10" i="33"/>
  <c r="AT10" i="33"/>
  <c r="AS10" i="33"/>
  <c r="AR10" i="33"/>
  <c r="AQ10" i="33"/>
  <c r="AP10" i="33"/>
  <c r="AO10" i="33"/>
  <c r="AN10" i="33"/>
  <c r="AM10" i="33"/>
  <c r="AL10" i="33"/>
  <c r="AK10" i="33"/>
  <c r="AJ10" i="33"/>
  <c r="AI10" i="33"/>
  <c r="AH10" i="33"/>
  <c r="AG10" i="33"/>
  <c r="AF10" i="33"/>
  <c r="AE10" i="33"/>
  <c r="AD10" i="33"/>
  <c r="AC10" i="33"/>
  <c r="AB10" i="33"/>
  <c r="AA10" i="33"/>
  <c r="Z10" i="33"/>
  <c r="Y10" i="33"/>
  <c r="X10" i="33"/>
  <c r="W10" i="33"/>
  <c r="V10" i="33"/>
  <c r="U10" i="33"/>
  <c r="T10" i="33"/>
  <c r="S10" i="33"/>
  <c r="R10" i="33"/>
  <c r="Q10" i="33"/>
  <c r="P10" i="33"/>
  <c r="O10" i="33"/>
  <c r="N10" i="33"/>
  <c r="M10" i="33"/>
  <c r="L10" i="33"/>
  <c r="K10" i="33"/>
  <c r="J10" i="33"/>
  <c r="I10" i="33"/>
  <c r="H10" i="33"/>
  <c r="G10" i="33"/>
  <c r="F10" i="33"/>
  <c r="E10" i="33"/>
  <c r="D10" i="33"/>
  <c r="C10" i="33"/>
  <c r="B10" i="33"/>
  <c r="A10" i="33"/>
  <c r="IV9" i="33"/>
  <c r="IU9" i="33"/>
  <c r="IT9" i="33"/>
  <c r="IS9" i="33"/>
  <c r="IR9" i="33"/>
  <c r="IQ9" i="33"/>
  <c r="IP9" i="33"/>
  <c r="IO9" i="33"/>
  <c r="IN9" i="33"/>
  <c r="IM9" i="33"/>
  <c r="IL9" i="33"/>
  <c r="IK9" i="33"/>
  <c r="IJ9" i="33"/>
  <c r="II9" i="33"/>
  <c r="IH9" i="33"/>
  <c r="IG9" i="33"/>
  <c r="IF9" i="33"/>
  <c r="IE9" i="33"/>
  <c r="ID9" i="33"/>
  <c r="IC9" i="33"/>
  <c r="IB9" i="33"/>
  <c r="IA9" i="33"/>
  <c r="HZ9" i="33"/>
  <c r="HY9" i="33"/>
  <c r="HX9" i="33"/>
  <c r="HW9" i="33"/>
  <c r="HV9" i="33"/>
  <c r="HU9" i="33"/>
  <c r="HT9" i="33"/>
  <c r="HS9" i="33"/>
  <c r="HR9" i="33"/>
  <c r="HQ9" i="33"/>
  <c r="HP9" i="33"/>
  <c r="HO9" i="33"/>
  <c r="HN9" i="33"/>
  <c r="HM9" i="33"/>
  <c r="HL9" i="33"/>
  <c r="HK9" i="33"/>
  <c r="HJ9" i="33"/>
  <c r="HI9" i="33"/>
  <c r="HH9" i="33"/>
  <c r="HG9" i="33"/>
  <c r="HF9" i="33"/>
  <c r="HE9" i="33"/>
  <c r="HD9" i="33"/>
  <c r="HC9" i="33"/>
  <c r="HB9" i="33"/>
  <c r="HA9" i="33"/>
  <c r="GZ9" i="33"/>
  <c r="GY9" i="33"/>
  <c r="GX9" i="33"/>
  <c r="GW9" i="33"/>
  <c r="GV9" i="33"/>
  <c r="GU9" i="33"/>
  <c r="GT9" i="33"/>
  <c r="GS9" i="33"/>
  <c r="GR9" i="33"/>
  <c r="GQ9" i="33"/>
  <c r="GP9" i="33"/>
  <c r="GO9" i="33"/>
  <c r="GN9" i="33"/>
  <c r="GM9" i="33"/>
  <c r="GL9" i="33"/>
  <c r="GK9" i="33"/>
  <c r="GJ9" i="33"/>
  <c r="GI9" i="33"/>
  <c r="GH9" i="33"/>
  <c r="GG9" i="33"/>
  <c r="GF9" i="33"/>
  <c r="GE9" i="33"/>
  <c r="GD9" i="33"/>
  <c r="GC9" i="33"/>
  <c r="GB9" i="33"/>
  <c r="GA9" i="33"/>
  <c r="FZ9" i="33"/>
  <c r="FY9" i="33"/>
  <c r="FX9" i="33"/>
  <c r="FW9" i="33"/>
  <c r="FV9" i="33"/>
  <c r="FU9" i="33"/>
  <c r="FT9" i="33"/>
  <c r="FS9" i="33"/>
  <c r="FR9" i="33"/>
  <c r="FQ9" i="33"/>
  <c r="FP9" i="33"/>
  <c r="FO9" i="33"/>
  <c r="FN9" i="33"/>
  <c r="FM9" i="33"/>
  <c r="FL9" i="33"/>
  <c r="FK9" i="33"/>
  <c r="FJ9" i="33"/>
  <c r="FI9" i="33"/>
  <c r="FH9" i="33"/>
  <c r="FG9" i="33"/>
  <c r="FF9" i="33"/>
  <c r="FE9" i="33"/>
  <c r="FD9" i="33"/>
  <c r="FC9" i="33"/>
  <c r="FB9" i="33"/>
  <c r="FA9" i="33"/>
  <c r="EZ9" i="33"/>
  <c r="EY9" i="33"/>
  <c r="EX9" i="33"/>
  <c r="EW9" i="33"/>
  <c r="EV9" i="33"/>
  <c r="EU9" i="33"/>
  <c r="ET9" i="33"/>
  <c r="ES9" i="33"/>
  <c r="ER9" i="33"/>
  <c r="EQ9" i="33"/>
  <c r="EP9" i="33"/>
  <c r="EO9" i="33"/>
  <c r="EN9" i="33"/>
  <c r="EM9" i="33"/>
  <c r="EL9" i="33"/>
  <c r="EK9" i="33"/>
  <c r="EJ9" i="33"/>
  <c r="EI9" i="33"/>
  <c r="EH9" i="33"/>
  <c r="EG9" i="33"/>
  <c r="EF9" i="33"/>
  <c r="EE9" i="33"/>
  <c r="ED9" i="33"/>
  <c r="EC9" i="33"/>
  <c r="EB9" i="33"/>
  <c r="EA9" i="33"/>
  <c r="DZ9" i="33"/>
  <c r="DY9" i="33"/>
  <c r="DX9" i="33"/>
  <c r="DW9" i="33"/>
  <c r="DV9" i="33"/>
  <c r="DU9" i="33"/>
  <c r="DT9" i="33"/>
  <c r="DS9" i="33"/>
  <c r="DR9" i="33"/>
  <c r="DQ9" i="33"/>
  <c r="DP9" i="33"/>
  <c r="DO9" i="33"/>
  <c r="DN9" i="33"/>
  <c r="DM9" i="33"/>
  <c r="DL9" i="33"/>
  <c r="DK9" i="33"/>
  <c r="DJ9" i="33"/>
  <c r="DI9" i="33"/>
  <c r="DH9" i="33"/>
  <c r="DG9" i="33"/>
  <c r="DF9" i="33"/>
  <c r="DE9" i="33"/>
  <c r="DD9" i="33"/>
  <c r="DC9" i="33"/>
  <c r="DB9" i="33"/>
  <c r="DA9" i="33"/>
  <c r="CZ9" i="33"/>
  <c r="CY9" i="33"/>
  <c r="CX9" i="33"/>
  <c r="CW9" i="33"/>
  <c r="CV9" i="33"/>
  <c r="CU9" i="33"/>
  <c r="CT9" i="33"/>
  <c r="CS9" i="33"/>
  <c r="CR9" i="33"/>
  <c r="CQ9" i="33"/>
  <c r="CP9" i="33"/>
  <c r="CO9" i="33"/>
  <c r="CN9" i="33"/>
  <c r="CM9" i="33"/>
  <c r="CL9" i="33"/>
  <c r="CK9" i="33"/>
  <c r="CJ9" i="33"/>
  <c r="CI9" i="33"/>
  <c r="CH9" i="33"/>
  <c r="CG9" i="33"/>
  <c r="CF9" i="33"/>
  <c r="CE9" i="33"/>
  <c r="CD9" i="33"/>
  <c r="CC9" i="33"/>
  <c r="CB9" i="33"/>
  <c r="CA9" i="33"/>
  <c r="BZ9" i="33"/>
  <c r="BY9" i="33"/>
  <c r="BX9" i="33"/>
  <c r="BW9" i="33"/>
  <c r="BV9" i="33"/>
  <c r="BU9" i="33"/>
  <c r="BT9" i="33"/>
  <c r="BS9" i="33"/>
  <c r="BR9" i="33"/>
  <c r="BQ9" i="33"/>
  <c r="BP9" i="33"/>
  <c r="BO9" i="33"/>
  <c r="BN9" i="33"/>
  <c r="BM9" i="33"/>
  <c r="BL9" i="33"/>
  <c r="BK9" i="33"/>
  <c r="BJ9" i="33"/>
  <c r="BI9" i="33"/>
  <c r="BH9" i="33"/>
  <c r="BG9" i="33"/>
  <c r="BF9" i="33"/>
  <c r="BE9" i="33"/>
  <c r="BD9" i="33"/>
  <c r="BC9" i="33"/>
  <c r="BB9" i="33"/>
  <c r="BA9" i="33"/>
  <c r="AZ9" i="33"/>
  <c r="AY9" i="33"/>
  <c r="AX9" i="33"/>
  <c r="AW9" i="33"/>
  <c r="AV9" i="33"/>
  <c r="AU9" i="33"/>
  <c r="AT9" i="33"/>
  <c r="AS9" i="33"/>
  <c r="AR9" i="33"/>
  <c r="AQ9" i="33"/>
  <c r="AP9" i="33"/>
  <c r="AO9" i="33"/>
  <c r="AN9" i="33"/>
  <c r="AM9" i="33"/>
  <c r="AL9" i="33"/>
  <c r="AK9" i="33"/>
  <c r="AJ9" i="33"/>
  <c r="AI9" i="33"/>
  <c r="AH9" i="33"/>
  <c r="AG9" i="33"/>
  <c r="AF9" i="33"/>
  <c r="AE9" i="33"/>
  <c r="AD9" i="33"/>
  <c r="AC9" i="33"/>
  <c r="AB9" i="33"/>
  <c r="AA9" i="33"/>
  <c r="Z9" i="33"/>
  <c r="Y9" i="33"/>
  <c r="X9" i="33"/>
  <c r="W9" i="33"/>
  <c r="V9" i="33"/>
  <c r="U9" i="33"/>
  <c r="T9" i="33"/>
  <c r="S9" i="33"/>
  <c r="R9" i="33"/>
  <c r="Q9" i="33"/>
  <c r="P9" i="33"/>
  <c r="O9" i="33"/>
  <c r="N9" i="33"/>
  <c r="M9" i="33"/>
  <c r="L9" i="33"/>
  <c r="K9" i="33"/>
  <c r="J9" i="33"/>
  <c r="I9" i="33"/>
  <c r="H9" i="33"/>
  <c r="G9" i="33"/>
  <c r="F9" i="33"/>
  <c r="E9" i="33"/>
  <c r="D9" i="33"/>
  <c r="C9" i="33"/>
  <c r="B9" i="33"/>
  <c r="A9" i="33"/>
  <c r="IV8" i="33"/>
  <c r="IU8" i="33"/>
  <c r="IT8" i="33"/>
  <c r="IS8" i="33"/>
  <c r="IR8" i="33"/>
  <c r="IQ8" i="33"/>
  <c r="IP8" i="33"/>
  <c r="IO8" i="33"/>
  <c r="IN8" i="33"/>
  <c r="IM8" i="33"/>
  <c r="IL8" i="33"/>
  <c r="IK8" i="33"/>
  <c r="IJ8" i="33"/>
  <c r="II8" i="33"/>
  <c r="IH8" i="33"/>
  <c r="IG8" i="33"/>
  <c r="IF8" i="33"/>
  <c r="IE8" i="33"/>
  <c r="ID8" i="33"/>
  <c r="IC8" i="33"/>
  <c r="IB8" i="33"/>
  <c r="IA8" i="33"/>
  <c r="HZ8" i="33"/>
  <c r="HY8" i="33"/>
  <c r="HX8" i="33"/>
  <c r="HW8" i="33"/>
  <c r="HV8" i="33"/>
  <c r="HU8" i="33"/>
  <c r="HT8" i="33"/>
  <c r="HS8" i="33"/>
  <c r="HR8" i="33"/>
  <c r="HQ8" i="33"/>
  <c r="HP8" i="33"/>
  <c r="HO8" i="33"/>
  <c r="HN8" i="33"/>
  <c r="HM8" i="33"/>
  <c r="HL8" i="33"/>
  <c r="HK8" i="33"/>
  <c r="HJ8" i="33"/>
  <c r="HI8" i="33"/>
  <c r="HH8" i="33"/>
  <c r="HG8" i="33"/>
  <c r="HF8" i="33"/>
  <c r="HE8" i="33"/>
  <c r="HD8" i="33"/>
  <c r="HC8" i="33"/>
  <c r="HB8" i="33"/>
  <c r="HA8" i="33"/>
  <c r="GZ8" i="33"/>
  <c r="GY8" i="33"/>
  <c r="GX8" i="33"/>
  <c r="GW8" i="33"/>
  <c r="GV8" i="33"/>
  <c r="GU8" i="33"/>
  <c r="GT8" i="33"/>
  <c r="GS8" i="33"/>
  <c r="GR8" i="33"/>
  <c r="GQ8" i="33"/>
  <c r="GP8" i="33"/>
  <c r="GO8" i="33"/>
  <c r="GN8" i="33"/>
  <c r="GM8" i="33"/>
  <c r="GL8" i="33"/>
  <c r="GK8" i="33"/>
  <c r="GJ8" i="33"/>
  <c r="GI8" i="33"/>
  <c r="GH8" i="33"/>
  <c r="GG8" i="33"/>
  <c r="GF8" i="33"/>
  <c r="GE8" i="33"/>
  <c r="GD8" i="33"/>
  <c r="GC8" i="33"/>
  <c r="GB8" i="33"/>
  <c r="GA8" i="33"/>
  <c r="FZ8" i="33"/>
  <c r="FY8" i="33"/>
  <c r="FX8" i="33"/>
  <c r="FW8" i="33"/>
  <c r="FV8" i="33"/>
  <c r="FU8" i="33"/>
  <c r="FT8" i="33"/>
  <c r="FS8" i="33"/>
  <c r="FR8" i="33"/>
  <c r="FQ8" i="33"/>
  <c r="FP8" i="33"/>
  <c r="FO8" i="33"/>
  <c r="FN8" i="33"/>
  <c r="FM8" i="33"/>
  <c r="FL8" i="33"/>
  <c r="FK8" i="33"/>
  <c r="FJ8" i="33"/>
  <c r="FI8" i="33"/>
  <c r="FH8" i="33"/>
  <c r="FG8" i="33"/>
  <c r="FF8" i="33"/>
  <c r="FE8" i="33"/>
  <c r="FD8" i="33"/>
  <c r="FC8" i="33"/>
  <c r="FB8" i="33"/>
  <c r="FA8" i="33"/>
  <c r="EZ8" i="33"/>
  <c r="EY8" i="33"/>
  <c r="EX8" i="33"/>
  <c r="EW8" i="33"/>
  <c r="EV8" i="33"/>
  <c r="EU8" i="33"/>
  <c r="ET8" i="33"/>
  <c r="ES8" i="33"/>
  <c r="ER8" i="33"/>
  <c r="EQ8" i="33"/>
  <c r="EP8" i="33"/>
  <c r="EO8" i="33"/>
  <c r="EN8" i="33"/>
  <c r="EM8" i="33"/>
  <c r="EL8" i="33"/>
  <c r="EK8" i="33"/>
  <c r="EJ8" i="33"/>
  <c r="EI8" i="33"/>
  <c r="EH8" i="33"/>
  <c r="EG8" i="33"/>
  <c r="EF8" i="33"/>
  <c r="EE8" i="33"/>
  <c r="ED8" i="33"/>
  <c r="EC8" i="33"/>
  <c r="EB8" i="33"/>
  <c r="EA8" i="33"/>
  <c r="DZ8" i="33"/>
  <c r="DY8" i="33"/>
  <c r="DX8" i="33"/>
  <c r="DW8" i="33"/>
  <c r="DV8" i="33"/>
  <c r="DU8" i="33"/>
  <c r="DT8" i="33"/>
  <c r="DS8" i="33"/>
  <c r="DR8" i="33"/>
  <c r="DQ8" i="33"/>
  <c r="DP8" i="33"/>
  <c r="DO8" i="33"/>
  <c r="DN8" i="33"/>
  <c r="DM8" i="33"/>
  <c r="DL8" i="33"/>
  <c r="DK8" i="33"/>
  <c r="DJ8" i="33"/>
  <c r="DI8" i="33"/>
  <c r="DH8" i="33"/>
  <c r="DG8" i="33"/>
  <c r="DF8" i="33"/>
  <c r="DE8" i="33"/>
  <c r="DD8" i="33"/>
  <c r="DC8" i="33"/>
  <c r="DB8" i="33"/>
  <c r="DA8" i="33"/>
  <c r="CZ8" i="33"/>
  <c r="CY8" i="33"/>
  <c r="CX8" i="33"/>
  <c r="CW8" i="33"/>
  <c r="CV8" i="33"/>
  <c r="CU8" i="33"/>
  <c r="CT8" i="33"/>
  <c r="CS8" i="33"/>
  <c r="CR8" i="33"/>
  <c r="CQ8" i="33"/>
  <c r="CP8" i="33"/>
  <c r="CO8" i="33"/>
  <c r="CN8" i="33"/>
  <c r="CM8" i="33"/>
  <c r="CL8" i="33"/>
  <c r="CK8" i="33"/>
  <c r="CJ8" i="33"/>
  <c r="CI8" i="33"/>
  <c r="CH8" i="33"/>
  <c r="CG8" i="33"/>
  <c r="CF8" i="33"/>
  <c r="CE8" i="33"/>
  <c r="CD8" i="33"/>
  <c r="CC8" i="33"/>
  <c r="CB8" i="33"/>
  <c r="CA8" i="33"/>
  <c r="BZ8" i="33"/>
  <c r="BY8" i="33"/>
  <c r="BX8" i="33"/>
  <c r="BW8" i="33"/>
  <c r="BV8" i="33"/>
  <c r="BU8" i="33"/>
  <c r="BT8" i="33"/>
  <c r="BS8" i="33"/>
  <c r="BR8" i="33"/>
  <c r="BQ8" i="33"/>
  <c r="BP8" i="33"/>
  <c r="BO8" i="33"/>
  <c r="BN8" i="33"/>
  <c r="BM8" i="33"/>
  <c r="BL8" i="33"/>
  <c r="BK8" i="33"/>
  <c r="BJ8" i="33"/>
  <c r="BI8" i="33"/>
  <c r="BH8" i="33"/>
  <c r="BG8" i="33"/>
  <c r="BF8" i="33"/>
  <c r="BE8" i="33"/>
  <c r="BD8" i="33"/>
  <c r="BC8" i="33"/>
  <c r="BB8" i="33"/>
  <c r="BA8" i="33"/>
  <c r="AZ8" i="33"/>
  <c r="AY8" i="33"/>
  <c r="AX8" i="33"/>
  <c r="AW8" i="33"/>
  <c r="AV8" i="33"/>
  <c r="AU8" i="33"/>
  <c r="AT8" i="33"/>
  <c r="AS8" i="33"/>
  <c r="AR8" i="33"/>
  <c r="AQ8" i="33"/>
  <c r="AP8" i="33"/>
  <c r="AO8" i="33"/>
  <c r="AN8" i="33"/>
  <c r="AM8" i="33"/>
  <c r="AL8" i="33"/>
  <c r="AK8" i="33"/>
  <c r="AJ8" i="33"/>
  <c r="AI8" i="33"/>
  <c r="AH8" i="33"/>
  <c r="AG8" i="33"/>
  <c r="AF8" i="33"/>
  <c r="AE8" i="33"/>
  <c r="AD8" i="33"/>
  <c r="AC8" i="33"/>
  <c r="AB8" i="33"/>
  <c r="AA8" i="33"/>
  <c r="Z8" i="33"/>
  <c r="Y8" i="33"/>
  <c r="X8" i="33"/>
  <c r="W8" i="33"/>
  <c r="V8" i="33"/>
  <c r="U8" i="33"/>
  <c r="T8" i="33"/>
  <c r="S8" i="33"/>
  <c r="R8" i="33"/>
  <c r="Q8" i="33"/>
  <c r="P8" i="33"/>
  <c r="O8" i="33"/>
  <c r="N8" i="33"/>
  <c r="M8" i="33"/>
  <c r="L8" i="33"/>
  <c r="K8" i="33"/>
  <c r="J8" i="33"/>
  <c r="I8" i="33"/>
  <c r="H8" i="33"/>
  <c r="G8" i="33"/>
  <c r="F8" i="33"/>
  <c r="E8" i="33"/>
  <c r="D8" i="33"/>
  <c r="C8" i="33"/>
  <c r="B8" i="33"/>
  <c r="A8" i="33"/>
  <c r="IV7" i="33"/>
  <c r="IU7" i="33"/>
  <c r="IT7" i="33"/>
  <c r="IS7" i="33"/>
  <c r="IR7" i="33"/>
  <c r="IQ7" i="33"/>
  <c r="IP7" i="33"/>
  <c r="IO7" i="33"/>
  <c r="IN7" i="33"/>
  <c r="IM7" i="33"/>
  <c r="IL7" i="33"/>
  <c r="IK7" i="33"/>
  <c r="IJ7" i="33"/>
  <c r="II7" i="33"/>
  <c r="IH7" i="33"/>
  <c r="IG7" i="33"/>
  <c r="IF7" i="33"/>
  <c r="IE7" i="33"/>
  <c r="ID7" i="33"/>
  <c r="IC7" i="33"/>
  <c r="IB7" i="33"/>
  <c r="IA7" i="33"/>
  <c r="HZ7" i="33"/>
  <c r="HY7" i="33"/>
  <c r="HX7" i="33"/>
  <c r="HW7" i="33"/>
  <c r="HV7" i="33"/>
  <c r="HU7" i="33"/>
  <c r="HT7" i="33"/>
  <c r="HS7" i="33"/>
  <c r="HR7" i="33"/>
  <c r="HQ7" i="33"/>
  <c r="HP7" i="33"/>
  <c r="HO7" i="33"/>
  <c r="HN7" i="33"/>
  <c r="HM7" i="33"/>
  <c r="HL7" i="33"/>
  <c r="HK7" i="33"/>
  <c r="HJ7" i="33"/>
  <c r="HI7" i="33"/>
  <c r="HH7" i="33"/>
  <c r="HG7" i="33"/>
  <c r="HF7" i="33"/>
  <c r="HE7" i="33"/>
  <c r="HD7" i="33"/>
  <c r="HC7" i="33"/>
  <c r="HB7" i="33"/>
  <c r="HA7" i="33"/>
  <c r="GZ7" i="33"/>
  <c r="GY7" i="33"/>
  <c r="GX7" i="33"/>
  <c r="GW7" i="33"/>
  <c r="GV7" i="33"/>
  <c r="GU7" i="33"/>
  <c r="GT7" i="33"/>
  <c r="GS7" i="33"/>
  <c r="GR7" i="33"/>
  <c r="GQ7" i="33"/>
  <c r="GP7" i="33"/>
  <c r="GO7" i="33"/>
  <c r="GN7" i="33"/>
  <c r="GM7" i="33"/>
  <c r="GL7" i="33"/>
  <c r="GK7" i="33"/>
  <c r="GJ7" i="33"/>
  <c r="GI7" i="33"/>
  <c r="GH7" i="33"/>
  <c r="GG7" i="33"/>
  <c r="GF7" i="33"/>
  <c r="GE7" i="33"/>
  <c r="GD7" i="33"/>
  <c r="GC7" i="33"/>
  <c r="GB7" i="33"/>
  <c r="GA7" i="33"/>
  <c r="FZ7" i="33"/>
  <c r="FY7" i="33"/>
  <c r="FX7" i="33"/>
  <c r="FW7" i="33"/>
  <c r="FV7" i="33"/>
  <c r="FU7" i="33"/>
  <c r="FT7" i="33"/>
  <c r="FS7" i="33"/>
  <c r="FR7" i="33"/>
  <c r="FQ7" i="33"/>
  <c r="FP7" i="33"/>
  <c r="FO7" i="33"/>
  <c r="FN7" i="33"/>
  <c r="FM7" i="33"/>
  <c r="FL7" i="33"/>
  <c r="FK7" i="33"/>
  <c r="FJ7" i="33"/>
  <c r="FI7" i="33"/>
  <c r="FH7" i="33"/>
  <c r="FG7" i="33"/>
  <c r="FF7" i="33"/>
  <c r="FE7" i="33"/>
  <c r="FD7" i="33"/>
  <c r="FC7" i="33"/>
  <c r="FB7" i="33"/>
  <c r="FA7" i="33"/>
  <c r="EZ7" i="33"/>
  <c r="EY7" i="33"/>
  <c r="EX7" i="33"/>
  <c r="EW7" i="33"/>
  <c r="EV7" i="33"/>
  <c r="EU7" i="33"/>
  <c r="ET7" i="33"/>
  <c r="ES7" i="33"/>
  <c r="ER7" i="33"/>
  <c r="EQ7" i="33"/>
  <c r="EP7" i="33"/>
  <c r="EO7" i="33"/>
  <c r="EN7" i="33"/>
  <c r="EM7" i="33"/>
  <c r="EL7" i="33"/>
  <c r="EK7" i="33"/>
  <c r="EJ7" i="33"/>
  <c r="EI7" i="33"/>
  <c r="EH7" i="33"/>
  <c r="EG7" i="33"/>
  <c r="EF7" i="33"/>
  <c r="EE7" i="33"/>
  <c r="ED7" i="33"/>
  <c r="EC7" i="33"/>
  <c r="EB7" i="33"/>
  <c r="EA7" i="33"/>
  <c r="DZ7" i="33"/>
  <c r="DY7" i="33"/>
  <c r="DX7" i="33"/>
  <c r="DW7" i="33"/>
  <c r="DV7" i="33"/>
  <c r="DU7" i="33"/>
  <c r="DT7" i="33"/>
  <c r="DS7" i="33"/>
  <c r="DR7" i="33"/>
  <c r="DQ7" i="33"/>
  <c r="DP7" i="33"/>
  <c r="DO7" i="33"/>
  <c r="DN7" i="33"/>
  <c r="DM7" i="33"/>
  <c r="DL7" i="33"/>
  <c r="DK7" i="33"/>
  <c r="DJ7" i="33"/>
  <c r="DI7" i="33"/>
  <c r="DH7" i="33"/>
  <c r="DG7" i="33"/>
  <c r="DF7" i="33"/>
  <c r="DE7" i="33"/>
  <c r="DD7" i="33"/>
  <c r="DC7" i="33"/>
  <c r="DB7" i="33"/>
  <c r="DA7" i="33"/>
  <c r="CZ7" i="33"/>
  <c r="CY7" i="33"/>
  <c r="CX7" i="33"/>
  <c r="CW7" i="33"/>
  <c r="CV7" i="33"/>
  <c r="CU7" i="33"/>
  <c r="CT7" i="33"/>
  <c r="CS7" i="33"/>
  <c r="CR7" i="33"/>
  <c r="CQ7" i="33"/>
  <c r="CP7" i="33"/>
  <c r="CO7" i="33"/>
  <c r="CN7" i="33"/>
  <c r="CM7" i="33"/>
  <c r="CL7" i="33"/>
  <c r="CK7" i="33"/>
  <c r="CJ7" i="33"/>
  <c r="CI7" i="33"/>
  <c r="CH7" i="33"/>
  <c r="CG7" i="33"/>
  <c r="CF7" i="33"/>
  <c r="CE7" i="33"/>
  <c r="CD7" i="33"/>
  <c r="CC7" i="33"/>
  <c r="CB7" i="33"/>
  <c r="CA7" i="33"/>
  <c r="BZ7" i="33"/>
  <c r="BY7" i="33"/>
  <c r="BX7" i="33"/>
  <c r="BW7" i="33"/>
  <c r="BV7" i="33"/>
  <c r="BU7" i="33"/>
  <c r="BT7" i="33"/>
  <c r="BS7" i="33"/>
  <c r="BR7" i="33"/>
  <c r="BQ7" i="33"/>
  <c r="BP7" i="33"/>
  <c r="BO7" i="33"/>
  <c r="BN7" i="33"/>
  <c r="BM7" i="33"/>
  <c r="BL7" i="33"/>
  <c r="BK7" i="33"/>
  <c r="BJ7" i="33"/>
  <c r="BI7" i="33"/>
  <c r="BH7" i="33"/>
  <c r="BG7" i="33"/>
  <c r="BF7" i="33"/>
  <c r="BE7" i="33"/>
  <c r="BD7" i="33"/>
  <c r="BC7" i="33"/>
  <c r="BB7" i="33"/>
  <c r="BA7" i="33"/>
  <c r="AZ7" i="33"/>
  <c r="AY7" i="33"/>
  <c r="AX7" i="33"/>
  <c r="AW7" i="33"/>
  <c r="AV7" i="33"/>
  <c r="AU7" i="33"/>
  <c r="AT7" i="33"/>
  <c r="AS7" i="33"/>
  <c r="AR7" i="33"/>
  <c r="AQ7" i="33"/>
  <c r="AP7" i="33"/>
  <c r="AO7" i="33"/>
  <c r="AN7" i="33"/>
  <c r="AM7" i="33"/>
  <c r="AL7" i="33"/>
  <c r="AK7" i="33"/>
  <c r="AJ7" i="33"/>
  <c r="AI7" i="33"/>
  <c r="AH7" i="33"/>
  <c r="AG7" i="33"/>
  <c r="AF7" i="33"/>
  <c r="AE7" i="33"/>
  <c r="AD7" i="33"/>
  <c r="AC7" i="33"/>
  <c r="AB7" i="33"/>
  <c r="AA7" i="33"/>
  <c r="Z7" i="33"/>
  <c r="Y7" i="33"/>
  <c r="X7" i="33"/>
  <c r="W7" i="33"/>
  <c r="V7" i="33"/>
  <c r="U7" i="33"/>
  <c r="T7" i="33"/>
  <c r="S7" i="33"/>
  <c r="R7" i="33"/>
  <c r="Q7" i="33"/>
  <c r="P7" i="33"/>
  <c r="O7" i="33"/>
  <c r="N7" i="33"/>
  <c r="M7" i="33"/>
  <c r="L7" i="33"/>
  <c r="K7" i="33"/>
  <c r="J7" i="33"/>
  <c r="I7" i="33"/>
  <c r="H7" i="33"/>
  <c r="G7" i="33"/>
  <c r="F7" i="33"/>
  <c r="E7" i="33"/>
  <c r="D7" i="33"/>
  <c r="C7" i="33"/>
  <c r="B7" i="33"/>
  <c r="A7" i="33"/>
  <c r="IV6" i="33"/>
  <c r="IU6" i="33"/>
  <c r="IT6" i="33"/>
  <c r="IS6" i="33"/>
  <c r="IR6" i="33"/>
  <c r="IQ6" i="33"/>
  <c r="IP6" i="33"/>
  <c r="IO6" i="33"/>
  <c r="IN6" i="33"/>
  <c r="IM6" i="33"/>
  <c r="IL6" i="33"/>
  <c r="IK6" i="33"/>
  <c r="IJ6" i="33"/>
  <c r="II6" i="33"/>
  <c r="IH6" i="33"/>
  <c r="IG6" i="33"/>
  <c r="IF6" i="33"/>
  <c r="IE6" i="33"/>
  <c r="ID6" i="33"/>
  <c r="IC6" i="33"/>
  <c r="IB6" i="33"/>
  <c r="IA6" i="33"/>
  <c r="HZ6" i="33"/>
  <c r="HY6" i="33"/>
  <c r="HX6" i="33"/>
  <c r="HW6" i="33"/>
  <c r="HV6" i="33"/>
  <c r="HU6" i="33"/>
  <c r="HT6" i="33"/>
  <c r="HS6" i="33"/>
  <c r="HR6" i="33"/>
  <c r="HQ6" i="33"/>
  <c r="HP6" i="33"/>
  <c r="HO6" i="33"/>
  <c r="HN6" i="33"/>
  <c r="HM6" i="33"/>
  <c r="HL6" i="33"/>
  <c r="HK6" i="33"/>
  <c r="HJ6" i="33"/>
  <c r="HI6" i="33"/>
  <c r="HH6" i="33"/>
  <c r="HG6" i="33"/>
  <c r="HF6" i="33"/>
  <c r="HE6" i="33"/>
  <c r="HD6" i="33"/>
  <c r="HC6" i="33"/>
  <c r="HB6" i="33"/>
  <c r="HA6" i="33"/>
  <c r="GZ6" i="33"/>
  <c r="GY6" i="33"/>
  <c r="GX6" i="33"/>
  <c r="GW6" i="33"/>
  <c r="GV6" i="33"/>
  <c r="GU6" i="33"/>
  <c r="GT6" i="33"/>
  <c r="GS6" i="33"/>
  <c r="GR6" i="33"/>
  <c r="GQ6" i="33"/>
  <c r="GP6" i="33"/>
  <c r="GO6" i="33"/>
  <c r="GN6" i="33"/>
  <c r="GM6" i="33"/>
  <c r="GL6" i="33"/>
  <c r="GK6" i="33"/>
  <c r="GJ6" i="33"/>
  <c r="GI6" i="33"/>
  <c r="GH6" i="33"/>
  <c r="GG6" i="33"/>
  <c r="GF6" i="33"/>
  <c r="GE6" i="33"/>
  <c r="GD6" i="33"/>
  <c r="GC6" i="33"/>
  <c r="GB6" i="33"/>
  <c r="GA6" i="33"/>
  <c r="FZ6" i="33"/>
  <c r="FY6" i="33"/>
  <c r="FX6" i="33"/>
  <c r="FW6" i="33"/>
  <c r="FV6" i="33"/>
  <c r="FU6" i="33"/>
  <c r="FT6" i="33"/>
  <c r="FS6" i="33"/>
  <c r="FR6" i="33"/>
  <c r="FQ6" i="33"/>
  <c r="FP6" i="33"/>
  <c r="FO6" i="33"/>
  <c r="FN6" i="33"/>
  <c r="FM6" i="33"/>
  <c r="FL6" i="33"/>
  <c r="FK6" i="33"/>
  <c r="FJ6" i="33"/>
  <c r="FI6" i="33"/>
  <c r="FH6" i="33"/>
  <c r="FG6" i="33"/>
  <c r="FF6" i="33"/>
  <c r="FE6" i="33"/>
  <c r="FD6" i="33"/>
  <c r="FC6" i="33"/>
  <c r="FB6" i="33"/>
  <c r="FA6" i="33"/>
  <c r="EZ6" i="33"/>
  <c r="EY6" i="33"/>
  <c r="EX6" i="33"/>
  <c r="EW6" i="33"/>
  <c r="EV6" i="33"/>
  <c r="EU6" i="33"/>
  <c r="ET6" i="33"/>
  <c r="ES6" i="33"/>
  <c r="ER6" i="33"/>
  <c r="EQ6" i="33"/>
  <c r="EP6" i="33"/>
  <c r="EO6" i="33"/>
  <c r="EN6" i="33"/>
  <c r="EM6" i="33"/>
  <c r="EL6" i="33"/>
  <c r="EK6" i="33"/>
  <c r="EJ6" i="33"/>
  <c r="EI6" i="33"/>
  <c r="EH6" i="33"/>
  <c r="EG6" i="33"/>
  <c r="EF6" i="33"/>
  <c r="EE6" i="33"/>
  <c r="ED6" i="33"/>
  <c r="EC6" i="33"/>
  <c r="EB6" i="33"/>
  <c r="EA6" i="33"/>
  <c r="DZ6" i="33"/>
  <c r="DY6" i="33"/>
  <c r="DX6" i="33"/>
  <c r="DW6" i="33"/>
  <c r="DV6" i="33"/>
  <c r="DU6" i="33"/>
  <c r="DT6" i="33"/>
  <c r="DS6" i="33"/>
  <c r="DR6" i="33"/>
  <c r="DQ6" i="33"/>
  <c r="DP6" i="33"/>
  <c r="DO6" i="33"/>
  <c r="DN6" i="33"/>
  <c r="DM6" i="33"/>
  <c r="DL6" i="33"/>
  <c r="DK6" i="33"/>
  <c r="DJ6" i="33"/>
  <c r="DI6" i="33"/>
  <c r="DH6" i="33"/>
  <c r="DG6" i="33"/>
  <c r="DF6" i="33"/>
  <c r="DE6" i="33"/>
  <c r="DD6" i="33"/>
  <c r="DC6" i="33"/>
  <c r="DB6" i="33"/>
  <c r="DA6" i="33"/>
  <c r="CZ6" i="33"/>
  <c r="CY6" i="33"/>
  <c r="CX6" i="33"/>
  <c r="CW6" i="33"/>
  <c r="CV6" i="33"/>
  <c r="CU6" i="33"/>
  <c r="CT6" i="33"/>
  <c r="CS6" i="33"/>
  <c r="CR6" i="33"/>
  <c r="CQ6" i="33"/>
  <c r="CP6" i="33"/>
  <c r="CO6" i="33"/>
  <c r="CN6" i="33"/>
  <c r="CM6" i="33"/>
  <c r="CL6" i="33"/>
  <c r="CK6" i="33"/>
  <c r="CJ6" i="33"/>
  <c r="CI6" i="33"/>
  <c r="CH6" i="33"/>
  <c r="CG6" i="33"/>
  <c r="CF6" i="33"/>
  <c r="CE6" i="33"/>
  <c r="CD6" i="33"/>
  <c r="CC6" i="33"/>
  <c r="CB6" i="33"/>
  <c r="CA6" i="33"/>
  <c r="BZ6" i="33"/>
  <c r="BY6" i="33"/>
  <c r="BX6" i="33"/>
  <c r="BW6" i="33"/>
  <c r="BV6" i="33"/>
  <c r="BU6" i="33"/>
  <c r="BT6" i="33"/>
  <c r="BS6" i="33"/>
  <c r="BR6" i="33"/>
  <c r="BQ6" i="33"/>
  <c r="BP6" i="33"/>
  <c r="BO6" i="33"/>
  <c r="BN6" i="33"/>
  <c r="BM6" i="33"/>
  <c r="BL6" i="33"/>
  <c r="BK6" i="33"/>
  <c r="BJ6" i="33"/>
  <c r="BI6" i="33"/>
  <c r="BH6" i="33"/>
  <c r="BG6" i="33"/>
  <c r="BF6" i="33"/>
  <c r="BE6" i="33"/>
  <c r="BD6" i="33"/>
  <c r="BC6" i="33"/>
  <c r="BB6" i="33"/>
  <c r="BA6" i="33"/>
  <c r="AZ6" i="33"/>
  <c r="AY6" i="33"/>
  <c r="AX6" i="33"/>
  <c r="AW6" i="33"/>
  <c r="AV6" i="33"/>
  <c r="AU6" i="33"/>
  <c r="AT6" i="33"/>
  <c r="AS6" i="33"/>
  <c r="AR6" i="33"/>
  <c r="AQ6" i="33"/>
  <c r="AP6" i="33"/>
  <c r="AO6" i="33"/>
  <c r="AN6" i="33"/>
  <c r="AM6" i="33"/>
  <c r="AL6" i="33"/>
  <c r="AK6" i="33"/>
  <c r="AJ6" i="33"/>
  <c r="AI6" i="33"/>
  <c r="AH6" i="33"/>
  <c r="AG6" i="33"/>
  <c r="AF6" i="33"/>
  <c r="AE6" i="33"/>
  <c r="AD6" i="33"/>
  <c r="AC6" i="33"/>
  <c r="AB6" i="33"/>
  <c r="AA6" i="33"/>
  <c r="Z6" i="33"/>
  <c r="Y6" i="33"/>
  <c r="X6" i="33"/>
  <c r="W6" i="33"/>
  <c r="V6" i="33"/>
  <c r="U6" i="33"/>
  <c r="T6" i="33"/>
  <c r="S6" i="33"/>
  <c r="R6" i="33"/>
  <c r="Q6" i="33"/>
  <c r="P6" i="33"/>
  <c r="O6" i="33"/>
  <c r="N6" i="33"/>
  <c r="M6" i="33"/>
  <c r="L6" i="33"/>
  <c r="K6" i="33"/>
  <c r="J6" i="33"/>
  <c r="I6" i="33"/>
  <c r="H6" i="33"/>
  <c r="G6" i="33"/>
  <c r="F6" i="33"/>
  <c r="E6" i="33"/>
  <c r="D6" i="33"/>
  <c r="C6" i="33"/>
  <c r="B6" i="33"/>
  <c r="A6" i="33"/>
  <c r="IV5" i="33"/>
  <c r="IU5" i="33"/>
  <c r="IT5" i="33"/>
  <c r="IS5" i="33"/>
  <c r="IR5" i="33"/>
  <c r="IQ5" i="33"/>
  <c r="IP5" i="33"/>
  <c r="IO5" i="33"/>
  <c r="IN5" i="33"/>
  <c r="IM5" i="33"/>
  <c r="IL5" i="33"/>
  <c r="IK5" i="33"/>
  <c r="IJ5" i="33"/>
  <c r="II5" i="33"/>
  <c r="IH5" i="33"/>
  <c r="IG5" i="33"/>
  <c r="IF5" i="33"/>
  <c r="IE5" i="33"/>
  <c r="ID5" i="33"/>
  <c r="IC5" i="33"/>
  <c r="IB5" i="33"/>
  <c r="IA5" i="33"/>
  <c r="HZ5" i="33"/>
  <c r="HY5" i="33"/>
  <c r="HX5" i="33"/>
  <c r="HW5" i="33"/>
  <c r="HV5" i="33"/>
  <c r="HU5" i="33"/>
  <c r="HT5" i="33"/>
  <c r="HS5" i="33"/>
  <c r="HR5" i="33"/>
  <c r="HQ5" i="33"/>
  <c r="HP5" i="33"/>
  <c r="HO5" i="33"/>
  <c r="HN5" i="33"/>
  <c r="HM5" i="33"/>
  <c r="HL5" i="33"/>
  <c r="HK5" i="33"/>
  <c r="HJ5" i="33"/>
  <c r="HI5" i="33"/>
  <c r="HH5" i="33"/>
  <c r="HG5" i="33"/>
  <c r="HF5" i="33"/>
  <c r="HE5" i="33"/>
  <c r="HD5" i="33"/>
  <c r="HC5" i="33"/>
  <c r="HB5" i="33"/>
  <c r="HA5" i="33"/>
  <c r="GZ5" i="33"/>
  <c r="GY5" i="33"/>
  <c r="GX5" i="33"/>
  <c r="GW5" i="33"/>
  <c r="GV5" i="33"/>
  <c r="GU5" i="33"/>
  <c r="GT5" i="33"/>
  <c r="GS5" i="33"/>
  <c r="GR5" i="33"/>
  <c r="GQ5" i="33"/>
  <c r="GP5" i="33"/>
  <c r="GO5" i="33"/>
  <c r="GN5" i="33"/>
  <c r="GM5" i="33"/>
  <c r="GL5" i="33"/>
  <c r="GK5" i="33"/>
  <c r="GJ5" i="33"/>
  <c r="GI5" i="33"/>
  <c r="GH5" i="33"/>
  <c r="GG5" i="33"/>
  <c r="GF5" i="33"/>
  <c r="GE5" i="33"/>
  <c r="GD5" i="33"/>
  <c r="GC5" i="33"/>
  <c r="GB5" i="33"/>
  <c r="GA5" i="33"/>
  <c r="FZ5" i="33"/>
  <c r="FY5" i="33"/>
  <c r="FX5" i="33"/>
  <c r="FW5" i="33"/>
  <c r="FV5" i="33"/>
  <c r="FU5" i="33"/>
  <c r="FT5" i="33"/>
  <c r="FS5" i="33"/>
  <c r="FR5" i="33"/>
  <c r="FQ5" i="33"/>
  <c r="FP5" i="33"/>
  <c r="FO5" i="33"/>
  <c r="FN5" i="33"/>
  <c r="FM5" i="33"/>
  <c r="FL5" i="33"/>
  <c r="FK5" i="33"/>
  <c r="FJ5" i="33"/>
  <c r="FI5" i="33"/>
  <c r="FH5" i="33"/>
  <c r="FG5" i="33"/>
  <c r="FF5" i="33"/>
  <c r="FE5" i="33"/>
  <c r="FD5" i="33"/>
  <c r="FC5" i="33"/>
  <c r="FB5" i="33"/>
  <c r="FA5" i="33"/>
  <c r="EZ5" i="33"/>
  <c r="EY5" i="33"/>
  <c r="EX5" i="33"/>
  <c r="EW5" i="33"/>
  <c r="EV5" i="33"/>
  <c r="EU5" i="33"/>
  <c r="ET5" i="33"/>
  <c r="ES5" i="33"/>
  <c r="ER5" i="33"/>
  <c r="EQ5" i="33"/>
  <c r="EP5" i="33"/>
  <c r="EO5" i="33"/>
  <c r="EN5" i="33"/>
  <c r="EM5" i="33"/>
  <c r="EL5" i="33"/>
  <c r="EK5" i="33"/>
  <c r="EJ5" i="33"/>
  <c r="EI5" i="33"/>
  <c r="EH5" i="33"/>
  <c r="EG5" i="33"/>
  <c r="EF5" i="33"/>
  <c r="EE5" i="33"/>
  <c r="ED5" i="33"/>
  <c r="EC5" i="33"/>
  <c r="EB5" i="33"/>
  <c r="EA5" i="33"/>
  <c r="DZ5" i="33"/>
  <c r="DY5" i="33"/>
  <c r="DX5" i="33"/>
  <c r="DW5" i="33"/>
  <c r="DV5" i="33"/>
  <c r="DU5" i="33"/>
  <c r="DT5" i="33"/>
  <c r="DS5" i="33"/>
  <c r="DR5" i="33"/>
  <c r="DQ5" i="33"/>
  <c r="DP5" i="33"/>
  <c r="DO5" i="33"/>
  <c r="DN5" i="33"/>
  <c r="DM5" i="33"/>
  <c r="DL5" i="33"/>
  <c r="DK5" i="33"/>
  <c r="DJ5" i="33"/>
  <c r="DI5" i="33"/>
  <c r="DH5" i="33"/>
  <c r="DG5" i="33"/>
  <c r="DF5" i="33"/>
  <c r="DE5" i="33"/>
  <c r="DD5" i="33"/>
  <c r="DC5" i="33"/>
  <c r="DB5" i="33"/>
  <c r="DA5" i="33"/>
  <c r="CZ5" i="33"/>
  <c r="CY5" i="33"/>
  <c r="CX5" i="33"/>
  <c r="CW5" i="33"/>
  <c r="CV5" i="33"/>
  <c r="CU5" i="33"/>
  <c r="CT5" i="33"/>
  <c r="CS5" i="33"/>
  <c r="CR5" i="33"/>
  <c r="CQ5" i="33"/>
  <c r="CP5" i="33"/>
  <c r="CO5" i="33"/>
  <c r="CN5" i="33"/>
  <c r="CM5" i="33"/>
  <c r="CL5" i="33"/>
  <c r="CK5" i="33"/>
  <c r="CJ5" i="33"/>
  <c r="CI5" i="33"/>
  <c r="CH5" i="33"/>
  <c r="CG5" i="33"/>
  <c r="CF5" i="33"/>
  <c r="CE5" i="33"/>
  <c r="CD5" i="33"/>
  <c r="CC5" i="33"/>
  <c r="CB5" i="33"/>
  <c r="CA5" i="33"/>
  <c r="BZ5" i="33"/>
  <c r="BY5" i="33"/>
  <c r="BX5" i="33"/>
  <c r="BW5" i="33"/>
  <c r="BV5" i="33"/>
  <c r="BU5" i="33"/>
  <c r="BT5" i="33"/>
  <c r="BS5" i="33"/>
  <c r="BR5" i="33"/>
  <c r="BQ5" i="33"/>
  <c r="BP5" i="33"/>
  <c r="BO5" i="33"/>
  <c r="BN5" i="33"/>
  <c r="BM5" i="33"/>
  <c r="BL5" i="33"/>
  <c r="BK5" i="33"/>
  <c r="BJ5" i="33"/>
  <c r="BI5" i="33"/>
  <c r="BH5" i="33"/>
  <c r="BG5" i="33"/>
  <c r="BF5" i="33"/>
  <c r="BE5" i="33"/>
  <c r="BD5" i="33"/>
  <c r="BC5" i="33"/>
  <c r="BB5" i="33"/>
  <c r="BA5" i="33"/>
  <c r="AZ5" i="33"/>
  <c r="AY5" i="33"/>
  <c r="AX5" i="33"/>
  <c r="AW5" i="33"/>
  <c r="AV5" i="33"/>
  <c r="AU5" i="33"/>
  <c r="AT5" i="33"/>
  <c r="AS5" i="33"/>
  <c r="AR5" i="33"/>
  <c r="AQ5" i="33"/>
  <c r="AP5" i="33"/>
  <c r="AO5" i="33"/>
  <c r="AN5" i="33"/>
  <c r="AM5" i="33"/>
  <c r="AL5" i="33"/>
  <c r="AK5" i="33"/>
  <c r="AJ5" i="33"/>
  <c r="AI5" i="33"/>
  <c r="AH5" i="33"/>
  <c r="AG5" i="33"/>
  <c r="AF5" i="33"/>
  <c r="AE5" i="33"/>
  <c r="AD5" i="33"/>
  <c r="AC5" i="33"/>
  <c r="AB5" i="33"/>
  <c r="AA5" i="33"/>
  <c r="Z5" i="33"/>
  <c r="Y5" i="33"/>
  <c r="X5" i="33"/>
  <c r="W5" i="33"/>
  <c r="V5" i="33"/>
  <c r="U5" i="33"/>
  <c r="T5" i="33"/>
  <c r="S5" i="33"/>
  <c r="R5" i="33"/>
  <c r="Q5" i="33"/>
  <c r="P5" i="33"/>
  <c r="O5" i="33"/>
  <c r="N5" i="33"/>
  <c r="M5" i="33"/>
  <c r="L5" i="33"/>
  <c r="K5" i="33"/>
  <c r="J5" i="33"/>
  <c r="I5" i="33"/>
  <c r="H5" i="33"/>
  <c r="G5" i="33"/>
  <c r="F5" i="33"/>
  <c r="E5" i="33"/>
  <c r="D5" i="33"/>
  <c r="C5" i="33"/>
  <c r="B5" i="33"/>
  <c r="A5" i="33"/>
  <c r="IV4" i="33"/>
  <c r="IU4" i="33"/>
  <c r="IT4" i="33"/>
  <c r="IS4" i="33"/>
  <c r="IR4" i="33"/>
  <c r="IQ4" i="33"/>
  <c r="IP4" i="33"/>
  <c r="IO4" i="33"/>
  <c r="IN4" i="33"/>
  <c r="IM4" i="33"/>
  <c r="IL4" i="33"/>
  <c r="IK4" i="33"/>
  <c r="IJ4" i="33"/>
  <c r="II4" i="33"/>
  <c r="IH4" i="33"/>
  <c r="IG4" i="33"/>
  <c r="IF4" i="33"/>
  <c r="IE4" i="33"/>
  <c r="ID4" i="33"/>
  <c r="IC4" i="33"/>
  <c r="IB4" i="33"/>
  <c r="IA4" i="33"/>
  <c r="HZ4" i="33"/>
  <c r="HY4" i="33"/>
  <c r="HX4" i="33"/>
  <c r="HW4" i="33"/>
  <c r="HV4" i="33"/>
  <c r="HU4" i="33"/>
  <c r="HT4" i="33"/>
  <c r="HS4" i="33"/>
  <c r="HR4" i="33"/>
  <c r="HQ4" i="33"/>
  <c r="HP4" i="33"/>
  <c r="HO4" i="33"/>
  <c r="HN4" i="33"/>
  <c r="HM4" i="33"/>
  <c r="HL4" i="33"/>
  <c r="HK4" i="33"/>
  <c r="HJ4" i="33"/>
  <c r="HI4" i="33"/>
  <c r="HH4" i="33"/>
  <c r="HG4" i="33"/>
  <c r="HF4" i="33"/>
  <c r="HE4" i="33"/>
  <c r="HD4" i="33"/>
  <c r="HC4" i="33"/>
  <c r="HB4" i="33"/>
  <c r="HA4" i="33"/>
  <c r="GZ4" i="33"/>
  <c r="GY4" i="33"/>
  <c r="GX4" i="33"/>
  <c r="GW4" i="33"/>
  <c r="GV4" i="33"/>
  <c r="GU4" i="33"/>
  <c r="GT4" i="33"/>
  <c r="GS4" i="33"/>
  <c r="GR4" i="33"/>
  <c r="GQ4" i="33"/>
  <c r="GP4" i="33"/>
  <c r="GO4" i="33"/>
  <c r="GN4" i="33"/>
  <c r="GM4" i="33"/>
  <c r="GL4" i="33"/>
  <c r="GK4" i="33"/>
  <c r="GJ4" i="33"/>
  <c r="GI4" i="33"/>
  <c r="GH4" i="33"/>
  <c r="GG4" i="33"/>
  <c r="GF4" i="33"/>
  <c r="GE4" i="33"/>
  <c r="GD4" i="33"/>
  <c r="GC4" i="33"/>
  <c r="GB4" i="33"/>
  <c r="GA4" i="33"/>
  <c r="FZ4" i="33"/>
  <c r="FY4" i="33"/>
  <c r="FX4" i="33"/>
  <c r="FW4" i="33"/>
  <c r="FV4" i="33"/>
  <c r="FU4" i="33"/>
  <c r="FT4" i="33"/>
  <c r="FS4" i="33"/>
  <c r="FR4" i="33"/>
  <c r="FQ4" i="33"/>
  <c r="FP4" i="33"/>
  <c r="FO4" i="33"/>
  <c r="FN4" i="33"/>
  <c r="FM4" i="33"/>
  <c r="FL4" i="33"/>
  <c r="FK4" i="33"/>
  <c r="FJ4" i="33"/>
  <c r="FI4" i="33"/>
  <c r="FH4" i="33"/>
  <c r="FG4" i="33"/>
  <c r="FF4" i="33"/>
  <c r="FE4" i="33"/>
  <c r="FD4" i="33"/>
  <c r="FC4" i="33"/>
  <c r="FB4" i="33"/>
  <c r="FA4" i="33"/>
  <c r="EZ4" i="33"/>
  <c r="EY4" i="33"/>
  <c r="EX4" i="33"/>
  <c r="EW4" i="33"/>
  <c r="EV4" i="33"/>
  <c r="EU4" i="33"/>
  <c r="ET4" i="33"/>
  <c r="ES4" i="33"/>
  <c r="ER4" i="33"/>
  <c r="EQ4" i="33"/>
  <c r="EP4" i="33"/>
  <c r="EO4" i="33"/>
  <c r="EN4" i="33"/>
  <c r="EM4" i="33"/>
  <c r="EL4" i="33"/>
  <c r="EK4" i="33"/>
  <c r="EJ4" i="33"/>
  <c r="EI4" i="33"/>
  <c r="EH4" i="33"/>
  <c r="EG4" i="33"/>
  <c r="EF4" i="33"/>
  <c r="EE4" i="33"/>
  <c r="ED4" i="33"/>
  <c r="EC4" i="33"/>
  <c r="EB4" i="33"/>
  <c r="EA4" i="33"/>
  <c r="DZ4" i="33"/>
  <c r="DY4" i="33"/>
  <c r="DX4" i="33"/>
  <c r="DW4" i="33"/>
  <c r="DV4" i="33"/>
  <c r="DU4" i="33"/>
  <c r="DT4" i="33"/>
  <c r="DS4" i="33"/>
  <c r="DR4" i="33"/>
  <c r="DQ4" i="33"/>
  <c r="DP4" i="33"/>
  <c r="DO4" i="33"/>
  <c r="DN4" i="33"/>
  <c r="DM4" i="33"/>
  <c r="DL4" i="33"/>
  <c r="DK4" i="33"/>
  <c r="DJ4" i="33"/>
  <c r="DI4" i="33"/>
  <c r="DH4" i="33"/>
  <c r="DG4" i="33"/>
  <c r="DF4" i="33"/>
  <c r="DE4" i="33"/>
  <c r="DD4" i="33"/>
  <c r="DC4" i="33"/>
  <c r="DB4" i="33"/>
  <c r="DA4" i="33"/>
  <c r="CZ4" i="33"/>
  <c r="CY4" i="33"/>
  <c r="CX4" i="33"/>
  <c r="CW4" i="33"/>
  <c r="CV4" i="33"/>
  <c r="CU4" i="33"/>
  <c r="CT4" i="33"/>
  <c r="CS4" i="33"/>
  <c r="CR4" i="33"/>
  <c r="CQ4" i="33"/>
  <c r="CP4" i="33"/>
  <c r="CO4" i="33"/>
  <c r="CN4" i="33"/>
  <c r="CM4" i="33"/>
  <c r="CL4" i="33"/>
  <c r="CK4" i="33"/>
  <c r="CJ4" i="33"/>
  <c r="CI4" i="33"/>
  <c r="CH4" i="33"/>
  <c r="CG4" i="33"/>
  <c r="CF4" i="33"/>
  <c r="CE4" i="33"/>
  <c r="CD4" i="33"/>
  <c r="CC4" i="33"/>
  <c r="CB4" i="33"/>
  <c r="CA4" i="33"/>
  <c r="BZ4" i="33"/>
  <c r="BY4" i="33"/>
  <c r="BX4" i="33"/>
  <c r="BW4" i="33"/>
  <c r="BV4" i="33"/>
  <c r="BU4" i="33"/>
  <c r="BT4" i="33"/>
  <c r="BS4" i="33"/>
  <c r="BR4" i="33"/>
  <c r="BQ4" i="33"/>
  <c r="BP4" i="33"/>
  <c r="BO4" i="33"/>
  <c r="BN4" i="33"/>
  <c r="BM4" i="33"/>
  <c r="BL4" i="33"/>
  <c r="BK4" i="33"/>
  <c r="BJ4" i="33"/>
  <c r="BI4" i="33"/>
  <c r="BH4" i="33"/>
  <c r="BG4" i="33"/>
  <c r="BF4" i="33"/>
  <c r="BE4" i="33"/>
  <c r="BD4" i="33"/>
  <c r="BC4" i="33"/>
  <c r="BB4" i="33"/>
  <c r="BA4" i="33"/>
  <c r="AZ4" i="33"/>
  <c r="AY4" i="33"/>
  <c r="AX4" i="33"/>
  <c r="AW4" i="33"/>
  <c r="AV4" i="33"/>
  <c r="AU4" i="33"/>
  <c r="AT4" i="33"/>
  <c r="AS4" i="33"/>
  <c r="AR4" i="33"/>
  <c r="AQ4" i="33"/>
  <c r="AP4" i="33"/>
  <c r="AO4" i="33"/>
  <c r="AN4" i="33"/>
  <c r="AM4" i="33"/>
  <c r="AL4" i="33"/>
  <c r="AK4" i="33"/>
  <c r="AJ4" i="33"/>
  <c r="AI4" i="33"/>
  <c r="AH4" i="33"/>
  <c r="AG4" i="33"/>
  <c r="AF4" i="33"/>
  <c r="AE4" i="33"/>
  <c r="AD4" i="33"/>
  <c r="AC4" i="33"/>
  <c r="AB4" i="33"/>
  <c r="AA4" i="33"/>
  <c r="Z4" i="33"/>
  <c r="Y4" i="33"/>
  <c r="X4" i="33"/>
  <c r="W4" i="33"/>
  <c r="V4" i="33"/>
  <c r="U4" i="33"/>
  <c r="T4" i="33"/>
  <c r="S4" i="33"/>
  <c r="R4" i="33"/>
  <c r="Q4" i="33"/>
  <c r="P4" i="33"/>
  <c r="O4" i="33"/>
  <c r="N4" i="33"/>
  <c r="M4" i="33"/>
  <c r="L4" i="33"/>
  <c r="K4" i="33"/>
  <c r="J4" i="33"/>
  <c r="I4" i="33"/>
  <c r="H4" i="33"/>
  <c r="G4" i="33"/>
  <c r="F4" i="33"/>
  <c r="E4" i="33"/>
  <c r="D4" i="33"/>
  <c r="C4" i="33"/>
  <c r="B4" i="33"/>
  <c r="A4" i="33"/>
  <c r="IV3" i="33"/>
  <c r="IU3" i="33"/>
  <c r="IT3" i="33"/>
  <c r="IS3" i="33"/>
  <c r="IR3" i="33"/>
  <c r="IQ3" i="33"/>
  <c r="IP3" i="33"/>
  <c r="IO3" i="33"/>
  <c r="IN3" i="33"/>
  <c r="IM3" i="33"/>
  <c r="IL3" i="33"/>
  <c r="IK3" i="33"/>
  <c r="IJ3" i="33"/>
  <c r="II3" i="33"/>
  <c r="IH3" i="33"/>
  <c r="IG3" i="33"/>
  <c r="IF3" i="33"/>
  <c r="IE3" i="33"/>
  <c r="ID3" i="33"/>
  <c r="IC3" i="33"/>
  <c r="IB3" i="33"/>
  <c r="IA3" i="33"/>
  <c r="HZ3" i="33"/>
  <c r="HY3" i="33"/>
  <c r="HX3" i="33"/>
  <c r="HW3" i="33"/>
  <c r="HV3" i="33"/>
  <c r="HU3" i="33"/>
  <c r="HT3" i="33"/>
  <c r="HS3" i="33"/>
  <c r="HR3" i="33"/>
  <c r="HQ3" i="33"/>
  <c r="HP3" i="33"/>
  <c r="HO3" i="33"/>
  <c r="HN3" i="33"/>
  <c r="HM3" i="33"/>
  <c r="HL3" i="33"/>
  <c r="HK3" i="33"/>
  <c r="HJ3" i="33"/>
  <c r="HI3" i="33"/>
  <c r="HH3" i="33"/>
  <c r="HG3" i="33"/>
  <c r="HF3" i="33"/>
  <c r="HE3" i="33"/>
  <c r="HD3" i="33"/>
  <c r="HC3" i="33"/>
  <c r="HB3" i="33"/>
  <c r="HA3" i="33"/>
  <c r="GZ3" i="33"/>
  <c r="GY3" i="33"/>
  <c r="GX3" i="33"/>
  <c r="GW3" i="33"/>
  <c r="GV3" i="33"/>
  <c r="GU3" i="33"/>
  <c r="GT3" i="33"/>
  <c r="GS3" i="33"/>
  <c r="GR3" i="33"/>
  <c r="GQ3" i="33"/>
  <c r="GP3" i="33"/>
  <c r="GO3" i="33"/>
  <c r="GN3" i="33"/>
  <c r="GM3" i="33"/>
  <c r="GL3" i="33"/>
  <c r="GK3" i="33"/>
  <c r="GJ3" i="33"/>
  <c r="GI3" i="33"/>
  <c r="GH3" i="33"/>
  <c r="GG3" i="33"/>
  <c r="GF3" i="33"/>
  <c r="GE3" i="33"/>
  <c r="GD3" i="33"/>
  <c r="GC3" i="33"/>
  <c r="GB3" i="33"/>
  <c r="GA3" i="33"/>
  <c r="FZ3" i="33"/>
  <c r="FY3" i="33"/>
  <c r="FX3" i="33"/>
  <c r="FW3" i="33"/>
  <c r="FV3" i="33"/>
  <c r="FU3" i="33"/>
  <c r="FT3" i="33"/>
  <c r="FS3" i="33"/>
  <c r="FR3" i="33"/>
  <c r="FQ3" i="33"/>
  <c r="FP3" i="33"/>
  <c r="FO3" i="33"/>
  <c r="FN3" i="33"/>
  <c r="FM3" i="33"/>
  <c r="FL3" i="33"/>
  <c r="FK3" i="33"/>
  <c r="FJ3" i="33"/>
  <c r="FI3" i="33"/>
  <c r="FH3" i="33"/>
  <c r="FG3" i="33"/>
  <c r="FF3" i="33"/>
  <c r="FE3" i="33"/>
  <c r="FD3" i="33"/>
  <c r="FC3" i="33"/>
  <c r="FB3" i="33"/>
  <c r="FA3" i="33"/>
  <c r="EZ3" i="33"/>
  <c r="EY3" i="33"/>
  <c r="EX3" i="33"/>
  <c r="EW3" i="33"/>
  <c r="EV3" i="33"/>
  <c r="EU3" i="33"/>
  <c r="ET3" i="33"/>
  <c r="ES3" i="33"/>
  <c r="ER3" i="33"/>
  <c r="EQ3" i="33"/>
  <c r="EP3" i="33"/>
  <c r="EO3" i="33"/>
  <c r="EN3" i="33"/>
  <c r="EM3" i="33"/>
  <c r="EL3" i="33"/>
  <c r="EK3" i="33"/>
  <c r="EJ3" i="33"/>
  <c r="EI3" i="33"/>
  <c r="EH3" i="33"/>
  <c r="EG3" i="33"/>
  <c r="EF3" i="33"/>
  <c r="EE3" i="33"/>
  <c r="ED3" i="33"/>
  <c r="EC3" i="33"/>
  <c r="EB3" i="33"/>
  <c r="EA3" i="33"/>
  <c r="DZ3" i="33"/>
  <c r="DY3" i="33"/>
  <c r="DX3" i="33"/>
  <c r="DW3" i="33"/>
  <c r="DV3" i="33"/>
  <c r="DU3" i="33"/>
  <c r="DT3" i="33"/>
  <c r="DS3" i="33"/>
  <c r="DR3" i="33"/>
  <c r="DQ3" i="33"/>
  <c r="DP3" i="33"/>
  <c r="DO3" i="33"/>
  <c r="DN3" i="33"/>
  <c r="DM3" i="33"/>
  <c r="DL3" i="33"/>
  <c r="DK3" i="33"/>
  <c r="DJ3" i="33"/>
  <c r="DI3" i="33"/>
  <c r="DH3" i="33"/>
  <c r="DG3" i="33"/>
  <c r="DF3" i="33"/>
  <c r="DE3" i="33"/>
  <c r="DD3" i="33"/>
  <c r="DC3" i="33"/>
  <c r="DB3" i="33"/>
  <c r="DA3" i="33"/>
  <c r="CZ3" i="33"/>
  <c r="CY3" i="33"/>
  <c r="CX3" i="33"/>
  <c r="CW3" i="33"/>
  <c r="CV3" i="33"/>
  <c r="CU3" i="33"/>
  <c r="CT3" i="33"/>
  <c r="CS3" i="33"/>
  <c r="CR3" i="33"/>
  <c r="CQ3" i="33"/>
  <c r="CP3" i="33"/>
  <c r="CO3" i="33"/>
  <c r="CN3" i="33"/>
  <c r="CM3" i="33"/>
  <c r="CL3" i="33"/>
  <c r="CK3" i="33"/>
  <c r="CJ3" i="33"/>
  <c r="CI3" i="33"/>
  <c r="CH3" i="33"/>
  <c r="CG3" i="33"/>
  <c r="CF3" i="33"/>
  <c r="CE3" i="33"/>
  <c r="CD3" i="33"/>
  <c r="CC3" i="33"/>
  <c r="CB3" i="33"/>
  <c r="CA3" i="33"/>
  <c r="BZ3" i="33"/>
  <c r="BY3" i="33"/>
  <c r="BX3" i="33"/>
  <c r="BW3" i="33"/>
  <c r="BV3" i="33"/>
  <c r="BU3" i="33"/>
  <c r="BT3" i="33"/>
  <c r="BS3" i="33"/>
  <c r="BR3" i="33"/>
  <c r="BQ3" i="33"/>
  <c r="BP3" i="33"/>
  <c r="BO3" i="33"/>
  <c r="BN3" i="33"/>
  <c r="BM3" i="33"/>
  <c r="BL3" i="33"/>
  <c r="BK3" i="33"/>
  <c r="BJ3" i="33"/>
  <c r="BI3" i="33"/>
  <c r="BH3" i="33"/>
  <c r="BG3" i="33"/>
  <c r="BF3" i="33"/>
  <c r="BE3" i="33"/>
  <c r="BD3" i="33"/>
  <c r="BC3" i="33"/>
  <c r="BB3" i="33"/>
  <c r="BA3" i="33"/>
  <c r="AZ3" i="33"/>
  <c r="AY3" i="33"/>
  <c r="AX3" i="33"/>
  <c r="AW3" i="33"/>
  <c r="AV3" i="33"/>
  <c r="AU3" i="33"/>
  <c r="AT3" i="33"/>
  <c r="AS3" i="33"/>
  <c r="AR3" i="33"/>
  <c r="AQ3" i="33"/>
  <c r="AP3" i="33"/>
  <c r="AO3" i="33"/>
  <c r="AN3" i="33"/>
  <c r="AM3" i="33"/>
  <c r="AL3" i="33"/>
  <c r="AK3" i="33"/>
  <c r="AJ3" i="33"/>
  <c r="AI3" i="33"/>
  <c r="AH3" i="33"/>
  <c r="AG3" i="33"/>
  <c r="AF3" i="33"/>
  <c r="AE3" i="33"/>
  <c r="AD3" i="33"/>
  <c r="AC3" i="33"/>
  <c r="AB3" i="33"/>
  <c r="AA3" i="33"/>
  <c r="Z3" i="33"/>
  <c r="Y3" i="33"/>
  <c r="X3" i="33"/>
  <c r="W3" i="33"/>
  <c r="V3" i="33"/>
  <c r="U3" i="33"/>
  <c r="T3" i="33"/>
  <c r="S3" i="33"/>
  <c r="R3" i="33"/>
  <c r="Q3" i="33"/>
  <c r="P3" i="33"/>
  <c r="O3" i="33"/>
  <c r="N3" i="33"/>
  <c r="M3" i="33"/>
  <c r="L3" i="33"/>
  <c r="K3" i="33"/>
  <c r="J3" i="33"/>
  <c r="I3" i="33"/>
  <c r="H3" i="33"/>
  <c r="G3" i="33"/>
  <c r="F3" i="33"/>
  <c r="E3" i="33"/>
  <c r="D3" i="33"/>
  <c r="C3" i="33"/>
  <c r="B3" i="33"/>
  <c r="A3" i="33"/>
  <c r="IV2" i="33"/>
  <c r="IU2" i="33"/>
  <c r="IT2" i="33"/>
  <c r="IS2" i="33"/>
  <c r="IR2" i="33"/>
  <c r="IQ2" i="33"/>
  <c r="IP2" i="33"/>
  <c r="IO2" i="33"/>
  <c r="IN2" i="33"/>
  <c r="IM2" i="33"/>
  <c r="IL2" i="33"/>
  <c r="IK2" i="33"/>
  <c r="IJ2" i="33"/>
  <c r="II2" i="33"/>
  <c r="IH2" i="33"/>
  <c r="IG2" i="33"/>
  <c r="IF2" i="33"/>
  <c r="IE2" i="33"/>
  <c r="ID2" i="33"/>
  <c r="IC2" i="33"/>
  <c r="IB2" i="33"/>
  <c r="IA2" i="33"/>
  <c r="HZ2" i="33"/>
  <c r="HY2" i="33"/>
  <c r="HX2" i="33"/>
  <c r="HW2" i="33"/>
  <c r="HV2" i="33"/>
  <c r="HU2" i="33"/>
  <c r="HT2" i="33"/>
  <c r="HS2" i="33"/>
  <c r="HR2" i="33"/>
  <c r="HQ2" i="33"/>
  <c r="HP2" i="33"/>
  <c r="HO2" i="33"/>
  <c r="HN2" i="33"/>
  <c r="HM2" i="33"/>
  <c r="HL2" i="33"/>
  <c r="HK2" i="33"/>
  <c r="HJ2" i="33"/>
  <c r="HI2" i="33"/>
  <c r="HH2" i="33"/>
  <c r="HG2" i="33"/>
  <c r="HF2" i="33"/>
  <c r="HE2" i="33"/>
  <c r="HD2" i="33"/>
  <c r="HC2" i="33"/>
  <c r="HB2" i="33"/>
  <c r="HA2" i="33"/>
  <c r="GZ2" i="33"/>
  <c r="GY2" i="33"/>
  <c r="GX2" i="33"/>
  <c r="GW2" i="33"/>
  <c r="GV2" i="33"/>
  <c r="GU2" i="33"/>
  <c r="GT2" i="33"/>
  <c r="GS2" i="33"/>
  <c r="GR2" i="33"/>
  <c r="GQ2" i="33"/>
  <c r="GP2" i="33"/>
  <c r="GO2" i="33"/>
  <c r="GN2" i="33"/>
  <c r="GM2" i="33"/>
  <c r="GL2" i="33"/>
  <c r="GK2" i="33"/>
  <c r="GJ2" i="33"/>
  <c r="GI2" i="33"/>
  <c r="GH2" i="33"/>
  <c r="GG2" i="33"/>
  <c r="GF2" i="33"/>
  <c r="GE2" i="33"/>
  <c r="GD2" i="33"/>
  <c r="GC2" i="33"/>
  <c r="GB2" i="33"/>
  <c r="GA2" i="33"/>
  <c r="FZ2" i="33"/>
  <c r="FY2" i="33"/>
  <c r="FX2" i="33"/>
  <c r="FW2" i="33"/>
  <c r="FV2" i="33"/>
  <c r="FU2" i="33"/>
  <c r="FT2" i="33"/>
  <c r="FS2" i="33"/>
  <c r="FR2" i="33"/>
  <c r="FQ2" i="33"/>
  <c r="FP2" i="33"/>
  <c r="FO2" i="33"/>
  <c r="FN2" i="33"/>
  <c r="FM2" i="33"/>
  <c r="FL2" i="33"/>
  <c r="FK2" i="33"/>
  <c r="FJ2" i="33"/>
  <c r="FI2" i="33"/>
  <c r="FH2" i="33"/>
  <c r="FG2" i="33"/>
  <c r="FF2" i="33"/>
  <c r="FE2" i="33"/>
  <c r="FD2" i="33"/>
  <c r="FC2" i="33"/>
  <c r="FB2" i="33"/>
  <c r="FA2" i="33"/>
  <c r="EZ2" i="33"/>
  <c r="EY2" i="33"/>
  <c r="EX2" i="33"/>
  <c r="EW2" i="33"/>
  <c r="EV2" i="33"/>
  <c r="EU2" i="33"/>
  <c r="ET2" i="33"/>
  <c r="ES2" i="33"/>
  <c r="ER2" i="33"/>
  <c r="EQ2" i="33"/>
  <c r="EP2" i="33"/>
  <c r="EO2" i="33"/>
  <c r="EN2" i="33"/>
  <c r="EM2" i="33"/>
  <c r="EL2" i="33"/>
  <c r="EK2" i="33"/>
  <c r="EJ2" i="33"/>
  <c r="EI2" i="33"/>
  <c r="EH2" i="33"/>
  <c r="EG2" i="33"/>
  <c r="EF2" i="33"/>
  <c r="EE2" i="33"/>
  <c r="ED2" i="33"/>
  <c r="EC2" i="33"/>
  <c r="EB2" i="33"/>
  <c r="EA2" i="33"/>
  <c r="DZ2" i="33"/>
  <c r="DY2" i="33"/>
  <c r="DX2" i="33"/>
  <c r="DW2" i="33"/>
  <c r="DV2" i="33"/>
  <c r="DU2" i="33"/>
  <c r="DT2" i="33"/>
  <c r="DS2" i="33"/>
  <c r="DR2" i="33"/>
  <c r="DQ2" i="33"/>
  <c r="DP2" i="33"/>
  <c r="DO2" i="33"/>
  <c r="DN2" i="33"/>
  <c r="DM2" i="33"/>
  <c r="DL2" i="33"/>
  <c r="DK2" i="33"/>
  <c r="DJ2" i="33"/>
  <c r="DI2" i="33"/>
  <c r="DH2" i="33"/>
  <c r="DG2" i="33"/>
  <c r="DF2" i="33"/>
  <c r="DE2" i="33"/>
  <c r="DD2" i="33"/>
  <c r="DC2" i="33"/>
  <c r="DB2" i="33"/>
  <c r="DA2" i="33"/>
  <c r="CZ2" i="33"/>
  <c r="CY2" i="33"/>
  <c r="CX2" i="33"/>
  <c r="CW2" i="33"/>
  <c r="CV2" i="33"/>
  <c r="CU2" i="33"/>
  <c r="CT2" i="33"/>
  <c r="CS2" i="33"/>
  <c r="CR2" i="33"/>
  <c r="CQ2" i="33"/>
  <c r="CP2" i="33"/>
  <c r="CO2" i="33"/>
  <c r="CN2" i="33"/>
  <c r="CM2" i="33"/>
  <c r="CL2" i="33"/>
  <c r="CK2" i="33"/>
  <c r="CJ2" i="33"/>
  <c r="CI2" i="33"/>
  <c r="CH2" i="33"/>
  <c r="CG2" i="33"/>
  <c r="CF2" i="33"/>
  <c r="CE2" i="33"/>
  <c r="CD2" i="33"/>
  <c r="CC2" i="33"/>
  <c r="CB2" i="33"/>
  <c r="CA2" i="33"/>
  <c r="BZ2" i="33"/>
  <c r="BY2" i="33"/>
  <c r="BX2" i="33"/>
  <c r="BW2" i="33"/>
  <c r="BV2" i="33"/>
  <c r="BU2" i="33"/>
  <c r="BT2" i="33"/>
  <c r="BS2" i="33"/>
  <c r="BR2" i="33"/>
  <c r="BQ2" i="33"/>
  <c r="BP2" i="33"/>
  <c r="BO2" i="33"/>
  <c r="BN2" i="33"/>
  <c r="BM2" i="33"/>
  <c r="BL2" i="33"/>
  <c r="BK2" i="33"/>
  <c r="BJ2" i="33"/>
  <c r="BI2" i="33"/>
  <c r="BH2" i="33"/>
  <c r="BG2" i="33"/>
  <c r="BF2" i="33"/>
  <c r="BE2" i="33"/>
  <c r="BD2" i="33"/>
  <c r="BC2" i="33"/>
  <c r="BB2" i="33"/>
  <c r="BA2" i="33"/>
  <c r="AZ2" i="33"/>
  <c r="AY2" i="33"/>
  <c r="AX2" i="33"/>
  <c r="AW2" i="33"/>
  <c r="AV2" i="33"/>
  <c r="AU2" i="33"/>
  <c r="AT2" i="33"/>
  <c r="AS2" i="33"/>
  <c r="AR2" i="33"/>
  <c r="AQ2" i="33"/>
  <c r="AP2" i="33"/>
  <c r="AO2" i="33"/>
  <c r="AN2" i="33"/>
  <c r="AM2" i="33"/>
  <c r="AL2" i="33"/>
  <c r="AK2" i="33"/>
  <c r="AJ2" i="33"/>
  <c r="AI2" i="33"/>
  <c r="AH2" i="33"/>
  <c r="AG2" i="33"/>
  <c r="AF2" i="33"/>
  <c r="AE2" i="33"/>
  <c r="AD2" i="33"/>
  <c r="AC2" i="33"/>
  <c r="AB2" i="33"/>
  <c r="AA2" i="33"/>
  <c r="Z2" i="33"/>
  <c r="Y2" i="33"/>
  <c r="X2" i="33"/>
  <c r="W2" i="33"/>
  <c r="V2" i="33"/>
  <c r="U2" i="33"/>
  <c r="T2" i="33"/>
  <c r="S2" i="33"/>
  <c r="R2" i="33"/>
  <c r="Q2" i="33"/>
  <c r="P2" i="33"/>
  <c r="O2" i="33"/>
  <c r="N2" i="33"/>
  <c r="M2" i="33"/>
  <c r="L2" i="33"/>
  <c r="K2" i="33"/>
  <c r="J2" i="33"/>
  <c r="I2" i="33"/>
  <c r="H2" i="33"/>
  <c r="G2" i="33"/>
  <c r="F2" i="33"/>
  <c r="E2" i="33"/>
  <c r="D2" i="33"/>
  <c r="C2" i="33"/>
  <c r="B2" i="33"/>
  <c r="A2" i="33"/>
  <c r="IV1" i="33"/>
  <c r="IU1" i="33"/>
  <c r="IT1" i="33"/>
  <c r="IS1" i="33"/>
  <c r="IR1" i="33"/>
  <c r="IQ1" i="33"/>
  <c r="IP1" i="33"/>
  <c r="IO1" i="33"/>
  <c r="IN1" i="33"/>
  <c r="IM1" i="33"/>
  <c r="IL1" i="33"/>
  <c r="IK1" i="33"/>
  <c r="IJ1" i="33"/>
  <c r="II1" i="33"/>
  <c r="IH1" i="33"/>
  <c r="IG1" i="33"/>
  <c r="IF1" i="33"/>
  <c r="IE1" i="33"/>
  <c r="ID1" i="33"/>
  <c r="IC1" i="33"/>
  <c r="IB1" i="33"/>
  <c r="IA1" i="33"/>
  <c r="HZ1" i="33"/>
  <c r="HY1" i="33"/>
  <c r="HX1" i="33"/>
  <c r="HW1" i="33"/>
  <c r="HV1" i="33"/>
  <c r="HU1" i="33"/>
  <c r="HT1" i="33"/>
  <c r="HS1" i="33"/>
  <c r="HR1" i="33"/>
  <c r="HQ1" i="33"/>
  <c r="HP1" i="33"/>
  <c r="HO1" i="33"/>
  <c r="HN1" i="33"/>
  <c r="HM1" i="33"/>
  <c r="HL1" i="33"/>
  <c r="HK1" i="33"/>
  <c r="HJ1" i="33"/>
  <c r="HI1" i="33"/>
  <c r="HH1" i="33"/>
  <c r="HG1" i="33"/>
  <c r="HF1" i="33"/>
  <c r="HE1" i="33"/>
  <c r="HD1" i="33"/>
  <c r="HC1" i="33"/>
  <c r="HB1" i="33"/>
  <c r="HA1" i="33"/>
  <c r="GZ1" i="33"/>
  <c r="GY1" i="33"/>
  <c r="GX1" i="33"/>
  <c r="GW1" i="33"/>
  <c r="GV1" i="33"/>
  <c r="GU1" i="33"/>
  <c r="GT1" i="33"/>
  <c r="GS1" i="33"/>
  <c r="GR1" i="33"/>
  <c r="GQ1" i="33"/>
  <c r="GP1" i="33"/>
  <c r="GO1" i="33"/>
  <c r="GN1" i="33"/>
  <c r="GM1" i="33"/>
  <c r="GL1" i="33"/>
  <c r="GK1" i="33"/>
  <c r="GJ1" i="33"/>
  <c r="GI1" i="33"/>
  <c r="GH1" i="33"/>
  <c r="GG1" i="33"/>
  <c r="GF1" i="33"/>
  <c r="GE1" i="33"/>
  <c r="GD1" i="33"/>
  <c r="GC1" i="33"/>
  <c r="GB1" i="33"/>
  <c r="GA1" i="33"/>
  <c r="FZ1" i="33"/>
  <c r="FY1" i="33"/>
  <c r="FX1" i="33"/>
  <c r="FW1" i="33"/>
  <c r="FV1" i="33"/>
  <c r="FU1" i="33"/>
  <c r="FT1" i="33"/>
  <c r="FS1" i="33"/>
  <c r="FR1" i="33"/>
  <c r="FQ1" i="33"/>
  <c r="FP1" i="33"/>
  <c r="FO1" i="33"/>
  <c r="FN1" i="33"/>
  <c r="FM1" i="33"/>
  <c r="FL1" i="33"/>
  <c r="FK1" i="33"/>
  <c r="FJ1" i="33"/>
  <c r="FI1" i="33"/>
  <c r="FH1" i="33"/>
  <c r="FG1" i="33"/>
  <c r="FF1" i="33"/>
  <c r="FE1" i="33"/>
  <c r="FD1" i="33"/>
  <c r="FC1" i="33"/>
  <c r="FB1" i="33"/>
  <c r="FA1" i="33"/>
  <c r="EZ1" i="33"/>
  <c r="EY1" i="33"/>
  <c r="EX1" i="33"/>
  <c r="EW1" i="33"/>
  <c r="EV1" i="33"/>
  <c r="EU1" i="33"/>
  <c r="ET1" i="33"/>
  <c r="ES1" i="33"/>
  <c r="ER1" i="33"/>
  <c r="EQ1" i="33"/>
  <c r="EP1" i="33"/>
  <c r="EO1" i="33"/>
  <c r="EN1" i="33"/>
  <c r="EM1" i="33"/>
  <c r="EL1" i="33"/>
  <c r="EK1" i="33"/>
  <c r="EJ1" i="33"/>
  <c r="EI1" i="33"/>
  <c r="EH1" i="33"/>
  <c r="EG1" i="33"/>
  <c r="EF1" i="33"/>
  <c r="EE1" i="33"/>
  <c r="ED1" i="33"/>
  <c r="EC1" i="33"/>
  <c r="EB1" i="33"/>
  <c r="EA1" i="33"/>
  <c r="DZ1" i="33"/>
  <c r="DY1" i="33"/>
  <c r="DX1" i="33"/>
  <c r="DW1" i="33"/>
  <c r="DV1" i="33"/>
  <c r="DU1" i="33"/>
  <c r="DT1" i="33"/>
  <c r="DS1" i="33"/>
  <c r="DR1" i="33"/>
  <c r="DQ1" i="33"/>
  <c r="DP1" i="33"/>
  <c r="DO1" i="33"/>
  <c r="DN1" i="33"/>
  <c r="DM1" i="33"/>
  <c r="DL1" i="33"/>
  <c r="DK1" i="33"/>
  <c r="DJ1" i="33"/>
  <c r="DI1" i="33"/>
  <c r="DH1" i="33"/>
  <c r="DG1" i="33"/>
  <c r="DF1" i="33"/>
  <c r="DE1" i="33"/>
  <c r="DD1" i="33"/>
  <c r="DC1" i="33"/>
  <c r="DB1" i="33"/>
  <c r="DA1" i="33"/>
  <c r="CZ1" i="33"/>
  <c r="CY1" i="33"/>
  <c r="CX1" i="33"/>
  <c r="CW1" i="33"/>
  <c r="CV1" i="33"/>
  <c r="CU1" i="33"/>
  <c r="CT1" i="33"/>
  <c r="CS1" i="33"/>
  <c r="CR1" i="33"/>
  <c r="CQ1" i="33"/>
  <c r="CP1" i="33"/>
  <c r="CO1" i="33"/>
  <c r="CN1" i="33"/>
  <c r="CM1" i="33"/>
  <c r="CL1" i="33"/>
  <c r="CK1" i="33"/>
  <c r="CJ1" i="33"/>
  <c r="CI1" i="33"/>
  <c r="CH1" i="33"/>
  <c r="CG1" i="33"/>
  <c r="CF1" i="33"/>
  <c r="CE1" i="33"/>
  <c r="CD1" i="33"/>
  <c r="CC1" i="33"/>
  <c r="CB1" i="33"/>
  <c r="CA1" i="33"/>
  <c r="BZ1" i="33"/>
  <c r="BY1" i="33"/>
  <c r="BX1" i="33"/>
  <c r="BW1" i="33"/>
  <c r="BV1" i="33"/>
  <c r="BU1" i="33"/>
  <c r="BT1" i="33"/>
  <c r="BS1" i="33"/>
  <c r="BR1" i="33"/>
  <c r="BQ1" i="33"/>
  <c r="BP1" i="33"/>
  <c r="BO1" i="33"/>
  <c r="BN1" i="33"/>
  <c r="BM1" i="33"/>
  <c r="BL1" i="33"/>
  <c r="BK1" i="33"/>
  <c r="BJ1" i="33"/>
  <c r="BI1" i="33"/>
  <c r="BH1" i="33"/>
  <c r="BG1" i="33"/>
  <c r="BF1" i="33"/>
  <c r="BE1" i="33"/>
  <c r="BD1" i="33"/>
  <c r="BC1" i="33"/>
  <c r="BB1" i="33"/>
  <c r="BA1" i="33"/>
  <c r="AZ1" i="33"/>
  <c r="AY1" i="33"/>
  <c r="AX1" i="33"/>
  <c r="AW1" i="33"/>
  <c r="AV1" i="33"/>
  <c r="AU1" i="33"/>
  <c r="AT1" i="33"/>
  <c r="AS1" i="33"/>
  <c r="AR1" i="33"/>
  <c r="AQ1" i="33"/>
  <c r="AP1" i="33"/>
  <c r="AO1" i="33"/>
  <c r="AN1" i="33"/>
  <c r="AM1" i="33"/>
  <c r="AL1" i="33"/>
  <c r="AK1" i="33"/>
  <c r="AJ1" i="33"/>
  <c r="AI1" i="33"/>
  <c r="AH1" i="33"/>
  <c r="AG1" i="33"/>
  <c r="AF1" i="33"/>
  <c r="AE1" i="33"/>
  <c r="AD1" i="33"/>
  <c r="AC1" i="33"/>
  <c r="AB1" i="33"/>
  <c r="AA1" i="33"/>
  <c r="Z1" i="33"/>
  <c r="Y1" i="33"/>
  <c r="X1" i="33"/>
  <c r="W1" i="33"/>
  <c r="V1" i="33"/>
  <c r="U1" i="33"/>
  <c r="T1" i="33"/>
  <c r="S1" i="33"/>
  <c r="R1" i="33"/>
  <c r="Q1" i="33"/>
  <c r="P1" i="33"/>
  <c r="O1" i="33"/>
  <c r="N1" i="33"/>
  <c r="M1" i="33"/>
  <c r="L1" i="33"/>
  <c r="K1" i="33"/>
  <c r="J1" i="33"/>
  <c r="I1" i="33"/>
  <c r="H1" i="33"/>
  <c r="G1" i="33"/>
  <c r="F1" i="33"/>
  <c r="E1" i="33"/>
  <c r="D1" i="33"/>
  <c r="C1" i="33"/>
  <c r="B1" i="33"/>
  <c r="A1" i="33"/>
  <c r="F81" i="26"/>
  <c r="F79" i="26"/>
  <c r="F77" i="26"/>
  <c r="F76" i="26"/>
  <c r="F72" i="26"/>
  <c r="F71" i="26"/>
  <c r="P117" i="2"/>
  <c r="F115" i="2" s="1"/>
  <c r="L117" i="2"/>
  <c r="H117" i="2"/>
  <c r="D117" i="2"/>
  <c r="P116" i="2"/>
  <c r="P115" i="2"/>
  <c r="J115" i="2"/>
  <c r="E68" i="2"/>
  <c r="E67" i="2"/>
  <c r="E66" i="2"/>
  <c r="R115" i="2" l="1"/>
  <c r="R117" i="2" s="1"/>
  <c r="F116" i="2"/>
  <c r="R116" i="2" s="1"/>
  <c r="N115" i="2"/>
  <c r="J116" i="2"/>
  <c r="N116" i="2"/>
</calcChain>
</file>

<file path=xl/comments1.xml><?xml version="1.0" encoding="utf-8"?>
<comments xmlns="http://schemas.openxmlformats.org/spreadsheetml/2006/main">
  <authors>
    <author>JeffG</author>
    <author>Scott Buckley</author>
  </authors>
  <commentList>
    <comment ref="A61" authorId="0" shapeId="0">
      <text>
        <r>
          <rPr>
            <b/>
            <sz val="9"/>
            <color indexed="81"/>
            <rFont val="Tahoma"/>
            <family val="2"/>
          </rPr>
          <t>Co-located events</t>
        </r>
        <r>
          <rPr>
            <sz val="9"/>
            <color indexed="81"/>
            <rFont val="Tahoma"/>
            <family val="2"/>
          </rPr>
          <t xml:space="preserve"> consist of two or more events being held during the same time and are allowing registrants access to each others show floors.  
</t>
        </r>
        <r>
          <rPr>
            <b/>
            <i/>
            <sz val="9"/>
            <color indexed="81"/>
            <rFont val="Tahoma"/>
            <family val="2"/>
          </rPr>
          <t xml:space="preserve">Multiple databases cannot be used for co-located events.  </t>
        </r>
        <r>
          <rPr>
            <sz val="9"/>
            <color indexed="81"/>
            <rFont val="Tahoma"/>
            <family val="2"/>
          </rPr>
          <t xml:space="preserve">
All events must be set up in one database using different evt_uids.  
Reg_uids and CICs for each event cannot be duplicated.  
Co-located shows with multiple registration evt_uids must also have multiple ESG evt_uids.</t>
        </r>
      </text>
    </comment>
    <comment ref="E63" authorId="1" shapeId="0">
      <text>
        <r>
          <rPr>
            <sz val="9"/>
            <color indexed="81"/>
            <rFont val="Tahoma"/>
            <family val="2"/>
          </rPr>
          <t>Enter the name of the show with which this show is co-located.</t>
        </r>
      </text>
    </comment>
  </commentList>
</comments>
</file>

<file path=xl/comments10.xml><?xml version="1.0" encoding="utf-8"?>
<comments xmlns="http://schemas.openxmlformats.org/spreadsheetml/2006/main">
  <authors>
    <author>Scott Buckley</author>
  </authors>
  <commentList>
    <comment ref="S7" authorId="0" shapeId="0">
      <text>
        <r>
          <rPr>
            <sz val="9"/>
            <color indexed="81"/>
            <rFont val="Tahoma"/>
            <family val="2"/>
          </rPr>
          <t>MUST BE COMPLETED
What should CSI do with the materials?
Send on-site
Destroy after show
Return to client</t>
        </r>
      </text>
    </comment>
    <comment ref="A18" authorId="0" shapeId="0">
      <text>
        <r>
          <rPr>
            <sz val="9"/>
            <color indexed="81"/>
            <rFont val="Tahoma"/>
            <family val="2"/>
          </rPr>
          <t>A sample piece of stock must be secured and tested prior to going onsite.</t>
        </r>
      </text>
    </comment>
  </commentList>
</comments>
</file>

<file path=xl/comments11.xml><?xml version="1.0" encoding="utf-8"?>
<comments xmlns="http://schemas.openxmlformats.org/spreadsheetml/2006/main">
  <authors>
    <author>Scott Buckley</author>
    <author>Sarah Gojdas</author>
  </authors>
  <commentList>
    <comment ref="A34" authorId="0" shapeId="0">
      <text>
        <r>
          <rPr>
            <sz val="9"/>
            <color indexed="81"/>
            <rFont val="Tahoma"/>
            <family val="2"/>
          </rPr>
          <t>Enter any special instructions here.</t>
        </r>
      </text>
    </comment>
    <comment ref="A35" authorId="0" shapeId="0">
      <text>
        <r>
          <rPr>
            <sz val="9"/>
            <color indexed="81"/>
            <rFont val="Tahoma"/>
            <family val="2"/>
          </rPr>
          <t>Enter any special instructions here.</t>
        </r>
      </text>
    </comment>
    <comment ref="A70" authorId="1" shapeId="0">
      <text>
        <r>
          <rPr>
            <sz val="9"/>
            <color indexed="81"/>
            <rFont val="Tahoma"/>
            <family val="2"/>
          </rPr>
          <t xml:space="preserve">Replace with area's name
</t>
        </r>
      </text>
    </comment>
    <comment ref="A95" authorId="0" shapeId="0">
      <text>
        <r>
          <rPr>
            <sz val="9"/>
            <color indexed="81"/>
            <rFont val="Tahoma"/>
            <family val="2"/>
          </rPr>
          <t>Replace with area's name</t>
        </r>
      </text>
    </comment>
    <comment ref="A143" authorId="0" shapeId="0">
      <text>
        <r>
          <rPr>
            <sz val="9"/>
            <color indexed="81"/>
            <rFont val="Tahoma"/>
            <family val="2"/>
          </rPr>
          <t>Complete the yellow fields before going onsite.</t>
        </r>
      </text>
    </comment>
  </commentList>
</comments>
</file>

<file path=xl/comments12.xml><?xml version="1.0" encoding="utf-8"?>
<comments xmlns="http://schemas.openxmlformats.org/spreadsheetml/2006/main">
  <authors>
    <author>Scott Buckley</author>
  </authors>
  <commentList>
    <comment ref="A28" authorId="0" shapeId="0">
      <text>
        <r>
          <rPr>
            <sz val="9"/>
            <color indexed="81"/>
            <rFont val="Tahoma"/>
            <family val="2"/>
          </rPr>
          <t>Enter any special instructions here.</t>
        </r>
      </text>
    </comment>
  </commentList>
</comments>
</file>

<file path=xl/comments13.xml><?xml version="1.0" encoding="utf-8"?>
<comments xmlns="http://schemas.openxmlformats.org/spreadsheetml/2006/main">
  <authors>
    <author>Scott Buckley</author>
  </authors>
  <commentList>
    <comment ref="A228" authorId="0" shapeId="0">
      <text>
        <r>
          <rPr>
            <sz val="9"/>
            <color indexed="81"/>
            <rFont val="Tahoma"/>
            <family val="2"/>
          </rPr>
          <t>3-characters</t>
        </r>
      </text>
    </comment>
    <comment ref="C228" authorId="0" shapeId="0">
      <text>
        <r>
          <rPr>
            <sz val="9"/>
            <color indexed="81"/>
            <rFont val="Tahoma"/>
            <family val="2"/>
          </rPr>
          <t>40-character limit</t>
        </r>
      </text>
    </comment>
    <comment ref="A237" authorId="0" shapeId="0">
      <text>
        <r>
          <rPr>
            <sz val="9"/>
            <color indexed="81"/>
            <rFont val="Tahoma"/>
            <family val="2"/>
          </rPr>
          <t xml:space="preserve">8 Characters Max
</t>
        </r>
      </text>
    </comment>
    <comment ref="J237" authorId="0" shapeId="0">
      <text>
        <r>
          <rPr>
            <sz val="9"/>
            <color indexed="81"/>
            <rFont val="Tahoma"/>
            <family val="2"/>
          </rPr>
          <t>1, 2, 3, … 100</t>
        </r>
      </text>
    </comment>
  </commentList>
</comments>
</file>

<file path=xl/comments2.xml><?xml version="1.0" encoding="utf-8"?>
<comments xmlns="http://schemas.openxmlformats.org/spreadsheetml/2006/main">
  <authors>
    <author>Scott Buckley</author>
    <author>Sarah Gojdas</author>
  </authors>
  <commentList>
    <comment ref="A6" authorId="0" shapeId="0">
      <text>
        <r>
          <rPr>
            <sz val="9"/>
            <color indexed="81"/>
            <rFont val="Tahoma"/>
            <family val="2"/>
          </rPr>
          <t>3 Character Max</t>
        </r>
      </text>
    </comment>
    <comment ref="B6" authorId="0" shapeId="0">
      <text>
        <r>
          <rPr>
            <sz val="9"/>
            <color indexed="81"/>
            <rFont val="Tahoma"/>
            <family val="2"/>
          </rPr>
          <t xml:space="preserve">40 Character Max
Only 
Single Quotes (‘ ‘)  
Periods ( . )
Forward Slash “/”
are allowed in description
</t>
        </r>
      </text>
    </comment>
    <comment ref="E6" authorId="0" shapeId="0">
      <text>
        <r>
          <rPr>
            <sz val="9"/>
            <color indexed="81"/>
            <rFont val="Tahoma"/>
            <family val="2"/>
          </rPr>
          <t>24 Character Max</t>
        </r>
      </text>
    </comment>
    <comment ref="F6" authorId="0" shapeId="0">
      <text>
        <r>
          <rPr>
            <sz val="9"/>
            <color indexed="81"/>
            <rFont val="Tahoma"/>
            <family val="2"/>
          </rPr>
          <t>22 Character Max
Only 
Single Quotes (‘ ‘)  
Periods ( . )
Forward Slash “/”
are allowed in description</t>
        </r>
      </text>
    </comment>
    <comment ref="G6" authorId="1" shapeId="0">
      <text>
        <r>
          <rPr>
            <sz val="9"/>
            <color indexed="81"/>
            <rFont val="Tahoma"/>
            <family val="2"/>
          </rPr>
          <t xml:space="preserve">List Option Codes
</t>
        </r>
      </text>
    </comment>
    <comment ref="A13" authorId="0" shapeId="0">
      <text>
        <r>
          <rPr>
            <sz val="9"/>
            <color indexed="81"/>
            <rFont val="Tahoma"/>
            <family val="2"/>
          </rPr>
          <t>3 Character Max</t>
        </r>
      </text>
    </comment>
    <comment ref="B13" authorId="0" shapeId="0">
      <text>
        <r>
          <rPr>
            <sz val="9"/>
            <color indexed="81"/>
            <rFont val="Tahoma"/>
            <family val="2"/>
          </rPr>
          <t>30 Character Max</t>
        </r>
      </text>
    </comment>
  </commentList>
</comments>
</file>

<file path=xl/comments3.xml><?xml version="1.0" encoding="utf-8"?>
<comments xmlns="http://schemas.openxmlformats.org/spreadsheetml/2006/main">
  <authors>
    <author>Scott Buckley</author>
    <author>Sarah Gojdas</author>
  </authors>
  <commentList>
    <comment ref="A4" authorId="0" shapeId="0">
      <text>
        <r>
          <rPr>
            <sz val="9"/>
            <color indexed="81"/>
            <rFont val="Tahoma"/>
            <family val="2"/>
          </rPr>
          <t>3 Character Max</t>
        </r>
      </text>
    </comment>
    <comment ref="B4" authorId="0" shapeId="0">
      <text>
        <r>
          <rPr>
            <sz val="9"/>
            <color indexed="81"/>
            <rFont val="Tahoma"/>
            <family val="2"/>
          </rPr>
          <t xml:space="preserve">40 Character Max
Only 
Single Quotes (‘ ‘)  
Periods ( . )
Forward Slash “/”
are allowed in description
</t>
        </r>
      </text>
    </comment>
    <comment ref="D4" authorId="0" shapeId="0">
      <text>
        <r>
          <rPr>
            <sz val="9"/>
            <color indexed="81"/>
            <rFont val="Tahoma"/>
            <family val="2"/>
          </rPr>
          <t>24 Character Max</t>
        </r>
      </text>
    </comment>
    <comment ref="E4" authorId="0" shapeId="0">
      <text>
        <r>
          <rPr>
            <sz val="9"/>
            <color indexed="81"/>
            <rFont val="Tahoma"/>
            <family val="2"/>
          </rPr>
          <t>22 Character Max
Only 
Single Quotes (‘ ‘)  
Periods ( . )
Forward Slash “/”
are allowed in description</t>
        </r>
      </text>
    </comment>
    <comment ref="F4" authorId="1" shapeId="0">
      <text>
        <r>
          <rPr>
            <sz val="9"/>
            <color indexed="81"/>
            <rFont val="Tahoma"/>
            <family val="2"/>
          </rPr>
          <t xml:space="preserve">List Option Codes
</t>
        </r>
      </text>
    </comment>
    <comment ref="G4" authorId="1" shapeId="0">
      <text>
        <r>
          <rPr>
            <sz val="9"/>
            <color indexed="81"/>
            <rFont val="Tahoma"/>
            <family val="2"/>
          </rPr>
          <t xml:space="preserve">List all of the websites each reg code should be on. 
ie. Att, Exh, Prs, Memb, Spk, etc.
</t>
        </r>
      </text>
    </comment>
  </commentList>
</comments>
</file>

<file path=xl/comments4.xml><?xml version="1.0" encoding="utf-8"?>
<comments xmlns="http://schemas.openxmlformats.org/spreadsheetml/2006/main">
  <authors>
    <author>Scott Buckley</author>
    <author>Sarah Gojdas</author>
  </authors>
  <commentList>
    <comment ref="A9" authorId="0" shapeId="0">
      <text>
        <r>
          <rPr>
            <sz val="9"/>
            <color indexed="81"/>
            <rFont val="Tahoma"/>
            <family val="2"/>
          </rPr>
          <t xml:space="preserve">3 Character Max
</t>
        </r>
      </text>
    </comment>
    <comment ref="B9" authorId="1" shapeId="0">
      <text>
        <r>
          <rPr>
            <sz val="9"/>
            <color indexed="81"/>
            <rFont val="Tahoma"/>
            <family val="2"/>
          </rPr>
          <t xml:space="preserve">Only 
Single Quotes (‘ ‘)  
Periods ( . )
Forward Slash “/”
are allowed in description
</t>
        </r>
      </text>
    </comment>
    <comment ref="A15" authorId="0" shapeId="0">
      <text>
        <r>
          <rPr>
            <sz val="9"/>
            <color indexed="81"/>
            <rFont val="Tahoma"/>
            <family val="2"/>
          </rPr>
          <t xml:space="preserve">3 Character Max
</t>
        </r>
      </text>
    </comment>
    <comment ref="B15" authorId="1" shapeId="0">
      <text>
        <r>
          <rPr>
            <sz val="9"/>
            <color indexed="81"/>
            <rFont val="Tahoma"/>
            <family val="2"/>
          </rPr>
          <t xml:space="preserve">Only 
Single Quotes (‘ ‘)  
Periods ( . )
Forward Slash “/”
are allowed in description
</t>
        </r>
      </text>
    </comment>
    <comment ref="A19" authorId="0" shapeId="0">
      <text>
        <r>
          <rPr>
            <sz val="9"/>
            <color indexed="81"/>
            <rFont val="Tahoma"/>
            <family val="2"/>
          </rPr>
          <t xml:space="preserve">3 Character Max
</t>
        </r>
      </text>
    </comment>
    <comment ref="B19" authorId="1" shapeId="0">
      <text>
        <r>
          <rPr>
            <sz val="9"/>
            <color indexed="81"/>
            <rFont val="Tahoma"/>
            <family val="2"/>
          </rPr>
          <t xml:space="preserve">Only 
Single Quotes (‘ ‘)  
Periods ( . )
Forward Slash “/”
are allowed in description
</t>
        </r>
      </text>
    </comment>
    <comment ref="A36" authorId="0" shapeId="0">
      <text>
        <r>
          <rPr>
            <sz val="9"/>
            <color indexed="81"/>
            <rFont val="Tahoma"/>
            <family val="2"/>
          </rPr>
          <t xml:space="preserve">3 Character Max
</t>
        </r>
      </text>
    </comment>
    <comment ref="B36" authorId="1" shapeId="0">
      <text>
        <r>
          <rPr>
            <sz val="9"/>
            <color indexed="81"/>
            <rFont val="Tahoma"/>
            <family val="2"/>
          </rPr>
          <t xml:space="preserve">Only 
Single Quotes (‘ ‘)  
Periods ( . )
Forward Slash “/”
are allowed in description
</t>
        </r>
      </text>
    </comment>
    <comment ref="A41" authorId="0" shapeId="0">
      <text>
        <r>
          <rPr>
            <sz val="9"/>
            <color indexed="81"/>
            <rFont val="Tahoma"/>
            <family val="2"/>
          </rPr>
          <t xml:space="preserve">3 Character Max
</t>
        </r>
      </text>
    </comment>
    <comment ref="B41" authorId="1" shapeId="0">
      <text>
        <r>
          <rPr>
            <sz val="9"/>
            <color indexed="81"/>
            <rFont val="Tahoma"/>
            <family val="2"/>
          </rPr>
          <t xml:space="preserve">Only 
Single Quotes (‘ ‘)  
Periods ( . )
Forward Slash “/”
are allowed in description
</t>
        </r>
      </text>
    </comment>
    <comment ref="B47" authorId="1" shapeId="0">
      <text>
        <r>
          <rPr>
            <sz val="9"/>
            <color indexed="81"/>
            <rFont val="Tahoma"/>
            <family val="2"/>
          </rPr>
          <t xml:space="preserve">Only 
Single Quotes (‘ ‘)  
Periods ( . )
Forward Slash “/”
are allowed in description
</t>
        </r>
      </text>
    </comment>
    <comment ref="A52" authorId="0" shapeId="0">
      <text>
        <r>
          <rPr>
            <sz val="9"/>
            <color indexed="81"/>
            <rFont val="Tahoma"/>
            <family val="2"/>
          </rPr>
          <t xml:space="preserve">3 Character Max
</t>
        </r>
      </text>
    </comment>
    <comment ref="B52" authorId="1" shapeId="0">
      <text>
        <r>
          <rPr>
            <sz val="9"/>
            <color indexed="81"/>
            <rFont val="Tahoma"/>
            <family val="2"/>
          </rPr>
          <t xml:space="preserve">Only 
Single Quotes (‘ ‘)  
Periods ( . )
Forward Slash “/”
are allowed in description
</t>
        </r>
      </text>
    </comment>
    <comment ref="A88" authorId="0" shapeId="0">
      <text>
        <r>
          <rPr>
            <sz val="9"/>
            <color indexed="81"/>
            <rFont val="Tahoma"/>
            <family val="2"/>
          </rPr>
          <t xml:space="preserve">3 Character Max
</t>
        </r>
      </text>
    </comment>
    <comment ref="B88" authorId="1" shapeId="0">
      <text>
        <r>
          <rPr>
            <sz val="9"/>
            <color indexed="81"/>
            <rFont val="Tahoma"/>
            <family val="2"/>
          </rPr>
          <t xml:space="preserve">Only 
Single Quotes (‘ ‘)  
Periods ( . )
Forward Slash “/”
are allowed in description
</t>
        </r>
      </text>
    </comment>
    <comment ref="A124" authorId="0" shapeId="0">
      <text>
        <r>
          <rPr>
            <sz val="9"/>
            <color indexed="81"/>
            <rFont val="Tahoma"/>
            <family val="2"/>
          </rPr>
          <t xml:space="preserve">3 Character Max
</t>
        </r>
      </text>
    </comment>
    <comment ref="B124" authorId="1" shapeId="0">
      <text>
        <r>
          <rPr>
            <sz val="9"/>
            <color indexed="81"/>
            <rFont val="Tahoma"/>
            <family val="2"/>
          </rPr>
          <t xml:space="preserve">Only 
Single Quotes (‘ ‘)  
Periods ( . )
Forward Slash “/”
are allowed in description
</t>
        </r>
      </text>
    </comment>
    <comment ref="A160" authorId="0" shapeId="0">
      <text>
        <r>
          <rPr>
            <sz val="9"/>
            <color indexed="81"/>
            <rFont val="Tahoma"/>
            <family val="2"/>
          </rPr>
          <t xml:space="preserve">3 Character Max
</t>
        </r>
      </text>
    </comment>
    <comment ref="B160" authorId="1" shapeId="0">
      <text>
        <r>
          <rPr>
            <sz val="9"/>
            <color indexed="81"/>
            <rFont val="Tahoma"/>
            <family val="2"/>
          </rPr>
          <t xml:space="preserve">Only 
Single Quotes (‘ ‘)  
Periods ( . )
Forward Slash “/”
are allowed in description
</t>
        </r>
      </text>
    </comment>
    <comment ref="A196" authorId="0" shapeId="0">
      <text>
        <r>
          <rPr>
            <sz val="9"/>
            <color indexed="81"/>
            <rFont val="Tahoma"/>
            <family val="2"/>
          </rPr>
          <t xml:space="preserve">3 Character Max
</t>
        </r>
      </text>
    </comment>
    <comment ref="B196" authorId="1" shapeId="0">
      <text>
        <r>
          <rPr>
            <sz val="9"/>
            <color indexed="81"/>
            <rFont val="Tahoma"/>
            <family val="2"/>
          </rPr>
          <t xml:space="preserve">Only 
Single Quotes (‘ ‘)  
Periods ( . )
Forward Slash “/”
are allowed in description
</t>
        </r>
      </text>
    </comment>
    <comment ref="A232" authorId="0" shapeId="0">
      <text>
        <r>
          <rPr>
            <sz val="9"/>
            <color indexed="81"/>
            <rFont val="Tahoma"/>
            <family val="2"/>
          </rPr>
          <t xml:space="preserve">3 Character Max
</t>
        </r>
      </text>
    </comment>
    <comment ref="B232" authorId="1" shapeId="0">
      <text>
        <r>
          <rPr>
            <sz val="9"/>
            <color indexed="81"/>
            <rFont val="Tahoma"/>
            <family val="2"/>
          </rPr>
          <t xml:space="preserve">Only 
Single Quotes (‘ ‘)  
Periods ( . )
Forward Slash “/”
are allowed in description
</t>
        </r>
      </text>
    </comment>
    <comment ref="A268" authorId="0" shapeId="0">
      <text>
        <r>
          <rPr>
            <sz val="9"/>
            <color indexed="81"/>
            <rFont val="Tahoma"/>
            <family val="2"/>
          </rPr>
          <t xml:space="preserve">3 Character Max
</t>
        </r>
      </text>
    </comment>
    <comment ref="B268" authorId="1" shapeId="0">
      <text>
        <r>
          <rPr>
            <sz val="9"/>
            <color indexed="81"/>
            <rFont val="Tahoma"/>
            <family val="2"/>
          </rPr>
          <t xml:space="preserve">Only 
Single Quotes (‘ ‘)  
Periods ( . )
Forward Slash “/”
are allowed in description
</t>
        </r>
      </text>
    </comment>
    <comment ref="A304" authorId="0" shapeId="0">
      <text>
        <r>
          <rPr>
            <sz val="9"/>
            <color indexed="81"/>
            <rFont val="Tahoma"/>
            <family val="2"/>
          </rPr>
          <t xml:space="preserve">3 Character Max
</t>
        </r>
      </text>
    </comment>
    <comment ref="B304" authorId="1" shapeId="0">
      <text>
        <r>
          <rPr>
            <sz val="9"/>
            <color indexed="81"/>
            <rFont val="Tahoma"/>
            <family val="2"/>
          </rPr>
          <t xml:space="preserve">Only 
Single Quotes (‘ ‘)  
Periods ( . )
Forward Slash “/”
are allowed in description
</t>
        </r>
      </text>
    </comment>
    <comment ref="A344" authorId="0" shapeId="0">
      <text>
        <r>
          <rPr>
            <sz val="9"/>
            <color indexed="81"/>
            <rFont val="Tahoma"/>
            <family val="2"/>
          </rPr>
          <t xml:space="preserve">3 Character Max
</t>
        </r>
      </text>
    </comment>
    <comment ref="B344" authorId="1" shapeId="0">
      <text>
        <r>
          <rPr>
            <sz val="9"/>
            <color indexed="81"/>
            <rFont val="Tahoma"/>
            <family val="2"/>
          </rPr>
          <t xml:space="preserve">Only 
Single Quotes (‘ ‘)  
Periods ( . )
Forward Slash “/”
are allowed in description
</t>
        </r>
      </text>
    </comment>
    <comment ref="A380" authorId="0" shapeId="0">
      <text>
        <r>
          <rPr>
            <sz val="9"/>
            <color indexed="81"/>
            <rFont val="Tahoma"/>
            <family val="2"/>
          </rPr>
          <t xml:space="preserve">3 Character Max
</t>
        </r>
      </text>
    </comment>
    <comment ref="B380" authorId="1" shapeId="0">
      <text>
        <r>
          <rPr>
            <sz val="9"/>
            <color indexed="81"/>
            <rFont val="Tahoma"/>
            <family val="2"/>
          </rPr>
          <t xml:space="preserve">Only 
Single Quotes (‘ ‘)  
Periods ( . )
Forward Slash “/”
are allowed in description
</t>
        </r>
      </text>
    </comment>
    <comment ref="A416" authorId="0" shapeId="0">
      <text>
        <r>
          <rPr>
            <sz val="9"/>
            <color indexed="81"/>
            <rFont val="Tahoma"/>
            <family val="2"/>
          </rPr>
          <t xml:space="preserve">15 Character Max
Only 8 Characters if used as a reg type determining field
</t>
        </r>
      </text>
    </comment>
    <comment ref="B416" authorId="1" shapeId="0">
      <text>
        <r>
          <rPr>
            <sz val="9"/>
            <color indexed="81"/>
            <rFont val="Tahoma"/>
            <family val="2"/>
          </rPr>
          <t xml:space="preserve">Only 
Single Quotes (‘ ‘)  
Periods ( . )
Forward Slash “/”
are allowed in description
</t>
        </r>
      </text>
    </comment>
    <comment ref="B430" authorId="1" shapeId="0">
      <text>
        <r>
          <rPr>
            <sz val="9"/>
            <color indexed="81"/>
            <rFont val="Tahoma"/>
            <family val="2"/>
          </rPr>
          <t xml:space="preserve">Only 
Single Quotes (‘ ‘)  
Periods ( . )
Forward Slash “/”
are allowed in description
</t>
        </r>
      </text>
    </comment>
    <comment ref="B463" authorId="1" shapeId="0">
      <text>
        <r>
          <rPr>
            <sz val="9"/>
            <color indexed="81"/>
            <rFont val="Tahoma"/>
            <family val="2"/>
          </rPr>
          <t xml:space="preserve">Only 
Single Quotes (‘ ‘)  
Periods ( . )
Forward Slash “/”
are allowed in description
</t>
        </r>
      </text>
    </comment>
    <comment ref="B477" authorId="1" shapeId="0">
      <text>
        <r>
          <rPr>
            <sz val="9"/>
            <color indexed="81"/>
            <rFont val="Tahoma"/>
            <family val="2"/>
          </rPr>
          <t xml:space="preserve">Only 
Single Quotes (‘ ‘)  
Periods ( . )
Forward Slash “/”
are allowed in description
</t>
        </r>
      </text>
    </comment>
  </commentList>
</comments>
</file>

<file path=xl/comments5.xml><?xml version="1.0" encoding="utf-8"?>
<comments xmlns="http://schemas.openxmlformats.org/spreadsheetml/2006/main">
  <authors>
    <author>Sarah Gojdas</author>
    <author>Scott Buckley</author>
  </authors>
  <commentList>
    <comment ref="A4" authorId="0" shapeId="0">
      <text>
        <r>
          <rPr>
            <b/>
            <sz val="9"/>
            <color indexed="81"/>
            <rFont val="Tahoma"/>
            <family val="2"/>
          </rPr>
          <t>These values do not change</t>
        </r>
        <r>
          <rPr>
            <sz val="9"/>
            <color indexed="81"/>
            <rFont val="Tahoma"/>
            <family val="2"/>
          </rPr>
          <t xml:space="preserve">
* Reg Type Determining Field
</t>
        </r>
      </text>
    </comment>
    <comment ref="B4" authorId="0" shapeId="0">
      <text>
        <r>
          <rPr>
            <sz val="9"/>
            <color indexed="81"/>
            <rFont val="Tahoma"/>
            <family val="2"/>
          </rPr>
          <t xml:space="preserve">Field Descriptions should be updated to describe what the field is being used for.
</t>
        </r>
      </text>
    </comment>
    <comment ref="C4" authorId="0" shapeId="0">
      <text>
        <r>
          <rPr>
            <sz val="9"/>
            <color indexed="81"/>
            <rFont val="Tahoma"/>
            <family val="2"/>
          </rPr>
          <t xml:space="preserve">Change the length if badge formats require a specific field length.  The max length on a badge is 34 characters per line.
</t>
        </r>
      </text>
    </comment>
    <comment ref="E4" authorId="1" shapeId="0">
      <text>
        <r>
          <rPr>
            <sz val="9"/>
            <color indexed="81"/>
            <rFont val="Tahoma"/>
            <family val="2"/>
          </rPr>
          <t>List individual reg type(s)</t>
        </r>
      </text>
    </comment>
    <comment ref="F4" authorId="0" shapeId="0">
      <text>
        <r>
          <rPr>
            <sz val="9"/>
            <color indexed="81"/>
            <rFont val="Tahoma"/>
            <family val="2"/>
          </rPr>
          <t xml:space="preserve">List individual reg type(s)
</t>
        </r>
      </text>
    </comment>
  </commentList>
</comments>
</file>

<file path=xl/comments6.xml><?xml version="1.0" encoding="utf-8"?>
<comments xmlns="http://schemas.openxmlformats.org/spreadsheetml/2006/main">
  <authors>
    <author>Scott Buckley</author>
    <author>Sarah Gojdas</author>
  </authors>
  <commentList>
    <comment ref="B10" authorId="0" shapeId="0">
      <text>
        <r>
          <rPr>
            <sz val="9"/>
            <color indexed="81"/>
            <rFont val="Tahoma"/>
            <family val="2"/>
          </rPr>
          <t>8 Characters Max 
No Special Characters other than _</t>
        </r>
      </text>
    </comment>
    <comment ref="C12" authorId="1" shapeId="0">
      <text>
        <r>
          <rPr>
            <sz val="9"/>
            <color indexed="81"/>
            <rFont val="Tahoma"/>
            <family val="2"/>
          </rPr>
          <t>DM = Database Manager</t>
        </r>
      </text>
    </comment>
    <comment ref="B16" authorId="1" shapeId="0">
      <text>
        <r>
          <rPr>
            <sz val="9"/>
            <color indexed="81"/>
            <rFont val="Tahoma"/>
            <family val="2"/>
          </rPr>
          <t xml:space="preserve">21 Character Max
</t>
        </r>
      </text>
    </comment>
    <comment ref="C17" authorId="1" shapeId="0">
      <text>
        <r>
          <rPr>
            <sz val="9"/>
            <color indexed="81"/>
            <rFont val="Tahoma"/>
            <family val="2"/>
          </rPr>
          <t xml:space="preserve">Only 
Single Quotes (‘ ‘)  
Periods ( . )
Forward Slash “/”
are allowed in description
</t>
        </r>
      </text>
    </comment>
    <comment ref="D17" authorId="1" shapeId="0">
      <text>
        <r>
          <rPr>
            <sz val="9"/>
            <color indexed="81"/>
            <rFont val="Tahoma"/>
            <family val="2"/>
          </rPr>
          <t xml:space="preserve">22 Character Max
Only 
Single Quotes (‘ ‘)  
Periods ( . )
Forward Slash “/”
are allowed in description
</t>
        </r>
      </text>
    </comment>
    <comment ref="G17" authorId="1" shapeId="0">
      <text>
        <r>
          <rPr>
            <sz val="9"/>
            <color indexed="81"/>
            <rFont val="Tahoma"/>
            <family val="2"/>
          </rPr>
          <t xml:space="preserve">List Option Codes
</t>
        </r>
      </text>
    </comment>
    <comment ref="H17" authorId="1" shapeId="0">
      <text>
        <r>
          <rPr>
            <sz val="9"/>
            <color indexed="81"/>
            <rFont val="Tahoma"/>
            <family val="2"/>
          </rPr>
          <t xml:space="preserve">Only assign a CIC if the response should be included in Lead Retrieval
</t>
        </r>
      </text>
    </comment>
    <comment ref="B23" authorId="0" shapeId="0">
      <text>
        <r>
          <rPr>
            <sz val="9"/>
            <color indexed="81"/>
            <rFont val="Tahoma"/>
            <family val="2"/>
          </rPr>
          <t>8 Characters Max 
No Special Characters other than _</t>
        </r>
      </text>
    </comment>
    <comment ref="C25" authorId="1" shapeId="0">
      <text>
        <r>
          <rPr>
            <sz val="9"/>
            <color indexed="81"/>
            <rFont val="Tahoma"/>
            <family val="2"/>
          </rPr>
          <t>DM = Database Manager</t>
        </r>
      </text>
    </comment>
    <comment ref="B29" authorId="1" shapeId="0">
      <text>
        <r>
          <rPr>
            <sz val="9"/>
            <color indexed="81"/>
            <rFont val="Tahoma"/>
            <family val="2"/>
          </rPr>
          <t xml:space="preserve">21 Character Max
</t>
        </r>
      </text>
    </comment>
    <comment ref="C30" authorId="1" shapeId="0">
      <text>
        <r>
          <rPr>
            <sz val="9"/>
            <color indexed="81"/>
            <rFont val="Tahoma"/>
            <family val="2"/>
          </rPr>
          <t xml:space="preserve">Only 
Single Quotes (‘ ‘)  
Periods ( . )
Forward Slash “/”
are allowed in description
</t>
        </r>
      </text>
    </comment>
    <comment ref="D30" authorId="1" shapeId="0">
      <text>
        <r>
          <rPr>
            <sz val="9"/>
            <color indexed="81"/>
            <rFont val="Tahoma"/>
            <family val="2"/>
          </rPr>
          <t xml:space="preserve">22 Character Max
Only 
Single Quotes (‘ ‘)  
Periods ( . )
Forward Slash “/”
are allowed in description
</t>
        </r>
      </text>
    </comment>
    <comment ref="G30" authorId="1" shapeId="0">
      <text>
        <r>
          <rPr>
            <sz val="9"/>
            <color indexed="81"/>
            <rFont val="Tahoma"/>
            <family val="2"/>
          </rPr>
          <t xml:space="preserve">List Option Codes
</t>
        </r>
      </text>
    </comment>
    <comment ref="H30" authorId="1" shapeId="0">
      <text>
        <r>
          <rPr>
            <sz val="9"/>
            <color indexed="81"/>
            <rFont val="Tahoma"/>
            <family val="2"/>
          </rPr>
          <t xml:space="preserve">Only assign a CIC if the response should be included in Lead Retrieval
</t>
        </r>
      </text>
    </comment>
    <comment ref="B33" authorId="0" shapeId="0">
      <text>
        <r>
          <rPr>
            <sz val="9"/>
            <color indexed="81"/>
            <rFont val="Tahoma"/>
            <family val="2"/>
          </rPr>
          <t>8 Characters Max 
No Special Characters other than _</t>
        </r>
      </text>
    </comment>
    <comment ref="C35" authorId="1" shapeId="0">
      <text>
        <r>
          <rPr>
            <sz val="9"/>
            <color indexed="81"/>
            <rFont val="Tahoma"/>
            <family val="2"/>
          </rPr>
          <t>DM = Database Manager</t>
        </r>
      </text>
    </comment>
    <comment ref="B39" authorId="1" shapeId="0">
      <text>
        <r>
          <rPr>
            <sz val="9"/>
            <color indexed="81"/>
            <rFont val="Tahoma"/>
            <family val="2"/>
          </rPr>
          <t xml:space="preserve">21 Character Max
</t>
        </r>
      </text>
    </comment>
    <comment ref="C40" authorId="1" shapeId="0">
      <text>
        <r>
          <rPr>
            <sz val="9"/>
            <color indexed="81"/>
            <rFont val="Tahoma"/>
            <family val="2"/>
          </rPr>
          <t xml:space="preserve">Only 
Single Quotes (‘ ‘)  
Periods ( . )
Forward Slash “/”
are allowed in description
</t>
        </r>
      </text>
    </comment>
    <comment ref="D40" authorId="1" shapeId="0">
      <text>
        <r>
          <rPr>
            <sz val="9"/>
            <color indexed="81"/>
            <rFont val="Tahoma"/>
            <family val="2"/>
          </rPr>
          <t xml:space="preserve">22 Character Max
Only 
Single Quotes (‘ ‘)  
Periods ( . )
Forward Slash “/”
are allowed in description
</t>
        </r>
      </text>
    </comment>
    <comment ref="G40" authorId="1" shapeId="0">
      <text>
        <r>
          <rPr>
            <sz val="9"/>
            <color indexed="81"/>
            <rFont val="Tahoma"/>
            <family val="2"/>
          </rPr>
          <t xml:space="preserve">List Option Codes
</t>
        </r>
      </text>
    </comment>
    <comment ref="H40" authorId="1" shapeId="0">
      <text>
        <r>
          <rPr>
            <sz val="9"/>
            <color indexed="81"/>
            <rFont val="Tahoma"/>
            <family val="2"/>
          </rPr>
          <t xml:space="preserve">Only assign a CIC if the response should be included in Lead Retrieval
</t>
        </r>
      </text>
    </comment>
    <comment ref="B47" authorId="0" shapeId="0">
      <text>
        <r>
          <rPr>
            <sz val="9"/>
            <color indexed="81"/>
            <rFont val="Tahoma"/>
            <family val="2"/>
          </rPr>
          <t>8 Characters Max 
No Special Characters other than _</t>
        </r>
      </text>
    </comment>
    <comment ref="C49" authorId="1" shapeId="0">
      <text>
        <r>
          <rPr>
            <sz val="9"/>
            <color indexed="81"/>
            <rFont val="Tahoma"/>
            <family val="2"/>
          </rPr>
          <t>DM = Database Manager</t>
        </r>
      </text>
    </comment>
    <comment ref="B53" authorId="1" shapeId="0">
      <text>
        <r>
          <rPr>
            <sz val="9"/>
            <color indexed="81"/>
            <rFont val="Tahoma"/>
            <family val="2"/>
          </rPr>
          <t xml:space="preserve">21 Character Max
</t>
        </r>
      </text>
    </comment>
    <comment ref="C54" authorId="1" shapeId="0">
      <text>
        <r>
          <rPr>
            <sz val="9"/>
            <color indexed="81"/>
            <rFont val="Tahoma"/>
            <family val="2"/>
          </rPr>
          <t xml:space="preserve">Only 
Single Quotes (‘ ‘)  
Periods ( . )
Forward Slash “/”
are allowed in description
</t>
        </r>
      </text>
    </comment>
    <comment ref="D54" authorId="1" shapeId="0">
      <text>
        <r>
          <rPr>
            <sz val="9"/>
            <color indexed="81"/>
            <rFont val="Tahoma"/>
            <family val="2"/>
          </rPr>
          <t xml:space="preserve">22 Character Max
Only 
Single Quotes (‘ ‘)  
Periods ( . )
Forward Slash “/”
are allowed in description
</t>
        </r>
      </text>
    </comment>
    <comment ref="G54" authorId="1" shapeId="0">
      <text>
        <r>
          <rPr>
            <sz val="9"/>
            <color indexed="81"/>
            <rFont val="Tahoma"/>
            <family val="2"/>
          </rPr>
          <t xml:space="preserve">List Option Codes
</t>
        </r>
      </text>
    </comment>
    <comment ref="H54" authorId="1" shapeId="0">
      <text>
        <r>
          <rPr>
            <sz val="9"/>
            <color indexed="81"/>
            <rFont val="Tahoma"/>
            <family val="2"/>
          </rPr>
          <t xml:space="preserve">Only assign a CIC if the response should be included in Lead Retrieval
</t>
        </r>
      </text>
    </comment>
    <comment ref="B59" authorId="0" shapeId="0">
      <text>
        <r>
          <rPr>
            <sz val="9"/>
            <color indexed="81"/>
            <rFont val="Tahoma"/>
            <family val="2"/>
          </rPr>
          <t>8 Characters Max 
No Special Characters other than _</t>
        </r>
      </text>
    </comment>
    <comment ref="C61" authorId="1" shapeId="0">
      <text>
        <r>
          <rPr>
            <sz val="9"/>
            <color indexed="81"/>
            <rFont val="Tahoma"/>
            <family val="2"/>
          </rPr>
          <t>DM = Database Manager</t>
        </r>
      </text>
    </comment>
    <comment ref="B65" authorId="1" shapeId="0">
      <text>
        <r>
          <rPr>
            <sz val="9"/>
            <color indexed="81"/>
            <rFont val="Tahoma"/>
            <family val="2"/>
          </rPr>
          <t xml:space="preserve">21 Character Max
</t>
        </r>
      </text>
    </comment>
    <comment ref="C66" authorId="1" shapeId="0">
      <text>
        <r>
          <rPr>
            <sz val="9"/>
            <color indexed="81"/>
            <rFont val="Tahoma"/>
            <family val="2"/>
          </rPr>
          <t xml:space="preserve">Only 
Single Quotes (‘ ‘)  
Periods ( . )
Forward Slash “/”
are allowed in description
</t>
        </r>
      </text>
    </comment>
    <comment ref="D66" authorId="1" shapeId="0">
      <text>
        <r>
          <rPr>
            <sz val="9"/>
            <color indexed="81"/>
            <rFont val="Tahoma"/>
            <family val="2"/>
          </rPr>
          <t xml:space="preserve">22 Character Max
Only 
Single Quotes (‘ ‘)  
Periods ( . )
Forward Slash “/”
are allowed in description
</t>
        </r>
      </text>
    </comment>
    <comment ref="G66" authorId="1" shapeId="0">
      <text>
        <r>
          <rPr>
            <sz val="9"/>
            <color indexed="81"/>
            <rFont val="Tahoma"/>
            <family val="2"/>
          </rPr>
          <t xml:space="preserve">List Option Codes
</t>
        </r>
      </text>
    </comment>
    <comment ref="H66" authorId="1" shapeId="0">
      <text>
        <r>
          <rPr>
            <sz val="9"/>
            <color indexed="81"/>
            <rFont val="Tahoma"/>
            <family val="2"/>
          </rPr>
          <t xml:space="preserve">Only assign a CIC if the response should be included in Lead Retrieval
</t>
        </r>
      </text>
    </comment>
    <comment ref="B70" authorId="0" shapeId="0">
      <text>
        <r>
          <rPr>
            <sz val="9"/>
            <color indexed="81"/>
            <rFont val="Tahoma"/>
            <family val="2"/>
          </rPr>
          <t>8 Characters Max 
No Special Characters other than _</t>
        </r>
      </text>
    </comment>
    <comment ref="C72" authorId="1" shapeId="0">
      <text>
        <r>
          <rPr>
            <sz val="9"/>
            <color indexed="81"/>
            <rFont val="Tahoma"/>
            <family val="2"/>
          </rPr>
          <t>DM = Database Manager</t>
        </r>
      </text>
    </comment>
    <comment ref="B76" authorId="1" shapeId="0">
      <text>
        <r>
          <rPr>
            <sz val="9"/>
            <color indexed="81"/>
            <rFont val="Tahoma"/>
            <family val="2"/>
          </rPr>
          <t xml:space="preserve">21 Character Max
</t>
        </r>
      </text>
    </comment>
    <comment ref="C78" authorId="1" shapeId="0">
      <text>
        <r>
          <rPr>
            <sz val="9"/>
            <color indexed="81"/>
            <rFont val="Tahoma"/>
            <family val="2"/>
          </rPr>
          <t xml:space="preserve">Only 
Single Quotes (‘ ‘)  
Periods ( . )
Forward Slash “/”
are allowed in description
</t>
        </r>
      </text>
    </comment>
    <comment ref="D78" authorId="1" shapeId="0">
      <text>
        <r>
          <rPr>
            <sz val="9"/>
            <color indexed="81"/>
            <rFont val="Tahoma"/>
            <family val="2"/>
          </rPr>
          <t xml:space="preserve">22 Character Max
Only 
Single Quotes (‘ ‘)  
Periods ( . )
Forward Slash “/”
are allowed in description
</t>
        </r>
      </text>
    </comment>
    <comment ref="G78" authorId="1" shapeId="0">
      <text>
        <r>
          <rPr>
            <sz val="9"/>
            <color indexed="81"/>
            <rFont val="Tahoma"/>
            <family val="2"/>
          </rPr>
          <t xml:space="preserve">List Option Codes
</t>
        </r>
      </text>
    </comment>
    <comment ref="H78" authorId="1" shapeId="0">
      <text>
        <r>
          <rPr>
            <sz val="9"/>
            <color indexed="81"/>
            <rFont val="Tahoma"/>
            <family val="2"/>
          </rPr>
          <t xml:space="preserve">Only assign a CIC if the response should be included in Lead Retrieval
</t>
        </r>
      </text>
    </comment>
    <comment ref="B85" authorId="0" shapeId="0">
      <text>
        <r>
          <rPr>
            <sz val="9"/>
            <color indexed="81"/>
            <rFont val="Tahoma"/>
            <family val="2"/>
          </rPr>
          <t>8 Characters Max 
No Special Characters other than _</t>
        </r>
      </text>
    </comment>
    <comment ref="C91" authorId="1" shapeId="0">
      <text>
        <r>
          <rPr>
            <sz val="9"/>
            <color indexed="81"/>
            <rFont val="Tahoma"/>
            <family val="2"/>
          </rPr>
          <t xml:space="preserve">Only 
Single Quotes (‘ ‘)  
Periods ( . )
Forward Slash “/”
are allowed in description
</t>
        </r>
      </text>
    </comment>
    <comment ref="D91" authorId="1" shapeId="0">
      <text>
        <r>
          <rPr>
            <sz val="9"/>
            <color indexed="81"/>
            <rFont val="Tahoma"/>
            <family val="2"/>
          </rPr>
          <t xml:space="preserve">22 Character Max
Only 
Single Quotes (‘ ‘)  
Periods ( . )
Forward Slash “/”
are allowed in description
</t>
        </r>
      </text>
    </comment>
    <comment ref="G91" authorId="1" shapeId="0">
      <text>
        <r>
          <rPr>
            <sz val="9"/>
            <color indexed="81"/>
            <rFont val="Tahoma"/>
            <family val="2"/>
          </rPr>
          <t xml:space="preserve">List Option Codes
</t>
        </r>
      </text>
    </comment>
    <comment ref="H91" authorId="1" shapeId="0">
      <text>
        <r>
          <rPr>
            <sz val="9"/>
            <color indexed="81"/>
            <rFont val="Tahoma"/>
            <family val="2"/>
          </rPr>
          <t xml:space="preserve">Only assign a CIC if the response should be included in Lead Retrieval
</t>
        </r>
      </text>
    </comment>
    <comment ref="B95" authorId="0" shapeId="0">
      <text>
        <r>
          <rPr>
            <sz val="9"/>
            <color indexed="81"/>
            <rFont val="Tahoma"/>
            <family val="2"/>
          </rPr>
          <t>8 Characters Max 
No Special Characters other than _</t>
        </r>
      </text>
    </comment>
    <comment ref="C101" authorId="1" shapeId="0">
      <text>
        <r>
          <rPr>
            <sz val="9"/>
            <color indexed="81"/>
            <rFont val="Tahoma"/>
            <family val="2"/>
          </rPr>
          <t xml:space="preserve">Only 
Single Quotes (‘ ‘)  
Periods ( . )
Forward Slash “/”
are allowed in description
</t>
        </r>
      </text>
    </comment>
    <comment ref="D101" authorId="1" shapeId="0">
      <text>
        <r>
          <rPr>
            <sz val="9"/>
            <color indexed="81"/>
            <rFont val="Tahoma"/>
            <family val="2"/>
          </rPr>
          <t xml:space="preserve">22 Character Max
Only 
Single Quotes (‘ ‘)  
Periods ( . )
Forward Slash “/”
are allowed in description
</t>
        </r>
      </text>
    </comment>
    <comment ref="G101" authorId="1" shapeId="0">
      <text>
        <r>
          <rPr>
            <sz val="9"/>
            <color indexed="81"/>
            <rFont val="Tahoma"/>
            <family val="2"/>
          </rPr>
          <t xml:space="preserve">List Option Codes
</t>
        </r>
      </text>
    </comment>
    <comment ref="H101" authorId="1" shapeId="0">
      <text>
        <r>
          <rPr>
            <sz val="9"/>
            <color indexed="81"/>
            <rFont val="Tahoma"/>
            <family val="2"/>
          </rPr>
          <t xml:space="preserve">Only assign a CIC if the response should be included in Lead Retrieval
</t>
        </r>
      </text>
    </comment>
    <comment ref="B104" authorId="0" shapeId="0">
      <text>
        <r>
          <rPr>
            <sz val="9"/>
            <color indexed="81"/>
            <rFont val="Tahoma"/>
            <family val="2"/>
          </rPr>
          <t>8 Characters Max 
No Special Characters other than _</t>
        </r>
      </text>
    </comment>
    <comment ref="C110" authorId="1" shapeId="0">
      <text>
        <r>
          <rPr>
            <sz val="9"/>
            <color indexed="81"/>
            <rFont val="Tahoma"/>
            <family val="2"/>
          </rPr>
          <t xml:space="preserve">Only 
Single Quotes (‘ ‘)  
Periods ( . )
Forward Slash “/”
are allowed in description
</t>
        </r>
      </text>
    </comment>
    <comment ref="D110" authorId="1" shapeId="0">
      <text>
        <r>
          <rPr>
            <sz val="9"/>
            <color indexed="81"/>
            <rFont val="Tahoma"/>
            <family val="2"/>
          </rPr>
          <t xml:space="preserve">22 Character Max
Only 
Single Quotes (‘ ‘)  
Periods ( . )
Forward Slash “/”
are allowed in description
</t>
        </r>
      </text>
    </comment>
    <comment ref="G110" authorId="1" shapeId="0">
      <text>
        <r>
          <rPr>
            <sz val="9"/>
            <color indexed="81"/>
            <rFont val="Tahoma"/>
            <family val="2"/>
          </rPr>
          <t xml:space="preserve">List Option Codes
</t>
        </r>
      </text>
    </comment>
    <comment ref="H110" authorId="1" shapeId="0">
      <text>
        <r>
          <rPr>
            <sz val="9"/>
            <color indexed="81"/>
            <rFont val="Tahoma"/>
            <family val="2"/>
          </rPr>
          <t xml:space="preserve">Only assign a CIC if the response should be included in Lead Retrieval
</t>
        </r>
      </text>
    </comment>
    <comment ref="B113" authorId="0" shapeId="0">
      <text>
        <r>
          <rPr>
            <sz val="9"/>
            <color indexed="81"/>
            <rFont val="Tahoma"/>
            <family val="2"/>
          </rPr>
          <t>8 Characters Max 
No Special Characters other than _</t>
        </r>
      </text>
    </comment>
    <comment ref="C119" authorId="1" shapeId="0">
      <text>
        <r>
          <rPr>
            <sz val="9"/>
            <color indexed="81"/>
            <rFont val="Tahoma"/>
            <family val="2"/>
          </rPr>
          <t xml:space="preserve">Only 
Single Quotes (‘ ‘)  
Periods ( . )
Forward Slash “/”
are allowed in description
</t>
        </r>
      </text>
    </comment>
    <comment ref="D119" authorId="1" shapeId="0">
      <text>
        <r>
          <rPr>
            <sz val="9"/>
            <color indexed="81"/>
            <rFont val="Tahoma"/>
            <family val="2"/>
          </rPr>
          <t xml:space="preserve">22 Character Max
Only 
Single Quotes (‘ ‘)  
Periods ( . )
Forward Slash “/”
are allowed in description
</t>
        </r>
      </text>
    </comment>
    <comment ref="G119" authorId="1" shapeId="0">
      <text>
        <r>
          <rPr>
            <sz val="9"/>
            <color indexed="81"/>
            <rFont val="Tahoma"/>
            <family val="2"/>
          </rPr>
          <t xml:space="preserve">List Option Codes
</t>
        </r>
      </text>
    </comment>
    <comment ref="H119" authorId="1" shapeId="0">
      <text>
        <r>
          <rPr>
            <sz val="9"/>
            <color indexed="81"/>
            <rFont val="Tahoma"/>
            <family val="2"/>
          </rPr>
          <t xml:space="preserve">Only assign a CIC if the response should be included in Lead Retrieval
</t>
        </r>
      </text>
    </comment>
    <comment ref="B123" authorId="0" shapeId="0">
      <text>
        <r>
          <rPr>
            <sz val="9"/>
            <color indexed="81"/>
            <rFont val="Tahoma"/>
            <family val="2"/>
          </rPr>
          <t>8 Characters Max 
No Special Characters other than _</t>
        </r>
      </text>
    </comment>
    <comment ref="C129" authorId="1" shapeId="0">
      <text>
        <r>
          <rPr>
            <sz val="9"/>
            <color indexed="81"/>
            <rFont val="Tahoma"/>
            <family val="2"/>
          </rPr>
          <t xml:space="preserve">Only 
Single Quotes (‘ ‘)  
Periods ( . )
Forward Slash “/”
are allowed in description
</t>
        </r>
      </text>
    </comment>
    <comment ref="D129" authorId="1" shapeId="0">
      <text>
        <r>
          <rPr>
            <sz val="9"/>
            <color indexed="81"/>
            <rFont val="Tahoma"/>
            <family val="2"/>
          </rPr>
          <t xml:space="preserve">22 Character Max
Only 
Single Quotes (‘ ‘)  
Periods ( . )
Forward Slash “/”
are allowed in description
</t>
        </r>
      </text>
    </comment>
    <comment ref="G129" authorId="1" shapeId="0">
      <text>
        <r>
          <rPr>
            <sz val="9"/>
            <color indexed="81"/>
            <rFont val="Tahoma"/>
            <family val="2"/>
          </rPr>
          <t xml:space="preserve">List Option Codes
</t>
        </r>
      </text>
    </comment>
    <comment ref="H129" authorId="1" shapeId="0">
      <text>
        <r>
          <rPr>
            <sz val="9"/>
            <color indexed="81"/>
            <rFont val="Tahoma"/>
            <family val="2"/>
          </rPr>
          <t xml:space="preserve">Only assign a CIC if the response should be included in Lead Retrieval
</t>
        </r>
      </text>
    </comment>
    <comment ref="B132" authorId="0" shapeId="0">
      <text>
        <r>
          <rPr>
            <sz val="9"/>
            <color indexed="81"/>
            <rFont val="Tahoma"/>
            <family val="2"/>
          </rPr>
          <t>8 Characters Max 
No Special Characters other than _</t>
        </r>
      </text>
    </comment>
    <comment ref="C138" authorId="1" shapeId="0">
      <text>
        <r>
          <rPr>
            <sz val="9"/>
            <color indexed="81"/>
            <rFont val="Tahoma"/>
            <family val="2"/>
          </rPr>
          <t xml:space="preserve">Only 
Single Quotes (‘ ‘)  
Periods ( . )
Forward Slash “/”
are allowed in description
</t>
        </r>
      </text>
    </comment>
    <comment ref="D138" authorId="1" shapeId="0">
      <text>
        <r>
          <rPr>
            <sz val="9"/>
            <color indexed="81"/>
            <rFont val="Tahoma"/>
            <family val="2"/>
          </rPr>
          <t xml:space="preserve">22 Character Max
Only 
Single Quotes (‘ ‘)  
Periods ( . )
Forward Slash “/”
are allowed in description
</t>
        </r>
      </text>
    </comment>
    <comment ref="G138" authorId="1" shapeId="0">
      <text>
        <r>
          <rPr>
            <sz val="9"/>
            <color indexed="81"/>
            <rFont val="Tahoma"/>
            <family val="2"/>
          </rPr>
          <t xml:space="preserve">List Option Codes
</t>
        </r>
      </text>
    </comment>
    <comment ref="H138" authorId="1" shapeId="0">
      <text>
        <r>
          <rPr>
            <sz val="9"/>
            <color indexed="81"/>
            <rFont val="Tahoma"/>
            <family val="2"/>
          </rPr>
          <t xml:space="preserve">Only assign a CIC if the response should be included in Lead Retrieval
</t>
        </r>
      </text>
    </comment>
    <comment ref="B141" authorId="0" shapeId="0">
      <text>
        <r>
          <rPr>
            <sz val="9"/>
            <color indexed="81"/>
            <rFont val="Tahoma"/>
            <family val="2"/>
          </rPr>
          <t>8 Characters Max 
No Special Characters other than _</t>
        </r>
      </text>
    </comment>
    <comment ref="C147" authorId="1" shapeId="0">
      <text>
        <r>
          <rPr>
            <sz val="9"/>
            <color indexed="81"/>
            <rFont val="Tahoma"/>
            <family val="2"/>
          </rPr>
          <t xml:space="preserve">Only 
Single Quotes (‘ ‘)  
Periods ( . )
Forward Slash “/”
are allowed in description
</t>
        </r>
      </text>
    </comment>
    <comment ref="D147" authorId="1" shapeId="0">
      <text>
        <r>
          <rPr>
            <sz val="9"/>
            <color indexed="81"/>
            <rFont val="Tahoma"/>
            <family val="2"/>
          </rPr>
          <t xml:space="preserve">22 Character Max
Only 
Single Quotes (‘ ‘)  
Periods ( . )
Forward Slash “/”
are allowed in description
</t>
        </r>
      </text>
    </comment>
    <comment ref="G147" authorId="1" shapeId="0">
      <text>
        <r>
          <rPr>
            <sz val="9"/>
            <color indexed="81"/>
            <rFont val="Tahoma"/>
            <family val="2"/>
          </rPr>
          <t xml:space="preserve">List Option Codes
</t>
        </r>
      </text>
    </comment>
    <comment ref="H147" authorId="1" shapeId="0">
      <text>
        <r>
          <rPr>
            <sz val="9"/>
            <color indexed="81"/>
            <rFont val="Tahoma"/>
            <family val="2"/>
          </rPr>
          <t xml:space="preserve">Only assign a CIC if the response should be included in Lead Retrieval
</t>
        </r>
      </text>
    </comment>
    <comment ref="B150" authorId="0" shapeId="0">
      <text>
        <r>
          <rPr>
            <sz val="9"/>
            <color indexed="81"/>
            <rFont val="Tahoma"/>
            <family val="2"/>
          </rPr>
          <t>8 Characters Max 
No Special Characters other than _</t>
        </r>
      </text>
    </comment>
    <comment ref="C156" authorId="1" shapeId="0">
      <text>
        <r>
          <rPr>
            <sz val="9"/>
            <color indexed="81"/>
            <rFont val="Tahoma"/>
            <family val="2"/>
          </rPr>
          <t xml:space="preserve">Only 
Single Quotes (‘ ‘)  
Periods ( . )
Forward Slash “/”
are allowed in description
</t>
        </r>
      </text>
    </comment>
    <comment ref="D156" authorId="1" shapeId="0">
      <text>
        <r>
          <rPr>
            <sz val="9"/>
            <color indexed="81"/>
            <rFont val="Tahoma"/>
            <family val="2"/>
          </rPr>
          <t xml:space="preserve">22 Character Max
Only 
Single Quotes (‘ ‘)  
Periods ( . )
Forward Slash “/”
are allowed in description
</t>
        </r>
      </text>
    </comment>
    <comment ref="G156" authorId="1" shapeId="0">
      <text>
        <r>
          <rPr>
            <sz val="9"/>
            <color indexed="81"/>
            <rFont val="Tahoma"/>
            <family val="2"/>
          </rPr>
          <t xml:space="preserve">List Option Codes
</t>
        </r>
      </text>
    </comment>
    <comment ref="H156" authorId="1" shapeId="0">
      <text>
        <r>
          <rPr>
            <sz val="9"/>
            <color indexed="81"/>
            <rFont val="Tahoma"/>
            <family val="2"/>
          </rPr>
          <t xml:space="preserve">Only assign a CIC if the response should be included in Lead Retrieval
</t>
        </r>
      </text>
    </comment>
    <comment ref="B159" authorId="0" shapeId="0">
      <text>
        <r>
          <rPr>
            <sz val="9"/>
            <color indexed="81"/>
            <rFont val="Tahoma"/>
            <family val="2"/>
          </rPr>
          <t>8 Characters Max 
No Special Characters other than _</t>
        </r>
      </text>
    </comment>
    <comment ref="C165" authorId="1" shapeId="0">
      <text>
        <r>
          <rPr>
            <sz val="9"/>
            <color indexed="81"/>
            <rFont val="Tahoma"/>
            <family val="2"/>
          </rPr>
          <t xml:space="preserve">Only 
Single Quotes (‘ ‘)  
Periods ( . )
Forward Slash “/”
are allowed in description
</t>
        </r>
      </text>
    </comment>
    <comment ref="D165" authorId="1" shapeId="0">
      <text>
        <r>
          <rPr>
            <sz val="9"/>
            <color indexed="81"/>
            <rFont val="Tahoma"/>
            <family val="2"/>
          </rPr>
          <t xml:space="preserve">22 Character Max
Only 
Single Quotes (‘ ‘)  
Periods ( . )
Forward Slash “/”
are allowed in description
</t>
        </r>
      </text>
    </comment>
    <comment ref="G165" authorId="1" shapeId="0">
      <text>
        <r>
          <rPr>
            <sz val="9"/>
            <color indexed="81"/>
            <rFont val="Tahoma"/>
            <family val="2"/>
          </rPr>
          <t xml:space="preserve">List Option Codes
</t>
        </r>
      </text>
    </comment>
    <comment ref="H165" authorId="1" shapeId="0">
      <text>
        <r>
          <rPr>
            <sz val="9"/>
            <color indexed="81"/>
            <rFont val="Tahoma"/>
            <family val="2"/>
          </rPr>
          <t xml:space="preserve">Only assign a CIC if the response should be included in Lead Retrieval
</t>
        </r>
      </text>
    </comment>
    <comment ref="B169" authorId="0" shapeId="0">
      <text>
        <r>
          <rPr>
            <sz val="9"/>
            <color indexed="81"/>
            <rFont val="Tahoma"/>
            <family val="2"/>
          </rPr>
          <t>8 Characters Max 
No Special Characters other than _</t>
        </r>
      </text>
    </comment>
    <comment ref="C175" authorId="1" shapeId="0">
      <text>
        <r>
          <rPr>
            <sz val="9"/>
            <color indexed="81"/>
            <rFont val="Tahoma"/>
            <family val="2"/>
          </rPr>
          <t xml:space="preserve">Only 
Single Quotes (‘ ‘)  
Periods ( . )
Forward Slash “/”
are allowed in description
</t>
        </r>
      </text>
    </comment>
    <comment ref="D175" authorId="1" shapeId="0">
      <text>
        <r>
          <rPr>
            <sz val="9"/>
            <color indexed="81"/>
            <rFont val="Tahoma"/>
            <family val="2"/>
          </rPr>
          <t xml:space="preserve">22 Character Max
Only 
Single Quotes (‘ ‘)  
Periods ( . )
Forward Slash “/”
are allowed in description
</t>
        </r>
      </text>
    </comment>
    <comment ref="G175" authorId="1" shapeId="0">
      <text>
        <r>
          <rPr>
            <sz val="9"/>
            <color indexed="81"/>
            <rFont val="Tahoma"/>
            <family val="2"/>
          </rPr>
          <t xml:space="preserve">List Option Codes
</t>
        </r>
      </text>
    </comment>
    <comment ref="H175" authorId="1" shapeId="0">
      <text>
        <r>
          <rPr>
            <sz val="9"/>
            <color indexed="81"/>
            <rFont val="Tahoma"/>
            <family val="2"/>
          </rPr>
          <t xml:space="preserve">Only assign a CIC if the response should be included in Lead Retrieval
</t>
        </r>
      </text>
    </comment>
    <comment ref="B178" authorId="0" shapeId="0">
      <text>
        <r>
          <rPr>
            <sz val="9"/>
            <color indexed="81"/>
            <rFont val="Tahoma"/>
            <family val="2"/>
          </rPr>
          <t>8 Characters Max 
No Special Characters other than _</t>
        </r>
      </text>
    </comment>
    <comment ref="C184" authorId="1" shapeId="0">
      <text>
        <r>
          <rPr>
            <sz val="9"/>
            <color indexed="81"/>
            <rFont val="Tahoma"/>
            <family val="2"/>
          </rPr>
          <t xml:space="preserve">Only 
Single Quotes (‘ ‘)  
Periods ( . )
Forward Slash “/”
are allowed in description
</t>
        </r>
      </text>
    </comment>
    <comment ref="D184" authorId="1" shapeId="0">
      <text>
        <r>
          <rPr>
            <sz val="9"/>
            <color indexed="81"/>
            <rFont val="Tahoma"/>
            <family val="2"/>
          </rPr>
          <t xml:space="preserve">22 Character Max
Only 
Single Quotes (‘ ‘)  
Periods ( . )
Forward Slash “/”
are allowed in description
</t>
        </r>
      </text>
    </comment>
    <comment ref="G184" authorId="1" shapeId="0">
      <text>
        <r>
          <rPr>
            <sz val="9"/>
            <color indexed="81"/>
            <rFont val="Tahoma"/>
            <family val="2"/>
          </rPr>
          <t xml:space="preserve">List Option Codes
</t>
        </r>
      </text>
    </comment>
    <comment ref="H184" authorId="1" shapeId="0">
      <text>
        <r>
          <rPr>
            <sz val="9"/>
            <color indexed="81"/>
            <rFont val="Tahoma"/>
            <family val="2"/>
          </rPr>
          <t xml:space="preserve">Only assign a CIC if the response should be included in Lead Retrieval
</t>
        </r>
      </text>
    </comment>
    <comment ref="B187" authorId="0" shapeId="0">
      <text>
        <r>
          <rPr>
            <sz val="9"/>
            <color indexed="81"/>
            <rFont val="Tahoma"/>
            <family val="2"/>
          </rPr>
          <t>8 Characters Max 
No Special Characters other than _</t>
        </r>
      </text>
    </comment>
    <comment ref="C193" authorId="1" shapeId="0">
      <text>
        <r>
          <rPr>
            <sz val="9"/>
            <color indexed="81"/>
            <rFont val="Tahoma"/>
            <family val="2"/>
          </rPr>
          <t xml:space="preserve">Only 
Single Quotes (‘ ‘)  
Periods ( . )
Forward Slash “/”
are allowed in description
</t>
        </r>
      </text>
    </comment>
    <comment ref="D193" authorId="1" shapeId="0">
      <text>
        <r>
          <rPr>
            <sz val="9"/>
            <color indexed="81"/>
            <rFont val="Tahoma"/>
            <family val="2"/>
          </rPr>
          <t xml:space="preserve">22 Character Max
Only 
Single Quotes (‘ ‘)  
Periods ( . )
Forward Slash “/”
are allowed in description
</t>
        </r>
      </text>
    </comment>
    <comment ref="G193" authorId="1" shapeId="0">
      <text>
        <r>
          <rPr>
            <sz val="9"/>
            <color indexed="81"/>
            <rFont val="Tahoma"/>
            <family val="2"/>
          </rPr>
          <t xml:space="preserve">List Option Codes
</t>
        </r>
      </text>
    </comment>
    <comment ref="H193" authorId="1" shapeId="0">
      <text>
        <r>
          <rPr>
            <sz val="9"/>
            <color indexed="81"/>
            <rFont val="Tahoma"/>
            <family val="2"/>
          </rPr>
          <t xml:space="preserve">Only assign a CIC if the response should be included in Lead Retrieval
</t>
        </r>
      </text>
    </comment>
    <comment ref="B196" authorId="0" shapeId="0">
      <text>
        <r>
          <rPr>
            <sz val="9"/>
            <color indexed="81"/>
            <rFont val="Tahoma"/>
            <family val="2"/>
          </rPr>
          <t>8 Characters Max 
No Special Characters other than _</t>
        </r>
      </text>
    </comment>
    <comment ref="C202" authorId="1" shapeId="0">
      <text>
        <r>
          <rPr>
            <sz val="9"/>
            <color indexed="81"/>
            <rFont val="Tahoma"/>
            <family val="2"/>
          </rPr>
          <t xml:space="preserve">Only 
Single Quotes (‘ ‘)  
Periods ( . )
Forward Slash “/”
are allowed in description
</t>
        </r>
      </text>
    </comment>
    <comment ref="D202" authorId="1" shapeId="0">
      <text>
        <r>
          <rPr>
            <sz val="9"/>
            <color indexed="81"/>
            <rFont val="Tahoma"/>
            <family val="2"/>
          </rPr>
          <t xml:space="preserve">22 Character Max
Only 
Single Quotes (‘ ‘)  
Periods ( . )
Forward Slash “/”
are allowed in description
</t>
        </r>
      </text>
    </comment>
    <comment ref="G202" authorId="1" shapeId="0">
      <text>
        <r>
          <rPr>
            <sz val="9"/>
            <color indexed="81"/>
            <rFont val="Tahoma"/>
            <family val="2"/>
          </rPr>
          <t xml:space="preserve">List Option Codes
</t>
        </r>
      </text>
    </comment>
    <comment ref="H202" authorId="1" shapeId="0">
      <text>
        <r>
          <rPr>
            <sz val="9"/>
            <color indexed="81"/>
            <rFont val="Tahoma"/>
            <family val="2"/>
          </rPr>
          <t xml:space="preserve">Only assign a CIC if the response should be included in Lead Retrieval
</t>
        </r>
      </text>
    </comment>
    <comment ref="B205" authorId="0" shapeId="0">
      <text>
        <r>
          <rPr>
            <sz val="9"/>
            <color indexed="81"/>
            <rFont val="Tahoma"/>
            <family val="2"/>
          </rPr>
          <t>8 Characters Max 
No Special Characters other than _</t>
        </r>
      </text>
    </comment>
    <comment ref="C211" authorId="1" shapeId="0">
      <text>
        <r>
          <rPr>
            <sz val="9"/>
            <color indexed="81"/>
            <rFont val="Tahoma"/>
            <family val="2"/>
          </rPr>
          <t xml:space="preserve">Only 
Single Quotes (‘ ‘)  
Periods ( . )
Forward Slash “/”
are allowed in description
</t>
        </r>
      </text>
    </comment>
    <comment ref="D211" authorId="1" shapeId="0">
      <text>
        <r>
          <rPr>
            <sz val="9"/>
            <color indexed="81"/>
            <rFont val="Tahoma"/>
            <family val="2"/>
          </rPr>
          <t xml:space="preserve">22 Character Max
Only 
Single Quotes (‘ ‘)  
Periods ( . )
Forward Slash “/”
are allowed in description
</t>
        </r>
      </text>
    </comment>
    <comment ref="G211" authorId="1" shapeId="0">
      <text>
        <r>
          <rPr>
            <sz val="9"/>
            <color indexed="81"/>
            <rFont val="Tahoma"/>
            <family val="2"/>
          </rPr>
          <t xml:space="preserve">List Option Codes
</t>
        </r>
      </text>
    </comment>
    <comment ref="H211" authorId="1" shapeId="0">
      <text>
        <r>
          <rPr>
            <sz val="9"/>
            <color indexed="81"/>
            <rFont val="Tahoma"/>
            <family val="2"/>
          </rPr>
          <t xml:space="preserve">Only assign a CIC if the response should be included in Lead Retrieval
</t>
        </r>
      </text>
    </comment>
  </commentList>
</comments>
</file>

<file path=xl/comments7.xml><?xml version="1.0" encoding="utf-8"?>
<comments xmlns="http://schemas.openxmlformats.org/spreadsheetml/2006/main">
  <authors>
    <author>Sarah Gojdas</author>
  </authors>
  <commentList>
    <comment ref="C1" authorId="0" shapeId="0">
      <text>
        <r>
          <rPr>
            <sz val="9"/>
            <color indexed="81"/>
            <rFont val="Tahoma"/>
            <family val="2"/>
          </rPr>
          <t xml:space="preserve">8 Character Max
</t>
        </r>
      </text>
    </comment>
    <comment ref="D1" authorId="0" shapeId="0">
      <text>
        <r>
          <rPr>
            <sz val="9"/>
            <color indexed="81"/>
            <rFont val="Tahoma"/>
            <family val="2"/>
          </rPr>
          <t xml:space="preserve">200 Character Max
</t>
        </r>
      </text>
    </comment>
    <comment ref="U1" authorId="0" shapeId="0">
      <text>
        <r>
          <rPr>
            <sz val="9"/>
            <color indexed="81"/>
            <rFont val="Tahoma"/>
            <family val="2"/>
          </rPr>
          <t>Enter 'Yes' if the option should be displayed in the attendee's schedule (mySchedule).</t>
        </r>
      </text>
    </comment>
    <comment ref="X1" authorId="0" shapeId="0">
      <text>
        <r>
          <rPr>
            <b/>
            <sz val="9"/>
            <color indexed="81"/>
            <rFont val="Tahoma"/>
            <family val="2"/>
          </rPr>
          <t>Sarah Gojdas:</t>
        </r>
        <r>
          <rPr>
            <sz val="9"/>
            <color indexed="81"/>
            <rFont val="Tahoma"/>
            <family val="2"/>
          </rPr>
          <t xml:space="preserve">
1,700 Character Max
</t>
        </r>
      </text>
    </comment>
  </commentList>
</comments>
</file>

<file path=xl/comments8.xml><?xml version="1.0" encoding="utf-8"?>
<comments xmlns="http://schemas.openxmlformats.org/spreadsheetml/2006/main">
  <authors>
    <author>Sarah Gojdas</author>
    <author>Scott Buckley</author>
  </authors>
  <commentList>
    <comment ref="A31" authorId="0" shapeId="0">
      <text>
        <r>
          <rPr>
            <b/>
            <u/>
            <sz val="9"/>
            <color indexed="81"/>
            <rFont val="Tahoma"/>
            <family val="2"/>
          </rPr>
          <t>Examples</t>
        </r>
        <r>
          <rPr>
            <sz val="9"/>
            <color indexed="81"/>
            <rFont val="Tahoma"/>
            <family val="2"/>
          </rPr>
          <t xml:space="preserve">
Exhibitor Badge
Conference Badge
Exhibit Hall Only Badge
Option
</t>
        </r>
      </text>
    </comment>
    <comment ref="B31" authorId="0" shapeId="0">
      <text>
        <r>
          <rPr>
            <sz val="9"/>
            <color indexed="81"/>
            <rFont val="Tahoma"/>
            <family val="2"/>
          </rPr>
          <t xml:space="preserve">List the reg types pulling from the specific type of allotment
</t>
        </r>
      </text>
    </comment>
    <comment ref="C31" authorId="0" shapeId="0">
      <text>
        <r>
          <rPr>
            <sz val="9"/>
            <color indexed="81"/>
            <rFont val="Tahoma"/>
            <family val="2"/>
          </rPr>
          <t xml:space="preserve">Capped Allotment is when a company cannot exceed their allotment
</t>
        </r>
      </text>
    </comment>
    <comment ref="A38" authorId="1" shapeId="0">
      <text>
        <r>
          <rPr>
            <sz val="9"/>
            <color indexed="81"/>
            <rFont val="Tahoma"/>
            <family val="2"/>
          </rPr>
          <t>Enter any special instructions here.</t>
        </r>
      </text>
    </comment>
    <comment ref="A39" authorId="1" shapeId="0">
      <text>
        <r>
          <rPr>
            <sz val="9"/>
            <color indexed="81"/>
            <rFont val="Tahoma"/>
            <family val="2"/>
          </rPr>
          <t>Enter any special instructions here.</t>
        </r>
      </text>
    </comment>
  </commentList>
</comments>
</file>

<file path=xl/comments9.xml><?xml version="1.0" encoding="utf-8"?>
<comments xmlns="http://schemas.openxmlformats.org/spreadsheetml/2006/main">
  <authors>
    <author>Sarah Gojdas</author>
    <author>Scott Buckley</author>
  </authors>
  <commentList>
    <comment ref="A29" authorId="0" shapeId="0">
      <text>
        <r>
          <rPr>
            <b/>
            <u/>
            <sz val="9"/>
            <color indexed="81"/>
            <rFont val="Tahoma"/>
            <family val="2"/>
          </rPr>
          <t>Examples</t>
        </r>
        <r>
          <rPr>
            <sz val="9"/>
            <color indexed="81"/>
            <rFont val="Tahoma"/>
            <family val="2"/>
          </rPr>
          <t xml:space="preserve">
Exhibit Hall Only Badge Conference Badge
Option
</t>
        </r>
      </text>
    </comment>
    <comment ref="B29" authorId="0" shapeId="0">
      <text>
        <r>
          <rPr>
            <sz val="9"/>
            <color indexed="81"/>
            <rFont val="Tahoma"/>
            <family val="2"/>
          </rPr>
          <t xml:space="preserve">List the reg types pulling from the specific type of allotment
</t>
        </r>
      </text>
    </comment>
    <comment ref="C29" authorId="0" shapeId="0">
      <text>
        <r>
          <rPr>
            <sz val="9"/>
            <color indexed="81"/>
            <rFont val="Tahoma"/>
            <family val="2"/>
          </rPr>
          <t xml:space="preserve">Capped Allotment is when a company cannot exceed their allotment
</t>
        </r>
      </text>
    </comment>
    <comment ref="A37" authorId="1" shapeId="0">
      <text>
        <r>
          <rPr>
            <sz val="9"/>
            <color indexed="81"/>
            <rFont val="Tahoma"/>
            <family val="2"/>
          </rPr>
          <t>Enter any special instructions here.</t>
        </r>
      </text>
    </comment>
  </commentList>
</comments>
</file>

<file path=xl/sharedStrings.xml><?xml version="1.0" encoding="utf-8"?>
<sst xmlns="http://schemas.openxmlformats.org/spreadsheetml/2006/main" count="6681" uniqueCount="2848">
  <si>
    <t>Paid Purchase Order</t>
  </si>
  <si>
    <t>PayPal</t>
  </si>
  <si>
    <t>Cash</t>
  </si>
  <si>
    <t>JCB</t>
  </si>
  <si>
    <t>L</t>
  </si>
  <si>
    <t>Lockbox</t>
  </si>
  <si>
    <t>Diners Club</t>
  </si>
  <si>
    <t>Balance Due Purchase Order</t>
  </si>
  <si>
    <t>Bill Client</t>
  </si>
  <si>
    <t>Receipt Payment</t>
  </si>
  <si>
    <t>Web Services</t>
  </si>
  <si>
    <t>Membership Allotment</t>
  </si>
  <si>
    <t>Problem Type</t>
  </si>
  <si>
    <t>1.  Lead Field Engineer</t>
  </si>
  <si>
    <t>2.  ESM*</t>
  </si>
  <si>
    <t>American Express Travel/AXIOM</t>
  </si>
  <si>
    <t>1-800-327-2737</t>
  </si>
  <si>
    <t>Code</t>
  </si>
  <si>
    <t>Display Conference Option Availability</t>
  </si>
  <si>
    <t>Batch Demographic Append for Onsite Questions</t>
  </si>
  <si>
    <t>Batch Demographic Append by Customer ID</t>
  </si>
  <si>
    <t>Exhibitor Maintenance</t>
  </si>
  <si>
    <t>Membership Maintenance</t>
  </si>
  <si>
    <t>Select Event</t>
  </si>
  <si>
    <t>Logout</t>
  </si>
  <si>
    <t>Confirmation Resend Flag</t>
  </si>
  <si>
    <t>Badge Reprint Flag</t>
  </si>
  <si>
    <t>Order</t>
  </si>
  <si>
    <t>Search Fields</t>
  </si>
  <si>
    <t>RDMS</t>
  </si>
  <si>
    <t>Member Number</t>
  </si>
  <si>
    <t>label_evtcode</t>
  </si>
  <si>
    <t>hotel_evtcode</t>
  </si>
  <si>
    <t>Text2</t>
  </si>
  <si>
    <t>Text3</t>
  </si>
  <si>
    <t>Text4</t>
  </si>
  <si>
    <t>Text5</t>
  </si>
  <si>
    <t>Text6</t>
  </si>
  <si>
    <t>Text7</t>
  </si>
  <si>
    <t>Text8</t>
  </si>
  <si>
    <t>soc_sec_number</t>
  </si>
  <si>
    <t>mail_hold_flag</t>
  </si>
  <si>
    <t>booth_id</t>
  </si>
  <si>
    <t>Registration Receipt Method</t>
  </si>
  <si>
    <t>mail_type_code</t>
  </si>
  <si>
    <t>registration</t>
  </si>
  <si>
    <t xml:space="preserve">evt_uid </t>
  </si>
  <si>
    <t>must_enter_code (000, 001, etc.)</t>
  </si>
  <si>
    <t>onPeak Housing Info? (Yes/No)</t>
  </si>
  <si>
    <t>Travel Planners Housing Info? (Yes/No)</t>
  </si>
  <si>
    <t>Use Barcode (Yes/No)</t>
  </si>
  <si>
    <t>reg2_evtcode</t>
  </si>
  <si>
    <t>reg3_evtcode</t>
  </si>
  <si>
    <t>membership_flag</t>
  </si>
  <si>
    <t>text1</t>
  </si>
  <si>
    <t>geo_code</t>
  </si>
  <si>
    <t>APPROVAL STATUS AND DATE</t>
  </si>
  <si>
    <t>Password</t>
  </si>
  <si>
    <t>Table of Contents</t>
  </si>
  <si>
    <t>Details</t>
  </si>
  <si>
    <t>Client Services</t>
  </si>
  <si>
    <t>E-Mail Address:</t>
  </si>
  <si>
    <t>E-Mail Copy:</t>
  </si>
  <si>
    <t>First Notification to be sent:</t>
  </si>
  <si>
    <t>Final Notification to be sent:</t>
  </si>
  <si>
    <t>Hard-Copy Reports</t>
  </si>
  <si>
    <t>Must Enter:</t>
  </si>
  <si>
    <t>Responses:</t>
  </si>
  <si>
    <t>Applicable:</t>
  </si>
  <si>
    <t>Full Description</t>
  </si>
  <si>
    <t>Up-Sell Options</t>
  </si>
  <si>
    <t>H</t>
  </si>
  <si>
    <t>J</t>
  </si>
  <si>
    <t>Q</t>
  </si>
  <si>
    <t>T</t>
  </si>
  <si>
    <t>V</t>
  </si>
  <si>
    <t>Date</t>
  </si>
  <si>
    <t>Registration Projections</t>
  </si>
  <si>
    <t>Description</t>
  </si>
  <si>
    <t>Onsite</t>
  </si>
  <si>
    <t>Totals</t>
  </si>
  <si>
    <t>Cancellation Policy</t>
  </si>
  <si>
    <t>Badge Holders</t>
  </si>
  <si>
    <t>Quantity</t>
  </si>
  <si>
    <t>BH Color</t>
  </si>
  <si>
    <t>Rib Color</t>
  </si>
  <si>
    <t>Explosion</t>
  </si>
  <si>
    <t>Discount Manager</t>
  </si>
  <si>
    <t>Report Sequence</t>
  </si>
  <si>
    <t>CIC</t>
  </si>
  <si>
    <t>Registration Category</t>
  </si>
  <si>
    <t>N/A</t>
  </si>
  <si>
    <t>Database Name</t>
  </si>
  <si>
    <t>Database Server</t>
  </si>
  <si>
    <t>CSI Database Information</t>
  </si>
  <si>
    <t>Registration Codes</t>
  </si>
  <si>
    <t>Yes</t>
  </si>
  <si>
    <t>No</t>
  </si>
  <si>
    <t>Customer Service</t>
  </si>
  <si>
    <t>Credential Envelopes</t>
  </si>
  <si>
    <t>Elastic Cords</t>
  </si>
  <si>
    <t>Ribbons</t>
  </si>
  <si>
    <t>Client Letterhead</t>
  </si>
  <si>
    <t>Typist Instructions</t>
  </si>
  <si>
    <t>CEU Certificate Stock</t>
  </si>
  <si>
    <t>CompuSystems assigns Logins and Passwords</t>
  </si>
  <si>
    <t>Client assigns Logins and Passwords</t>
  </si>
  <si>
    <t>CompuSystems assigns Logins and Passwords based on client guidelines.</t>
  </si>
  <si>
    <t>CompuSystems sends out all Exhibitor Password Letters</t>
  </si>
  <si>
    <t>Client sends out initial Exhibitor Password Letters, CSI sends out add-ons.</t>
  </si>
  <si>
    <t>Client sends out all password letters</t>
  </si>
  <si>
    <t>Visa Free Key Field</t>
  </si>
  <si>
    <t>One</t>
  </si>
  <si>
    <t>Male</t>
  </si>
  <si>
    <t>Female</t>
  </si>
  <si>
    <t>Free Key Field (format = MM/DD/YYYY)</t>
  </si>
  <si>
    <t>Country Free Key Field</t>
  </si>
  <si>
    <t>Consular Office Free Key Field</t>
  </si>
  <si>
    <t>Exhibitor Company</t>
  </si>
  <si>
    <t>Exhibitor Company Free Key Field</t>
  </si>
  <si>
    <t>NOTE:  This field needs to be 60 characters to handle Chinese company names</t>
  </si>
  <si>
    <t>Exhibitor Street Address</t>
  </si>
  <si>
    <t>Exhibitor Street Address Free Key Field</t>
  </si>
  <si>
    <t>Exhibitor City</t>
  </si>
  <si>
    <t>Exhibitor City Free Key Field</t>
  </si>
  <si>
    <t>Exhibitor Province</t>
  </si>
  <si>
    <t>Exhibitor Province Free Key Field</t>
  </si>
  <si>
    <t>A registrant will check out a hand held scanner and will scan the barcode of all products they are interested in.  A temporary clerk will be handing out the scanners at the entrance.  They will scan the registrant’s badge prior to giving them the scanner.</t>
  </si>
  <si>
    <t>The client will need to decide what type of guarantee will be given by the registrant to secure the scanner.</t>
  </si>
  <si>
    <t>Option 1:  A copy of the registrant’s credit card will be taken when they check out the scanner.  The copy will be given back to the registrant when they return the scanner.</t>
  </si>
  <si>
    <t>Option 2:  The registrant’s driver’s license can be held until the scanner is returned.</t>
  </si>
  <si>
    <t xml:space="preserve">The registrant will return the scanner to the temporary clerk.  The clerk will need to download the scans and print out a listing of the companies the registrant scanned. </t>
  </si>
  <si>
    <t xml:space="preserve">The listing will consist of: </t>
  </si>
  <si>
    <t>The listing will be sorted by:</t>
  </si>
  <si>
    <t xml:space="preserve">New companies will need to be added onsite under the second event that was created in advance.  </t>
  </si>
  <si>
    <t>Are there voting limitations?</t>
  </si>
  <si>
    <t>Post-Show</t>
  </si>
  <si>
    <t>Materials</t>
  </si>
  <si>
    <t>Qty.</t>
  </si>
  <si>
    <t>Disposition</t>
  </si>
  <si>
    <t>Post Show</t>
  </si>
  <si>
    <t>Database Manager</t>
  </si>
  <si>
    <t>Allotment/ Room Capacity</t>
  </si>
  <si>
    <t>Display Seq</t>
  </si>
  <si>
    <t>Function</t>
  </si>
  <si>
    <t>dem_name =</t>
  </si>
  <si>
    <t>Question:</t>
  </si>
  <si>
    <t>No, I do not require an invitations letter.</t>
  </si>
  <si>
    <t>Passport Number Free Key Pad</t>
  </si>
  <si>
    <t>Housing</t>
  </si>
  <si>
    <t>Onsite Services</t>
  </si>
  <si>
    <t>Self Registration Attendee</t>
  </si>
  <si>
    <t>Self Registration Exhibitors</t>
  </si>
  <si>
    <t xml:space="preserve">Access Control </t>
  </si>
  <si>
    <t xml:space="preserve">Wireless Access Control </t>
  </si>
  <si>
    <t>P</t>
  </si>
  <si>
    <t>F</t>
  </si>
  <si>
    <t>E</t>
  </si>
  <si>
    <t>A</t>
  </si>
  <si>
    <t>Mail</t>
  </si>
  <si>
    <t>D</t>
  </si>
  <si>
    <t>Data Transfer</t>
  </si>
  <si>
    <t>O</t>
  </si>
  <si>
    <t>C</t>
  </si>
  <si>
    <t>Client Keyed</t>
  </si>
  <si>
    <t>Web General</t>
  </si>
  <si>
    <t>S</t>
  </si>
  <si>
    <t>U</t>
  </si>
  <si>
    <t>R</t>
  </si>
  <si>
    <t>Client Print</t>
  </si>
  <si>
    <t>Client Hold</t>
  </si>
  <si>
    <t>N</t>
  </si>
  <si>
    <t>Released from Client Hold</t>
  </si>
  <si>
    <t>UPS</t>
  </si>
  <si>
    <t>DHL</t>
  </si>
  <si>
    <t>Field Description</t>
  </si>
  <si>
    <t>Must Enter in Database?</t>
  </si>
  <si>
    <t>Registration Number</t>
  </si>
  <si>
    <t>reg_uid</t>
  </si>
  <si>
    <t>Automatically Generated</t>
  </si>
  <si>
    <t>A/O/V</t>
  </si>
  <si>
    <t>attend_status_code</t>
  </si>
  <si>
    <t>Registration Code</t>
  </si>
  <si>
    <t>reg_evtcode*</t>
  </si>
  <si>
    <t>reg2_evtcode*</t>
  </si>
  <si>
    <t xml:space="preserve">reg3_evtcode* </t>
  </si>
  <si>
    <t>piece_evtcode*</t>
  </si>
  <si>
    <t>Text</t>
  </si>
  <si>
    <t xml:space="preserve">text1* </t>
  </si>
  <si>
    <t>Geo Code</t>
  </si>
  <si>
    <t xml:space="preserve">geo_code*                     </t>
  </si>
  <si>
    <t>show_code*</t>
  </si>
  <si>
    <t>Flag</t>
  </si>
  <si>
    <t>membership_flag*</t>
  </si>
  <si>
    <t>Membership Number</t>
  </si>
  <si>
    <t>memb_id*</t>
  </si>
  <si>
    <t>Exhibitor Number</t>
  </si>
  <si>
    <t>org_id</t>
  </si>
  <si>
    <t>All</t>
  </si>
  <si>
    <t>KC Link Flag</t>
  </si>
  <si>
    <t>key_contact_flag</t>
  </si>
  <si>
    <t>Prefix</t>
  </si>
  <si>
    <t>name_prefix_code</t>
  </si>
  <si>
    <t xml:space="preserve"> </t>
  </si>
  <si>
    <t>name_nick</t>
  </si>
  <si>
    <t>name_first</t>
  </si>
  <si>
    <t>Use standard password letter</t>
  </si>
  <si>
    <t>Use client provided password letter</t>
  </si>
  <si>
    <t>Demographic Questions</t>
  </si>
  <si>
    <t>Reporting</t>
  </si>
  <si>
    <t>Onsite Information</t>
  </si>
  <si>
    <t>OnPeak Meeting ID</t>
  </si>
  <si>
    <t>Confirmation Letters / Password Letters / Broadcast E-Mails</t>
  </si>
  <si>
    <t>Special Instructions</t>
  </si>
  <si>
    <t>Type:</t>
  </si>
  <si>
    <t>Mailed</t>
  </si>
  <si>
    <t>Letter Development</t>
  </si>
  <si>
    <t>Assignment of Login/Password</t>
  </si>
  <si>
    <t>Password Letter Distribution</t>
  </si>
  <si>
    <t>List guidelines here:</t>
  </si>
  <si>
    <t>Person who Should 
Place the Call</t>
  </si>
  <si>
    <t>Qualification Manager</t>
  </si>
  <si>
    <t>Product ID</t>
  </si>
  <si>
    <t>Org ID</t>
  </si>
  <si>
    <t>Product Category</t>
  </si>
  <si>
    <t>Product Name</t>
  </si>
  <si>
    <t>Product Description</t>
  </si>
  <si>
    <t>Product URL</t>
  </si>
  <si>
    <t>Equipment</t>
  </si>
  <si>
    <t>Laser Jet Printer</t>
  </si>
  <si>
    <t xml:space="preserve">Laptop </t>
  </si>
  <si>
    <t>Desktop Zebra Printer</t>
  </si>
  <si>
    <t>Fiber/VLAN to CSI Office</t>
  </si>
  <si>
    <t>CSI Job #</t>
  </si>
  <si>
    <t>Event Name</t>
  </si>
  <si>
    <t>Fax</t>
  </si>
  <si>
    <t>Phone</t>
  </si>
  <si>
    <t>Expo Hall Dates</t>
  </si>
  <si>
    <t>Show Type</t>
  </si>
  <si>
    <t>Co-Located?</t>
  </si>
  <si>
    <t>Yes / No</t>
  </si>
  <si>
    <t>Co-Location</t>
  </si>
  <si>
    <t>Web</t>
  </si>
  <si>
    <t>Attendee</t>
  </si>
  <si>
    <t>Exhibitor</t>
  </si>
  <si>
    <t>Conference Dates</t>
  </si>
  <si>
    <t>Co-Located with?</t>
  </si>
  <si>
    <t>Venue Name</t>
  </si>
  <si>
    <t>Venue Address</t>
  </si>
  <si>
    <t>Venue City</t>
  </si>
  <si>
    <t>Venue State</t>
  </si>
  <si>
    <t>Venue Zip</t>
  </si>
  <si>
    <t xml:space="preserve">Will CSI send fulfillment emails to the exhibitors post show, listing out the registrants that were interested in their products? </t>
  </si>
  <si>
    <t>If yes, who will provide the text for the letter?</t>
  </si>
  <si>
    <t>Brad will provide the file to Casey for the E-mail Blast.</t>
  </si>
  <si>
    <t>The file will contain:</t>
  </si>
  <si>
    <t>The exhibitor’s information is pulled from Exhibitor Maintenance and the registrant’s information file is created from the NPS scan data.</t>
  </si>
  <si>
    <t>The exhibiting companies are matched up to Exhibitor Maintenance by using the Unique ID that was sent on the original NPS file.</t>
  </si>
  <si>
    <t xml:space="preserve">The registrant’s information will consist of: </t>
  </si>
  <si>
    <t xml:space="preserve">Is this feature required? </t>
  </si>
  <si>
    <r>
      <t>1</t>
    </r>
    <r>
      <rPr>
        <vertAlign val="superscript"/>
        <sz val="10"/>
        <rFont val="Arial"/>
        <family val="2"/>
      </rPr>
      <t>st</t>
    </r>
    <r>
      <rPr>
        <sz val="10"/>
        <rFont val="Arial"/>
        <family val="2"/>
      </rPr>
      <t xml:space="preserve"> timeout  warning before logout (warningMessage.time1)</t>
    </r>
  </si>
  <si>
    <r>
      <t>2</t>
    </r>
    <r>
      <rPr>
        <vertAlign val="superscript"/>
        <sz val="10"/>
        <rFont val="Arial"/>
        <family val="2"/>
      </rPr>
      <t>nd</t>
    </r>
    <r>
      <rPr>
        <sz val="10"/>
        <rFont val="Arial"/>
        <family val="2"/>
      </rPr>
      <t xml:space="preserve"> timeout warning before logout (warningMessage.time2)</t>
    </r>
  </si>
  <si>
    <t>Middle Initial</t>
  </si>
  <si>
    <t>name_mi</t>
  </si>
  <si>
    <t>name_last</t>
  </si>
  <si>
    <t>name_suffix</t>
  </si>
  <si>
    <t>Initials</t>
  </si>
  <si>
    <t>Company 1</t>
  </si>
  <si>
    <t>comp_1</t>
  </si>
  <si>
    <t>Company 2</t>
  </si>
  <si>
    <t>comp_2</t>
  </si>
  <si>
    <t>Address 1</t>
  </si>
  <si>
    <t>addr_1</t>
  </si>
  <si>
    <t>Address 2</t>
  </si>
  <si>
    <t>addr_2</t>
  </si>
  <si>
    <t>addr_3</t>
  </si>
  <si>
    <t>city_id</t>
  </si>
  <si>
    <t>State</t>
  </si>
  <si>
    <t>state_id</t>
  </si>
  <si>
    <t>Zipcode</t>
  </si>
  <si>
    <t>Mail_stop</t>
  </si>
  <si>
    <t>country_name</t>
  </si>
  <si>
    <t>Phone Area Code</t>
  </si>
  <si>
    <t>ph_area_country_code</t>
  </si>
  <si>
    <t>Phone Number</t>
  </si>
  <si>
    <t>phone_numb</t>
  </si>
  <si>
    <t>cell_country_c</t>
  </si>
  <si>
    <t>cell_area_country_code</t>
  </si>
  <si>
    <t>cell_number</t>
  </si>
  <si>
    <t>Fax Area Code</t>
  </si>
  <si>
    <t>fax_area_country_code</t>
  </si>
  <si>
    <t>Fax Number</t>
  </si>
  <si>
    <t>fax_numb</t>
  </si>
  <si>
    <t>Internet_address</t>
  </si>
  <si>
    <t>Internet_address_2</t>
  </si>
  <si>
    <t>Web Address</t>
  </si>
  <si>
    <t>Web_address</t>
  </si>
  <si>
    <t>reg4_evtcode</t>
  </si>
  <si>
    <t>reg5_evtcode</t>
  </si>
  <si>
    <t>reg6_evtcode</t>
  </si>
  <si>
    <t>Method</t>
  </si>
  <si>
    <t>Pre-Pop?</t>
  </si>
  <si>
    <t>memb_id</t>
  </si>
  <si>
    <t>Unique Membership Number</t>
  </si>
  <si>
    <t>title</t>
  </si>
  <si>
    <t>Allotment Type</t>
  </si>
  <si>
    <t>No Membership Allotment</t>
  </si>
  <si>
    <t>Standard by Individual Name</t>
  </si>
  <si>
    <t>Standard by Company Name</t>
  </si>
  <si>
    <t>Multi-Tier</t>
  </si>
  <si>
    <t>Housing Type</t>
  </si>
  <si>
    <t>OnPeak Housing Link</t>
  </si>
  <si>
    <t>AttCode</t>
  </si>
  <si>
    <t>PassId</t>
  </si>
  <si>
    <t>Reg Code</t>
  </si>
  <si>
    <t>Standard</t>
  </si>
  <si>
    <t>Show Name</t>
  </si>
  <si>
    <t>Address 3</t>
  </si>
  <si>
    <t>Application Use</t>
  </si>
  <si>
    <t>Menu Options</t>
  </si>
  <si>
    <t>Search</t>
  </si>
  <si>
    <t>New Registration</t>
  </si>
  <si>
    <t>Allotment Types</t>
  </si>
  <si>
    <t>Exhibitor Registration - No Allotment</t>
  </si>
  <si>
    <t>Carte Blanche</t>
  </si>
  <si>
    <t>Discover</t>
  </si>
  <si>
    <t>Exhibitor Services</t>
  </si>
  <si>
    <t>Line 1:</t>
  </si>
  <si>
    <t xml:space="preserve">Line 2: </t>
  </si>
  <si>
    <t xml:space="preserve">Post Show </t>
  </si>
  <si>
    <t xml:space="preserve">Service  </t>
  </si>
  <si>
    <t xml:space="preserve">Approval </t>
  </si>
  <si>
    <t>Long Description</t>
  </si>
  <si>
    <t>Print Destination</t>
  </si>
  <si>
    <t>IP Address</t>
  </si>
  <si>
    <t>Subnet Mask</t>
  </si>
  <si>
    <t>External IP</t>
  </si>
  <si>
    <t>Destination</t>
  </si>
  <si>
    <t>CSI</t>
  </si>
  <si>
    <t>Client</t>
  </si>
  <si>
    <t>Payment Type</t>
  </si>
  <si>
    <t>#</t>
  </si>
  <si>
    <t>RC 1</t>
  </si>
  <si>
    <t>RC 2</t>
  </si>
  <si>
    <t>EX</t>
  </si>
  <si>
    <t>CON</t>
  </si>
  <si>
    <t>Item</t>
  </si>
  <si>
    <t>Supplier</t>
  </si>
  <si>
    <t>Show Badge Stock</t>
  </si>
  <si>
    <t>Plain White Badge Stock</t>
  </si>
  <si>
    <t>Mailers</t>
  </si>
  <si>
    <t>web_numb</t>
  </si>
  <si>
    <t>Store &amp; Destroy</t>
  </si>
  <si>
    <t>Pull the form and give it to the Event Services Manager</t>
  </si>
  <si>
    <t>Use a default registration code</t>
  </si>
  <si>
    <t>zipcode</t>
  </si>
  <si>
    <t>addr1</t>
  </si>
  <si>
    <t>If domestic or Canada</t>
  </si>
  <si>
    <t>Checks for suffix within last name field</t>
  </si>
  <si>
    <t>Salutation</t>
  </si>
  <si>
    <t>Company</t>
  </si>
  <si>
    <t>Zip</t>
  </si>
  <si>
    <t>E-mail</t>
  </si>
  <si>
    <t>Amount Billed</t>
  </si>
  <si>
    <t>Amount Paid</t>
  </si>
  <si>
    <t>Insert #1</t>
  </si>
  <si>
    <t>Insert #2</t>
  </si>
  <si>
    <t>Field Name</t>
  </si>
  <si>
    <t>name_prefix</t>
  </si>
  <si>
    <t>Addr_2</t>
  </si>
  <si>
    <t>Addr_3</t>
  </si>
  <si>
    <t>internet_address</t>
  </si>
  <si>
    <t xml:space="preserve">      </t>
  </si>
  <si>
    <t>LD</t>
  </si>
  <si>
    <t>MM</t>
  </si>
  <si>
    <t>8 pt Smallest (ST)</t>
  </si>
  <si>
    <t>10pt Smaller (SR)</t>
  </si>
  <si>
    <t>14pt Small (SL)</t>
  </si>
  <si>
    <t>Code
ded_value</t>
  </si>
  <si>
    <t>Exhibitor Country</t>
  </si>
  <si>
    <t>Exhibitor Country Free Key Field</t>
  </si>
  <si>
    <t>Express Phone Number Free Key Field</t>
  </si>
  <si>
    <t>Rate</t>
  </si>
  <si>
    <t>Auto-Gen Options</t>
  </si>
  <si>
    <t>Service</t>
  </si>
  <si>
    <t>Fax – 708.344.4444</t>
  </si>
  <si>
    <t>E-Mail – [name]@compusystems.com</t>
  </si>
  <si>
    <t>Bulk forms from client</t>
  </si>
  <si>
    <t>Internet Registration Site</t>
  </si>
  <si>
    <t xml:space="preserve">Data Transfer Show </t>
  </si>
  <si>
    <t>Lock Box</t>
  </si>
  <si>
    <t>Other</t>
  </si>
  <si>
    <t>Press</t>
  </si>
  <si>
    <t>Yes/No</t>
  </si>
  <si>
    <t>Send on Truck</t>
  </si>
  <si>
    <t>See Production Schedule for Truck Departure Date</t>
  </si>
  <si>
    <t>Name:</t>
  </si>
  <si>
    <t>Address:</t>
  </si>
  <si>
    <t>Confirmation Letter or Notice</t>
  </si>
  <si>
    <t>RECEIPT</t>
  </si>
  <si>
    <t>Does Not Get Confirmation</t>
  </si>
  <si>
    <t>Monday</t>
  </si>
  <si>
    <t>Tuesday</t>
  </si>
  <si>
    <t>Wednesday</t>
  </si>
  <si>
    <t>Thursday</t>
  </si>
  <si>
    <t>Friday</t>
  </si>
  <si>
    <t>Report</t>
  </si>
  <si>
    <t>On-Site</t>
  </si>
  <si>
    <t>Postshow</t>
  </si>
  <si>
    <t>New Exhibitor Listing</t>
  </si>
  <si>
    <t>Exhibiting Companies Not Registered Listing</t>
  </si>
  <si>
    <t>Apparent Duplicate Listing</t>
  </si>
  <si>
    <t>Hourly Attendance Summary</t>
  </si>
  <si>
    <t>Express Registration Usage</t>
  </si>
  <si>
    <t>Only the reg_evtcode listed here may vote:  [list reg_evtcodes here]</t>
  </si>
  <si>
    <t>Only one person from each company can vote.</t>
  </si>
  <si>
    <t>Exhibitor Contact’s Full Name</t>
  </si>
  <si>
    <t>URL of the registrant’s information file</t>
  </si>
  <si>
    <t>Exhibitor Contact’s Email Address</t>
  </si>
  <si>
    <t>Exhibiting Company’s Name</t>
  </si>
  <si>
    <t>Email</t>
  </si>
  <si>
    <t>Process Overview</t>
  </si>
  <si>
    <t>NRC Options</t>
  </si>
  <si>
    <t>NRC Registration Type Summary (regtype_evtcode)</t>
  </si>
  <si>
    <t>Max
Purchase</t>
  </si>
  <si>
    <t>Cyber Café</t>
  </si>
  <si>
    <t>Entrance Tracking / Session Tracking / Access Control Equipment</t>
  </si>
  <si>
    <t>Equipment Required</t>
  </si>
  <si>
    <t>Onsite Migration</t>
  </si>
  <si>
    <t xml:space="preserve">Mantis issue should be logged only when all of the onsite services are ready to test. List Cyber Café CEU and Printing as one of the onsite services being offered. </t>
  </si>
  <si>
    <t>In Mantis issue when testing is completed, add note that each app has been tested and no changes are needed.</t>
  </si>
  <si>
    <t>Post Show CEU Requirements</t>
  </si>
  <si>
    <t>NRC</t>
  </si>
  <si>
    <t>Non Registration Cashier</t>
  </si>
  <si>
    <t>Hotel Name:</t>
  </si>
  <si>
    <t>Hotel Address:</t>
  </si>
  <si>
    <t>Phone/Fax:</t>
  </si>
  <si>
    <t>Name</t>
  </si>
  <si>
    <t>Arrival Date</t>
  </si>
  <si>
    <t>Departure Date</t>
  </si>
  <si>
    <t>Field</t>
  </si>
  <si>
    <t>Positions</t>
  </si>
  <si>
    <t>If not US or Canada</t>
  </si>
  <si>
    <t>Alpha and/or Numeric</t>
  </si>
  <si>
    <t>Excludes "The"</t>
  </si>
  <si>
    <t>Checks for nickname / alias name</t>
  </si>
  <si>
    <t>Make correction only - NEVER flag for Re-Mail</t>
  </si>
  <si>
    <t>Make correction and flag for Re-Mail if original badge was returned</t>
  </si>
  <si>
    <t>Make correction and flag for Re-Mail if original badge was free</t>
  </si>
  <si>
    <t>Change option_quantity_used back to "0" for reprint of orignal tickets were returned</t>
  </si>
  <si>
    <t>Collected by Client</t>
  </si>
  <si>
    <t>Z</t>
  </si>
  <si>
    <t>Bank Transfer</t>
  </si>
  <si>
    <t>Contact:</t>
  </si>
  <si>
    <t>Account #:</t>
  </si>
  <si>
    <t>Deposit Slips are being used</t>
  </si>
  <si>
    <t>Deposit Stamp is being used</t>
  </si>
  <si>
    <t>Show Information</t>
  </si>
  <si>
    <t>CEU</t>
  </si>
  <si>
    <t>PRESS</t>
  </si>
  <si>
    <t>Amount</t>
  </si>
  <si>
    <t>18pt Medium1 (M1)</t>
  </si>
  <si>
    <t>23pt Medium (MM)</t>
  </si>
  <si>
    <t>26pt Large D (LD)</t>
  </si>
  <si>
    <t>32pt Large (LG)</t>
  </si>
  <si>
    <t>35pt Largest (LT)</t>
  </si>
  <si>
    <t>M1</t>
  </si>
  <si>
    <t>Search
By</t>
  </si>
  <si>
    <t>View
Only</t>
  </si>
  <si>
    <t>The information about exhibitors who own specific products is linked to exhibitor_allot table using the org_id field.  If the file provided by the client has exhibitor information but no org_id then the DP needs to map each exhibitor to the exhibitor_allot table.</t>
  </si>
  <si>
    <t>CSI will create a second event to store the company information.  A reg code, reg type and badge credential will be created for this event.</t>
  </si>
  <si>
    <t>Scanning Set-Up Process</t>
  </si>
  <si>
    <t>CSI will print the following information on plain white tag stock.</t>
  </si>
  <si>
    <t>The client will put the tag stock into a clear holder and it will be placed with the product behind the glass.</t>
  </si>
  <si>
    <t>CSI will order clear holders with adhesive attachment on the back.</t>
  </si>
  <si>
    <t xml:space="preserve">When the cards are printed they should be sorted by: </t>
  </si>
  <si>
    <t>Onsite Processing</t>
  </si>
  <si>
    <t>Hours of Operation</t>
  </si>
  <si>
    <t>Additional Services</t>
  </si>
  <si>
    <t>Registration and Housing Individual Registrant Web Activity</t>
  </si>
  <si>
    <t>Dashboard</t>
  </si>
  <si>
    <t>Invite a Customer Premium Summary</t>
  </si>
  <si>
    <t>Leads by Aisle by Hour</t>
  </si>
  <si>
    <t xml:space="preserve">Overpaid/Underpaid Listing </t>
  </si>
  <si>
    <t>Access Control Session Tally (Wireless)</t>
  </si>
  <si>
    <t>Access Control Session Listing (Wireless)</t>
  </si>
  <si>
    <t>Access Control Attendee Listing</t>
  </si>
  <si>
    <t>Access Control Attendee Listing (Wireless)</t>
  </si>
  <si>
    <t>Entrance Summary by Number of Days</t>
  </si>
  <si>
    <t>Entrance Summary by Registration Category</t>
  </si>
  <si>
    <t>Session Tracking Listing</t>
  </si>
  <si>
    <t>Session Tracking Tally</t>
  </si>
  <si>
    <t>URL</t>
  </si>
  <si>
    <t>Access Your E-mail</t>
  </si>
  <si>
    <t>Surf the Web</t>
  </si>
  <si>
    <t>Message Center</t>
  </si>
  <si>
    <t>Event Dates</t>
  </si>
  <si>
    <t>event_uid</t>
  </si>
  <si>
    <t>event_id</t>
  </si>
  <si>
    <t>Database</t>
  </si>
  <si>
    <t>Cyber Café tables added? Mantis issue #</t>
  </si>
  <si>
    <t>Login page required (yes/no)</t>
  </si>
  <si>
    <t>Login username</t>
  </si>
  <si>
    <t>Login password</t>
  </si>
  <si>
    <t>Badge scanner login required (yes/no)</t>
  </si>
  <si>
    <t>Multiple Cyber Café locations? Please specify</t>
  </si>
  <si>
    <t>Sponsorship image required (yes/no)</t>
  </si>
  <si>
    <t>Sponsorship link required (yes/no)</t>
  </si>
  <si>
    <t>Header to link to website (yes/no)</t>
  </si>
  <si>
    <t>Overall background color (hexadecimal color)</t>
  </si>
  <si>
    <t>Reg Codes that will NOT have access to Cyber Cafe</t>
  </si>
  <si>
    <t>Cyber Café Home</t>
  </si>
  <si>
    <t>Log Off</t>
  </si>
  <si>
    <t>Gmail</t>
  </si>
  <si>
    <t>AOL Mail</t>
  </si>
  <si>
    <t>Yahoo Mail</t>
  </si>
  <si>
    <t>Hotmail</t>
  </si>
  <si>
    <t>Google</t>
  </si>
  <si>
    <t>Airline Links</t>
  </si>
  <si>
    <t>If logged into Cyber Café, does user need to log in again to CEU? (yes/no)</t>
  </si>
  <si>
    <t>Reg Codes that will NOT have access to CEU application but WILL have access to Cyber Café. When these individuals log into Cyber Café they will not see the CEU module, but will have access to the other Cyber Café modules.</t>
  </si>
  <si>
    <t>Find A Registrant search fields (recipientLookup.searchFields) please specify</t>
  </si>
  <si>
    <t>Required search field(s)</t>
  </si>
  <si>
    <t>Search results/maximum number of return results (msgCntr.search.maxRegistrantsSearched) (specify number) (default is 500)</t>
  </si>
  <si>
    <t xml:space="preserve">Maximum number of registrants one is allowed to send a message to (per message) (recipientLookup.maxNumOfRecipients) specify number </t>
  </si>
  <si>
    <t>Session Timeout Settings</t>
  </si>
  <si>
    <t>Login timeout (Session timeout since login)</t>
  </si>
  <si>
    <t>Inactivity timeout (session timeout)</t>
  </si>
  <si>
    <t>Rgtp</t>
  </si>
  <si>
    <t>Demo</t>
  </si>
  <si>
    <t>Option</t>
  </si>
  <si>
    <t>Allot</t>
  </si>
  <si>
    <t>TOTAL</t>
  </si>
  <si>
    <t>Laptop</t>
  </si>
  <si>
    <t>Laptop w/wedge</t>
  </si>
  <si>
    <t xml:space="preserve">Correction Terminal </t>
  </si>
  <si>
    <t>Laptop *</t>
  </si>
  <si>
    <t>Location</t>
  </si>
  <si>
    <t>Threshold</t>
  </si>
  <si>
    <t>Financial Information</t>
  </si>
  <si>
    <t>No Address</t>
  </si>
  <si>
    <t>No 
Email</t>
  </si>
  <si>
    <t>No 
Fax</t>
  </si>
  <si>
    <t>No 
Phone</t>
  </si>
  <si>
    <t>FedEx</t>
  </si>
  <si>
    <t>Membership Information</t>
  </si>
  <si>
    <t>Monitor Display (plasma screens)</t>
  </si>
  <si>
    <t>Overall background color (hexadecimal)</t>
  </si>
  <si>
    <t>No. of rows to display (monitorDisplay.noTabs)</t>
  </si>
  <si>
    <t>Overall refresh (length of time)</t>
  </si>
  <si>
    <t>Name fade refresh (length of time)</t>
  </si>
  <si>
    <t>Display Co1 in addition to FN and LN (yes/no)</t>
  </si>
  <si>
    <t>Row 1 hexadecimal color (A-Z background color)</t>
  </si>
  <si>
    <t>Row 2 hexadecimal color (A-Z background color)</t>
  </si>
  <si>
    <t>Row 2 hexadecimal color (Registrants background color)</t>
  </si>
  <si>
    <t>Row 3 hexadecimal color (A-Z background color)</t>
  </si>
  <si>
    <t>Row 3 hexadecimal color (Registrants background color)</t>
  </si>
  <si>
    <t>Request</t>
  </si>
  <si>
    <t>Implementation Method</t>
  </si>
  <si>
    <t>“MLOMltDe” must be added to the functional authority by the Database Programmer.  This will affect both TrafficMax and Data Download.</t>
  </si>
  <si>
    <t>Add Date</t>
  </si>
  <si>
    <t>Approval Status</t>
  </si>
  <si>
    <t>Standard Field – Do not remove</t>
  </si>
  <si>
    <t>Send Confirmation</t>
  </si>
  <si>
    <t>Include?</t>
  </si>
  <si>
    <t>Basic Contact Info</t>
  </si>
  <si>
    <t>Demographic Information</t>
  </si>
  <si>
    <t>Survey Results</t>
  </si>
  <si>
    <t>"+"</t>
  </si>
  <si>
    <t>"-"</t>
  </si>
  <si>
    <t>Traverler's Check</t>
  </si>
  <si>
    <t>Bank</t>
  </si>
  <si>
    <t>Contact</t>
  </si>
  <si>
    <t>Phone #</t>
  </si>
  <si>
    <t>Account #</t>
  </si>
  <si>
    <t>Deposit Stamp/Deposit Slips:</t>
  </si>
  <si>
    <t>Title:</t>
  </si>
  <si>
    <t>Company:</t>
  </si>
  <si>
    <t>Phone-Direct:</t>
  </si>
  <si>
    <t>Phone-Toll Free:</t>
  </si>
  <si>
    <t>Fax:</t>
  </si>
  <si>
    <t>E-Mail:</t>
  </si>
  <si>
    <t>dcodemo@paypal.com</t>
  </si>
  <si>
    <t>408.967.0337</t>
  </si>
  <si>
    <t>PayPal, and EBAY Company</t>
  </si>
  <si>
    <t>Dave Codemo</t>
  </si>
  <si>
    <t>Contact information</t>
  </si>
  <si>
    <t>Host:</t>
  </si>
  <si>
    <t>Port:</t>
  </si>
  <si>
    <t>Partner:</t>
  </si>
  <si>
    <t>Merchant Login:</t>
  </si>
  <si>
    <t>Password:</t>
  </si>
  <si>
    <t>Merchant Information</t>
  </si>
  <si>
    <t>Processor</t>
  </si>
  <si>
    <t>Merchant Account:</t>
  </si>
  <si>
    <t>Terminal ID # (TID):</t>
  </si>
  <si>
    <t>Terminal Bin #:</t>
  </si>
  <si>
    <t>Merchant ID # (MID):</t>
  </si>
  <si>
    <t>MCC #:</t>
  </si>
  <si>
    <t>American Express #:</t>
  </si>
  <si>
    <t xml:space="preserve">Phone #: </t>
  </si>
  <si>
    <t>Voice Authorization</t>
  </si>
  <si>
    <t>Dupe
Out</t>
  </si>
  <si>
    <t>Advance</t>
  </si>
  <si>
    <t>X</t>
  </si>
  <si>
    <t>Show Code</t>
  </si>
  <si>
    <t>First Name</t>
  </si>
  <si>
    <t>Last Name</t>
  </si>
  <si>
    <t>Suffix</t>
  </si>
  <si>
    <t>City</t>
  </si>
  <si>
    <t>Country</t>
  </si>
  <si>
    <t>E-Mail</t>
  </si>
  <si>
    <t>B</t>
  </si>
  <si>
    <t>W</t>
  </si>
  <si>
    <t>Allotment</t>
  </si>
  <si>
    <t>M</t>
  </si>
  <si>
    <t>Title</t>
  </si>
  <si>
    <t>Email Address</t>
  </si>
  <si>
    <t>data_protect_flag</t>
  </si>
  <si>
    <t>Y</t>
  </si>
  <si>
    <t>Show Organizer Dashboard</t>
  </si>
  <si>
    <t>onPeak Magnet</t>
  </si>
  <si>
    <t>Lead Retreival</t>
  </si>
  <si>
    <t>LinkedIn</t>
  </si>
  <si>
    <t>Twitter</t>
  </si>
  <si>
    <t>YouTube</t>
  </si>
  <si>
    <t>Non Default Rates</t>
  </si>
  <si>
    <t>Start Date &amp; Time</t>
  </si>
  <si>
    <t>End Date &amp; Time</t>
  </si>
  <si>
    <t>Room #</t>
  </si>
  <si>
    <t>CEU Credit Hours</t>
  </si>
  <si>
    <t>Up-sell Options</t>
  </si>
  <si>
    <t>CIC's Allowed into Option</t>
  </si>
  <si>
    <t>RFID</t>
  </si>
  <si>
    <t>Desktop Scanner</t>
  </si>
  <si>
    <t>Venue Phone</t>
  </si>
  <si>
    <t>Day</t>
  </si>
  <si>
    <t>Notes</t>
  </si>
  <si>
    <t xml:space="preserve">ESM Notes: </t>
  </si>
  <si>
    <t>TOC Page</t>
  </si>
  <si>
    <t>Discount Setup Group #:</t>
  </si>
  <si>
    <t>Group Description:</t>
  </si>
  <si>
    <t>Discount Priority:</t>
  </si>
  <si>
    <t>All, Best, Worst or Number (The priority is based off of the Total Discounted Amount)</t>
  </si>
  <si>
    <t>Event Level Allotment:</t>
  </si>
  <si>
    <t>(If applicable, this is the allotment for this entire DM group)</t>
  </si>
  <si>
    <t>Group Level Allotment:</t>
  </si>
  <si>
    <t>(If applicable, this is the allotment for a registration group based off of link reg uid)</t>
  </si>
  <si>
    <t>Allow Negative Dollar Amount:</t>
  </si>
  <si>
    <t>Notes: If needed, an allotment can be based off of fields in registration (i.e. The company name CompuSystems can be set up with an allotment.)</t>
  </si>
  <si>
    <t>Only Single Quotes (‘ ‘),  Periods ( . ) and Forward Slash “/” are allowed in the description.</t>
  </si>
  <si>
    <t>Applies to Which Fee</t>
  </si>
  <si>
    <t>Amount of Discount</t>
  </si>
  <si>
    <t>Priority</t>
  </si>
  <si>
    <t>Rounding</t>
  </si>
  <si>
    <t>Criteria Grouping</t>
  </si>
  <si>
    <t>Criteria 1</t>
  </si>
  <si>
    <t>Criteria 2</t>
  </si>
  <si>
    <t>Criteria 3</t>
  </si>
  <si>
    <t>All, Reg, All Options, Some Options</t>
  </si>
  <si>
    <t>$ off or % off</t>
  </si>
  <si>
    <t>All, Best, Worst or #</t>
  </si>
  <si>
    <t>Standard, Up, Down</t>
  </si>
  <si>
    <t>Penny, Tenth of Dollar, Dollar</t>
  </si>
  <si>
    <t>AND, OR, NOT</t>
  </si>
  <si>
    <t>Reg, Demo, Option, Accounting</t>
  </si>
  <si>
    <t>Value</t>
  </si>
  <si>
    <t>Credit Adjustment (needed for all Client shows)</t>
  </si>
  <si>
    <t>Debit Adjustment (needed for all Client shows)</t>
  </si>
  <si>
    <t>Client Bucks</t>
  </si>
  <si>
    <t>Web Speedy Registration (Client)</t>
  </si>
  <si>
    <t>Web Pre-Pop URL (Client)</t>
  </si>
  <si>
    <t>Web Pre-Pop URL Member (Client)</t>
  </si>
  <si>
    <t xml:space="preserve">Mail – PO Box # </t>
  </si>
  <si>
    <t>Client Customer ID Number</t>
  </si>
  <si>
    <t>show_code</t>
  </si>
  <si>
    <t>Client's Next Year's Event Importing Specs</t>
  </si>
  <si>
    <t>AAAAACn150A=</t>
  </si>
  <si>
    <t>AAAAACn150E=</t>
  </si>
  <si>
    <t>AAAAACn150I=</t>
  </si>
  <si>
    <t>AAAAACn150M=</t>
  </si>
  <si>
    <t>AAAAACn150Q=</t>
  </si>
  <si>
    <t>AAAAACn150U=</t>
  </si>
  <si>
    <t>Department</t>
  </si>
  <si>
    <t>Attendance Expected</t>
  </si>
  <si>
    <t># of Exh Companies</t>
  </si>
  <si>
    <t>Web Services Set-Up</t>
  </si>
  <si>
    <t>Exhibitor Galley Transfer (If yes, click and complete the ‘Web Services Request Form’ above.)</t>
  </si>
  <si>
    <t>Show Organizer's Contact Information</t>
  </si>
  <si>
    <t>Show Organizer</t>
  </si>
  <si>
    <t>Address</t>
  </si>
  <si>
    <t>City, St Zip</t>
  </si>
  <si>
    <t>City, St, Zip</t>
  </si>
  <si>
    <t>Who should the Consideration Deposit Invoices be sent to? (Please list contact information above.)</t>
  </si>
  <si>
    <t>Event UID</t>
  </si>
  <si>
    <t>Database Mgr</t>
  </si>
  <si>
    <t>Back-Up Database Server</t>
  </si>
  <si>
    <t>Post Show Database Server</t>
  </si>
  <si>
    <t>CSI Job Number?</t>
  </si>
  <si>
    <t>Evt_UID</t>
  </si>
  <si>
    <t>CIC Code Range</t>
  </si>
  <si>
    <t>This Show</t>
  </si>
  <si>
    <t>1. Co-Located shows must be in the same database.  Each show will have a separate evt_uid.</t>
  </si>
  <si>
    <t>2. Each show has to have unique reg_uids.  Multiple shows can not use the same numbers.</t>
  </si>
  <si>
    <t>3. If a co-located database has separate evt_uids ESG must also have different evt_uids.</t>
  </si>
  <si>
    <t>4. Each show has to have unique CIC codes.  Multiple shows can not use the same numbers.</t>
  </si>
  <si>
    <t>TrafficMax</t>
  </si>
  <si>
    <t>Attendee Site - New Dashboard Toolbar</t>
  </si>
  <si>
    <t>Exhibitor Site – New Dashboard Toolbar</t>
  </si>
  <si>
    <t>Attendee Invite a Colleague / Friend</t>
  </si>
  <si>
    <t>Exhibitor Invite a Customer – Basic</t>
  </si>
  <si>
    <t>Exhibitor Invite a Customer – Premium</t>
  </si>
  <si>
    <t>Housing Integration</t>
  </si>
  <si>
    <t>Travel Planners</t>
  </si>
  <si>
    <t>onPeak Individual</t>
  </si>
  <si>
    <t>onPeak Group</t>
  </si>
  <si>
    <t>Passkey</t>
  </si>
  <si>
    <t>CMR</t>
  </si>
  <si>
    <t>Wyndham Jade</t>
  </si>
  <si>
    <t>Facebook</t>
  </si>
  <si>
    <t>Mobile Optimized Registration Site</t>
  </si>
  <si>
    <t>Map Your Show (MYS)</t>
  </si>
  <si>
    <t>Other Registration Sites (please specify)</t>
  </si>
  <si>
    <t>All required enhancement forms must be submitted as soon as the set-up information is received.</t>
  </si>
  <si>
    <t>Numbers / Email / Password</t>
  </si>
  <si>
    <t>Local Telephone Number</t>
  </si>
  <si>
    <t>708-</t>
  </si>
  <si>
    <t>Toll Free Telephone Number</t>
  </si>
  <si>
    <t>800-</t>
  </si>
  <si>
    <t>Email Address and Password</t>
  </si>
  <si>
    <t xml:space="preserve">(Enter preferred email here) @compusystems.com </t>
  </si>
  <si>
    <t>Show Open Date</t>
  </si>
  <si>
    <t>Show Close Date</t>
  </si>
  <si>
    <t>Venue</t>
  </si>
  <si>
    <t>State/City</t>
  </si>
  <si>
    <t>Client Name</t>
  </si>
  <si>
    <r>
      <t>·</t>
    </r>
    <r>
      <rPr>
        <sz val="10"/>
        <rFont val="Times New Roman"/>
        <family val="1"/>
      </rPr>
      <t>      </t>
    </r>
    <r>
      <rPr>
        <sz val="10"/>
        <rFont val="Arial"/>
        <family val="2"/>
      </rPr>
      <t>Copy sections A &amp; B into the Mantis request.</t>
    </r>
  </si>
  <si>
    <r>
      <t>·</t>
    </r>
    <r>
      <rPr>
        <sz val="10"/>
        <rFont val="Times New Roman"/>
        <family val="1"/>
      </rPr>
      <t>      </t>
    </r>
    <r>
      <rPr>
        <sz val="10"/>
        <rFont val="Arial"/>
        <family val="2"/>
      </rPr>
      <t>Add Evelyn Romero, Nancy Addison and Teresa Spano to the Mantis request.</t>
    </r>
  </si>
  <si>
    <r>
      <t>·</t>
    </r>
    <r>
      <rPr>
        <sz val="10"/>
        <rFont val="Times New Roman"/>
        <family val="1"/>
      </rPr>
      <t>      </t>
    </r>
    <r>
      <rPr>
        <sz val="10"/>
        <rFont val="Arial"/>
        <family val="2"/>
      </rPr>
      <t>CSI is billed for all calls to the toll free telephone number.  Ask the DCR or SE prior to requesting it if the client should receive a toll free number.  If they should, will the client be billed for it?</t>
    </r>
  </si>
  <si>
    <r>
      <t>·</t>
    </r>
    <r>
      <rPr>
        <sz val="10"/>
        <rFont val="Times New Roman"/>
        <family val="1"/>
      </rPr>
      <t>      </t>
    </r>
    <r>
      <rPr>
        <sz val="10"/>
        <rFont val="Arial"/>
        <family val="2"/>
      </rPr>
      <t>The Toll Free number is not available for international calls.</t>
    </r>
  </si>
  <si>
    <r>
      <t>·</t>
    </r>
    <r>
      <rPr>
        <sz val="10"/>
        <rFont val="Times New Roman"/>
        <family val="1"/>
      </rPr>
      <t>      </t>
    </r>
    <r>
      <rPr>
        <sz val="10"/>
        <rFont val="Arial"/>
        <family val="2"/>
      </rPr>
      <t>When creating the email address do not include a year in the email.  Excluding the year will allow you to use the same email every year.</t>
    </r>
  </si>
  <si>
    <t>Additional Information</t>
  </si>
  <si>
    <t>Data Control Fax Number</t>
  </si>
  <si>
    <t>8:30am - 5:00pm CST</t>
  </si>
  <si>
    <t>708-344-4444</t>
  </si>
  <si>
    <t>CS Go Live Checklist</t>
  </si>
  <si>
    <t>ESM - Add CS Go Live Checklist Hyperlink Here</t>
  </si>
  <si>
    <r>
      <t>·</t>
    </r>
    <r>
      <rPr>
        <sz val="10"/>
        <rFont val="Times New Roman"/>
        <family val="1"/>
      </rPr>
      <t xml:space="preserve">      </t>
    </r>
    <r>
      <rPr>
        <sz val="10"/>
        <rFont val="Arial"/>
        <family val="2"/>
      </rPr>
      <t>Create a ‘Customer Service’ folder in your show folder on the P drive and save the Checklist in it.  Add a hyperlink to the show’s checklist above. Save Checklist as ‘SHOWXX CS Go Live Checklist’</t>
    </r>
  </si>
  <si>
    <r>
      <t>·</t>
    </r>
    <r>
      <rPr>
        <sz val="10"/>
        <rFont val="Times New Roman"/>
        <family val="1"/>
      </rPr>
      <t>      </t>
    </r>
    <r>
      <rPr>
        <sz val="10"/>
        <rFont val="Arial"/>
        <family val="2"/>
      </rPr>
      <t>CS will update the checklist as they receive information the department can use.</t>
    </r>
  </si>
  <si>
    <r>
      <t>·</t>
    </r>
    <r>
      <rPr>
        <sz val="10"/>
        <rFont val="Times New Roman"/>
        <family val="1"/>
      </rPr>
      <t>      </t>
    </r>
    <r>
      <rPr>
        <sz val="10"/>
        <rFont val="Arial"/>
        <family val="2"/>
      </rPr>
      <t>Request a Go Live Meeting with CS once Checklist is completed.</t>
    </r>
  </si>
  <si>
    <t>RC</t>
  </si>
  <si>
    <t>Registration Codes - reg_evtcode (RC)</t>
  </si>
  <si>
    <t>22 Character RC Description to be used for Lead Retrieval</t>
  </si>
  <si>
    <t>Up-sell</t>
  </si>
  <si>
    <t>ORG ID Required</t>
  </si>
  <si>
    <t>data_protect_flag:</t>
  </si>
  <si>
    <t>reg2_evtcode:</t>
  </si>
  <si>
    <t>General Ledger (GL) Codes</t>
  </si>
  <si>
    <t>reg3_evtcode:</t>
  </si>
  <si>
    <t>reg4_evtcode:</t>
  </si>
  <si>
    <t>text1:</t>
  </si>
  <si>
    <t>Opt Out</t>
  </si>
  <si>
    <t xml:space="preserve">mail_type_code: </t>
  </si>
  <si>
    <t>Mail Hold/Express Registration</t>
  </si>
  <si>
    <t>mail_hold_flag:</t>
  </si>
  <si>
    <t>Express Reg / Attendee Reg Form Hold</t>
  </si>
  <si>
    <t>Registration Types</t>
  </si>
  <si>
    <t>Fields</t>
  </si>
  <si>
    <t>Demos</t>
  </si>
  <si>
    <t>Options</t>
  </si>
  <si>
    <t>piece_evtcode:</t>
  </si>
  <si>
    <t>Quantity Distributed</t>
  </si>
  <si>
    <t>Used on Website</t>
  </si>
  <si>
    <t>Used on Self Reg</t>
  </si>
  <si>
    <t>Data Analyst Team</t>
  </si>
  <si>
    <t>Accepted Forms of Payment</t>
  </si>
  <si>
    <t>label_evtcode:</t>
  </si>
  <si>
    <t xml:space="preserve">•  When using Invite a Customer, the value assigned to the exhibitor/registrant is always stored in piece_evtcode. </t>
  </si>
  <si>
    <t>password</t>
  </si>
  <si>
    <t>qual_evtcode</t>
  </si>
  <si>
    <t>On Database Mgr Screen?</t>
  </si>
  <si>
    <t>All (Usually)
Not required for cancelled reg types</t>
  </si>
  <si>
    <t>All 
Not required for cancelled reg types</t>
  </si>
  <si>
    <t>All (Always)</t>
  </si>
  <si>
    <t>All – US &amp; Canada 
Not required for cancelled reg types</t>
  </si>
  <si>
    <t>All – International 
Not required for cancelled reg types</t>
  </si>
  <si>
    <t>Carry Forward for 'Add Another'?</t>
  </si>
  <si>
    <t>Advance/On-Site/Web/All</t>
  </si>
  <si>
    <t>•  Multiple response demo questions should not have CIC codes due to the effect it will have on the size of the barcode.</t>
  </si>
  <si>
    <t>If you are an international visitor traveling from a country requiring a visa for entry into the United States, please select one:</t>
  </si>
  <si>
    <r>
      <t>Visa Demo Questions</t>
    </r>
    <r>
      <rPr>
        <sz val="12"/>
        <rFont val="Arial"/>
        <family val="2"/>
      </rPr>
      <t xml:space="preserve"> </t>
    </r>
    <r>
      <rPr>
        <sz val="10"/>
        <rFont val="Arial"/>
        <family val="2"/>
      </rPr>
      <t>(The below demos are only needed if CSI is sending the Visa Invitation Letters)</t>
    </r>
  </si>
  <si>
    <t>Yes, I require an invitation letter.</t>
  </si>
  <si>
    <t>Name on Passport</t>
  </si>
  <si>
    <t>Gender</t>
  </si>
  <si>
    <t>Passport Number</t>
  </si>
  <si>
    <t>Country of Issue</t>
  </si>
  <si>
    <t>Consular Office (your local U.S. Embassy)</t>
  </si>
  <si>
    <t>Passport Expiration Date (MM/DD/YYYY)</t>
  </si>
  <si>
    <t>Date of Birth (MM/DD/YYYY)</t>
  </si>
  <si>
    <t>VISA_REQ</t>
  </si>
  <si>
    <t>VISA_DOB</t>
  </si>
  <si>
    <t>VISA_GEN</t>
  </si>
  <si>
    <t>VISA_NUM</t>
  </si>
  <si>
    <t>VISA_EXP</t>
  </si>
  <si>
    <t>VISA_COU</t>
  </si>
  <si>
    <t>VISA_CON</t>
  </si>
  <si>
    <t>VISA_EAD</t>
  </si>
  <si>
    <t>VISA_ECT</t>
  </si>
  <si>
    <t>VISA_EPR</t>
  </si>
  <si>
    <t>VISA_ECN</t>
  </si>
  <si>
    <t>VISA_PHN</t>
  </si>
  <si>
    <t>VISA_NAM</t>
  </si>
  <si>
    <t>VISA_ECO</t>
  </si>
  <si>
    <t>Delivery Recipient Telephone Number (Required for Express delivery)</t>
  </si>
  <si>
    <t>Session ID (opd_id)</t>
  </si>
  <si>
    <t>CSI Field Name</t>
  </si>
  <si>
    <t>Client's Field Name</t>
  </si>
  <si>
    <t>CSI Field Description</t>
  </si>
  <si>
    <t>text2</t>
  </si>
  <si>
    <t>text3</t>
  </si>
  <si>
    <t>text4</t>
  </si>
  <si>
    <t>text5</t>
  </si>
  <si>
    <t>text6</t>
  </si>
  <si>
    <t>reg_evtcode</t>
  </si>
  <si>
    <t>piece_evtcode</t>
  </si>
  <si>
    <t>total_allotted</t>
  </si>
  <si>
    <t>qual_evt</t>
  </si>
  <si>
    <t>text7</t>
  </si>
  <si>
    <t>text8</t>
  </si>
  <si>
    <t>web_address</t>
  </si>
  <si>
    <t>Membership File Format (add and delete rows as needed)</t>
  </si>
  <si>
    <t>How often will CSI receive a file:</t>
  </si>
  <si>
    <t>Daily / Weekly / Monthly / Other</t>
  </si>
  <si>
    <t>How will CSI receive the file:</t>
  </si>
  <si>
    <t>Email / FTP / Web Services</t>
  </si>
  <si>
    <t>onPeak</t>
  </si>
  <si>
    <t>Housing URL</t>
  </si>
  <si>
    <t>ExpoVision</t>
  </si>
  <si>
    <t>VALUE</t>
  </si>
  <si>
    <t>Hemko</t>
  </si>
  <si>
    <t>ITS</t>
  </si>
  <si>
    <t>EventCode</t>
  </si>
  <si>
    <t>EventID</t>
  </si>
  <si>
    <t>PartnerID</t>
  </si>
  <si>
    <t>Password and PartnerID do not change from show to show</t>
  </si>
  <si>
    <t>3s8_B9fmBR</t>
  </si>
  <si>
    <t>Link to Housing Site Only</t>
  </si>
  <si>
    <t>Pass &amp; Pre-Pop Data for Single Registrants</t>
  </si>
  <si>
    <t>Pass &amp; Pre-Pop Data for Multiple Registrants</t>
  </si>
  <si>
    <t>Booth Number</t>
  </si>
  <si>
    <t>Booth Size</t>
  </si>
  <si>
    <t>Booth Length</t>
  </si>
  <si>
    <t>Booth Width</t>
  </si>
  <si>
    <t>Username</t>
  </si>
  <si>
    <t>Products</t>
  </si>
  <si>
    <t>Self Reg Receipt Stock</t>
  </si>
  <si>
    <t xml:space="preserve">Username: </t>
  </si>
  <si>
    <t xml:space="preserve">Password: </t>
  </si>
  <si>
    <t>FTP Site:</t>
  </si>
  <si>
    <t>Client's Field Description</t>
  </si>
  <si>
    <t>total_allot</t>
  </si>
  <si>
    <t>Exhibitor Invite a Customer (IAC)</t>
  </si>
  <si>
    <t>Information Needed for Standard IAC</t>
  </si>
  <si>
    <t>Will the exhibitor tracking codes provide a discount to the attendee?  If yes, CSI needs to know the details of the discount and the specific tracking codes for each exhibitor (see Discount Manager or piece_evtcode for specific codes)</t>
  </si>
  <si>
    <t>Start and end dates for exhibitor access to Invite a Customer.  The organizer may want to leave IAC up post show so the exhibitors can access their reports and download data</t>
  </si>
  <si>
    <t>Verbiage for the Invite a Customer “Welcome” page.</t>
  </si>
  <si>
    <t>Deposit Information for Check Payments</t>
  </si>
  <si>
    <t>PayPal (VeriSign) Set-Up Information</t>
  </si>
  <si>
    <t>Bank Information</t>
  </si>
  <si>
    <t>Do you need to pass additional information to PayPal so the client knows which show the paymant is for?</t>
  </si>
  <si>
    <t>The below PayPal information is only needed if CSI is setting up the account.</t>
  </si>
  <si>
    <t>Bank of America (Checks will be delivered weekly on Wednesdays)</t>
  </si>
  <si>
    <t>Chase (Checks will be delivered weekly on Wednesdays)</t>
  </si>
  <si>
    <t>Bank:</t>
  </si>
  <si>
    <t>City/St/Zip:</t>
  </si>
  <si>
    <t>Phone:</t>
  </si>
  <si>
    <t>How should the checks be sent?</t>
  </si>
  <si>
    <t>Daily / Weekly / Other</t>
  </si>
  <si>
    <t>Fed Ex Standard, 2-Day, Overnight, UPS Standard, Ground</t>
  </si>
  <si>
    <t>Fed Ex / UPS Account #:</t>
  </si>
  <si>
    <t xml:space="preserve">Is a Fiduciary letter required?  </t>
  </si>
  <si>
    <t>When should checks be shipped?</t>
  </si>
  <si>
    <t>Special Instructions:</t>
  </si>
  <si>
    <t>Duplicate Removal</t>
  </si>
  <si>
    <t>• Financial Processing should run the apparent duplicate listing each day prior to settling/balancing.</t>
  </si>
  <si>
    <t>• Do not de-dupe registrants from a special handling batch.</t>
  </si>
  <si>
    <t>• Money records cannot be de-duped once a payment is settled.</t>
  </si>
  <si>
    <t>Example</t>
  </si>
  <si>
    <t>ESM Note: List common duplicates and indicate which one should be removed.  This list should be updated on an on going basis as more occurrences come up.</t>
  </si>
  <si>
    <t>mySchedule</t>
  </si>
  <si>
    <t>BoothSchedule</t>
  </si>
  <si>
    <t>Attendee &amp; Exhibitor Matching</t>
  </si>
  <si>
    <t>Searching of Exhibitors</t>
  </si>
  <si>
    <t>Appointment Requests</t>
  </si>
  <si>
    <t>Exhibitor Literature</t>
  </si>
  <si>
    <t>Map</t>
  </si>
  <si>
    <t>FTP Site Information (if applicable)</t>
  </si>
  <si>
    <t>Multi-Tier (Using more than 1 allotment)</t>
  </si>
  <si>
    <t xml:space="preserve">Capped Allotment </t>
  </si>
  <si>
    <t>Include In Event Explorer</t>
  </si>
  <si>
    <t>Include in Attendee mySchedule</t>
  </si>
  <si>
    <t>Batching</t>
  </si>
  <si>
    <t>Data Control (Batching &amp; Data Entry)</t>
  </si>
  <si>
    <t>Is CSI doing Data Entry?</t>
  </si>
  <si>
    <t>What forms should be pulled and sent back to the ESM?</t>
  </si>
  <si>
    <t>What forms need to be photocopied for the client?</t>
  </si>
  <si>
    <t>Disposition of Source</t>
  </si>
  <si>
    <t>•  All “money forms” leaving CSI must have the credit card number blacked out.  This includes “money forms” being sent on the truck or being returned to the client.  Consult the DCR or SE to determine if there will be an additional charge for this service.</t>
  </si>
  <si>
    <t>Forms will be stored at CSI for 3 months and then destroyed.</t>
  </si>
  <si>
    <t>See Production Schedule for Shipping Date</t>
  </si>
  <si>
    <t>Shipping Method/Account #:</t>
  </si>
  <si>
    <t xml:space="preserve">Which forms should be returned?: </t>
  </si>
  <si>
    <t>Data Entry</t>
  </si>
  <si>
    <t>CAPS or Proper case?</t>
  </si>
  <si>
    <t>Exhibitors</t>
  </si>
  <si>
    <t>Are Exhibitors allowed to change their Company Name?</t>
  </si>
  <si>
    <t>Are Exhibitors allowed to change their Address?</t>
  </si>
  <si>
    <t>Attendees</t>
  </si>
  <si>
    <t>Members</t>
  </si>
  <si>
    <t>Corrections</t>
  </si>
  <si>
    <t>Key as a non-member</t>
  </si>
  <si>
    <t>Use the on-screen "Pending" field</t>
  </si>
  <si>
    <t>Exhibitor Mailing Contact Instructions (explain if they get a badge or not and how they should be handled):</t>
  </si>
  <si>
    <t>Never change option_quantity_used back to "0" for tickets already printed</t>
  </si>
  <si>
    <t>Always set option_quantity_used back to "0" on tickets for reprint when reprinting badges</t>
  </si>
  <si>
    <t>How will CSI receive reg forms?</t>
  </si>
  <si>
    <t>Client will enter registrations directly into Database Manager</t>
  </si>
  <si>
    <t>In-House</t>
  </si>
  <si>
    <t>%</t>
  </si>
  <si>
    <t># Totals</t>
  </si>
  <si>
    <t>% Totals</t>
  </si>
  <si>
    <t>Member Instructions:</t>
  </si>
  <si>
    <t>Cancellation Instructions (Can CSI process cancellations, does the request need to be in writing, are there any rules):</t>
  </si>
  <si>
    <t>Is CSI mailing badges?</t>
  </si>
  <si>
    <t>Add Bullet Point</t>
  </si>
  <si>
    <t>Alt, Fn, 7</t>
  </si>
  <si>
    <t>Add a Line Break within a cell</t>
  </si>
  <si>
    <t>Alt, Enter</t>
  </si>
  <si>
    <t>Correction Instructions (ie. how should corrections be handled if CSI is not mailing badges):</t>
  </si>
  <si>
    <t>If no piece code is listed on the form how should it be handled? (ie. Is there a default code that should be used?)</t>
  </si>
  <si>
    <t>If an invalid piece code is listed on the form how should it be handled? (ie. Are 'Free-Keyed' codes being used, Is there a default code that should be used, Should CSI capture the invalid code in a separate field)</t>
  </si>
  <si>
    <t>Can balance due forms be entered?  If not, how should them be handled?  How are purchase orders handled?</t>
  </si>
  <si>
    <t>Are there any dependences?  If a form doesn't meet the dependency how should it be handled?</t>
  </si>
  <si>
    <t>If a registrant states they are a member and they are not in the membership file Data Control should:</t>
  </si>
  <si>
    <t>Individual</t>
  </si>
  <si>
    <t>What type of membership is it?</t>
  </si>
  <si>
    <t>What member information can not be changed in the record?</t>
  </si>
  <si>
    <t>If Mailing Badges</t>
  </si>
  <si>
    <t>Cancellations</t>
  </si>
  <si>
    <r>
      <t xml:space="preserve">Send to Client
</t>
    </r>
    <r>
      <rPr>
        <sz val="8"/>
        <rFont val="Arial"/>
        <family val="2"/>
      </rPr>
      <t>(Forms will be returned in batches unless otherwise noted. Fees may apply for other options.)</t>
    </r>
  </si>
  <si>
    <t xml:space="preserve"> ie. All forms, paid forms only, conference forms only, etc</t>
  </si>
  <si>
    <t>Batching Instructions (ie. Make copies of forms and/or checks, do not batch forms missing payments and/or dependencies):</t>
  </si>
  <si>
    <t>Disposition Instructions (ie. Do forms need to be sorted in a specific way, do copies need to be made of the forms):</t>
  </si>
  <si>
    <t>Attendee Instructions (ie. how to handle complimentary, speaker, press forms and any special instructions on how to key the record into Database Mgr):</t>
  </si>
  <si>
    <t>Exhibitor Registration Instructions (ie. Any special instructions on how to key the record into Database Mgr):</t>
  </si>
  <si>
    <t>Exhibitor Payment Instructions (ie. Don't key balance due records, enter records as a lockbox payment, enter checks a specific way):</t>
  </si>
  <si>
    <t>Attendee Registration Instructions (ie. Any special instructions on how to key the record into Database Mgr):</t>
  </si>
  <si>
    <t>Attendee Option Instructions (ie. Use sold out options, etc.):</t>
  </si>
  <si>
    <t>Attendee Payment Instructions (ie. Don't key balance due records, enter records as a lockbox payment, enter checks a specific way):</t>
  </si>
  <si>
    <t>Attendee Demographic Instructions (ie. Use default responses, demos should never be incomplete):</t>
  </si>
  <si>
    <t>Attendee Qualification Instructions (ie. All registrations are pending, must have credentials):</t>
  </si>
  <si>
    <t>Exhibitor Option Instructions (ie. Use sold out options):</t>
  </si>
  <si>
    <t>Exhibitor Demographic Instructions (ie. Use default responses, demos should never be incomplete):</t>
  </si>
  <si>
    <t>What are the qualification procedures?</t>
  </si>
  <si>
    <t>Use the Rate Applicable for that Reg Category/Option At the Original Time of Registration</t>
  </si>
  <si>
    <t>Use the Current Rate</t>
  </si>
  <si>
    <t>Which rate should be used when a person registers during an advance period and then upgrades or downgrades their registration after that period?</t>
  </si>
  <si>
    <t>Main Menu</t>
  </si>
  <si>
    <t>Additional Advance Options</t>
  </si>
  <si>
    <r>
      <t>Search Options</t>
    </r>
    <r>
      <rPr>
        <sz val="11"/>
        <rFont val="Arial"/>
        <family val="2"/>
      </rPr>
      <t xml:space="preserve"> (Add/Remove/Modify as needed)</t>
    </r>
  </si>
  <si>
    <t>CSI Field Names</t>
  </si>
  <si>
    <t>Link_reg_uid</t>
  </si>
  <si>
    <t>mail_date</t>
  </si>
  <si>
    <t>Key</t>
  </si>
  <si>
    <t>Type</t>
  </si>
  <si>
    <t>Badge</t>
  </si>
  <si>
    <t>OrgID</t>
  </si>
  <si>
    <t>AOV</t>
  </si>
  <si>
    <t>Link</t>
  </si>
  <si>
    <t>MH</t>
  </si>
  <si>
    <t>Show</t>
  </si>
  <si>
    <t>Qualified</t>
  </si>
  <si>
    <t>must_enter_code</t>
  </si>
  <si>
    <t>Select New Show</t>
  </si>
  <si>
    <t>Report Scheduler</t>
  </si>
  <si>
    <t>Media Code Maintenance</t>
  </si>
  <si>
    <t>Data Download</t>
  </si>
  <si>
    <t>Mail List Scheduler</t>
  </si>
  <si>
    <t>Internet Registration</t>
  </si>
  <si>
    <t>Update Only (Remove functional authority of “RSE0001S”)</t>
  </si>
  <si>
    <t>Quick Counts</t>
  </si>
  <si>
    <t>First Name:</t>
  </si>
  <si>
    <t>Last Name:</t>
  </si>
  <si>
    <t>Email:</t>
  </si>
  <si>
    <t xml:space="preserve">   Search</t>
  </si>
  <si>
    <t xml:space="preserve">   New Registration</t>
  </si>
  <si>
    <t xml:space="preserve">   Display Conference Option Availability</t>
  </si>
  <si>
    <t xml:space="preserve">   Exhibitor Maintenance</t>
  </si>
  <si>
    <t xml:space="preserve">   Membership Maintenance</t>
  </si>
  <si>
    <t xml:space="preserve">   Select Event</t>
  </si>
  <si>
    <t xml:space="preserve">   Save Previous Search Criteria</t>
  </si>
  <si>
    <t xml:space="preserve">   Remove Other Description from Output File</t>
  </si>
  <si>
    <t xml:space="preserve">   Multiple Response Demos Separated on Display</t>
  </si>
  <si>
    <t xml:space="preserve">   Financial Reports</t>
  </si>
  <si>
    <t xml:space="preserve">   Statistical Reports</t>
  </si>
  <si>
    <t>Client Services &amp; Database Manager</t>
  </si>
  <si>
    <t>Registration Method Summary</t>
  </si>
  <si>
    <t>Client Services Instructions:</t>
  </si>
  <si>
    <t>Database Manager Instructions:</t>
  </si>
  <si>
    <t>•  To create (ESM should create unless special circumstances exist):  use the following link:  https://www.compusystems.com/jsp/toolMain.jsp</t>
  </si>
  <si>
    <t>•  You will be required to enter your username and password.  This is the same username and password that you use to access Client Services. </t>
  </si>
  <si>
    <t>Data Download Instructions:</t>
  </si>
  <si>
    <t>Critical Dates</t>
  </si>
  <si>
    <r>
      <t xml:space="preserve">Description </t>
    </r>
    <r>
      <rPr>
        <sz val="10"/>
        <rFont val="Arial"/>
        <family val="2"/>
      </rPr>
      <t>(Max 100 Char)</t>
    </r>
  </si>
  <si>
    <t>•  In order for the “Print Badge” to work in a client’s office, the credential for the show has to have a print destination for the ‘acb0003’ user and the credential must print for the action code ‘A’.</t>
  </si>
  <si>
    <t>•  Please indicate the following information.  This will be client specific and should be secured from is@compusystems.com:</t>
  </si>
  <si>
    <t>•  Port 9100 must be open on the clients end.</t>
  </si>
  <si>
    <t>Is CSI supplying a Small Zebra Printer &amp; Print Server to the client?</t>
  </si>
  <si>
    <t xml:space="preserve">Equipment at Client: </t>
  </si>
  <si>
    <t>Badge Format #:</t>
  </si>
  <si>
    <t>Badge Format samples can be found at</t>
  </si>
  <si>
    <t>S:\Database Programmer Shared Files\Badge Formats</t>
  </si>
  <si>
    <t>evt_uid + reg_uid</t>
  </si>
  <si>
    <t>Demos with CICs (at least 1 demo required for mobile units)</t>
  </si>
  <si>
    <t>Access Control Options</t>
  </si>
  <si>
    <t>Addr_1</t>
  </si>
  <si>
    <t>For all ticket formats printing to remote locations, it is a requirement to place the 2D barcode on the credential at a coordinate that does not display.  This only goes for tickets without a 2D barcode.  Data packets that are transferred via the web to the remote printers are being lost due to insignificant packet size.  Tickets typically only contain text, and by adding the CLII barcode it increases the size of data being transferred and appears to correct the issue.</t>
  </si>
  <si>
    <t>Remote Areas - IMPORTANT</t>
  </si>
  <si>
    <t>Ticket Formats</t>
  </si>
  <si>
    <t>S:\Database Programmer Shared Files\Badge Formats\Word Ticket Formats.doc</t>
  </si>
  <si>
    <t>Ticket Format samples can be found at</t>
  </si>
  <si>
    <t>Badge Formats</t>
  </si>
  <si>
    <t>LG</t>
  </si>
  <si>
    <t>Ticket Format #:</t>
  </si>
  <si>
    <t>Option(s):</t>
  </si>
  <si>
    <t>JOHN SMITH</t>
  </si>
  <si>
    <t>REG: 123456</t>
  </si>
  <si>
    <t>SR</t>
  </si>
  <si>
    <t>SL</t>
  </si>
  <si>
    <t>Receipt Formats</t>
  </si>
  <si>
    <t>PAYMENT TYPE: M</t>
  </si>
  <si>
    <t>PAYMENT AMOUNT: $30.00</t>
  </si>
  <si>
    <t>AUTHORIZATION CODE: 124A75</t>
  </si>
  <si>
    <t>Receipt Format #:</t>
  </si>
  <si>
    <t>Registration Receipt</t>
  </si>
  <si>
    <t>SELF REGISTRATION RECEIPT</t>
  </si>
  <si>
    <t>#01234567</t>
  </si>
  <si>
    <t>CASH</t>
  </si>
  <si>
    <t xml:space="preserve">PLEASE ENTER YOUR RECEIPT NUMBER </t>
  </si>
  <si>
    <t>Self Receipt - Cash (Print on White Tag Stock)</t>
  </si>
  <si>
    <t>Self Receipt - Check (Print on Green Tag Stock)</t>
  </si>
  <si>
    <t>CHECK</t>
  </si>
  <si>
    <t>Reg Codes:</t>
  </si>
  <si>
    <t>TO COMPLETE YOUR REGISTRATION</t>
  </si>
  <si>
    <t>Self Registration Instructions:</t>
  </si>
  <si>
    <t>•  Each receipt must have a unique number.</t>
  </si>
  <si>
    <t>•  Each unique receipt number can only be used in the system once.</t>
  </si>
  <si>
    <t>•  Receipt numbers should start with ‘0’ and be at least eight digits long.</t>
  </si>
  <si>
    <t>•  Receipt Amounts and Quantities:</t>
  </si>
  <si>
    <t>Type of Receipt</t>
  </si>
  <si>
    <t>Cash or Check</t>
  </si>
  <si>
    <t>Confirmation Letters</t>
  </si>
  <si>
    <t>Threshold is the number of times a badge can be printed throughout advance and onsite.</t>
  </si>
  <si>
    <t>Response Layout:</t>
  </si>
  <si>
    <t>Vertical is the default (Horizontal is the other choice)</t>
  </si>
  <si>
    <t>Capture 'Other'</t>
  </si>
  <si>
    <t>Is 'Other' Must Enter</t>
  </si>
  <si>
    <t>•  If a demo is must enter a 'No Response' answer needs to be listed as a response.  The ded_value should be '?'</t>
  </si>
  <si>
    <t>Visa Free Key Field (format = MM/DD/YYYY)</t>
  </si>
  <si>
    <t>•  All reg codes (or reg types) should be accounted for in the below table.</t>
  </si>
  <si>
    <t>•  Criteria in blue are required to be answered for every letter/notice.</t>
  </si>
  <si>
    <t>•  If a field is blank, the criteria is ignored and does not play a factor.</t>
  </si>
  <si>
    <t>•  Confirmations will not be mailed. They will be sent via email and fax unless otherwise instructed.</t>
  </si>
  <si>
    <t>•  Be sure all mock-ups include complete information for the programmer:  From, Subject</t>
  </si>
  <si>
    <t>•  If the event is using Express Badge Pick Up for exhibitors, we must collect individual email addresses as well as send confirmations to each individual exhibitor. (If the client does not want to do this, contact your supervisor for assistance.)</t>
  </si>
  <si>
    <t>Exhibitor Password Letters</t>
  </si>
  <si>
    <t>Broadcast E-Mails</t>
  </si>
  <si>
    <t>Reply to Email Address:</t>
  </si>
  <si>
    <t>Confirmation Number</t>
  </si>
  <si>
    <t>Reg Codes or Reg Types</t>
  </si>
  <si>
    <t>Send Via? (In-House, Web, Both)</t>
  </si>
  <si>
    <r>
      <t>Additional Fields</t>
    </r>
    <r>
      <rPr>
        <sz val="8"/>
        <rFont val="Arial"/>
        <family val="2"/>
      </rPr>
      <t xml:space="preserve"> (add &amp; delete as necessary)</t>
    </r>
  </si>
  <si>
    <t>Email to internet_address2</t>
  </si>
  <si>
    <t>reg</t>
  </si>
  <si>
    <t>Record at a Glance Window</t>
  </si>
  <si>
    <t>Website</t>
  </si>
  <si>
    <t>Group</t>
  </si>
  <si>
    <t>Record at a Glance</t>
  </si>
  <si>
    <t>Comments</t>
  </si>
  <si>
    <t>Communication Log / Send Email</t>
  </si>
  <si>
    <t xml:space="preserve">Yes / No </t>
  </si>
  <si>
    <t xml:space="preserve">Default Subject Line: </t>
  </si>
  <si>
    <t>Your Personal Exhibitor List from the (enter show name here)</t>
  </si>
  <si>
    <t>The “show name” that appears on the CompuLEAD order form will be used here.</t>
  </si>
  <si>
    <t>If there is any manual updating of the database that needs to be done.  Please list the instructions here.</t>
  </si>
  <si>
    <t>Should the Apparent Duplicate Listing be run and deduped prior to running the post show reports?</t>
  </si>
  <si>
    <t>If yes, the listing should be run Cumulatively.</t>
  </si>
  <si>
    <t xml:space="preserve">•  If CSI is giving the lead data to the client or a third party the date and time stamps must be checked and updated if necessary.
</t>
  </si>
  <si>
    <t>•  If CSI registered attendees for a future show within this database import instructions must be given to the DA.</t>
  </si>
  <si>
    <t>Database Field Name</t>
  </si>
  <si>
    <t>Database Field Length</t>
  </si>
  <si>
    <t>Field Designations &amp; Must Enters</t>
  </si>
  <si>
    <t>Attendee Badges</t>
  </si>
  <si>
    <t>Exhibitor Badges</t>
  </si>
  <si>
    <t>Not Mailing Badges</t>
  </si>
  <si>
    <t>Conference Badges</t>
  </si>
  <si>
    <t>How is the badge allotment determined?</t>
  </si>
  <si>
    <t>How is the option allotment determined?</t>
  </si>
  <si>
    <t>Exhibitor galley with username and password included.  The galley will be loaded into the show database.  Use the standard username and password requirements.  (length, characters, etc)</t>
  </si>
  <si>
    <t>Follow standard galley process</t>
  </si>
  <si>
    <t>Show logo – For the invite a customer site, we will use the show logo as the header. If a logo is not given, CSI will default to the Invite a Customer header.</t>
  </si>
  <si>
    <t>Use registration site header</t>
  </si>
  <si>
    <t xml:space="preserve">Unsubscribe feature – The attendee will have the option to opt out from the emails. The organizer needs to determine if the opt out will remove the attendees from receiving emails from all the exhibitors or just the one exhibitor that sent the email the attendee clicked opt out.  </t>
  </si>
  <si>
    <t>Limit for email blast per exhibitor. (maximum number set by organizer per show and applied to all exhibitors)</t>
  </si>
  <si>
    <t>Enter Limit if Applicable</t>
  </si>
  <si>
    <t>Limit for number of recipients per blast (maximum number set by organizer per show and applied to all blasts)</t>
  </si>
  <si>
    <t>Registration dump required from the organizer’s registration vendor to run reports post show. The registration information will be loaded into the database before reports are run post show.</t>
  </si>
  <si>
    <t>Use registration DB</t>
  </si>
  <si>
    <t>See PSM</t>
  </si>
  <si>
    <t>Invite a Customer tracking codes - Organizer should provide codes if they are determining the codes for the exhibitors.  If the exhibitors can create their own codes this is not needed.</t>
  </si>
  <si>
    <t>Marketing list for matching against IAC data. This will be used post show.</t>
  </si>
  <si>
    <t>Show organizer’s website URL to return to after finishing Invite A Customer. This link will be added to the welcome page once the user finishes sending the email blast.</t>
  </si>
  <si>
    <t>Post show date when reports are required to be sent.</t>
  </si>
  <si>
    <t xml:space="preserve">Report: Invite a Customer Premium Exhibitor Summary (rpt_uid= 1316) </t>
  </si>
  <si>
    <t>Report: Invite a Customer Premium Summary (rpt_uid=1326)</t>
  </si>
  <si>
    <t>Character limit for editable content sections</t>
  </si>
  <si>
    <t>3,000 max</t>
  </si>
  <si>
    <t xml:space="preserve">The exhibitor will see an ‘Email Services Agreement’ the first time they login to IAC.  If the organizer wants to customize this the organizer needs to provide the text for it. </t>
  </si>
  <si>
    <t>Opt Out from all exhibitors
or
Opt Out from individual exhibitor</t>
  </si>
  <si>
    <t>Start Date:
End Date:</t>
  </si>
  <si>
    <t>Show information:
    Show Dates
    Venue
    Location
    Contact Information
    Send Post Show Reports To</t>
  </si>
  <si>
    <t>Seed list – up to 10 seed names. Information for each seed needed as follows:
    Email Address (Required)
    First Name
    Last Name
    Title
    Company</t>
  </si>
  <si>
    <t>Information Needed for Premium IAC</t>
  </si>
  <si>
    <t>IAC Type</t>
  </si>
  <si>
    <t>Standard IAC</t>
  </si>
  <si>
    <t>Premium IAC</t>
  </si>
  <si>
    <t>•  All IAC specs should be given to the WP.</t>
  </si>
  <si>
    <t>•  The exhibitor’s IAC code will always be stored in piece_evtcode.</t>
  </si>
  <si>
    <t>•  Do not load any 'Other' responses into the database that are included in the 'products' on the exhibitor galley.</t>
  </si>
  <si>
    <t>How is the membership option allotment determined?</t>
  </si>
  <si>
    <t>Data Transfer Shows</t>
  </si>
  <si>
    <t>Data Transfer File Format (add and delete rows as needed)</t>
  </si>
  <si>
    <t>Unique Registrant Number</t>
  </si>
  <si>
    <t>add_userid</t>
  </si>
  <si>
    <t>Value to be Entered</t>
  </si>
  <si>
    <t>Enter if not on file</t>
  </si>
  <si>
    <t>What should CSI do if the same email is in multiple records?</t>
  </si>
  <si>
    <t>How should duplicate records be handled?</t>
  </si>
  <si>
    <t>File Format (add and delete rows as needed)</t>
  </si>
  <si>
    <t>File Type</t>
  </si>
  <si>
    <t>•  All files must have a unique ID for each record.</t>
  </si>
  <si>
    <t>Table</t>
  </si>
  <si>
    <t>src_code_lookup</t>
  </si>
  <si>
    <t>client_customer_list</t>
  </si>
  <si>
    <t>membership</t>
  </si>
  <si>
    <t>Enter if applicable</t>
  </si>
  <si>
    <t>Pre-Populating File (File is loaded into a table as potential registrants.  It pre-pops the individual's data during the registration process.)</t>
  </si>
  <si>
    <t>Which table should the Pre-Populating data be stored in?</t>
  </si>
  <si>
    <t xml:space="preserve">What date should the data be pulled? </t>
  </si>
  <si>
    <t>What date should the data be loaded into this database?</t>
  </si>
  <si>
    <t>If CSI is pulling the data from another show's database to load into this database please complete the below.</t>
  </si>
  <si>
    <t>Database Name(s):</t>
  </si>
  <si>
    <t>Evt_uid(s):</t>
  </si>
  <si>
    <t>•  If a personalized/pre-populating url needs to be created contact your web programmer.</t>
  </si>
  <si>
    <t>Pre-Populating Information</t>
  </si>
  <si>
    <t>Proceedings</t>
  </si>
  <si>
    <t>Express Registration</t>
  </si>
  <si>
    <t xml:space="preserve">New Product Showcase </t>
  </si>
  <si>
    <t>Entrance Tracking</t>
  </si>
  <si>
    <t xml:space="preserve">Session Tracking </t>
  </si>
  <si>
    <t>Other – Please indicate</t>
  </si>
  <si>
    <t> On-Site Services</t>
  </si>
  <si>
    <t>Floor Plans:</t>
  </si>
  <si>
    <t>RFID  Zebra Printer</t>
  </si>
  <si>
    <t>Smart Desktop Scanner
(Can Scan Phones)</t>
  </si>
  <si>
    <t>Desktop Scanner
(Can Only Scan Paper)</t>
  </si>
  <si>
    <t>Wireless Card</t>
  </si>
  <si>
    <t>*Use the same brand/model for all of the laptops to ensure consistency in resolution.</t>
  </si>
  <si>
    <t>Phasers 
(Entrance or Session Tracking)</t>
  </si>
  <si>
    <t>Session Tracking</t>
  </si>
  <si>
    <t>Access Control</t>
  </si>
  <si>
    <t>CSI standard match key duplicate checking:</t>
  </si>
  <si>
    <t>Intranet Documentation</t>
  </si>
  <si>
    <t>Attendee-Exhibitor Matching (Version 2) - Setup Guide</t>
  </si>
  <si>
    <t>Attendee-Exhibitor Matching (Version 2) - User Guide</t>
  </si>
  <si>
    <t>Select which of the below modules will be used on this show.</t>
  </si>
  <si>
    <t>Enable</t>
  </si>
  <si>
    <t>Modules</t>
  </si>
  <si>
    <t>App / Site</t>
  </si>
  <si>
    <t>Requires</t>
  </si>
  <si>
    <t>ConnectME Mobile / Attendee Dashboard</t>
  </si>
  <si>
    <t>This is the attendee’s schedule.  It will include their options and exhibitor appointments.  If there are sessions not included in the database but the attendee can attend them (Non-Registered Sessions), the attendee can add them to their schedule.  For example session tracking sessions.</t>
  </si>
  <si>
    <t>Attendee Appt Requests</t>
  </si>
  <si>
    <t>This will have all of the attendee initiated appointment requests in it.</t>
  </si>
  <si>
    <t>This will list the exhibiting companies with products that match the attendee’s product interest demo (The ESM should flag the demo being used for this.)</t>
  </si>
  <si>
    <t>Attendees can see a complete list of the exhibiting companies and can search by product category.</t>
  </si>
  <si>
    <t>Attendees can send appointment requests to exhibiting companies. (Exhibiting companies can elect to opt out of receiving appointment requests.)</t>
  </si>
  <si>
    <t>Exhibiting companies can post their company’s literature.  This will be part of their exhibitor listing.  The title for this is ‘Literature’.  This can be changed to anything the organizer wants.</t>
  </si>
  <si>
    <t>Attendee &amp; 
Exh Matching</t>
  </si>
  <si>
    <t>CL Smart / 
Exhibitor Dashboard</t>
  </si>
  <si>
    <t>Exh Booth Schedule, 
Att mySchedule AND 
Exh Matching AND/OR Exh Search</t>
  </si>
  <si>
    <r>
      <t xml:space="preserve">Exh Matching AND/OR Exh Search
ESM opens a Mantis ticket under Compusystems IT Operations and Support.  Include:
</t>
    </r>
    <r>
      <rPr>
        <sz val="8"/>
        <rFont val="Arial"/>
        <family val="2"/>
      </rPr>
      <t>•  Show Name
•  Show Dates</t>
    </r>
    <r>
      <rPr>
        <sz val="9"/>
        <rFont val="Arial"/>
        <family val="2"/>
      </rPr>
      <t xml:space="preserve">
</t>
    </r>
    <r>
      <rPr>
        <sz val="8"/>
        <rFont val="Arial"/>
        <family val="2"/>
      </rPr>
      <t>• # of Estimated Registrants
• # of Estimated Exhibiting Companies</t>
    </r>
  </si>
  <si>
    <t>Speaker</t>
  </si>
  <si>
    <t>Badge Print Threshold</t>
  </si>
  <si>
    <t xml:space="preserve">Do not reset Quantity Used to “0” for all tickets once arriving onsite. </t>
  </si>
  <si>
    <t>Reset Quantity used to “0” for the following options only:</t>
  </si>
  <si>
    <t>Reset Quantity Used to “0” for all tickets once onsite.</t>
  </si>
  <si>
    <t>Onsite Ticket Printing</t>
  </si>
  <si>
    <t>Hotel Information</t>
  </si>
  <si>
    <t>Number of Techs included in contract:</t>
  </si>
  <si>
    <r>
      <rPr>
        <b/>
        <sz val="10"/>
        <rFont val="Arial"/>
        <family val="2"/>
      </rPr>
      <t>Note:</t>
    </r>
    <r>
      <rPr>
        <sz val="10"/>
        <rFont val="Arial"/>
        <family val="2"/>
      </rPr>
      <t xml:space="preserve">  Please include the name, address and phone number of the person who made the reservation for all Hilton owned hotels.  The Hilton hotels will not give out any reservation information without this information for security reasons.</t>
    </r>
  </si>
  <si>
    <t xml:space="preserve">In an emergency situation American Express Travel/AXIOM can assist you with flight options, changes or a hotel.  If CSI is open contact Helen.  She will be able to help you with any changes.  If CSI is closed contact AXIOM.  Changes made by AXIOM can result in a $25.00 processing charge.  </t>
  </si>
  <si>
    <t xml:space="preserve">Dates / Hours </t>
  </si>
  <si>
    <t>Include equipment drop/pick-up, set-up, training, registration and ESG hours and notes.</t>
  </si>
  <si>
    <t xml:space="preserve">CSI On-Site Problem Resolution </t>
  </si>
  <si>
    <t>How many ESG areas are onsite?</t>
  </si>
  <si>
    <t>If there is more than one area list which booth numbers are in which area.</t>
  </si>
  <si>
    <t>Areas</t>
  </si>
  <si>
    <t>Booth Number Range</t>
  </si>
  <si>
    <t>XXXX - XXXX</t>
  </si>
  <si>
    <t>How many companies are exhibiting?</t>
  </si>
  <si>
    <t>Show Dates</t>
  </si>
  <si>
    <t>Date Floor Plan Needed</t>
  </si>
  <si>
    <t>Convention Center</t>
  </si>
  <si>
    <t>City/State</t>
  </si>
  <si>
    <t>•  Do not include ESG and Registration floor plan requests in the same Mantis issue.  Please submit separate issues for each.</t>
  </si>
  <si>
    <t>•  Attach last year’s floor plans if available</t>
  </si>
  <si>
    <t>•  Exhibit floor hours must be in the Onsite section of the PSM prior to submitting the ESG floor plan request</t>
  </si>
  <si>
    <t>•  Bins will be placed at the show exits.  When Attendees are leaving the show (and will not be returning), they will drop their badge into the bin.</t>
  </si>
  <si>
    <t>•  Badges will be collected from the bins and delivered to CSI by the decorator, a few hours before the show closes.</t>
  </si>
  <si>
    <t>•  An SQL to determine how many records have been verified with this method must by run.  (If the volume is large, scanning will be done several times throughout the day.)</t>
  </si>
  <si>
    <t>•  We will determine if a record was verified this way by looking at the Scan Detail Table, scan_result_code=V.</t>
  </si>
  <si>
    <t>•  Badges will be scanned with a scanner device by the temps during slow portions of the day.</t>
  </si>
  <si>
    <t>•  If there are too many badges to scan in a day, they will be scanned the following day.</t>
  </si>
  <si>
    <t>•  If the badges are not all scanned by the close of the show, they will be sent back to CSI with the freight, and scanned in-house.</t>
  </si>
  <si>
    <t>•  The scanner device files will be imported into a database for the following year's show.</t>
  </si>
  <si>
    <t>•  Scanner devices must be downloaded before reports are run, (in the event that downloading results in records being verified.)</t>
  </si>
  <si>
    <t>•  Badges will be discarded after they have been scanned.</t>
  </si>
  <si>
    <t>•  Download the scanner devices with org_id:  ####.  This will identify the records to be imported into next year's database.</t>
  </si>
  <si>
    <t>Next Year’s Event Registration</t>
  </si>
  <si>
    <t>•  If badges are being collected and scanned onsite for attendees to register for Next Year's Show, a database for next year will need to be created.</t>
  </si>
  <si>
    <t>•  The file of scanned records will be imported into the new database.</t>
  </si>
  <si>
    <t>•  Please refer to PSM for next year, for reg. type, RC, and priority code info.</t>
  </si>
  <si>
    <t>•  Please refer to this PSM’s reporting section to see which RC’s, registration fields and demo questions are to be imported into Next Year’s database.</t>
  </si>
  <si>
    <t>•  Money info will not be imported.</t>
  </si>
  <si>
    <t>•  The Client's Reg. Mgr. will inform the ESM of what the cost will be (for paid registrants).</t>
  </si>
  <si>
    <t>"One Click"</t>
  </si>
  <si>
    <t>•  Client will provide a file(s) of previous shows’ registrants, including a unique “customer ID” and priority code.</t>
  </si>
  <si>
    <t>•  When attendees register with a customer ID, it should be stored in the web_numb field.</t>
  </si>
  <si>
    <t>•  We will provide Client with a file of personalized URLs.  Client will use the URL in a broadcast email asking recipients to click on the link to automatically be registered for the show. When a registrant clicks on their URL, the web site will pre-populate their information. The web page will say you were successfully registered for the event and will receive a confirmation via email within 24 hours. Registrants are to be sent our standard confirmation with a bar code.</t>
  </si>
  <si>
    <t>•  There will be no Priority Code field or How Did You Hear About the Show question for these registrations.</t>
  </si>
  <si>
    <t>•  The registration codes will be as indicated by the registrants.</t>
  </si>
  <si>
    <t>•  If duplicates are found between files or within a file, let the ESM know so they can notify the client.</t>
  </si>
  <si>
    <t xml:space="preserve">•  When a demographic response isn’t included, we are to load it as “no response.” </t>
  </si>
  <si>
    <t>New Product Showcase</t>
  </si>
  <si>
    <t>Test File - Receive 2 months prior to show</t>
  </si>
  <si>
    <t>File Format</t>
  </si>
  <si>
    <t>Final File should be received one week prior to the show</t>
  </si>
  <si>
    <t>Phasers</t>
  </si>
  <si>
    <t>Navigation Bar Text</t>
  </si>
  <si>
    <t>Cyber Café Modules</t>
  </si>
  <si>
    <t xml:space="preserve">Do we have the image? </t>
  </si>
  <si>
    <t>Features</t>
  </si>
  <si>
    <t>Access The Internet</t>
  </si>
  <si>
    <t>Access CEU Application</t>
  </si>
  <si>
    <t>evt_uid</t>
  </si>
  <si>
    <t>•  This system has been designed to give the client an application to work as a ‘cashier’ for selling items in a show store, lounge, etc.  It will work off the Self Registration application.</t>
  </si>
  <si>
    <t>•  A member will swipe their show badge at a desk top scanner and their personal information will pre-populate from the show evt_uid.  The screen will also display the available menu items for purchase and will allow for a quantity to be entered next to each menu item.</t>
  </si>
  <si>
    <t>•  Once items are selected the verify screen will appear giving a summary of items to be purchased, their quantity and their individual/record total.  The cashier will have the opportunity to ‘Go Back’ to make revisions or to ‘Process’ the purchase.</t>
  </si>
  <si>
    <t xml:space="preserve">•  When ‘Process’ is selected a new registration in evt_uid 4+evt_uid will be created.  The original reg_uid from the show evt_uid will be stored in the soc_sec_number field.  All purchased menu items will be stored in RXO table for evt_uid 4+evt_uid and all ACT rows will be inserted.  </t>
  </si>
  <si>
    <t>•  The show web configuration can either have the “CreditCardProcess’ parameter set to ‘No Process’ allowing the receipt credential (‘Q’) to print without submitting any payment or to ‘Process’ for processing an actual payment.  (The show that originally used this had it set to No Process and the company was billed post-show).</t>
  </si>
  <si>
    <t>•  An itemized copy of the receipt can be printed on plain white badge stock with the show name printed in the center of the stock (a sample of this must be in the format section of the PSM). The receipt will itemize what was purchased and show their total paid or owed.</t>
  </si>
  <si>
    <t xml:space="preserve">•  Receipts can be reprinted by the cashier based off add_user set-up in that area.  This function requires the show analyst to remove the standard ‘thisReg.isOverPrintThreshold(dbCon)’ from the AttendeeRegCheckStatus.jsp.  This will allow the credential for this application to print indefinitely for the specific add_user.  </t>
  </si>
  <si>
    <t>•  The Analyst must also set this credential to print with a Type Code of ‘A’.  The onsite staff must set this credential to only print for the user(s) in the particular area where this being used.</t>
  </si>
  <si>
    <t>•  This was originally used for GASC and Charmaine Reyes is a good source if you need additional information.</t>
  </si>
  <si>
    <t>Code
(opd_id)</t>
  </si>
  <si>
    <t>Reference</t>
  </si>
  <si>
    <t>OR</t>
  </si>
  <si>
    <t>Advance Reporting</t>
  </si>
  <si>
    <t>Report Distribution</t>
  </si>
  <si>
    <t>Email Report Notification with Registration Method Summary Attached</t>
  </si>
  <si>
    <t>Monthly Reporting</t>
  </si>
  <si>
    <t>Email Report Notification with Monthly Settlement/Deposit Date Summary Attached</t>
  </si>
  <si>
    <t>This is only provided if specifically requested by the client.</t>
  </si>
  <si>
    <t>Onsite Reporting</t>
  </si>
  <si>
    <t>Email Reports</t>
  </si>
  <si>
    <t>Give or Email Reports To - List appropriate individual(s) or email address(s)</t>
  </si>
  <si>
    <t>FTP Site</t>
  </si>
  <si>
    <t xml:space="preserve">    Attention To:</t>
  </si>
  <si>
    <t xml:space="preserve">    Address:</t>
  </si>
  <si>
    <t xml:space="preserve">    Send Via:</t>
  </si>
  <si>
    <t xml:space="preserve">    City, ST, Zip, Country:</t>
  </si>
  <si>
    <t xml:space="preserve">    Overnight Delivery Account #:</t>
  </si>
  <si>
    <t xml:space="preserve">    Email Address(es):</t>
  </si>
  <si>
    <t xml:space="preserve">    FTP Site Address:</t>
  </si>
  <si>
    <t xml:space="preserve">    Username:</t>
  </si>
  <si>
    <t xml:space="preserve">    Password:</t>
  </si>
  <si>
    <t>Date Client to Receive Reports:</t>
  </si>
  <si>
    <t>Weekly Reporting Cycle</t>
  </si>
  <si>
    <t>Reports will be run through 23:59:59</t>
  </si>
  <si>
    <t>Report Name</t>
  </si>
  <si>
    <t>Registration and Attendance Summary</t>
  </si>
  <si>
    <t>Required for all shows</t>
  </si>
  <si>
    <t>Appointment Summary</t>
  </si>
  <si>
    <t>Matching by Exhibiting Company</t>
  </si>
  <si>
    <t xml:space="preserve">Attendee-Exhibitor Appointment Summary </t>
  </si>
  <si>
    <t>Product Category Matching Summary</t>
  </si>
  <si>
    <t>LinkedIn Report</t>
  </si>
  <si>
    <t>Required if service is used.</t>
  </si>
  <si>
    <t>Social Networking Link Activity</t>
  </si>
  <si>
    <t>Onsite Output Summary</t>
  </si>
  <si>
    <t>Required for all Shows</t>
  </si>
  <si>
    <t>Exhibitor Allotment Listing with Ranges</t>
  </si>
  <si>
    <t>Exhibitor Allotment Listing</t>
  </si>
  <si>
    <t>Registration and Attendance Summary II</t>
  </si>
  <si>
    <t>Registration and Attendance Summary by Reg Type</t>
  </si>
  <si>
    <t>Registration Method by Registration Category Summary</t>
  </si>
  <si>
    <t>Registration Code by Form Receipt Summary</t>
  </si>
  <si>
    <t>Registrant Profile Summary II</t>
  </si>
  <si>
    <t>Registrant Profile by Attendance Status</t>
  </si>
  <si>
    <t>Registrant Profile by Membership</t>
  </si>
  <si>
    <t>Session/Event Listing II</t>
  </si>
  <si>
    <t>Session Sign-In Sheet</t>
  </si>
  <si>
    <t>Top Ten United States</t>
  </si>
  <si>
    <t>Top Ten Countries</t>
  </si>
  <si>
    <t>Attendees/Exhibitors by Country and Region</t>
  </si>
  <si>
    <t>Historical Registrant Profile Summary</t>
  </si>
  <si>
    <t>Exhibitor VIP Code Summary</t>
  </si>
  <si>
    <t>Exhibiting Companies Over Allotment</t>
  </si>
  <si>
    <t>Registration Summary</t>
  </si>
  <si>
    <t>Source Code Summary by Attendance Status</t>
  </si>
  <si>
    <t xml:space="preserve">Customer Service Notations Summary </t>
  </si>
  <si>
    <t xml:space="preserve">Customer Service Notations Listing </t>
  </si>
  <si>
    <t>Onsite Registration by Day Summary</t>
  </si>
  <si>
    <t>Onsite Attendance Summary</t>
  </si>
  <si>
    <t>Onsite Registration and Verified Advance by Day</t>
  </si>
  <si>
    <t>Express Registration Scanner Usage Summary</t>
  </si>
  <si>
    <t>Mail vs. Hold Summary</t>
  </si>
  <si>
    <t>Geo Drill</t>
  </si>
  <si>
    <t>Form Receipt Summary</t>
  </si>
  <si>
    <t>Onsite Output Summary by Hour</t>
  </si>
  <si>
    <t>Onsite Output Summary by Registration Category</t>
  </si>
  <si>
    <t>Membership Allotment Listing</t>
  </si>
  <si>
    <t>Registration Analysis</t>
  </si>
  <si>
    <t>Registrant List</t>
  </si>
  <si>
    <t>Web Registrant Listing by Day</t>
  </si>
  <si>
    <t>Registration by Day</t>
  </si>
  <si>
    <t>Registration by Hour</t>
  </si>
  <si>
    <t>Registration by Category and Hour</t>
  </si>
  <si>
    <t>Postal Code Summary</t>
  </si>
  <si>
    <t>Comped Fees Listing</t>
  </si>
  <si>
    <t>Ticket Exchange Listing</t>
  </si>
  <si>
    <t>Internet Partial Registration Summary</t>
  </si>
  <si>
    <t>Badge Mailing Summary</t>
  </si>
  <si>
    <t>Cyber Café Activity Summary</t>
  </si>
  <si>
    <t>Internal Only</t>
  </si>
  <si>
    <t>Opt Out Summary</t>
  </si>
  <si>
    <t>Invite a Friend Summary</t>
  </si>
  <si>
    <t>Invite a Customer Summary</t>
  </si>
  <si>
    <t>Invite a Customer Premium Exhibitor Summary</t>
  </si>
  <si>
    <t>Sales Summary (Sales Detail with Sold/Returns removed)</t>
  </si>
  <si>
    <t xml:space="preserve">Financial Reconciliation Summary </t>
  </si>
  <si>
    <t>PayPal Detail Listing</t>
  </si>
  <si>
    <t xml:space="preserve">PayPal Balancing Report </t>
  </si>
  <si>
    <t>Settle Transactions Listing</t>
  </si>
  <si>
    <t>Source Code Summary with Revenue</t>
  </si>
  <si>
    <t>1005B</t>
  </si>
  <si>
    <t>Discount Listing</t>
  </si>
  <si>
    <t>Registration/Option Fee Discounted Summary</t>
  </si>
  <si>
    <t>Sales Summary with Returns</t>
  </si>
  <si>
    <t>RegType Sales Summary with Returns</t>
  </si>
  <si>
    <t>Option Count Check</t>
  </si>
  <si>
    <t>PayPal Batch ID Summary</t>
  </si>
  <si>
    <t>Session/Event Listing Showing Balance Due</t>
  </si>
  <si>
    <t>Credit/Debit Adjustment Listing</t>
  </si>
  <si>
    <t>Membership Dues Listing</t>
  </si>
  <si>
    <t>Donation Listing</t>
  </si>
  <si>
    <t>General Ledge Funding Summary</t>
  </si>
  <si>
    <t>Registration Retention Summary</t>
  </si>
  <si>
    <t>Attrition Summary</t>
  </si>
  <si>
    <t>Access Control Session Tally</t>
  </si>
  <si>
    <t>Access Control Session Listing</t>
  </si>
  <si>
    <t>Access Control Listing with Scan Times</t>
  </si>
  <si>
    <t>Entrance Summary by State/Country</t>
  </si>
  <si>
    <t>Entrance Summary by US Region</t>
  </si>
  <si>
    <t>Entrance Summary</t>
  </si>
  <si>
    <t>Entrance Summary by Day and Hour</t>
  </si>
  <si>
    <t>Historical Entrance Summary by Day and Hour</t>
  </si>
  <si>
    <t>Session/Event Listing</t>
  </si>
  <si>
    <t>Session Tracking Listing with Scan Times</t>
  </si>
  <si>
    <t>ESG Sales Summary</t>
  </si>
  <si>
    <t>ESG Weeks Out Report</t>
  </si>
  <si>
    <t>Exhibitor Leads Hourly Summary</t>
  </si>
  <si>
    <t>Leads by Job Function Summary</t>
  </si>
  <si>
    <t>Leads by Aisle</t>
  </si>
  <si>
    <t>Lead Attendance By Day</t>
  </si>
  <si>
    <t>Lead Retrieval Summary</t>
  </si>
  <si>
    <t>Lead Count Summary II</t>
  </si>
  <si>
    <t>ESG Apparent Duplicate Listing</t>
  </si>
  <si>
    <t>Lead Retrieval Distribution Listing</t>
  </si>
  <si>
    <t>ESG Rental Status Summary</t>
  </si>
  <si>
    <t>Telemarketing Call Report No Enhancements</t>
  </si>
  <si>
    <t>Telemarketing Call Report No Order</t>
  </si>
  <si>
    <t>Telemarketing Call Report – No TrafficMax</t>
  </si>
  <si>
    <t>TrafficMax Summary</t>
  </si>
  <si>
    <t>BuyerConnect Summary</t>
  </si>
  <si>
    <t>Electronic Literature Call Report – No Order</t>
  </si>
  <si>
    <t>Electronic Literature Call Report – Need Literature</t>
  </si>
  <si>
    <t>•  The Registration Method Summary must be run and sent to the client each time a file is loaded</t>
  </si>
  <si>
    <t>Session and Event Summary</t>
  </si>
  <si>
    <t>Historical Registration Code Summary
The registration codes from the previous year(s) must be identical to this year’s registration codes or a conversion chart must be provided at the end of the reporting section.
Is a conversion required?  Yes or No</t>
  </si>
  <si>
    <t>Problem Records Listing</t>
  </si>
  <si>
    <t>Source Code Summary</t>
  </si>
  <si>
    <t>•  If options are included in the data transfer the Session &amp; Event Summary must be run and sent to the client each time a file is loaded</t>
  </si>
  <si>
    <t>•  If financial information is included in the data transfer the Sales Summary and Financial Reconciliation Summary must be run and sent to the client each time a file is loaded</t>
  </si>
  <si>
    <t>http://intranet.compusystems.com/Documentation/Reports_-_Statistical</t>
  </si>
  <si>
    <t>Intranet Documentation:</t>
  </si>
  <si>
    <t>http://intranet.compusystems.com/Documentation/Reports_-_Financial</t>
  </si>
  <si>
    <t>http://intranet.compusystems.com/Documentation/Reports_-_Lead_Retrieval</t>
  </si>
  <si>
    <t>http://intranet.compusystems.com/Documentation/Reports_-_BuyerConnect</t>
  </si>
  <si>
    <t>Registrant Profile Summary</t>
  </si>
  <si>
    <t>Registrant Profile Other</t>
  </si>
  <si>
    <t>Required for all shows w/Options</t>
  </si>
  <si>
    <t>Required for all shows w/Standard Allotment</t>
  </si>
  <si>
    <t>Payment Method Listing</t>
  </si>
  <si>
    <t>Refunds Issued Listing</t>
  </si>
  <si>
    <t>Reg Type Summary</t>
  </si>
  <si>
    <t>Data Entry Monitoring</t>
  </si>
  <si>
    <t>No Badge Mail Date</t>
  </si>
  <si>
    <t>No Badge Production</t>
  </si>
  <si>
    <t>Multi-Tier Allotment Listing</t>
  </si>
  <si>
    <t>Cashier Summary</t>
  </si>
  <si>
    <t>Cashier Detail</t>
  </si>
  <si>
    <t>Monthly Settlement/Deposit Date Summary</t>
  </si>
  <si>
    <t>Payment Processing</t>
  </si>
  <si>
    <t>PayPal Batch ID Detail Listing</t>
  </si>
  <si>
    <t>Sales 1005 should be used unless the client has specifically requested the option grouping.  If option grouping is requested, both 1005 and 1005B should be run</t>
  </si>
  <si>
    <t>Sales Summary with Option Groups</t>
  </si>
  <si>
    <t>Unsettled Registration Transactions</t>
  </si>
  <si>
    <t>BuyerConnect - Lead Profile</t>
  </si>
  <si>
    <t>BuyerConnect - Leads by Hour</t>
  </si>
  <si>
    <t>BuyerConnect - Geographical Distribution</t>
  </si>
  <si>
    <t>BuyerConnect - Leads Listing</t>
  </si>
  <si>
    <t>BuyerConnect - Lead Ranking Summary</t>
  </si>
  <si>
    <t xml:space="preserve">Report Sequence 1 Subtotal Description: </t>
  </si>
  <si>
    <t>Report Sequence 2 Subtotal Description:</t>
  </si>
  <si>
    <t>Report Sequence 3 Subtotal Description:</t>
  </si>
  <si>
    <t xml:space="preserve">Report Sequence 4 Subtotal Description: </t>
  </si>
  <si>
    <t xml:space="preserve">Report Sequence 5 Subtotal Description: </t>
  </si>
  <si>
    <t>Attendee Subtotal</t>
  </si>
  <si>
    <t>Non-Badged Subtotal</t>
  </si>
  <si>
    <t>Exhibitor Subtotal</t>
  </si>
  <si>
    <t>Show Website</t>
  </si>
  <si>
    <t>CSI Show Team</t>
  </si>
  <si>
    <t>This show is not using web services</t>
  </si>
  <si>
    <t>Show 1</t>
  </si>
  <si>
    <t>Show 2</t>
  </si>
  <si>
    <t>Show 3</t>
  </si>
  <si>
    <t>Show Acronym?</t>
  </si>
  <si>
    <t>Show Services</t>
  </si>
  <si>
    <t>Field Designations</t>
  </si>
  <si>
    <t>Demographics</t>
  </si>
  <si>
    <t>Membership</t>
  </si>
  <si>
    <t>Financial Processing</t>
  </si>
  <si>
    <t>Confirmations</t>
  </si>
  <si>
    <t>Data Control</t>
  </si>
  <si>
    <t>Badge and Ticket Formats</t>
  </si>
  <si>
    <t>ESG</t>
  </si>
  <si>
    <t>Auto Reg Data</t>
  </si>
  <si>
    <t>Pre Populated Data</t>
  </si>
  <si>
    <t>Email Blasts</t>
  </si>
  <si>
    <t>ConnectME Mobile</t>
  </si>
  <si>
    <t>Equipment at Client</t>
  </si>
  <si>
    <t>CN</t>
  </si>
  <si>
    <t>CX</t>
  </si>
  <si>
    <t>Refund Policy</t>
  </si>
  <si>
    <t>fax_country_c</t>
  </si>
  <si>
    <t>Fax Country Code</t>
  </si>
  <si>
    <t>phone_country_c</t>
  </si>
  <si>
    <t>Phone Country Code</t>
  </si>
  <si>
    <t>Cell Country Code</t>
  </si>
  <si>
    <t>Cell Area Code</t>
  </si>
  <si>
    <t>Ticket Print Threshold</t>
  </si>
  <si>
    <t>Threshold is the number of times a ticket can be printed throughout advance and onsite.</t>
  </si>
  <si>
    <t>Opd_ID(s)</t>
  </si>
  <si>
    <t>Destination Table 
(table where data resides)</t>
  </si>
  <si>
    <t>Special Instructions / Notes:</t>
  </si>
  <si>
    <t xml:space="preserve">Client Services </t>
  </si>
  <si>
    <t>CSI will run and balance the Statistical Reports for the first 3 weeks of the show and then will begin running them again 14 weeks out.</t>
  </si>
  <si>
    <t>ESM Note:</t>
  </si>
  <si>
    <t>Hide reports that are not being used.</t>
  </si>
  <si>
    <t>Used in conjunction with Report #1141</t>
  </si>
  <si>
    <t>Required if Exhibitor Multi-Tier Allotment is used.</t>
  </si>
  <si>
    <t>Required for all shows with Exhibitors</t>
  </si>
  <si>
    <t>Internal Only - Required for all shows.  \MUST BE RUN THE LAST DAY ONSITE WITHOUT EXCEPTION.</t>
  </si>
  <si>
    <t>Required if Allot w/Ranges is used.</t>
  </si>
  <si>
    <t>Test Credit Card #</t>
  </si>
  <si>
    <t>Visa 4444333322221111 - Records with this # will automatically be tested out of onPeak's DB</t>
  </si>
  <si>
    <t>Session Monitor</t>
  </si>
  <si>
    <t>•  ESM should flag which options should be included in the options section.</t>
  </si>
  <si>
    <t>•  The DA sets up this application</t>
  </si>
  <si>
    <t>•  The DA and Field Engineer must test the application at the tech center prior to the show tape being made.</t>
  </si>
  <si>
    <t>http://intranet.compusystems.com/@api/deki/files/2729/=Session_Monitor__Setup_Guide.pdf</t>
  </si>
  <si>
    <t>http://intranet.compusystems.com/@api/deki/files/2734/=Voucher_Exchange__Technical_Guide.pdf</t>
  </si>
  <si>
    <t>Voucher Exchange</t>
  </si>
  <si>
    <t>•  This is used onsite.  It will display the option's date, time, location and availability on a monitor/flat screen for the registrants to reference.</t>
  </si>
  <si>
    <t>•  This is used onsite.  The application resembles express reg.  The application will control if a registrant should receive something or be included in something, such as a free tote bag or be entered into a contest.  A staff person will scan the registrant's badge or enter their reg uid into the application.  A message will appear saying if the registrant is eligible or not.  It will also display an image like a green check mark if they are eligible or a red stop sign if they are not.  The registrant will have to have the appropriate option in their record to be eligible.  The option will have an allotment associated with it.  Once their reg uid is entered into the application the system will consider the allotment used and they will not be able to use their reg uid again.</t>
  </si>
  <si>
    <t>•  The Field Engineer must test the application onsite.</t>
  </si>
  <si>
    <t>How is the membership badge allotment determined? (ie. Is it 'true membership' where we actually deduct the allotment from the database or do we just allow each membership number to be used once, this way doesn't look at allotment.)</t>
  </si>
  <si>
    <t>Reg Type</t>
  </si>
  <si>
    <r>
      <t>CSI Standard Reports</t>
    </r>
    <r>
      <rPr>
        <sz val="10"/>
        <rFont val="Arial"/>
        <family val="2"/>
      </rPr>
      <t xml:space="preserve"> (These reports should be used if the service is offered)</t>
    </r>
  </si>
  <si>
    <r>
      <t xml:space="preserve">Statistical Reporting </t>
    </r>
    <r>
      <rPr>
        <sz val="10"/>
        <rFont val="Arial"/>
        <family val="2"/>
      </rPr>
      <t>(Optional Statistical Reports - Use if service is being offered.)</t>
    </r>
  </si>
  <si>
    <r>
      <t>Financial Reporting</t>
    </r>
    <r>
      <rPr>
        <sz val="10"/>
        <rFont val="Arial"/>
        <family val="2"/>
      </rPr>
      <t xml:space="preserve"> (Optional Financial Reports - Use if service is being offered.)</t>
    </r>
  </si>
  <si>
    <r>
      <t xml:space="preserve">Access Control / Session Tracking / Entrance Tracking Reporting </t>
    </r>
    <r>
      <rPr>
        <sz val="10"/>
        <rFont val="Arial"/>
        <family val="2"/>
      </rPr>
      <t>(Optional Reports - Use if service is being offered.)</t>
    </r>
  </si>
  <si>
    <r>
      <t xml:space="preserve">Exhibitor Services Group (ESG) Reporting </t>
    </r>
    <r>
      <rPr>
        <sz val="10"/>
        <rFont val="Arial"/>
        <family val="2"/>
      </rPr>
      <t xml:space="preserve"> (Optional Reports - Use if service is being offered.)</t>
    </r>
  </si>
  <si>
    <r>
      <t xml:space="preserve">Internal Reporting </t>
    </r>
    <r>
      <rPr>
        <sz val="10"/>
        <rFont val="Arial"/>
        <family val="2"/>
      </rPr>
      <t xml:space="preserve"> (Optional Reports - Use if service is being offered.)</t>
    </r>
  </si>
  <si>
    <t>Enter separate Mantis tickets requesting the Reg and ESG floor plans.</t>
  </si>
  <si>
    <t>Include the below information into each Mantis issue</t>
  </si>
  <si>
    <t>Floor Plan Instructions:</t>
  </si>
  <si>
    <t>•  The onsite ESG counter's header should read 'Lead Retrieval Services by CompuSystems'</t>
  </si>
  <si>
    <t>Special instructions / Notes:</t>
  </si>
  <si>
    <t>Search the entire document</t>
  </si>
  <si>
    <t>Ctrl, F</t>
  </si>
  <si>
    <t>Click 'Options'</t>
  </si>
  <si>
    <t xml:space="preserve">Change 'Within' to 'Workbook' </t>
  </si>
  <si>
    <t>Click 'Find'</t>
  </si>
  <si>
    <t>000</t>
  </si>
  <si>
    <t>onPeak Category ID</t>
  </si>
  <si>
    <t>Duplicate Special Instructions / Notes:</t>
  </si>
  <si>
    <r>
      <t xml:space="preserve">Special Instructions / Notes: </t>
    </r>
    <r>
      <rPr>
        <sz val="10"/>
        <rFont val="Arial"/>
        <family val="2"/>
      </rPr>
      <t>(ie. Does CSI need to make copies of deposit slips?)</t>
    </r>
  </si>
  <si>
    <t>Special Instructions / Notes (ie. table of contents, bound copies, etc):</t>
  </si>
  <si>
    <t>Co-Location Special Instructions / Notes:</t>
  </si>
  <si>
    <r>
      <t>Show Specific Issue with:</t>
    </r>
    <r>
      <rPr>
        <sz val="8"/>
        <rFont val="Arial"/>
        <family val="2"/>
      </rPr>
      <t xml:space="preserve"> 
Rates, Reg Types,  Reporting, Credentials, Imports and Exports, Broadcast, Look and Feel of Reg Screens</t>
    </r>
  </si>
  <si>
    <r>
      <t>Database Performance Issues:</t>
    </r>
    <r>
      <rPr>
        <sz val="8"/>
        <rFont val="Arial"/>
        <family val="2"/>
      </rPr>
      <t xml:space="preserve"> System Locking up, System Running Slow, Table Overflow, Problem w/ Ingres, Pool Connections</t>
    </r>
  </si>
  <si>
    <t>1. Lead Field Engineer</t>
  </si>
  <si>
    <t> 2. ESM</t>
  </si>
  <si>
    <r>
      <t>Access Control:</t>
    </r>
    <r>
      <rPr>
        <sz val="8"/>
        <rFont val="Arial"/>
        <family val="2"/>
      </rPr>
      <t xml:space="preserve">  
Appending Problems</t>
    </r>
  </si>
  <si>
    <r>
      <t xml:space="preserve">Access Control: 
</t>
    </r>
    <r>
      <rPr>
        <sz val="8"/>
        <rFont val="Arial"/>
        <family val="2"/>
      </rPr>
      <t>Problems with how the CL2 or CR3 hardware or software</t>
    </r>
  </si>
  <si>
    <r>
      <t>DATABASE MANAGER Functionality:</t>
    </r>
    <r>
      <rPr>
        <sz val="8"/>
        <rFont val="Arial"/>
        <family val="2"/>
      </rPr>
      <t xml:space="preserve"> 
Problems with how the GUI application is working</t>
    </r>
  </si>
  <si>
    <t>2. ESM*</t>
  </si>
  <si>
    <r>
      <t xml:space="preserve">Self Registration Issues:
</t>
    </r>
    <r>
      <rPr>
        <sz val="8"/>
        <rFont val="Arial"/>
        <family val="2"/>
      </rPr>
      <t>Graphics on page, Functionality, Performance Issues</t>
    </r>
  </si>
  <si>
    <r>
      <t xml:space="preserve">Sonic Firewall Setup:  </t>
    </r>
    <r>
      <rPr>
        <sz val="8"/>
        <rFont val="Arial"/>
        <family val="2"/>
      </rPr>
      <t>Problems with setting up the firewall, Issues with connection to a remote hotel using a firewall</t>
    </r>
  </si>
  <si>
    <r>
      <t xml:space="preserve">Session Tracking Issues:     </t>
    </r>
    <r>
      <rPr>
        <sz val="8"/>
        <rFont val="Arial"/>
        <family val="2"/>
      </rPr>
      <t>Problems with the Scanner Append Application</t>
    </r>
  </si>
  <si>
    <r>
      <t xml:space="preserve">Equipment Issues: </t>
    </r>
    <r>
      <rPr>
        <sz val="8"/>
        <rFont val="Arial"/>
        <family val="2"/>
      </rPr>
      <t xml:space="preserve"> Problems w/ Freight in transit, Equipment failure at show, Additional Equipment Needed. </t>
    </r>
  </si>
  <si>
    <r>
      <t xml:space="preserve">Supply Needs:   </t>
    </r>
    <r>
      <rPr>
        <sz val="8"/>
        <rFont val="Arial"/>
        <family val="2"/>
      </rPr>
      <t>Badge Holders, Badge Stock</t>
    </r>
  </si>
  <si>
    <t>1. ESM</t>
  </si>
  <si>
    <t>2. Lead Field Engineer*</t>
  </si>
  <si>
    <t>ESGDA Issues:</t>
  </si>
  <si>
    <t>1. Lead ESG</t>
  </si>
  <si>
    <t>Saturday</t>
  </si>
  <si>
    <t>Sunday</t>
  </si>
  <si>
    <t>Complete the 'Dates / Hours' section in the Onsite tab.  This is needed for the ConnectME Mobile App.</t>
  </si>
  <si>
    <t>Email Broadcast Request Form</t>
  </si>
  <si>
    <t>Event Services Manager</t>
  </si>
  <si>
    <t>Sales Executive</t>
  </si>
  <si>
    <t>Data Analyst</t>
  </si>
  <si>
    <t>Financial Processor</t>
  </si>
  <si>
    <t>ATT Web Programmer</t>
  </si>
  <si>
    <t>Check the format of each tab so it can print on a standard size of paper</t>
  </si>
  <si>
    <t>Auto-fit does not work on merged cells</t>
  </si>
  <si>
    <t>When finished updating a tab place the cursor on the top of the page.</t>
  </si>
  <si>
    <t>Add Business Rules whenever applicable</t>
  </si>
  <si>
    <t>show_code:</t>
  </si>
  <si>
    <r>
      <t>·</t>
    </r>
    <r>
      <rPr>
        <sz val="10"/>
        <rFont val="Times New Roman"/>
        <family val="1"/>
      </rPr>
      <t>      </t>
    </r>
    <r>
      <rPr>
        <sz val="10"/>
        <rFont val="Arial"/>
        <family val="2"/>
      </rPr>
      <t>The Mantis Summary line should be: ABC13 Email &amp; Phone Set-Up (replace ABC13 with show name)</t>
    </r>
  </si>
  <si>
    <t>NRC reg_evtcode (RC): Registration Code</t>
  </si>
  <si>
    <t>Max Purchase (1, 2, 20)</t>
  </si>
  <si>
    <t>CL Question:</t>
  </si>
  <si>
    <t>CL Lead Retrieval Desc
(22 Character Max)</t>
  </si>
  <si>
    <t>Search entire document</t>
  </si>
  <si>
    <t>User (only required if client set up account)</t>
  </si>
  <si>
    <r>
      <t>IS In-House Set-Up</t>
    </r>
    <r>
      <rPr>
        <sz val="9"/>
        <rFont val="Arial"/>
        <family val="2"/>
      </rPr>
      <t xml:space="preserve"> (The below is case sensitive)</t>
    </r>
  </si>
  <si>
    <t>Registration Codes - reg_evtcode</t>
  </si>
  <si>
    <t>INQ</t>
  </si>
  <si>
    <t>Inquiry Attendee</t>
  </si>
  <si>
    <t>Inquiry (Interim) Evt_UID Set-up</t>
  </si>
  <si>
    <t>Inquiry</t>
  </si>
  <si>
    <t>Contact Angela Moy, Marketing Services Strategist, Travel Planners (New York) for integrated housing info and codes, amoy@tphousing.com, 800.221.3531 ext 3065 or 212.532.1660.</t>
  </si>
  <si>
    <t>Piece Codes</t>
  </si>
  <si>
    <t>Pre-Populating or Auto-Registered Files</t>
  </si>
  <si>
    <t>Auto-Registered File (File is loaded directly into the database as a valid registrant)</t>
  </si>
  <si>
    <t>Type of Allotment</t>
  </si>
  <si>
    <t xml:space="preserve">Within Allot:  
Over Allot:  </t>
  </si>
  <si>
    <t>CSI Field Desc</t>
  </si>
  <si>
    <t>The below table should be completed if Multi-Tier Allotment is being used.</t>
  </si>
  <si>
    <r>
      <t xml:space="preserve">Capped Allotment </t>
    </r>
    <r>
      <rPr>
        <sz val="8"/>
        <rFont val="Arial"/>
        <family val="2"/>
      </rPr>
      <t>(Yes/No)</t>
    </r>
  </si>
  <si>
    <r>
      <t xml:space="preserve">Rate #1 
</t>
    </r>
    <r>
      <rPr>
        <sz val="8"/>
        <rFont val="Arial"/>
        <family val="2"/>
      </rPr>
      <t>01/01/13 00:00 - 06/30/13 23:59</t>
    </r>
  </si>
  <si>
    <r>
      <t xml:space="preserve">Rate #2 
</t>
    </r>
    <r>
      <rPr>
        <sz val="8"/>
        <rFont val="Arial"/>
        <family val="2"/>
      </rPr>
      <t>07/01/13 00:00 - 10/31/13 23:59</t>
    </r>
  </si>
  <si>
    <r>
      <t xml:space="preserve">Rate #3 
</t>
    </r>
    <r>
      <rPr>
        <sz val="8"/>
        <rFont val="Arial"/>
        <family val="2"/>
      </rPr>
      <t>11/01/13 00:00 - 12/31/13 23:59</t>
    </r>
  </si>
  <si>
    <t>•  In order for CSI client to utilize our Attendee Matching features, they must provide product categories in the galley file.</t>
  </si>
  <si>
    <t>•  All field lengths listed are the maximum length.  Values stored in exhibitor allotment that pre-pop into registration should have matching defined field lengths.</t>
  </si>
  <si>
    <t>contract_numb</t>
  </si>
  <si>
    <t>contact_name_first</t>
  </si>
  <si>
    <t>contact_name_last</t>
  </si>
  <si>
    <t>booth_numb</t>
  </si>
  <si>
    <t>booth_size</t>
  </si>
  <si>
    <t>booth_length</t>
  </si>
  <si>
    <t>booth_width</t>
  </si>
  <si>
    <t>web_userid</t>
  </si>
  <si>
    <t>CSI Max Field Length</t>
  </si>
  <si>
    <t>plc_id</t>
  </si>
  <si>
    <t>number_paid</t>
  </si>
  <si>
    <t>contact_title</t>
  </si>
  <si>
    <t>comments_1</t>
  </si>
  <si>
    <t>comments_2</t>
  </si>
  <si>
    <t>priority_code</t>
  </si>
  <si>
    <t>new_exh_flag</t>
  </si>
  <si>
    <t>pin_number</t>
  </si>
  <si>
    <t>web_userid_passwd</t>
  </si>
  <si>
    <t>cancel_flag</t>
  </si>
  <si>
    <t>link_org_id</t>
  </si>
  <si>
    <t>initials</t>
  </si>
  <si>
    <t>internet_address_2</t>
  </si>
  <si>
    <t>mail_stop</t>
  </si>
  <si>
    <t>contact_name_mi</t>
  </si>
  <si>
    <t>contact_name_prefix</t>
  </si>
  <si>
    <t>region_evtcode</t>
  </si>
  <si>
    <t>web_reg_link</t>
  </si>
  <si>
    <t>Contact's First Name</t>
  </si>
  <si>
    <t>Contact's Last Name</t>
  </si>
  <si>
    <t>Contact's Title</t>
  </si>
  <si>
    <t>Email 1</t>
  </si>
  <si>
    <t>Email 2</t>
  </si>
  <si>
    <t>Web Site</t>
  </si>
  <si>
    <t>Badge Allotment</t>
  </si>
  <si>
    <t>Comments 1</t>
  </si>
  <si>
    <t>Comments 2</t>
  </si>
  <si>
    <t>Cancel Flag</t>
  </si>
  <si>
    <t>Member ID</t>
  </si>
  <si>
    <t>Membership Flag</t>
  </si>
  <si>
    <t>Piece Code</t>
  </si>
  <si>
    <t>Label Code</t>
  </si>
  <si>
    <t>Nick Name</t>
  </si>
  <si>
    <t>New Exhibitor Flag</t>
  </si>
  <si>
    <t>Qualification Flag</t>
  </si>
  <si>
    <t>Unique Exhibitor Number</t>
  </si>
  <si>
    <t>Can be sent in place of Length &amp; Width</t>
  </si>
  <si>
    <t>CSI will assign</t>
  </si>
  <si>
    <t>Instructions</t>
  </si>
  <si>
    <t>Exhibitor Allotment Table Field Designations (Delete rows not needed)</t>
  </si>
  <si>
    <t>Invite A Customer</t>
  </si>
  <si>
    <t>Welcome page text:
Example:  “Exhibiting companies can now invite their customers to the show with a complimentary Exhibitor VIP code. Just follow a few simple steps and you can send your customer an email directly with a link that allows them to register at the discounted rate using the discount Exhibitor VIP code. They will enter this code when they register for the event in order to receive a complimentary Exhibit Hall Only registration badge.”</t>
  </si>
  <si>
    <t>Required</t>
  </si>
  <si>
    <t>Required for US and Canada</t>
  </si>
  <si>
    <t>Required, unless instructions are given on what to use as the Username</t>
  </si>
  <si>
    <t>Required, unless instructions are given on what to use as the Password</t>
  </si>
  <si>
    <t>Required for Exhibitor Matching. Use product interest demo response codes and list in a single cell.</t>
  </si>
  <si>
    <r>
      <t xml:space="preserve">Rate #2 
</t>
    </r>
    <r>
      <rPr>
        <sz val="8"/>
        <rFont val="Arial"/>
        <family val="2"/>
      </rPr>
      <t>07/01/13 00:00 - 
10/31/13 23:59</t>
    </r>
  </si>
  <si>
    <r>
      <t xml:space="preserve">Rate #1 
</t>
    </r>
    <r>
      <rPr>
        <sz val="8"/>
        <rFont val="Arial"/>
        <family val="2"/>
      </rPr>
      <t>01/01/13 00:00 - 
06/30/13 23:59</t>
    </r>
  </si>
  <si>
    <r>
      <t xml:space="preserve">Rate #3 
</t>
    </r>
    <r>
      <rPr>
        <sz val="8"/>
        <rFont val="Arial"/>
        <family val="2"/>
      </rPr>
      <t>11/01/13 00:00 - 
12/31/13 23:59</t>
    </r>
  </si>
  <si>
    <t>State/Province</t>
  </si>
  <si>
    <t>Required for Non US</t>
  </si>
  <si>
    <t>Start and end dates for exhibitor access to Invite a Customer.  The organizer may want to leave IAC up post show so the exhibitors can access their reports and download data.</t>
  </si>
  <si>
    <t>Reg Types Using Allotment</t>
  </si>
  <si>
    <t># of Areas</t>
  </si>
  <si>
    <t>•  If demos will not be included in CompuLead, at least one demo should be assigned CIC's.  Add a note by the demo with the CIC's instructing the DA not include it in CompuLead.  This needs to be done so the Mobile Elite works properly.  If a show does not have demos a fake one needs to be added with CIC codes.</t>
  </si>
  <si>
    <t>If yes, which reports should be run?</t>
  </si>
  <si>
    <t>Are all Post Show reports specified in the PSM?</t>
  </si>
  <si>
    <t>Should any refunds be processed before the reports are run?</t>
  </si>
  <si>
    <t>Should any reports be run before the duplicates are removed?</t>
  </si>
  <si>
    <t>If yes, which refunds should be processed?</t>
  </si>
  <si>
    <t>Is the Post Show Due Date correct in the production schedule?</t>
  </si>
  <si>
    <t>(If it has recently changed please notify the show team.)</t>
  </si>
  <si>
    <t>All of the below must be answered prior to the Post Show Reports being run.   The reports may be delayed if these are left blank.</t>
  </si>
  <si>
    <t>Lead Retrieval Event Header for CompuLead Paper Print Out</t>
  </si>
  <si>
    <t xml:space="preserve">Prior to going live CSI will provide Travel Planners with the registration URL to test the integration.  The ESM needs to ask Angela Moy to link the url to the housing site and turn on web services when CSI is ready to test.  Once testing is complete the ESM needs to ask Angela to remove the link and turn off web services.   The registration site and web services should only be enabled if Registration and Housing are both live.  Housing sometimes goes live prior to registration.  In those instances the ESM should confirm that Travel Planners does not have the registration site linked to the housing site.  If registration is live prior to housing, the housing link should be removed from the registration site.  The registration and housing urls should be linked to each other's sites once they are both live.  </t>
  </si>
  <si>
    <t>Travel Planners Special Instructions:</t>
  </si>
  <si>
    <t>Web Sites</t>
  </si>
  <si>
    <t>Proper Case</t>
  </si>
  <si>
    <t>International State</t>
  </si>
  <si>
    <t>Should International State be enabled?</t>
  </si>
  <si>
    <r>
      <t xml:space="preserve">Show Basics </t>
    </r>
    <r>
      <rPr>
        <b/>
        <sz val="10"/>
        <color indexed="10"/>
        <rFont val="Arial"/>
        <family val="2"/>
      </rPr>
      <t>(Include in Show Set-Up Mantis Request.)</t>
    </r>
  </si>
  <si>
    <t>Mantis Project: New Databases/Events - Include the DA, WP and your GUI username in the issue.</t>
  </si>
  <si>
    <t>Contacts:</t>
  </si>
  <si>
    <t>Fred Jouhet</t>
  </si>
  <si>
    <t>Frederic.jouhet@onpeak.com</t>
  </si>
  <si>
    <t xml:space="preserve">312-527-7293 </t>
  </si>
  <si>
    <t>(Email both contacts)</t>
  </si>
  <si>
    <t xml:space="preserve">   Lead Retrieval</t>
  </si>
  <si>
    <t># of Locations</t>
  </si>
  <si>
    <t>Registration</t>
  </si>
  <si>
    <t>ESG Special Instructions:</t>
  </si>
  <si>
    <t>ie. comp units, call exhibitors, special packages, special requests, the client orders the ESG temps</t>
  </si>
  <si>
    <r>
      <rPr>
        <b/>
        <sz val="10"/>
        <rFont val="Arial"/>
        <family val="2"/>
      </rPr>
      <t>Note</t>
    </r>
    <r>
      <rPr>
        <sz val="10"/>
        <rFont val="Arial"/>
        <family val="2"/>
      </rPr>
      <t>: If possible have the ESG area next to Registration. If they are next to each other there is no need for a VLAN connecting the two areas.</t>
    </r>
  </si>
  <si>
    <t>Delayed Capture</t>
  </si>
  <si>
    <t>Is this show using Delayed Captured?</t>
  </si>
  <si>
    <t>Do weekly reports need to be run?  If so, please explain what the details are in the reporting tab.</t>
  </si>
  <si>
    <t>Sale = Payment will be processed</t>
  </si>
  <si>
    <t>Authorization Only = Payment will not be processed until the record is updated and is allowed to be processed.</t>
  </si>
  <si>
    <t>What records should be Authorization Only?</t>
  </si>
  <si>
    <t>What needs to happen for an Authorization Only payment to become a Sale and be processed?</t>
  </si>
  <si>
    <t>How is it determined that a record has been denied/disqualified and should never be processed?</t>
  </si>
  <si>
    <t>http://intranet.compusystems.com/@api/deki/files/2721/=DelayedCaptureInfo.pdf</t>
  </si>
  <si>
    <t xml:space="preserve">Delayed Capture Special Instructions / Notes: </t>
  </si>
  <si>
    <t xml:space="preserve">payflowpro.paypal.com </t>
  </si>
  <si>
    <t>1103A</t>
  </si>
  <si>
    <t>CSI Staff Only</t>
  </si>
  <si>
    <t>•  If a demo should be hidden in Database Manager make a note of it by the actual demo.</t>
  </si>
  <si>
    <t>Gala Seating</t>
  </si>
  <si>
    <t>American Express (ESG Uses)</t>
  </si>
  <si>
    <t>Check (ESG Uses)</t>
  </si>
  <si>
    <t>MasterCard (ESG Uses)</t>
  </si>
  <si>
    <t>Visa (ESG Uses)</t>
  </si>
  <si>
    <t>Contact Person for CSI Marketing Dept</t>
  </si>
  <si>
    <t>4" x 4" or 4" x 4" tag stock for self reg cash and check receipts.
Cash (green)… Check (white)</t>
  </si>
  <si>
    <t>Notes for Next Year</t>
  </si>
  <si>
    <t>Michele Harris</t>
  </si>
  <si>
    <t>michele.harris@onpeak.com</t>
  </si>
  <si>
    <t>(678) 553 7224</t>
  </si>
  <si>
    <t>Registration Equipment:</t>
  </si>
  <si>
    <t>Post Show Reporting method of delivery</t>
  </si>
  <si>
    <t xml:space="preserve">mike.blazejewski@csireg.com &amp; heidi.marecek@csireg.com
</t>
  </si>
  <si>
    <t xml:space="preserve">Web Services form can be found on the Compusystems Intrant </t>
  </si>
  <si>
    <t xml:space="preserve">Content Web Usage Summary </t>
  </si>
  <si>
    <t>(If yes, notify the WP, DA, FP and Shawn Phillips &amp; Edward Mustafaa prior to setting up the database.)</t>
  </si>
  <si>
    <t xml:space="preserve">Yes  </t>
  </si>
  <si>
    <t xml:space="preserve">Attendee myExhibitors </t>
  </si>
  <si>
    <t xml:space="preserve">myLeads </t>
  </si>
  <si>
    <t>Exhibitor myLeads</t>
  </si>
  <si>
    <t xml:space="preserve">Yes </t>
  </si>
  <si>
    <t>Show Organizer needs to review Attendee myExhibitors Correspondence  (Yes, only if discussed with Sales Exec &amp; Mike Blazejewski)</t>
  </si>
  <si>
    <t>Show Organizer needs to review Exhibitor myLeads Correspondence (Yes, only if discussed with Sales Exec &amp; Mike Blazejewski)</t>
  </si>
  <si>
    <t>Show Organizer needs to review the myLeads Application (Yes, only if discussed with Sales Exec &amp; Mike Blazejewski)</t>
  </si>
  <si>
    <t>Reg Codes to be Included in the Attendee myExhibitors post show blast :</t>
  </si>
  <si>
    <t xml:space="preserve">Will "New Product Showcase " be used on this show? </t>
  </si>
  <si>
    <r>
      <t xml:space="preserve">Attendee data shared with exhibitors and attendee settings.  </t>
    </r>
    <r>
      <rPr>
        <b/>
        <sz val="10"/>
        <color rgb="FFFF0000"/>
        <rFont val="Arial"/>
        <family val="2"/>
      </rPr>
      <t>This is a Standard set up always if you need any of the fields below removed it would then be a custom set up !</t>
    </r>
  </si>
  <si>
    <r>
      <t xml:space="preserve">Custom Setup - </t>
    </r>
    <r>
      <rPr>
        <b/>
        <sz val="10"/>
        <color rgb="FFFF0000"/>
        <rFont val="Arial"/>
        <family val="2"/>
      </rPr>
      <t>See ESG DA to discuss custom setup</t>
    </r>
  </si>
  <si>
    <r>
      <t xml:space="preserve">Exhibitor data shared with the attendee and exhibitor settings. </t>
    </r>
    <r>
      <rPr>
        <b/>
        <sz val="10"/>
        <color rgb="FFFF0000"/>
        <rFont val="Arial"/>
        <family val="2"/>
      </rPr>
      <t>This is a Standard set up always if you need any of the fields below removed it would then be a custom set up !</t>
    </r>
  </si>
  <si>
    <r>
      <t xml:space="preserve">myExhibitors and All Exhibitors searching. </t>
    </r>
    <r>
      <rPr>
        <b/>
        <sz val="10"/>
        <color rgb="FFFF0000"/>
        <rFont val="Arial"/>
        <family val="2"/>
      </rPr>
      <t>This is a Standard set up always.</t>
    </r>
  </si>
  <si>
    <t>Standard Searching - Attendees will be able to filter exhibitors
Exhibitor Filters: Appointment Status, Product Categories, Content and New Product Showcase</t>
  </si>
  <si>
    <t>No Searching - Attendees will not be able to filter exhibitors.</t>
  </si>
  <si>
    <t xml:space="preserve">What demographic question ( use the dem_name) is used for the product categories ? </t>
  </si>
  <si>
    <t>•  ESG reviews/tests the myLeads sites.</t>
  </si>
  <si>
    <t xml:space="preserve">Attendee/Exhibitor Matching - setup is done by the Attendee and Exhibitor WP
‘Attendee/Exhibitor Matching’ can be used without having the other modules associated with ConnectME Content - myLeads, Content and Appointments enabled on your show.  The ‘Attendee/Exhibitor Matching’ can be accessed from any dashboard page - a site with the navigation toolbar (slider) or a site that is not using the navigation toolbar (slider). 
The attendee site WP will need to make sure ‘Attendee to Exhibitor Matching’, ‘myExhibitors’ and ‘All Exhibitors Tab’ is turned on in the ‘Matching Modules’ section of the Setup Tool.  You will then need to select the demographic question (ded_value) that will be used to match the attendee to an exhibitor.  It is typically a ‘products’ question.  
A link will need to be added to the attendee dashboard page to get to ‘myExhibitors’ (this is where the attendee would view the exhibitor matches) (/servlet/MyExhibitorsServlet?action=getBuyerConnectMyExhibitors).  The link to ‘myExhibitors’ can be added to the dashboard when the site is originally set up and should remain active on the dashboard for at least 11 months after the show closes.
For the ‘Standard Setup’ the exhibitor site WP will NOT need to do anything.  For the ‘Custom Setup’ the exhibitor site WP would need to add a link to the exhibitor dashboard page that would allow the exhibitor to manager their own product categories (/jsp/AttendeeReg/{EVT_ID}_{SITE_ID}/JSP/EditProductCategories.jsp).
The show DA will need to populate the exhibitor demographic question and responses in the exhibitor_allot_x_demograph table.  NOTE: If nothing is populated here, there won’t be any automatic matching of attendees to exhibitors.  All exhibitors on the ‘myExhibitors’ list would be exhibitors that the attendee manually added.
</t>
  </si>
  <si>
    <t xml:space="preserve">Attendee / Exhibitor Matching </t>
  </si>
  <si>
    <t xml:space="preserve">
Attendee/Exhibitor Matching Setup
</t>
  </si>
  <si>
    <t>Attendee initiated Exhibitor Appointment Requests</t>
  </si>
  <si>
    <t xml:space="preserve">Attendee initiated Exhibitor Appointment Requests Setup
</t>
  </si>
  <si>
    <t xml:space="preserve">What demographic questions (use the dem_name) should be shared with the exhibitor?
</t>
  </si>
  <si>
    <r>
      <rPr>
        <b/>
        <sz val="10"/>
        <color rgb="FFFF0000"/>
        <rFont val="Arial"/>
        <family val="2"/>
      </rPr>
      <t>NOTE</t>
    </r>
    <r>
      <rPr>
        <sz val="10"/>
        <rFont val="Arial"/>
        <family val="2"/>
      </rPr>
      <t xml:space="preserve">: You can have ‘myExhibitors’ and ‘All Exhibitors’ enabled without having ‘Attendee initiated Exhibitor Appointment Requests’ enabled.
</t>
    </r>
    <r>
      <rPr>
        <b/>
        <sz val="10"/>
        <color rgb="FFFF0000"/>
        <rFont val="Arial"/>
        <family val="2"/>
      </rPr>
      <t>NOTE:</t>
    </r>
    <r>
      <rPr>
        <sz val="10"/>
        <rFont val="Arial"/>
        <family val="2"/>
      </rPr>
      <t xml:space="preserve"> You can have ‘myExhibitors’ and ‘All Exhibitors’ enabled without having ‘Attendee to Exhibitor Matching’.
</t>
    </r>
    <r>
      <rPr>
        <b/>
        <sz val="10"/>
        <color rgb="FFFF0000"/>
        <rFont val="Arial"/>
        <family val="2"/>
      </rPr>
      <t xml:space="preserve">
NOTE</t>
    </r>
    <r>
      <rPr>
        <sz val="10"/>
        <rFont val="Arial"/>
        <family val="2"/>
      </rPr>
      <t xml:space="preserve">: You will also need to fill out the ‘myExhibitors in the myLeads Tap Checklist’.
</t>
    </r>
  </si>
  <si>
    <t>Registration Widget Setup</t>
  </si>
  <si>
    <t xml:space="preserve">Registration Widget - setup is done by the Attendee WP &amp; Exhibitor WP
‘Registration Widget’ can be used with OR without having ConnectME Content - Content, Matching and Appointments enabled on your show.  ‘Registration Widget’ can be accessed from any exhibitor dashboard page - a site with the navigation toolbar (slider) or a site that is not using the navigation toolbar (slider).  
The exhibitor site WP will need to add a link to the exhibitor dashboard page to get to ‘Registration Widget’ (/jsp/AttendeeReg/&lt;evt_id&gt;_&lt;site_id&gt;
/RegistrationWidget.jsp?openStyle=Window). This is where the exhibitor will get the code that is used to generate the widget on their home page. The link to ‘Registration Widget’ can be added to the exhibitor dashboard at any time and should remain active on the dashboard up until the close of the show.
The exhibitor site WP will also need to add a link to the exhibitor dashboard to get the ‘Registrations from Widget’ (/jsp/AttendeeReg/&lt;evt_id&gt;_&lt;site_id&gt;/RegistrationWidgetList.jsp?openStyle=Window). When an attendee registers from the exhibitor widget the exhibitor can see who registered by clicking on ‘Registrations from Widget’. The link to ‘Registrations from Widget’ can be added to the exhibitor dashboard at any time and should remain active on the dashboard for at least 11 months after the show closes.
The attendee site WP will need to update the welcome page to read in the widget tracking code and store that in ‘piece_evtcode’ in the registrant’s record.
</t>
  </si>
  <si>
    <t xml:space="preserve">Get the logo from the client that should be used in the widget.
</t>
  </si>
  <si>
    <t xml:space="preserve">Maximum size 225px x 82px)
</t>
  </si>
  <si>
    <t>Widget Setup</t>
  </si>
  <si>
    <r>
      <t xml:space="preserve">
</t>
    </r>
    <r>
      <rPr>
        <b/>
        <sz val="10"/>
        <color rgb="FFFF0000"/>
        <rFont val="Arial"/>
        <family val="2"/>
      </rPr>
      <t>Standard Setup</t>
    </r>
    <r>
      <rPr>
        <sz val="10"/>
        <rFont val="Arial"/>
        <family val="2"/>
      </rPr>
      <t xml:space="preserve"> - all exhibitors + show organizer get a widget and get statistics for clicks on the widget and registrations from the widget
Exhibitor Widget: Accessed from Exhibitor Dashboard and shows statistics for own widget
Show Organizer Widget: Accessed from Show Organizer Dashboard and show statistics for all widgets
Registration URL in Widget: Goes to the Attendee Site
</t>
    </r>
  </si>
  <si>
    <r>
      <t xml:space="preserve">
</t>
    </r>
    <r>
      <rPr>
        <b/>
        <sz val="10"/>
        <color rgb="FFFF0000"/>
        <rFont val="Arial"/>
        <family val="2"/>
      </rPr>
      <t>Custom Setup - See Attendee &amp; Exhibitor site WPs to discuss custom setup</t>
    </r>
    <r>
      <rPr>
        <sz val="10"/>
        <rFont val="Arial"/>
        <family val="2"/>
      </rPr>
      <t xml:space="preserve">
Exhibitor Widget: Configure which exhibitors get a widget, Change color of [Register Now] button
Show Organizer Widget: Change color of [Register Now] button
Registration URL in Widget: Customize the URL based on the exhibitor
</t>
    </r>
  </si>
  <si>
    <t xml:space="preserve">What Reg codes  or Reg types will be pending ? </t>
  </si>
  <si>
    <r>
      <t xml:space="preserve">Which field are you using for Qualification ? </t>
    </r>
    <r>
      <rPr>
        <b/>
        <sz val="10"/>
        <color rgb="FFFF0000"/>
        <rFont val="Arial"/>
        <family val="2"/>
      </rPr>
      <t xml:space="preserve"> REC 2 it works with all reports &amp; QM the best ! </t>
    </r>
  </si>
  <si>
    <t>Include ?</t>
  </si>
  <si>
    <t xml:space="preserve">Documents </t>
  </si>
  <si>
    <t xml:space="preserve">Web Address </t>
  </si>
  <si>
    <r>
      <rPr>
        <b/>
        <sz val="10"/>
        <rFont val="Arial"/>
        <family val="2"/>
      </rPr>
      <t>Search Results Display</t>
    </r>
    <r>
      <rPr>
        <sz val="10"/>
        <rFont val="Arial"/>
        <family val="2"/>
      </rPr>
      <t xml:space="preserve"> </t>
    </r>
  </si>
  <si>
    <r>
      <t xml:space="preserve">What Search Filters should be used </t>
    </r>
    <r>
      <rPr>
        <b/>
        <sz val="10"/>
        <color rgb="FFFF0000"/>
        <rFont val="Arial"/>
        <family val="2"/>
      </rPr>
      <t xml:space="preserve">( Values with a X are the recommended settings.) </t>
    </r>
  </si>
  <si>
    <t>Badge Number  ( Reg _id)</t>
  </si>
  <si>
    <t xml:space="preserve">Company Name ( comp_sort key) </t>
  </si>
  <si>
    <t>Add Date (add_date)</t>
  </si>
  <si>
    <t xml:space="preserve">Email Address (internet_address_sortkey) </t>
  </si>
  <si>
    <t xml:space="preserve">Full Name ( Reg _ Full_name) </t>
  </si>
  <si>
    <t xml:space="preserve">Approval Status Filter </t>
  </si>
  <si>
    <t>Show Code Filter</t>
  </si>
  <si>
    <t xml:space="preserve">Notes Filter </t>
  </si>
  <si>
    <t xml:space="preserve">Custom Filter ( Fill in field names) </t>
  </si>
  <si>
    <t xml:space="preserve">General Settings </t>
  </si>
  <si>
    <t xml:space="preserve">Recommended Value </t>
  </si>
  <si>
    <r>
      <rPr>
        <b/>
        <sz val="10"/>
        <rFont val="Arial"/>
        <family val="2"/>
      </rPr>
      <t>Setting</t>
    </r>
    <r>
      <rPr>
        <sz val="10"/>
        <rFont val="Arial"/>
        <family val="2"/>
      </rPr>
      <t xml:space="preserve"> </t>
    </r>
  </si>
  <si>
    <t xml:space="preserve">Pagination Default </t>
  </si>
  <si>
    <t xml:space="preserve">10,20,50, 100 </t>
  </si>
  <si>
    <t xml:space="preserve">Search Result Limit </t>
  </si>
  <si>
    <t xml:space="preserve">Free Key </t>
  </si>
  <si>
    <t xml:space="preserve">Active Approve All Feature </t>
  </si>
  <si>
    <t xml:space="preserve">Yes or No </t>
  </si>
  <si>
    <t xml:space="preserve">Email Field </t>
  </si>
  <si>
    <t xml:space="preserve">Dropdown of registrations </t>
  </si>
  <si>
    <t xml:space="preserve">Internet _address </t>
  </si>
  <si>
    <t xml:space="preserve">Approve ALL Code </t>
  </si>
  <si>
    <t xml:space="preserve">Show Specific </t>
  </si>
  <si>
    <t xml:space="preserve">Pending Code </t>
  </si>
  <si>
    <t xml:space="preserve">Drop down of Fields Values </t>
  </si>
  <si>
    <t xml:space="preserve">Send Confirmation Email Check </t>
  </si>
  <si>
    <t xml:space="preserve">List out Demo's </t>
  </si>
  <si>
    <t xml:space="preserve">Qualification Instructions and Documents Requirements </t>
  </si>
  <si>
    <t xml:space="preserve">Reg Type  or Reg Codes </t>
  </si>
  <si>
    <t xml:space="preserve">Example : Attendee </t>
  </si>
  <si>
    <t>AT</t>
  </si>
  <si>
    <t xml:space="preserve">Screen Shots of QM  </t>
  </si>
  <si>
    <t>When Badge formats are approved by client you must contact Heidi and  Mike Blaze that formats are approved and which barcode will be on the badge</t>
  </si>
  <si>
    <t xml:space="preserve">Search Filter Label </t>
  </si>
  <si>
    <r>
      <t xml:space="preserve">What data filters should be used ? </t>
    </r>
    <r>
      <rPr>
        <b/>
        <sz val="10"/>
        <color rgb="FFFF0000"/>
        <rFont val="Arial"/>
        <family val="2"/>
      </rPr>
      <t xml:space="preserve">( Values with a X are recommended settings ) </t>
    </r>
  </si>
  <si>
    <t xml:space="preserve">Approval Field </t>
  </si>
  <si>
    <t xml:space="preserve">Standard - Do No Remove </t>
  </si>
  <si>
    <t xml:space="preserve">Fn, Ln, Address, Title </t>
  </si>
  <si>
    <t xml:space="preserve">Qualification Instructions &amp; Documents instructions </t>
  </si>
  <si>
    <t>Registration Code(s)</t>
  </si>
  <si>
    <r>
      <t xml:space="preserve">•  IMPORTANT : If your show has Express Registration and you have </t>
    </r>
    <r>
      <rPr>
        <b/>
        <sz val="10"/>
        <color rgb="FFFF0000"/>
        <rFont val="Arial"/>
        <family val="2"/>
      </rPr>
      <t>5 or more  tickets you</t>
    </r>
    <r>
      <rPr>
        <sz val="10"/>
        <color rgb="FFFF0000"/>
        <rFont val="Arial"/>
        <family val="2"/>
      </rPr>
      <t xml:space="preserve"> must have a 1 to 1 ( one scanner to one printer) </t>
    </r>
  </si>
  <si>
    <t>if onPeak Housing - full or lite version?</t>
  </si>
  <si>
    <t>•  This grid is set up by the Data Analyst for every show.  Its primary purpose is for TrafficMax, but is also used for Show Management and CSI email blasts. This information collected in this table should be taken into consideration when sending any email blasts for a show, so talk to your DA about the information collected in this table</t>
  </si>
  <si>
    <t>15 if on same line as name_last</t>
  </si>
  <si>
    <t>22 if on same line as name_first</t>
  </si>
  <si>
    <t xml:space="preserve">Length for Badge Print </t>
  </si>
  <si>
    <t>CompuCode Bar Code should include: (NOTE: If your show is using a PDF-417 you need to change the description and list it here)</t>
  </si>
  <si>
    <t>Printer Ribbon**</t>
  </si>
  <si>
    <t xml:space="preserve">Correction/Back Terminal </t>
  </si>
  <si>
    <t>Color Printer</t>
  </si>
  <si>
    <t>Does your Exhibitor Website Offering 'Add Previous Booth Personnel' Functionality?</t>
  </si>
  <si>
    <t>Membership Validation - 'pull' (If yes, click and complete the ‘Web Services Request Form’ above.)</t>
  </si>
  <si>
    <t>Registration Data Transfer - 'push' (If yes, click and complete the ‘Web Services Request Form’ above.)</t>
  </si>
  <si>
    <t>Interim/Inquiry Site Event UID</t>
  </si>
  <si>
    <t>Discount Code/Fake Credit Card for Web</t>
  </si>
  <si>
    <t>Yes - default</t>
  </si>
  <si>
    <t>EventExplorer - reg site</t>
  </si>
  <si>
    <t>Event Explorer - standalone</t>
  </si>
  <si>
    <t>CSI Attendee-Exhibitor myLeads Features</t>
  </si>
  <si>
    <t>Social Networks</t>
  </si>
  <si>
    <t>Exhibitor Widget</t>
  </si>
  <si>
    <t>Attendee BuyerConnect / myLeads</t>
  </si>
  <si>
    <t>Exhibitor BuyerConnect / myLeads</t>
  </si>
  <si>
    <t>CyberCafe / Internet Café</t>
  </si>
  <si>
    <t>Full Name</t>
  </si>
  <si>
    <t>Credentials</t>
  </si>
  <si>
    <t>001</t>
  </si>
  <si>
    <r>
      <t>·</t>
    </r>
    <r>
      <rPr>
        <sz val="10"/>
        <rFont val="Times New Roman"/>
        <family val="1"/>
      </rPr>
      <t xml:space="preserve">      </t>
    </r>
    <r>
      <rPr>
        <sz val="10"/>
        <rFont val="Arial"/>
        <family val="2"/>
      </rPr>
      <t>Mantis Project: CompuSystems IT Operations &amp; Support</t>
    </r>
  </si>
  <si>
    <t>A. Services Offered (Include in Mantis Request)</t>
  </si>
  <si>
    <t>B. Email &amp; Phone Number Set-Up (Include in Mantis Request)</t>
  </si>
  <si>
    <r>
      <t>·</t>
    </r>
    <r>
      <rPr>
        <sz val="10"/>
        <rFont val="Times New Roman"/>
        <family val="1"/>
      </rPr>
      <t>      </t>
    </r>
    <r>
      <rPr>
        <sz val="10"/>
        <rFont val="Arial"/>
        <family val="2"/>
      </rPr>
      <t>If a email address or phone numbers already exist for a repeat show, indicate this in Mantis.</t>
    </r>
  </si>
  <si>
    <r>
      <t>·</t>
    </r>
    <r>
      <rPr>
        <sz val="10"/>
        <rFont val="Times New Roman"/>
        <family val="1"/>
      </rPr>
      <t xml:space="preserve">      </t>
    </r>
    <r>
      <rPr>
        <sz val="10"/>
        <rFont val="Arial"/>
        <family val="2"/>
      </rPr>
      <t>Complete the CS Go Live Checklist. For repeat shows, it is best practice to review previous year's information and update with current year information. Click on the below link for the template.  Add all additional CS information to the Checklist, not the PSM. Delete sections if not applicable.  Remove the ‘password to modify’ so CS can update it.</t>
    </r>
  </si>
  <si>
    <t>NOTE: If your show is using the new QM application, please send a email to your DA and Matt W. to have this setup. You must still complete this tab in the PSM</t>
  </si>
  <si>
    <t>Customer Service Go Live Checklist Template</t>
  </si>
  <si>
    <r>
      <t xml:space="preserve">BuyerConnect/myLeads Reporting </t>
    </r>
    <r>
      <rPr>
        <sz val="10"/>
        <rFont val="Arial"/>
        <family val="2"/>
      </rPr>
      <t xml:space="preserve"> (Optional Reports - Use if service is being offered.)</t>
    </r>
  </si>
  <si>
    <t xml:space="preserve">Password - Must be 8-15 characters, contain uppercase and lowercase letters, have special characters (e.g., !$@#) and at least 1 number. Passwords are needed for the initial set-up.  After the first 90 days the client will change it and the ESM will not have knowledge of it. If a client already has a user created from a previous year and/or show, you do not need to create a new one - request your DA to give that user access to the new database/event. </t>
  </si>
  <si>
    <t>Badge /  Ticket / Credential Formats</t>
  </si>
  <si>
    <t>Client SLA or Specific Account Details/Notes</t>
  </si>
  <si>
    <t>Data Analyst Work Request Information</t>
  </si>
  <si>
    <t>Email Inbox Work Request Subject</t>
  </si>
  <si>
    <r>
      <t xml:space="preserve">* These people should place the call only if the 1st person is not available to place the call.
** Only contact these people in the event you are not able to contact the 1st person on the list.
***The FSA Department should be contacted in this order:  
1.  Alex Villalobos  (312.342.7829),   1a.  </t>
    </r>
    <r>
      <rPr>
        <sz val="8"/>
        <color rgb="FFFF0000"/>
        <rFont val="Arial"/>
        <family val="2"/>
      </rPr>
      <t>Andrea Crowe - ESGDA Issues only (219.309.7903)</t>
    </r>
    <r>
      <rPr>
        <sz val="8"/>
        <rFont val="Arial"/>
        <family val="2"/>
      </rPr>
      <t xml:space="preserve">
2.  Chris Hurst  (224.805.2564)
3.  Oscar Lee  (847.809.2059)
4.  </t>
    </r>
    <r>
      <rPr>
        <sz val="8"/>
        <color rgb="FFFF0000"/>
        <rFont val="Arial"/>
        <family val="2"/>
      </rPr>
      <t>Haseeb Hussain  (847.530.1493)</t>
    </r>
    <r>
      <rPr>
        <sz val="8"/>
        <rFont val="Arial"/>
        <family val="2"/>
      </rPr>
      <t xml:space="preserve"> 
Attempts to call the people on the list should be done in the order they are listed.
Please be sure to keep the ESM and/or the DCR in the loop on any issues you feel are critical to the show.
</t>
    </r>
  </si>
  <si>
    <t xml:space="preserve">This report pulls the historical data from the current show's database.  
It is used on shows new to CSI because we wouldn't have past databases to pull the data from.  </t>
  </si>
  <si>
    <t xml:space="preserve">Historical Registration Code Summary (new version) </t>
  </si>
  <si>
    <t>This report uses an offset number.  The offset number is the number of days between the current show's start date and the past show's start dates.  This allows the client to enter any start and end date on the criteria page and the report will pull the correct data from the past shows. This report also uses an XML file to store the reg codes in it.  If a client doesn't want all of the reg codes to be included in the report the DA can store the appropriate reg codes in the XML.  It looks at the registrant's add_date.  
This report is used on shows that CSI has done for a few years because we have the show's past databases.</t>
  </si>
  <si>
    <t xml:space="preserve">Historical Registration Code Summary II  </t>
  </si>
  <si>
    <t>10104 </t>
  </si>
  <si>
    <t xml:space="preserve">This report uses an offset number.  It also uses an XML file to store the reg codes in it.   It looks at the registrant's trans_date and reg_evtcode in account_trans.  
This report is used on shows that CSI has done for a few years because we have the show's past databases. The show also wants this to balance to the Sales Summary instead of the Reg Method Summary or Reg &amp; Att Summary.  
This is normally used for Reed shows.  </t>
  </si>
  <si>
    <t>CompuSystems Address</t>
  </si>
  <si>
    <t>CompuSystems, 2651 Warrenville Rd Suite 400, Downers Grove, IL 60515</t>
  </si>
  <si>
    <t>Information Needed for Exhibitor Content</t>
  </si>
  <si>
    <r>
      <rPr>
        <b/>
        <sz val="10"/>
        <rFont val="Arial"/>
        <family val="2"/>
      </rPr>
      <t>Type:</t>
    </r>
    <r>
      <rPr>
        <sz val="10"/>
        <rFont val="Arial"/>
        <family val="2"/>
      </rPr>
      <t xml:space="preserve"> Lite</t>
    </r>
  </si>
  <si>
    <t>Online Company Directory Listing</t>
  </si>
  <si>
    <t>Company Name</t>
  </si>
  <si>
    <t>Company Description (words)</t>
  </si>
  <si>
    <t>Product Categories</t>
  </si>
  <si>
    <t>Exhibitor Search Inclusion</t>
  </si>
  <si>
    <t>Automated Attendee/Exhibitor Matching</t>
  </si>
  <si>
    <t>Company Address/Phone/Fax</t>
  </si>
  <si>
    <t>Key Contact Name</t>
  </si>
  <si>
    <t>Key Contact Email Address</t>
  </si>
  <si>
    <t>Website URL</t>
  </si>
  <si>
    <t>Social Networking Links</t>
  </si>
  <si>
    <t>Electronic Literature</t>
  </si>
  <si>
    <t>Press Releases and/or White Papers</t>
  </si>
  <si>
    <t>Videos</t>
  </si>
  <si>
    <t>Company Logo</t>
  </si>
  <si>
    <t xml:space="preserve">Featured Exhibitor Status
(Priority placement online and in show app.)
Limited to 10% of ALL exhibitors
</t>
  </si>
  <si>
    <t>x</t>
  </si>
  <si>
    <t xml:space="preserve">    -  Please fill out the below grid based on the features your show is offering for Exhibitor Conent. </t>
  </si>
  <si>
    <t>Exhibitor Content Features</t>
  </si>
  <si>
    <t>OnPeak Meeting ID Code</t>
  </si>
  <si>
    <t>OnPeak Integration Level- 
Full or Lite?</t>
  </si>
  <si>
    <t>Category ID Mapping Information</t>
  </si>
  <si>
    <t>CSI Website</t>
  </si>
  <si>
    <r>
      <t xml:space="preserve">CSI Reg Fields
</t>
    </r>
    <r>
      <rPr>
        <sz val="8"/>
        <rFont val="Arial"/>
        <family val="2"/>
      </rPr>
      <t>(Each Category ID is often associated wth specific Reg Codes, demo responses, etc.)</t>
    </r>
  </si>
  <si>
    <t xml:space="preserve">Phones: </t>
  </si>
  <si>
    <t>QR Code Scanning features:</t>
  </si>
  <si>
    <t>Mobile Tablets</t>
  </si>
  <si>
    <t>Manual Lead Data Entry features:</t>
  </si>
  <si>
    <t>Mobile Tablets:</t>
  </si>
  <si>
    <t xml:space="preserve">    iPhone 4, 5, 6, (IOS 7 and above)</t>
  </si>
  <si>
    <t xml:space="preserve">    Android Phones 4.0 and up</t>
  </si>
  <si>
    <t xml:space="preserve">    iPad (IOS 7 and above)</t>
  </si>
  <si>
    <t xml:space="preserve">   iPhone 4, 5, 6</t>
  </si>
  <si>
    <t xml:space="preserve">   Android Phones</t>
  </si>
  <si>
    <t xml:space="preserve">   iPad </t>
  </si>
  <si>
    <t xml:space="preserve">   Android tablets used as a 'Kiosk' feature (manual entry)</t>
  </si>
  <si>
    <r>
      <t xml:space="preserve">NOTE: </t>
    </r>
    <r>
      <rPr>
        <sz val="10"/>
        <color rgb="FFFF0000"/>
        <rFont val="Arial"/>
        <family val="2"/>
      </rPr>
      <t>Below is a breakdown of the devices that support the CompuLEAD SmartApp as of Feb. 2014</t>
    </r>
  </si>
  <si>
    <r>
      <t xml:space="preserve">NOTE: This section of the PSM must be completed and accurate no later than </t>
    </r>
    <r>
      <rPr>
        <b/>
        <u/>
        <sz val="10"/>
        <color rgb="FFFF0000"/>
        <rFont val="Arial"/>
        <family val="2"/>
      </rPr>
      <t>2 months</t>
    </r>
    <r>
      <rPr>
        <b/>
        <sz val="10"/>
        <color rgb="FFFF0000"/>
        <rFont val="Arial"/>
        <family val="2"/>
      </rPr>
      <t xml:space="preserve"> prior to onsite. This information is used by several different departments, including Logistics, and is crucial in making sure that the correct equipment and quantities are shipped in the show freight. </t>
    </r>
  </si>
  <si>
    <r>
      <t xml:space="preserve">NOTE: This section of the PSM must be completed and accurate no later than </t>
    </r>
    <r>
      <rPr>
        <b/>
        <u/>
        <sz val="10"/>
        <color rgb="FFFF0000"/>
        <rFont val="Arial"/>
        <family val="2"/>
      </rPr>
      <t>2 months</t>
    </r>
    <r>
      <rPr>
        <b/>
        <sz val="10"/>
        <color rgb="FFFF0000"/>
        <rFont val="Arial"/>
        <family val="2"/>
      </rPr>
      <t xml:space="preserve"> prior to onsite. This information is used by several different departments, including Logistics, and is crucial in making sure that the correct materials and quantities are shipped in the show freight. </t>
    </r>
  </si>
  <si>
    <t>Exhibitor Content</t>
  </si>
  <si>
    <t>Attendee and Exhibitor Web Dashboard</t>
  </si>
  <si>
    <t>The WP will enable the below modules.</t>
  </si>
  <si>
    <r>
      <rPr>
        <b/>
        <sz val="10"/>
        <rFont val="Arial"/>
        <family val="2"/>
      </rPr>
      <t>The features outlined below are the default information included with Content Lite</t>
    </r>
    <r>
      <rPr>
        <sz val="10"/>
        <rFont val="Arial"/>
        <family val="2"/>
      </rPr>
      <t xml:space="preserve">. If your client is utilizing any of our other Exhibitor Content </t>
    </r>
  </si>
  <si>
    <t xml:space="preserve">packges (Basic, Enhanced, Premium or Premium +), your DCR will contact you with the Type of package that was sold to your client and will identify </t>
  </si>
  <si>
    <t xml:space="preserve">what features their package includes. You must then update the below grid accordingly with the proper features and type for your show. </t>
  </si>
  <si>
    <t xml:space="preserve">    -  It is standard that all shows will be using at least Content Lite.</t>
  </si>
  <si>
    <t xml:space="preserve">Setup is done by the Attendee and Exhibitor WP
‘Attendee initiated Exhibitor Appointment Requests’ can be used without having the other modules associated with ConnectME Content - myLeads and Content enabled on your show.  The ‘Attendee initiated Exhibitor Appointment Requests’ can be accessed from any dashboard page - a site with the navigation toolbar (slider) or a site that is not using the navigation toolbar (slider). 
The attendee site WP will need to make sure ‘Attendee initiated Exhibitor Appointment Requests’, ‘Attendee to Exhibitor Matching’, ‘mySchedule’, ‘BoothSchedule’, ‘Include Download mySchedule and/or BoothSchedule option?’, ‘myExhibitors’ and ‘All Exhibitors Tab’ is turned on in the ‘Matching Modules’ section of the Setup Tool.  In addition to turning on these modules, the attendee site WP will also need to configure the attendee information (registration &amp; demographic) that is shared with the exhibitor in ‘Exhibitor Matches’, the appointment request emails that are exchanged between the attendee &amp; exhibitor in ‘Email Setup’, the show and exhibit hall dates &amp; time and the types of sessions in ‘Setup Show &amp; Exhibit Hall Dates and Times’ that should show up on ‘mySchedule’.  
A link will need to be added to the attendee dashboard page to get to ‘myExhibitors’ (this is where the attendee would view the exhibitor and create an appointment) (/servlet/MyExhibitorsServlet?action=getBuyerConnectMyExhibitors) and a link would need to be added to the attendee dashboard page to get to ‘mySchedule’ (this is where the attendee can view all their appointments and events) (/servlet/AgendaServlet?action=viewBuyerConnectMySchedule).  The links to ‘myExhibitors’ and ‘mySchedule’ can be added to the dashboard when the site is originally set up and should remain active on the dashboard for at least 11 months after the show closes.
The exhibitor site WP will need to add a link to the exhibitor dashboard page to get to ‘BoothSchedule’ (this is where the exhibitor can approve/deny/request a new time for an appointment) (/servlet/AgendaServlet?action=loadExhAppointmentManager). The link to ‘BoothSchedule’ can be added to the dashboard when the site is originally set up and should remain active on the dashboard for at least 11 months after the show closes.
</t>
  </si>
  <si>
    <r>
      <rPr>
        <b/>
        <sz val="10"/>
        <rFont val="Arial"/>
        <family val="2"/>
      </rPr>
      <t>Standard Setup</t>
    </r>
    <r>
      <rPr>
        <sz val="10"/>
        <rFont val="Arial"/>
        <family val="2"/>
      </rPr>
      <t xml:space="preserve">
Modules: Attendee initiated Exhibitor Appointment Requests, Attendee to Exhibitor Matching, mySchedule, Include Download mySchedule and/or BoothSchedule Option, BoothSchedule, myExhibitors Tab and All Exhibitors Tab
Show and Exhibit Hall Dates/Hours: Found in ‘Onsite’ tab of the PSM
Attendee information shared with Exhibitor: First Name, Last Name, Title, Company, State, Country, Registration Category and Demographic Questions (Enter ded_value(s) in Step 2.)
Appointment Email Settings: Attendee Requested, Attendee Rejected, Attendee Confirmed, Attendee Cancelled, Attendee Proposed, 
Exhibitor Rejected, Exhibitor Confirmed, Exhibitor Cancelled and Exhibitor Proposed
mySchedule option types codes to display: ACTIVITY, GENERAL, SESSION, WORKSHOP, and LAB
</t>
    </r>
  </si>
  <si>
    <r>
      <t xml:space="preserve">
</t>
    </r>
    <r>
      <rPr>
        <b/>
        <sz val="10"/>
        <color rgb="FFFF0000"/>
        <rFont val="Arial"/>
        <family val="2"/>
      </rPr>
      <t>Custom Setup - See Attendee Site WP to discuss custom setup</t>
    </r>
    <r>
      <rPr>
        <sz val="10"/>
        <rFont val="Arial"/>
        <family val="2"/>
      </rPr>
      <t xml:space="preserve">
Modules: Only Download mySchedule and/or BoothSchedule Option can be turned off.
Show and Exhibit Hall Dates/Hours: Found in ‘Onsite’ tab of the PSM
Attendee information shared with Exhibitor: See Attendee Site WP to discuss the attendee information shared with the exhibitor.
mySchedule option types codes to display: See the Attendee Site WP to discuss the option_type_code values to display
Appointment Email Settings: Attendee Requested, Attendee Rejected, Attendee Confirmed, Attendee Cancelled, Attendee Proposed, Exhibitor Rejected, Exhibitor Confirmed, Exhibitor Cancelled and Exhibitor Proposed
</t>
    </r>
  </si>
  <si>
    <r>
      <t xml:space="preserve">
</t>
    </r>
    <r>
      <rPr>
        <b/>
        <sz val="10"/>
        <color rgb="FFFF0000"/>
        <rFont val="Arial"/>
        <family val="2"/>
      </rPr>
      <t>NOTE:</t>
    </r>
    <r>
      <rPr>
        <sz val="10"/>
        <rFont val="Arial"/>
        <family val="2"/>
      </rPr>
      <t xml:space="preserve"> You can have ‘Attendee initiated Exhibitor Appointment Requests’ enabled without having automatic Attendee to Exhibitor Matching -- meaning you don’t have products specified in exhibitor_allot_x_demograph.
</t>
    </r>
    <r>
      <rPr>
        <b/>
        <sz val="10"/>
        <color rgb="FFFF0000"/>
        <rFont val="Arial"/>
        <family val="2"/>
      </rPr>
      <t>NOTE:</t>
    </r>
    <r>
      <rPr>
        <sz val="10"/>
        <rFont val="Arial"/>
        <family val="2"/>
      </rPr>
      <t xml:space="preserve"> You will also need to fill out the ‘myExhibitors Setup'  in the myleads Tab.
</t>
    </r>
  </si>
  <si>
    <r>
      <t xml:space="preserve">
</t>
    </r>
    <r>
      <rPr>
        <b/>
        <sz val="10"/>
        <rFont val="Arial"/>
        <family val="2"/>
      </rPr>
      <t>Standard Setup</t>
    </r>
    <r>
      <rPr>
        <sz val="10"/>
        <rFont val="Arial"/>
        <family val="2"/>
      </rPr>
      <t xml:space="preserve">
Modules: myExhibitors Tab and All Exhibitors Tab
Features: Exhibitor product categories come from client
</t>
    </r>
  </si>
  <si>
    <r>
      <rPr>
        <b/>
        <sz val="10"/>
        <color rgb="FFFF0000"/>
        <rFont val="Arial"/>
        <family val="2"/>
      </rPr>
      <t xml:space="preserve">Custom Setup - See Attendee and Exhibitor Site WP to discuss custom setup
</t>
    </r>
    <r>
      <rPr>
        <sz val="10"/>
        <rFont val="Arial"/>
        <family val="2"/>
      </rPr>
      <t>Modules: myExhibitors Tab and All Exhibitors Tab.
Features: Exhibitor can manage their own product categories (link on Exhibitor Dashboard)</t>
    </r>
    <r>
      <rPr>
        <b/>
        <sz val="10"/>
        <color rgb="FFFF0000"/>
        <rFont val="Arial"/>
        <family val="2"/>
      </rPr>
      <t xml:space="preserve">
</t>
    </r>
  </si>
  <si>
    <t>Web Dashboard</t>
  </si>
  <si>
    <t>myLeads</t>
  </si>
  <si>
    <r>
      <rPr>
        <b/>
        <sz val="14"/>
        <rFont val="Arial"/>
        <family val="2"/>
      </rPr>
      <t>Travel Planners</t>
    </r>
    <r>
      <rPr>
        <sz val="14"/>
        <rFont val="Arial"/>
        <family val="2"/>
      </rPr>
      <t xml:space="preserve"> </t>
    </r>
  </si>
  <si>
    <t xml:space="preserve">Exhibitor Literature 
(Enhanced, Premium, or Premium + Only) </t>
  </si>
  <si>
    <t>American College of Surgeons</t>
  </si>
  <si>
    <t>Venue Website</t>
  </si>
  <si>
    <t>CAPS</t>
  </si>
  <si>
    <t>Cell</t>
  </si>
  <si>
    <t>Ginger Kernkamp</t>
  </si>
  <si>
    <t>331-903-6555</t>
  </si>
  <si>
    <t>ginger.kernkamp@csireg.com</t>
  </si>
  <si>
    <t>630-750-4031</t>
  </si>
  <si>
    <t>Shawn</t>
  </si>
  <si>
    <t>dpteam#2@csireg.com</t>
  </si>
  <si>
    <t>Co-Location N/A</t>
  </si>
  <si>
    <t>633 N. Saint Clair Street</t>
  </si>
  <si>
    <t>Chicago, IL  60611</t>
  </si>
  <si>
    <t>312-202-5504</t>
  </si>
  <si>
    <t>312-202-5003</t>
  </si>
  <si>
    <t>Mobile</t>
  </si>
  <si>
    <t xml:space="preserve">Content </t>
  </si>
  <si>
    <t>(other than content lite)</t>
  </si>
  <si>
    <t>Cancelled Attendee</t>
  </si>
  <si>
    <t>Cancelled Exhibitor</t>
  </si>
  <si>
    <t>BLC</t>
  </si>
  <si>
    <t>Blocked Registration</t>
  </si>
  <si>
    <t>MEM</t>
  </si>
  <si>
    <t>AAST Member</t>
  </si>
  <si>
    <t>AAST MEMBER</t>
  </si>
  <si>
    <t>NON</t>
  </si>
  <si>
    <t>Non-Member</t>
  </si>
  <si>
    <t>NON-MEMBER</t>
  </si>
  <si>
    <t>NPM</t>
  </si>
  <si>
    <t>Nurses/Paramedical</t>
  </si>
  <si>
    <t>NURSE/PARAMEDICAL</t>
  </si>
  <si>
    <t>TRN</t>
  </si>
  <si>
    <t>In-Training Fellow</t>
  </si>
  <si>
    <t>IN-TRAINING FELLOW</t>
  </si>
  <si>
    <t>RES</t>
  </si>
  <si>
    <t>Resident</t>
  </si>
  <si>
    <t>RESIDENT</t>
  </si>
  <si>
    <t>STU</t>
  </si>
  <si>
    <t>Student</t>
  </si>
  <si>
    <t>STUDENT</t>
  </si>
  <si>
    <t>OTH</t>
  </si>
  <si>
    <t>Other (medical personnel not listed)</t>
  </si>
  <si>
    <t>NON-MEDICAL</t>
  </si>
  <si>
    <t>STF</t>
  </si>
  <si>
    <t>Staff</t>
  </si>
  <si>
    <t>STAFF</t>
  </si>
  <si>
    <t>PRS</t>
  </si>
  <si>
    <t>GST</t>
  </si>
  <si>
    <t>Spouse/Guest</t>
  </si>
  <si>
    <t>GUEST</t>
  </si>
  <si>
    <t>EXH</t>
  </si>
  <si>
    <t>Preconference Sessions</t>
  </si>
  <si>
    <t xml:space="preserve">CRR </t>
  </si>
  <si>
    <t xml:space="preserve">Corporate Representative </t>
  </si>
  <si>
    <t>DB Only</t>
  </si>
  <si>
    <t>CORPORATE REP</t>
  </si>
  <si>
    <t>CORPORATE REPRESENTATIVE</t>
  </si>
  <si>
    <t>Qualifications</t>
  </si>
  <si>
    <t>Approved</t>
  </si>
  <si>
    <t>Pending</t>
  </si>
  <si>
    <t>Declined</t>
  </si>
  <si>
    <t>New Member</t>
  </si>
  <si>
    <t>New</t>
  </si>
  <si>
    <t>Daily Registration</t>
  </si>
  <si>
    <t>WT</t>
  </si>
  <si>
    <t>Wednesday/Thursday</t>
  </si>
  <si>
    <t>WF</t>
  </si>
  <si>
    <t>Wednesday/Friday</t>
  </si>
  <si>
    <t>WS</t>
  </si>
  <si>
    <t>Wednesday/Saturday</t>
  </si>
  <si>
    <t>TF</t>
  </si>
  <si>
    <t>Thursday/Friday</t>
  </si>
  <si>
    <t>TS</t>
  </si>
  <si>
    <t>Thursday/Saturday</t>
  </si>
  <si>
    <t>FS</t>
  </si>
  <si>
    <t>Friday/Saturday</t>
  </si>
  <si>
    <t>WTF</t>
  </si>
  <si>
    <t>Wednesday/Thursday/Friday</t>
  </si>
  <si>
    <t>WTS</t>
  </si>
  <si>
    <t>Wednesday/Thursday/Saturday</t>
  </si>
  <si>
    <t>TFS</t>
  </si>
  <si>
    <t>Thursday/Friday/Saturday</t>
  </si>
  <si>
    <t>WFS</t>
  </si>
  <si>
    <t>Wednesday/Friday/Saturday</t>
  </si>
  <si>
    <t>reg5_evtcode:</t>
  </si>
  <si>
    <t>Ribbon Flag 1</t>
  </si>
  <si>
    <t>PP</t>
  </si>
  <si>
    <t xml:space="preserve">Past President </t>
  </si>
  <si>
    <t>BM</t>
  </si>
  <si>
    <t xml:space="preserve">Board Member </t>
  </si>
  <si>
    <t>PE</t>
  </si>
  <si>
    <t xml:space="preserve">President Elect </t>
  </si>
  <si>
    <t>CC</t>
  </si>
  <si>
    <t xml:space="preserve">Committee Chair </t>
  </si>
  <si>
    <t>ED</t>
  </si>
  <si>
    <t xml:space="preserve">Editor </t>
  </si>
  <si>
    <t xml:space="preserve">Executive Director </t>
  </si>
  <si>
    <t>ST</t>
  </si>
  <si>
    <t xml:space="preserve">Secretary-Treasurer </t>
  </si>
  <si>
    <t>I</t>
  </si>
  <si>
    <t xml:space="preserve">International </t>
  </si>
  <si>
    <t>VP</t>
  </si>
  <si>
    <t xml:space="preserve">Vice President </t>
  </si>
  <si>
    <t xml:space="preserve">Recorder </t>
  </si>
  <si>
    <t>PC</t>
  </si>
  <si>
    <t xml:space="preserve">Program Chair </t>
  </si>
  <si>
    <t xml:space="preserve">President </t>
  </si>
  <si>
    <t>NM</t>
  </si>
  <si>
    <t>New Members</t>
  </si>
  <si>
    <t>MS</t>
  </si>
  <si>
    <t>Master Surgeon</t>
  </si>
  <si>
    <t>SPK</t>
  </si>
  <si>
    <t>IPP</t>
  </si>
  <si>
    <t>Immediate Past President</t>
  </si>
  <si>
    <t>2F2</t>
  </si>
  <si>
    <t>20for20 Contributor</t>
  </si>
  <si>
    <t>BS</t>
  </si>
  <si>
    <t>Bronze Sponsor</t>
  </si>
  <si>
    <t>RSR</t>
  </si>
  <si>
    <t>Research Scholarship Recipient</t>
  </si>
  <si>
    <t>SP</t>
  </si>
  <si>
    <t>Silver Sponsor</t>
  </si>
  <si>
    <t>FL</t>
  </si>
  <si>
    <t xml:space="preserve">Fitts Lecturer </t>
  </si>
  <si>
    <t>Ribbon Flag 6</t>
  </si>
  <si>
    <t xml:space="preserve">Reg 6 </t>
  </si>
  <si>
    <t xml:space="preserve">Ribbon Flag 7 </t>
  </si>
  <si>
    <t>text2:</t>
  </si>
  <si>
    <t>Ribbon Flag 2</t>
  </si>
  <si>
    <t>text3:</t>
  </si>
  <si>
    <t>Ribbon Flag 3</t>
  </si>
  <si>
    <t>text4:</t>
  </si>
  <si>
    <t>Ribbon Flag 4</t>
  </si>
  <si>
    <t>text5:</t>
  </si>
  <si>
    <t>Ribbon Flag 5</t>
  </si>
  <si>
    <t>Discount Code</t>
  </si>
  <si>
    <t>ACCOMMOD</t>
  </si>
  <si>
    <t>Check here if ADA (Americans with Disabilities Act) accommodation is required</t>
  </si>
  <si>
    <t>NO</t>
  </si>
  <si>
    <t>Multiple</t>
  </si>
  <si>
    <t>Audio</t>
  </si>
  <si>
    <t>Visual</t>
  </si>
  <si>
    <t>Other (please indicate)</t>
  </si>
  <si>
    <t>RESTRICT</t>
  </si>
  <si>
    <t>Check here if you have a dietary restriction</t>
  </si>
  <si>
    <t>Please Specify</t>
  </si>
  <si>
    <t>MILITARY</t>
  </si>
  <si>
    <t>Military Affiliation</t>
  </si>
  <si>
    <t>AC</t>
  </si>
  <si>
    <t>Active</t>
  </si>
  <si>
    <t>GR</t>
  </si>
  <si>
    <t>Guard</t>
  </si>
  <si>
    <t>RE</t>
  </si>
  <si>
    <t>Reserve</t>
  </si>
  <si>
    <t>RT</t>
  </si>
  <si>
    <t>Retired</t>
  </si>
  <si>
    <t>EMERGENC</t>
  </si>
  <si>
    <t>Pre-Meeting Emergency Contact Information</t>
  </si>
  <si>
    <t>Both</t>
  </si>
  <si>
    <t>ME</t>
  </si>
  <si>
    <t>Mobile E-mail</t>
  </si>
  <si>
    <t>MP</t>
  </si>
  <si>
    <t>Mobile Phone</t>
  </si>
  <si>
    <t>HP</t>
  </si>
  <si>
    <t>Home Phone</t>
  </si>
  <si>
    <t>AFD</t>
  </si>
  <si>
    <t>002</t>
  </si>
  <si>
    <t>008</t>
  </si>
  <si>
    <t xml:space="preserve"> TRN</t>
  </si>
  <si>
    <t>A,P, D</t>
  </si>
  <si>
    <t>009</t>
  </si>
  <si>
    <t>In-Training Fellow Wed</t>
  </si>
  <si>
    <t>010</t>
  </si>
  <si>
    <t>In-Train Fellow Thurs</t>
  </si>
  <si>
    <t>011</t>
  </si>
  <si>
    <t>In-Train Fellow Fri</t>
  </si>
  <si>
    <t>012</t>
  </si>
  <si>
    <t>In-Train Fellow Sat</t>
  </si>
  <si>
    <t>In-Train Fellow WT</t>
  </si>
  <si>
    <t>In-Train Fellow WF</t>
  </si>
  <si>
    <t>In-Training Fellow WS</t>
  </si>
  <si>
    <t>037</t>
  </si>
  <si>
    <t>In-Train Fellow TF</t>
  </si>
  <si>
    <t>038</t>
  </si>
  <si>
    <t>In-Training Fellow TS</t>
  </si>
  <si>
    <t>039</t>
  </si>
  <si>
    <t>In-Training Fellow FS</t>
  </si>
  <si>
    <t>040</t>
  </si>
  <si>
    <t>In-Train Fellow WTF</t>
  </si>
  <si>
    <t>041</t>
  </si>
  <si>
    <t>In-Training Fellow WTS</t>
  </si>
  <si>
    <t>042</t>
  </si>
  <si>
    <t>In-Training Fellow WFS</t>
  </si>
  <si>
    <t>043</t>
  </si>
  <si>
    <t>In-Training Fellow TFS</t>
  </si>
  <si>
    <t>013</t>
  </si>
  <si>
    <t>Resident Sat</t>
  </si>
  <si>
    <t>054</t>
  </si>
  <si>
    <t>Resident WS</t>
  </si>
  <si>
    <t>055</t>
  </si>
  <si>
    <t>Resident TS</t>
  </si>
  <si>
    <t>056</t>
  </si>
  <si>
    <t>Resident FS</t>
  </si>
  <si>
    <t>057</t>
  </si>
  <si>
    <t>Resident WTS</t>
  </si>
  <si>
    <t>058</t>
  </si>
  <si>
    <t>Resident WFS</t>
  </si>
  <si>
    <t>059</t>
  </si>
  <si>
    <t>Resident TFS</t>
  </si>
  <si>
    <t>075</t>
  </si>
  <si>
    <t>076</t>
  </si>
  <si>
    <t>Resident Wed</t>
  </si>
  <si>
    <t>077</t>
  </si>
  <si>
    <t>Resident Thurs</t>
  </si>
  <si>
    <t>078</t>
  </si>
  <si>
    <t>Resident Fri</t>
  </si>
  <si>
    <t>079</t>
  </si>
  <si>
    <t>Resident WT</t>
  </si>
  <si>
    <t>080</t>
  </si>
  <si>
    <t>Resident WF</t>
  </si>
  <si>
    <t>081</t>
  </si>
  <si>
    <t>Resident TF</t>
  </si>
  <si>
    <t>082</t>
  </si>
  <si>
    <t>Resident WTF</t>
  </si>
  <si>
    <t>014</t>
  </si>
  <si>
    <t>015</t>
  </si>
  <si>
    <t>016</t>
  </si>
  <si>
    <t>017</t>
  </si>
  <si>
    <t>018</t>
  </si>
  <si>
    <t>Student Sat</t>
  </si>
  <si>
    <t>044</t>
  </si>
  <si>
    <t>Student  WT</t>
  </si>
  <si>
    <t>045</t>
  </si>
  <si>
    <t>Student  WF</t>
  </si>
  <si>
    <t>046</t>
  </si>
  <si>
    <t>Student  WS</t>
  </si>
  <si>
    <t>047</t>
  </si>
  <si>
    <t>Student  TF</t>
  </si>
  <si>
    <t>048</t>
  </si>
  <si>
    <t>Student  TS</t>
  </si>
  <si>
    <t>Student  FS</t>
  </si>
  <si>
    <t>Student  WTF</t>
  </si>
  <si>
    <t>Student  WTS</t>
  </si>
  <si>
    <t>052</t>
  </si>
  <si>
    <t>Student  WFS</t>
  </si>
  <si>
    <t>053</t>
  </si>
  <si>
    <t>Student  TFS</t>
  </si>
  <si>
    <t>003</t>
  </si>
  <si>
    <t>004</t>
  </si>
  <si>
    <t>005</t>
  </si>
  <si>
    <t>006</t>
  </si>
  <si>
    <t>007</t>
  </si>
  <si>
    <t>Nurses/Paramedical Sat</t>
  </si>
  <si>
    <t>024</t>
  </si>
  <si>
    <t>Nurses/Paramedical WT</t>
  </si>
  <si>
    <t>025</t>
  </si>
  <si>
    <t>Nurses/Paramedical WF</t>
  </si>
  <si>
    <t>026</t>
  </si>
  <si>
    <t>Nurses/Paramedical WS</t>
  </si>
  <si>
    <t>027</t>
  </si>
  <si>
    <t>Nurses/Paramedical TF</t>
  </si>
  <si>
    <t>028</t>
  </si>
  <si>
    <t>Nurses/Paramedical TS</t>
  </si>
  <si>
    <t>029</t>
  </si>
  <si>
    <t>Nurses/Paramedical FS</t>
  </si>
  <si>
    <t>030</t>
  </si>
  <si>
    <t>Nurses/Paramedical WTF</t>
  </si>
  <si>
    <t>031</t>
  </si>
  <si>
    <t>Nurses/Paramedical WTS</t>
  </si>
  <si>
    <t>032</t>
  </si>
  <si>
    <t>Nurses/Paramedical WFS</t>
  </si>
  <si>
    <t>033</t>
  </si>
  <si>
    <t>Nurses/Paramedical TFS</t>
  </si>
  <si>
    <t>060</t>
  </si>
  <si>
    <t>061</t>
  </si>
  <si>
    <t>062</t>
  </si>
  <si>
    <t>063</t>
  </si>
  <si>
    <t>Other Sat</t>
  </si>
  <si>
    <t>Other WT</t>
  </si>
  <si>
    <t>Other WF</t>
  </si>
  <si>
    <t>067</t>
  </si>
  <si>
    <t>Other WS</t>
  </si>
  <si>
    <t>068</t>
  </si>
  <si>
    <t>Other TF</t>
  </si>
  <si>
    <t>069</t>
  </si>
  <si>
    <t>Other TS</t>
  </si>
  <si>
    <t>070</t>
  </si>
  <si>
    <t>Other FS</t>
  </si>
  <si>
    <t>071</t>
  </si>
  <si>
    <t>Other WTF</t>
  </si>
  <si>
    <t>072</t>
  </si>
  <si>
    <t>Other WTS</t>
  </si>
  <si>
    <t>073</t>
  </si>
  <si>
    <t>Other WFS</t>
  </si>
  <si>
    <t>074</t>
  </si>
  <si>
    <t>Other TFS</t>
  </si>
  <si>
    <t>022</t>
  </si>
  <si>
    <t>CRR</t>
  </si>
  <si>
    <t>10A</t>
  </si>
  <si>
    <t>020</t>
  </si>
  <si>
    <t>019</t>
  </si>
  <si>
    <t>023</t>
  </si>
  <si>
    <t>EXHIBITOR</t>
  </si>
  <si>
    <t>021</t>
  </si>
  <si>
    <t>WEDNESDAY</t>
  </si>
  <si>
    <t>THURSDAY</t>
  </si>
  <si>
    <t>FRIDAY</t>
  </si>
  <si>
    <t>SATURDAY</t>
  </si>
  <si>
    <t>WEDNESDAY THURSDAY</t>
  </si>
  <si>
    <t>WEDNESDAY FRIDAY</t>
  </si>
  <si>
    <t>WEDNESDAY SATURDAY</t>
  </si>
  <si>
    <t>THURSDAY FRIDAY</t>
  </si>
  <si>
    <t>THURSDAY SATURDAY</t>
  </si>
  <si>
    <t>FRIDAY SATURDAY</t>
  </si>
  <si>
    <t>WEDNESDAY THURSDAY FRIDAY</t>
  </si>
  <si>
    <t>WEDNESDAY THURSDAY SATURDAY</t>
  </si>
  <si>
    <t>WEDNESDAY FRIDAY SATURDAY</t>
  </si>
  <si>
    <t>THURSDAY FRIDAY SATURDAY</t>
  </si>
  <si>
    <t>Notes:</t>
  </si>
  <si>
    <t xml:space="preserve">AAST Foundation Donation </t>
  </si>
  <si>
    <t xml:space="preserve">YES </t>
  </si>
  <si>
    <t>Last after all tickets and workshops</t>
  </si>
  <si>
    <t>AAST Annual Banquet</t>
  </si>
  <si>
    <t>International Attendee Breakfast</t>
  </si>
  <si>
    <t xml:space="preserve">AAST Annual Banquet - Declined </t>
  </si>
  <si>
    <t xml:space="preserve">TKT </t>
  </si>
  <si>
    <t>Look-up by LastName, FirstName</t>
  </si>
  <si>
    <t>Position/Title</t>
  </si>
  <si>
    <t>Institution</t>
  </si>
  <si>
    <t>Institution Continued</t>
  </si>
  <si>
    <t>Preferred Mailing Address</t>
  </si>
  <si>
    <t>Zipcode/Postal Code</t>
  </si>
  <si>
    <t>Mobile/Cell Number</t>
  </si>
  <si>
    <t>Emergency Contact Name</t>
  </si>
  <si>
    <t>Relationship</t>
  </si>
  <si>
    <t>Check #</t>
  </si>
  <si>
    <t>ACS Member #</t>
  </si>
  <si>
    <t>Email Address 2</t>
  </si>
  <si>
    <t>Ribbon Flag 7</t>
  </si>
  <si>
    <t xml:space="preserve">Ribbon Flag 8 </t>
  </si>
  <si>
    <t>Once</t>
  </si>
  <si>
    <t>Member Type</t>
  </si>
  <si>
    <t xml:space="preserve">* Qualification Instructions provide external file  * Document Requirements provide URL or file  * Number of acceptable documents                   * List acceptable documents </t>
  </si>
  <si>
    <t>For Pending fields</t>
  </si>
  <si>
    <t>acsaast</t>
  </si>
  <si>
    <t>clinical1</t>
  </si>
  <si>
    <t>Cancellation/Refund Policy</t>
  </si>
  <si>
    <t>Direct to Client at registration@facs.org</t>
  </si>
  <si>
    <t>Conference attendee substitution is permitted and will be dealt with on a case-by-case basis.</t>
  </si>
  <si>
    <t>AAST reserves the right to cancel any regularly scheduled session prior to the start of the meeting.</t>
  </si>
  <si>
    <t>https://aws.passkey.com/g/39130120</t>
  </si>
  <si>
    <t xml:space="preserve">registration </t>
  </si>
  <si>
    <t>TRN, RES, STU</t>
  </si>
  <si>
    <t xml:space="preserve">in house </t>
  </si>
  <si>
    <t>000, 001</t>
  </si>
  <si>
    <t xml:space="preserve">A or blank. </t>
  </si>
  <si>
    <t xml:space="preserve">We should balance once after registration has opened and again after it has closed, just for our own integrity.  </t>
  </si>
  <si>
    <t>Stephanie</t>
  </si>
  <si>
    <t>stephmc</t>
  </si>
  <si>
    <t>requires in-house only login</t>
  </si>
  <si>
    <t>Ginger</t>
  </si>
  <si>
    <t>Kernkamp</t>
  </si>
  <si>
    <t>gingerk</t>
  </si>
  <si>
    <t>Reg Code:</t>
  </si>
  <si>
    <t>FNAME LNAME</t>
  </si>
  <si>
    <t>COMPANY NAME</t>
  </si>
  <si>
    <t>CITY, ST COUNTRY</t>
  </si>
  <si>
    <t>[TITLE]</t>
  </si>
  <si>
    <t>Task</t>
  </si>
  <si>
    <t>7:00 am – 3:00 pm</t>
  </si>
  <si>
    <t>NBS Server</t>
  </si>
  <si>
    <t>Confirmation</t>
  </si>
  <si>
    <r>
      <t xml:space="preserve">myLeads - </t>
    </r>
    <r>
      <rPr>
        <sz val="11"/>
        <color rgb="FF000000"/>
        <rFont val="Arial"/>
        <family val="2"/>
      </rPr>
      <t>setup is done by the ESG DA                                                                                                                                myLeads can be used without having the other modules associated with ConnectME Content - Content, Matching and Appointments enabled on your show.  The ‘myLeads’ can be accessed from any dashboard page - a site with the slider or a site that is not using the slider.  myLeads is the replacement for Exhibitor BuyerConnect.
The exhibitor site WP will need to add a link to the exhibitor dashboard page to get to myLeads (/servlet/MyLeadsServlet?action=myLeads). When an exhibitor scans an attendee’s badge, that attendee now becomes a ‘myLead’ for that exhibitor. The link to myLeads should be added to the dashboard no more than 60 days before the show and should remain active on the dashboard for at least 90 days after the show closes.
If you have a show that needs myLeads, you must make sure myExhibitors is enabled.</t>
    </r>
  </si>
  <si>
    <t>Standard Setup - All registrations fields listed below and the ability to print exhibitor list
Attendee Fields: reg_uid, name_first, name_last, addr_1, addr_2, addr_3, city_id, state_id, zipcode, country_name, title, comp_1, comp_2, ph_area_country_code, phone_numb, fax_area_country_code, fax_numb, cell_area_country_code, cell_numb, internet_address and internet_address_2</t>
  </si>
  <si>
    <t>Standard Setup - All exhibitor fields listed below, the ability to print mailing labels, send broadcast emails, print leads, download leads, email leads and run reports and myLeads Searching on State, Country and Receipt Number
Exhibitor Fields: comp_1, comp_2, booth_number, addr_1, addr_2, city_id, state_id, zipcode, country_name, phone_country_c, ph_area_country_code, phone_numb, fax_country_c, fax_area_country_code, fax_numb, contact_name_first, contact_name_last, contact_title, internet_address, internet_address_2 and web_address</t>
  </si>
  <si>
    <r>
      <rPr>
        <b/>
        <sz val="18"/>
        <rFont val="Arial"/>
        <family val="2"/>
      </rPr>
      <t>myExhibitors Instructions -</t>
    </r>
    <r>
      <rPr>
        <sz val="12"/>
        <rFont val="Arial"/>
        <family val="2"/>
      </rPr>
      <t xml:space="preserve"> setup is done by the Attendee WP</t>
    </r>
    <r>
      <rPr>
        <sz val="10"/>
        <rFont val="Arial"/>
        <family val="2"/>
      </rPr>
      <t xml:space="preserve">
</t>
    </r>
    <r>
      <rPr>
        <sz val="11"/>
        <rFont val="Arial"/>
        <family val="2"/>
      </rPr>
      <t>myExhibitors can be used without having the other modules associated with ConnectME Content - Content, Matching and Appointments enabled on your show.  The ‘myExhibitors’ can be accessed from any dashboard page - a site with the slider or a site that is not using the slider. myExhibitors is the replacement for Attendee BuyerConnect.
The attendee site WP will need to make sure ‘myExhibitors’ is turned on in the ‘Matching Modules’ section.  Most of the setup will come from the standard or custom setup of myLeads.  See the steps below for additional myExhibitors setup instructions. A link will need to be added to the attendee dashboard page to get to myExhibitors (/servlet/MyExhibitorsServlet?action=getBuyerConnectMyExhibitors).  When an attendee has their badge scanned at an exhibitor’s booth, that exhibitor now becomes a ‘myExhibitor’ for that attendee.  The link to myExhibitors can be added to the dashboard when the site is originally setup and should remain active on the dashboard for at least 90 days after the show closes.</t>
    </r>
  </si>
  <si>
    <t>BIA</t>
  </si>
  <si>
    <t>BITRS</t>
  </si>
  <si>
    <t>AAB</t>
  </si>
  <si>
    <t>AABD</t>
  </si>
  <si>
    <t>BNF</t>
  </si>
  <si>
    <t>Attendee -  Complete</t>
  </si>
  <si>
    <t>Attendee - Incomplete</t>
  </si>
  <si>
    <t>Attendee - Pending without Document Upload</t>
  </si>
  <si>
    <t>Attendee - Pending With Document</t>
  </si>
  <si>
    <t>QA Doc</t>
  </si>
  <si>
    <t>opd_id</t>
  </si>
  <si>
    <t>Dollar</t>
  </si>
  <si>
    <t>AND</t>
  </si>
  <si>
    <t>Complimentary Registration &amp; Sessions</t>
  </si>
  <si>
    <t>Reg</t>
  </si>
  <si>
    <t>Session Moderator Code</t>
  </si>
  <si>
    <t>Special rules: No exhibitor website</t>
  </si>
  <si>
    <t>Will we be loading last years exhibitors ?</t>
  </si>
  <si>
    <t>Emergency Contact Phone</t>
  </si>
  <si>
    <t>Reg, Options</t>
  </si>
  <si>
    <t>Partial Reg</t>
  </si>
  <si>
    <t>Client Change Doc</t>
  </si>
  <si>
    <t>NOTE: If your show is doing ET, ST or AC - 1D barcode must be printed on the badges.</t>
  </si>
  <si>
    <t>None</t>
  </si>
  <si>
    <t>Reg Hours</t>
  </si>
  <si>
    <t>Conference Hours</t>
  </si>
  <si>
    <t>Express</t>
  </si>
  <si>
    <t>CSI Office</t>
  </si>
  <si>
    <t>Temp Training</t>
  </si>
  <si>
    <t>Exhibit Hours</t>
  </si>
  <si>
    <t>ESG in Reg Area</t>
  </si>
  <si>
    <t>Conference Sessions</t>
  </si>
  <si>
    <t>BLC, NR, CN, CX, STF</t>
  </si>
  <si>
    <t>Unique Exhibitor #</t>
  </si>
  <si>
    <t>General Show Notes</t>
  </si>
  <si>
    <t>Please review how session moderator codes are set up.  Should they be through discount manager, or set up as $0 options.  Some session moderators will need to use multiple codes.</t>
  </si>
  <si>
    <t>EXPLOSION 1</t>
  </si>
  <si>
    <t>EXPLOSION 2</t>
  </si>
  <si>
    <t>name_suffix = Professional Degree(s)/Credentials</t>
  </si>
  <si>
    <t>Y's are ribbon flags.  These fields are:  reg4_evtcode, reg5_evtcode, reg6_evtcode, Text2, Text3, Text4, Text5, hotel_evtcode.</t>
  </si>
  <si>
    <t>title continued</t>
  </si>
  <si>
    <t>[DAY, DATE]</t>
  </si>
  <si>
    <t>[START TIME - END TIME]</t>
  </si>
  <si>
    <t>AAST Membership Directory</t>
  </si>
  <si>
    <t>Ticket Voucher</t>
  </si>
  <si>
    <t>Please redeem this voucher at the</t>
  </si>
  <si>
    <t>AAST Info Table to receive your</t>
  </si>
  <si>
    <t>membership directory.</t>
  </si>
  <si>
    <t>One directory per member.</t>
  </si>
  <si>
    <t xml:space="preserve">Reg Types: </t>
  </si>
  <si>
    <t>001, 10A</t>
  </si>
  <si>
    <t>See Reg Types</t>
  </si>
  <si>
    <t>EXH Dashboard Programmer</t>
  </si>
  <si>
    <t>JOHN SMITH                                              AAB</t>
  </si>
  <si>
    <t>Web Sites URLs / Google Docs</t>
  </si>
  <si>
    <t>Method of Payment</t>
  </si>
  <si>
    <t>No - Client handles</t>
  </si>
  <si>
    <t>Yes - dashboard only</t>
  </si>
  <si>
    <t>Confirmation Reminder (Express Reg E-blast)</t>
  </si>
  <si>
    <t>http://www.aast.org/AnnualMeeting/Default.aspx</t>
  </si>
  <si>
    <t>Michael Sieber</t>
  </si>
  <si>
    <t>331-903-6502</t>
  </si>
  <si>
    <t>michael.sieber@csireg.com</t>
  </si>
  <si>
    <t>Web Schedule</t>
  </si>
  <si>
    <t>312-287-0120</t>
  </si>
  <si>
    <r>
      <t xml:space="preserve">Once exhibitor load program has been set up by DA, test with a </t>
    </r>
    <r>
      <rPr>
        <b/>
        <sz val="10"/>
        <color rgb="FFFF0000"/>
        <rFont val="Arial"/>
        <family val="2"/>
      </rPr>
      <t>live exhibitor</t>
    </r>
    <r>
      <rPr>
        <b/>
        <sz val="10"/>
        <rFont val="Arial"/>
        <family val="2"/>
      </rPr>
      <t xml:space="preserve"> to ensure the program is set up to the clients specifications, and the correct</t>
    </r>
    <r>
      <rPr>
        <b/>
        <sz val="10"/>
        <color rgb="FFFF0000"/>
        <rFont val="Arial"/>
        <family val="2"/>
      </rPr>
      <t xml:space="preserve"> over allotment rates</t>
    </r>
    <r>
      <rPr>
        <b/>
        <sz val="10"/>
        <rFont val="Arial"/>
        <family val="2"/>
      </rPr>
      <t xml:space="preserve"> are in place.</t>
    </r>
  </si>
  <si>
    <t>Listed in File.  Please see Reg Types Tab for exhibitor badge fee to be charged above and beyond the booth allotment.</t>
  </si>
  <si>
    <t>Pending person becomes approved.  Reg2 will change from 'P' (Pending) to 'A' (Approved).</t>
  </si>
  <si>
    <t>If not approved.  Reg2 will change from 'P' (Pending) to 'D' (Denied).</t>
  </si>
  <si>
    <t>PC01</t>
  </si>
  <si>
    <t>PRE</t>
  </si>
  <si>
    <t>6:30 am – 5:30 pm</t>
  </si>
  <si>
    <t>Jackie MacPherson</t>
  </si>
  <si>
    <t>331-903-6572</t>
  </si>
  <si>
    <t>jackie.macpherson@csireg.com</t>
  </si>
  <si>
    <t>630-310-4612</t>
  </si>
  <si>
    <t>On-Site Tech</t>
  </si>
  <si>
    <t>6 - androids</t>
  </si>
  <si>
    <t>Ticket is nontransferable.</t>
  </si>
  <si>
    <t>Tracking Start Date &amp; Time</t>
  </si>
  <si>
    <t>Tracking End Date &amp; Time</t>
  </si>
  <si>
    <t>210</t>
  </si>
  <si>
    <t>211</t>
  </si>
  <si>
    <t>212</t>
  </si>
  <si>
    <t>213</t>
  </si>
  <si>
    <t>214</t>
  </si>
  <si>
    <t>215</t>
  </si>
  <si>
    <t>216</t>
  </si>
  <si>
    <t>217</t>
  </si>
  <si>
    <t>218</t>
  </si>
  <si>
    <t>219</t>
  </si>
  <si>
    <t>220</t>
  </si>
  <si>
    <t>221</t>
  </si>
  <si>
    <t>Onsite/Exhibitor</t>
  </si>
  <si>
    <t>630-408-2116</t>
  </si>
  <si>
    <t>Home</t>
  </si>
  <si>
    <t>Supervisor 630-963-5396</t>
  </si>
  <si>
    <t>630-963-5396</t>
  </si>
  <si>
    <t>CME Email</t>
  </si>
  <si>
    <t>PRECONFERENCE ONLY</t>
  </si>
  <si>
    <t>085</t>
  </si>
  <si>
    <t>Cancelled/Change</t>
  </si>
  <si>
    <t>PC02</t>
  </si>
  <si>
    <t>PC03</t>
  </si>
  <si>
    <t>Preconference Sessions Only</t>
  </si>
  <si>
    <t>AAST Program Book - Printed</t>
  </si>
  <si>
    <t>AAST Program Book - Download</t>
  </si>
  <si>
    <t>PB_P</t>
  </si>
  <si>
    <t>PB_DL</t>
  </si>
  <si>
    <t>CC to registration@facs.org</t>
  </si>
  <si>
    <t>AM</t>
  </si>
  <si>
    <t>7:00 am – 4:00 pm</t>
  </si>
  <si>
    <t>PO1</t>
  </si>
  <si>
    <t>Middle Name</t>
  </si>
  <si>
    <t>Designation/Credentials</t>
  </si>
  <si>
    <t>Note: Ask IT to increase field length from 30 characters to 80.</t>
  </si>
  <si>
    <t>Preconference Only</t>
  </si>
  <si>
    <t>Institution Cont</t>
  </si>
  <si>
    <t>Is this your first AAST Annual Meeting?</t>
  </si>
  <si>
    <t>FIRSTMTG</t>
  </si>
  <si>
    <t>Exh Dash Schedule</t>
  </si>
  <si>
    <t>STF, PRS, GST, EXH, CRR</t>
  </si>
  <si>
    <t>Company ID = AAST1702 / Password = AAST17PASS</t>
  </si>
  <si>
    <t>109</t>
  </si>
  <si>
    <t>FD7</t>
  </si>
  <si>
    <t>2017 Fund Donor</t>
  </si>
  <si>
    <t>Program Book Voucher</t>
  </si>
  <si>
    <t xml:space="preserve">Exchange this ticket at registration </t>
  </si>
  <si>
    <t>One per ticket holder.</t>
  </si>
  <si>
    <t>Location: See Options Tab</t>
  </si>
  <si>
    <t>JOHN SMITH                                              PC03</t>
  </si>
  <si>
    <t>231</t>
  </si>
  <si>
    <t>AAST Annual Meeting Printed</t>
  </si>
  <si>
    <t>to receive your program printed book.</t>
  </si>
  <si>
    <t>232</t>
  </si>
  <si>
    <t>Associate Editor</t>
  </si>
  <si>
    <t>AE</t>
  </si>
  <si>
    <t>All except BLC, NR, CN, CX, STF</t>
  </si>
  <si>
    <t>7:30 - 10:00pm</t>
  </si>
  <si>
    <t>Reception: 7:30pm</t>
  </si>
  <si>
    <t>Dinner: 8:00pm</t>
  </si>
  <si>
    <t>MPI</t>
  </si>
  <si>
    <t>MIT PI</t>
  </si>
  <si>
    <t>Gold Sponsor</t>
  </si>
  <si>
    <t>GS</t>
  </si>
  <si>
    <t>Full Reg</t>
  </si>
  <si>
    <t>AAST18:</t>
  </si>
  <si>
    <t>Billing Contact</t>
  </si>
  <si>
    <t>edward.mustafaa@csireg.com</t>
  </si>
  <si>
    <t>Edward Mustafaa</t>
  </si>
  <si>
    <t>331-903-6599</t>
  </si>
  <si>
    <t>773-656-7126</t>
  </si>
  <si>
    <t>Manager, Registration &amp; Travel Services</t>
  </si>
  <si>
    <t>ds9</t>
  </si>
  <si>
    <t>110</t>
  </si>
  <si>
    <t>2018 VIP - Complimentary Reg and Sessions</t>
  </si>
  <si>
    <t>01/01/18 00:00 - 12/31/18 23:59</t>
  </si>
  <si>
    <t>Institution Continuted</t>
  </si>
  <si>
    <t>ACS MemberID</t>
  </si>
  <si>
    <t>7:30 am - 10:00 am only If needed</t>
  </si>
  <si>
    <t>Other Contacts</t>
  </si>
  <si>
    <t>breasanders@aast.org</t>
  </si>
  <si>
    <t>Brea Sanders</t>
  </si>
  <si>
    <t>Mobile App Contact</t>
  </si>
  <si>
    <t>smith@facs.org</t>
  </si>
  <si>
    <t>Jermica Smith</t>
  </si>
  <si>
    <t>membership_flag:</t>
  </si>
  <si>
    <t>Zip/Postal Code</t>
  </si>
  <si>
    <t>034</t>
  </si>
  <si>
    <t>Student Wed</t>
  </si>
  <si>
    <t>035</t>
  </si>
  <si>
    <t>Student Thurs</t>
  </si>
  <si>
    <t>036</t>
  </si>
  <si>
    <t>Student Fri</t>
  </si>
  <si>
    <t>049</t>
  </si>
  <si>
    <t>Nurses/Paramedical Wed</t>
  </si>
  <si>
    <t>050</t>
  </si>
  <si>
    <t>Nurses/Paramedical Thurs</t>
  </si>
  <si>
    <t>051</t>
  </si>
  <si>
    <t>Nurses/Paramedical Fri</t>
  </si>
  <si>
    <t>064</t>
  </si>
  <si>
    <t>Other Wed</t>
  </si>
  <si>
    <t>065</t>
  </si>
  <si>
    <t>Other Thurs</t>
  </si>
  <si>
    <t>066</t>
  </si>
  <si>
    <t>Other Fri</t>
  </si>
  <si>
    <t>Preconference Session Only</t>
  </si>
  <si>
    <t>PC04</t>
  </si>
  <si>
    <t>reg_evtcode
membership_flag</t>
  </si>
  <si>
    <t>"First-Year Member": reg_evtcode = MEM; membership_flag= Y
"Member": reg_evtcode = MEM; membership_flag=blank</t>
  </si>
  <si>
    <t>PC01M</t>
  </si>
  <si>
    <t>PC02M</t>
  </si>
  <si>
    <t>PC03M</t>
  </si>
  <si>
    <t>PC04M</t>
  </si>
  <si>
    <t>Active Military</t>
  </si>
  <si>
    <t>ACTIVE MILITARY</t>
  </si>
  <si>
    <t>083</t>
  </si>
  <si>
    <t>REG Codes - STU, TRN, RES, AM</t>
  </si>
  <si>
    <t>TRN, RES, STU, AM</t>
  </si>
  <si>
    <t>GDPR</t>
  </si>
  <si>
    <t>GDPR Compliancy</t>
  </si>
  <si>
    <t>Text that appears on the web:</t>
  </si>
  <si>
    <t>I understand that my personal data collected through my registration for events will be used to 
process the registration and I consent for my personal data to be used for the other purposes as stated above.</t>
  </si>
  <si>
    <t>I understand that my personal data collected through my registration for events will be used to process the registration.  I do not consent for my personal data to be used for the other purposes stated above.</t>
  </si>
  <si>
    <r>
      <rPr>
        <b/>
        <sz val="10"/>
        <rFont val="Arial"/>
        <family val="2"/>
      </rPr>
      <t>Opt-in for Purchase of Products, Services, Registration, Other Applications</t>
    </r>
    <r>
      <rPr>
        <sz val="10"/>
        <rFont val="Arial"/>
        <family val="2"/>
      </rPr>
      <t xml:space="preserve">
Personal data collected through registration for events will be held and processed by the American Association for the Surgery of Trauma, their respective employees, agents and contractors (collectively “AAST”), to administer purchased products and services and to conduct such other functions which are necessary to its business operations for three years. AAST may also share your personal data with outside companies offering products and services which may be of interest to you (other purposes). </t>
    </r>
  </si>
  <si>
    <t>Enforme Interactive, Inc.</t>
  </si>
  <si>
    <t>Additional Programming / Services</t>
  </si>
  <si>
    <t>Required CSI Work Hours</t>
  </si>
  <si>
    <t xml:space="preserve">Description of Work </t>
  </si>
  <si>
    <t>DA</t>
  </si>
  <si>
    <t>WP</t>
  </si>
  <si>
    <t>Total Programing</t>
  </si>
  <si>
    <t>What was done to fulfill this request.</t>
  </si>
  <si>
    <t>Alex Villalobos</t>
  </si>
  <si>
    <t>alex.villalobos@csireg.com</t>
  </si>
  <si>
    <t>331-903-6675</t>
  </si>
  <si>
    <t>312-342-7829</t>
  </si>
  <si>
    <t>Location:</t>
  </si>
  <si>
    <t>Kendra Rivera</t>
  </si>
  <si>
    <t>Project Manager (CME Vendor)</t>
  </si>
  <si>
    <t>301-694-0273</t>
  </si>
  <si>
    <t>301-694-0833</t>
  </si>
  <si>
    <t>krivera@enforme.com</t>
  </si>
  <si>
    <t>Frederick, MD 21701</t>
  </si>
  <si>
    <t>228 N. Market Street, Suite 200</t>
  </si>
  <si>
    <t>Web Service: RegAPI</t>
  </si>
  <si>
    <t>Site</t>
  </si>
  <si>
    <t>CE Provider</t>
  </si>
  <si>
    <t>Technical</t>
  </si>
  <si>
    <t>Rob King (rking@enforme.com)</t>
  </si>
  <si>
    <t>TKT, ST, AC, WAC, ET</t>
  </si>
  <si>
    <t>TKT , AC</t>
  </si>
  <si>
    <t>Moderator</t>
  </si>
  <si>
    <t>Exhibitor Dashboard</t>
  </si>
  <si>
    <t>First Name: Rob</t>
  </si>
  <si>
    <t>Last Name: King</t>
  </si>
  <si>
    <t>rking@enforme.com</t>
  </si>
  <si>
    <t>enforme</t>
  </si>
  <si>
    <t>5:00 pm – 7:30 pm</t>
  </si>
  <si>
    <t>7:00 am – 2:00 pm</t>
  </si>
  <si>
    <t>Matt</t>
  </si>
  <si>
    <t>Booth #</t>
  </si>
  <si>
    <r>
      <t xml:space="preserve">Other Transfer/Validation (If yes, click and complete the ‘Web Services Request Form’ above.) </t>
    </r>
    <r>
      <rPr>
        <b/>
        <sz val="10"/>
        <color rgb="FF0922D9"/>
        <rFont val="Arial"/>
        <family val="2"/>
      </rPr>
      <t>RegAPI</t>
    </r>
  </si>
  <si>
    <t>Child Age</t>
  </si>
  <si>
    <t>Session Only</t>
  </si>
  <si>
    <t>FD8</t>
  </si>
  <si>
    <t>2018 Fund Donor</t>
  </si>
  <si>
    <t>Annual Meeting Scholarship Recipient</t>
  </si>
  <si>
    <t>80th Anniversary</t>
  </si>
  <si>
    <t>WCTC Society Sponsor</t>
  </si>
  <si>
    <t>MO</t>
  </si>
  <si>
    <r>
      <t xml:space="preserve">Equipment Pickup @ </t>
    </r>
    <r>
      <rPr>
        <b/>
        <sz val="10"/>
        <rFont val="Arial"/>
        <family val="2"/>
      </rPr>
      <t>1pm</t>
    </r>
  </si>
  <si>
    <t>Pull from CSI inventory</t>
  </si>
  <si>
    <t>230</t>
  </si>
  <si>
    <t>233</t>
  </si>
  <si>
    <t>234</t>
  </si>
  <si>
    <t>235</t>
  </si>
  <si>
    <t>236</t>
  </si>
  <si>
    <t>237</t>
  </si>
  <si>
    <t>238</t>
  </si>
  <si>
    <t>239</t>
  </si>
  <si>
    <t>240</t>
  </si>
  <si>
    <t>241</t>
  </si>
  <si>
    <t>242</t>
  </si>
  <si>
    <t>243</t>
  </si>
  <si>
    <t>Exhibitors should not have link to change/edit registrations - they are DB only.</t>
  </si>
  <si>
    <t>Option Type Code</t>
  </si>
  <si>
    <t>SESSION</t>
  </si>
  <si>
    <t>200, 201</t>
  </si>
  <si>
    <t>202, 203</t>
  </si>
  <si>
    <t>204, 205</t>
  </si>
  <si>
    <t>206, 207</t>
  </si>
  <si>
    <t>210, 211</t>
  </si>
  <si>
    <t>212, 213</t>
  </si>
  <si>
    <t>214, 215</t>
  </si>
  <si>
    <t>216, 217</t>
  </si>
  <si>
    <t>218, 219</t>
  </si>
  <si>
    <t>220, 221</t>
  </si>
  <si>
    <t>230, 231</t>
  </si>
  <si>
    <t>232, 233</t>
  </si>
  <si>
    <t>234, 235</t>
  </si>
  <si>
    <t>236, 237</t>
  </si>
  <si>
    <t>238, 239</t>
  </si>
  <si>
    <t>240, 241</t>
  </si>
  <si>
    <t>Medical Student, Resident and In-Training Fellows Breakfast</t>
  </si>
  <si>
    <t>New Member Breakfast</t>
  </si>
  <si>
    <t>Ribbon Flag 9</t>
  </si>
  <si>
    <t>Ribbon Flag 10</t>
  </si>
  <si>
    <t>Hotel_evtcode</t>
  </si>
  <si>
    <t>Is this used?</t>
  </si>
  <si>
    <t>Y's are ribbon flags.  These fields are:  reg4_evtcode, reg5_evtcode, reg6_evtcode, Text2, Text3, Text4, Text5, hotel_evtcode, qual_evtcode, name_nick.</t>
  </si>
  <si>
    <t>Mobile carts down, 20 minutes on opening day - issue at home office.</t>
  </si>
  <si>
    <t>Moving to color printing for 2019.</t>
  </si>
  <si>
    <t>78th Annual Meeting of the AAST and Clinical Congress of Acute Care Surgery</t>
  </si>
  <si>
    <t>Sheraton Dallas Hotel</t>
  </si>
  <si>
    <t>400 North Olive Street</t>
  </si>
  <si>
    <t>Dallas</t>
  </si>
  <si>
    <t>TX</t>
  </si>
  <si>
    <t xml:space="preserve">214-922-8000 </t>
  </si>
  <si>
    <t>https://www.marriott.com/hotels/travel/daldh-sheraton-dallas-hotel/</t>
  </si>
  <si>
    <t>September 18-21, 2019</t>
  </si>
  <si>
    <t>19I10</t>
  </si>
  <si>
    <t>AAST19</t>
  </si>
  <si>
    <t>bds7</t>
  </si>
  <si>
    <t>https://www.compusystems.com/servlet/OnsiteRegLoginServlet?evt_uid=360</t>
  </si>
  <si>
    <t>https://docs.google.com/spreadsheets/d/1dSst4zI86AiM6yli-tuLfavDL9VUiz0oi8W922qyCIs/edit#gid=652968164</t>
  </si>
  <si>
    <t>EGS Course Only</t>
  </si>
  <si>
    <t>EGS</t>
  </si>
  <si>
    <t>Session Only Subtotal</t>
  </si>
  <si>
    <t>AASTVIP19</t>
  </si>
  <si>
    <t>SCHOLAR19</t>
  </si>
  <si>
    <t>2019 AAST VIP</t>
  </si>
  <si>
    <t>2019 Scholarship Winners</t>
  </si>
  <si>
    <t>003, 004, 005, 006, 007, 008, 009, 010, 011, 012, 013, 014, 015, 016, 017, 018, 019, 020, 021, 022, 023, 024, 025, 026, 027, 028, 029, 030, 031, 032, 033, 034, 035, 036, 037, 038, 039, 040, 041, 042, 043, 044, 045, 046, 047</t>
  </si>
  <si>
    <t>TLD</t>
  </si>
  <si>
    <t>TL1</t>
  </si>
  <si>
    <t>TL1F</t>
  </si>
  <si>
    <t>TL2</t>
  </si>
  <si>
    <t>TL2F</t>
  </si>
  <si>
    <t>TL3</t>
  </si>
  <si>
    <t>TL3F</t>
  </si>
  <si>
    <t>TL4</t>
  </si>
  <si>
    <t>TL4F</t>
  </si>
  <si>
    <t>TL5</t>
  </si>
  <si>
    <t>TL5F</t>
  </si>
  <si>
    <t>TL6</t>
  </si>
  <si>
    <t>TL6F</t>
  </si>
  <si>
    <t xml:space="preserve">Thursday Lunch Session - Declined </t>
  </si>
  <si>
    <t>EGS_D1</t>
  </si>
  <si>
    <t>EGS_D2</t>
  </si>
  <si>
    <t>Friday Breakfast Session - Declined</t>
  </si>
  <si>
    <t>FB1</t>
  </si>
  <si>
    <t>FB1F</t>
  </si>
  <si>
    <t>FB2F</t>
  </si>
  <si>
    <t>FB3</t>
  </si>
  <si>
    <t>FB3F</t>
  </si>
  <si>
    <t>FB4</t>
  </si>
  <si>
    <t>FB4F</t>
  </si>
  <si>
    <t>FB5</t>
  </si>
  <si>
    <t>FB5F</t>
  </si>
  <si>
    <t>FB6</t>
  </si>
  <si>
    <t>FB6F</t>
  </si>
  <si>
    <t>FB2</t>
  </si>
  <si>
    <t>AAST Annual Banquet - Guest</t>
  </si>
  <si>
    <t>AABG</t>
  </si>
  <si>
    <t>244</t>
  </si>
  <si>
    <t xml:space="preserve">AAST Annual Banquet - Resident and Medical Student  </t>
  </si>
  <si>
    <t>AABRS</t>
  </si>
  <si>
    <t>242, 243, 244</t>
  </si>
  <si>
    <t>WREC</t>
  </si>
  <si>
    <t>FLEH</t>
  </si>
  <si>
    <t>FBD</t>
  </si>
  <si>
    <t>WRECD</t>
  </si>
  <si>
    <t>FLEHD</t>
  </si>
  <si>
    <t>Other Subtotal</t>
  </si>
  <si>
    <t>085, EGS</t>
  </si>
  <si>
    <t>Not Storing</t>
  </si>
  <si>
    <t>2019 Scholarship Winners - Complimentary Reg and Sessions</t>
  </si>
  <si>
    <t>P01-P05, TL1- TL6, FB1- FB6, AAB, AABRS</t>
  </si>
  <si>
    <t xml:space="preserve">Requests for refunds must be made in writing and received on or before Friday, August 23, 2019. There is a $150 processing fee for all refunds and returned checks. Cancellations and registration postmarked after the deadline date will not be eligible for refunds. Please submit all written cancellation requests to Registration Services at registration@facs.org. </t>
  </si>
  <si>
    <r>
      <t xml:space="preserve">Show Organizer Dashboard - </t>
    </r>
    <r>
      <rPr>
        <b/>
        <sz val="10"/>
        <color rgb="FFFF0000"/>
        <rFont val="Arial"/>
        <family val="2"/>
      </rPr>
      <t>setup is done by the Data Analyst.  Please fill out this section in full so the DA has the necessary info to setup the Show Organizer Dashboard in Client Services.</t>
    </r>
  </si>
  <si>
    <r>
      <t>‘</t>
    </r>
    <r>
      <rPr>
        <b/>
        <sz val="10"/>
        <color rgb="FF000000"/>
        <rFont val="Arial"/>
        <family val="2"/>
      </rPr>
      <t>Show Organizer Dashboard</t>
    </r>
    <r>
      <rPr>
        <sz val="10"/>
        <color rgb="FF000000"/>
        <rFont val="Arial"/>
        <family val="2"/>
      </rPr>
      <t>’ which provides show organizers with an easy-to-use portal that facilitates communication with attendees and exhibitors via the Show App and CompuLEAD Smart as well as their Connect</t>
    </r>
    <r>
      <rPr>
        <i/>
        <sz val="10"/>
        <color rgb="FF000000"/>
        <rFont val="Arial"/>
        <family val="2"/>
      </rPr>
      <t>ME</t>
    </r>
    <r>
      <rPr>
        <sz val="10"/>
        <color rgb="FF000000"/>
        <rFont val="Arial"/>
        <family val="2"/>
      </rPr>
      <t xml:space="preserve"> Dashboard, while offering at-a-glance updates on key trade show metrics.</t>
    </r>
  </si>
  <si>
    <t>1. Module Setup</t>
  </si>
  <si>
    <r>
      <t xml:space="preserve">Standard Setup </t>
    </r>
    <r>
      <rPr>
        <b/>
        <sz val="10"/>
        <color rgb="FFFF0000"/>
        <rFont val="Arial"/>
        <family val="2"/>
      </rPr>
      <t>- All modules enabled.</t>
    </r>
  </si>
  <si>
    <r>
      <t>Modules:</t>
    </r>
    <r>
      <rPr>
        <sz val="10"/>
        <color rgb="FF000000"/>
        <rFont val="Arial"/>
        <family val="2"/>
      </rPr>
      <t xml:space="preserve"> Send a Message, Revenue Comparison, Registrant Comparison, Statistics at a Glance, Financial Data, Qualification, Session Data, Lead Retrieval Statistics, Geographic Data, Registration Widget, Most Used Source Codes and Content Packages</t>
    </r>
  </si>
  <si>
    <r>
      <t xml:space="preserve">Custom Setup - </t>
    </r>
    <r>
      <rPr>
        <b/>
        <sz val="10"/>
        <color rgb="FFFF0000"/>
        <rFont val="Arial"/>
        <family val="2"/>
      </rPr>
      <t>See Data Analyst to discuss custom setup</t>
    </r>
  </si>
  <si>
    <t>Modules:</t>
  </si>
  <si>
    <r>
      <t xml:space="preserve">Send a Message, Revenue Comparison, Registrant Comparison, Statistics at a Glance, </t>
    </r>
    <r>
      <rPr>
        <strike/>
        <sz val="10"/>
        <color rgb="FFFF0000"/>
        <rFont val="Arial"/>
        <family val="2"/>
      </rPr>
      <t>Financial Data</t>
    </r>
    <r>
      <rPr>
        <sz val="10"/>
        <color rgb="FFFF0000"/>
        <rFont val="Arial"/>
        <family val="2"/>
      </rPr>
      <t>,</t>
    </r>
    <r>
      <rPr>
        <sz val="10"/>
        <rFont val="Arial"/>
        <family val="2"/>
      </rPr>
      <t xml:space="preserve"> Qualification,</t>
    </r>
    <r>
      <rPr>
        <sz val="10"/>
        <color rgb="FF000000"/>
        <rFont val="Arial"/>
        <family val="2"/>
      </rPr>
      <t xml:space="preserve"> Session Data,</t>
    </r>
    <r>
      <rPr>
        <sz val="10"/>
        <rFont val="Arial"/>
        <family val="2"/>
      </rPr>
      <t xml:space="preserve"> Lead Retrieval Statistics,</t>
    </r>
    <r>
      <rPr>
        <sz val="10"/>
        <color rgb="FF000000"/>
        <rFont val="Arial"/>
        <family val="2"/>
      </rPr>
      <t xml:space="preserve"> Geographic Data, </t>
    </r>
    <r>
      <rPr>
        <strike/>
        <sz val="10"/>
        <color rgb="FFFF0000"/>
        <rFont val="Arial"/>
        <family val="2"/>
      </rPr>
      <t>Registration Widget, Most Used Source</t>
    </r>
    <r>
      <rPr>
        <strike/>
        <sz val="10"/>
        <color rgb="FF000000"/>
        <rFont val="Arial"/>
        <family val="2"/>
      </rPr>
      <t xml:space="preserve"> </t>
    </r>
    <r>
      <rPr>
        <strike/>
        <sz val="10"/>
        <color rgb="FFFF0000"/>
        <rFont val="Arial"/>
        <family val="2"/>
      </rPr>
      <t>Codes and Content Packages</t>
    </r>
  </si>
  <si>
    <r>
      <t xml:space="preserve">NOTE: </t>
    </r>
    <r>
      <rPr>
        <sz val="10"/>
        <color rgb="FF000000"/>
        <rFont val="Arial"/>
        <family val="2"/>
      </rPr>
      <t>Geographic Data is tied to the Statistics at a Glance, so if you turn off Statistics at a Glance, you will also need to turn off Geographic Data. You can have Statistics at a Glance without Geographic Data.</t>
    </r>
  </si>
  <si>
    <t>2. Customize Revenue Comparison &amp; Registrant Comparison</t>
  </si>
  <si>
    <r>
      <t>Use Previous Events</t>
    </r>
    <r>
      <rPr>
        <sz val="10"/>
        <color rgb="FF000000"/>
        <rFont val="Arial"/>
        <family val="2"/>
      </rPr>
      <t xml:space="preserve"> - Enter the evt_uid of the previous events (up to 2 can be used). Also make sure the historical comparison report is set up using this information.</t>
    </r>
  </si>
  <si>
    <r>
      <t>Previous Event 1:</t>
    </r>
    <r>
      <rPr>
        <sz val="10"/>
        <color rgb="FF000000"/>
        <rFont val="Arial"/>
        <family val="2"/>
      </rPr>
      <t xml:space="preserve"> </t>
    </r>
  </si>
  <si>
    <t>Previous Event 2:</t>
  </si>
  <si>
    <r>
      <t>No Previous Events</t>
    </r>
    <r>
      <rPr>
        <sz val="10"/>
        <color rgb="FF000000"/>
        <rFont val="Arial"/>
        <family val="2"/>
      </rPr>
      <t xml:space="preserve"> - </t>
    </r>
    <r>
      <rPr>
        <b/>
        <sz val="10"/>
        <color rgb="FFFF0000"/>
        <rFont val="Arial"/>
        <family val="2"/>
      </rPr>
      <t>Turn off these modules.</t>
    </r>
  </si>
  <si>
    <t>3. Customize Statistics at a Glance - Attendee Count</t>
  </si>
  <si>
    <r>
      <t>Use Custom List of Attendee Reg Codes</t>
    </r>
    <r>
      <rPr>
        <sz val="10"/>
        <color rgb="FF000000"/>
        <rFont val="Arial"/>
        <family val="2"/>
      </rPr>
      <t xml:space="preserve"> - Enter the reg codes that should be used for the attendee count.</t>
    </r>
  </si>
  <si>
    <t>Attendee Reg Codes:</t>
  </si>
  <si>
    <r>
      <t xml:space="preserve">Use Custom Query </t>
    </r>
    <r>
      <rPr>
        <sz val="10"/>
        <color rgb="FF000000"/>
        <rFont val="Arial"/>
        <family val="2"/>
      </rPr>
      <t xml:space="preserve">- Enter the custom query to be used for the attendee count. </t>
    </r>
    <r>
      <rPr>
        <b/>
        <sz val="10"/>
        <color rgb="FFFF0000"/>
        <rFont val="Arial"/>
        <family val="2"/>
      </rPr>
      <t>See Data Analyst to discuss custom query.</t>
    </r>
  </si>
  <si>
    <r>
      <t>Custom Query:_____</t>
    </r>
    <r>
      <rPr>
        <sz val="10"/>
        <color rgb="FF000000"/>
        <rFont val="Arial"/>
        <family val="2"/>
      </rPr>
      <t>_________________________________________________________________________</t>
    </r>
  </si>
  <si>
    <r>
      <t>NOTE:</t>
    </r>
    <r>
      <rPr>
        <sz val="10"/>
        <color rgb="FF000000"/>
        <rFont val="Arial"/>
        <family val="2"/>
      </rPr>
      <t xml:space="preserve"> The complexity of this query will impact the performance.</t>
    </r>
  </si>
  <si>
    <r>
      <t>No Custom List of Attendee Reg Codes</t>
    </r>
    <r>
      <rPr>
        <sz val="10"/>
        <color rgb="FF000000"/>
        <rFont val="Arial"/>
        <family val="2"/>
      </rPr>
      <t xml:space="preserve"> - </t>
    </r>
    <r>
      <rPr>
        <b/>
        <sz val="10"/>
        <color rgb="FFFF0000"/>
        <rFont val="Arial"/>
        <family val="2"/>
      </rPr>
      <t>All reg codes will be counted as attendees.</t>
    </r>
  </si>
  <si>
    <r>
      <t xml:space="preserve">4. Customize Statistics at a Glance - Exhibitor Count - </t>
    </r>
    <r>
      <rPr>
        <b/>
        <sz val="11"/>
        <color rgb="FF0000FF"/>
        <rFont val="Arial"/>
        <family val="2"/>
      </rPr>
      <t>N/A, no exhibitors</t>
    </r>
  </si>
  <si>
    <r>
      <t>Use Custom List of Exhibitor Reg Codes</t>
    </r>
    <r>
      <rPr>
        <sz val="10"/>
        <color rgb="FF000000"/>
        <rFont val="Arial"/>
        <family val="2"/>
      </rPr>
      <t xml:space="preserve"> - Enter the reg codes that should be used for the exhibitor count.</t>
    </r>
  </si>
  <si>
    <r>
      <t>Exhibitor Reg Codes:</t>
    </r>
    <r>
      <rPr>
        <sz val="10"/>
        <color rgb="FF000000"/>
        <rFont val="Arial"/>
        <family val="2"/>
      </rPr>
      <t xml:space="preserve"> </t>
    </r>
  </si>
  <si>
    <r>
      <t xml:space="preserve">Use Custom Query </t>
    </r>
    <r>
      <rPr>
        <sz val="10"/>
        <color rgb="FF000000"/>
        <rFont val="Arial"/>
        <family val="2"/>
      </rPr>
      <t xml:space="preserve">- Enter the custom query to be used for the exhibitor count. </t>
    </r>
    <r>
      <rPr>
        <b/>
        <sz val="10"/>
        <color rgb="FFFF0000"/>
        <rFont val="Arial"/>
        <family val="2"/>
      </rPr>
      <t>See Data Analyst to discuss custom query.</t>
    </r>
  </si>
  <si>
    <r>
      <t>No Custom List of Exhibitor Reg Codes</t>
    </r>
    <r>
      <rPr>
        <sz val="10"/>
        <color rgb="FF000000"/>
        <rFont val="Arial"/>
        <family val="2"/>
      </rPr>
      <t xml:space="preserve"> - </t>
    </r>
    <r>
      <rPr>
        <b/>
        <sz val="10"/>
        <color rgb="FFFF0000"/>
        <rFont val="Arial"/>
        <family val="2"/>
      </rPr>
      <t>All reg codes will be counted as exhibitors.</t>
    </r>
  </si>
  <si>
    <t>5. Customize Statistics at a Glance - Other Count</t>
  </si>
  <si>
    <r>
      <t>Use Custom List of Other Reg Codes</t>
    </r>
    <r>
      <rPr>
        <sz val="10"/>
        <color rgb="FF000000"/>
        <rFont val="Arial"/>
        <family val="2"/>
      </rPr>
      <t xml:space="preserve"> - Enter the reg codes that should be used for the other count.</t>
    </r>
  </si>
  <si>
    <t>Other Reg Codes:</t>
  </si>
  <si>
    <r>
      <t xml:space="preserve">Use Custom Query </t>
    </r>
    <r>
      <rPr>
        <sz val="10"/>
        <color rgb="FF000000"/>
        <rFont val="Arial"/>
        <family val="2"/>
      </rPr>
      <t xml:space="preserve">- Enter the custom query to be used for the other count. </t>
    </r>
    <r>
      <rPr>
        <b/>
        <sz val="10"/>
        <color rgb="FFFF0000"/>
        <rFont val="Arial"/>
        <family val="2"/>
      </rPr>
      <t>See Data Analyst to discuss custom query.</t>
    </r>
  </si>
  <si>
    <r>
      <t>No Custom List of Other Reg Codes</t>
    </r>
    <r>
      <rPr>
        <sz val="10"/>
        <color rgb="FF000000"/>
        <rFont val="Arial"/>
        <family val="2"/>
      </rPr>
      <t xml:space="preserve"> - </t>
    </r>
    <r>
      <rPr>
        <b/>
        <sz val="10"/>
        <color rgb="FFFF0000"/>
        <rFont val="Arial"/>
        <family val="2"/>
      </rPr>
      <t>All reg codes will be counted as other.</t>
    </r>
  </si>
  <si>
    <t>Attendee Early Fee Deadline</t>
  </si>
  <si>
    <t>Cancellation Deadline</t>
  </si>
  <si>
    <t>Attendee Late Fee Deadline</t>
  </si>
  <si>
    <t>Attendee Onsite Rate Begins</t>
  </si>
  <si>
    <t>Demographic responses in individual columns.</t>
  </si>
  <si>
    <t>ASST18: 125</t>
  </si>
  <si>
    <t>ASST17: 258</t>
  </si>
  <si>
    <t xml:space="preserve">GST, CRR, PRS, STF </t>
  </si>
  <si>
    <t>Skybridge Registration Desk</t>
  </si>
  <si>
    <t>Equipment Drop</t>
  </si>
  <si>
    <t>2:00 pm – 6:30 pm</t>
  </si>
  <si>
    <t>78th AAST Annual Meeting</t>
  </si>
  <si>
    <t>Dallas, TX</t>
  </si>
  <si>
    <t>Additional Programming $140 per hour.</t>
  </si>
  <si>
    <t>Associate Member Candidate</t>
  </si>
  <si>
    <t>AMC</t>
  </si>
  <si>
    <t>ASSOCIATE MEMBER CAN</t>
  </si>
  <si>
    <r>
      <t xml:space="preserve">MEM, </t>
    </r>
    <r>
      <rPr>
        <b/>
        <sz val="10"/>
        <color rgb="FFFF0000"/>
        <rFont val="Arial"/>
        <family val="2"/>
      </rPr>
      <t>AMC,</t>
    </r>
    <r>
      <rPr>
        <b/>
        <sz val="10"/>
        <rFont val="Arial"/>
        <family val="2"/>
      </rPr>
      <t xml:space="preserve"> NON, TRN, RES, STU, NPM, OTH, CCR, PRS</t>
    </r>
  </si>
  <si>
    <t>084</t>
  </si>
  <si>
    <t>Memb # used only once, does not carry forward when adding another.</t>
  </si>
  <si>
    <t>Fields to Display on Search Screen:</t>
  </si>
  <si>
    <t>Fields to Display on Search Results:</t>
  </si>
  <si>
    <t>Last Name (name_last), First Name (name_first)</t>
  </si>
  <si>
    <t>Memb # (memb_id), First Name (name_first), Last Name (name_last) ,Company Name (comp_1), City (city)</t>
  </si>
  <si>
    <t>https://www.compusystems.com/servlet/ar?evt_uid=360</t>
  </si>
  <si>
    <t>https://docs.google.com/document/d/10dfEYfty26zpUgexjxdLwKDLdz1FlrnABS-TdO4IKgY/edit#</t>
  </si>
  <si>
    <t>https://docs.google.com/document/d/1vlmWcBmxcSnFdSL0O9O93PiTxd-Y9ZHrcJHhiv6U2qA/edit</t>
  </si>
  <si>
    <t>MEM, AMC, NON, TRN, RES, STU, NPM, OTH, AM</t>
  </si>
  <si>
    <t>MEM, AMC, NON, TRN, NPM, OTH, RES, STU, AM, PO1, EGS, GST, CRR, PRS, EXH</t>
  </si>
  <si>
    <t>MEM, AMC, NON, TRN, NPM, OTH, RES, STU, AM, PO1, EGS, GST</t>
  </si>
  <si>
    <t>Geographical Distribution Summary
Attendee Reg Codes: MEM, AMC, NON, NPM, OTH, RES, STU, TRN, CRR, PO1, EGS, GST, AM Exhibitor Reg Codes: EXH
Other Reg Codes: PRS, STF</t>
  </si>
  <si>
    <t>MEM, AMC, NON, TRN, NPM, OTH, RES, STU, AM, PO1, EGS</t>
  </si>
  <si>
    <t>Welcome Reception</t>
  </si>
  <si>
    <t>Friday Luncheon in Exhibit Hall</t>
  </si>
  <si>
    <t>No, I will not be attending.</t>
  </si>
  <si>
    <t>TL1:  The Meaning of Rejection (and Revision):  Useful Suggestions and Guidance for Reviewers and Authors</t>
  </si>
  <si>
    <t>TL2:  Structuring a Fiscally Viable ACS Service</t>
  </si>
  <si>
    <t>TL3:  Experts on the Hot Seat:  Top 10 Topics in Critical Care</t>
  </si>
  <si>
    <t>TL4: 10 Principles of Reoperative Surgery</t>
  </si>
  <si>
    <t>TL5:  Acute Care Surgery:  Ensuring the Success of the Next Generation</t>
  </si>
  <si>
    <t>TL6:  Mission Zero:  How Military-Civil Partnerships Enhance Mass Trauma Responses</t>
  </si>
  <si>
    <t>FB1: Video Session:  Emergency General Surgery Tips and Tricks</t>
  </si>
  <si>
    <t>FB2:  Beyond Yoga and Mindfulness:  Sustaining Surgeon Well Being for You and Your Team</t>
  </si>
  <si>
    <t>FB6:  Using Evidence and New Technology to Reduce Imaging in Blunt Abdominal Trauma</t>
  </si>
  <si>
    <t>PC02: Difficult Conversations:  Communication Skills for Palliative Care in Acute Care Surgery</t>
  </si>
  <si>
    <t xml:space="preserve">TL4: 10 Principles of Reoperative Surgery
</t>
  </si>
  <si>
    <t>jayaram.muthuramalingam@csireg.com</t>
  </si>
  <si>
    <t>Jayaram Muthuramalingam</t>
  </si>
  <si>
    <t>PC03: How to Maintain the Combat Trauma Readiness of Forward Deployed Caregivers:  Residency, Fellowships, Partnerships and More</t>
  </si>
  <si>
    <t>FB4:  Supporting Diversity and Inclusion in Academic Acute Care Surgery</t>
  </si>
  <si>
    <t>PC04: Endoscopic Management of GI Bleeding for the Acute Care Surgeon</t>
  </si>
  <si>
    <t xml:space="preserve">https://www.compusystems.com/servlet/ar?evt_uid=360&amp;site=EXH </t>
  </si>
  <si>
    <t>https://docs.google.com/spreadsheets/d/1lK5ae4gNVKwUKS9rusf55KPcsjgSkUwVSHJcw5ecIK8/edit</t>
  </si>
  <si>
    <t>FB5:  Geriatric Trauma – Now the Good News</t>
  </si>
  <si>
    <t>EGS_D1CO</t>
  </si>
  <si>
    <t>Emergency Surgery Course (ESC) Only</t>
  </si>
  <si>
    <t>ESC Course Only</t>
  </si>
  <si>
    <t>Emergency Surgery Course (ESC) - Day 1</t>
  </si>
  <si>
    <t>Emergency Surgery Course (ESC) - Day 2</t>
  </si>
  <si>
    <t>Go Live: Tuesday, 6/11</t>
  </si>
  <si>
    <t>NC</t>
  </si>
  <si>
    <t>Update welcome page, and session title of PC01, PC01M.</t>
  </si>
  <si>
    <t>$0, $170</t>
  </si>
  <si>
    <t>$0, $335</t>
  </si>
  <si>
    <t>PC01: Continuous Certification: AAST Acute Care Surgery Course: State of the Art Patient Care in 2019</t>
  </si>
  <si>
    <t>FB3: Do Military Innovations Work and Can They Be Studied in the Civilian World?</t>
  </si>
  <si>
    <t>Client changed the student rate from $175 to $170.</t>
  </si>
  <si>
    <t>Client said the student rate needed to be changed back to $170.</t>
  </si>
  <si>
    <t>Client requested non-defaults for Res and INT.</t>
  </si>
  <si>
    <t>Client changed title for FB3 and FB3F.</t>
  </si>
  <si>
    <t xml:space="preserve">               12-345-67</t>
  </si>
  <si>
    <t>PC01-PC04, PC01M-PC04M</t>
  </si>
  <si>
    <t>BITRS, BIA, BNF, TL1- TL6, TL1F- TL6F, FB1- FB6, FB1F- FB6F</t>
  </si>
  <si>
    <t>Friday, September 20, 2019</t>
  </si>
  <si>
    <t>AAB, AABG, AABRS</t>
  </si>
  <si>
    <t>Clear</t>
  </si>
  <si>
    <t>Red</t>
  </si>
  <si>
    <t>Blue</t>
  </si>
  <si>
    <t>Colorbar</t>
  </si>
  <si>
    <t>Guest</t>
  </si>
  <si>
    <t>Category</t>
  </si>
  <si>
    <t>Reg Types</t>
  </si>
  <si>
    <t>004, 005, 006, 007, 008, 009, 010, 011, 012, 013, 014, 015, 016, 017, 049, 050, 051, 052, 053, 054, 055, 056, 057, 058, 059, 060, 061, 062, 064, 065, 066, 067, 068, 069, 070, 071, 072, 073, 074, 075, 076, 077, 019, 020, 021, 022, 023, 024, 025, 026, 027, 028, 029, 030, 031, 032, 034, 035, 036, 037, 038, 039, 040, 041, 042, 043, 044, 045, 046, 047</t>
  </si>
  <si>
    <t>ESC COURSE ONLY</t>
  </si>
  <si>
    <t>ASSOCIATE MEMBER CANDIDATE</t>
  </si>
  <si>
    <r>
      <t xml:space="preserve">Line Wrapping (color badge printer): Client is moving to color printing.  </t>
    </r>
    <r>
      <rPr>
        <b/>
        <sz val="10"/>
        <color rgb="FF0070C0"/>
        <rFont val="Arial"/>
        <family val="2"/>
      </rPr>
      <t>Badge stock size will be 4x5.</t>
    </r>
  </si>
  <si>
    <t>400 North Olive Street, Dallas, TX 75201</t>
  </si>
  <si>
    <t>214-922-8000</t>
  </si>
  <si>
    <t>ESG in Reg Area.  In built in reg counter of hotel: Skybridge Registration Desk</t>
  </si>
  <si>
    <t>4x5, Paper</t>
  </si>
  <si>
    <t>Client has switched to color printing this year.</t>
  </si>
  <si>
    <t>FD9</t>
  </si>
  <si>
    <t>2019 Fund Donor</t>
  </si>
  <si>
    <t>FAC</t>
  </si>
  <si>
    <t>ACS Fellow</t>
  </si>
  <si>
    <t>4x5, Clear with Clip (CSI is sending the 4x6 holders)</t>
  </si>
  <si>
    <t>EXPLOSION</t>
  </si>
  <si>
    <t>Dailes</t>
  </si>
  <si>
    <t>TRN, NPM, OTH, RES, STU</t>
  </si>
  <si>
    <t>EXPLOSION 1 (dalies)</t>
  </si>
  <si>
    <t>Course Only</t>
  </si>
  <si>
    <t>1 - Full Conference/Course Only</t>
  </si>
  <si>
    <t>,./</t>
  </si>
  <si>
    <t>MEMB ID                                                                      YYYYY</t>
  </si>
  <si>
    <t>208</t>
  </si>
  <si>
    <t>209</t>
  </si>
  <si>
    <t>331-903-6587</t>
  </si>
  <si>
    <t>joanna.zwolinski@csireg.com</t>
  </si>
  <si>
    <t>Joanna Zwolinski</t>
  </si>
  <si>
    <t>India</t>
  </si>
  <si>
    <t>Yellow</t>
  </si>
  <si>
    <t xml:space="preserve">MEM, AMC </t>
  </si>
  <si>
    <t>NON, AM</t>
  </si>
  <si>
    <t>Light Blue</t>
  </si>
  <si>
    <t>Non-member, Active Military</t>
  </si>
  <si>
    <t>PO1, EGS</t>
  </si>
  <si>
    <t>Light Orange</t>
  </si>
  <si>
    <t>TRN, RES</t>
  </si>
  <si>
    <t>Lime Green</t>
  </si>
  <si>
    <t xml:space="preserve">PO1, EGS, MEM, AMC, NON, AM, TRN, RES, STU, NPM, OTH  </t>
  </si>
  <si>
    <t>NPM, OTH</t>
  </si>
  <si>
    <t>Teal</t>
  </si>
  <si>
    <t>Gray</t>
  </si>
  <si>
    <t>STF, PRS</t>
  </si>
  <si>
    <t>Staff, Press</t>
  </si>
  <si>
    <t>EXH, CRR</t>
  </si>
  <si>
    <t>Exhibitor, Corporate Rep</t>
  </si>
  <si>
    <t>Houston A</t>
  </si>
  <si>
    <t>Houston B</t>
  </si>
  <si>
    <t>Lone Star Ballroom C3</t>
  </si>
  <si>
    <t>Lone Star Ballroom C2</t>
  </si>
  <si>
    <t>Lone Star Ballroom C1</t>
  </si>
  <si>
    <t>Lone Star Ballroom C4</t>
  </si>
  <si>
    <t>Lone Star Ballroom B</t>
  </si>
  <si>
    <t>*Limited quanties available.*</t>
  </si>
  <si>
    <t>2 - Dailies</t>
  </si>
  <si>
    <t>In Training Fellows, Resident</t>
  </si>
  <si>
    <t>Nurse/Paramedial, Non-Medical</t>
  </si>
  <si>
    <r>
      <t xml:space="preserve">REG: 123456                                             </t>
    </r>
    <r>
      <rPr>
        <b/>
        <sz val="10"/>
        <color rgb="FFFF0000"/>
        <rFont val="Arial"/>
        <family val="2"/>
      </rPr>
      <t>Paddle #: _______</t>
    </r>
  </si>
  <si>
    <t>their ticket to enter.</t>
  </si>
  <si>
    <t>Ticket is nontransferable. ALL attendees</t>
  </si>
  <si>
    <t xml:space="preserve">  and guests must be badged and have</t>
  </si>
  <si>
    <t>This ticket does not print for exhibitors or staff: reg code EXH or STF.</t>
  </si>
  <si>
    <t>Chaparral</t>
  </si>
  <si>
    <t>TKT, AC</t>
  </si>
  <si>
    <t>TKT,  AC</t>
  </si>
  <si>
    <t>Stephanie Casad</t>
  </si>
  <si>
    <t>Scasad@facs.org</t>
  </si>
  <si>
    <t xml:space="preserve">Stephanie Casad: Scasad@facs.org </t>
  </si>
  <si>
    <t>scasad@facs.org</t>
  </si>
  <si>
    <t>Casad</t>
  </si>
  <si>
    <t xml:space="preserve">
 ACCOMMOD,EMERGEN,FIRSTMTG,GDPR,MILITARY ,RESTRICT,VISA_REQ</t>
  </si>
  <si>
    <t xml:space="preserve">$0 / $250 </t>
  </si>
  <si>
    <t>AFP, PB_P, PB_DL, EGS_D1, EGS_D2, PC01, PC022, PC04M, WREC, WRECD, BIA, TLD, TL1, TL2,TL3, TL4, TL5, TL6, TL1F, TL1F,TL2F,TL3F, TL4F, TL5F, TL6F, FBD, FB1,FB2,FB3,FB4, FB5, FB6, FB1F, FB2F, FB3F,FB4F,FB5F, FB6F, FLEH, FLEHD, AAB, AABD</t>
  </si>
  <si>
    <t>AFP</t>
  </si>
  <si>
    <t>AFP, PB_P, PB_DL, EGS_D1, EGS_D2, PC01, PC0222, PC03, PC04, PC01M, PC022M, PC03M, PC04M, WREC, WRECD, BIA, BNF, TLD, TL1, TL2, TL3, TL4, TL5, TL6, TL1F, TL2F, TL3F, TL4F, TL5F, FBD, FB1, FB2, FB3, FB4 , FB5, FB6, FB1F, FB2F, FB3F, FB4F, FB5F, FB6F FLEH, FLEHD, AAB, AABD</t>
  </si>
  <si>
    <t>AFP, PB_P, PB_DL, EGS_D1, EGS_D2, PC01, PC022, PC03, PC04, PC01M, PC022M, PC03M, PC04M, WREC, WRECD, BIA, TLD, TL1, TL2, TL3, TL4, TL5, TL6, TL1F, TL2F, TL3F, TL4F, TL5F, FBD, FB1, FB2, FB3, FB4 , FB5, FB6, FB1F, FB2F, FB3F, FB4F, FB5F, FB6F FLEH, FLEHD, AAB, AABD</t>
  </si>
  <si>
    <t>AFP, PB_P, PB_DL, EGS_D1, EGS_D2, PC01, PC022, PC03, PC04, PC01M, PC022M, PC03M, PC04M, WREC, WRECD, BIA, BITRS, TLD, TL1, TL2, TL3, TL4, TL5, TL6, TL1F, TL2F, TL3F, TL4F, TL5F, FBD, FB1, FB2, FB3, FB4 , FB5, FB6, FB1F, FB2F, FB3F, FB4F, FB5F, FB6F FLEH, FLEHD, AAB, AABD</t>
  </si>
  <si>
    <t>AFP, PB_P, PB_DL, EGS_D1, EGS_D2, PC01, PC022, PC03, PC04, PC01M, PC022M, PC03M, PC04M, WREC, WRECD</t>
  </si>
  <si>
    <t>AFP, PB_P, PB_DL, EGS_D1, EGS_D2 , PC01, PC022, PC03, PC04, PC01M, PC022M, PC03M, PC04M, BIA, BITRS, TLD, TL1, TL2, TL3, TL4, TL5, TL6, TL1F, TL2F, TL3F, TL4F, TL5F</t>
  </si>
  <si>
    <t xml:space="preserve">AFP, PB_P, PB_DL, EGS_D1, EGS_D2, PC01, PC022, PC03, PC04, PC01M, PC022M, PC03M, PC04M, AAB, AABD, FBD, FB1, FB2, FB3, FB4 , FB5, FB6, FB1F, FB2F, FB3F, FB4F, FB5F, FB6F FLEH, FLEHD </t>
  </si>
  <si>
    <t>AFP, PB_P, PB_DL, EGS_D1, EGS_D2, PC01, PC022, PC03, PC04, PC01M, PC022M, PC03M, PC04M</t>
  </si>
  <si>
    <t>AFP, PB_P, PB_DL, EGS_D1, EGS_D2 , PC01, PC022, PC03, PC04, PC01M, PC022M, PC03M, PC04M, WREC, WRECD, BIA, BITRS, TLD, TL1, TL2, TL3, TL4, TL5, TL6, TL1F, TL2F, TL3F, TL4F, TL5F</t>
  </si>
  <si>
    <t>AFP, PB_P, PB_DL, EGS_D1, EGS_D2, PC01, PC022, PC03, PC04, PC01M, PC022M, PC03M, PC04M, WREC, WRECD, AAB, AABD, FBD, FB1, FB2, FB3, FB4 , FB5, FB6, FB1F, FB2F, FB3F, FB4F, FB5F, FB6F FLEH, FLEHD</t>
  </si>
  <si>
    <t>AFP, PB_P, PB_DL, EGS_D1, EGS_D2, PC01, PC022, PC03, PC04, PC01M, FB2F, FB3F,FB4F,FB5F, FB6F, FLEH</t>
  </si>
  <si>
    <t>AFP, PB_P, PB_DL, EGS_D1, EGS_D2, PC01, PC022, PC03, PC04, PC01M, PC022M, PC03M, PC04M, BIA, BITRS, TLD, TL1, TL2, TL3, TL4, TL5, TL6, TL1F, TL2F, TL3F, TL4F, TL5F, FBD, FB1, FB2, FB3, FB4 , FB5, FB6, FB1F, FB2F, FB3F, FB4F, FB5F, FB6F FLEH, FLEHD, AAB, AABD</t>
  </si>
  <si>
    <t>AFP, PB_P, PB_DL, EGS_D1, EGS_D2 , PC01- PC05, PC01M, PC022M, PC03M, PC04M, PC05M, BIA, BITRS, TLD, TL1, TL2, TL3, TL4, TL5, TL6, TL1F, TL2F, TL3F, TL4F, TL5F</t>
  </si>
  <si>
    <t>AFP, PB_P, PB_DL, EGS_D1, EGS_D2, PC01, PC022, PC03, PC04, PC01M, PC022M, PC03M, PC04M, AAB, AABD, FBD, FB1, FB2, FB3, FB4 , FB5, FB6, FB1F, FB2F, FB3F, FB4F, FB5F, FB6F FLEH, FLEHD</t>
  </si>
  <si>
    <t>AFP, PB_P, PB_DL, EGS_D1, EGS_D2 , PC01, PC022, PC03, PC04, PC01M, PC022M, PC03M, PC04M, BIA, TLD, TL1, TL2, TL3, TL4, TL5, TL6, TL1F, TL2F, TL3F, TL4F, TL5F</t>
  </si>
  <si>
    <t>AFP, PB_P, PB_DL, EGS_D1, EGS_D2 , PC01, PC022, PC03, PC04, PC01M, PC022M, PC03M, PC04M, WREC, WRECD, BIA, TLD, TL1, TL2, TL3, TL4, TL5, TL6, TL1F, TL2F, TL3F, TL4F, TL5F</t>
  </si>
  <si>
    <t>AFP, PB_P, PB_DL, EGS_D1, EGS_D2, PC01, PC022, PC03, PC04, PC01M, PC022M, PC03M, PC04M, BIA, TLD, TL1, TL2, TL3, TL4, TL5, TL6, TL1F, TL2F, TL3F, TL4F, TL5F, FBD, FB1, FB2, FB3, FB4 , FB5, FB6, FB1F, FB2F, FB3F, FB4F, FB5F, FB6F FLEH, FLEHD, AAB, AABD</t>
  </si>
  <si>
    <t>AFP, PB_P, PB_DL, EGS_D1, EGS_D2, PC01, PC022, PC03, PC04, PC01M, PC022M, PC03M, PC04M, WREC, WRECD, BIA, BITRS, TLD, TL1, TL2, TL3, TL4, TL5, TL6, TL1F, TL2F, TL3F, TL4F, TL5F, FBD, FB1, FB2, FB3, FB4 , FB5, FB6, FB1F, FB2F, FB3F, FB4F, FB5F, FB6F FLEH, FLEHD, AABRS, AABD</t>
  </si>
  <si>
    <t xml:space="preserve">AFP, PB_P, PB_DL, EGS_D1, EGS_D2, PC01, PC022, PC03, PC04, PC01M, PC022M, PC03M, PC04M, AABRS, AABD, FBD, FB1, FB2, FB3, FB4 , FB5, FB6, FB1F, FB2F, FB3F, FB4F, FB5F, FB6F FLEH, FLEHD </t>
  </si>
  <si>
    <t>AFP, PB_P, PB_DL, EGS_D1, EGS_D2, PC01, PC022, PC03, PC04, PC01M, PC022M, PC03M, PC04M, WREC, WRECD, AABRS, AABD, FBD, FB1, FB2, FB3, FB4 , FB5, FB6, FB1F, FB2F, FB3F, FB4F, FB5F, FB6F FLEH, FLEHD</t>
  </si>
  <si>
    <t>AFP, PB_P, PB_DL, EGS_D1, EGS_D2, PC01, PC022, PC03, PC04, PC01M, PC022M, PC03M, PC04M, BIA, BITRS, TLD, TL1, TL2, TL3, TL4, TL5, TL6, TL1F, TL2F, TL3F, TL4F, TL5F, FBD, FB1, FB2, FB3, FB4 , FB5, FB6, FB1F, FB2F, FB3F, FB4F, FB5F, FB6F FLEH, FLEHD, AABRS, AABD</t>
  </si>
  <si>
    <t>AFP, PB_P, PB_DL, EGS_D1, EGS_D2, PC01, PC022, PC03, PC04, PC01M, PC022M, PC03M, PC04M, AABRS, AABD, FBD, FB1, FB2, FB3, FB4 , FB5, FB6, FB1F, FB2F, FB3F, FB4F, FB5F, FB6F FLEH, FLEHD</t>
  </si>
  <si>
    <t>AFP, PB_P, PB_DL, EGS_D1, EGS_D2, PC01, PC022, PC03, PC04, PC01M, PC022M, PC03M, PC04M, PC05M, BIA, BITRS, TLD, TL1, TL2, TL3, TL4, TL5, TL6, TL1F, TL2F, TL3F, TL4F, TL5F, FBD, FB1, FB2, FB3, FB4 , FB5, FB6, FB1F, FB2F, FB3F, FB4F, FB5F, FB6F FLEH, FLEHD, AABRS, AABD</t>
  </si>
  <si>
    <t>AFP, PC01- PC05, PC01M, PC022M, PC03M, PC04M, PC05M</t>
  </si>
  <si>
    <t xml:space="preserve">AFP, EGS_D1CO, EGS_D2 </t>
  </si>
  <si>
    <t>AFP, PB_P, PB_DL, EGS_D1, EGS_D2, PC01, PC022, PC03, PC04, PC01M, PC022M, PC03M, PC04M, WREC, WRECD, BIA, BITRS, BNF, TLD, TL1, TL2, TL3, TL4, TL5, TL6, TL1F, TL2F, TL3F, TL4F, TL5F, FBD, FB1, FB2, FB3, FB4 , FB5, FB6, FB1F, FB2F, FB3F, FB4F, FB5F, FB6F FLEH, FLEHD, AAB, AABD</t>
  </si>
  <si>
    <t>AFP, WREC, WRECD, AABG, EXTRA</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</si>
</sst>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6" formatCode="&quot;$&quot;#,##0_);[Red]\(&quot;$&quot;#,##0\)"/>
    <numFmt numFmtId="8" formatCode="&quot;$&quot;#,##0.00_);[Red]\(&quot;$&quot;#,##0.00\)"/>
    <numFmt numFmtId="44" formatCode="_(&quot;$&quot;* #,##0.00_);_(&quot;$&quot;* \(#,##0.00\);_(&quot;$&quot;* &quot;-&quot;??_);_(@_)"/>
    <numFmt numFmtId="164" formatCode="&quot;$&quot;#,##0"/>
    <numFmt numFmtId="165" formatCode="m/d/yy;@"/>
    <numFmt numFmtId="166" formatCode="m/d/yy\ h:mm;@"/>
    <numFmt numFmtId="167" formatCode="[$-409]m/d/yy\ h:mm\ AM/PM;@"/>
  </numFmts>
  <fonts count="117" x14ac:knownFonts="1">
    <font>
      <sz val="10"/>
      <name val="Arial"/>
    </font>
    <font>
      <sz val="10"/>
      <name val="Arial"/>
      <family val="2"/>
    </font>
    <font>
      <b/>
      <sz val="11"/>
      <name val="Arial"/>
      <family val="2"/>
    </font>
    <font>
      <sz val="11"/>
      <name val="Arial"/>
      <family val="2"/>
    </font>
    <font>
      <sz val="10"/>
      <name val="Arial"/>
      <family val="2"/>
    </font>
    <font>
      <u/>
      <sz val="10"/>
      <color indexed="12"/>
      <name val="Arial"/>
      <family val="2"/>
    </font>
    <font>
      <sz val="8"/>
      <name val="Arial"/>
      <family val="2"/>
    </font>
    <font>
      <sz val="10"/>
      <color indexed="9"/>
      <name val="Arial"/>
      <family val="2"/>
    </font>
    <font>
      <sz val="9"/>
      <name val="Arial"/>
      <family val="2"/>
    </font>
    <font>
      <b/>
      <sz val="8"/>
      <name val="Arial"/>
      <family val="2"/>
    </font>
    <font>
      <b/>
      <sz val="10"/>
      <name val="Arial"/>
      <family val="2"/>
    </font>
    <font>
      <i/>
      <sz val="10"/>
      <name val="Arial"/>
      <family val="2"/>
    </font>
    <font>
      <sz val="12"/>
      <name val="Arial"/>
      <family val="2"/>
    </font>
    <font>
      <b/>
      <i/>
      <sz val="10"/>
      <name val="Arial"/>
      <family val="2"/>
    </font>
    <font>
      <sz val="10"/>
      <name val="Arial"/>
      <family val="2"/>
    </font>
    <font>
      <sz val="12"/>
      <name val="Courier New"/>
      <family val="3"/>
    </font>
    <font>
      <b/>
      <sz val="12"/>
      <name val="Arial"/>
      <family val="2"/>
    </font>
    <font>
      <sz val="10"/>
      <name val="Arial Narrow"/>
      <family val="2"/>
    </font>
    <font>
      <sz val="7"/>
      <name val="Times New Roman"/>
      <family val="1"/>
    </font>
    <font>
      <sz val="8"/>
      <name val="Arial Narrow"/>
      <family val="2"/>
    </font>
    <font>
      <b/>
      <sz val="10"/>
      <name val="Arial Narrow"/>
      <family val="2"/>
    </font>
    <font>
      <sz val="8"/>
      <name val="Arial"/>
      <family val="2"/>
    </font>
    <font>
      <sz val="10"/>
      <name val="Times New Roman"/>
      <family val="1"/>
    </font>
    <font>
      <b/>
      <sz val="14"/>
      <name val="Arial"/>
      <family val="2"/>
    </font>
    <font>
      <b/>
      <sz val="16"/>
      <name val="Arial Narrow"/>
      <family val="2"/>
    </font>
    <font>
      <b/>
      <sz val="18"/>
      <name val="Arial Narrow"/>
      <family val="2"/>
    </font>
    <font>
      <b/>
      <sz val="10"/>
      <color indexed="20"/>
      <name val="Arial Narrow"/>
      <family val="2"/>
    </font>
    <font>
      <u/>
      <sz val="10"/>
      <name val="Arial"/>
      <family val="2"/>
    </font>
    <font>
      <sz val="10"/>
      <name val="Arial"/>
      <family val="2"/>
    </font>
    <font>
      <sz val="12"/>
      <name val="Arial"/>
      <family val="2"/>
    </font>
    <font>
      <sz val="16"/>
      <color indexed="9"/>
      <name val="Arial"/>
      <family val="2"/>
    </font>
    <font>
      <sz val="14"/>
      <name val="Arial"/>
      <family val="2"/>
    </font>
    <font>
      <u/>
      <sz val="10"/>
      <name val="Arial Narrow"/>
      <family val="2"/>
    </font>
    <font>
      <u/>
      <sz val="10"/>
      <name val="Arial"/>
      <family val="2"/>
    </font>
    <font>
      <sz val="14"/>
      <name val="Arial"/>
      <family val="2"/>
    </font>
    <font>
      <vertAlign val="superscript"/>
      <sz val="10"/>
      <name val="Arial"/>
      <family val="2"/>
    </font>
    <font>
      <i/>
      <sz val="10"/>
      <color indexed="9"/>
      <name val="Arial"/>
      <family val="2"/>
    </font>
    <font>
      <sz val="23"/>
      <name val="Arial"/>
      <family val="2"/>
    </font>
    <font>
      <sz val="18"/>
      <name val="Arial"/>
      <family val="2"/>
    </font>
    <font>
      <sz val="16"/>
      <color indexed="9"/>
      <name val="Arial"/>
      <family val="2"/>
    </font>
    <font>
      <sz val="10"/>
      <color indexed="9"/>
      <name val="Arial"/>
      <family val="2"/>
    </font>
    <font>
      <sz val="10"/>
      <color indexed="9"/>
      <name val="Arial"/>
      <family val="2"/>
    </font>
    <font>
      <sz val="8"/>
      <name val="Arial"/>
      <family val="2"/>
    </font>
    <font>
      <sz val="10"/>
      <name val="Verdana"/>
      <family val="2"/>
    </font>
    <font>
      <sz val="10"/>
      <name val="Arial"/>
      <family val="2"/>
    </font>
    <font>
      <b/>
      <u/>
      <sz val="10"/>
      <color indexed="12"/>
      <name val="Arial"/>
      <family val="2"/>
    </font>
    <font>
      <b/>
      <sz val="10"/>
      <color indexed="10"/>
      <name val="Arial"/>
      <family val="2"/>
    </font>
    <font>
      <sz val="10"/>
      <name val="Symbol"/>
      <family val="1"/>
      <charset val="2"/>
    </font>
    <font>
      <b/>
      <sz val="9"/>
      <name val="Arial"/>
      <family val="2"/>
    </font>
    <font>
      <sz val="10"/>
      <name val="Courier New"/>
      <family val="3"/>
    </font>
    <font>
      <b/>
      <sz val="32"/>
      <name val="Arial"/>
      <family val="2"/>
    </font>
    <font>
      <b/>
      <sz val="18"/>
      <name val="Arial"/>
      <family val="2"/>
    </font>
    <font>
      <b/>
      <sz val="23"/>
      <name val="Arial"/>
      <family val="2"/>
    </font>
    <font>
      <b/>
      <sz val="26"/>
      <name val="Arial"/>
      <family val="2"/>
    </font>
    <font>
      <b/>
      <sz val="16"/>
      <name val="Arial"/>
      <family val="2"/>
    </font>
    <font>
      <sz val="9"/>
      <color indexed="81"/>
      <name val="Tahoma"/>
      <family val="2"/>
    </font>
    <font>
      <b/>
      <sz val="9"/>
      <color indexed="81"/>
      <name val="Tahoma"/>
      <family val="2"/>
    </font>
    <font>
      <b/>
      <i/>
      <sz val="9"/>
      <color indexed="81"/>
      <name val="Tahoma"/>
      <family val="2"/>
    </font>
    <font>
      <sz val="9"/>
      <color indexed="12"/>
      <name val="Arial"/>
      <family val="2"/>
    </font>
    <font>
      <sz val="10"/>
      <color indexed="8"/>
      <name val="Arial"/>
      <family val="2"/>
    </font>
    <font>
      <u/>
      <sz val="9"/>
      <color indexed="12"/>
      <name val="Arial"/>
      <family val="2"/>
    </font>
    <font>
      <sz val="10"/>
      <color theme="0"/>
      <name val="Arial"/>
      <family val="2"/>
    </font>
    <font>
      <b/>
      <u/>
      <sz val="10"/>
      <color theme="0"/>
      <name val="Arial"/>
      <family val="2"/>
    </font>
    <font>
      <sz val="10"/>
      <color rgb="FFFFFFFF"/>
      <name val="Arial Narrow"/>
      <family val="2"/>
    </font>
    <font>
      <sz val="9"/>
      <color rgb="FFFFFFFF"/>
      <name val="Arial"/>
      <family val="2"/>
    </font>
    <font>
      <sz val="16"/>
      <color theme="0"/>
      <name val="Arial"/>
      <family val="2"/>
    </font>
    <font>
      <sz val="9"/>
      <color rgb="FF000000"/>
      <name val="Arial"/>
      <family val="2"/>
    </font>
    <font>
      <sz val="35"/>
      <name val="Arial"/>
      <family val="2"/>
    </font>
    <font>
      <sz val="32"/>
      <name val="Arial"/>
      <family val="2"/>
    </font>
    <font>
      <sz val="26"/>
      <name val="Arial"/>
      <family val="2"/>
    </font>
    <font>
      <b/>
      <u/>
      <sz val="9"/>
      <color indexed="81"/>
      <name val="Tahoma"/>
      <family val="2"/>
    </font>
    <font>
      <b/>
      <sz val="10"/>
      <color rgb="FFFF0000"/>
      <name val="Arial"/>
      <family val="2"/>
    </font>
    <font>
      <sz val="10"/>
      <color rgb="FFFF0000"/>
      <name val="Arial"/>
      <family val="2"/>
    </font>
    <font>
      <sz val="12"/>
      <color rgb="FFFF0000"/>
      <name val="Arial"/>
      <family val="2"/>
    </font>
    <font>
      <sz val="11"/>
      <color rgb="FF000000"/>
      <name val="Arial"/>
      <family val="2"/>
    </font>
    <font>
      <b/>
      <sz val="18"/>
      <color rgb="FF000000"/>
      <name val="Arial"/>
      <family val="2"/>
    </font>
    <font>
      <b/>
      <sz val="10"/>
      <color theme="1"/>
      <name val="Arial"/>
      <family val="2"/>
    </font>
    <font>
      <sz val="8"/>
      <color rgb="FFFF0000"/>
      <name val="Arial"/>
      <family val="2"/>
    </font>
    <font>
      <sz val="9"/>
      <color rgb="FF222222"/>
      <name val="Arial"/>
      <family val="2"/>
    </font>
    <font>
      <b/>
      <u/>
      <sz val="10"/>
      <color rgb="FFFF0000"/>
      <name val="Arial"/>
      <family val="2"/>
    </font>
    <font>
      <b/>
      <sz val="10"/>
      <color rgb="FF0922D9"/>
      <name val="Arial"/>
      <family val="2"/>
    </font>
    <font>
      <strike/>
      <sz val="8"/>
      <name val="Arial"/>
      <family val="2"/>
    </font>
    <font>
      <sz val="11"/>
      <name val="Calibri"/>
      <family val="2"/>
    </font>
    <font>
      <sz val="11"/>
      <name val="Arial Narrow"/>
      <family val="2"/>
    </font>
    <font>
      <strike/>
      <sz val="9"/>
      <color rgb="FFFF0000"/>
      <name val="Arial"/>
      <family val="2"/>
    </font>
    <font>
      <i/>
      <sz val="10"/>
      <color theme="0"/>
      <name val="Arial"/>
      <family val="2"/>
    </font>
    <font>
      <sz val="10"/>
      <color rgb="FF0070C0"/>
      <name val="Arial"/>
      <family val="2"/>
    </font>
    <font>
      <sz val="10"/>
      <color rgb="FF0922D9"/>
      <name val="Arial Narrow"/>
      <family val="2"/>
    </font>
    <font>
      <strike/>
      <sz val="10"/>
      <color rgb="FFFF0000"/>
      <name val="Arial"/>
      <family val="2"/>
    </font>
    <font>
      <sz val="10"/>
      <color rgb="FF0922D9"/>
      <name val="Courier New"/>
      <family val="3"/>
    </font>
    <font>
      <sz val="10"/>
      <color rgb="FF0000FF"/>
      <name val="Arial Narrow"/>
      <family val="2"/>
    </font>
    <font>
      <b/>
      <u/>
      <sz val="10"/>
      <color indexed="9"/>
      <name val="Arial"/>
      <family val="2"/>
    </font>
    <font>
      <b/>
      <sz val="9"/>
      <color rgb="FFFF0000"/>
      <name val="Arial"/>
      <family val="2"/>
    </font>
    <font>
      <b/>
      <sz val="8"/>
      <color indexed="9"/>
      <name val="Arial"/>
      <family val="2"/>
    </font>
    <font>
      <b/>
      <sz val="10"/>
      <color theme="0"/>
      <name val="Arial"/>
      <family val="2"/>
    </font>
    <font>
      <b/>
      <strike/>
      <sz val="14"/>
      <color rgb="FFFF0000"/>
      <name val="Arial"/>
      <family val="2"/>
    </font>
    <font>
      <sz val="10"/>
      <name val="Arial"/>
      <family val="2"/>
    </font>
    <font>
      <sz val="10"/>
      <name val="Arial"/>
      <family val="2"/>
    </font>
    <font>
      <b/>
      <sz val="10"/>
      <color rgb="FF000000"/>
      <name val="Arial"/>
      <family val="2"/>
    </font>
    <font>
      <sz val="10"/>
      <color rgb="FF000000"/>
      <name val="Arial"/>
      <family val="2"/>
    </font>
    <font>
      <i/>
      <sz val="10"/>
      <color rgb="FF000000"/>
      <name val="Arial"/>
      <family val="2"/>
    </font>
    <font>
      <sz val="10"/>
      <color theme="1"/>
      <name val="Calibri"/>
      <family val="2"/>
      <scheme val="minor"/>
    </font>
    <font>
      <b/>
      <sz val="12"/>
      <color theme="1"/>
      <name val="Calibri"/>
      <family val="2"/>
      <scheme val="minor"/>
    </font>
    <font>
      <strike/>
      <sz val="10"/>
      <color rgb="FF000000"/>
      <name val="Arial"/>
      <family val="2"/>
    </font>
    <font>
      <b/>
      <sz val="11"/>
      <color rgb="FF0000FF"/>
      <name val="Arial"/>
      <family val="2"/>
    </font>
    <font>
      <sz val="10"/>
      <name val="Cambria"/>
      <family val="1"/>
    </font>
    <font>
      <b/>
      <sz val="10"/>
      <color rgb="FF0070C0"/>
      <name val="Arial"/>
      <family val="2"/>
    </font>
    <font>
      <b/>
      <strike/>
      <sz val="10"/>
      <color rgb="FFFF0000"/>
      <name val="Arial"/>
      <family val="2"/>
    </font>
    <font>
      <strike/>
      <sz val="14"/>
      <color rgb="FFFF0000"/>
      <name val="Arial"/>
      <family val="2"/>
    </font>
    <font>
      <strike/>
      <sz val="8"/>
      <color rgb="FFFF0000"/>
      <name val="Arial"/>
      <family val="2"/>
    </font>
    <font>
      <b/>
      <strike/>
      <sz val="32"/>
      <color rgb="FFFF0000"/>
      <name val="Arial"/>
      <family val="2"/>
    </font>
    <font>
      <b/>
      <strike/>
      <sz val="18"/>
      <color rgb="FFFF0000"/>
      <name val="Arial"/>
      <family val="2"/>
    </font>
    <font>
      <strike/>
      <sz val="18"/>
      <color rgb="FFFF0000"/>
      <name val="Arial"/>
      <family val="2"/>
    </font>
    <font>
      <strike/>
      <sz val="23"/>
      <color rgb="FFFF0000"/>
      <name val="Arial"/>
      <family val="2"/>
    </font>
    <font>
      <strike/>
      <sz val="26"/>
      <color rgb="FFFF0000"/>
      <name val="Arial"/>
      <family val="2"/>
    </font>
    <font>
      <strike/>
      <sz val="32"/>
      <color rgb="FFFF0000"/>
      <name val="Arial"/>
      <family val="2"/>
    </font>
    <font>
      <strike/>
      <sz val="35"/>
      <color rgb="FFFF0000"/>
      <name val="Arial"/>
      <family val="2"/>
    </font>
  </fonts>
  <fills count="27">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9"/>
        <bgColor indexed="64"/>
      </patternFill>
    </fill>
    <fill>
      <patternFill patternType="solid">
        <fgColor indexed="63"/>
        <bgColor indexed="64"/>
      </patternFill>
    </fill>
    <fill>
      <patternFill patternType="solid">
        <fgColor indexed="55"/>
        <bgColor indexed="64"/>
      </patternFill>
    </fill>
    <fill>
      <patternFill patternType="solid">
        <fgColor indexed="8"/>
        <bgColor indexed="64"/>
      </patternFill>
    </fill>
    <fill>
      <patternFill patternType="solid">
        <fgColor indexed="65"/>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1"/>
        <bgColor indexed="64"/>
      </patternFill>
    </fill>
    <fill>
      <patternFill patternType="solid">
        <fgColor theme="0"/>
        <bgColor indexed="64"/>
      </patternFill>
    </fill>
    <fill>
      <patternFill patternType="solid">
        <fgColor rgb="FF0070C0"/>
        <bgColor indexed="64"/>
      </patternFill>
    </fill>
    <fill>
      <patternFill patternType="solid">
        <fgColor theme="0" tint="-0.34998626667073579"/>
        <bgColor indexed="64"/>
      </patternFill>
    </fill>
    <fill>
      <patternFill patternType="solid">
        <fgColor rgb="FFC0C0C0"/>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rgb="FF0000FF"/>
        <bgColor indexed="64"/>
      </patternFill>
    </fill>
    <fill>
      <patternFill patternType="solid">
        <fgColor theme="0" tint="-0.499984740745262"/>
        <bgColor indexed="64"/>
      </patternFill>
    </fill>
    <fill>
      <patternFill patternType="solid">
        <fgColor rgb="FF0922D9"/>
        <bgColor indexed="64"/>
      </patternFill>
    </fill>
    <fill>
      <patternFill patternType="solid">
        <fgColor rgb="FFFF0000"/>
        <bgColor indexed="64"/>
      </patternFill>
    </fill>
    <fill>
      <patternFill patternType="solid">
        <fgColor theme="9" tint="0.39997558519241921"/>
        <bgColor indexed="64"/>
      </patternFill>
    </fill>
    <fill>
      <patternFill patternType="solid">
        <fgColor rgb="FF66FFFF"/>
        <bgColor indexed="64"/>
      </patternFill>
    </fill>
    <fill>
      <patternFill patternType="solid">
        <fgColor rgb="FF99CCFF"/>
        <bgColor indexed="64"/>
      </patternFill>
    </fill>
  </fills>
  <borders count="8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double">
        <color indexed="64"/>
      </left>
      <right style="thin">
        <color indexed="64"/>
      </right>
      <top/>
      <bottom/>
      <diagonal/>
    </border>
    <border>
      <left style="double">
        <color indexed="64"/>
      </left>
      <right style="thin">
        <color indexed="64"/>
      </right>
      <top style="thin">
        <color indexed="64"/>
      </top>
      <bottom/>
      <diagonal/>
    </border>
    <border>
      <left style="double">
        <color indexed="64"/>
      </left>
      <right style="thin">
        <color indexed="64"/>
      </right>
      <top/>
      <bottom style="thin">
        <color indexed="64"/>
      </bottom>
      <diagonal/>
    </border>
    <border>
      <left/>
      <right style="thin">
        <color indexed="64"/>
      </right>
      <top style="thin">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dotted">
        <color indexed="64"/>
      </top>
      <bottom/>
      <diagonal/>
    </border>
    <border>
      <left/>
      <right/>
      <top style="dotted">
        <color indexed="64"/>
      </top>
      <bottom/>
      <diagonal/>
    </border>
    <border>
      <left/>
      <right style="thin">
        <color indexed="64"/>
      </right>
      <top style="dotted">
        <color indexed="64"/>
      </top>
      <bottom/>
      <diagonal/>
    </border>
    <border>
      <left style="thin">
        <color indexed="64"/>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n">
        <color indexed="64"/>
      </left>
      <right/>
      <top style="thick">
        <color indexed="64"/>
      </top>
      <bottom/>
      <diagonal/>
    </border>
    <border>
      <left/>
      <right/>
      <top style="thick">
        <color indexed="64"/>
      </top>
      <bottom/>
      <diagonal/>
    </border>
    <border>
      <left/>
      <right style="thin">
        <color indexed="64"/>
      </right>
      <top style="thick">
        <color indexed="64"/>
      </top>
      <bottom/>
      <diagonal/>
    </border>
    <border>
      <left style="thin">
        <color indexed="64"/>
      </left>
      <right/>
      <top style="thick">
        <color indexed="64"/>
      </top>
      <bottom style="thick">
        <color indexed="64"/>
      </bottom>
      <diagonal/>
    </border>
    <border>
      <left/>
      <right/>
      <top style="thick">
        <color indexed="64"/>
      </top>
      <bottom style="thick">
        <color indexed="64"/>
      </bottom>
      <diagonal/>
    </border>
    <border>
      <left/>
      <right style="thin">
        <color indexed="64"/>
      </right>
      <top style="thick">
        <color indexed="64"/>
      </top>
      <bottom style="thick">
        <color indexed="64"/>
      </bottom>
      <diagonal/>
    </border>
    <border>
      <left style="thin">
        <color indexed="64"/>
      </left>
      <right/>
      <top/>
      <bottom style="thick">
        <color indexed="64"/>
      </bottom>
      <diagonal/>
    </border>
    <border>
      <left/>
      <right/>
      <top/>
      <bottom style="thick">
        <color indexed="64"/>
      </bottom>
      <diagonal/>
    </border>
    <border>
      <left/>
      <right style="thin">
        <color indexed="64"/>
      </right>
      <top/>
      <bottom style="thick">
        <color indexed="64"/>
      </bottom>
      <diagonal/>
    </border>
    <border>
      <left/>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rgb="FF000000"/>
      </bottom>
      <diagonal/>
    </border>
  </borders>
  <cellStyleXfs count="14">
    <xf numFmtId="0" fontId="0" fillId="0" borderId="0">
      <alignment vertical="top" wrapText="1"/>
    </xf>
    <xf numFmtId="44" fontId="1" fillId="0" borderId="0" applyFont="0" applyFill="0" applyBorder="0" applyAlignment="0" applyProtection="0"/>
    <xf numFmtId="44" fontId="4" fillId="0" borderId="0" applyFont="0" applyFill="0" applyBorder="0" applyAlignment="0" applyProtection="0"/>
    <xf numFmtId="0" fontId="5" fillId="0" borderId="0" applyNumberFormat="0" applyFill="0" applyBorder="0" applyAlignment="0" applyProtection="0">
      <alignment vertical="top"/>
      <protection locked="0"/>
    </xf>
    <xf numFmtId="0" fontId="4" fillId="0" borderId="0">
      <alignment vertical="top" wrapText="1"/>
    </xf>
    <xf numFmtId="0" fontId="4" fillId="0" borderId="0"/>
    <xf numFmtId="0" fontId="43" fillId="0" borderId="0"/>
    <xf numFmtId="0" fontId="1" fillId="0" borderId="0"/>
    <xf numFmtId="0" fontId="1" fillId="0" borderId="0">
      <alignment vertical="top" wrapText="1"/>
    </xf>
    <xf numFmtId="0" fontId="1" fillId="0" borderId="0">
      <alignment vertical="top" wrapText="1"/>
    </xf>
    <xf numFmtId="0" fontId="96" fillId="0" borderId="0">
      <alignment vertical="top" wrapText="1"/>
    </xf>
    <xf numFmtId="0" fontId="1" fillId="0" borderId="0">
      <alignment vertical="top" wrapText="1"/>
    </xf>
    <xf numFmtId="0" fontId="97" fillId="0" borderId="0">
      <alignment vertical="top" wrapText="1"/>
    </xf>
    <xf numFmtId="0" fontId="1" fillId="0" borderId="0"/>
  </cellStyleXfs>
  <cellXfs count="2155">
    <xf numFmtId="0" fontId="0" fillId="0" borderId="0" xfId="0">
      <alignment vertical="top" wrapText="1"/>
    </xf>
    <xf numFmtId="0" fontId="3" fillId="0" borderId="0" xfId="0" applyFont="1" applyFill="1" applyBorder="1" applyAlignment="1">
      <alignment horizontal="center" vertical="center"/>
    </xf>
    <xf numFmtId="0" fontId="3" fillId="0" borderId="0" xfId="0" applyFont="1" applyFill="1" applyBorder="1" applyAlignment="1">
      <alignment horizontal="right"/>
    </xf>
    <xf numFmtId="0" fontId="3" fillId="0" borderId="0" xfId="0" applyFont="1" applyFill="1" applyBorder="1" applyAlignment="1"/>
    <xf numFmtId="0" fontId="2" fillId="0" borderId="0" xfId="0" applyFont="1" applyFill="1" applyBorder="1" applyAlignment="1"/>
    <xf numFmtId="0" fontId="3" fillId="0" borderId="0" xfId="0" applyFont="1" applyFill="1" applyBorder="1" applyAlignment="1">
      <alignment horizontal="left"/>
    </xf>
    <xf numFmtId="0" fontId="2" fillId="0" borderId="0" xfId="0" applyFont="1" applyFill="1" applyBorder="1" applyAlignment="1">
      <alignment horizontal="left"/>
    </xf>
    <xf numFmtId="0" fontId="4" fillId="0" borderId="0" xfId="0" applyFont="1" applyFill="1" applyBorder="1" applyAlignment="1">
      <alignment horizontal="left"/>
    </xf>
    <xf numFmtId="0" fontId="4" fillId="0" borderId="0" xfId="0" applyFont="1" applyFill="1" applyBorder="1" applyAlignment="1">
      <alignment horizontal="right"/>
    </xf>
    <xf numFmtId="0" fontId="4" fillId="0" borderId="0" xfId="0" applyFont="1" applyFill="1" applyBorder="1" applyAlignment="1"/>
    <xf numFmtId="0" fontId="4" fillId="0" borderId="0" xfId="0" applyFont="1" applyFill="1" applyBorder="1" applyAlignment="1">
      <alignment horizontal="center" vertical="center"/>
    </xf>
    <xf numFmtId="0" fontId="3" fillId="0" borderId="0" xfId="0" applyFont="1" applyFill="1" applyBorder="1" applyAlignment="1">
      <alignment horizontal="center"/>
    </xf>
    <xf numFmtId="0" fontId="4" fillId="0" borderId="0" xfId="0" applyFont="1" applyFill="1" applyBorder="1" applyAlignment="1">
      <alignment horizontal="center"/>
    </xf>
    <xf numFmtId="0" fontId="4" fillId="0" borderId="0" xfId="0" applyFont="1" applyBorder="1" applyAlignment="1"/>
    <xf numFmtId="0" fontId="0" fillId="0" borderId="0" xfId="0" applyBorder="1">
      <alignment vertical="top" wrapText="1"/>
    </xf>
    <xf numFmtId="0" fontId="0" fillId="0" borderId="0" xfId="0" applyFill="1">
      <alignment vertical="top" wrapText="1"/>
    </xf>
    <xf numFmtId="0" fontId="0" fillId="0" borderId="0" xfId="0" applyFill="1" applyBorder="1">
      <alignment vertical="top" wrapText="1"/>
    </xf>
    <xf numFmtId="0" fontId="4" fillId="0" borderId="0" xfId="0" applyFont="1">
      <alignment vertical="top" wrapText="1"/>
    </xf>
    <xf numFmtId="0" fontId="10" fillId="0" borderId="0" xfId="0" applyFont="1">
      <alignment vertical="top" wrapText="1"/>
    </xf>
    <xf numFmtId="0" fontId="3" fillId="0" borderId="0" xfId="0" applyFont="1">
      <alignment vertical="top" wrapText="1"/>
    </xf>
    <xf numFmtId="0" fontId="3" fillId="0" borderId="0" xfId="0" applyFont="1" applyFill="1">
      <alignment vertical="top" wrapText="1"/>
    </xf>
    <xf numFmtId="0" fontId="16" fillId="0" borderId="0" xfId="0" applyFont="1">
      <alignment vertical="top" wrapText="1"/>
    </xf>
    <xf numFmtId="0" fontId="12" fillId="0" borderId="0" xfId="0" applyFont="1">
      <alignment vertical="top" wrapText="1"/>
    </xf>
    <xf numFmtId="0" fontId="12" fillId="0" borderId="0" xfId="0" applyFont="1" applyAlignment="1">
      <alignment horizontal="left" indent="4"/>
    </xf>
    <xf numFmtId="0" fontId="16" fillId="0" borderId="0" xfId="0" applyFont="1" applyAlignment="1">
      <alignment horizontal="left" indent="4"/>
    </xf>
    <xf numFmtId="0" fontId="12" fillId="0" borderId="0" xfId="0" applyFont="1" applyAlignment="1">
      <alignment horizontal="left" indent="6"/>
    </xf>
    <xf numFmtId="0" fontId="12" fillId="0" borderId="0" xfId="0" applyFont="1" applyAlignment="1">
      <alignment horizontal="left" indent="10"/>
    </xf>
    <xf numFmtId="0" fontId="12" fillId="0" borderId="0" xfId="0" applyFont="1" applyAlignment="1">
      <alignment horizontal="left" indent="7"/>
    </xf>
    <xf numFmtId="0" fontId="17" fillId="0" borderId="0" xfId="0" applyFont="1">
      <alignment vertical="top" wrapText="1"/>
    </xf>
    <xf numFmtId="0" fontId="23" fillId="0" borderId="0" xfId="0" applyFont="1">
      <alignment vertical="top" wrapText="1"/>
    </xf>
    <xf numFmtId="0" fontId="18" fillId="0" borderId="0" xfId="0" applyFont="1" applyAlignment="1">
      <alignment horizontal="left" indent="8"/>
    </xf>
    <xf numFmtId="0" fontId="4" fillId="0" borderId="0" xfId="0" applyFont="1" applyAlignment="1">
      <alignment horizontal="left" indent="6"/>
    </xf>
    <xf numFmtId="0" fontId="0" fillId="0" borderId="0" xfId="0" applyAlignment="1">
      <alignment vertical="top" wrapText="1"/>
    </xf>
    <xf numFmtId="0" fontId="0" fillId="0" borderId="0" xfId="0" applyAlignment="1">
      <alignment vertical="top"/>
    </xf>
    <xf numFmtId="0" fontId="4" fillId="0" borderId="0" xfId="0" applyFont="1" applyAlignment="1">
      <alignment vertical="top" wrapText="1"/>
    </xf>
    <xf numFmtId="0" fontId="4" fillId="0" borderId="0" xfId="0" applyFont="1" applyAlignment="1">
      <alignment vertical="top"/>
    </xf>
    <xf numFmtId="0" fontId="4" fillId="0" borderId="0" xfId="0" applyFont="1" applyAlignment="1">
      <alignment horizontal="center" vertical="top" wrapText="1"/>
    </xf>
    <xf numFmtId="0" fontId="0" fillId="0" borderId="0" xfId="0" applyBorder="1" applyAlignment="1">
      <alignment vertical="top" wrapText="1"/>
    </xf>
    <xf numFmtId="0" fontId="10" fillId="2" borderId="1" xfId="0" applyFont="1" applyFill="1" applyBorder="1" applyAlignment="1">
      <alignment horizontal="center" vertical="top" wrapText="1"/>
    </xf>
    <xf numFmtId="0" fontId="1" fillId="0" borderId="0" xfId="0" applyFont="1">
      <alignment vertical="top" wrapText="1"/>
    </xf>
    <xf numFmtId="0" fontId="28" fillId="0" borderId="0" xfId="0" applyFont="1">
      <alignment vertical="top" wrapText="1"/>
    </xf>
    <xf numFmtId="0" fontId="4" fillId="0" borderId="0" xfId="0" applyFont="1" applyFill="1" applyBorder="1">
      <alignment vertical="top" wrapText="1"/>
    </xf>
    <xf numFmtId="0" fontId="14" fillId="0" borderId="0" xfId="0" applyFont="1">
      <alignment vertical="top" wrapText="1"/>
    </xf>
    <xf numFmtId="0" fontId="10" fillId="2" borderId="1" xfId="0" applyFont="1" applyFill="1" applyBorder="1" applyAlignment="1">
      <alignment horizontal="center" vertical="center" wrapText="1"/>
    </xf>
    <xf numFmtId="0" fontId="10" fillId="0" borderId="0" xfId="0" applyFont="1" applyAlignment="1">
      <alignment vertical="top" wrapText="1"/>
    </xf>
    <xf numFmtId="0" fontId="9" fillId="2" borderId="1" xfId="0" applyFont="1" applyFill="1" applyBorder="1" applyAlignment="1">
      <alignment horizontal="center" vertical="top" wrapText="1"/>
    </xf>
    <xf numFmtId="0" fontId="4" fillId="0" borderId="0" xfId="0" applyFont="1" applyFill="1" applyBorder="1" applyAlignment="1">
      <alignment vertical="top" wrapText="1"/>
    </xf>
    <xf numFmtId="0" fontId="4" fillId="0" borderId="0" xfId="0" applyFont="1" applyFill="1" applyBorder="1" applyAlignment="1">
      <alignment vertical="top"/>
    </xf>
    <xf numFmtId="0" fontId="16" fillId="0" borderId="0" xfId="0" applyFont="1" applyAlignment="1">
      <alignment vertical="center" wrapText="1"/>
    </xf>
    <xf numFmtId="0" fontId="12" fillId="0" borderId="0" xfId="0" applyFont="1" applyAlignment="1">
      <alignment horizontal="left"/>
    </xf>
    <xf numFmtId="0" fontId="16" fillId="0" borderId="0" xfId="0" applyFont="1" applyFill="1" applyAlignment="1">
      <alignment vertical="center" wrapText="1"/>
    </xf>
    <xf numFmtId="0" fontId="0" fillId="0" borderId="0" xfId="0" applyFill="1" applyBorder="1" applyAlignment="1">
      <alignment vertical="top" wrapText="1"/>
    </xf>
    <xf numFmtId="0" fontId="21" fillId="0" borderId="1" xfId="0" applyFont="1" applyBorder="1" applyAlignment="1">
      <alignment vertical="top" wrapText="1"/>
    </xf>
    <xf numFmtId="0" fontId="21" fillId="3" borderId="1" xfId="0" applyFont="1" applyFill="1" applyBorder="1" applyAlignment="1">
      <alignment horizontal="center" vertical="top" wrapText="1"/>
    </xf>
    <xf numFmtId="0" fontId="21" fillId="0" borderId="0" xfId="0" applyFont="1" applyFill="1" applyBorder="1" applyAlignment="1">
      <alignment vertical="top" wrapText="1"/>
    </xf>
    <xf numFmtId="0" fontId="4" fillId="0" borderId="1" xfId="0" applyFont="1" applyBorder="1" applyAlignment="1">
      <alignment vertical="top" wrapText="1"/>
    </xf>
    <xf numFmtId="0" fontId="4" fillId="0" borderId="1" xfId="0" applyFont="1" applyFill="1" applyBorder="1" applyAlignment="1">
      <alignment horizontal="center" vertical="top" wrapText="1"/>
    </xf>
    <xf numFmtId="0" fontId="12" fillId="0" borderId="0" xfId="0" applyFont="1" applyFill="1" applyAlignment="1">
      <alignment vertical="center" wrapText="1"/>
    </xf>
    <xf numFmtId="0" fontId="12" fillId="0" borderId="0" xfId="0" applyFont="1" applyFill="1" applyAlignment="1">
      <alignment horizontal="left" indent="10"/>
    </xf>
    <xf numFmtId="0" fontId="20" fillId="2" borderId="1" xfId="0" applyFont="1" applyFill="1" applyBorder="1" applyAlignment="1">
      <alignment horizontal="center" vertical="center" wrapText="1"/>
    </xf>
    <xf numFmtId="0" fontId="16" fillId="0" borderId="0" xfId="0" applyFont="1" applyAlignment="1">
      <alignment horizontal="left"/>
    </xf>
    <xf numFmtId="0" fontId="4" fillId="0" borderId="1" xfId="0" applyFont="1" applyBorder="1" applyAlignment="1">
      <alignment horizontal="center" vertical="top" wrapText="1"/>
    </xf>
    <xf numFmtId="0" fontId="12" fillId="0" borderId="0" xfId="0" applyFont="1" applyAlignment="1">
      <alignment vertical="top" wrapText="1"/>
    </xf>
    <xf numFmtId="0" fontId="4" fillId="0" borderId="0" xfId="0" applyFont="1" applyBorder="1" applyAlignment="1">
      <alignment horizontal="center" vertical="top" wrapText="1"/>
    </xf>
    <xf numFmtId="0" fontId="4" fillId="0" borderId="0" xfId="0" applyFont="1" applyBorder="1" applyAlignment="1">
      <alignment vertical="top" wrapText="1"/>
    </xf>
    <xf numFmtId="0" fontId="16" fillId="0" borderId="0" xfId="0" applyFont="1" applyAlignment="1">
      <alignment vertical="top" wrapText="1"/>
    </xf>
    <xf numFmtId="0" fontId="29" fillId="0" borderId="0" xfId="0" applyFont="1" applyAlignment="1">
      <alignment vertical="top" wrapText="1"/>
    </xf>
    <xf numFmtId="0" fontId="4" fillId="0" borderId="0" xfId="0" applyFont="1" applyBorder="1">
      <alignment vertical="top" wrapText="1"/>
    </xf>
    <xf numFmtId="0" fontId="10" fillId="0" borderId="0" xfId="0" applyFont="1" applyFill="1" applyBorder="1" applyAlignment="1">
      <alignment vertical="top" wrapText="1"/>
    </xf>
    <xf numFmtId="0" fontId="15" fillId="0" borderId="0" xfId="0" applyFont="1" applyBorder="1">
      <alignment vertical="top" wrapText="1"/>
    </xf>
    <xf numFmtId="0" fontId="29" fillId="0" borderId="0" xfId="0" applyFont="1">
      <alignment vertical="top" wrapText="1"/>
    </xf>
    <xf numFmtId="0" fontId="21" fillId="0" borderId="0" xfId="0" applyFont="1" applyFill="1" applyBorder="1" applyAlignment="1">
      <alignment horizontal="center" vertical="top" wrapText="1"/>
    </xf>
    <xf numFmtId="0" fontId="25" fillId="0" borderId="0" xfId="0" applyFont="1" applyFill="1" applyBorder="1" applyAlignment="1">
      <alignment vertical="top" wrapText="1"/>
    </xf>
    <xf numFmtId="0" fontId="24" fillId="0" borderId="0" xfId="0" applyFont="1" applyBorder="1" applyAlignment="1">
      <alignment vertical="top" wrapText="1"/>
    </xf>
    <xf numFmtId="0" fontId="1" fillId="0" borderId="0" xfId="0" applyFont="1" applyBorder="1" applyAlignment="1">
      <alignment horizontal="center" vertical="center" wrapText="1"/>
    </xf>
    <xf numFmtId="0" fontId="20" fillId="0" borderId="0" xfId="0" applyFont="1">
      <alignment vertical="top" wrapText="1"/>
    </xf>
    <xf numFmtId="0" fontId="4" fillId="4" borderId="0" xfId="0" applyFont="1" applyFill="1" applyBorder="1" applyAlignment="1">
      <alignment vertical="top" wrapText="1"/>
    </xf>
    <xf numFmtId="0" fontId="12" fillId="0" borderId="0" xfId="0" applyFont="1" applyFill="1" applyBorder="1" applyAlignment="1">
      <alignment vertical="top" wrapText="1"/>
    </xf>
    <xf numFmtId="0" fontId="4" fillId="0" borderId="0" xfId="0" applyFont="1" applyFill="1" applyBorder="1" applyAlignment="1">
      <alignment horizontal="center" vertical="top" wrapText="1"/>
    </xf>
    <xf numFmtId="0" fontId="10" fillId="5" borderId="1" xfId="0" applyFont="1" applyFill="1" applyBorder="1" applyAlignment="1">
      <alignment horizontal="center" vertical="top" wrapText="1"/>
    </xf>
    <xf numFmtId="0" fontId="12" fillId="0" borderId="0" xfId="0" applyFont="1" applyAlignment="1"/>
    <xf numFmtId="0" fontId="4" fillId="0" borderId="0" xfId="0" applyFont="1" applyAlignment="1">
      <alignment wrapText="1"/>
    </xf>
    <xf numFmtId="0" fontId="4" fillId="0" borderId="0" xfId="0" applyFont="1" applyAlignment="1">
      <alignment vertical="center" wrapText="1"/>
    </xf>
    <xf numFmtId="0" fontId="4" fillId="0" borderId="0" xfId="0" applyFont="1" applyFill="1">
      <alignment vertical="top" wrapText="1"/>
    </xf>
    <xf numFmtId="0" fontId="12" fillId="0" borderId="0" xfId="0" applyFont="1" applyFill="1">
      <alignment vertical="top" wrapText="1"/>
    </xf>
    <xf numFmtId="0" fontId="34" fillId="0" borderId="0" xfId="0" applyFont="1" applyAlignment="1">
      <alignment vertical="top" wrapText="1"/>
    </xf>
    <xf numFmtId="0" fontId="4" fillId="0" borderId="0" xfId="0" applyFont="1" applyAlignment="1"/>
    <xf numFmtId="0" fontId="4" fillId="0" borderId="0" xfId="0" applyFont="1" applyFill="1" applyAlignment="1">
      <alignment horizontal="right" vertical="center" wrapText="1"/>
    </xf>
    <xf numFmtId="0" fontId="12" fillId="0" borderId="0" xfId="0" applyFont="1" applyFill="1" applyAlignment="1"/>
    <xf numFmtId="0" fontId="3" fillId="0" borderId="0" xfId="0" applyFont="1" applyFill="1" applyBorder="1">
      <alignment vertical="top" wrapText="1"/>
    </xf>
    <xf numFmtId="0" fontId="4" fillId="0" borderId="0" xfId="0" applyFont="1" applyFill="1" applyBorder="1" applyAlignment="1">
      <alignment horizontal="left" indent="1"/>
    </xf>
    <xf numFmtId="0" fontId="4" fillId="0" borderId="0" xfId="0" applyFont="1" applyBorder="1" applyAlignment="1">
      <alignment vertical="center" wrapText="1"/>
    </xf>
    <xf numFmtId="0" fontId="10" fillId="6" borderId="1" xfId="0" applyFont="1" applyFill="1" applyBorder="1" applyAlignment="1">
      <alignment horizontal="center" vertical="top" wrapText="1"/>
    </xf>
    <xf numFmtId="49" fontId="4" fillId="0" borderId="1" xfId="0" applyNumberFormat="1" applyFont="1" applyBorder="1" applyAlignment="1">
      <alignment horizontal="center" vertical="top" wrapText="1"/>
    </xf>
    <xf numFmtId="0" fontId="3" fillId="0" borderId="0" xfId="0" applyFont="1" applyFill="1" applyBorder="1" applyAlignment="1">
      <alignment horizontal="right" vertical="top" wrapText="1"/>
    </xf>
    <xf numFmtId="0" fontId="4" fillId="0" borderId="0" xfId="0" applyFont="1" applyFill="1" applyAlignment="1">
      <alignment vertical="top"/>
    </xf>
    <xf numFmtId="0" fontId="0" fillId="0" borderId="0" xfId="0" applyFill="1" applyBorder="1" applyAlignment="1">
      <alignment vertical="center" wrapText="1"/>
    </xf>
    <xf numFmtId="0" fontId="4" fillId="0" borderId="0" xfId="0" applyFont="1" applyFill="1" applyBorder="1" applyAlignment="1">
      <alignment horizontal="right" indent="1"/>
    </xf>
    <xf numFmtId="0" fontId="0" fillId="0" borderId="0" xfId="0" applyBorder="1" applyAlignment="1">
      <alignment horizontal="left" vertical="top" wrapText="1"/>
    </xf>
    <xf numFmtId="0" fontId="0" fillId="0" borderId="0" xfId="0" applyFill="1" applyBorder="1" applyAlignment="1">
      <alignment horizontal="left" vertical="top" wrapText="1"/>
    </xf>
    <xf numFmtId="0" fontId="41" fillId="0" borderId="0" xfId="0" applyFont="1">
      <alignment vertical="top" wrapText="1"/>
    </xf>
    <xf numFmtId="44" fontId="0" fillId="0" borderId="0" xfId="1" applyFont="1" applyAlignment="1">
      <alignment vertical="top" wrapText="1"/>
    </xf>
    <xf numFmtId="0" fontId="5" fillId="0" borderId="0" xfId="3" applyAlignment="1" applyProtection="1">
      <alignment vertical="top" wrapText="1"/>
    </xf>
    <xf numFmtId="0" fontId="4" fillId="0" borderId="0" xfId="5"/>
    <xf numFmtId="0" fontId="43" fillId="0" borderId="0" xfId="6"/>
    <xf numFmtId="0" fontId="44" fillId="0" borderId="0" xfId="7" applyFont="1"/>
    <xf numFmtId="0" fontId="11" fillId="0" borderId="9" xfId="0" applyFont="1" applyFill="1" applyBorder="1" applyAlignment="1">
      <alignment horizontal="right" indent="1"/>
    </xf>
    <xf numFmtId="0" fontId="11" fillId="0" borderId="4" xfId="0" applyFont="1" applyFill="1" applyBorder="1" applyAlignment="1">
      <alignment horizontal="right" indent="1"/>
    </xf>
    <xf numFmtId="0" fontId="4" fillId="0" borderId="4" xfId="0" applyFont="1" applyFill="1" applyBorder="1" applyAlignment="1">
      <alignment horizontal="right"/>
    </xf>
    <xf numFmtId="0" fontId="4" fillId="0" borderId="4" xfId="0" applyFont="1" applyBorder="1" applyAlignment="1"/>
    <xf numFmtId="0" fontId="4" fillId="0" borderId="4" xfId="0" applyFont="1" applyFill="1" applyBorder="1" applyAlignment="1">
      <alignment horizontal="left"/>
    </xf>
    <xf numFmtId="0" fontId="4" fillId="0" borderId="3" xfId="0" applyFont="1" applyFill="1" applyBorder="1" applyAlignment="1">
      <alignment horizontal="left"/>
    </xf>
    <xf numFmtId="0" fontId="10" fillId="9" borderId="1" xfId="0" applyFont="1" applyFill="1" applyBorder="1" applyAlignment="1">
      <alignment horizontal="center"/>
    </xf>
    <xf numFmtId="0" fontId="10" fillId="4" borderId="0" xfId="0" applyFont="1" applyFill="1" applyBorder="1" applyAlignment="1">
      <alignment horizontal="left"/>
    </xf>
    <xf numFmtId="0" fontId="4" fillId="0" borderId="4" xfId="0" applyFont="1" applyFill="1" applyBorder="1" applyAlignment="1">
      <alignment horizontal="right" indent="1"/>
    </xf>
    <xf numFmtId="0" fontId="4" fillId="0" borderId="4" xfId="0" applyFont="1" applyFill="1" applyBorder="1" applyAlignment="1"/>
    <xf numFmtId="0" fontId="4" fillId="0" borderId="1" xfId="0" applyFont="1" applyBorder="1" applyAlignment="1">
      <alignment horizontal="left"/>
    </xf>
    <xf numFmtId="0" fontId="10" fillId="0" borderId="0" xfId="0" applyFont="1" applyFill="1" applyBorder="1" applyAlignment="1">
      <alignment horizontal="left"/>
    </xf>
    <xf numFmtId="0" fontId="4" fillId="0" borderId="9" xfId="0" applyFont="1" applyFill="1" applyBorder="1" applyAlignment="1">
      <alignment vertical="top" wrapText="1"/>
    </xf>
    <xf numFmtId="0" fontId="4" fillId="0" borderId="4" xfId="0" applyFont="1" applyFill="1" applyBorder="1" applyAlignment="1">
      <alignment vertical="top" wrapText="1"/>
    </xf>
    <xf numFmtId="0" fontId="4" fillId="0" borderId="1" xfId="0" applyFont="1" applyBorder="1" applyAlignment="1">
      <alignment horizontal="center"/>
    </xf>
    <xf numFmtId="0" fontId="10" fillId="0" borderId="0" xfId="0" applyFont="1" applyFill="1" applyBorder="1" applyAlignment="1">
      <alignment horizontal="left" indent="1"/>
    </xf>
    <xf numFmtId="0" fontId="7" fillId="0" borderId="0" xfId="0" applyFont="1" applyFill="1" applyBorder="1" applyAlignment="1">
      <alignment horizontal="center" vertical="center" wrapText="1"/>
    </xf>
    <xf numFmtId="0" fontId="4" fillId="0" borderId="9" xfId="0" applyFont="1" applyFill="1" applyBorder="1" applyAlignment="1">
      <alignment vertical="center" wrapText="1"/>
    </xf>
    <xf numFmtId="0" fontId="4" fillId="0" borderId="4" xfId="0" applyFont="1" applyFill="1" applyBorder="1" applyAlignment="1">
      <alignment vertical="center" wrapText="1"/>
    </xf>
    <xf numFmtId="0" fontId="10" fillId="9" borderId="12" xfId="0" applyFont="1" applyFill="1" applyBorder="1" applyAlignment="1"/>
    <xf numFmtId="0" fontId="10" fillId="9" borderId="13" xfId="0" applyFont="1" applyFill="1" applyBorder="1" applyAlignment="1"/>
    <xf numFmtId="0" fontId="10" fillId="9" borderId="14" xfId="0" applyFont="1" applyFill="1" applyBorder="1" applyAlignment="1">
      <alignment horizontal="center"/>
    </xf>
    <xf numFmtId="0" fontId="4" fillId="0" borderId="9" xfId="0" applyFont="1" applyBorder="1" applyAlignment="1">
      <alignment vertical="center"/>
    </xf>
    <xf numFmtId="0" fontId="4" fillId="0" borderId="4" xfId="0" applyFont="1" applyBorder="1" applyAlignment="1">
      <alignment vertical="center"/>
    </xf>
    <xf numFmtId="0" fontId="30" fillId="0" borderId="13" xfId="0" applyFont="1" applyFill="1" applyBorder="1" applyAlignment="1">
      <alignment horizontal="center" vertical="center" wrapText="1"/>
    </xf>
    <xf numFmtId="0" fontId="7" fillId="0" borderId="13" xfId="0" applyFont="1" applyFill="1" applyBorder="1" applyAlignment="1">
      <alignment horizontal="center" vertical="center" wrapText="1"/>
    </xf>
    <xf numFmtId="0" fontId="10" fillId="0" borderId="2" xfId="0" applyFont="1" applyFill="1" applyBorder="1" applyAlignment="1">
      <alignment horizontal="left"/>
    </xf>
    <xf numFmtId="0" fontId="10" fillId="10" borderId="1" xfId="0" applyFont="1" applyFill="1" applyBorder="1" applyAlignment="1">
      <alignment horizontal="center"/>
    </xf>
    <xf numFmtId="0" fontId="4" fillId="0" borderId="0" xfId="0" applyFont="1" applyAlignment="1">
      <alignment horizontal="left"/>
    </xf>
    <xf numFmtId="0" fontId="0" fillId="0" borderId="0" xfId="0" applyAlignment="1">
      <alignment wrapText="1"/>
    </xf>
    <xf numFmtId="0" fontId="10" fillId="0" borderId="0" xfId="0" applyFont="1" applyAlignment="1">
      <alignment horizontal="left"/>
    </xf>
    <xf numFmtId="0" fontId="4" fillId="0" borderId="0" xfId="0" applyFont="1" applyFill="1" applyBorder="1" applyAlignment="1">
      <alignment horizontal="left" vertical="top" wrapText="1"/>
    </xf>
    <xf numFmtId="0" fontId="61" fillId="0" borderId="0" xfId="0" applyFont="1" applyFill="1" applyBorder="1" applyAlignment="1">
      <alignment horizontal="center" vertical="center" wrapText="1"/>
    </xf>
    <xf numFmtId="0" fontId="62" fillId="0" borderId="2" xfId="3" applyFont="1" applyFill="1" applyBorder="1" applyAlignment="1" applyProtection="1">
      <alignment vertical="top" wrapText="1"/>
    </xf>
    <xf numFmtId="0" fontId="17" fillId="0" borderId="9" xfId="0" applyFont="1" applyBorder="1" applyAlignment="1">
      <alignment vertical="top" wrapText="1"/>
    </xf>
    <xf numFmtId="0" fontId="10" fillId="0" borderId="0" xfId="0" applyFont="1" applyAlignment="1"/>
    <xf numFmtId="0" fontId="4" fillId="0" borderId="0" xfId="0" applyFont="1" applyAlignment="1">
      <alignment horizontal="left" vertical="top" wrapText="1"/>
    </xf>
    <xf numFmtId="0" fontId="48" fillId="2" borderId="14" xfId="0" applyFont="1" applyFill="1" applyBorder="1" applyAlignment="1">
      <alignment vertical="center" wrapText="1"/>
    </xf>
    <xf numFmtId="0" fontId="48" fillId="0" borderId="0" xfId="0" applyFont="1" applyFill="1" applyBorder="1" applyAlignment="1"/>
    <xf numFmtId="0" fontId="61" fillId="12" borderId="0" xfId="0" applyFont="1" applyFill="1">
      <alignment vertical="top" wrapText="1"/>
    </xf>
    <xf numFmtId="0" fontId="61" fillId="12" borderId="4" xfId="0" applyFont="1" applyFill="1" applyBorder="1" applyAlignment="1">
      <alignment vertical="center" wrapText="1"/>
    </xf>
    <xf numFmtId="0" fontId="61" fillId="12" borderId="4" xfId="0" applyFont="1" applyFill="1" applyBorder="1" applyAlignment="1">
      <alignment vertical="top" wrapText="1"/>
    </xf>
    <xf numFmtId="0" fontId="61" fillId="12" borderId="3" xfId="0" applyFont="1" applyFill="1" applyBorder="1" applyAlignment="1">
      <alignment vertical="top" wrapText="1"/>
    </xf>
    <xf numFmtId="0" fontId="17" fillId="0" borderId="1" xfId="0" applyFont="1" applyFill="1" applyBorder="1" applyAlignment="1">
      <alignment horizontal="center" vertical="top" wrapText="1"/>
    </xf>
    <xf numFmtId="0" fontId="62" fillId="13" borderId="2" xfId="3" applyFont="1" applyFill="1" applyBorder="1" applyAlignment="1" applyProtection="1">
      <alignment vertical="top"/>
    </xf>
    <xf numFmtId="0" fontId="17" fillId="13" borderId="1" xfId="0" applyFont="1" applyFill="1" applyBorder="1" applyAlignment="1">
      <alignment horizontal="left" vertical="top" wrapText="1"/>
    </xf>
    <xf numFmtId="0" fontId="4" fillId="0" borderId="0" xfId="0" applyFont="1" applyAlignment="1">
      <alignment horizontal="center"/>
    </xf>
    <xf numFmtId="0" fontId="10" fillId="0" borderId="0" xfId="0" applyNumberFormat="1" applyFont="1" applyAlignment="1">
      <alignment horizontal="center" vertical="top" wrapText="1"/>
    </xf>
    <xf numFmtId="0" fontId="4" fillId="0" borderId="0" xfId="0" applyNumberFormat="1" applyFont="1" applyAlignment="1">
      <alignment horizontal="center" vertical="top" wrapText="1"/>
    </xf>
    <xf numFmtId="0" fontId="10" fillId="0" borderId="0" xfId="0" applyFont="1" applyAlignment="1">
      <alignment vertical="center"/>
    </xf>
    <xf numFmtId="0" fontId="4" fillId="0" borderId="0" xfId="0" applyFont="1" applyAlignment="1">
      <alignment horizontal="left" vertical="center" wrapText="1"/>
    </xf>
    <xf numFmtId="0" fontId="16" fillId="0" borderId="0" xfId="0" applyFont="1" applyAlignment="1">
      <alignment horizontal="left" vertical="center"/>
    </xf>
    <xf numFmtId="0" fontId="4" fillId="0" borderId="0" xfId="0" applyFont="1" applyFill="1" applyAlignment="1">
      <alignment vertical="top" wrapText="1"/>
    </xf>
    <xf numFmtId="0" fontId="17" fillId="0" borderId="0" xfId="0" applyFont="1" applyFill="1">
      <alignment vertical="top" wrapText="1"/>
    </xf>
    <xf numFmtId="0" fontId="11" fillId="0" borderId="0" xfId="0" applyFont="1" applyBorder="1" applyAlignment="1">
      <alignment vertical="top" wrapText="1"/>
    </xf>
    <xf numFmtId="0" fontId="10" fillId="0" borderId="0" xfId="0" applyFont="1" applyBorder="1" applyAlignment="1">
      <alignment vertical="center" wrapText="1"/>
    </xf>
    <xf numFmtId="0" fontId="4" fillId="0" borderId="0" xfId="0" applyFont="1" applyAlignment="1">
      <alignment vertical="center"/>
    </xf>
    <xf numFmtId="0" fontId="4" fillId="0" borderId="2" xfId="0" applyFont="1" applyBorder="1" applyAlignment="1">
      <alignment horizontal="left" vertical="top" wrapText="1"/>
    </xf>
    <xf numFmtId="0" fontId="4" fillId="0" borderId="11" xfId="0" applyFont="1" applyBorder="1" applyAlignment="1">
      <alignment horizontal="left" vertical="top" wrapText="1"/>
    </xf>
    <xf numFmtId="0" fontId="10" fillId="9" borderId="1" xfId="0" applyFont="1" applyFill="1" applyBorder="1" applyAlignment="1">
      <alignment horizontal="center" vertical="top" wrapText="1"/>
    </xf>
    <xf numFmtId="0" fontId="4" fillId="0" borderId="20" xfId="0" applyFont="1" applyBorder="1" applyAlignment="1">
      <alignment horizontal="left" vertical="top" wrapText="1"/>
    </xf>
    <xf numFmtId="0" fontId="4" fillId="0" borderId="0" xfId="0" applyFont="1" applyBorder="1" applyAlignment="1">
      <alignment horizontal="left" vertical="top" wrapText="1"/>
    </xf>
    <xf numFmtId="0" fontId="4" fillId="0" borderId="10" xfId="0" applyFont="1" applyBorder="1" applyAlignment="1">
      <alignment horizontal="left" vertical="top" wrapText="1"/>
    </xf>
    <xf numFmtId="0" fontId="4" fillId="0" borderId="21" xfId="0" applyFont="1" applyBorder="1" applyAlignment="1">
      <alignment horizontal="left" vertical="top" wrapText="1"/>
    </xf>
    <xf numFmtId="0" fontId="4" fillId="0" borderId="14" xfId="0" applyFont="1" applyBorder="1" applyAlignment="1">
      <alignment horizontal="center" vertical="top" wrapText="1"/>
    </xf>
    <xf numFmtId="0" fontId="4" fillId="0" borderId="22" xfId="0" applyFont="1" applyBorder="1" applyAlignment="1">
      <alignment horizontal="center" vertical="top" wrapText="1"/>
    </xf>
    <xf numFmtId="0" fontId="4" fillId="0" borderId="17" xfId="0" applyFont="1" applyBorder="1" applyAlignment="1">
      <alignment horizontal="center" vertical="top" wrapText="1"/>
    </xf>
    <xf numFmtId="0" fontId="4" fillId="0" borderId="1" xfId="0" applyFont="1" applyBorder="1" applyAlignment="1">
      <alignment horizontal="center" wrapText="1"/>
    </xf>
    <xf numFmtId="0" fontId="4" fillId="0" borderId="1" xfId="0" applyFont="1" applyFill="1" applyBorder="1" applyAlignment="1">
      <alignment horizontal="center" wrapText="1"/>
    </xf>
    <xf numFmtId="0" fontId="11" fillId="0" borderId="1" xfId="0" applyFont="1" applyBorder="1" applyAlignment="1">
      <alignment horizontal="center" wrapText="1"/>
    </xf>
    <xf numFmtId="0" fontId="4" fillId="0" borderId="1" xfId="0" applyFont="1" applyFill="1" applyBorder="1" applyAlignment="1">
      <alignment vertical="top" wrapText="1"/>
    </xf>
    <xf numFmtId="0" fontId="10" fillId="0" borderId="0" xfId="0" applyFont="1" applyFill="1" applyAlignment="1">
      <alignment vertical="center" wrapText="1"/>
    </xf>
    <xf numFmtId="0" fontId="4" fillId="0" borderId="0" xfId="0" applyFont="1" applyFill="1" applyBorder="1" applyAlignment="1">
      <alignment horizontal="left" vertical="center" wrapText="1"/>
    </xf>
    <xf numFmtId="0" fontId="62" fillId="14" borderId="2" xfId="3" applyFont="1" applyFill="1" applyBorder="1" applyAlignment="1" applyProtection="1">
      <alignment vertical="top"/>
    </xf>
    <xf numFmtId="0" fontId="62" fillId="14" borderId="0" xfId="3" applyFont="1" applyFill="1" applyBorder="1" applyAlignment="1" applyProtection="1">
      <alignment vertical="top" wrapText="1"/>
    </xf>
    <xf numFmtId="0" fontId="62" fillId="14" borderId="0" xfId="3" applyFont="1" applyFill="1" applyBorder="1" applyAlignment="1" applyProtection="1">
      <alignment vertical="top"/>
    </xf>
    <xf numFmtId="0" fontId="62" fillId="14" borderId="2" xfId="3" applyFont="1" applyFill="1" applyBorder="1" applyAlignment="1" applyProtection="1">
      <alignment vertical="top" wrapText="1"/>
    </xf>
    <xf numFmtId="0" fontId="10" fillId="0" borderId="0" xfId="0" applyFont="1" applyFill="1" applyBorder="1" applyAlignment="1">
      <alignment horizontal="center" vertical="top" wrapText="1"/>
    </xf>
    <xf numFmtId="0" fontId="4" fillId="0" borderId="0" xfId="0" applyFont="1" applyFill="1" applyAlignment="1">
      <alignment wrapText="1"/>
    </xf>
    <xf numFmtId="0" fontId="4" fillId="0" borderId="0" xfId="0" applyFont="1" applyFill="1" applyAlignment="1">
      <alignment vertical="center" wrapText="1"/>
    </xf>
    <xf numFmtId="0" fontId="4" fillId="0" borderId="0" xfId="0" applyFont="1" applyFill="1" applyAlignment="1">
      <alignment horizontal="left" vertical="center" wrapText="1"/>
    </xf>
    <xf numFmtId="0" fontId="10" fillId="0" borderId="0" xfId="0" applyFont="1" applyFill="1" applyAlignment="1">
      <alignment vertical="top" wrapText="1"/>
    </xf>
    <xf numFmtId="0" fontId="4" fillId="0" borderId="0" xfId="0" applyFont="1" applyBorder="1" applyAlignment="1">
      <alignment wrapText="1"/>
    </xf>
    <xf numFmtId="0" fontId="3" fillId="0" borderId="0" xfId="0" applyFont="1" applyAlignment="1">
      <alignment horizontal="left"/>
    </xf>
    <xf numFmtId="0" fontId="3" fillId="0" borderId="0" xfId="0" applyFont="1" applyAlignment="1"/>
    <xf numFmtId="0" fontId="10" fillId="0" borderId="0" xfId="0" applyFont="1" applyFill="1" applyAlignment="1"/>
    <xf numFmtId="0" fontId="4" fillId="0" borderId="0" xfId="0" applyFont="1" applyFill="1" applyAlignment="1">
      <alignment horizontal="left" indent="2"/>
    </xf>
    <xf numFmtId="0" fontId="4" fillId="0" borderId="0" xfId="0" applyFont="1" applyFill="1" applyAlignment="1">
      <alignment horizontal="left" indent="4"/>
    </xf>
    <xf numFmtId="0" fontId="10" fillId="9" borderId="1" xfId="0" applyFont="1" applyFill="1" applyBorder="1" applyAlignment="1">
      <alignment horizontal="center" vertical="center" wrapText="1"/>
    </xf>
    <xf numFmtId="0" fontId="10" fillId="9" borderId="14" xfId="0" applyFont="1" applyFill="1" applyBorder="1" applyAlignment="1">
      <alignment horizontal="center" vertical="top" wrapText="1"/>
    </xf>
    <xf numFmtId="0" fontId="4" fillId="0" borderId="1" xfId="0" applyFont="1" applyFill="1" applyBorder="1" applyAlignment="1">
      <alignment vertical="center" wrapText="1"/>
    </xf>
    <xf numFmtId="0" fontId="10" fillId="0" borderId="0" xfId="0" applyNumberFormat="1" applyFont="1" applyFill="1" applyAlignment="1">
      <alignment horizontal="center" vertical="top" wrapText="1"/>
    </xf>
    <xf numFmtId="0" fontId="4" fillId="0" borderId="3" xfId="0" applyFont="1" applyBorder="1">
      <alignment vertical="top" wrapText="1"/>
    </xf>
    <xf numFmtId="0" fontId="4" fillId="0" borderId="1" xfId="0" applyFont="1" applyFill="1" applyBorder="1" applyAlignment="1">
      <alignment horizontal="center" vertical="center" wrapText="1"/>
    </xf>
    <xf numFmtId="0" fontId="4" fillId="13" borderId="1" xfId="0" applyFont="1" applyFill="1" applyBorder="1" applyAlignment="1">
      <alignment horizontal="center" vertical="top" wrapText="1"/>
    </xf>
    <xf numFmtId="0" fontId="10" fillId="2" borderId="4" xfId="0" applyFont="1" applyFill="1" applyBorder="1" applyAlignment="1">
      <alignment vertical="center" wrapText="1"/>
    </xf>
    <xf numFmtId="0" fontId="5" fillId="0" borderId="0" xfId="3" applyAlignment="1" applyProtection="1">
      <alignment horizontal="left"/>
    </xf>
    <xf numFmtId="0" fontId="48" fillId="9" borderId="1" xfId="0" applyFont="1" applyFill="1" applyBorder="1" applyAlignment="1">
      <alignment horizontal="center" vertical="center" wrapText="1"/>
    </xf>
    <xf numFmtId="0" fontId="8" fillId="0" borderId="1" xfId="0" applyFont="1" applyFill="1" applyBorder="1" applyAlignment="1">
      <alignment horizontal="center" vertical="top" wrapText="1"/>
    </xf>
    <xf numFmtId="0" fontId="48" fillId="9" borderId="3" xfId="0" applyFont="1" applyFill="1" applyBorder="1" applyAlignment="1">
      <alignment horizontal="center" vertical="center" wrapText="1"/>
    </xf>
    <xf numFmtId="0" fontId="8" fillId="0" borderId="3" xfId="0" applyFont="1" applyFill="1" applyBorder="1" applyAlignment="1">
      <alignment horizontal="center" vertical="top" wrapText="1"/>
    </xf>
    <xf numFmtId="0" fontId="10" fillId="0" borderId="0" xfId="0" applyFont="1" applyAlignment="1">
      <alignment horizontal="left" vertical="center" wrapText="1"/>
    </xf>
    <xf numFmtId="0" fontId="31" fillId="11" borderId="28" xfId="0" applyFont="1" applyFill="1" applyBorder="1" applyAlignment="1">
      <alignment vertical="center" wrapText="1"/>
    </xf>
    <xf numFmtId="0" fontId="37" fillId="11" borderId="20" xfId="0" applyFont="1" applyFill="1" applyBorder="1" applyAlignment="1">
      <alignment vertical="center" wrapText="1"/>
    </xf>
    <xf numFmtId="0" fontId="37" fillId="11" borderId="0" xfId="0" applyFont="1" applyFill="1" applyBorder="1" applyAlignment="1">
      <alignment vertical="center" wrapText="1"/>
    </xf>
    <xf numFmtId="0" fontId="37" fillId="11" borderId="21" xfId="0" applyFont="1" applyFill="1" applyBorder="1" applyAlignment="1">
      <alignment vertical="center" wrapText="1"/>
    </xf>
    <xf numFmtId="0" fontId="10" fillId="0" borderId="0" xfId="0" applyNumberFormat="1" applyFont="1" applyFill="1" applyBorder="1" applyAlignment="1">
      <alignment horizontal="center" vertical="top" wrapText="1"/>
    </xf>
    <xf numFmtId="0" fontId="4" fillId="0" borderId="2" xfId="0" applyFont="1" applyBorder="1" applyAlignment="1">
      <alignment wrapText="1"/>
    </xf>
    <xf numFmtId="0" fontId="1" fillId="0" borderId="0" xfId="0" applyFont="1" applyBorder="1">
      <alignment vertical="top" wrapText="1"/>
    </xf>
    <xf numFmtId="0" fontId="8" fillId="0" borderId="0" xfId="0" applyFont="1">
      <alignment vertical="top" wrapText="1"/>
    </xf>
    <xf numFmtId="0" fontId="8" fillId="0" borderId="0" xfId="0" applyFont="1" applyFill="1">
      <alignment vertical="top" wrapText="1"/>
    </xf>
    <xf numFmtId="0" fontId="8" fillId="9" borderId="1" xfId="0" applyFont="1" applyFill="1" applyBorder="1" applyAlignment="1">
      <alignment horizontal="center" vertical="top" wrapText="1"/>
    </xf>
    <xf numFmtId="0" fontId="48" fillId="9" borderId="9" xfId="0" applyFont="1" applyFill="1" applyBorder="1" applyAlignment="1">
      <alignment vertical="center" wrapText="1"/>
    </xf>
    <xf numFmtId="0" fontId="4" fillId="0" borderId="1" xfId="0" applyFont="1" applyFill="1" applyBorder="1" applyAlignment="1">
      <alignment wrapText="1"/>
    </xf>
    <xf numFmtId="0" fontId="4" fillId="0" borderId="0" xfId="0" applyFont="1" applyFill="1" applyBorder="1" applyAlignment="1">
      <alignment vertical="center" wrapText="1"/>
    </xf>
    <xf numFmtId="0" fontId="4" fillId="0" borderId="1" xfId="0" applyFont="1" applyBorder="1" applyAlignment="1">
      <alignment vertical="center" wrapText="1"/>
    </xf>
    <xf numFmtId="0" fontId="10" fillId="0" borderId="0" xfId="0" applyFont="1" applyFill="1" applyBorder="1" applyAlignment="1">
      <alignment horizontal="left" vertical="top" wrapText="1"/>
    </xf>
    <xf numFmtId="0" fontId="27" fillId="0" borderId="0" xfId="0" applyFont="1" applyFill="1" applyAlignment="1">
      <alignment vertical="top" wrapText="1"/>
    </xf>
    <xf numFmtId="0" fontId="48" fillId="9" borderId="1" xfId="0" applyFont="1" applyFill="1" applyBorder="1" applyAlignment="1">
      <alignment vertical="center" wrapText="1"/>
    </xf>
    <xf numFmtId="0" fontId="0" fillId="0" borderId="0" xfId="0" applyAlignment="1">
      <alignment vertical="center" wrapText="1"/>
    </xf>
    <xf numFmtId="0" fontId="10" fillId="2" borderId="14" xfId="0" applyFont="1" applyFill="1" applyBorder="1" applyAlignment="1">
      <alignment vertical="center" wrapText="1"/>
    </xf>
    <xf numFmtId="0" fontId="4" fillId="13" borderId="0" xfId="0" applyFont="1" applyFill="1" applyBorder="1" applyAlignment="1">
      <alignment horizontal="center" wrapText="1"/>
    </xf>
    <xf numFmtId="0" fontId="4" fillId="0" borderId="0" xfId="0" applyFont="1" applyBorder="1" applyAlignment="1">
      <alignment horizontal="left" wrapText="1"/>
    </xf>
    <xf numFmtId="0" fontId="10" fillId="2" borderId="1" xfId="0" applyFont="1" applyFill="1" applyBorder="1" applyAlignment="1">
      <alignment horizontal="center" wrapText="1"/>
    </xf>
    <xf numFmtId="0" fontId="4" fillId="0" borderId="9" xfId="0" applyFont="1" applyBorder="1" applyAlignment="1">
      <alignment wrapText="1"/>
    </xf>
    <xf numFmtId="0" fontId="4" fillId="0" borderId="4" xfId="0" applyFont="1" applyBorder="1" applyAlignment="1">
      <alignment wrapText="1"/>
    </xf>
    <xf numFmtId="0" fontId="4" fillId="0" borderId="3" xfId="0" applyFont="1" applyBorder="1" applyAlignment="1">
      <alignment wrapText="1"/>
    </xf>
    <xf numFmtId="0" fontId="4" fillId="0" borderId="0" xfId="0" applyFont="1" applyFill="1" applyBorder="1" applyAlignment="1">
      <alignment horizontal="center" vertical="center" wrapText="1"/>
    </xf>
    <xf numFmtId="0" fontId="36" fillId="9" borderId="1" xfId="0" applyFont="1" applyFill="1" applyBorder="1" applyAlignment="1">
      <alignment horizontal="center" vertical="center" wrapText="1"/>
    </xf>
    <xf numFmtId="0" fontId="4" fillId="0" borderId="1" xfId="0" applyFont="1" applyBorder="1" applyAlignment="1">
      <alignment wrapText="1"/>
    </xf>
    <xf numFmtId="0" fontId="4" fillId="0" borderId="1" xfId="0" applyFont="1" applyBorder="1" applyAlignment="1">
      <alignment horizontal="center" vertical="center" wrapText="1"/>
    </xf>
    <xf numFmtId="0" fontId="10" fillId="9" borderId="1" xfId="0" applyFont="1" applyFill="1" applyBorder="1" applyAlignment="1">
      <alignment horizontal="center" vertical="center" wrapText="1"/>
    </xf>
    <xf numFmtId="0" fontId="8" fillId="0" borderId="1" xfId="0" applyFont="1" applyBorder="1" applyAlignment="1">
      <alignment vertical="center" wrapText="1"/>
    </xf>
    <xf numFmtId="0" fontId="48" fillId="9" borderId="4" xfId="0" applyFont="1" applyFill="1" applyBorder="1" applyAlignment="1">
      <alignment vertical="center" wrapText="1"/>
    </xf>
    <xf numFmtId="0" fontId="16" fillId="0" borderId="0" xfId="0" applyFont="1" applyAlignment="1"/>
    <xf numFmtId="0" fontId="10" fillId="9" borderId="1" xfId="0" applyFont="1" applyFill="1" applyBorder="1" applyAlignment="1">
      <alignment horizontal="left" vertical="top" wrapText="1"/>
    </xf>
    <xf numFmtId="0" fontId="10" fillId="2" borderId="9" xfId="0" applyFont="1" applyFill="1" applyBorder="1" applyAlignment="1">
      <alignment horizontal="center" vertical="center" wrapText="1"/>
    </xf>
    <xf numFmtId="0" fontId="4" fillId="0" borderId="9" xfId="0" applyFont="1" applyBorder="1">
      <alignment vertical="top" wrapText="1"/>
    </xf>
    <xf numFmtId="0" fontId="4" fillId="0" borderId="3" xfId="0" applyFont="1" applyBorder="1" applyAlignment="1">
      <alignment horizontal="center" vertical="top" wrapText="1"/>
    </xf>
    <xf numFmtId="0" fontId="4" fillId="0" borderId="0" xfId="0" applyFont="1" applyBorder="1" applyAlignment="1">
      <alignment horizontal="left" vertical="center" wrapText="1"/>
    </xf>
    <xf numFmtId="0" fontId="4" fillId="0" borderId="9" xfId="0" applyFont="1" applyFill="1" applyBorder="1" applyAlignment="1">
      <alignment horizontal="center" vertical="top" wrapText="1"/>
    </xf>
    <xf numFmtId="0" fontId="4" fillId="0" borderId="3" xfId="0" applyFont="1" applyBorder="1" applyAlignment="1">
      <alignment horizontal="center" vertical="center" wrapText="1"/>
    </xf>
    <xf numFmtId="0" fontId="10" fillId="2" borderId="9" xfId="0" applyFont="1" applyFill="1" applyBorder="1" applyAlignment="1">
      <alignment vertical="center" wrapText="1"/>
    </xf>
    <xf numFmtId="0" fontId="10" fillId="2" borderId="3" xfId="0" applyFont="1" applyFill="1" applyBorder="1" applyAlignment="1">
      <alignment vertical="center" wrapText="1"/>
    </xf>
    <xf numFmtId="0" fontId="13" fillId="0" borderId="0" xfId="0" applyFont="1" applyAlignment="1">
      <alignment vertical="top" wrapText="1"/>
    </xf>
    <xf numFmtId="0" fontId="10" fillId="0" borderId="0" xfId="0" applyFont="1" applyBorder="1" applyAlignment="1">
      <alignment vertical="top" wrapText="1"/>
    </xf>
    <xf numFmtId="0" fontId="4" fillId="0" borderId="12" xfId="0" applyFont="1" applyFill="1" applyBorder="1" applyAlignment="1">
      <alignment horizontal="center" vertical="top" wrapText="1"/>
    </xf>
    <xf numFmtId="0" fontId="59" fillId="0" borderId="0" xfId="0" applyFont="1" applyAlignment="1">
      <alignment horizontal="left" vertical="top" wrapText="1"/>
    </xf>
    <xf numFmtId="0" fontId="10" fillId="0" borderId="1" xfId="0" applyFont="1" applyBorder="1" applyAlignment="1">
      <alignment wrapText="1"/>
    </xf>
    <xf numFmtId="0" fontId="27" fillId="0" borderId="9" xfId="0" applyFont="1" applyFill="1" applyBorder="1" applyAlignment="1">
      <alignment vertical="top" wrapText="1"/>
    </xf>
    <xf numFmtId="0" fontId="8" fillId="0" borderId="0" xfId="0" applyFont="1" applyFill="1" applyBorder="1" applyAlignment="1">
      <alignment vertical="center" wrapText="1"/>
    </xf>
    <xf numFmtId="0" fontId="10" fillId="9" borderId="1" xfId="0" applyFont="1" applyFill="1" applyBorder="1" applyAlignment="1">
      <alignment horizontal="left" vertical="center" wrapText="1"/>
    </xf>
    <xf numFmtId="0" fontId="4" fillId="0" borderId="8" xfId="0" applyFont="1" applyBorder="1" applyAlignment="1">
      <alignment horizontal="center" vertical="top" wrapText="1"/>
    </xf>
    <xf numFmtId="0" fontId="4" fillId="0" borderId="8" xfId="0" applyFont="1" applyBorder="1" applyAlignment="1">
      <alignment horizontal="center" vertical="center" wrapText="1"/>
    </xf>
    <xf numFmtId="0" fontId="4" fillId="0" borderId="17" xfId="0" applyFont="1" applyFill="1" applyBorder="1" applyAlignment="1">
      <alignment horizontal="center" vertical="top" wrapText="1"/>
    </xf>
    <xf numFmtId="0" fontId="4" fillId="0" borderId="22" xfId="0" applyFont="1" applyFill="1" applyBorder="1" applyAlignment="1">
      <alignment horizontal="center" vertical="top" wrapText="1"/>
    </xf>
    <xf numFmtId="0" fontId="4" fillId="0" borderId="22" xfId="0" applyFont="1" applyFill="1" applyBorder="1" applyAlignment="1">
      <alignment horizontal="center" vertical="center" wrapText="1"/>
    </xf>
    <xf numFmtId="0" fontId="4" fillId="11" borderId="9" xfId="0" applyFont="1" applyFill="1" applyBorder="1" applyAlignment="1">
      <alignment horizontal="center" vertical="top" wrapText="1"/>
    </xf>
    <xf numFmtId="0" fontId="17" fillId="0" borderId="0" xfId="0" applyFont="1" applyFill="1" applyBorder="1" applyAlignment="1">
      <alignment vertical="center" wrapText="1"/>
    </xf>
    <xf numFmtId="0" fontId="63" fillId="0" borderId="0" xfId="0" applyFont="1" applyFill="1" applyBorder="1" applyAlignment="1">
      <alignment horizontal="left" vertical="center" wrapText="1"/>
    </xf>
    <xf numFmtId="0" fontId="8" fillId="0" borderId="1" xfId="0" applyFont="1" applyFill="1" applyBorder="1" applyAlignment="1">
      <alignment vertical="center" wrapText="1"/>
    </xf>
    <xf numFmtId="0" fontId="8" fillId="0" borderId="1" xfId="0" applyFont="1" applyBorder="1" applyAlignment="1">
      <alignment horizontal="center" vertical="center" wrapText="1"/>
    </xf>
    <xf numFmtId="0" fontId="60" fillId="0" borderId="1" xfId="3" applyFont="1" applyBorder="1" applyAlignment="1" applyProtection="1">
      <alignment vertical="center" wrapText="1"/>
    </xf>
    <xf numFmtId="0" fontId="8" fillId="0" borderId="1" xfId="0" applyFont="1" applyFill="1" applyBorder="1" applyAlignment="1">
      <alignment horizontal="center" vertical="center" wrapText="1"/>
    </xf>
    <xf numFmtId="0" fontId="10" fillId="0" borderId="1" xfId="0" applyFont="1" applyFill="1" applyBorder="1" applyAlignment="1">
      <alignment horizontal="center" wrapText="1"/>
    </xf>
    <xf numFmtId="0" fontId="5" fillId="0" borderId="0" xfId="3" applyFill="1" applyAlignment="1" applyProtection="1">
      <alignment vertical="top" wrapText="1"/>
    </xf>
    <xf numFmtId="0" fontId="5" fillId="0" borderId="0" xfId="3" quotePrefix="1" applyFill="1" applyAlignment="1" applyProtection="1">
      <alignment vertical="top" wrapText="1"/>
    </xf>
    <xf numFmtId="0" fontId="8" fillId="0" borderId="0" xfId="0" applyFont="1" applyFill="1" applyBorder="1" applyAlignment="1">
      <alignment horizontal="center" vertical="top" wrapText="1"/>
    </xf>
    <xf numFmtId="0" fontId="2" fillId="0" borderId="0" xfId="0" applyFont="1" applyAlignment="1"/>
    <xf numFmtId="0" fontId="8" fillId="15" borderId="1" xfId="0" applyFont="1" applyFill="1" applyBorder="1" applyAlignment="1">
      <alignment horizontal="center" vertical="center" wrapText="1"/>
    </xf>
    <xf numFmtId="0" fontId="8" fillId="15" borderId="1" xfId="0" applyFont="1" applyFill="1" applyBorder="1" applyAlignment="1">
      <alignment vertical="center" wrapText="1"/>
    </xf>
    <xf numFmtId="0" fontId="4" fillId="0" borderId="13" xfId="0" applyFont="1" applyFill="1" applyBorder="1" applyAlignment="1">
      <alignment horizontal="left"/>
    </xf>
    <xf numFmtId="0" fontId="4" fillId="0" borderId="2" xfId="0" applyFont="1" applyBorder="1" applyAlignment="1">
      <alignment horizontal="left"/>
    </xf>
    <xf numFmtId="0" fontId="4" fillId="0" borderId="0" xfId="0" applyFont="1" applyFill="1" applyBorder="1" applyAlignment="1">
      <alignment wrapText="1"/>
    </xf>
    <xf numFmtId="0" fontId="48" fillId="2" borderId="14" xfId="0" applyFont="1" applyFill="1" applyBorder="1" applyAlignment="1">
      <alignment horizontal="center" vertical="center" wrapText="1"/>
    </xf>
    <xf numFmtId="0" fontId="7" fillId="0" borderId="0" xfId="0" applyFont="1" applyFill="1" applyBorder="1" applyAlignment="1">
      <alignment vertical="center" wrapText="1"/>
    </xf>
    <xf numFmtId="0" fontId="8" fillId="0" borderId="0" xfId="0" applyFont="1" applyFill="1" applyBorder="1" applyAlignment="1">
      <alignment horizontal="left" vertical="top" wrapText="1"/>
    </xf>
    <xf numFmtId="0" fontId="6" fillId="9" borderId="1" xfId="0" applyFont="1" applyFill="1" applyBorder="1" applyAlignment="1">
      <alignment horizontal="center" vertical="top" wrapText="1"/>
    </xf>
    <xf numFmtId="0" fontId="6" fillId="9" borderId="3" xfId="0" applyFont="1" applyFill="1" applyBorder="1" applyAlignment="1">
      <alignment horizontal="center" vertical="top" wrapText="1"/>
    </xf>
    <xf numFmtId="0" fontId="6" fillId="0" borderId="0" xfId="0" applyFont="1" applyFill="1" applyBorder="1" applyAlignment="1">
      <alignment horizontal="center" vertical="top" wrapText="1"/>
    </xf>
    <xf numFmtId="0" fontId="6" fillId="0" borderId="0" xfId="0" applyFont="1">
      <alignment vertical="top" wrapText="1"/>
    </xf>
    <xf numFmtId="0" fontId="4" fillId="0" borderId="13" xfId="0" applyFont="1" applyBorder="1" applyAlignment="1">
      <alignment horizontal="center"/>
    </xf>
    <xf numFmtId="0" fontId="4" fillId="0" borderId="13" xfId="0" applyFont="1" applyBorder="1" applyAlignment="1">
      <alignment horizontal="left"/>
    </xf>
    <xf numFmtId="0" fontId="5" fillId="0" borderId="13" xfId="3" applyBorder="1" applyAlignment="1" applyProtection="1">
      <alignment horizontal="left"/>
    </xf>
    <xf numFmtId="0" fontId="4" fillId="0" borderId="2" xfId="0" applyFont="1" applyFill="1" applyBorder="1" applyAlignment="1">
      <alignment horizontal="left"/>
    </xf>
    <xf numFmtId="0" fontId="4" fillId="0" borderId="2" xfId="0" applyFont="1" applyBorder="1" applyAlignment="1">
      <alignment horizontal="center"/>
    </xf>
    <xf numFmtId="0" fontId="5" fillId="0" borderId="2" xfId="3" applyBorder="1" applyAlignment="1" applyProtection="1">
      <alignment horizontal="left"/>
    </xf>
    <xf numFmtId="0" fontId="0" fillId="0" borderId="0" xfId="0">
      <alignment vertical="top" wrapText="1"/>
    </xf>
    <xf numFmtId="0" fontId="1" fillId="4" borderId="0" xfId="0" applyFont="1" applyFill="1" applyBorder="1" applyAlignment="1">
      <alignment horizontal="right"/>
    </xf>
    <xf numFmtId="0" fontId="1" fillId="0" borderId="0" xfId="0" applyFont="1" applyFill="1" applyBorder="1" applyAlignment="1">
      <alignment horizontal="right"/>
    </xf>
    <xf numFmtId="0" fontId="4" fillId="0" borderId="1" xfId="0" applyFont="1" applyFill="1" applyBorder="1" applyAlignment="1">
      <alignment horizontal="center" vertical="center" wrapText="1"/>
    </xf>
    <xf numFmtId="0" fontId="4" fillId="0" borderId="1" xfId="0" applyFont="1" applyFill="1" applyBorder="1" applyAlignment="1">
      <alignment horizontal="left" vertical="top" wrapText="1"/>
    </xf>
    <xf numFmtId="0" fontId="4" fillId="0" borderId="0" xfId="0" applyFont="1" applyAlignment="1">
      <alignment vertical="top" wrapText="1"/>
    </xf>
    <xf numFmtId="0" fontId="4" fillId="0" borderId="0" xfId="0" applyFont="1" applyFill="1" applyBorder="1" applyAlignment="1">
      <alignment vertical="top" wrapText="1"/>
    </xf>
    <xf numFmtId="0" fontId="4" fillId="0" borderId="9" xfId="0" applyFont="1" applyBorder="1" applyAlignment="1">
      <alignment horizontal="center" vertical="top" wrapText="1"/>
    </xf>
    <xf numFmtId="0" fontId="10" fillId="0" borderId="0" xfId="0" applyFont="1" applyFill="1" applyBorder="1" applyAlignment="1">
      <alignment vertical="top" wrapText="1"/>
    </xf>
    <xf numFmtId="0" fontId="4" fillId="0" borderId="0" xfId="0" applyFont="1" applyFill="1" applyBorder="1" applyAlignment="1">
      <alignment horizontal="left" vertical="top" wrapText="1"/>
    </xf>
    <xf numFmtId="0" fontId="10" fillId="0" borderId="0" xfId="0" applyFont="1" applyAlignment="1">
      <alignment horizontal="left" vertical="top" wrapText="1"/>
    </xf>
    <xf numFmtId="0" fontId="4" fillId="0" borderId="1" xfId="0" applyFont="1" applyBorder="1" applyAlignment="1">
      <alignment horizontal="center" vertical="top" wrapText="1"/>
    </xf>
    <xf numFmtId="0" fontId="4" fillId="15" borderId="1" xfId="0" applyFont="1" applyFill="1" applyBorder="1" applyAlignment="1">
      <alignment horizontal="center" vertical="center" wrapText="1"/>
    </xf>
    <xf numFmtId="0" fontId="10" fillId="0" borderId="0" xfId="0" applyFont="1" applyAlignment="1">
      <alignment vertical="top"/>
    </xf>
    <xf numFmtId="0" fontId="10" fillId="0" borderId="0" xfId="0" applyFont="1" applyFill="1" applyBorder="1" applyAlignment="1">
      <alignment vertical="top"/>
    </xf>
    <xf numFmtId="0" fontId="4" fillId="0" borderId="0" xfId="0" applyFont="1" applyFill="1" applyBorder="1" applyAlignment="1">
      <alignment horizontal="center" vertical="top" wrapText="1"/>
    </xf>
    <xf numFmtId="0" fontId="4" fillId="0" borderId="9" xfId="0" applyFont="1" applyBorder="1" applyAlignment="1">
      <alignment horizontal="center" vertical="center" wrapText="1"/>
    </xf>
    <xf numFmtId="0" fontId="4" fillId="0" borderId="9" xfId="0" applyFont="1" applyFill="1" applyBorder="1" applyAlignment="1">
      <alignment horizontal="left" vertical="center" wrapText="1"/>
    </xf>
    <xf numFmtId="0" fontId="4" fillId="0" borderId="1" xfId="0" applyFont="1" applyBorder="1" applyAlignment="1">
      <alignment horizontal="center" vertical="center" wrapText="1"/>
    </xf>
    <xf numFmtId="0" fontId="0" fillId="0" borderId="0" xfId="0">
      <alignment vertical="top" wrapText="1"/>
    </xf>
    <xf numFmtId="0" fontId="10" fillId="0" borderId="0" xfId="0" applyFont="1" applyAlignment="1"/>
    <xf numFmtId="0" fontId="4" fillId="0" borderId="0" xfId="0" applyFont="1">
      <alignment vertical="top" wrapText="1"/>
    </xf>
    <xf numFmtId="0" fontId="1" fillId="0" borderId="1" xfId="0" applyFont="1" applyFill="1" applyBorder="1" applyAlignment="1">
      <alignment horizontal="center"/>
    </xf>
    <xf numFmtId="0" fontId="1" fillId="0" borderId="1" xfId="0" applyFont="1" applyFill="1" applyBorder="1" applyAlignment="1">
      <alignment horizontal="center" vertical="top" wrapText="1"/>
    </xf>
    <xf numFmtId="0" fontId="10" fillId="0" borderId="2" xfId="0" applyFont="1" applyFill="1" applyBorder="1" applyAlignment="1">
      <alignment vertical="center" wrapText="1"/>
    </xf>
    <xf numFmtId="0" fontId="31" fillId="11" borderId="29" xfId="0" applyFont="1" applyFill="1" applyBorder="1" applyAlignment="1">
      <alignment vertical="center" wrapText="1"/>
    </xf>
    <xf numFmtId="0" fontId="31" fillId="11" borderId="30" xfId="0" applyFont="1" applyFill="1" applyBorder="1" applyAlignment="1">
      <alignment vertical="center" wrapText="1"/>
    </xf>
    <xf numFmtId="0" fontId="4" fillId="0" borderId="0" xfId="0" applyFont="1" applyFill="1" applyBorder="1" applyAlignment="1"/>
    <xf numFmtId="0" fontId="4" fillId="0" borderId="0" xfId="0" applyFont="1" applyFill="1" applyAlignment="1">
      <alignment vertical="top" wrapText="1"/>
    </xf>
    <xf numFmtId="0" fontId="4" fillId="0" borderId="0" xfId="0" applyFont="1" applyAlignment="1">
      <alignment vertical="top" wrapText="1"/>
    </xf>
    <xf numFmtId="0" fontId="4" fillId="0" borderId="1" xfId="0" applyFont="1" applyFill="1" applyBorder="1" applyAlignment="1">
      <alignment horizontal="center" vertical="top" wrapText="1"/>
    </xf>
    <xf numFmtId="0" fontId="4" fillId="0" borderId="1" xfId="0" applyFont="1" applyBorder="1" applyAlignment="1">
      <alignment horizontal="center" vertical="top" wrapText="1"/>
    </xf>
    <xf numFmtId="0" fontId="4" fillId="0" borderId="0" xfId="0" applyFont="1" applyFill="1">
      <alignment vertical="top" wrapText="1"/>
    </xf>
    <xf numFmtId="49" fontId="8" fillId="13" borderId="1" xfId="0" applyNumberFormat="1" applyFont="1" applyFill="1" applyBorder="1" applyAlignment="1">
      <alignment horizontal="center" vertical="top" wrapText="1"/>
    </xf>
    <xf numFmtId="0" fontId="8" fillId="13" borderId="9" xfId="0" applyFont="1" applyFill="1" applyBorder="1" applyAlignment="1">
      <alignment vertical="top" wrapText="1"/>
    </xf>
    <xf numFmtId="0" fontId="8" fillId="13" borderId="15" xfId="0" applyFont="1" applyFill="1" applyBorder="1" applyAlignment="1">
      <alignment horizontal="center" vertical="top" wrapText="1"/>
    </xf>
    <xf numFmtId="0" fontId="8" fillId="13" borderId="1" xfId="0" applyFont="1" applyFill="1" applyBorder="1" applyAlignment="1">
      <alignment horizontal="center" vertical="top" wrapText="1"/>
    </xf>
    <xf numFmtId="164" fontId="8" fillId="13" borderId="1" xfId="0" applyNumberFormat="1" applyFont="1" applyFill="1" applyBorder="1" applyAlignment="1">
      <alignment vertical="top"/>
    </xf>
    <xf numFmtId="0" fontId="8" fillId="13" borderId="0" xfId="0" applyFont="1" applyFill="1" applyAlignment="1">
      <alignment vertical="top" wrapText="1"/>
    </xf>
    <xf numFmtId="49" fontId="8" fillId="13" borderId="17" xfId="0" applyNumberFormat="1" applyFont="1" applyFill="1" applyBorder="1" applyAlignment="1">
      <alignment horizontal="center" vertical="top" wrapText="1"/>
    </xf>
    <xf numFmtId="0" fontId="8" fillId="13" borderId="10" xfId="0" applyFont="1" applyFill="1" applyBorder="1" applyAlignment="1">
      <alignment vertical="top" wrapText="1"/>
    </xf>
    <xf numFmtId="0" fontId="8" fillId="13" borderId="23" xfId="0" applyFont="1" applyFill="1" applyBorder="1" applyAlignment="1">
      <alignment horizontal="center" vertical="top" wrapText="1"/>
    </xf>
    <xf numFmtId="0" fontId="8" fillId="13" borderId="17" xfId="0" applyFont="1" applyFill="1" applyBorder="1" applyAlignment="1">
      <alignment horizontal="center" vertical="top" wrapText="1"/>
    </xf>
    <xf numFmtId="0" fontId="8" fillId="13" borderId="25" xfId="0" applyFont="1" applyFill="1" applyBorder="1" applyAlignment="1">
      <alignment horizontal="center" vertical="top" wrapText="1"/>
    </xf>
    <xf numFmtId="0" fontId="1" fillId="15" borderId="1" xfId="0" applyFont="1" applyFill="1" applyBorder="1" applyAlignment="1">
      <alignment horizontal="center" vertical="center" wrapText="1"/>
    </xf>
    <xf numFmtId="0" fontId="4" fillId="0" borderId="0" xfId="0" applyFont="1" applyFill="1" applyBorder="1" applyAlignment="1"/>
    <xf numFmtId="0" fontId="8" fillId="0" borderId="1" xfId="0" applyFont="1" applyFill="1" applyBorder="1" applyAlignment="1">
      <alignment vertical="top" wrapText="1"/>
    </xf>
    <xf numFmtId="0" fontId="4" fillId="0" borderId="0" xfId="0" applyFont="1" applyBorder="1" applyAlignment="1"/>
    <xf numFmtId="0" fontId="9" fillId="11" borderId="1" xfId="0" applyFont="1" applyFill="1" applyBorder="1" applyAlignment="1">
      <alignment horizontal="center" vertical="center" wrapText="1"/>
    </xf>
    <xf numFmtId="49" fontId="1" fillId="0" borderId="1" xfId="0" applyNumberFormat="1" applyFont="1" applyFill="1" applyBorder="1" applyAlignment="1">
      <alignment horizontal="center" vertical="top" wrapText="1"/>
    </xf>
    <xf numFmtId="0" fontId="4" fillId="0" borderId="0" xfId="0" applyFont="1">
      <alignment vertical="top" wrapText="1"/>
    </xf>
    <xf numFmtId="0" fontId="10" fillId="0" borderId="0" xfId="0" applyFont="1" applyBorder="1" applyAlignment="1"/>
    <xf numFmtId="49" fontId="8" fillId="0" borderId="1" xfId="0" applyNumberFormat="1" applyFont="1" applyFill="1" applyBorder="1" applyAlignment="1">
      <alignment horizontal="center" vertical="top" wrapText="1"/>
    </xf>
    <xf numFmtId="164" fontId="8" fillId="0" borderId="1" xfId="0" applyNumberFormat="1" applyFont="1" applyFill="1" applyBorder="1" applyAlignment="1">
      <alignment horizontal="center" vertical="top"/>
    </xf>
    <xf numFmtId="0" fontId="8" fillId="0" borderId="0" xfId="0" applyFont="1" applyFill="1" applyAlignment="1">
      <alignment vertical="top" wrapText="1"/>
    </xf>
    <xf numFmtId="49" fontId="8" fillId="0" borderId="17" xfId="0" applyNumberFormat="1" applyFont="1" applyFill="1" applyBorder="1" applyAlignment="1">
      <alignment horizontal="center" vertical="top" wrapText="1"/>
    </xf>
    <xf numFmtId="0" fontId="8" fillId="0" borderId="17" xfId="0" applyFont="1" applyFill="1" applyBorder="1" applyAlignment="1">
      <alignment vertical="top" wrapText="1"/>
    </xf>
    <xf numFmtId="0" fontId="8" fillId="0" borderId="17" xfId="0" applyFont="1" applyFill="1" applyBorder="1" applyAlignment="1">
      <alignment horizontal="center" vertical="top" wrapText="1"/>
    </xf>
    <xf numFmtId="164" fontId="8" fillId="0" borderId="1" xfId="0" applyNumberFormat="1" applyFont="1" applyFill="1" applyBorder="1" applyAlignment="1">
      <alignment vertical="top"/>
    </xf>
    <xf numFmtId="0" fontId="8" fillId="0" borderId="1" xfId="0" applyFont="1" applyFill="1" applyBorder="1" applyAlignment="1">
      <alignment horizontal="center"/>
    </xf>
    <xf numFmtId="0" fontId="8" fillId="0" borderId="1" xfId="0" applyFont="1" applyFill="1" applyBorder="1" applyAlignment="1"/>
    <xf numFmtId="49" fontId="8" fillId="0" borderId="1" xfId="0" applyNumberFormat="1" applyFont="1" applyFill="1" applyBorder="1" applyAlignment="1">
      <alignment horizontal="center"/>
    </xf>
    <xf numFmtId="0" fontId="8" fillId="0" borderId="0" xfId="0" applyFont="1" applyFill="1" applyBorder="1" applyAlignment="1"/>
    <xf numFmtId="0" fontId="8" fillId="0" borderId="1" xfId="0" applyFont="1" applyFill="1" applyBorder="1" applyAlignment="1">
      <alignment horizontal="center" vertical="top"/>
    </xf>
    <xf numFmtId="0" fontId="8" fillId="0" borderId="1" xfId="0" applyFont="1" applyFill="1" applyBorder="1" applyAlignment="1">
      <alignment vertical="top"/>
    </xf>
    <xf numFmtId="49" fontId="8" fillId="0" borderId="1" xfId="0" applyNumberFormat="1" applyFont="1" applyFill="1" applyBorder="1" applyAlignment="1">
      <alignment horizontal="center" vertical="top"/>
    </xf>
    <xf numFmtId="0" fontId="8" fillId="0" borderId="0" xfId="0" applyFont="1" applyFill="1" applyBorder="1" applyAlignment="1">
      <alignment vertical="top"/>
    </xf>
    <xf numFmtId="0" fontId="4" fillId="0" borderId="0" xfId="0" applyFont="1" applyFill="1">
      <alignment vertical="top" wrapText="1"/>
    </xf>
    <xf numFmtId="0" fontId="4" fillId="0" borderId="0" xfId="0" applyFont="1" applyAlignment="1">
      <alignment vertical="top" wrapText="1"/>
    </xf>
    <xf numFmtId="0" fontId="4" fillId="0" borderId="0" xfId="0" applyFont="1" applyFill="1" applyBorder="1">
      <alignment vertical="top" wrapText="1"/>
    </xf>
    <xf numFmtId="0" fontId="1" fillId="0" borderId="1" xfId="0" applyFont="1" applyFill="1" applyBorder="1" applyAlignment="1">
      <alignment horizontal="left" vertical="top" wrapText="1"/>
    </xf>
    <xf numFmtId="0" fontId="0" fillId="0" borderId="0" xfId="0">
      <alignment vertical="top" wrapText="1"/>
    </xf>
    <xf numFmtId="0" fontId="4" fillId="0" borderId="0" xfId="0" applyFont="1" applyFill="1" applyBorder="1" applyAlignment="1">
      <alignment vertical="top" wrapText="1"/>
    </xf>
    <xf numFmtId="0" fontId="4" fillId="0" borderId="1" xfId="0" applyFont="1" applyFill="1" applyBorder="1" applyAlignment="1">
      <alignment horizontal="center" vertical="top" wrapText="1"/>
    </xf>
    <xf numFmtId="0" fontId="4" fillId="0" borderId="0" xfId="0" applyFont="1">
      <alignment vertical="top" wrapText="1"/>
    </xf>
    <xf numFmtId="49" fontId="17" fillId="0" borderId="1" xfId="0" applyNumberFormat="1" applyFont="1" applyFill="1" applyBorder="1" applyAlignment="1">
      <alignment horizontal="center" vertical="top" wrapText="1"/>
    </xf>
    <xf numFmtId="49" fontId="49" fillId="0" borderId="1" xfId="0" applyNumberFormat="1" applyFont="1" applyFill="1" applyBorder="1" applyAlignment="1">
      <alignment horizontal="center" vertical="top" wrapText="1"/>
    </xf>
    <xf numFmtId="0" fontId="4" fillId="0" borderId="1" xfId="0" applyFont="1" applyFill="1" applyBorder="1" applyAlignment="1">
      <alignment horizontal="left" vertical="top" wrapText="1"/>
    </xf>
    <xf numFmtId="0" fontId="1" fillId="0" borderId="1" xfId="0" applyFont="1" applyFill="1" applyBorder="1" applyAlignment="1">
      <alignment horizontal="left" vertical="top" wrapText="1"/>
    </xf>
    <xf numFmtId="0" fontId="4" fillId="0" borderId="0" xfId="0" applyFont="1" applyFill="1" applyAlignment="1">
      <alignment vertical="top" wrapText="1"/>
    </xf>
    <xf numFmtId="0" fontId="4" fillId="0" borderId="0" xfId="0" applyFont="1" applyAlignment="1">
      <alignment vertical="top" wrapText="1"/>
    </xf>
    <xf numFmtId="0" fontId="0" fillId="0" borderId="0" xfId="0">
      <alignment vertical="top" wrapText="1"/>
    </xf>
    <xf numFmtId="0" fontId="4" fillId="0" borderId="0" xfId="0" applyFont="1" applyBorder="1" applyAlignment="1">
      <alignment vertical="top" wrapText="1"/>
    </xf>
    <xf numFmtId="0" fontId="4" fillId="0" borderId="0" xfId="0" applyFont="1" applyFill="1" applyBorder="1" applyAlignment="1">
      <alignment vertical="top" wrapText="1"/>
    </xf>
    <xf numFmtId="0" fontId="27" fillId="0" borderId="0" xfId="0" applyFont="1" applyFill="1" applyAlignment="1">
      <alignment vertical="top" wrapText="1"/>
    </xf>
    <xf numFmtId="0" fontId="10" fillId="0" borderId="0" xfId="0" applyFont="1" applyAlignment="1">
      <alignment horizontal="left"/>
    </xf>
    <xf numFmtId="0" fontId="4" fillId="0" borderId="1" xfId="0" applyFont="1" applyFill="1" applyBorder="1" applyAlignment="1">
      <alignment horizontal="center" vertical="top" wrapText="1"/>
    </xf>
    <xf numFmtId="0" fontId="10" fillId="2" borderId="9" xfId="0" applyFont="1" applyFill="1" applyBorder="1" applyAlignment="1">
      <alignment vertical="center" wrapText="1"/>
    </xf>
    <xf numFmtId="0" fontId="10" fillId="2" borderId="3" xfId="0" applyFont="1" applyFill="1" applyBorder="1" applyAlignment="1">
      <alignment vertical="center" wrapText="1"/>
    </xf>
    <xf numFmtId="0" fontId="10" fillId="2" borderId="14"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4" fillId="0" borderId="0" xfId="0" applyFont="1" applyAlignment="1">
      <alignment wrapText="1"/>
    </xf>
    <xf numFmtId="0" fontId="4" fillId="0" borderId="9" xfId="0" applyFont="1" applyFill="1" applyBorder="1" applyAlignment="1">
      <alignment vertical="top" wrapText="1"/>
    </xf>
    <xf numFmtId="0" fontId="1" fillId="0" borderId="1" xfId="0" applyFont="1" applyFill="1" applyBorder="1" applyAlignment="1">
      <alignment vertical="top" wrapText="1"/>
    </xf>
    <xf numFmtId="0" fontId="10" fillId="0" borderId="0" xfId="0" applyFont="1" applyAlignment="1"/>
    <xf numFmtId="0" fontId="10" fillId="2" borderId="4" xfId="0" applyFont="1" applyFill="1" applyBorder="1" applyAlignment="1">
      <alignment vertical="center" wrapText="1"/>
    </xf>
    <xf numFmtId="0" fontId="4" fillId="0" borderId="0" xfId="0" applyFont="1" applyAlignment="1">
      <alignment horizontal="left"/>
    </xf>
    <xf numFmtId="0" fontId="4" fillId="0" borderId="0" xfId="0" applyFont="1">
      <alignment vertical="top" wrapText="1"/>
    </xf>
    <xf numFmtId="0" fontId="4" fillId="0" borderId="0" xfId="0" applyFont="1" applyAlignment="1"/>
    <xf numFmtId="0" fontId="4" fillId="0" borderId="0" xfId="0" applyFont="1" applyAlignment="1">
      <alignment vertical="top"/>
    </xf>
    <xf numFmtId="0" fontId="1" fillId="0" borderId="0" xfId="0" applyFont="1" applyFill="1" applyBorder="1" applyAlignment="1">
      <alignment vertical="top" wrapText="1"/>
    </xf>
    <xf numFmtId="0" fontId="9" fillId="9" borderId="1" xfId="0" applyFont="1" applyFill="1" applyBorder="1" applyAlignment="1">
      <alignment horizontal="center" vertical="center" wrapText="1"/>
    </xf>
    <xf numFmtId="0" fontId="9" fillId="9" borderId="1" xfId="0" applyFont="1" applyFill="1" applyBorder="1" applyAlignment="1">
      <alignment horizontal="center" vertical="center" wrapText="1"/>
    </xf>
    <xf numFmtId="0" fontId="9" fillId="9" borderId="14" xfId="0" applyFont="1" applyFill="1" applyBorder="1" applyAlignment="1">
      <alignment horizontal="center" vertical="center" wrapText="1"/>
    </xf>
    <xf numFmtId="0" fontId="4" fillId="0" borderId="1" xfId="0" applyFont="1" applyFill="1" applyBorder="1" applyAlignment="1">
      <alignment vertical="center" wrapText="1"/>
    </xf>
    <xf numFmtId="0" fontId="4" fillId="0" borderId="0" xfId="0" applyFont="1" applyAlignment="1">
      <alignment vertical="top" wrapText="1"/>
    </xf>
    <xf numFmtId="0" fontId="0" fillId="0" borderId="0" xfId="0">
      <alignment vertical="top" wrapText="1"/>
    </xf>
    <xf numFmtId="0" fontId="9" fillId="9" borderId="1" xfId="0" applyFont="1" applyFill="1" applyBorder="1" applyAlignment="1">
      <alignment horizontal="center" vertical="center" wrapText="1"/>
    </xf>
    <xf numFmtId="0" fontId="4" fillId="0" borderId="1" xfId="0" applyFont="1" applyBorder="1" applyAlignment="1">
      <alignment vertical="center" wrapText="1"/>
    </xf>
    <xf numFmtId="0" fontId="10" fillId="9" borderId="9" xfId="0" applyFont="1" applyFill="1" applyBorder="1" applyAlignment="1">
      <alignment horizontal="left" vertical="center"/>
    </xf>
    <xf numFmtId="0" fontId="10" fillId="2" borderId="1" xfId="0" applyFont="1" applyFill="1" applyBorder="1" applyAlignment="1">
      <alignment horizontal="center" vertical="top" wrapText="1"/>
    </xf>
    <xf numFmtId="0" fontId="4" fillId="0" borderId="1" xfId="0" applyFont="1" applyBorder="1" applyAlignment="1">
      <alignment horizontal="left" vertical="center" wrapText="1"/>
    </xf>
    <xf numFmtId="0" fontId="10" fillId="9" borderId="1" xfId="0" applyFont="1" applyFill="1" applyBorder="1" applyAlignment="1">
      <alignment vertical="center" wrapText="1"/>
    </xf>
    <xf numFmtId="0" fontId="4" fillId="0" borderId="0" xfId="0" applyFont="1" applyAlignment="1">
      <alignment vertical="center" wrapText="1"/>
    </xf>
    <xf numFmtId="0" fontId="5" fillId="0" borderId="0" xfId="3" applyAlignment="1" applyProtection="1">
      <alignment vertical="top" wrapText="1"/>
    </xf>
    <xf numFmtId="0" fontId="4" fillId="0" borderId="0" xfId="0" applyFont="1">
      <alignment vertical="top" wrapText="1"/>
    </xf>
    <xf numFmtId="0" fontId="4" fillId="0" borderId="0" xfId="0" applyFont="1" applyAlignment="1">
      <alignment vertical="top"/>
    </xf>
    <xf numFmtId="0" fontId="0" fillId="0" borderId="0" xfId="0" applyAlignment="1">
      <alignment vertical="center" wrapText="1"/>
    </xf>
    <xf numFmtId="0" fontId="1" fillId="0" borderId="9" xfId="0" applyFont="1" applyFill="1" applyBorder="1" applyAlignment="1">
      <alignment vertical="top" wrapText="1"/>
    </xf>
    <xf numFmtId="0" fontId="4" fillId="0" borderId="9" xfId="0" applyFont="1" applyBorder="1" applyAlignment="1"/>
    <xf numFmtId="0" fontId="4" fillId="0" borderId="3" xfId="0" applyFont="1" applyBorder="1" applyAlignment="1"/>
    <xf numFmtId="0" fontId="4" fillId="13" borderId="1" xfId="0" applyFont="1" applyFill="1" applyBorder="1" applyAlignment="1">
      <alignment horizontal="center"/>
    </xf>
    <xf numFmtId="0" fontId="9" fillId="9" borderId="9" xfId="0" applyFont="1" applyFill="1" applyBorder="1" applyAlignment="1">
      <alignment horizontal="center" vertical="center" wrapText="1"/>
    </xf>
    <xf numFmtId="0" fontId="0" fillId="0" borderId="0" xfId="0" applyAlignment="1"/>
    <xf numFmtId="0" fontId="0" fillId="0" borderId="1" xfId="0" applyBorder="1" applyAlignment="1"/>
    <xf numFmtId="0" fontId="1" fillId="0" borderId="1" xfId="0" applyFont="1" applyBorder="1" applyAlignment="1">
      <alignment horizontal="left" wrapText="1"/>
    </xf>
    <xf numFmtId="0" fontId="1" fillId="0" borderId="0" xfId="0" applyFont="1" applyAlignment="1">
      <alignment wrapText="1"/>
    </xf>
    <xf numFmtId="0" fontId="1" fillId="0" borderId="1" xfId="0" applyFont="1" applyBorder="1" applyAlignment="1">
      <alignment vertical="center" wrapText="1"/>
    </xf>
    <xf numFmtId="0" fontId="1" fillId="0" borderId="1" xfId="0" applyFont="1" applyBorder="1" applyAlignment="1">
      <alignment horizontal="left" vertical="center" wrapText="1"/>
    </xf>
    <xf numFmtId="0" fontId="9" fillId="9" borderId="9" xfId="0" applyFont="1" applyFill="1" applyBorder="1" applyAlignment="1">
      <alignment vertical="center"/>
    </xf>
    <xf numFmtId="0" fontId="9" fillId="9" borderId="1" xfId="0" applyFont="1" applyFill="1" applyBorder="1" applyAlignment="1">
      <alignment horizontal="left" vertical="center"/>
    </xf>
    <xf numFmtId="0" fontId="1" fillId="0" borderId="1" xfId="0" applyFont="1" applyBorder="1" applyAlignment="1">
      <alignment horizontal="center"/>
    </xf>
    <xf numFmtId="0" fontId="9" fillId="9" borderId="1" xfId="0" applyFont="1" applyFill="1" applyBorder="1" applyAlignment="1">
      <alignment horizontal="center" vertical="center"/>
    </xf>
    <xf numFmtId="0" fontId="1" fillId="0" borderId="1" xfId="0" applyFont="1" applyBorder="1" applyAlignment="1">
      <alignment horizontal="center" wrapText="1"/>
    </xf>
    <xf numFmtId="0" fontId="10" fillId="2" borderId="1" xfId="0" applyFont="1" applyFill="1" applyBorder="1" applyAlignment="1">
      <alignment horizontal="left" vertical="top" wrapText="1"/>
    </xf>
    <xf numFmtId="0" fontId="1" fillId="0" borderId="1" xfId="0" applyFont="1" applyFill="1" applyBorder="1" applyAlignment="1">
      <alignment vertical="center" wrapText="1"/>
    </xf>
    <xf numFmtId="0" fontId="4" fillId="0" borderId="0" xfId="0" applyFont="1" applyAlignment="1">
      <alignment vertical="top" wrapText="1"/>
    </xf>
    <xf numFmtId="0" fontId="0" fillId="0" borderId="0" xfId="0">
      <alignment vertical="top" wrapText="1"/>
    </xf>
    <xf numFmtId="0" fontId="4" fillId="0" borderId="0" xfId="0" applyFont="1">
      <alignment vertical="top" wrapText="1"/>
    </xf>
    <xf numFmtId="0" fontId="1" fillId="0" borderId="0" xfId="0" applyFont="1">
      <alignment vertical="top" wrapText="1"/>
    </xf>
    <xf numFmtId="0" fontId="4" fillId="0" borderId="0" xfId="0" applyFont="1" applyFill="1" applyBorder="1" applyAlignment="1">
      <alignment vertical="top" wrapText="1"/>
    </xf>
    <xf numFmtId="0" fontId="4" fillId="0" borderId="0" xfId="0" applyFont="1" applyFill="1" applyBorder="1">
      <alignment vertical="top" wrapText="1"/>
    </xf>
    <xf numFmtId="0" fontId="4" fillId="0" borderId="0" xfId="0" applyFont="1" applyFill="1" applyBorder="1" applyAlignment="1"/>
    <xf numFmtId="0" fontId="10" fillId="9" borderId="1" xfId="0" applyFont="1" applyFill="1" applyBorder="1" applyAlignment="1">
      <alignment horizontal="center" vertical="top" wrapText="1"/>
    </xf>
    <xf numFmtId="0" fontId="10" fillId="0" borderId="2" xfId="0" applyFont="1" applyFill="1" applyBorder="1" applyAlignment="1">
      <alignment vertical="center" wrapText="1"/>
    </xf>
    <xf numFmtId="0" fontId="0" fillId="0" borderId="0" xfId="0">
      <alignment vertical="top" wrapText="1"/>
    </xf>
    <xf numFmtId="0" fontId="5" fillId="0" borderId="0" xfId="3" applyAlignment="1" applyProtection="1">
      <alignment vertical="top" wrapText="1"/>
    </xf>
    <xf numFmtId="0" fontId="4" fillId="0" borderId="0" xfId="0" applyFont="1">
      <alignment vertical="top" wrapText="1"/>
    </xf>
    <xf numFmtId="0" fontId="4" fillId="0" borderId="0" xfId="0" applyFont="1" applyBorder="1" applyAlignment="1"/>
    <xf numFmtId="0" fontId="4" fillId="0" borderId="0" xfId="0" applyFont="1" applyFill="1" applyBorder="1" applyAlignment="1">
      <alignment vertical="top"/>
    </xf>
    <xf numFmtId="0" fontId="4" fillId="0" borderId="0" xfId="0" applyFont="1" applyFill="1">
      <alignment vertical="top" wrapText="1"/>
    </xf>
    <xf numFmtId="0" fontId="5" fillId="0" borderId="0" xfId="3" applyAlignment="1" applyProtection="1">
      <alignment vertical="top"/>
    </xf>
    <xf numFmtId="0" fontId="1" fillId="0" borderId="1" xfId="0" applyFont="1" applyFill="1" applyBorder="1" applyAlignment="1">
      <alignment horizontal="center" vertical="center" wrapText="1"/>
    </xf>
    <xf numFmtId="0" fontId="4" fillId="0" borderId="0" xfId="0" applyFont="1" applyAlignment="1">
      <alignment vertical="top" wrapText="1"/>
    </xf>
    <xf numFmtId="0" fontId="4" fillId="0" borderId="0" xfId="0" applyFont="1" applyAlignment="1">
      <alignment vertical="center"/>
    </xf>
    <xf numFmtId="0" fontId="4" fillId="0" borderId="0" xfId="0" applyFont="1">
      <alignment vertical="top" wrapText="1"/>
    </xf>
    <xf numFmtId="0" fontId="4" fillId="0" borderId="0" xfId="0" applyFont="1" applyAlignment="1">
      <alignment vertical="top"/>
    </xf>
    <xf numFmtId="0" fontId="0" fillId="0" borderId="0" xfId="0">
      <alignment vertical="top" wrapText="1"/>
    </xf>
    <xf numFmtId="0" fontId="4" fillId="0" borderId="0" xfId="0" applyFont="1" applyAlignment="1">
      <alignment wrapText="1"/>
    </xf>
    <xf numFmtId="0" fontId="4" fillId="0" borderId="0" xfId="0" applyFont="1" applyAlignment="1">
      <alignment horizontal="left" wrapText="1"/>
    </xf>
    <xf numFmtId="0" fontId="5" fillId="0" borderId="0" xfId="3" applyAlignment="1" applyProtection="1">
      <alignment vertical="top" wrapText="1"/>
    </xf>
    <xf numFmtId="0" fontId="4" fillId="0" borderId="0" xfId="0" applyFont="1">
      <alignment vertical="top" wrapText="1"/>
    </xf>
    <xf numFmtId="0" fontId="4" fillId="0" borderId="0" xfId="0" applyFont="1" applyAlignment="1">
      <alignment vertical="top"/>
    </xf>
    <xf numFmtId="0" fontId="4" fillId="0" borderId="0" xfId="0" applyFont="1" applyFill="1">
      <alignment vertical="top" wrapText="1"/>
    </xf>
    <xf numFmtId="0" fontId="1" fillId="0" borderId="0" xfId="0" applyFont="1" applyAlignment="1">
      <alignment vertical="top"/>
    </xf>
    <xf numFmtId="0" fontId="1" fillId="11" borderId="1" xfId="0" applyFont="1" applyFill="1" applyBorder="1" applyAlignment="1">
      <alignment horizontal="left" vertical="top" wrapText="1"/>
    </xf>
    <xf numFmtId="0" fontId="1" fillId="0" borderId="0" xfId="0" applyFont="1" applyAlignment="1">
      <alignment vertical="center"/>
    </xf>
    <xf numFmtId="0" fontId="1" fillId="0" borderId="0" xfId="0" applyFont="1" applyAlignment="1">
      <alignment vertical="top"/>
    </xf>
    <xf numFmtId="0" fontId="16" fillId="0" borderId="0" xfId="0" applyFont="1" applyAlignment="1">
      <alignment vertical="top"/>
    </xf>
    <xf numFmtId="0" fontId="10" fillId="0" borderId="0" xfId="3" applyFont="1" applyAlignment="1" applyProtection="1">
      <alignment vertical="top"/>
    </xf>
    <xf numFmtId="0" fontId="4" fillId="0" borderId="0" xfId="0" applyFont="1" applyAlignment="1">
      <alignment vertical="top" wrapText="1"/>
    </xf>
    <xf numFmtId="0" fontId="4" fillId="0" borderId="0" xfId="0" applyFont="1" applyFill="1" applyBorder="1">
      <alignment vertical="top" wrapText="1"/>
    </xf>
    <xf numFmtId="0" fontId="2" fillId="0" borderId="0" xfId="0" applyFont="1" applyAlignment="1">
      <alignment horizontal="left" vertical="top"/>
    </xf>
    <xf numFmtId="0" fontId="1" fillId="0" borderId="1" xfId="0" applyFont="1" applyFill="1" applyBorder="1" applyAlignment="1">
      <alignment vertical="center" wrapText="1"/>
    </xf>
    <xf numFmtId="0" fontId="0" fillId="0" borderId="0" xfId="0">
      <alignment vertical="top" wrapText="1"/>
    </xf>
    <xf numFmtId="0" fontId="1" fillId="0" borderId="1" xfId="0" applyFont="1" applyFill="1" applyBorder="1" applyAlignment="1">
      <alignment horizontal="left" vertical="center" wrapText="1"/>
    </xf>
    <xf numFmtId="0" fontId="1" fillId="0" borderId="0" xfId="0" applyFont="1" applyFill="1" applyAlignment="1">
      <alignment vertical="center"/>
    </xf>
    <xf numFmtId="0" fontId="4" fillId="0" borderId="0" xfId="0" applyFont="1" applyFill="1" applyBorder="1" applyAlignment="1"/>
    <xf numFmtId="0" fontId="10" fillId="0" borderId="0" xfId="0" applyFont="1" applyAlignment="1">
      <alignment vertical="top" wrapText="1"/>
    </xf>
    <xf numFmtId="0" fontId="8" fillId="0" borderId="0" xfId="0" applyFont="1">
      <alignment vertical="top" wrapText="1"/>
    </xf>
    <xf numFmtId="0" fontId="4" fillId="0" borderId="0" xfId="0" applyFont="1">
      <alignment vertical="top" wrapText="1"/>
    </xf>
    <xf numFmtId="0" fontId="4" fillId="0" borderId="0" xfId="0" applyFont="1" applyFill="1" applyBorder="1">
      <alignment vertical="top" wrapText="1"/>
    </xf>
    <xf numFmtId="0" fontId="10" fillId="2" borderId="1" xfId="0" applyFont="1" applyFill="1" applyBorder="1" applyAlignment="1">
      <alignment horizontal="center" vertical="center" wrapText="1"/>
    </xf>
    <xf numFmtId="0" fontId="4" fillId="0" borderId="0" xfId="0" applyFont="1" applyBorder="1" applyAlignment="1">
      <alignment vertical="center" wrapText="1"/>
    </xf>
    <xf numFmtId="0" fontId="4" fillId="0" borderId="0" xfId="0" applyFont="1" applyAlignment="1">
      <alignment vertical="center" wrapText="1"/>
    </xf>
    <xf numFmtId="0" fontId="1" fillId="0" borderId="0" xfId="0" applyFont="1" applyBorder="1" applyAlignment="1">
      <alignment horizontal="left" vertical="center" wrapText="1"/>
    </xf>
    <xf numFmtId="0" fontId="1" fillId="0" borderId="0" xfId="0" applyFont="1" applyBorder="1" applyAlignment="1">
      <alignment vertical="center" wrapText="1"/>
    </xf>
    <xf numFmtId="0" fontId="1" fillId="0" borderId="0" xfId="0" applyFont="1" applyFill="1" applyBorder="1">
      <alignment vertical="top" wrapText="1"/>
    </xf>
    <xf numFmtId="0" fontId="72" fillId="0" borderId="0" xfId="0" applyFont="1" applyFill="1">
      <alignment vertical="top" wrapText="1"/>
    </xf>
    <xf numFmtId="0" fontId="72" fillId="0" borderId="0" xfId="0" applyFont="1" applyAlignment="1">
      <alignment vertical="top"/>
    </xf>
    <xf numFmtId="0" fontId="73" fillId="0" borderId="0" xfId="0" applyFont="1" applyAlignment="1">
      <alignment horizontal="left"/>
    </xf>
    <xf numFmtId="0" fontId="72" fillId="0" borderId="0" xfId="0" applyFont="1">
      <alignment vertical="top" wrapText="1"/>
    </xf>
    <xf numFmtId="0" fontId="1" fillId="0" borderId="9" xfId="0" applyFont="1" applyBorder="1" applyAlignment="1">
      <alignment vertical="center"/>
    </xf>
    <xf numFmtId="0" fontId="0" fillId="0" borderId="0" xfId="0" applyFill="1">
      <alignment vertical="top" wrapText="1"/>
    </xf>
    <xf numFmtId="0" fontId="0" fillId="0" borderId="0" xfId="0">
      <alignment vertical="top" wrapText="1"/>
    </xf>
    <xf numFmtId="0" fontId="4" fillId="0" borderId="0" xfId="0" applyFont="1" applyAlignment="1">
      <alignment vertical="center"/>
    </xf>
    <xf numFmtId="0" fontId="10" fillId="2" borderId="1" xfId="0" applyFont="1" applyFill="1" applyBorder="1" applyAlignment="1">
      <alignment horizontal="center" vertical="center" wrapText="1"/>
    </xf>
    <xf numFmtId="0" fontId="4" fillId="0" borderId="0" xfId="0" applyFont="1" applyBorder="1" applyAlignment="1">
      <alignment vertical="center" wrapText="1"/>
    </xf>
    <xf numFmtId="0" fontId="4" fillId="0" borderId="0" xfId="0" applyFont="1" applyFill="1" applyBorder="1" applyAlignment="1">
      <alignment vertical="center" wrapText="1"/>
    </xf>
    <xf numFmtId="0" fontId="4" fillId="0" borderId="0" xfId="0" applyFont="1" applyAlignment="1">
      <alignment vertical="center" wrapText="1"/>
    </xf>
    <xf numFmtId="0" fontId="4" fillId="0" borderId="4" xfId="0" applyFont="1" applyBorder="1" applyAlignment="1">
      <alignment vertical="center" wrapText="1"/>
    </xf>
    <xf numFmtId="0" fontId="4" fillId="0" borderId="3" xfId="0" applyFont="1" applyBorder="1" applyAlignment="1">
      <alignment vertical="center" wrapText="1"/>
    </xf>
    <xf numFmtId="0" fontId="0" fillId="0" borderId="0" xfId="0" applyAlignment="1">
      <alignment vertical="center" wrapText="1"/>
    </xf>
    <xf numFmtId="0" fontId="1" fillId="0" borderId="0" xfId="0" applyFont="1" applyFill="1" applyBorder="1" applyAlignment="1">
      <alignment horizontal="center" vertical="center" wrapText="1"/>
    </xf>
    <xf numFmtId="0" fontId="65" fillId="0" borderId="0" xfId="0" applyFont="1" applyFill="1" applyBorder="1" applyAlignment="1">
      <alignment horizontal="center" vertical="top" wrapText="1"/>
    </xf>
    <xf numFmtId="0" fontId="0" fillId="0" borderId="0" xfId="0" applyFill="1" applyAlignment="1">
      <alignment horizontal="left" vertical="top" wrapText="1"/>
    </xf>
    <xf numFmtId="0" fontId="10" fillId="0" borderId="1" xfId="0" applyFont="1" applyFill="1" applyBorder="1" applyAlignment="1">
      <alignment horizontal="center" vertical="center" wrapText="1"/>
    </xf>
    <xf numFmtId="0" fontId="1" fillId="0" borderId="0" xfId="0" applyFont="1" applyFill="1" applyBorder="1" applyAlignment="1">
      <alignment vertical="center"/>
    </xf>
    <xf numFmtId="0" fontId="1" fillId="0" borderId="0" xfId="0" applyFont="1" applyFill="1" applyBorder="1" applyAlignment="1">
      <alignment horizontal="center" vertical="center"/>
    </xf>
    <xf numFmtId="0" fontId="1" fillId="0" borderId="9" xfId="0" applyFont="1" applyFill="1" applyBorder="1" applyAlignment="1">
      <alignment horizontal="center" vertical="center" wrapText="1"/>
    </xf>
    <xf numFmtId="0" fontId="1" fillId="0" borderId="4" xfId="0" applyFont="1" applyBorder="1" applyAlignment="1">
      <alignment vertical="center" wrapText="1"/>
    </xf>
    <xf numFmtId="0" fontId="1" fillId="0" borderId="20" xfId="0" applyFont="1" applyFill="1" applyBorder="1" applyAlignment="1">
      <alignment horizontal="center" vertical="center"/>
    </xf>
    <xf numFmtId="0" fontId="1" fillId="0" borderId="21" xfId="0" applyFont="1" applyFill="1" applyBorder="1" applyAlignment="1">
      <alignment horizontal="center" vertical="center"/>
    </xf>
    <xf numFmtId="0" fontId="10" fillId="0" borderId="0" xfId="0" applyFont="1" applyFill="1" applyBorder="1" applyAlignment="1">
      <alignment horizontal="center" vertical="center" wrapText="1"/>
    </xf>
    <xf numFmtId="0" fontId="1" fillId="0" borderId="0" xfId="0" applyFont="1" applyFill="1" applyBorder="1" applyAlignment="1">
      <alignment vertical="center" wrapText="1"/>
    </xf>
    <xf numFmtId="0" fontId="1" fillId="0" borderId="1" xfId="0" applyFont="1" applyFill="1" applyBorder="1" applyAlignment="1">
      <alignment horizontal="left" vertical="top" wrapText="1"/>
    </xf>
    <xf numFmtId="0" fontId="4" fillId="0" borderId="0" xfId="0" applyFont="1" applyAlignment="1">
      <alignment vertical="top" wrapText="1"/>
    </xf>
    <xf numFmtId="0" fontId="0" fillId="0" borderId="0" xfId="0">
      <alignment vertical="top" wrapText="1"/>
    </xf>
    <xf numFmtId="0" fontId="4" fillId="0" borderId="1" xfId="0" applyFont="1" applyFill="1" applyBorder="1" applyAlignment="1">
      <alignment vertical="top" wrapText="1"/>
    </xf>
    <xf numFmtId="0" fontId="4" fillId="0" borderId="0" xfId="0" applyFont="1" applyFill="1" applyBorder="1" applyAlignment="1">
      <alignment vertical="top" wrapText="1"/>
    </xf>
    <xf numFmtId="0" fontId="4" fillId="0" borderId="0" xfId="0" applyFont="1" applyBorder="1" applyAlignment="1">
      <alignment vertical="top" wrapText="1"/>
    </xf>
    <xf numFmtId="0" fontId="1" fillId="0" borderId="0" xfId="0" applyFont="1" applyFill="1" applyBorder="1" applyAlignment="1">
      <alignment vertical="top" wrapText="1"/>
    </xf>
    <xf numFmtId="0" fontId="4" fillId="0" borderId="1" xfId="0" applyFont="1" applyBorder="1" applyAlignment="1">
      <alignment vertical="top" wrapText="1"/>
    </xf>
    <xf numFmtId="0" fontId="10" fillId="2" borderId="1" xfId="0" applyFont="1" applyFill="1" applyBorder="1" applyAlignment="1">
      <alignment horizontal="center" vertical="center" wrapText="1"/>
    </xf>
    <xf numFmtId="0" fontId="4" fillId="0" borderId="0" xfId="0" applyFont="1" applyBorder="1" applyAlignment="1">
      <alignment horizontal="left" vertical="top" wrapText="1"/>
    </xf>
    <xf numFmtId="0" fontId="1" fillId="0" borderId="1" xfId="0" applyFont="1" applyFill="1" applyBorder="1" applyAlignment="1">
      <alignment vertical="top" wrapText="1"/>
    </xf>
    <xf numFmtId="0" fontId="4" fillId="0" borderId="1" xfId="0" applyFont="1" applyBorder="1" applyAlignment="1">
      <alignment horizontal="left" vertical="top" wrapText="1"/>
    </xf>
    <xf numFmtId="0" fontId="0" fillId="0" borderId="0" xfId="0" applyAlignment="1">
      <alignment vertical="top" wrapText="1"/>
    </xf>
    <xf numFmtId="0" fontId="1" fillId="0" borderId="1" xfId="0" applyFont="1" applyBorder="1" applyAlignment="1">
      <alignment vertical="top" wrapText="1"/>
    </xf>
    <xf numFmtId="0" fontId="4" fillId="0" borderId="1" xfId="0" applyFont="1" applyBorder="1">
      <alignment vertical="top" wrapText="1"/>
    </xf>
    <xf numFmtId="0" fontId="4" fillId="0" borderId="0" xfId="0" applyFont="1">
      <alignment vertical="top" wrapText="1"/>
    </xf>
    <xf numFmtId="0" fontId="74" fillId="0" borderId="0" xfId="0" applyFont="1" applyAlignment="1">
      <alignment horizontal="left" vertical="center" wrapText="1"/>
    </xf>
    <xf numFmtId="0" fontId="1" fillId="0" borderId="0" xfId="0" applyFont="1">
      <alignment vertical="top" wrapText="1"/>
    </xf>
    <xf numFmtId="0" fontId="1" fillId="0" borderId="1" xfId="0" applyFont="1" applyBorder="1">
      <alignment vertical="top" wrapText="1"/>
    </xf>
    <xf numFmtId="0" fontId="1" fillId="9" borderId="1" xfId="0" applyFont="1" applyFill="1" applyBorder="1">
      <alignment vertical="top" wrapText="1"/>
    </xf>
    <xf numFmtId="0" fontId="10" fillId="9" borderId="1" xfId="0" applyFont="1" applyFill="1" applyBorder="1">
      <alignment vertical="top" wrapText="1"/>
    </xf>
    <xf numFmtId="0" fontId="4" fillId="0" borderId="4" xfId="0" applyFont="1" applyBorder="1" applyAlignment="1">
      <alignment horizontal="left" vertical="top" wrapText="1"/>
    </xf>
    <xf numFmtId="0" fontId="4" fillId="0" borderId="3" xfId="0" applyFont="1" applyBorder="1" applyAlignment="1">
      <alignment horizontal="left" vertical="top" wrapText="1"/>
    </xf>
    <xf numFmtId="0" fontId="1" fillId="0" borderId="9" xfId="0" applyFont="1" applyBorder="1" applyAlignment="1">
      <alignment horizontal="left" vertical="top" wrapText="1"/>
    </xf>
    <xf numFmtId="0" fontId="1" fillId="0" borderId="1" xfId="0" applyFont="1" applyFill="1" applyBorder="1">
      <alignment vertical="top" wrapText="1"/>
    </xf>
    <xf numFmtId="0" fontId="1" fillId="0" borderId="1" xfId="0" applyFont="1" applyBorder="1" applyAlignment="1">
      <alignment horizontal="left" vertical="top" wrapText="1"/>
    </xf>
    <xf numFmtId="3" fontId="4" fillId="0" borderId="1" xfId="0" applyNumberFormat="1" applyFont="1" applyBorder="1" applyAlignment="1">
      <alignment horizontal="left" vertical="top" wrapText="1"/>
    </xf>
    <xf numFmtId="0" fontId="4" fillId="0" borderId="0" xfId="0" applyFont="1">
      <alignment vertical="top" wrapText="1"/>
    </xf>
    <xf numFmtId="0" fontId="4" fillId="0" borderId="0" xfId="0" applyFont="1" applyFill="1">
      <alignment vertical="top" wrapText="1"/>
    </xf>
    <xf numFmtId="0" fontId="4" fillId="0" borderId="0" xfId="0" applyFont="1" applyAlignment="1">
      <alignment vertical="top" wrapText="1"/>
    </xf>
    <xf numFmtId="0" fontId="4" fillId="0" borderId="0" xfId="0" applyFont="1" applyFill="1" applyBorder="1" applyAlignment="1">
      <alignment vertical="top" wrapText="1"/>
    </xf>
    <xf numFmtId="0" fontId="4" fillId="0" borderId="0" xfId="0" applyFont="1" applyAlignment="1">
      <alignment horizontal="left" vertical="top" wrapText="1"/>
    </xf>
    <xf numFmtId="0" fontId="4" fillId="0" borderId="0" xfId="0" applyFont="1" applyAlignment="1">
      <alignment horizontal="left"/>
    </xf>
    <xf numFmtId="0" fontId="4" fillId="0" borderId="0" xfId="0" applyFont="1">
      <alignment vertical="top" wrapText="1"/>
    </xf>
    <xf numFmtId="0" fontId="4" fillId="0" borderId="0" xfId="0" applyFont="1">
      <alignment vertical="top" wrapText="1"/>
    </xf>
    <xf numFmtId="0" fontId="4" fillId="0" borderId="3" xfId="0" applyFont="1" applyFill="1" applyBorder="1" applyAlignment="1">
      <alignment wrapText="1"/>
    </xf>
    <xf numFmtId="0" fontId="4" fillId="0" borderId="0" xfId="0" applyFont="1" applyAlignment="1">
      <alignment vertical="top" wrapText="1"/>
    </xf>
    <xf numFmtId="0" fontId="10" fillId="2" borderId="1" xfId="0" applyFont="1" applyFill="1" applyBorder="1" applyAlignment="1">
      <alignment horizontal="center" vertical="top" wrapText="1"/>
    </xf>
    <xf numFmtId="0" fontId="4" fillId="0" borderId="1" xfId="0" applyFont="1" applyFill="1" applyBorder="1" applyAlignment="1">
      <alignment vertical="top" wrapText="1"/>
    </xf>
    <xf numFmtId="0" fontId="4" fillId="0" borderId="0" xfId="0" applyFont="1" applyFill="1" applyBorder="1" applyAlignment="1">
      <alignment vertical="top" wrapText="1"/>
    </xf>
    <xf numFmtId="0" fontId="1" fillId="0" borderId="9" xfId="0" applyFont="1" applyFill="1" applyBorder="1" applyAlignment="1">
      <alignment wrapText="1"/>
    </xf>
    <xf numFmtId="0" fontId="30" fillId="0" borderId="9" xfId="0" applyFont="1" applyFill="1" applyBorder="1" applyAlignment="1">
      <alignment horizontal="center" vertical="center" wrapText="1"/>
    </xf>
    <xf numFmtId="0" fontId="30" fillId="0" borderId="4" xfId="0" applyFont="1" applyFill="1" applyBorder="1" applyAlignment="1">
      <alignment horizontal="center" vertical="center" wrapText="1"/>
    </xf>
    <xf numFmtId="0" fontId="30" fillId="0" borderId="0" xfId="0" applyFont="1" applyFill="1" applyBorder="1" applyAlignment="1">
      <alignment horizontal="center" vertical="center" wrapText="1"/>
    </xf>
    <xf numFmtId="0" fontId="0" fillId="0" borderId="0" xfId="0" applyFill="1" applyAlignment="1">
      <alignment vertical="top"/>
    </xf>
    <xf numFmtId="0" fontId="4" fillId="0" borderId="0" xfId="0" applyFont="1" applyFill="1" applyBorder="1" applyAlignment="1"/>
    <xf numFmtId="0" fontId="4" fillId="0" borderId="4" xfId="0" applyFont="1" applyFill="1" applyBorder="1" applyAlignment="1">
      <alignment vertical="center" wrapText="1"/>
    </xf>
    <xf numFmtId="0" fontId="4" fillId="0" borderId="0" xfId="0" applyFont="1" applyFill="1" applyBorder="1">
      <alignment vertical="top" wrapText="1"/>
    </xf>
    <xf numFmtId="0" fontId="1" fillId="0" borderId="1" xfId="0" applyFont="1" applyBorder="1" applyAlignment="1">
      <alignment horizontal="left"/>
    </xf>
    <xf numFmtId="0" fontId="1" fillId="0" borderId="1" xfId="0" applyFont="1" applyBorder="1" applyAlignment="1">
      <alignment vertical="top"/>
    </xf>
    <xf numFmtId="0" fontId="1" fillId="0" borderId="0" xfId="0" applyFont="1" applyAlignment="1">
      <alignment vertical="top"/>
    </xf>
    <xf numFmtId="0" fontId="12" fillId="0" borderId="0" xfId="0" applyFont="1" applyAlignment="1">
      <alignment horizontal="left"/>
    </xf>
    <xf numFmtId="0" fontId="1" fillId="0" borderId="4" xfId="0" applyFont="1" applyBorder="1" applyAlignment="1">
      <alignment vertical="center"/>
    </xf>
    <xf numFmtId="0" fontId="1" fillId="0" borderId="9" xfId="0" applyFont="1" applyBorder="1" applyAlignment="1">
      <alignment vertical="top"/>
    </xf>
    <xf numFmtId="0" fontId="1" fillId="0" borderId="4" xfId="0" applyFont="1" applyBorder="1" applyAlignment="1">
      <alignment vertical="top"/>
    </xf>
    <xf numFmtId="0" fontId="1" fillId="0" borderId="3" xfId="0" applyFont="1" applyBorder="1" applyAlignment="1">
      <alignment vertical="top"/>
    </xf>
    <xf numFmtId="0" fontId="0" fillId="0" borderId="0" xfId="0">
      <alignment vertical="top" wrapText="1"/>
    </xf>
    <xf numFmtId="0" fontId="0" fillId="0" borderId="0" xfId="0" applyAlignment="1">
      <alignment vertical="top" wrapText="1"/>
    </xf>
    <xf numFmtId="0" fontId="71" fillId="0" borderId="0" xfId="0" applyFont="1">
      <alignment vertical="top" wrapText="1"/>
    </xf>
    <xf numFmtId="0" fontId="4" fillId="0" borderId="0" xfId="0" applyFont="1" applyAlignment="1">
      <alignment vertical="top" wrapText="1"/>
    </xf>
    <xf numFmtId="0" fontId="4" fillId="9" borderId="0" xfId="0" applyFont="1" applyFill="1" applyBorder="1" applyAlignment="1">
      <alignment horizontal="left" vertical="center" wrapText="1"/>
    </xf>
    <xf numFmtId="0" fontId="4" fillId="0" borderId="4" xfId="0" applyFont="1" applyFill="1" applyBorder="1" applyAlignment="1"/>
    <xf numFmtId="0" fontId="4" fillId="0" borderId="3" xfId="0" applyFont="1" applyFill="1" applyBorder="1" applyAlignment="1"/>
    <xf numFmtId="0" fontId="1" fillId="9" borderId="20" xfId="0" applyFont="1" applyFill="1" applyBorder="1" applyAlignment="1">
      <alignment horizontal="left" vertical="center" wrapText="1"/>
    </xf>
    <xf numFmtId="0" fontId="1" fillId="0" borderId="10" xfId="0" applyFont="1" applyFill="1" applyBorder="1" applyAlignment="1">
      <alignment horizontal="right" indent="1"/>
    </xf>
    <xf numFmtId="0" fontId="4" fillId="0" borderId="2" xfId="0" applyFont="1" applyFill="1" applyBorder="1" applyAlignment="1">
      <alignment horizontal="right" indent="1"/>
    </xf>
    <xf numFmtId="0" fontId="1" fillId="0" borderId="2" xfId="0" applyFont="1" applyFill="1" applyBorder="1" applyAlignment="1">
      <alignment horizontal="left"/>
    </xf>
    <xf numFmtId="0" fontId="4" fillId="0" borderId="11" xfId="0" applyFont="1" applyFill="1" applyBorder="1" applyAlignment="1">
      <alignment horizontal="left"/>
    </xf>
    <xf numFmtId="0" fontId="4" fillId="0" borderId="9" xfId="0" applyFont="1" applyFill="1" applyBorder="1" applyAlignment="1"/>
    <xf numFmtId="0" fontId="1" fillId="0" borderId="4" xfId="0" applyFont="1" applyFill="1" applyBorder="1" applyAlignment="1"/>
    <xf numFmtId="0" fontId="8" fillId="0" borderId="0" xfId="0" applyFont="1">
      <alignment vertical="top" wrapText="1"/>
    </xf>
    <xf numFmtId="0" fontId="0" fillId="0" borderId="0" xfId="0">
      <alignment vertical="top" wrapText="1"/>
    </xf>
    <xf numFmtId="0" fontId="1" fillId="0" borderId="1" xfId="0" applyFont="1" applyBorder="1" applyAlignment="1">
      <alignment horizontal="center" vertical="top" wrapText="1"/>
    </xf>
    <xf numFmtId="0" fontId="0" fillId="0" borderId="1" xfId="0" applyBorder="1">
      <alignment vertical="top" wrapText="1"/>
    </xf>
    <xf numFmtId="0" fontId="0" fillId="0" borderId="1" xfId="0" applyBorder="1" applyAlignment="1">
      <alignment horizontal="center" vertical="top" wrapText="1"/>
    </xf>
    <xf numFmtId="0" fontId="4" fillId="0" borderId="0" xfId="0" applyFont="1" applyFill="1" applyBorder="1" applyAlignment="1">
      <alignment vertical="top" wrapText="1"/>
    </xf>
    <xf numFmtId="0" fontId="12" fillId="0" borderId="0" xfId="0" applyFont="1" applyFill="1" applyAlignment="1">
      <alignment vertical="top" wrapText="1"/>
    </xf>
    <xf numFmtId="0" fontId="4" fillId="0" borderId="0" xfId="0" applyFont="1">
      <alignment vertical="top" wrapText="1"/>
    </xf>
    <xf numFmtId="0" fontId="4" fillId="0" borderId="0" xfId="0" applyFont="1" applyFill="1">
      <alignment vertical="top" wrapText="1"/>
    </xf>
    <xf numFmtId="0" fontId="1" fillId="0" borderId="1" xfId="0" applyFont="1" applyFill="1" applyBorder="1" applyAlignment="1">
      <alignment vertical="top"/>
    </xf>
    <xf numFmtId="0" fontId="1" fillId="0" borderId="1" xfId="0" applyFont="1" applyFill="1" applyBorder="1" applyAlignment="1">
      <alignment horizontal="center" vertical="top"/>
    </xf>
    <xf numFmtId="0" fontId="1" fillId="0" borderId="0" xfId="0" applyFont="1" applyFill="1" applyAlignment="1">
      <alignment vertical="top" wrapText="1"/>
    </xf>
    <xf numFmtId="0" fontId="0" fillId="0" borderId="0" xfId="0" applyAlignment="1">
      <alignment vertical="top" wrapText="1"/>
    </xf>
    <xf numFmtId="0" fontId="4" fillId="0" borderId="0" xfId="0" applyFont="1" applyFill="1" applyBorder="1">
      <alignment vertical="top" wrapText="1"/>
    </xf>
    <xf numFmtId="0" fontId="4" fillId="0" borderId="0" xfId="0" applyFont="1" applyFill="1">
      <alignment vertical="top" wrapText="1"/>
    </xf>
    <xf numFmtId="0" fontId="0" fillId="0" borderId="0" xfId="0" applyFill="1">
      <alignment vertical="top" wrapText="1"/>
    </xf>
    <xf numFmtId="0" fontId="4" fillId="0" borderId="0" xfId="0" applyFont="1" applyAlignment="1">
      <alignment vertical="top" wrapText="1"/>
    </xf>
    <xf numFmtId="0" fontId="10" fillId="0" borderId="0" xfId="0" applyFont="1" applyFill="1" applyBorder="1" applyAlignment="1">
      <alignment vertical="top" wrapText="1"/>
    </xf>
    <xf numFmtId="0" fontId="4" fillId="0" borderId="0" xfId="0" applyFont="1">
      <alignment vertical="top" wrapText="1"/>
    </xf>
    <xf numFmtId="0" fontId="4" fillId="0" borderId="0" xfId="0" applyFont="1" applyAlignment="1">
      <alignment vertical="center" wrapText="1"/>
    </xf>
    <xf numFmtId="0" fontId="0" fillId="0" borderId="0" xfId="0" applyAlignment="1">
      <alignment vertical="center" wrapText="1"/>
    </xf>
    <xf numFmtId="0" fontId="0" fillId="0" borderId="0" xfId="0" applyFill="1">
      <alignment vertical="top" wrapText="1"/>
    </xf>
    <xf numFmtId="0" fontId="0" fillId="0" borderId="0" xfId="0">
      <alignment vertical="top" wrapText="1"/>
    </xf>
    <xf numFmtId="0" fontId="0" fillId="0" borderId="0" xfId="0" applyAlignment="1">
      <alignment vertical="top" wrapText="1"/>
    </xf>
    <xf numFmtId="0" fontId="4" fillId="0" borderId="0" xfId="0" applyFont="1">
      <alignment vertical="top" wrapText="1"/>
    </xf>
    <xf numFmtId="0" fontId="47" fillId="0" borderId="0" xfId="0" applyFont="1" applyAlignment="1">
      <alignment vertical="center" wrapText="1"/>
    </xf>
    <xf numFmtId="0" fontId="1" fillId="0" borderId="0" xfId="0" applyFont="1" applyAlignment="1">
      <alignment vertical="center" wrapText="1"/>
    </xf>
    <xf numFmtId="0" fontId="5" fillId="0" borderId="0" xfId="3" applyAlignment="1" applyProtection="1">
      <alignment vertical="top" wrapText="1"/>
    </xf>
    <xf numFmtId="0" fontId="0" fillId="0" borderId="0" xfId="0">
      <alignment vertical="top" wrapText="1"/>
    </xf>
    <xf numFmtId="0" fontId="4" fillId="0" borderId="0" xfId="0" applyFont="1" applyFill="1">
      <alignment vertical="top" wrapText="1"/>
    </xf>
    <xf numFmtId="0" fontId="1" fillId="0" borderId="2" xfId="0" applyFont="1" applyBorder="1" applyAlignment="1">
      <alignment vertical="center" wrapText="1"/>
    </xf>
    <xf numFmtId="0" fontId="4" fillId="0" borderId="2" xfId="0" applyFont="1" applyBorder="1" applyAlignment="1">
      <alignment vertical="center" wrapText="1"/>
    </xf>
    <xf numFmtId="0" fontId="4" fillId="0" borderId="11" xfId="0" applyFont="1" applyBorder="1" applyAlignment="1">
      <alignment vertical="center" wrapText="1"/>
    </xf>
    <xf numFmtId="0" fontId="31" fillId="0" borderId="0" xfId="0" applyFont="1" applyFill="1" applyAlignment="1">
      <alignment vertical="top"/>
    </xf>
    <xf numFmtId="0" fontId="23" fillId="0" borderId="0" xfId="0" applyFont="1" applyFill="1" applyAlignment="1">
      <alignment vertical="top"/>
    </xf>
    <xf numFmtId="0" fontId="0" fillId="0" borderId="0" xfId="0">
      <alignment vertical="top" wrapText="1"/>
    </xf>
    <xf numFmtId="0" fontId="8" fillId="13" borderId="1" xfId="0" applyFont="1" applyFill="1" applyBorder="1" applyAlignment="1">
      <alignment vertical="center" wrapText="1"/>
    </xf>
    <xf numFmtId="0" fontId="8" fillId="13" borderId="0" xfId="0" applyFont="1" applyFill="1">
      <alignment vertical="top" wrapText="1"/>
    </xf>
    <xf numFmtId="0" fontId="10" fillId="9" borderId="1" xfId="0" applyFont="1" applyFill="1" applyBorder="1" applyAlignment="1">
      <alignment horizontal="left"/>
    </xf>
    <xf numFmtId="0" fontId="1" fillId="0" borderId="1" xfId="0" applyFont="1" applyBorder="1" applyAlignment="1"/>
    <xf numFmtId="0" fontId="10" fillId="0" borderId="2" xfId="0" applyFont="1" applyFill="1" applyBorder="1" applyAlignment="1">
      <alignment vertical="center" wrapText="1"/>
    </xf>
    <xf numFmtId="0" fontId="10" fillId="9" borderId="1" xfId="0" applyFont="1" applyFill="1" applyBorder="1" applyAlignment="1">
      <alignment horizontal="center" vertical="top" wrapText="1"/>
    </xf>
    <xf numFmtId="0" fontId="0" fillId="0" borderId="0" xfId="0" applyFill="1">
      <alignment vertical="top" wrapText="1"/>
    </xf>
    <xf numFmtId="0" fontId="9" fillId="9" borderId="1" xfId="0" applyFont="1" applyFill="1" applyBorder="1" applyAlignment="1">
      <alignment horizontal="center" vertical="center" wrapText="1"/>
    </xf>
    <xf numFmtId="0" fontId="1" fillId="0" borderId="0" xfId="0" applyFont="1">
      <alignment vertical="top" wrapText="1"/>
    </xf>
    <xf numFmtId="0" fontId="1" fillId="0" borderId="4" xfId="0" applyFont="1" applyFill="1" applyBorder="1" applyAlignment="1">
      <alignment vertical="top" wrapText="1"/>
    </xf>
    <xf numFmtId="0" fontId="1" fillId="11" borderId="9" xfId="0" applyFont="1" applyFill="1" applyBorder="1" applyAlignment="1">
      <alignment vertical="center"/>
    </xf>
    <xf numFmtId="0" fontId="4" fillId="11" borderId="4" xfId="0" applyFont="1" applyFill="1" applyBorder="1" applyAlignment="1">
      <alignment vertical="top" wrapText="1"/>
    </xf>
    <xf numFmtId="0" fontId="1" fillId="11" borderId="1" xfId="0" applyFont="1" applyFill="1" applyBorder="1" applyAlignment="1">
      <alignment horizontal="center" vertical="top" wrapText="1"/>
    </xf>
    <xf numFmtId="0" fontId="1" fillId="11" borderId="9" xfId="0" applyFont="1" applyFill="1" applyBorder="1" applyAlignment="1">
      <alignment horizontal="left" vertical="top"/>
    </xf>
    <xf numFmtId="0" fontId="4" fillId="11" borderId="9" xfId="0" applyFont="1" applyFill="1" applyBorder="1" applyAlignment="1">
      <alignment vertical="center"/>
    </xf>
    <xf numFmtId="0" fontId="4" fillId="11" borderId="4" xfId="0" applyFont="1" applyFill="1" applyBorder="1" applyAlignment="1">
      <alignment vertical="center"/>
    </xf>
    <xf numFmtId="0" fontId="1" fillId="0" borderId="0" xfId="0" applyFont="1" applyFill="1">
      <alignment vertical="top" wrapText="1"/>
    </xf>
    <xf numFmtId="0" fontId="1" fillId="0" borderId="0" xfId="0" applyFont="1" applyFill="1" applyBorder="1" applyAlignment="1"/>
    <xf numFmtId="0" fontId="72" fillId="0" borderId="0" xfId="0" applyFont="1" applyFill="1" applyBorder="1" applyAlignment="1"/>
    <xf numFmtId="0" fontId="72" fillId="0" borderId="0" xfId="0" applyFont="1" applyFill="1" applyBorder="1" applyAlignment="1">
      <alignment horizontal="center" vertical="top"/>
    </xf>
    <xf numFmtId="0" fontId="72" fillId="0" borderId="0" xfId="0" applyFont="1" applyFill="1" applyBorder="1" applyAlignment="1">
      <alignment vertical="top"/>
    </xf>
    <xf numFmtId="49" fontId="72" fillId="0" borderId="0" xfId="0" applyNumberFormat="1" applyFont="1" applyFill="1" applyBorder="1" applyAlignment="1">
      <alignment horizontal="center" vertical="top"/>
    </xf>
    <xf numFmtId="0" fontId="1" fillId="13" borderId="1" xfId="0" applyFont="1" applyFill="1" applyBorder="1" applyAlignment="1">
      <alignment horizontal="center" vertical="top"/>
    </xf>
    <xf numFmtId="0" fontId="1" fillId="13" borderId="1" xfId="0" applyFont="1" applyFill="1" applyBorder="1" applyAlignment="1">
      <alignment horizontal="left" vertical="top" wrapText="1"/>
    </xf>
    <xf numFmtId="0" fontId="1" fillId="13" borderId="1" xfId="0" applyFont="1" applyFill="1" applyBorder="1" applyAlignment="1">
      <alignment horizontal="center" vertical="top" wrapText="1"/>
    </xf>
    <xf numFmtId="0" fontId="10" fillId="0" borderId="2" xfId="0" applyFont="1" applyFill="1" applyBorder="1" applyAlignment="1">
      <alignment vertical="center" wrapText="1"/>
    </xf>
    <xf numFmtId="0" fontId="10" fillId="9" borderId="1" xfId="0" applyFont="1" applyFill="1" applyBorder="1" applyAlignment="1">
      <alignment horizontal="center" vertical="top" wrapText="1"/>
    </xf>
    <xf numFmtId="0" fontId="1" fillId="0" borderId="1" xfId="0" applyFont="1" applyFill="1" applyBorder="1" applyAlignment="1">
      <alignment horizontal="left" vertical="top" wrapText="1"/>
    </xf>
    <xf numFmtId="0" fontId="0" fillId="0" borderId="0" xfId="0" applyFill="1">
      <alignment vertical="top" wrapText="1"/>
    </xf>
    <xf numFmtId="0" fontId="10" fillId="0" borderId="0" xfId="0" applyFont="1" applyFill="1">
      <alignment vertical="top" wrapText="1"/>
    </xf>
    <xf numFmtId="0" fontId="1" fillId="0" borderId="9" xfId="0" applyFont="1" applyFill="1" applyBorder="1" applyAlignment="1">
      <alignment horizontal="left" vertical="top" wrapText="1"/>
    </xf>
    <xf numFmtId="0" fontId="4" fillId="0" borderId="0" xfId="0" applyFont="1" applyFill="1" applyBorder="1" applyAlignment="1">
      <alignment horizontal="left" vertical="top" wrapText="1"/>
    </xf>
    <xf numFmtId="0" fontId="10" fillId="0" borderId="0" xfId="0" applyFont="1" applyFill="1" applyBorder="1" applyAlignment="1">
      <alignment horizontal="left" vertical="top" wrapText="1"/>
    </xf>
    <xf numFmtId="0" fontId="1" fillId="0" borderId="0" xfId="0" applyFont="1" applyFill="1" applyAlignment="1">
      <alignment vertical="top" wrapText="1"/>
    </xf>
    <xf numFmtId="0" fontId="1" fillId="0" borderId="0" xfId="0" applyFont="1" applyFill="1" applyBorder="1" applyAlignment="1">
      <alignment vertical="top" wrapText="1"/>
    </xf>
    <xf numFmtId="0" fontId="4" fillId="0" borderId="1" xfId="0" applyFont="1" applyFill="1" applyBorder="1" applyAlignment="1">
      <alignment vertical="top" wrapText="1"/>
    </xf>
    <xf numFmtId="0" fontId="1" fillId="0" borderId="2" xfId="0" applyFont="1" applyFill="1" applyBorder="1" applyAlignment="1">
      <alignment vertical="top" wrapText="1"/>
    </xf>
    <xf numFmtId="0" fontId="4" fillId="0" borderId="9" xfId="0" applyFont="1" applyFill="1" applyBorder="1" applyAlignment="1">
      <alignment vertical="top" wrapText="1"/>
    </xf>
    <xf numFmtId="0" fontId="4" fillId="0" borderId="1" xfId="0" applyFont="1" applyFill="1" applyBorder="1" applyAlignment="1">
      <alignment horizontal="center" vertical="top" wrapText="1"/>
    </xf>
    <xf numFmtId="0" fontId="4" fillId="0" borderId="0" xfId="0" applyFont="1" applyFill="1">
      <alignment vertical="top" wrapText="1"/>
    </xf>
    <xf numFmtId="0" fontId="72" fillId="0" borderId="0" xfId="0" applyFont="1" applyFill="1">
      <alignment vertical="top" wrapText="1"/>
    </xf>
    <xf numFmtId="0" fontId="10" fillId="0" borderId="0" xfId="0" applyFont="1" applyAlignment="1"/>
    <xf numFmtId="0" fontId="1" fillId="0" borderId="0" xfId="0" applyFont="1">
      <alignment vertical="top" wrapText="1"/>
    </xf>
    <xf numFmtId="0" fontId="1" fillId="0" borderId="0" xfId="0" applyNumberFormat="1" applyFont="1" applyFill="1" applyAlignment="1">
      <alignment horizontal="center" vertical="top" wrapText="1"/>
    </xf>
    <xf numFmtId="0" fontId="1" fillId="0" borderId="0" xfId="0" applyNumberFormat="1" applyFont="1" applyFill="1" applyBorder="1" applyAlignment="1">
      <alignment horizontal="center" vertical="top" wrapText="1"/>
    </xf>
    <xf numFmtId="0" fontId="10" fillId="0" borderId="0" xfId="0" applyFont="1">
      <alignment vertical="top" wrapText="1"/>
    </xf>
    <xf numFmtId="0" fontId="4" fillId="0" borderId="1" xfId="0" applyFont="1" applyFill="1" applyBorder="1" applyAlignment="1">
      <alignment horizontal="left" vertical="top" wrapText="1"/>
    </xf>
    <xf numFmtId="0" fontId="0" fillId="0" borderId="0" xfId="0">
      <alignment vertical="top" wrapText="1"/>
    </xf>
    <xf numFmtId="0" fontId="4" fillId="0" borderId="0" xfId="0" applyFont="1" applyFill="1" applyBorder="1" applyAlignment="1">
      <alignment vertical="top" wrapText="1"/>
    </xf>
    <xf numFmtId="0" fontId="1" fillId="0" borderId="1" xfId="0" applyFont="1" applyFill="1" applyBorder="1" applyAlignment="1">
      <alignment vertical="top" wrapText="1"/>
    </xf>
    <xf numFmtId="0" fontId="4" fillId="0" borderId="1" xfId="0" applyFont="1" applyFill="1" applyBorder="1" applyAlignment="1">
      <alignment vertical="top" wrapText="1"/>
    </xf>
    <xf numFmtId="0" fontId="4" fillId="0" borderId="9" xfId="0" applyFont="1" applyFill="1" applyBorder="1" applyAlignment="1">
      <alignment vertical="top" wrapText="1"/>
    </xf>
    <xf numFmtId="0" fontId="4" fillId="0" borderId="3" xfId="0" applyFont="1" applyFill="1" applyBorder="1" applyAlignment="1">
      <alignment vertical="top" wrapText="1"/>
    </xf>
    <xf numFmtId="0" fontId="10" fillId="0" borderId="0" xfId="0" applyFont="1" applyAlignment="1">
      <alignment horizontal="left" vertical="top" wrapText="1"/>
    </xf>
    <xf numFmtId="0" fontId="4" fillId="0" borderId="0" xfId="0" applyFont="1" applyAlignment="1">
      <alignment horizontal="left" vertical="top" wrapText="1"/>
    </xf>
    <xf numFmtId="0" fontId="1" fillId="0" borderId="0" xfId="0" applyFont="1" applyAlignment="1">
      <alignment horizontal="left" vertical="top" wrapText="1"/>
    </xf>
    <xf numFmtId="0" fontId="2" fillId="0" borderId="0" xfId="0" applyFont="1" applyAlignment="1">
      <alignment vertical="top" wrapText="1"/>
    </xf>
    <xf numFmtId="0" fontId="8" fillId="0" borderId="4" xfId="0" applyFont="1" applyFill="1" applyBorder="1" applyAlignment="1">
      <alignment vertical="top" wrapText="1"/>
    </xf>
    <xf numFmtId="0" fontId="48" fillId="9" borderId="1" xfId="0" applyFont="1" applyFill="1" applyBorder="1" applyAlignment="1">
      <alignment horizontal="center" vertical="center" wrapText="1"/>
    </xf>
    <xf numFmtId="0" fontId="8" fillId="9" borderId="1" xfId="0" applyFont="1" applyFill="1" applyBorder="1" applyAlignment="1">
      <alignment horizontal="center" vertical="center" wrapText="1"/>
    </xf>
    <xf numFmtId="0" fontId="8" fillId="0" borderId="1" xfId="0" applyFont="1" applyFill="1" applyBorder="1" applyAlignment="1">
      <alignment vertical="top" wrapText="1"/>
    </xf>
    <xf numFmtId="0" fontId="48" fillId="9" borderId="9" xfId="0" applyFont="1" applyFill="1" applyBorder="1" applyAlignment="1">
      <alignment horizontal="center" vertical="center" wrapText="1"/>
    </xf>
    <xf numFmtId="0" fontId="48" fillId="9" borderId="3" xfId="0" applyFont="1" applyFill="1" applyBorder="1" applyAlignment="1">
      <alignment horizontal="center" vertical="center" wrapText="1"/>
    </xf>
    <xf numFmtId="0" fontId="58" fillId="0" borderId="4" xfId="0" applyFont="1" applyFill="1" applyBorder="1" applyAlignment="1">
      <alignment vertical="top" wrapText="1"/>
    </xf>
    <xf numFmtId="0" fontId="48" fillId="9" borderId="1" xfId="0" applyFont="1" applyFill="1" applyBorder="1" applyAlignment="1">
      <alignment vertical="top" wrapText="1"/>
    </xf>
    <xf numFmtId="0" fontId="4" fillId="0" borderId="0" xfId="0" applyFont="1">
      <alignment vertical="top" wrapText="1"/>
    </xf>
    <xf numFmtId="0" fontId="4" fillId="0" borderId="3" xfId="0" applyFont="1" applyBorder="1">
      <alignment vertical="top" wrapText="1"/>
    </xf>
    <xf numFmtId="0" fontId="4" fillId="0" borderId="0" xfId="0" applyFont="1" applyAlignment="1">
      <alignment vertical="center" wrapText="1"/>
    </xf>
    <xf numFmtId="0" fontId="4" fillId="13" borderId="9" xfId="0" applyFont="1" applyFill="1" applyBorder="1" applyAlignment="1">
      <alignment vertical="top" wrapText="1"/>
    </xf>
    <xf numFmtId="0" fontId="4" fillId="13" borderId="4" xfId="0" applyFont="1" applyFill="1" applyBorder="1" applyAlignment="1">
      <alignment vertical="top" wrapText="1"/>
    </xf>
    <xf numFmtId="0" fontId="31" fillId="11" borderId="21" xfId="0" applyFont="1" applyFill="1" applyBorder="1" applyAlignment="1">
      <alignment vertical="center" wrapText="1"/>
    </xf>
    <xf numFmtId="0" fontId="4" fillId="0" borderId="0" xfId="0" applyFont="1" applyAlignment="1">
      <alignment horizontal="left" vertical="center" wrapText="1"/>
    </xf>
    <xf numFmtId="0" fontId="10" fillId="0" borderId="0" xfId="0" applyFont="1" applyAlignment="1">
      <alignment horizontal="left" vertical="center" wrapText="1"/>
    </xf>
    <xf numFmtId="0" fontId="10" fillId="11" borderId="1" xfId="0" applyFont="1" applyFill="1" applyBorder="1" applyAlignment="1">
      <alignment horizontal="center" vertical="top"/>
    </xf>
    <xf numFmtId="0" fontId="10" fillId="0" borderId="0" xfId="0" applyFont="1" applyAlignment="1">
      <alignment wrapText="1"/>
    </xf>
    <xf numFmtId="0" fontId="10" fillId="11" borderId="9" xfId="0" applyFont="1" applyFill="1" applyBorder="1" applyAlignment="1">
      <alignment horizontal="center" vertical="top" wrapText="1"/>
    </xf>
    <xf numFmtId="0" fontId="10" fillId="11" borderId="3" xfId="0" applyFont="1" applyFill="1" applyBorder="1" applyAlignment="1">
      <alignment horizontal="center" vertical="top" wrapText="1"/>
    </xf>
    <xf numFmtId="0" fontId="4" fillId="0" borderId="0" xfId="0" applyFont="1" applyFill="1">
      <alignment vertical="top" wrapText="1"/>
    </xf>
    <xf numFmtId="0" fontId="4" fillId="0" borderId="12" xfId="0" applyFont="1" applyFill="1" applyBorder="1" applyAlignment="1">
      <alignment vertical="top" wrapText="1"/>
    </xf>
    <xf numFmtId="0" fontId="4" fillId="0" borderId="31" xfId="0" applyFont="1" applyFill="1" applyBorder="1" applyAlignment="1">
      <alignment vertical="top" wrapText="1"/>
    </xf>
    <xf numFmtId="0" fontId="6" fillId="0" borderId="3" xfId="0" applyFont="1" applyFill="1" applyBorder="1" applyAlignment="1">
      <alignment vertical="top" wrapText="1"/>
    </xf>
    <xf numFmtId="0" fontId="6" fillId="0" borderId="31" xfId="0" applyFont="1" applyBorder="1" applyAlignment="1">
      <alignment vertical="top" wrapText="1"/>
    </xf>
    <xf numFmtId="0" fontId="6" fillId="0" borderId="11" xfId="0" applyFont="1" applyFill="1" applyBorder="1" applyAlignment="1">
      <alignment vertical="top" wrapText="1"/>
    </xf>
    <xf numFmtId="0" fontId="6" fillId="0" borderId="31" xfId="0" applyFont="1" applyFill="1" applyBorder="1" applyAlignment="1">
      <alignment vertical="top" wrapText="1"/>
    </xf>
    <xf numFmtId="0" fontId="6" fillId="0" borderId="67" xfId="0" applyFont="1" applyFill="1" applyBorder="1" applyAlignment="1">
      <alignment vertical="top" wrapText="1"/>
    </xf>
    <xf numFmtId="0" fontId="6" fillId="0" borderId="61" xfId="0" applyFont="1" applyFill="1" applyBorder="1" applyAlignment="1">
      <alignment vertical="top" wrapText="1"/>
    </xf>
    <xf numFmtId="0" fontId="6" fillId="0" borderId="72" xfId="0" applyFont="1" applyFill="1" applyBorder="1" applyAlignment="1">
      <alignment vertical="top" wrapText="1"/>
    </xf>
    <xf numFmtId="0" fontId="1" fillId="0" borderId="0" xfId="0" applyFont="1">
      <alignment vertical="top" wrapText="1"/>
    </xf>
    <xf numFmtId="0" fontId="1" fillId="0" borderId="0" xfId="0" applyFont="1" applyAlignment="1"/>
    <xf numFmtId="164" fontId="8" fillId="13" borderId="9" xfId="0" applyNumberFormat="1" applyFont="1" applyFill="1" applyBorder="1" applyAlignment="1">
      <alignment vertical="top"/>
    </xf>
    <xf numFmtId="0" fontId="8" fillId="13" borderId="3" xfId="0" applyFont="1" applyFill="1" applyBorder="1" applyAlignment="1">
      <alignment horizontal="center" vertical="top" wrapText="1"/>
    </xf>
    <xf numFmtId="0" fontId="8" fillId="13" borderId="84" xfId="0" applyFont="1" applyFill="1" applyBorder="1" applyAlignment="1">
      <alignment horizontal="center" vertical="top" wrapText="1"/>
    </xf>
    <xf numFmtId="0" fontId="8" fillId="13" borderId="11" xfId="0" applyFont="1" applyFill="1" applyBorder="1" applyAlignment="1">
      <alignment horizontal="center" vertical="top" wrapText="1"/>
    </xf>
    <xf numFmtId="0" fontId="8" fillId="13" borderId="31" xfId="0" applyFont="1" applyFill="1" applyBorder="1" applyAlignment="1">
      <alignment horizontal="center" vertical="top" wrapText="1"/>
    </xf>
    <xf numFmtId="0" fontId="6" fillId="13" borderId="1" xfId="0" applyFont="1" applyFill="1" applyBorder="1" applyAlignment="1">
      <alignment horizontal="left" vertical="top" wrapText="1"/>
    </xf>
    <xf numFmtId="164" fontId="6" fillId="13" borderId="1" xfId="0" applyNumberFormat="1" applyFont="1" applyFill="1" applyBorder="1" applyAlignment="1">
      <alignment horizontal="left" vertical="top" wrapText="1"/>
    </xf>
    <xf numFmtId="166" fontId="6" fillId="13" borderId="1" xfId="0" applyNumberFormat="1" applyFont="1" applyFill="1" applyBorder="1" applyAlignment="1">
      <alignment horizontal="left" vertical="top" wrapText="1"/>
    </xf>
    <xf numFmtId="49" fontId="6" fillId="13" borderId="1" xfId="0" applyNumberFormat="1" applyFont="1" applyFill="1" applyBorder="1" applyAlignment="1">
      <alignment horizontal="center" vertical="top" wrapText="1"/>
    </xf>
    <xf numFmtId="0" fontId="6" fillId="13" borderId="3" xfId="0" applyFont="1" applyFill="1" applyBorder="1" applyAlignment="1">
      <alignment horizontal="left" vertical="top" wrapText="1"/>
    </xf>
    <xf numFmtId="0" fontId="6" fillId="13" borderId="7" xfId="0" applyFont="1" applyFill="1" applyBorder="1" applyAlignment="1">
      <alignment horizontal="left" vertical="top" wrapText="1"/>
    </xf>
    <xf numFmtId="0" fontId="6" fillId="13" borderId="0" xfId="0" applyFont="1" applyFill="1" applyBorder="1" applyAlignment="1">
      <alignment horizontal="left" vertical="top" wrapText="1"/>
    </xf>
    <xf numFmtId="0" fontId="1" fillId="13" borderId="1" xfId="0" applyFont="1" applyFill="1" applyBorder="1" applyAlignment="1">
      <alignment horizontal="center"/>
    </xf>
    <xf numFmtId="0" fontId="20" fillId="2" borderId="9" xfId="0" applyFont="1" applyFill="1" applyBorder="1" applyAlignment="1">
      <alignment horizontal="center" vertical="center" wrapText="1"/>
    </xf>
    <xf numFmtId="0" fontId="17" fillId="0" borderId="9" xfId="0" applyFont="1" applyBorder="1" applyAlignment="1">
      <alignment horizontal="center" vertical="top" wrapText="1"/>
    </xf>
    <xf numFmtId="0" fontId="20" fillId="2" borderId="3" xfId="0" applyFont="1" applyFill="1" applyBorder="1" applyAlignment="1">
      <alignment horizontal="center" vertical="center" wrapText="1"/>
    </xf>
    <xf numFmtId="49" fontId="17" fillId="0" borderId="3" xfId="0" applyNumberFormat="1" applyFont="1" applyFill="1" applyBorder="1" applyAlignment="1">
      <alignment horizontal="center" vertical="top" wrapText="1"/>
    </xf>
    <xf numFmtId="0" fontId="20" fillId="9" borderId="1" xfId="0" applyFont="1" applyFill="1" applyBorder="1" applyAlignment="1">
      <alignment vertical="center" wrapText="1"/>
    </xf>
    <xf numFmtId="0" fontId="17" fillId="0" borderId="1" xfId="0" applyFont="1" applyBorder="1" applyAlignment="1">
      <alignment horizontal="center" vertical="center" wrapText="1"/>
    </xf>
    <xf numFmtId="0" fontId="48" fillId="9" borderId="1" xfId="0" applyFont="1" applyFill="1" applyBorder="1" applyAlignment="1">
      <alignment horizontal="center" vertical="top" wrapText="1"/>
    </xf>
    <xf numFmtId="0" fontId="8" fillId="17" borderId="1" xfId="0" applyFont="1" applyFill="1" applyBorder="1" applyAlignment="1">
      <alignment horizontal="center" vertical="center" wrapText="1"/>
    </xf>
    <xf numFmtId="0" fontId="8" fillId="17" borderId="1" xfId="0" applyFont="1" applyFill="1" applyBorder="1" applyAlignment="1">
      <alignment vertical="center" wrapText="1"/>
    </xf>
    <xf numFmtId="0" fontId="8" fillId="13" borderId="1" xfId="0" applyFont="1" applyFill="1" applyBorder="1" applyAlignment="1">
      <alignment horizontal="center" vertical="center" wrapText="1"/>
    </xf>
    <xf numFmtId="0" fontId="4" fillId="13" borderId="4" xfId="0" applyFont="1" applyFill="1" applyBorder="1" applyAlignment="1">
      <alignment vertical="center"/>
    </xf>
    <xf numFmtId="0" fontId="1" fillId="13" borderId="9" xfId="0" applyFont="1" applyFill="1" applyBorder="1" applyAlignment="1">
      <alignment vertical="center"/>
    </xf>
    <xf numFmtId="0" fontId="1" fillId="0" borderId="0" xfId="0" applyFont="1" applyAlignment="1">
      <alignment horizontal="left" vertical="center" wrapText="1"/>
    </xf>
    <xf numFmtId="0" fontId="4" fillId="17" borderId="1" xfId="0" applyFont="1" applyFill="1" applyBorder="1" applyAlignment="1">
      <alignment vertical="top" wrapText="1"/>
    </xf>
    <xf numFmtId="165" fontId="1" fillId="0" borderId="1" xfId="0" applyNumberFormat="1" applyFont="1" applyBorder="1" applyAlignment="1">
      <alignment horizontal="left" vertical="center" wrapText="1"/>
    </xf>
    <xf numFmtId="16" fontId="4" fillId="0" borderId="9" xfId="0" applyNumberFormat="1" applyFont="1" applyFill="1" applyBorder="1" applyAlignment="1">
      <alignment vertical="top" wrapText="1"/>
    </xf>
    <xf numFmtId="167" fontId="6" fillId="13" borderId="1" xfId="0" applyNumberFormat="1" applyFont="1" applyFill="1" applyBorder="1" applyAlignment="1">
      <alignment horizontal="left" vertical="top" wrapText="1"/>
    </xf>
    <xf numFmtId="0" fontId="1" fillId="13" borderId="0" xfId="0" applyFont="1" applyFill="1">
      <alignment vertical="top" wrapText="1"/>
    </xf>
    <xf numFmtId="0" fontId="0" fillId="0" borderId="0" xfId="0" applyAlignment="1">
      <alignment horizontal="left" vertical="top" wrapText="1"/>
    </xf>
    <xf numFmtId="0" fontId="1" fillId="0" borderId="1" xfId="0" applyFont="1" applyFill="1" applyBorder="1" applyAlignment="1">
      <alignment horizontal="left" vertical="top" wrapText="1"/>
    </xf>
    <xf numFmtId="0" fontId="0" fillId="0" borderId="0" xfId="0">
      <alignment vertical="top" wrapText="1"/>
    </xf>
    <xf numFmtId="0" fontId="1" fillId="0" borderId="9" xfId="0" applyFont="1" applyFill="1" applyBorder="1" applyAlignment="1">
      <alignment vertical="top" wrapText="1"/>
    </xf>
    <xf numFmtId="0" fontId="6" fillId="13" borderId="0" xfId="0" applyFont="1" applyFill="1">
      <alignment vertical="top" wrapText="1"/>
    </xf>
    <xf numFmtId="0" fontId="0" fillId="0" borderId="0" xfId="0" applyAlignment="1">
      <alignment vertical="top" wrapText="1"/>
    </xf>
    <xf numFmtId="0" fontId="1" fillId="0" borderId="0" xfId="0" applyFont="1">
      <alignment vertical="top" wrapText="1"/>
    </xf>
    <xf numFmtId="0" fontId="17" fillId="13" borderId="9" xfId="0" applyFont="1" applyFill="1" applyBorder="1" applyAlignment="1">
      <alignment horizontal="center" vertical="top" wrapText="1"/>
    </xf>
    <xf numFmtId="49" fontId="17" fillId="13" borderId="3" xfId="0" applyNumberFormat="1" applyFont="1" applyFill="1" applyBorder="1" applyAlignment="1">
      <alignment horizontal="center" vertical="top" wrapText="1"/>
    </xf>
    <xf numFmtId="49" fontId="17" fillId="13" borderId="1" xfId="0" applyNumberFormat="1" applyFont="1" applyFill="1" applyBorder="1" applyAlignment="1">
      <alignment horizontal="center" vertical="top" wrapText="1"/>
    </xf>
    <xf numFmtId="0" fontId="1" fillId="0" borderId="0" xfId="0" applyFont="1" applyFill="1" applyBorder="1" applyAlignment="1">
      <alignment horizontal="left" vertical="top" wrapText="1"/>
    </xf>
    <xf numFmtId="0" fontId="10" fillId="0" borderId="0" xfId="0" applyFont="1" applyFill="1" applyBorder="1" applyAlignment="1">
      <alignment horizontal="left" vertical="top" wrapText="1"/>
    </xf>
    <xf numFmtId="0" fontId="4" fillId="0" borderId="0" xfId="0" applyFont="1" applyFill="1" applyBorder="1" applyAlignment="1">
      <alignment vertical="top" wrapText="1"/>
    </xf>
    <xf numFmtId="0" fontId="1" fillId="0" borderId="0" xfId="0" applyFont="1" applyFill="1" applyBorder="1" applyAlignment="1">
      <alignment vertical="top" wrapText="1"/>
    </xf>
    <xf numFmtId="0" fontId="0" fillId="0" borderId="0" xfId="0" applyAlignment="1">
      <alignment vertical="center" wrapText="1"/>
    </xf>
    <xf numFmtId="0" fontId="1" fillId="0" borderId="0" xfId="0" applyFont="1" applyAlignment="1"/>
    <xf numFmtId="49" fontId="1" fillId="13" borderId="1" xfId="0" applyNumberFormat="1" applyFont="1" applyFill="1" applyBorder="1" applyAlignment="1">
      <alignment horizontal="center" vertical="top" wrapText="1"/>
    </xf>
    <xf numFmtId="0" fontId="8" fillId="13" borderId="1" xfId="0" applyFont="1" applyFill="1" applyBorder="1" applyAlignment="1">
      <alignment vertical="top" wrapText="1"/>
    </xf>
    <xf numFmtId="0" fontId="0" fillId="0" borderId="0" xfId="0" applyAlignment="1">
      <alignment horizontal="left" vertical="center" wrapText="1"/>
    </xf>
    <xf numFmtId="0" fontId="1" fillId="0" borderId="0" xfId="0" applyFont="1">
      <alignment vertical="top" wrapText="1"/>
    </xf>
    <xf numFmtId="0" fontId="1" fillId="0" borderId="0" xfId="0" applyFont="1" applyAlignment="1"/>
    <xf numFmtId="0" fontId="1" fillId="0" borderId="0" xfId="5" applyFont="1" applyBorder="1"/>
    <xf numFmtId="0" fontId="10" fillId="0" borderId="0" xfId="5" applyFont="1" applyBorder="1" applyAlignment="1">
      <alignment horizontal="left"/>
    </xf>
    <xf numFmtId="0" fontId="1" fillId="0" borderId="0" xfId="5" applyFont="1"/>
    <xf numFmtId="0" fontId="1" fillId="0" borderId="0" xfId="5" applyFont="1" applyFill="1"/>
    <xf numFmtId="0" fontId="1" fillId="0" borderId="0" xfId="5" applyFont="1" applyAlignment="1">
      <alignment wrapText="1"/>
    </xf>
    <xf numFmtId="0" fontId="10" fillId="0" borderId="0" xfId="5" applyFont="1" applyBorder="1"/>
    <xf numFmtId="0" fontId="83" fillId="0" borderId="0" xfId="0" applyFont="1" applyAlignment="1"/>
    <xf numFmtId="0" fontId="83" fillId="0" borderId="0" xfId="0" applyFont="1" applyFill="1" applyAlignment="1"/>
    <xf numFmtId="0" fontId="83" fillId="0" borderId="0" xfId="0" applyFont="1" applyAlignment="1">
      <alignment wrapText="1"/>
    </xf>
    <xf numFmtId="0" fontId="19" fillId="2" borderId="1" xfId="5" applyFont="1" applyFill="1" applyBorder="1" applyAlignment="1">
      <alignment horizontal="left" wrapText="1"/>
    </xf>
    <xf numFmtId="0" fontId="19" fillId="2" borderId="1" xfId="5" applyFont="1" applyFill="1" applyBorder="1" applyAlignment="1">
      <alignment horizontal="center" wrapText="1"/>
    </xf>
    <xf numFmtId="0" fontId="19" fillId="9" borderId="1" xfId="5" applyFont="1" applyFill="1" applyBorder="1" applyAlignment="1">
      <alignment horizontal="center" wrapText="1"/>
    </xf>
    <xf numFmtId="0" fontId="19" fillId="2" borderId="4" xfId="5" applyFont="1" applyFill="1" applyBorder="1" applyAlignment="1">
      <alignment horizontal="center" wrapText="1"/>
    </xf>
    <xf numFmtId="0" fontId="19" fillId="2" borderId="5" xfId="5" applyFont="1" applyFill="1" applyBorder="1" applyAlignment="1">
      <alignment horizontal="center" wrapText="1"/>
    </xf>
    <xf numFmtId="0" fontId="19" fillId="2" borderId="6" xfId="5" applyFont="1" applyFill="1" applyBorder="1" applyAlignment="1">
      <alignment horizontal="center" wrapText="1"/>
    </xf>
    <xf numFmtId="0" fontId="19" fillId="2" borderId="7" xfId="5" applyFont="1" applyFill="1" applyBorder="1" applyAlignment="1">
      <alignment horizontal="center" wrapText="1"/>
    </xf>
    <xf numFmtId="0" fontId="19" fillId="2" borderId="8" xfId="5" applyFont="1" applyFill="1" applyBorder="1" applyAlignment="1">
      <alignment horizontal="center" wrapText="1"/>
    </xf>
    <xf numFmtId="0" fontId="19" fillId="2" borderId="3" xfId="5" applyFont="1" applyFill="1" applyBorder="1" applyAlignment="1">
      <alignment wrapText="1"/>
    </xf>
    <xf numFmtId="0" fontId="19" fillId="2" borderId="1" xfId="5" applyFont="1" applyFill="1" applyBorder="1" applyAlignment="1">
      <alignment wrapText="1"/>
    </xf>
    <xf numFmtId="0" fontId="19" fillId="2" borderId="8" xfId="5" applyFont="1" applyFill="1" applyBorder="1" applyAlignment="1">
      <alignment wrapText="1"/>
    </xf>
    <xf numFmtId="0" fontId="6" fillId="13" borderId="1" xfId="5" applyFont="1" applyFill="1" applyBorder="1" applyAlignment="1">
      <alignment horizontal="left" wrapText="1"/>
    </xf>
    <xf numFmtId="0" fontId="6" fillId="13" borderId="1" xfId="5" applyFont="1" applyFill="1" applyBorder="1" applyAlignment="1">
      <alignment horizontal="center"/>
    </xf>
    <xf numFmtId="9" fontId="6" fillId="13" borderId="1" xfId="6" applyNumberFormat="1" applyFont="1" applyFill="1" applyBorder="1" applyAlignment="1">
      <alignment horizontal="center"/>
    </xf>
    <xf numFmtId="0" fontId="6" fillId="13" borderId="4" xfId="5" applyFont="1" applyFill="1" applyBorder="1" applyAlignment="1">
      <alignment horizontal="center"/>
    </xf>
    <xf numFmtId="0" fontId="6" fillId="13" borderId="7" xfId="5" applyFont="1" applyFill="1" applyBorder="1" applyAlignment="1">
      <alignment horizontal="center"/>
    </xf>
    <xf numFmtId="0" fontId="6" fillId="13" borderId="8" xfId="5" applyFont="1" applyFill="1" applyBorder="1" applyAlignment="1">
      <alignment horizontal="center" wrapText="1"/>
    </xf>
    <xf numFmtId="0" fontId="6" fillId="13" borderId="8" xfId="5" applyFont="1" applyFill="1" applyBorder="1" applyAlignment="1">
      <alignment horizontal="center"/>
    </xf>
    <xf numFmtId="0" fontId="6" fillId="13" borderId="3" xfId="5" applyFont="1" applyFill="1" applyBorder="1" applyAlignment="1">
      <alignment horizontal="center"/>
    </xf>
    <xf numFmtId="0" fontId="0" fillId="13" borderId="0" xfId="0" applyFill="1">
      <alignment vertical="top" wrapText="1"/>
    </xf>
    <xf numFmtId="0" fontId="4" fillId="13" borderId="0" xfId="0" applyFont="1" applyFill="1">
      <alignment vertical="top" wrapText="1"/>
    </xf>
    <xf numFmtId="0" fontId="10" fillId="0" borderId="0" xfId="0" applyFont="1" applyAlignment="1">
      <alignment vertical="top" wrapText="1"/>
    </xf>
    <xf numFmtId="0" fontId="4" fillId="0" borderId="0" xfId="0" applyFont="1">
      <alignment vertical="top" wrapText="1"/>
    </xf>
    <xf numFmtId="0" fontId="72" fillId="0" borderId="0" xfId="0" applyFont="1">
      <alignment vertical="top" wrapText="1"/>
    </xf>
    <xf numFmtId="0" fontId="1" fillId="0" borderId="1" xfId="0" applyFont="1" applyFill="1" applyBorder="1" applyAlignment="1">
      <alignment horizontal="left" vertical="top" wrapText="1"/>
    </xf>
    <xf numFmtId="0" fontId="1" fillId="0" borderId="0" xfId="0" applyFont="1" applyFill="1" applyAlignment="1">
      <alignment vertical="top" wrapText="1"/>
    </xf>
    <xf numFmtId="0" fontId="1" fillId="11" borderId="1" xfId="0" applyFont="1" applyFill="1" applyBorder="1" applyAlignment="1">
      <alignment horizontal="center" vertical="top" wrapText="1"/>
    </xf>
    <xf numFmtId="0" fontId="1" fillId="0" borderId="1" xfId="0" applyFont="1" applyBorder="1" applyAlignment="1">
      <alignment horizontal="center" vertical="center" wrapText="1"/>
    </xf>
    <xf numFmtId="18" fontId="1" fillId="0" borderId="1" xfId="0" applyNumberFormat="1" applyFont="1" applyBorder="1" applyAlignment="1">
      <alignment horizontal="left" vertical="center" wrapText="1"/>
    </xf>
    <xf numFmtId="0" fontId="1" fillId="0" borderId="1" xfId="0" applyFont="1" applyBorder="1" applyAlignment="1">
      <alignment horizontal="left" vertical="center" wrapText="1"/>
    </xf>
    <xf numFmtId="0" fontId="10" fillId="9" borderId="3" xfId="0" applyFont="1" applyFill="1" applyBorder="1" applyAlignment="1">
      <alignment horizontal="center" vertical="center" wrapText="1"/>
    </xf>
    <xf numFmtId="0" fontId="1" fillId="0" borderId="0" xfId="0" applyFont="1">
      <alignment vertical="top" wrapText="1"/>
    </xf>
    <xf numFmtId="0" fontId="85" fillId="9" borderId="3" xfId="0" applyFont="1" applyFill="1" applyBorder="1" applyAlignment="1">
      <alignment horizontal="center" vertical="center" wrapText="1"/>
    </xf>
    <xf numFmtId="165" fontId="86" fillId="0" borderId="1" xfId="0" applyNumberFormat="1" applyFont="1" applyBorder="1" applyAlignment="1">
      <alignment horizontal="left" vertical="center" wrapText="1"/>
    </xf>
    <xf numFmtId="18" fontId="86" fillId="0" borderId="1" xfId="0" applyNumberFormat="1" applyFont="1" applyBorder="1" applyAlignment="1">
      <alignment horizontal="left" vertical="center" wrapText="1"/>
    </xf>
    <xf numFmtId="0" fontId="86" fillId="0" borderId="1" xfId="0" applyFont="1" applyBorder="1" applyAlignment="1">
      <alignment horizontal="left" vertical="center" wrapText="1"/>
    </xf>
    <xf numFmtId="0" fontId="48" fillId="9" borderId="1" xfId="0" applyFont="1" applyFill="1" applyBorder="1" applyAlignment="1">
      <alignment horizontal="center" vertical="center" wrapText="1"/>
    </xf>
    <xf numFmtId="0" fontId="4" fillId="17" borderId="1" xfId="0" applyFont="1" applyFill="1" applyBorder="1" applyAlignment="1">
      <alignment horizontal="center" vertical="center" wrapText="1"/>
    </xf>
    <xf numFmtId="0" fontId="4" fillId="13" borderId="1" xfId="0" applyFont="1" applyFill="1" applyBorder="1" applyAlignment="1">
      <alignment horizontal="center" vertical="center" wrapText="1"/>
    </xf>
    <xf numFmtId="0" fontId="0" fillId="0" borderId="0" xfId="0">
      <alignment vertical="top" wrapText="1"/>
    </xf>
    <xf numFmtId="0" fontId="1" fillId="0" borderId="0" xfId="0" applyFont="1" applyFill="1" applyBorder="1" applyAlignment="1">
      <alignment vertical="top" wrapText="1"/>
    </xf>
    <xf numFmtId="0" fontId="10" fillId="0" borderId="0" xfId="0" applyFont="1" applyAlignment="1">
      <alignment horizontal="left"/>
    </xf>
    <xf numFmtId="0" fontId="10" fillId="0" borderId="0" xfId="0" applyFont="1" applyAlignment="1"/>
    <xf numFmtId="0" fontId="4" fillId="0" borderId="0" xfId="0" applyFont="1">
      <alignment vertical="top" wrapText="1"/>
    </xf>
    <xf numFmtId="0" fontId="1" fillId="0" borderId="0" xfId="0" applyFont="1" applyAlignment="1">
      <alignment vertical="top"/>
    </xf>
    <xf numFmtId="0" fontId="4" fillId="0" borderId="0" xfId="0" applyFont="1">
      <alignment vertical="top" wrapText="1"/>
    </xf>
    <xf numFmtId="0" fontId="10" fillId="0" borderId="0" xfId="0" applyFont="1" applyAlignment="1">
      <alignment horizontal="left" vertical="center" wrapText="1"/>
    </xf>
    <xf numFmtId="0" fontId="4" fillId="0" borderId="0" xfId="0" applyFont="1" applyAlignment="1">
      <alignment horizontal="left" vertical="center" wrapText="1"/>
    </xf>
    <xf numFmtId="0" fontId="1" fillId="13" borderId="1" xfId="0" applyFont="1" applyFill="1" applyBorder="1" applyAlignment="1">
      <alignment vertical="center"/>
    </xf>
    <xf numFmtId="0" fontId="9" fillId="9" borderId="1" xfId="0" applyFont="1" applyFill="1" applyBorder="1" applyAlignment="1">
      <alignment horizontal="center" vertical="center" wrapText="1"/>
    </xf>
    <xf numFmtId="0" fontId="4" fillId="0" borderId="0" xfId="0" applyFont="1">
      <alignment vertical="top" wrapText="1"/>
    </xf>
    <xf numFmtId="0" fontId="4" fillId="0" borderId="0" xfId="0" applyFont="1" applyAlignment="1">
      <alignment horizontal="left" vertical="top" wrapText="1"/>
    </xf>
    <xf numFmtId="0" fontId="4" fillId="0" borderId="0" xfId="0" applyFont="1">
      <alignment vertical="top" wrapText="1"/>
    </xf>
    <xf numFmtId="0" fontId="4" fillId="0" borderId="0" xfId="0" applyFont="1" applyAlignment="1">
      <alignment vertical="center" wrapText="1"/>
    </xf>
    <xf numFmtId="0" fontId="10" fillId="0" borderId="0" xfId="0" applyFont="1" applyAlignment="1">
      <alignment horizontal="left" vertical="center" wrapText="1"/>
    </xf>
    <xf numFmtId="0" fontId="4" fillId="0" borderId="0" xfId="0" applyFont="1" applyAlignment="1">
      <alignment horizontal="left" vertical="center" wrapText="1"/>
    </xf>
    <xf numFmtId="0" fontId="8" fillId="13" borderId="1" xfId="0" applyFont="1" applyFill="1" applyBorder="1" applyAlignment="1">
      <alignment horizontal="left" vertical="top" wrapText="1"/>
    </xf>
    <xf numFmtId="0" fontId="4" fillId="0" borderId="1" xfId="0" applyFont="1" applyFill="1" applyBorder="1" applyAlignment="1">
      <alignment vertical="top" wrapText="1"/>
    </xf>
    <xf numFmtId="0" fontId="10" fillId="11" borderId="1" xfId="0" applyFont="1" applyFill="1" applyBorder="1">
      <alignment vertical="top" wrapText="1"/>
    </xf>
    <xf numFmtId="0" fontId="4" fillId="0" borderId="0" xfId="0" applyFont="1">
      <alignment vertical="top" wrapText="1"/>
    </xf>
    <xf numFmtId="0" fontId="0" fillId="0" borderId="0" xfId="0">
      <alignment vertical="top" wrapText="1"/>
    </xf>
    <xf numFmtId="0" fontId="1" fillId="0" borderId="0" xfId="0" applyFont="1">
      <alignment vertical="top" wrapText="1"/>
    </xf>
    <xf numFmtId="0" fontId="4" fillId="13" borderId="4" xfId="0" applyFont="1" applyFill="1" applyBorder="1" applyAlignment="1">
      <alignment vertical="center" wrapText="1"/>
    </xf>
    <xf numFmtId="0" fontId="4" fillId="13" borderId="9" xfId="0" applyFont="1" applyFill="1" applyBorder="1" applyAlignment="1">
      <alignment vertical="center"/>
    </xf>
    <xf numFmtId="0" fontId="84" fillId="13" borderId="1" xfId="0" applyFont="1" applyFill="1" applyBorder="1" applyAlignment="1">
      <alignment horizontal="center" vertical="top" wrapText="1"/>
    </xf>
    <xf numFmtId="0" fontId="1" fillId="0" borderId="1" xfId="0" applyFont="1" applyBorder="1" applyAlignment="1"/>
    <xf numFmtId="0" fontId="1" fillId="13" borderId="1" xfId="0" applyFont="1" applyFill="1" applyBorder="1" applyAlignment="1">
      <alignment vertical="top"/>
    </xf>
    <xf numFmtId="0" fontId="1" fillId="13" borderId="1" xfId="0" applyFont="1" applyFill="1" applyBorder="1" applyAlignment="1">
      <alignment horizontal="left" vertical="top"/>
    </xf>
    <xf numFmtId="0" fontId="4" fillId="13" borderId="9" xfId="0" applyFont="1" applyFill="1" applyBorder="1" applyAlignment="1">
      <alignment vertical="top" wrapText="1"/>
    </xf>
    <xf numFmtId="0" fontId="4" fillId="13" borderId="4" xfId="0" applyFont="1" applyFill="1" applyBorder="1" applyAlignment="1">
      <alignment vertical="top" wrapText="1"/>
    </xf>
    <xf numFmtId="0" fontId="1" fillId="0" borderId="0" xfId="0" applyFont="1">
      <alignment vertical="top" wrapText="1"/>
    </xf>
    <xf numFmtId="0" fontId="10" fillId="0" borderId="2" xfId="0" applyFont="1" applyFill="1" applyBorder="1" applyAlignment="1">
      <alignment vertical="center" wrapText="1"/>
    </xf>
    <xf numFmtId="0" fontId="10" fillId="9" borderId="1" xfId="0" applyFont="1" applyFill="1" applyBorder="1" applyAlignment="1">
      <alignment horizontal="center" vertical="top" wrapText="1"/>
    </xf>
    <xf numFmtId="0" fontId="10" fillId="9" borderId="9" xfId="0" applyFont="1" applyFill="1" applyBorder="1" applyAlignment="1">
      <alignment horizontal="center" vertical="top" wrapText="1"/>
    </xf>
    <xf numFmtId="0" fontId="1" fillId="0" borderId="1" xfId="0" applyFont="1" applyFill="1" applyBorder="1" applyAlignment="1">
      <alignment vertical="top" wrapText="1"/>
    </xf>
    <xf numFmtId="0" fontId="1" fillId="0" borderId="9" xfId="0" applyFont="1" applyFill="1" applyBorder="1" applyAlignment="1">
      <alignment vertical="top" wrapText="1"/>
    </xf>
    <xf numFmtId="0" fontId="10" fillId="0" borderId="0" xfId="0" applyFont="1" applyAlignment="1">
      <alignment horizontal="left"/>
    </xf>
    <xf numFmtId="0" fontId="10" fillId="0" borderId="0" xfId="0" applyFont="1" applyBorder="1" applyAlignment="1">
      <alignment wrapText="1"/>
    </xf>
    <xf numFmtId="0" fontId="4" fillId="0" borderId="0" xfId="0" applyFont="1" applyAlignment="1">
      <alignment horizontal="left"/>
    </xf>
    <xf numFmtId="0" fontId="4" fillId="0" borderId="0" xfId="0" applyFont="1" applyAlignment="1">
      <alignment vertical="top"/>
    </xf>
    <xf numFmtId="0" fontId="1" fillId="0" borderId="0" xfId="0" applyFont="1" applyAlignment="1">
      <alignment vertical="top"/>
    </xf>
    <xf numFmtId="0" fontId="1" fillId="0" borderId="0" xfId="0" applyFont="1" applyAlignment="1"/>
    <xf numFmtId="0" fontId="17" fillId="13" borderId="9" xfId="0" applyFont="1" applyFill="1" applyBorder="1" applyAlignment="1">
      <alignment vertical="top" wrapText="1"/>
    </xf>
    <xf numFmtId="0" fontId="17" fillId="13" borderId="1" xfId="0" applyFont="1" applyFill="1" applyBorder="1" applyAlignment="1">
      <alignment horizontal="center" vertical="top" wrapText="1"/>
    </xf>
    <xf numFmtId="0" fontId="71" fillId="17" borderId="1" xfId="0" applyFont="1" applyFill="1" applyBorder="1" applyAlignment="1">
      <alignment horizontal="left"/>
    </xf>
    <xf numFmtId="0" fontId="1" fillId="0" borderId="9" xfId="0" applyFont="1" applyFill="1" applyBorder="1" applyAlignment="1">
      <alignment horizontal="center" vertical="top" wrapText="1"/>
    </xf>
    <xf numFmtId="0" fontId="0" fillId="0" borderId="1" xfId="0" applyBorder="1" applyAlignment="1">
      <alignment horizontal="center"/>
    </xf>
    <xf numFmtId="0" fontId="8" fillId="18" borderId="1" xfId="0" applyFont="1" applyFill="1" applyBorder="1" applyAlignment="1">
      <alignment horizontal="center" vertical="center" wrapText="1"/>
    </xf>
    <xf numFmtId="0" fontId="8" fillId="18" borderId="1" xfId="0" applyFont="1" applyFill="1" applyBorder="1" applyAlignment="1">
      <alignment vertical="center" wrapText="1"/>
    </xf>
    <xf numFmtId="0" fontId="78" fillId="18" borderId="0" xfId="0" applyFont="1" applyFill="1">
      <alignment vertical="top" wrapText="1"/>
    </xf>
    <xf numFmtId="0" fontId="64" fillId="18" borderId="1" xfId="0" applyFont="1" applyFill="1" applyBorder="1" applyAlignment="1">
      <alignment horizontal="center" vertical="center" wrapText="1"/>
    </xf>
    <xf numFmtId="6" fontId="6" fillId="13" borderId="1" xfId="0" applyNumberFormat="1" applyFont="1" applyFill="1" applyBorder="1" applyAlignment="1">
      <alignment horizontal="left" vertical="center" wrapText="1"/>
    </xf>
    <xf numFmtId="6" fontId="6" fillId="13" borderId="1" xfId="0" applyNumberFormat="1" applyFont="1" applyFill="1" applyBorder="1" applyAlignment="1">
      <alignment horizontal="left" vertical="top" wrapText="1"/>
    </xf>
    <xf numFmtId="49" fontId="6" fillId="13" borderId="7" xfId="0" applyNumberFormat="1" applyFont="1" applyFill="1" applyBorder="1" applyAlignment="1">
      <alignment horizontal="left" vertical="top" wrapText="1"/>
    </xf>
    <xf numFmtId="3" fontId="1" fillId="13" borderId="1" xfId="0" applyNumberFormat="1" applyFont="1" applyFill="1" applyBorder="1" applyAlignment="1">
      <alignment horizontal="center" vertical="top" wrapText="1"/>
    </xf>
    <xf numFmtId="0" fontId="1" fillId="0" borderId="1" xfId="0" applyFont="1" applyBorder="1" applyAlignment="1">
      <alignment horizontal="left" vertical="center" wrapText="1"/>
    </xf>
    <xf numFmtId="0" fontId="1" fillId="0" borderId="1" xfId="0" applyFont="1" applyBorder="1" applyAlignment="1"/>
    <xf numFmtId="0" fontId="1" fillId="0" borderId="0" xfId="0" applyFont="1" applyAlignment="1">
      <alignment horizontal="left" vertical="center" wrapText="1"/>
    </xf>
    <xf numFmtId="0" fontId="1" fillId="13" borderId="1" xfId="0" applyFont="1" applyFill="1" applyBorder="1" applyAlignment="1">
      <alignment horizontal="center" vertical="center" wrapText="1"/>
    </xf>
    <xf numFmtId="0" fontId="8" fillId="18" borderId="1" xfId="0" applyFont="1" applyFill="1" applyBorder="1" applyAlignment="1">
      <alignment vertical="center" wrapText="1"/>
    </xf>
    <xf numFmtId="0" fontId="3" fillId="13" borderId="1" xfId="0" applyFont="1" applyFill="1" applyBorder="1">
      <alignment vertical="top" wrapText="1"/>
    </xf>
    <xf numFmtId="0" fontId="1" fillId="13" borderId="1" xfId="0" applyFont="1" applyFill="1" applyBorder="1">
      <alignment vertical="top" wrapText="1"/>
    </xf>
    <xf numFmtId="0" fontId="1" fillId="0" borderId="0" xfId="0" applyFont="1">
      <alignment vertical="top" wrapText="1"/>
    </xf>
    <xf numFmtId="0" fontId="8" fillId="0" borderId="1" xfId="0" applyFont="1" applyFill="1" applyBorder="1" applyAlignment="1">
      <alignment vertical="top" wrapText="1"/>
    </xf>
    <xf numFmtId="0" fontId="8" fillId="13" borderId="1" xfId="0" applyFont="1" applyFill="1" applyBorder="1" applyAlignment="1">
      <alignment vertical="center" wrapText="1"/>
    </xf>
    <xf numFmtId="0" fontId="87" fillId="13" borderId="1" xfId="0" applyFont="1" applyFill="1" applyBorder="1" applyAlignment="1">
      <alignment horizontal="left" vertical="top" wrapText="1"/>
    </xf>
    <xf numFmtId="0" fontId="87" fillId="0" borderId="9" xfId="0" applyFont="1" applyBorder="1" applyAlignment="1">
      <alignment vertical="top" wrapText="1"/>
    </xf>
    <xf numFmtId="0" fontId="87" fillId="13" borderId="9" xfId="0" applyFont="1" applyFill="1" applyBorder="1" applyAlignment="1">
      <alignment vertical="top" wrapText="1"/>
    </xf>
    <xf numFmtId="0" fontId="87" fillId="13" borderId="19" xfId="0" applyFont="1" applyFill="1" applyBorder="1" applyAlignment="1">
      <alignment horizontal="left" vertical="top" wrapText="1"/>
    </xf>
    <xf numFmtId="0" fontId="87" fillId="13" borderId="18" xfId="0" applyFont="1" applyFill="1" applyBorder="1" applyAlignment="1">
      <alignment vertical="top" wrapText="1"/>
    </xf>
    <xf numFmtId="0" fontId="87" fillId="13" borderId="17" xfId="0" applyFont="1" applyFill="1" applyBorder="1" applyAlignment="1">
      <alignment horizontal="left" vertical="top" wrapText="1"/>
    </xf>
    <xf numFmtId="0" fontId="87" fillId="0" borderId="10" xfId="0" applyFont="1" applyBorder="1" applyAlignment="1">
      <alignment vertical="top" wrapText="1"/>
    </xf>
    <xf numFmtId="0" fontId="87" fillId="13" borderId="14" xfId="0" applyFont="1" applyFill="1" applyBorder="1" applyAlignment="1">
      <alignment vertical="top" wrapText="1"/>
    </xf>
    <xf numFmtId="0" fontId="87" fillId="0" borderId="14" xfId="0" applyFont="1" applyBorder="1" applyAlignment="1">
      <alignment vertical="top" wrapText="1"/>
    </xf>
    <xf numFmtId="0" fontId="87" fillId="0" borderId="1" xfId="0" applyFont="1" applyBorder="1" applyAlignment="1">
      <alignment vertical="top" wrapText="1"/>
    </xf>
    <xf numFmtId="6" fontId="8" fillId="13" borderId="1" xfId="0" applyNumberFormat="1" applyFont="1" applyFill="1" applyBorder="1" applyAlignment="1">
      <alignment vertical="top" wrapText="1"/>
    </xf>
    <xf numFmtId="0" fontId="1" fillId="0" borderId="0" xfId="0" applyFont="1" applyFill="1" applyBorder="1" applyAlignment="1">
      <alignment horizontal="center" vertical="top" wrapText="1"/>
    </xf>
    <xf numFmtId="49" fontId="1" fillId="0" borderId="0" xfId="0" applyNumberFormat="1" applyFont="1" applyFill="1" applyBorder="1" applyAlignment="1">
      <alignment horizontal="center" vertical="top" wrapText="1"/>
    </xf>
    <xf numFmtId="0" fontId="1" fillId="19" borderId="1" xfId="0" applyFont="1" applyFill="1" applyBorder="1" applyAlignment="1">
      <alignment horizontal="center" vertical="top" wrapText="1"/>
    </xf>
    <xf numFmtId="0" fontId="80" fillId="0" borderId="0" xfId="0" applyFont="1" applyFill="1">
      <alignment vertical="top" wrapText="1"/>
    </xf>
    <xf numFmtId="49" fontId="1" fillId="13" borderId="1" xfId="0" applyNumberFormat="1" applyFont="1" applyFill="1" applyBorder="1" applyAlignment="1">
      <alignment horizontal="center" vertical="top"/>
    </xf>
    <xf numFmtId="0" fontId="1" fillId="0" borderId="0" xfId="0" applyFont="1" applyFill="1" applyBorder="1" applyAlignment="1">
      <alignment horizontal="left" vertical="top" wrapText="1"/>
    </xf>
    <xf numFmtId="0" fontId="10" fillId="0" borderId="0" xfId="0" applyFont="1" applyFill="1" applyBorder="1" applyAlignment="1">
      <alignment horizontal="left" vertical="top" wrapText="1"/>
    </xf>
    <xf numFmtId="0" fontId="1" fillId="0" borderId="1" xfId="0"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0" xfId="0" applyFont="1" applyFill="1" applyAlignment="1">
      <alignment vertical="top" wrapText="1"/>
    </xf>
    <xf numFmtId="0" fontId="1" fillId="0" borderId="0" xfId="0" applyFont="1" applyFill="1" applyBorder="1" applyAlignment="1">
      <alignment vertical="top" wrapText="1"/>
    </xf>
    <xf numFmtId="0" fontId="1" fillId="0" borderId="2" xfId="0" applyFont="1" applyFill="1" applyBorder="1" applyAlignment="1">
      <alignment vertical="top" wrapText="1"/>
    </xf>
    <xf numFmtId="0" fontId="1" fillId="0" borderId="0" xfId="0" applyFont="1" applyFill="1" applyBorder="1" applyAlignment="1"/>
    <xf numFmtId="0" fontId="1" fillId="13" borderId="1" xfId="0" applyFont="1" applyFill="1" applyBorder="1" applyAlignment="1">
      <alignment horizontal="left" vertical="top" wrapText="1"/>
    </xf>
    <xf numFmtId="0" fontId="1" fillId="13" borderId="3" xfId="0" applyFont="1" applyFill="1" applyBorder="1" applyAlignment="1">
      <alignment horizontal="left" vertical="top" wrapText="1"/>
    </xf>
    <xf numFmtId="0" fontId="10" fillId="0" borderId="0" xfId="0" applyFont="1">
      <alignment vertical="top" wrapText="1"/>
    </xf>
    <xf numFmtId="0" fontId="4" fillId="0" borderId="0" xfId="0" applyFont="1" applyBorder="1" applyAlignment="1">
      <alignment vertical="top" wrapText="1"/>
    </xf>
    <xf numFmtId="0" fontId="12" fillId="0" borderId="0" xfId="0" applyFont="1" applyAlignment="1">
      <alignment vertical="top" wrapText="1"/>
    </xf>
    <xf numFmtId="0" fontId="4" fillId="0" borderId="0" xfId="0" applyFont="1">
      <alignment vertical="top" wrapText="1"/>
    </xf>
    <xf numFmtId="0" fontId="4" fillId="0" borderId="0" xfId="0" applyFont="1" applyAlignment="1">
      <alignment vertical="center" wrapText="1"/>
    </xf>
    <xf numFmtId="0" fontId="10" fillId="0" borderId="0" xfId="0" applyFont="1" applyAlignment="1">
      <alignment horizontal="left" vertical="center" wrapText="1"/>
    </xf>
    <xf numFmtId="0" fontId="4" fillId="0" borderId="0" xfId="0" applyFont="1" applyAlignment="1">
      <alignment horizontal="left" vertical="center" wrapText="1"/>
    </xf>
    <xf numFmtId="0" fontId="12" fillId="0" borderId="0" xfId="0" applyFont="1" applyAlignment="1">
      <alignment vertical="top" wrapText="1"/>
    </xf>
    <xf numFmtId="0" fontId="4" fillId="0" borderId="0" xfId="0" applyFont="1">
      <alignment vertical="top" wrapText="1"/>
    </xf>
    <xf numFmtId="0" fontId="1" fillId="13" borderId="0" xfId="0" applyFont="1" applyFill="1" applyAlignment="1">
      <alignment horizontal="left" vertical="center" wrapText="1"/>
    </xf>
    <xf numFmtId="0" fontId="10" fillId="13" borderId="0" xfId="0" applyFont="1" applyFill="1" applyAlignment="1">
      <alignment horizontal="left" vertical="center" wrapText="1"/>
    </xf>
    <xf numFmtId="0" fontId="1" fillId="13" borderId="0" xfId="0" applyFont="1" applyFill="1" applyAlignment="1">
      <alignment vertical="center" wrapText="1"/>
    </xf>
    <xf numFmtId="0" fontId="10" fillId="9" borderId="1" xfId="0" applyFont="1" applyFill="1" applyBorder="1" applyAlignment="1">
      <alignment horizontal="center" vertical="top" wrapText="1"/>
    </xf>
    <xf numFmtId="0" fontId="4" fillId="0" borderId="0" xfId="0" applyFont="1" applyFill="1">
      <alignment vertical="top" wrapText="1"/>
    </xf>
    <xf numFmtId="0" fontId="8" fillId="17" borderId="1" xfId="0" applyFont="1" applyFill="1" applyBorder="1" applyAlignment="1">
      <alignment horizontal="center" vertical="top" wrapText="1"/>
    </xf>
    <xf numFmtId="0" fontId="4" fillId="13" borderId="4" xfId="0" applyFont="1" applyFill="1" applyBorder="1" applyAlignment="1">
      <alignment vertical="top" wrapText="1"/>
    </xf>
    <xf numFmtId="0" fontId="4" fillId="13" borderId="4" xfId="0" applyFont="1" applyFill="1" applyBorder="1" applyAlignment="1">
      <alignment vertical="center" wrapText="1"/>
    </xf>
    <xf numFmtId="0" fontId="4" fillId="13" borderId="2" xfId="0" applyFont="1" applyFill="1" applyBorder="1" applyAlignment="1">
      <alignment vertical="top" wrapText="1"/>
    </xf>
    <xf numFmtId="0" fontId="4" fillId="13" borderId="9" xfId="0" applyFont="1" applyFill="1" applyBorder="1" applyAlignment="1">
      <alignment vertical="top" wrapText="1"/>
    </xf>
    <xf numFmtId="0" fontId="4" fillId="0" borderId="0" xfId="0" applyFont="1" applyFill="1">
      <alignment vertical="top" wrapText="1"/>
    </xf>
    <xf numFmtId="0" fontId="16" fillId="17" borderId="0" xfId="0" applyFont="1" applyFill="1">
      <alignment vertical="top" wrapText="1"/>
    </xf>
    <xf numFmtId="164" fontId="8" fillId="17" borderId="1" xfId="0" applyNumberFormat="1" applyFont="1" applyFill="1" applyBorder="1" applyAlignment="1">
      <alignment vertical="top"/>
    </xf>
    <xf numFmtId="0" fontId="87" fillId="0" borderId="9" xfId="0" applyFont="1" applyBorder="1" applyAlignment="1">
      <alignment horizontal="center" vertical="top" wrapText="1"/>
    </xf>
    <xf numFmtId="0" fontId="87" fillId="13" borderId="1" xfId="0" applyFont="1" applyFill="1" applyBorder="1" applyAlignment="1">
      <alignment horizontal="center" vertical="center" wrapText="1"/>
    </xf>
    <xf numFmtId="49" fontId="87" fillId="0" borderId="3" xfId="0" applyNumberFormat="1" applyFont="1" applyFill="1" applyBorder="1" applyAlignment="1">
      <alignment horizontal="center" vertical="top" wrapText="1"/>
    </xf>
    <xf numFmtId="49" fontId="87" fillId="0" borderId="1" xfId="0" applyNumberFormat="1" applyFont="1" applyFill="1" applyBorder="1" applyAlignment="1">
      <alignment horizontal="center" vertical="top" wrapText="1"/>
    </xf>
    <xf numFmtId="0" fontId="87" fillId="0" borderId="1" xfId="0" applyFont="1" applyFill="1" applyBorder="1" applyAlignment="1">
      <alignment horizontal="center" vertical="top" wrapText="1"/>
    </xf>
    <xf numFmtId="0" fontId="87" fillId="0" borderId="1" xfId="0" applyFont="1" applyBorder="1" applyAlignment="1">
      <alignment horizontal="center" vertical="center" wrapText="1"/>
    </xf>
    <xf numFmtId="0" fontId="87" fillId="0" borderId="1" xfId="0" applyFont="1" applyBorder="1" applyAlignment="1">
      <alignment horizontal="center" vertical="top" wrapText="1"/>
    </xf>
    <xf numFmtId="0" fontId="87" fillId="13" borderId="9" xfId="0" applyFont="1" applyFill="1" applyBorder="1" applyAlignment="1">
      <alignment horizontal="center" vertical="top" wrapText="1"/>
    </xf>
    <xf numFmtId="49" fontId="87" fillId="13" borderId="3" xfId="0" applyNumberFormat="1" applyFont="1" applyFill="1" applyBorder="1" applyAlignment="1">
      <alignment horizontal="center" vertical="top" wrapText="1"/>
    </xf>
    <xf numFmtId="49" fontId="87" fillId="13" borderId="1" xfId="0" applyNumberFormat="1" applyFont="1" applyFill="1" applyBorder="1" applyAlignment="1">
      <alignment horizontal="center" vertical="top" wrapText="1"/>
    </xf>
    <xf numFmtId="0" fontId="87" fillId="0" borderId="18" xfId="0" applyFont="1" applyBorder="1" applyAlignment="1">
      <alignment horizontal="center" vertical="top" wrapText="1"/>
    </xf>
    <xf numFmtId="0" fontId="87" fillId="0" borderId="26" xfId="0" applyFont="1" applyBorder="1" applyAlignment="1">
      <alignment horizontal="center" vertical="center" wrapText="1"/>
    </xf>
    <xf numFmtId="49" fontId="87" fillId="13" borderId="19" xfId="0" applyNumberFormat="1" applyFont="1" applyFill="1" applyBorder="1" applyAlignment="1">
      <alignment horizontal="center" vertical="top" wrapText="1"/>
    </xf>
    <xf numFmtId="0" fontId="87" fillId="0" borderId="19" xfId="0" applyFont="1" applyFill="1" applyBorder="1" applyAlignment="1">
      <alignment horizontal="center" vertical="top" wrapText="1"/>
    </xf>
    <xf numFmtId="0" fontId="87" fillId="0" borderId="10" xfId="0" applyFont="1" applyBorder="1" applyAlignment="1">
      <alignment horizontal="center" vertical="top" wrapText="1"/>
    </xf>
    <xf numFmtId="0" fontId="87" fillId="0" borderId="17" xfId="0" applyFont="1" applyBorder="1" applyAlignment="1">
      <alignment horizontal="center" vertical="center" wrapText="1"/>
    </xf>
    <xf numFmtId="49" fontId="87" fillId="0" borderId="11" xfId="0" applyNumberFormat="1" applyFont="1" applyFill="1" applyBorder="1" applyAlignment="1">
      <alignment horizontal="center" vertical="top" wrapText="1"/>
    </xf>
    <xf numFmtId="49" fontId="87" fillId="0" borderId="17" xfId="0" applyNumberFormat="1" applyFont="1" applyFill="1" applyBorder="1" applyAlignment="1">
      <alignment horizontal="center" vertical="top" wrapText="1"/>
    </xf>
    <xf numFmtId="0" fontId="87" fillId="0" borderId="17" xfId="0" applyFont="1" applyFill="1" applyBorder="1" applyAlignment="1">
      <alignment horizontal="center" vertical="top" wrapText="1"/>
    </xf>
    <xf numFmtId="0" fontId="87" fillId="0" borderId="12" xfId="0" applyFont="1" applyBorder="1" applyAlignment="1">
      <alignment horizontal="center" vertical="top" wrapText="1"/>
    </xf>
    <xf numFmtId="49" fontId="87" fillId="0" borderId="14" xfId="0" applyNumberFormat="1" applyFont="1" applyFill="1" applyBorder="1" applyAlignment="1">
      <alignment horizontal="center" vertical="top" wrapText="1"/>
    </xf>
    <xf numFmtId="0" fontId="87" fillId="0" borderId="14" xfId="0" applyFont="1" applyFill="1" applyBorder="1" applyAlignment="1">
      <alignment horizontal="center" vertical="top" wrapText="1"/>
    </xf>
    <xf numFmtId="0" fontId="87" fillId="13" borderId="1" xfId="0" applyFont="1" applyFill="1" applyBorder="1" applyAlignment="1">
      <alignment horizontal="center" vertical="top" wrapText="1"/>
    </xf>
    <xf numFmtId="0" fontId="87" fillId="13" borderId="14" xfId="0" applyFont="1" applyFill="1" applyBorder="1" applyAlignment="1">
      <alignment horizontal="center" vertical="top" wrapText="1"/>
    </xf>
    <xf numFmtId="49" fontId="89" fillId="0" borderId="1" xfId="0" applyNumberFormat="1" applyFont="1" applyFill="1" applyBorder="1" applyAlignment="1">
      <alignment horizontal="center" vertical="top" wrapText="1"/>
    </xf>
    <xf numFmtId="0" fontId="4" fillId="13" borderId="1" xfId="0" applyFont="1" applyFill="1" applyBorder="1" applyAlignment="1">
      <alignment horizontal="left" vertical="top" wrapText="1"/>
    </xf>
    <xf numFmtId="0" fontId="0" fillId="0" borderId="0" xfId="0">
      <alignment vertical="top" wrapText="1"/>
    </xf>
    <xf numFmtId="0" fontId="4" fillId="0" borderId="0" xfId="0" applyFont="1" applyFill="1">
      <alignment vertical="top" wrapText="1"/>
    </xf>
    <xf numFmtId="0" fontId="17" fillId="13" borderId="1" xfId="0" applyFont="1" applyFill="1" applyBorder="1" applyAlignment="1">
      <alignment horizontal="center" vertical="center" wrapText="1"/>
    </xf>
    <xf numFmtId="0" fontId="1" fillId="19" borderId="1" xfId="0" applyFont="1" applyFill="1" applyBorder="1" applyAlignment="1">
      <alignment horizontal="left" vertical="top" wrapText="1"/>
    </xf>
    <xf numFmtId="0" fontId="1" fillId="19" borderId="9" xfId="0" applyFont="1" applyFill="1" applyBorder="1" applyAlignment="1">
      <alignment vertical="top" wrapText="1"/>
    </xf>
    <xf numFmtId="0" fontId="1" fillId="13" borderId="3" xfId="0" applyFont="1" applyFill="1" applyBorder="1" applyAlignment="1">
      <alignment horizontal="left" vertical="top" wrapText="1"/>
    </xf>
    <xf numFmtId="0" fontId="1" fillId="13" borderId="0" xfId="0" applyFont="1" applyFill="1" applyBorder="1" applyAlignment="1"/>
    <xf numFmtId="0" fontId="90" fillId="13" borderId="1" xfId="0" applyFont="1" applyFill="1" applyBorder="1" applyAlignment="1">
      <alignment horizontal="left" vertical="top" wrapText="1"/>
    </xf>
    <xf numFmtId="0" fontId="90" fillId="13" borderId="9" xfId="0" applyFont="1" applyFill="1" applyBorder="1" applyAlignment="1">
      <alignment vertical="top" wrapText="1"/>
    </xf>
    <xf numFmtId="0" fontId="90" fillId="13" borderId="9" xfId="0" applyFont="1" applyFill="1" applyBorder="1" applyAlignment="1">
      <alignment horizontal="center" vertical="top" wrapText="1"/>
    </xf>
    <xf numFmtId="0" fontId="90" fillId="13" borderId="1" xfId="0" applyFont="1" applyFill="1" applyBorder="1" applyAlignment="1">
      <alignment horizontal="center" vertical="center" wrapText="1"/>
    </xf>
    <xf numFmtId="49" fontId="90" fillId="13" borderId="1" xfId="0" applyNumberFormat="1" applyFont="1" applyFill="1" applyBorder="1" applyAlignment="1">
      <alignment horizontal="center" vertical="top" wrapText="1"/>
    </xf>
    <xf numFmtId="0" fontId="90" fillId="13" borderId="1" xfId="0" applyFont="1" applyFill="1" applyBorder="1" applyAlignment="1">
      <alignment horizontal="center" vertical="top" wrapText="1"/>
    </xf>
    <xf numFmtId="0" fontId="10" fillId="13" borderId="0" xfId="0" applyFont="1" applyFill="1">
      <alignment vertical="top" wrapText="1"/>
    </xf>
    <xf numFmtId="0" fontId="10" fillId="13" borderId="2" xfId="0" applyFont="1" applyFill="1" applyBorder="1" applyAlignment="1">
      <alignment vertical="center" wrapText="1"/>
    </xf>
    <xf numFmtId="0" fontId="1" fillId="13" borderId="1" xfId="0" applyFont="1" applyFill="1" applyBorder="1" applyAlignment="1">
      <alignment horizontal="left" vertical="top" wrapText="1"/>
    </xf>
    <xf numFmtId="49" fontId="90" fillId="13" borderId="3" xfId="0" applyNumberFormat="1" applyFont="1" applyFill="1" applyBorder="1" applyAlignment="1">
      <alignment horizontal="center" vertical="top" wrapText="1"/>
    </xf>
    <xf numFmtId="49" fontId="87" fillId="13" borderId="72" xfId="0" applyNumberFormat="1" applyFont="1" applyFill="1" applyBorder="1" applyAlignment="1">
      <alignment horizontal="center" vertical="top" wrapText="1"/>
    </xf>
    <xf numFmtId="0" fontId="1" fillId="13" borderId="3" xfId="0" applyFont="1" applyFill="1" applyBorder="1" applyAlignment="1">
      <alignment horizontal="left" vertical="top" wrapText="1"/>
    </xf>
    <xf numFmtId="0" fontId="1" fillId="0" borderId="0" xfId="0" applyFont="1" applyFill="1" applyBorder="1" applyAlignment="1"/>
    <xf numFmtId="0" fontId="1" fillId="0" borderId="0" xfId="0" applyFont="1" applyFill="1" applyBorder="1" applyAlignment="1">
      <alignment horizontal="left" vertical="top" wrapText="1"/>
    </xf>
    <xf numFmtId="0" fontId="10" fillId="0" borderId="0" xfId="0" applyFont="1" applyFill="1" applyBorder="1" applyAlignment="1">
      <alignment horizontal="left" vertical="top" wrapText="1"/>
    </xf>
    <xf numFmtId="0" fontId="1" fillId="13" borderId="9" xfId="0"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0" xfId="0" applyFont="1" applyFill="1" applyAlignment="1">
      <alignment vertical="top" wrapText="1"/>
    </xf>
    <xf numFmtId="0" fontId="1" fillId="0" borderId="0" xfId="0" applyFont="1" applyFill="1" applyBorder="1" applyAlignment="1">
      <alignment vertical="top" wrapText="1"/>
    </xf>
    <xf numFmtId="0" fontId="1" fillId="0" borderId="2" xfId="0" applyFont="1" applyFill="1" applyBorder="1" applyAlignment="1">
      <alignment vertical="top" wrapText="1"/>
    </xf>
    <xf numFmtId="0" fontId="1" fillId="13" borderId="0" xfId="0" applyFont="1" applyFill="1" applyAlignment="1">
      <alignment vertical="top" wrapText="1"/>
    </xf>
    <xf numFmtId="0" fontId="61" fillId="20" borderId="2" xfId="0" applyFont="1" applyFill="1" applyBorder="1" applyAlignment="1">
      <alignment vertical="top" wrapText="1"/>
    </xf>
    <xf numFmtId="0" fontId="1" fillId="13" borderId="1" xfId="0" applyFont="1" applyFill="1" applyBorder="1" applyAlignment="1">
      <alignment horizontal="left" vertical="top" wrapText="1"/>
    </xf>
    <xf numFmtId="0" fontId="0" fillId="0" borderId="0" xfId="0">
      <alignment vertical="top" wrapText="1"/>
    </xf>
    <xf numFmtId="0" fontId="1" fillId="0" borderId="0" xfId="0" applyFont="1" applyAlignment="1">
      <alignment horizontal="left" vertical="top" wrapText="1"/>
    </xf>
    <xf numFmtId="0" fontId="0" fillId="0" borderId="0" xfId="0" applyAlignment="1">
      <alignment horizontal="left" vertical="top" wrapText="1"/>
    </xf>
    <xf numFmtId="0" fontId="4" fillId="0" borderId="0" xfId="0" applyFont="1" applyFill="1" applyBorder="1" applyAlignment="1">
      <alignment vertical="top" wrapText="1"/>
    </xf>
    <xf numFmtId="0" fontId="4" fillId="0" borderId="1" xfId="0" applyFont="1" applyBorder="1" applyAlignment="1">
      <alignment horizontal="center" vertical="top" wrapText="1"/>
    </xf>
    <xf numFmtId="0" fontId="4" fillId="0" borderId="0" xfId="0" applyFont="1" applyFill="1" applyBorder="1">
      <alignment vertical="top" wrapText="1"/>
    </xf>
    <xf numFmtId="0" fontId="9" fillId="9" borderId="1" xfId="7" applyFont="1" applyFill="1" applyBorder="1" applyAlignment="1">
      <alignment horizontal="center" wrapText="1"/>
    </xf>
    <xf numFmtId="0" fontId="1" fillId="0" borderId="20" xfId="7" applyFont="1" applyBorder="1" applyAlignment="1">
      <alignment wrapText="1"/>
    </xf>
    <xf numFmtId="0" fontId="93" fillId="21" borderId="1" xfId="7" applyFont="1" applyFill="1" applyBorder="1" applyAlignment="1">
      <alignment horizontal="left" wrapText="1"/>
    </xf>
    <xf numFmtId="0" fontId="93" fillId="21" borderId="1" xfId="7" applyFont="1" applyFill="1" applyBorder="1" applyAlignment="1">
      <alignment horizontal="center" wrapText="1"/>
    </xf>
    <xf numFmtId="165" fontId="8" fillId="13" borderId="1" xfId="7" applyNumberFormat="1" applyFont="1" applyFill="1" applyBorder="1" applyAlignment="1">
      <alignment horizontal="left" vertical="top" wrapText="1"/>
    </xf>
    <xf numFmtId="0" fontId="8" fillId="13" borderId="1" xfId="7" applyFont="1" applyFill="1" applyBorder="1" applyAlignment="1">
      <alignment horizontal="center" vertical="top" wrapText="1"/>
    </xf>
    <xf numFmtId="0" fontId="0" fillId="0" borderId="0" xfId="0" applyFont="1" applyFill="1" applyBorder="1">
      <alignment vertical="top" wrapText="1"/>
    </xf>
    <xf numFmtId="0" fontId="1" fillId="0" borderId="0" xfId="7" applyFont="1" applyBorder="1" applyAlignment="1">
      <alignment horizontal="left" vertical="top" wrapText="1"/>
    </xf>
    <xf numFmtId="0" fontId="10" fillId="17" borderId="1" xfId="0" applyFont="1" applyFill="1" applyBorder="1" applyAlignment="1">
      <alignment horizontal="center" vertical="top" wrapText="1"/>
    </xf>
    <xf numFmtId="165" fontId="1" fillId="0" borderId="0" xfId="0" applyNumberFormat="1" applyFont="1" applyAlignment="1">
      <alignment horizontal="left" vertical="top" wrapText="1"/>
    </xf>
    <xf numFmtId="0" fontId="10" fillId="9" borderId="1" xfId="0" applyFont="1" applyFill="1" applyBorder="1" applyAlignment="1">
      <alignment horizontal="center"/>
    </xf>
    <xf numFmtId="0" fontId="4" fillId="0" borderId="3" xfId="0" applyFont="1" applyFill="1" applyBorder="1" applyAlignment="1">
      <alignment horizontal="center" wrapText="1"/>
    </xf>
    <xf numFmtId="0" fontId="1" fillId="0" borderId="1" xfId="0" applyFont="1" applyFill="1" applyBorder="1" applyAlignment="1">
      <alignment horizontal="center" wrapText="1"/>
    </xf>
    <xf numFmtId="0" fontId="72" fillId="0" borderId="3" xfId="0" applyFont="1" applyFill="1" applyBorder="1" applyAlignment="1">
      <alignment horizontal="center" wrapText="1"/>
    </xf>
    <xf numFmtId="0" fontId="1" fillId="0" borderId="3" xfId="0" applyFont="1" applyFill="1" applyBorder="1" applyAlignment="1">
      <alignment horizontal="center" wrapText="1"/>
    </xf>
    <xf numFmtId="0" fontId="94" fillId="22" borderId="0" xfId="0" applyFont="1" applyFill="1" applyAlignment="1">
      <alignment vertical="top" wrapText="1"/>
    </xf>
    <xf numFmtId="0" fontId="1" fillId="0" borderId="1" xfId="0" applyFont="1" applyBorder="1" applyAlignment="1">
      <alignment horizontal="left" vertical="center" wrapText="1"/>
    </xf>
    <xf numFmtId="0" fontId="1" fillId="13" borderId="1" xfId="0" applyFont="1" applyFill="1" applyBorder="1" applyAlignment="1">
      <alignment horizontal="left" vertical="center" wrapText="1"/>
    </xf>
    <xf numFmtId="0" fontId="6" fillId="13" borderId="1" xfId="0" applyFont="1" applyFill="1" applyBorder="1">
      <alignment vertical="top" wrapText="1"/>
    </xf>
    <xf numFmtId="0" fontId="4" fillId="0" borderId="0" xfId="0" applyFont="1" applyFill="1">
      <alignment vertical="top" wrapText="1"/>
    </xf>
    <xf numFmtId="49" fontId="8" fillId="13" borderId="0" xfId="0" applyNumberFormat="1" applyFont="1" applyFill="1" applyBorder="1" applyAlignment="1">
      <alignment horizontal="center" vertical="top" wrapText="1"/>
    </xf>
    <xf numFmtId="0" fontId="4" fillId="13" borderId="4" xfId="0" applyFont="1" applyFill="1" applyBorder="1" applyAlignment="1">
      <alignment vertical="top" wrapText="1"/>
    </xf>
    <xf numFmtId="0" fontId="6" fillId="13" borderId="1" xfId="8" applyFont="1" applyFill="1" applyBorder="1" applyAlignment="1">
      <alignment horizontal="left" vertical="top" wrapText="1"/>
    </xf>
    <xf numFmtId="0" fontId="0" fillId="13" borderId="1" xfId="0" applyFill="1" applyBorder="1" applyAlignment="1"/>
    <xf numFmtId="0" fontId="1" fillId="13" borderId="1" xfId="0" applyFont="1" applyFill="1" applyBorder="1" applyAlignment="1">
      <alignment horizontal="left" wrapText="1"/>
    </xf>
    <xf numFmtId="0" fontId="1" fillId="13" borderId="1" xfId="0" applyFont="1" applyFill="1" applyBorder="1" applyAlignment="1">
      <alignment horizontal="center" wrapText="1"/>
    </xf>
    <xf numFmtId="167" fontId="6" fillId="13" borderId="1" xfId="8" applyNumberFormat="1" applyFont="1" applyFill="1" applyBorder="1" applyAlignment="1">
      <alignment horizontal="left" vertical="top" wrapText="1"/>
    </xf>
    <xf numFmtId="0" fontId="8" fillId="17" borderId="0" xfId="0" applyFont="1" applyFill="1">
      <alignment vertical="top" wrapText="1"/>
    </xf>
    <xf numFmtId="0" fontId="1" fillId="13" borderId="0" xfId="0" applyFont="1" applyFill="1" applyBorder="1" applyAlignment="1">
      <alignment horizontal="left" vertical="top" wrapText="1"/>
    </xf>
    <xf numFmtId="0" fontId="1" fillId="13" borderId="0" xfId="0" applyFont="1" applyFill="1" applyAlignment="1">
      <alignment vertical="top" wrapText="1"/>
    </xf>
    <xf numFmtId="0" fontId="8" fillId="13" borderId="0" xfId="0" applyFont="1" applyFill="1" applyBorder="1" applyAlignment="1">
      <alignment horizontal="left" vertical="top" wrapText="1"/>
    </xf>
    <xf numFmtId="49" fontId="6" fillId="9" borderId="7" xfId="0" applyNumberFormat="1" applyFont="1" applyFill="1" applyBorder="1" applyAlignment="1">
      <alignment horizontal="center" vertical="top" wrapText="1"/>
    </xf>
    <xf numFmtId="0" fontId="1" fillId="13" borderId="7" xfId="0" applyFont="1" applyFill="1" applyBorder="1">
      <alignment vertical="top" wrapText="1"/>
    </xf>
    <xf numFmtId="0" fontId="6" fillId="13" borderId="1" xfId="9" applyFont="1" applyFill="1" applyBorder="1" applyAlignment="1">
      <alignment horizontal="left" vertical="top" wrapText="1"/>
    </xf>
    <xf numFmtId="0" fontId="6" fillId="13" borderId="1" xfId="9" applyFont="1" applyFill="1" applyBorder="1" applyAlignment="1">
      <alignment vertical="center" wrapText="1"/>
    </xf>
    <xf numFmtId="0" fontId="10" fillId="0" borderId="0" xfId="0" applyFont="1">
      <alignment vertical="top" wrapText="1"/>
    </xf>
    <xf numFmtId="0" fontId="10" fillId="0" borderId="2" xfId="0" applyFont="1" applyFill="1" applyBorder="1" applyAlignment="1">
      <alignment vertical="center" wrapText="1"/>
    </xf>
    <xf numFmtId="0" fontId="4" fillId="0" borderId="0" xfId="0" applyFont="1" applyFill="1">
      <alignment vertical="top" wrapText="1"/>
    </xf>
    <xf numFmtId="0" fontId="72" fillId="0" borderId="0" xfId="0" applyFont="1" applyFill="1">
      <alignment vertical="top" wrapText="1"/>
    </xf>
    <xf numFmtId="0" fontId="87" fillId="17" borderId="1" xfId="0" applyFont="1" applyFill="1" applyBorder="1" applyAlignment="1">
      <alignment horizontal="left" vertical="top" wrapText="1"/>
    </xf>
    <xf numFmtId="0" fontId="87" fillId="17" borderId="9" xfId="0" applyFont="1" applyFill="1" applyBorder="1" applyAlignment="1">
      <alignment vertical="top" wrapText="1"/>
    </xf>
    <xf numFmtId="0" fontId="87" fillId="17" borderId="9" xfId="0" applyFont="1" applyFill="1" applyBorder="1" applyAlignment="1">
      <alignment horizontal="center" vertical="top" wrapText="1"/>
    </xf>
    <xf numFmtId="0" fontId="87" fillId="17" borderId="1" xfId="0" applyFont="1" applyFill="1" applyBorder="1" applyAlignment="1">
      <alignment horizontal="center" vertical="center" wrapText="1"/>
    </xf>
    <xf numFmtId="49" fontId="87" fillId="17" borderId="3" xfId="0" applyNumberFormat="1" applyFont="1" applyFill="1" applyBorder="1" applyAlignment="1">
      <alignment horizontal="center" vertical="top" wrapText="1"/>
    </xf>
    <xf numFmtId="49" fontId="89" fillId="17" borderId="1" xfId="0" applyNumberFormat="1" applyFont="1" applyFill="1" applyBorder="1" applyAlignment="1">
      <alignment horizontal="center" vertical="top" wrapText="1"/>
    </xf>
    <xf numFmtId="0" fontId="87" fillId="17" borderId="1" xfId="0" applyFont="1" applyFill="1" applyBorder="1" applyAlignment="1">
      <alignment horizontal="center" vertical="top" wrapText="1"/>
    </xf>
    <xf numFmtId="0" fontId="1" fillId="13" borderId="1" xfId="0" applyFont="1" applyFill="1" applyBorder="1" applyAlignment="1">
      <alignment horizontal="left" vertical="top" wrapText="1"/>
    </xf>
    <xf numFmtId="0" fontId="4" fillId="13" borderId="9" xfId="0" applyFont="1" applyFill="1" applyBorder="1" applyAlignment="1">
      <alignment vertical="top" wrapText="1"/>
    </xf>
    <xf numFmtId="49" fontId="49" fillId="13" borderId="1" xfId="0" applyNumberFormat="1" applyFont="1" applyFill="1" applyBorder="1" applyAlignment="1">
      <alignment horizontal="center" vertical="top" wrapText="1"/>
    </xf>
    <xf numFmtId="0" fontId="87" fillId="13" borderId="12" xfId="0" applyFont="1" applyFill="1" applyBorder="1" applyAlignment="1">
      <alignment horizontal="center" vertical="top" wrapText="1"/>
    </xf>
    <xf numFmtId="49" fontId="87" fillId="13" borderId="14" xfId="0" applyNumberFormat="1" applyFont="1" applyFill="1" applyBorder="1" applyAlignment="1">
      <alignment horizontal="center" vertical="top" wrapText="1"/>
    </xf>
    <xf numFmtId="167" fontId="81" fillId="13" borderId="1" xfId="0" applyNumberFormat="1" applyFont="1" applyFill="1" applyBorder="1" applyAlignment="1">
      <alignment horizontal="left" vertical="top" wrapText="1"/>
    </xf>
    <xf numFmtId="167" fontId="81" fillId="13" borderId="1" xfId="8" applyNumberFormat="1" applyFont="1" applyFill="1" applyBorder="1" applyAlignment="1">
      <alignment horizontal="left" vertical="top" wrapText="1"/>
    </xf>
    <xf numFmtId="0" fontId="81" fillId="13" borderId="1" xfId="0" applyFont="1" applyFill="1" applyBorder="1" applyAlignment="1">
      <alignment horizontal="center" vertical="top" wrapText="1"/>
    </xf>
    <xf numFmtId="49" fontId="81" fillId="13" borderId="1" xfId="0" applyNumberFormat="1" applyFont="1" applyFill="1" applyBorder="1" applyAlignment="1">
      <alignment horizontal="center" vertical="top" wrapText="1"/>
    </xf>
    <xf numFmtId="0" fontId="1" fillId="0" borderId="0" xfId="0" applyFont="1" applyAlignment="1">
      <alignment vertical="top" wrapText="1"/>
    </xf>
    <xf numFmtId="0" fontId="1" fillId="13" borderId="3" xfId="0" applyFont="1" applyFill="1" applyBorder="1" applyAlignment="1">
      <alignment horizontal="left" vertical="top" wrapText="1"/>
    </xf>
    <xf numFmtId="0" fontId="1" fillId="0" borderId="0" xfId="0" applyFont="1" applyFill="1" applyBorder="1" applyAlignment="1">
      <alignment vertical="top" wrapText="1"/>
    </xf>
    <xf numFmtId="0" fontId="10" fillId="2" borderId="1" xfId="0" applyFont="1" applyFill="1" applyBorder="1" applyAlignment="1">
      <alignment horizontal="center" vertical="center" wrapText="1"/>
    </xf>
    <xf numFmtId="0" fontId="16" fillId="0" borderId="0" xfId="0" applyFont="1" applyAlignment="1">
      <alignment vertical="top" wrapText="1"/>
    </xf>
    <xf numFmtId="0" fontId="1" fillId="0" borderId="1" xfId="0" applyFont="1" applyBorder="1" applyAlignment="1">
      <alignment vertical="top" wrapText="1"/>
    </xf>
    <xf numFmtId="0" fontId="1" fillId="11" borderId="1" xfId="0" applyFont="1" applyFill="1" applyBorder="1" applyAlignment="1">
      <alignment horizontal="center" vertical="top" wrapText="1"/>
    </xf>
    <xf numFmtId="0" fontId="1" fillId="0" borderId="1" xfId="0" applyFont="1" applyBorder="1" applyAlignment="1">
      <alignment horizontal="left" vertical="center" wrapText="1"/>
    </xf>
    <xf numFmtId="0" fontId="4" fillId="0" borderId="0" xfId="0" applyFont="1" applyFill="1">
      <alignment vertical="top" wrapText="1"/>
    </xf>
    <xf numFmtId="0" fontId="1" fillId="0" borderId="0" xfId="0" applyFont="1">
      <alignment vertical="top" wrapText="1"/>
    </xf>
    <xf numFmtId="0" fontId="1" fillId="17" borderId="1" xfId="0" applyFont="1" applyFill="1" applyBorder="1" applyAlignment="1">
      <alignment horizontal="left" vertical="top" wrapText="1"/>
    </xf>
    <xf numFmtId="0" fontId="4" fillId="13" borderId="0" xfId="0" applyFont="1" applyFill="1" applyBorder="1" applyAlignment="1"/>
    <xf numFmtId="164" fontId="8" fillId="17" borderId="1" xfId="0" applyNumberFormat="1" applyFont="1" applyFill="1" applyBorder="1" applyAlignment="1">
      <alignment horizontal="right" vertical="top" wrapText="1"/>
    </xf>
    <xf numFmtId="0" fontId="6" fillId="13" borderId="1" xfId="0" applyFont="1" applyFill="1" applyBorder="1" applyAlignment="1">
      <alignment vertical="center" wrapText="1"/>
    </xf>
    <xf numFmtId="0" fontId="101" fillId="0" borderId="0" xfId="13" applyFont="1" applyAlignment="1">
      <alignment vertical="center" wrapText="1"/>
    </xf>
    <xf numFmtId="0" fontId="1" fillId="0" borderId="0" xfId="13" applyAlignment="1">
      <alignment wrapText="1"/>
    </xf>
    <xf numFmtId="0" fontId="102" fillId="0" borderId="88" xfId="13" applyFont="1" applyBorder="1" applyAlignment="1">
      <alignment horizontal="center" wrapText="1"/>
    </xf>
    <xf numFmtId="0" fontId="101" fillId="0" borderId="0" xfId="13" applyFont="1" applyAlignment="1">
      <alignment vertical="top" wrapText="1"/>
    </xf>
    <xf numFmtId="0" fontId="101" fillId="0" borderId="88" xfId="13" applyFont="1" applyBorder="1" applyAlignment="1">
      <alignment wrapText="1"/>
    </xf>
    <xf numFmtId="165" fontId="1" fillId="13" borderId="1" xfId="0" applyNumberFormat="1" applyFont="1" applyFill="1" applyBorder="1" applyAlignment="1">
      <alignment horizontal="center" vertical="center" wrapText="1"/>
    </xf>
    <xf numFmtId="49" fontId="1" fillId="13" borderId="1" xfId="0" applyNumberFormat="1" applyFont="1" applyFill="1" applyBorder="1" applyAlignment="1">
      <alignment vertical="center" wrapText="1"/>
    </xf>
    <xf numFmtId="165" fontId="1" fillId="0" borderId="1" xfId="0" quotePrefix="1" applyNumberFormat="1" applyFont="1" applyBorder="1" applyAlignment="1">
      <alignment horizontal="left" vertical="center" wrapText="1"/>
    </xf>
    <xf numFmtId="0" fontId="1" fillId="19" borderId="9" xfId="0" applyFont="1" applyFill="1" applyBorder="1" applyAlignment="1">
      <alignment horizontal="center" vertical="top" wrapText="1"/>
    </xf>
    <xf numFmtId="0" fontId="1" fillId="0" borderId="0" xfId="0" applyFont="1" applyFill="1" applyBorder="1" applyAlignment="1">
      <alignment horizontal="left" vertical="top" wrapText="1"/>
    </xf>
    <xf numFmtId="0" fontId="10" fillId="0" borderId="0" xfId="0" applyFont="1" applyFill="1" applyBorder="1" applyAlignment="1">
      <alignment horizontal="left" vertical="top" wrapText="1"/>
    </xf>
    <xf numFmtId="0" fontId="27" fillId="0" borderId="0" xfId="0" applyFont="1" applyFill="1" applyAlignment="1">
      <alignment vertical="top" wrapText="1"/>
    </xf>
    <xf numFmtId="0" fontId="4" fillId="0" borderId="0" xfId="0" applyFont="1" applyAlignment="1">
      <alignment vertical="top"/>
    </xf>
    <xf numFmtId="0" fontId="1" fillId="0" borderId="0" xfId="0" applyFont="1" applyAlignment="1">
      <alignment vertical="top"/>
    </xf>
    <xf numFmtId="0" fontId="1" fillId="13" borderId="0" xfId="0" applyFont="1" applyFill="1" applyBorder="1" applyAlignment="1"/>
    <xf numFmtId="0" fontId="1" fillId="13" borderId="3" xfId="0" applyFont="1" applyFill="1" applyBorder="1" applyAlignment="1">
      <alignment horizontal="left" vertical="top" wrapText="1"/>
    </xf>
    <xf numFmtId="0" fontId="10" fillId="0" borderId="2" xfId="0" applyFont="1" applyFill="1" applyBorder="1" applyAlignment="1">
      <alignment vertical="center" wrapText="1"/>
    </xf>
    <xf numFmtId="0" fontId="10" fillId="9" borderId="1" xfId="0" applyFont="1" applyFill="1" applyBorder="1" applyAlignment="1">
      <alignment horizontal="center" vertical="top" wrapText="1"/>
    </xf>
    <xf numFmtId="0" fontId="105" fillId="13" borderId="1" xfId="0" applyFont="1" applyFill="1" applyBorder="1" applyAlignment="1">
      <alignment horizontal="left" vertical="top" wrapText="1"/>
    </xf>
    <xf numFmtId="0" fontId="105" fillId="13" borderId="9" xfId="0" applyFont="1" applyFill="1" applyBorder="1" applyAlignment="1">
      <alignment vertical="top" wrapText="1"/>
    </xf>
    <xf numFmtId="0" fontId="105" fillId="13" borderId="9" xfId="0" applyFont="1" applyFill="1" applyBorder="1" applyAlignment="1">
      <alignment horizontal="center" vertical="top" wrapText="1"/>
    </xf>
    <xf numFmtId="0" fontId="105" fillId="13" borderId="1" xfId="0" applyFont="1" applyFill="1" applyBorder="1" applyAlignment="1">
      <alignment horizontal="center" vertical="top" wrapText="1"/>
    </xf>
    <xf numFmtId="49" fontId="105" fillId="13" borderId="3" xfId="0" applyNumberFormat="1" applyFont="1" applyFill="1" applyBorder="1" applyAlignment="1">
      <alignment horizontal="center" vertical="top" wrapText="1"/>
    </xf>
    <xf numFmtId="49" fontId="105" fillId="13" borderId="1" xfId="0" applyNumberFormat="1" applyFont="1" applyFill="1" applyBorder="1" applyAlignment="1">
      <alignment horizontal="center" vertical="top" wrapText="1"/>
    </xf>
    <xf numFmtId="0" fontId="105" fillId="13" borderId="0" xfId="0" applyFont="1" applyFill="1">
      <alignment vertical="top" wrapText="1"/>
    </xf>
    <xf numFmtId="0" fontId="1" fillId="13" borderId="1" xfId="0" applyFont="1" applyFill="1" applyBorder="1" applyAlignment="1"/>
    <xf numFmtId="0" fontId="8" fillId="13" borderId="3" xfId="0" applyFont="1" applyFill="1" applyBorder="1" applyAlignment="1">
      <alignment horizontal="left" vertical="top" wrapText="1"/>
    </xf>
    <xf numFmtId="0" fontId="0" fillId="0" borderId="0" xfId="0" applyAlignment="1">
      <alignment horizontal="left" vertical="top" wrapText="1"/>
    </xf>
    <xf numFmtId="0" fontId="8" fillId="13" borderId="0" xfId="0" applyFont="1" applyFill="1" applyAlignment="1">
      <alignment horizontal="left" vertical="top" wrapText="1"/>
    </xf>
    <xf numFmtId="0" fontId="82" fillId="13" borderId="1" xfId="0" applyFont="1" applyFill="1" applyBorder="1" applyAlignment="1">
      <alignment horizontal="left" vertical="center" wrapText="1"/>
    </xf>
    <xf numFmtId="0" fontId="8" fillId="0" borderId="3" xfId="0" applyFont="1" applyFill="1" applyBorder="1" applyAlignment="1">
      <alignment horizontal="left" vertical="top" wrapText="1"/>
    </xf>
    <xf numFmtId="0" fontId="8" fillId="13" borderId="17" xfId="0" applyFont="1" applyFill="1" applyBorder="1" applyAlignment="1">
      <alignment horizontal="left" vertical="top" wrapText="1"/>
    </xf>
    <xf numFmtId="0" fontId="0" fillId="13" borderId="0" xfId="0" applyFill="1" applyAlignment="1"/>
    <xf numFmtId="0" fontId="4" fillId="0" borderId="0" xfId="0" applyFont="1" applyAlignment="1">
      <alignment vertical="top" wrapText="1"/>
    </xf>
    <xf numFmtId="0" fontId="10" fillId="0" borderId="0" xfId="0" applyFont="1" applyBorder="1" applyAlignment="1">
      <alignment vertical="top" wrapText="1"/>
    </xf>
    <xf numFmtId="0" fontId="4" fillId="0" borderId="0" xfId="0" applyFont="1">
      <alignment vertical="top" wrapText="1"/>
    </xf>
    <xf numFmtId="0" fontId="4" fillId="0" borderId="0" xfId="0" applyFont="1" applyAlignment="1">
      <alignment vertical="center" wrapText="1"/>
    </xf>
    <xf numFmtId="0" fontId="31" fillId="11" borderId="20" xfId="0" applyFont="1" applyFill="1" applyBorder="1" applyAlignment="1">
      <alignment vertical="center" wrapText="1"/>
    </xf>
    <xf numFmtId="0" fontId="31" fillId="11" borderId="0" xfId="0" applyFont="1" applyFill="1" applyBorder="1" applyAlignment="1">
      <alignment vertical="center" wrapText="1"/>
    </xf>
    <xf numFmtId="0" fontId="31" fillId="11" borderId="21" xfId="0" applyFont="1" applyFill="1" applyBorder="1" applyAlignment="1">
      <alignment vertical="center" wrapText="1"/>
    </xf>
    <xf numFmtId="0" fontId="31" fillId="11" borderId="31" xfId="0" applyFont="1" applyFill="1" applyBorder="1" applyAlignment="1">
      <alignment vertical="center" wrapText="1"/>
    </xf>
    <xf numFmtId="0" fontId="10" fillId="0" borderId="0" xfId="0" applyFont="1" applyAlignment="1">
      <alignment horizontal="left" vertical="center" wrapText="1"/>
    </xf>
    <xf numFmtId="0" fontId="4" fillId="0" borderId="0" xfId="0" applyFont="1" applyAlignment="1">
      <alignment horizontal="left" vertical="center" wrapText="1"/>
    </xf>
    <xf numFmtId="0" fontId="1" fillId="11" borderId="21" xfId="0" applyFont="1" applyFill="1" applyBorder="1" applyAlignment="1">
      <alignment vertical="center" wrapText="1"/>
    </xf>
    <xf numFmtId="0" fontId="6" fillId="11" borderId="20" xfId="0" applyFont="1" applyFill="1" applyBorder="1" applyAlignment="1">
      <alignment vertical="center" wrapText="1"/>
    </xf>
    <xf numFmtId="0" fontId="6" fillId="11" borderId="0" xfId="0" applyFont="1" applyFill="1" applyBorder="1" applyAlignment="1">
      <alignment vertical="center" wrapText="1"/>
    </xf>
    <xf numFmtId="0" fontId="6" fillId="11" borderId="21" xfId="0" applyFont="1" applyFill="1" applyBorder="1" applyAlignment="1">
      <alignment vertical="center" wrapText="1"/>
    </xf>
    <xf numFmtId="0" fontId="31" fillId="11" borderId="11" xfId="0" applyFont="1" applyFill="1" applyBorder="1" applyAlignment="1">
      <alignment vertical="center" wrapText="1"/>
    </xf>
    <xf numFmtId="0" fontId="10" fillId="17" borderId="9" xfId="0" applyFont="1" applyFill="1" applyBorder="1" applyAlignment="1">
      <alignment vertical="top"/>
    </xf>
    <xf numFmtId="0" fontId="16" fillId="17" borderId="4" xfId="0" applyFont="1" applyFill="1" applyBorder="1" applyAlignment="1">
      <alignment horizontal="left"/>
    </xf>
    <xf numFmtId="0" fontId="10" fillId="17" borderId="4" xfId="0" applyFont="1" applyFill="1" applyBorder="1" applyAlignment="1">
      <alignment vertical="top"/>
    </xf>
    <xf numFmtId="0" fontId="10" fillId="17" borderId="3" xfId="0" applyFont="1" applyFill="1" applyBorder="1" applyAlignment="1">
      <alignment vertical="top"/>
    </xf>
    <xf numFmtId="0" fontId="1" fillId="0" borderId="17" xfId="0" applyFont="1" applyBorder="1" applyAlignment="1">
      <alignment vertical="top"/>
    </xf>
    <xf numFmtId="0" fontId="1" fillId="0" borderId="17" xfId="0" applyFont="1" applyBorder="1" applyAlignment="1">
      <alignment horizontal="left"/>
    </xf>
    <xf numFmtId="0" fontId="1" fillId="0" borderId="10" xfId="0" applyFont="1" applyBorder="1" applyAlignment="1">
      <alignment vertical="top"/>
    </xf>
    <xf numFmtId="0" fontId="1" fillId="0" borderId="2" xfId="0" applyFont="1" applyBorder="1" applyAlignment="1">
      <alignment vertical="top"/>
    </xf>
    <xf numFmtId="0" fontId="1" fillId="0" borderId="11" xfId="0" applyFont="1" applyBorder="1" applyAlignment="1">
      <alignment vertical="top"/>
    </xf>
    <xf numFmtId="0" fontId="1" fillId="17" borderId="4" xfId="0" applyFont="1" applyFill="1" applyBorder="1" applyAlignment="1">
      <alignment vertical="top"/>
    </xf>
    <xf numFmtId="0" fontId="1" fillId="17" borderId="3" xfId="0" applyFont="1" applyFill="1" applyBorder="1" applyAlignment="1">
      <alignment vertical="top"/>
    </xf>
    <xf numFmtId="0" fontId="10" fillId="2" borderId="9" xfId="0" applyFont="1" applyFill="1" applyBorder="1" applyAlignment="1">
      <alignment vertical="top" wrapText="1"/>
    </xf>
    <xf numFmtId="0" fontId="10" fillId="2" borderId="4" xfId="0" applyFont="1" applyFill="1" applyBorder="1" applyAlignment="1">
      <alignment vertical="top" wrapText="1"/>
    </xf>
    <xf numFmtId="0" fontId="10" fillId="2" borderId="3" xfId="0" applyFont="1" applyFill="1" applyBorder="1" applyAlignment="1">
      <alignment vertical="top" wrapText="1"/>
    </xf>
    <xf numFmtId="0" fontId="3" fillId="17" borderId="9" xfId="0" applyFont="1" applyFill="1" applyBorder="1" applyAlignment="1">
      <alignment vertical="center" wrapText="1"/>
    </xf>
    <xf numFmtId="0" fontId="3" fillId="17" borderId="4" xfId="0" applyFont="1" applyFill="1" applyBorder="1" applyAlignment="1">
      <alignment vertical="center" wrapText="1"/>
    </xf>
    <xf numFmtId="0" fontId="3" fillId="17" borderId="3" xfId="0" applyFont="1" applyFill="1" applyBorder="1" applyAlignment="1">
      <alignment vertical="center" wrapText="1"/>
    </xf>
    <xf numFmtId="0" fontId="1" fillId="0" borderId="3" xfId="0" applyFont="1" applyBorder="1" applyAlignment="1">
      <alignment vertical="top" wrapText="1"/>
    </xf>
    <xf numFmtId="0" fontId="4" fillId="0" borderId="0" xfId="0" applyFont="1" applyAlignment="1">
      <alignment horizontal="left" vertical="top" wrapText="1"/>
    </xf>
    <xf numFmtId="0" fontId="1" fillId="0" borderId="1" xfId="0" applyFont="1" applyBorder="1" applyAlignment="1">
      <alignment vertical="top" wrapText="1"/>
    </xf>
    <xf numFmtId="0" fontId="10" fillId="11" borderId="3" xfId="0" applyFont="1" applyFill="1" applyBorder="1" applyAlignment="1">
      <alignment vertical="top" wrapText="1"/>
    </xf>
    <xf numFmtId="0" fontId="4" fillId="0" borderId="0" xfId="0" applyFont="1">
      <alignment vertical="top" wrapText="1"/>
    </xf>
    <xf numFmtId="0" fontId="4" fillId="0" borderId="0" xfId="0" applyFont="1" applyAlignment="1">
      <alignment vertical="center" wrapText="1"/>
    </xf>
    <xf numFmtId="0" fontId="6" fillId="11" borderId="20" xfId="0" applyFont="1" applyFill="1" applyBorder="1" applyAlignment="1">
      <alignment vertical="center" wrapText="1"/>
    </xf>
    <xf numFmtId="0" fontId="6" fillId="11" borderId="0" xfId="0" applyFont="1" applyFill="1" applyBorder="1" applyAlignment="1">
      <alignment vertical="center" wrapText="1"/>
    </xf>
    <xf numFmtId="0" fontId="6" fillId="11" borderId="21" xfId="0" applyFont="1" applyFill="1" applyBorder="1" applyAlignment="1">
      <alignment vertical="center" wrapText="1"/>
    </xf>
    <xf numFmtId="0" fontId="31" fillId="11" borderId="21" xfId="0" applyFont="1" applyFill="1" applyBorder="1" applyAlignment="1">
      <alignment vertical="center" wrapText="1"/>
    </xf>
    <xf numFmtId="0" fontId="10" fillId="11" borderId="1" xfId="0" applyFont="1" applyFill="1" applyBorder="1" applyAlignment="1">
      <alignment vertical="top" wrapText="1"/>
    </xf>
    <xf numFmtId="0" fontId="1" fillId="18" borderId="1" xfId="0" applyFont="1" applyFill="1" applyBorder="1" applyAlignment="1">
      <alignment vertical="top" wrapText="1"/>
    </xf>
    <xf numFmtId="0" fontId="1" fillId="17" borderId="1" xfId="0" applyFont="1" applyFill="1" applyBorder="1" applyAlignment="1">
      <alignment horizontal="center" wrapText="1"/>
    </xf>
    <xf numFmtId="0" fontId="10" fillId="9" borderId="1" xfId="0" applyFont="1" applyFill="1" applyBorder="1" applyAlignment="1">
      <alignment horizontal="center" vertical="top" wrapText="1"/>
    </xf>
    <xf numFmtId="0" fontId="4" fillId="0" borderId="0" xfId="0" applyFont="1" applyFill="1">
      <alignment vertical="top" wrapText="1"/>
    </xf>
    <xf numFmtId="0" fontId="72" fillId="17" borderId="1" xfId="0" applyFont="1" applyFill="1" applyBorder="1" applyAlignment="1">
      <alignment horizontal="center" vertical="top" wrapText="1"/>
    </xf>
    <xf numFmtId="0" fontId="88" fillId="17" borderId="1" xfId="0" applyFont="1" applyFill="1" applyBorder="1" applyAlignment="1">
      <alignment horizontal="center" vertical="top" wrapText="1"/>
    </xf>
    <xf numFmtId="0" fontId="4" fillId="0" borderId="0" xfId="0" applyFont="1" applyFill="1" applyBorder="1" applyAlignment="1">
      <alignment vertical="top" wrapText="1"/>
    </xf>
    <xf numFmtId="0" fontId="1" fillId="0" borderId="3" xfId="0" applyFont="1" applyBorder="1" applyAlignment="1">
      <alignment vertical="top" wrapText="1"/>
    </xf>
    <xf numFmtId="0" fontId="4" fillId="0" borderId="0" xfId="0" applyFont="1" applyAlignment="1">
      <alignment horizontal="left" vertical="top" wrapText="1"/>
    </xf>
    <xf numFmtId="0" fontId="48" fillId="9" borderId="3" xfId="0" applyFont="1" applyFill="1" applyBorder="1" applyAlignment="1">
      <alignment horizontal="center" vertical="center" wrapText="1"/>
    </xf>
    <xf numFmtId="0" fontId="48" fillId="9" borderId="1" xfId="0" applyFont="1" applyFill="1" applyBorder="1" applyAlignment="1">
      <alignment horizontal="center" vertical="center" wrapText="1"/>
    </xf>
    <xf numFmtId="0" fontId="10" fillId="11" borderId="3" xfId="0" applyFont="1" applyFill="1" applyBorder="1" applyAlignment="1">
      <alignment vertical="top" wrapText="1"/>
    </xf>
    <xf numFmtId="0" fontId="1" fillId="0" borderId="1" xfId="0" applyFont="1" applyBorder="1" applyAlignment="1">
      <alignment vertical="top" wrapText="1"/>
    </xf>
    <xf numFmtId="0" fontId="4" fillId="0" borderId="3" xfId="0" applyFont="1" applyBorder="1">
      <alignment vertical="top" wrapText="1"/>
    </xf>
    <xf numFmtId="0" fontId="4" fillId="0" borderId="0" xfId="0" applyFont="1">
      <alignment vertical="top" wrapText="1"/>
    </xf>
    <xf numFmtId="0" fontId="4" fillId="0" borderId="0" xfId="0" applyFont="1" applyAlignment="1">
      <alignment vertical="center" wrapText="1"/>
    </xf>
    <xf numFmtId="0" fontId="4" fillId="0" borderId="0" xfId="0" applyFont="1" applyFill="1" applyBorder="1">
      <alignment vertical="top" wrapText="1"/>
    </xf>
    <xf numFmtId="0" fontId="31" fillId="11" borderId="21" xfId="0" applyFont="1" applyFill="1" applyBorder="1" applyAlignment="1">
      <alignment vertical="center" wrapText="1"/>
    </xf>
    <xf numFmtId="0" fontId="6" fillId="11" borderId="20" xfId="0" applyFont="1" applyFill="1" applyBorder="1" applyAlignment="1">
      <alignment vertical="center" wrapText="1"/>
    </xf>
    <xf numFmtId="0" fontId="6" fillId="11" borderId="0" xfId="0" applyFont="1" applyFill="1" applyBorder="1" applyAlignment="1">
      <alignment vertical="center" wrapText="1"/>
    </xf>
    <xf numFmtId="0" fontId="6" fillId="11" borderId="21" xfId="0" applyFont="1" applyFill="1" applyBorder="1" applyAlignment="1">
      <alignment vertical="center" wrapText="1"/>
    </xf>
    <xf numFmtId="0" fontId="4" fillId="0" borderId="0" xfId="0" applyFont="1" applyFill="1">
      <alignment vertical="top" wrapText="1"/>
    </xf>
    <xf numFmtId="0" fontId="10" fillId="11" borderId="1" xfId="0" applyFont="1" applyFill="1" applyBorder="1" applyAlignment="1">
      <alignment vertical="top" wrapText="1"/>
    </xf>
    <xf numFmtId="0" fontId="4" fillId="0" borderId="0" xfId="0" applyFont="1" applyAlignment="1">
      <alignment vertical="center" wrapText="1"/>
    </xf>
    <xf numFmtId="0" fontId="1" fillId="0" borderId="0" xfId="0" applyFont="1">
      <alignment vertical="top" wrapText="1"/>
    </xf>
    <xf numFmtId="0" fontId="1" fillId="13" borderId="1" xfId="0" applyFont="1" applyFill="1" applyBorder="1" applyAlignment="1"/>
    <xf numFmtId="0" fontId="1" fillId="0" borderId="3" xfId="0" applyFont="1" applyBorder="1" applyAlignment="1">
      <alignment vertical="top" wrapText="1"/>
    </xf>
    <xf numFmtId="0" fontId="1" fillId="17" borderId="1" xfId="0" applyFont="1" applyFill="1" applyBorder="1" applyAlignment="1">
      <alignment vertical="top" wrapText="1"/>
    </xf>
    <xf numFmtId="0" fontId="4" fillId="0" borderId="0" xfId="0" applyFont="1">
      <alignment vertical="top" wrapText="1"/>
    </xf>
    <xf numFmtId="0" fontId="1" fillId="24" borderId="1" xfId="0" applyFont="1" applyFill="1" applyBorder="1" applyAlignment="1">
      <alignment vertical="top" wrapText="1"/>
    </xf>
    <xf numFmtId="0" fontId="1" fillId="25" borderId="1" xfId="0" applyFont="1" applyFill="1" applyBorder="1" applyAlignment="1">
      <alignment vertical="top" wrapText="1"/>
    </xf>
    <xf numFmtId="0" fontId="1" fillId="26" borderId="1" xfId="0" applyFont="1" applyFill="1" applyBorder="1" applyAlignment="1">
      <alignment vertical="top" wrapText="1"/>
    </xf>
    <xf numFmtId="0" fontId="1" fillId="9" borderId="1" xfId="0" applyFont="1" applyFill="1" applyBorder="1" applyAlignment="1">
      <alignment vertical="top" wrapText="1"/>
    </xf>
    <xf numFmtId="0" fontId="61" fillId="22" borderId="1" xfId="0" applyFont="1" applyFill="1" applyBorder="1" applyAlignment="1">
      <alignment vertical="top" wrapText="1"/>
    </xf>
    <xf numFmtId="0" fontId="1" fillId="23" borderId="1" xfId="0" applyFont="1" applyFill="1" applyBorder="1" applyAlignment="1">
      <alignment vertical="top" wrapText="1"/>
    </xf>
    <xf numFmtId="0" fontId="88" fillId="0" borderId="0" xfId="0" applyFont="1">
      <alignment vertical="top" wrapText="1"/>
    </xf>
    <xf numFmtId="0" fontId="88" fillId="0" borderId="0" xfId="0" applyFont="1" applyAlignment="1">
      <alignment horizontal="left" vertical="center" wrapText="1"/>
    </xf>
    <xf numFmtId="0" fontId="107" fillId="0" borderId="0" xfId="0" applyFont="1" applyAlignment="1">
      <alignment horizontal="left" vertical="center" wrapText="1"/>
    </xf>
    <xf numFmtId="0" fontId="108" fillId="11" borderId="31" xfId="0" applyFont="1" applyFill="1" applyBorder="1" applyAlignment="1">
      <alignment vertical="center" wrapText="1"/>
    </xf>
    <xf numFmtId="0" fontId="88" fillId="0" borderId="0" xfId="0" applyFont="1" applyAlignment="1">
      <alignment vertical="center" wrapText="1"/>
    </xf>
    <xf numFmtId="0" fontId="108" fillId="11" borderId="21" xfId="0" applyFont="1" applyFill="1" applyBorder="1" applyAlignment="1">
      <alignment vertical="center" wrapText="1"/>
    </xf>
    <xf numFmtId="0" fontId="109" fillId="11" borderId="20" xfId="0" applyFont="1" applyFill="1" applyBorder="1" applyAlignment="1">
      <alignment vertical="center" wrapText="1"/>
    </xf>
    <xf numFmtId="0" fontId="109" fillId="11" borderId="0" xfId="0" applyFont="1" applyFill="1" applyBorder="1" applyAlignment="1">
      <alignment vertical="center" wrapText="1"/>
    </xf>
    <xf numFmtId="0" fontId="109" fillId="11" borderId="21" xfId="0" applyFont="1" applyFill="1" applyBorder="1" applyAlignment="1">
      <alignment vertical="center" wrapText="1"/>
    </xf>
    <xf numFmtId="0" fontId="108" fillId="11" borderId="28" xfId="0" applyFont="1" applyFill="1" applyBorder="1" applyAlignment="1">
      <alignment vertical="center" wrapText="1"/>
    </xf>
    <xf numFmtId="0" fontId="108" fillId="11" borderId="20" xfId="0" applyFont="1" applyFill="1" applyBorder="1" applyAlignment="1">
      <alignment vertical="center" wrapText="1"/>
    </xf>
    <xf numFmtId="0" fontId="108" fillId="11" borderId="0" xfId="0" applyFont="1" applyFill="1" applyBorder="1" applyAlignment="1">
      <alignment vertical="center" wrapText="1"/>
    </xf>
    <xf numFmtId="0" fontId="88" fillId="11" borderId="21" xfId="0" applyFont="1" applyFill="1" applyBorder="1" applyAlignment="1">
      <alignment vertical="center" wrapText="1"/>
    </xf>
    <xf numFmtId="0" fontId="108" fillId="11" borderId="30" xfId="0" applyFont="1" applyFill="1" applyBorder="1" applyAlignment="1">
      <alignment vertical="center" wrapText="1"/>
    </xf>
    <xf numFmtId="0" fontId="1" fillId="13" borderId="1" xfId="0" applyFont="1" applyFill="1" applyBorder="1" applyAlignment="1"/>
    <xf numFmtId="167" fontId="77" fillId="13" borderId="1" xfId="0" applyNumberFormat="1" applyFont="1" applyFill="1" applyBorder="1" applyAlignment="1">
      <alignment horizontal="left" vertical="top" wrapText="1"/>
    </xf>
    <xf numFmtId="167" fontId="77" fillId="13" borderId="1" xfId="8" applyNumberFormat="1" applyFont="1" applyFill="1" applyBorder="1" applyAlignment="1">
      <alignment horizontal="left" vertical="top" wrapText="1"/>
    </xf>
    <xf numFmtId="0" fontId="77" fillId="13" borderId="1" xfId="0" applyFont="1" applyFill="1" applyBorder="1" applyAlignment="1">
      <alignment horizontal="center" vertical="top" wrapText="1"/>
    </xf>
    <xf numFmtId="49" fontId="77" fillId="13" borderId="1" xfId="0" applyNumberFormat="1" applyFont="1" applyFill="1" applyBorder="1" applyAlignment="1">
      <alignment horizontal="center" vertical="top" wrapText="1"/>
    </xf>
    <xf numFmtId="0" fontId="82" fillId="13" borderId="1" xfId="0" applyFont="1" applyFill="1" applyBorder="1" applyAlignment="1">
      <alignment vertical="center"/>
    </xf>
    <xf numFmtId="0" fontId="0" fillId="0" borderId="0" xfId="0" applyAlignment="1">
      <alignment horizontal="left" vertical="top"/>
    </xf>
    <xf numFmtId="0" fontId="1" fillId="0" borderId="0" xfId="0" applyFont="1" applyAlignment="1">
      <alignment horizontal="left" vertical="top"/>
    </xf>
    <xf numFmtId="0" fontId="1" fillId="0" borderId="0" xfId="0" applyFont="1" applyAlignment="1">
      <alignment vertical="top"/>
    </xf>
    <xf numFmtId="49" fontId="8" fillId="13" borderId="1" xfId="0" applyNumberFormat="1" applyFont="1" applyFill="1" applyBorder="1" applyAlignment="1">
      <alignment horizontal="center" vertical="top"/>
    </xf>
    <xf numFmtId="0" fontId="30" fillId="7" borderId="1" xfId="0" applyFont="1" applyFill="1" applyBorder="1" applyAlignment="1">
      <alignment horizontal="center" vertical="center" wrapText="1"/>
    </xf>
    <xf numFmtId="0" fontId="7" fillId="7" borderId="1" xfId="0" applyFont="1" applyFill="1" applyBorder="1" applyAlignment="1">
      <alignment horizontal="center" vertical="center" wrapText="1"/>
    </xf>
    <xf numFmtId="0" fontId="1" fillId="0" borderId="1" xfId="0" applyFont="1" applyFill="1" applyBorder="1" applyAlignment="1">
      <alignment horizontal="left"/>
    </xf>
    <xf numFmtId="9" fontId="4" fillId="0" borderId="9" xfId="0" applyNumberFormat="1" applyFont="1" applyBorder="1" applyAlignment="1">
      <alignment horizontal="center" wrapText="1"/>
    </xf>
    <xf numFmtId="9" fontId="4" fillId="0" borderId="3" xfId="0" applyNumberFormat="1" applyFont="1" applyBorder="1" applyAlignment="1">
      <alignment horizontal="center" wrapText="1"/>
    </xf>
    <xf numFmtId="9" fontId="4" fillId="0" borderId="9" xfId="0" applyNumberFormat="1" applyFont="1" applyFill="1" applyBorder="1" applyAlignment="1">
      <alignment horizontal="center"/>
    </xf>
    <xf numFmtId="9" fontId="4" fillId="0" borderId="3" xfId="0" applyNumberFormat="1" applyFont="1" applyBorder="1" applyAlignment="1">
      <alignment horizontal="center"/>
    </xf>
    <xf numFmtId="0" fontId="4" fillId="0" borderId="9" xfId="0" applyFont="1" applyFill="1" applyBorder="1" applyAlignment="1">
      <alignment horizontal="center"/>
    </xf>
    <xf numFmtId="0" fontId="4" fillId="0" borderId="3" xfId="0" applyFont="1" applyBorder="1" applyAlignment="1">
      <alignment horizontal="center"/>
    </xf>
    <xf numFmtId="0" fontId="10" fillId="2" borderId="12" xfId="0" applyFont="1" applyFill="1" applyBorder="1" applyAlignment="1">
      <alignment horizontal="center" vertical="center"/>
    </xf>
    <xf numFmtId="0" fontId="10" fillId="2" borderId="13" xfId="0" applyFont="1" applyFill="1" applyBorder="1" applyAlignment="1">
      <alignment horizontal="center" vertical="center"/>
    </xf>
    <xf numFmtId="0" fontId="10" fillId="2" borderId="31" xfId="0" applyFont="1" applyFill="1" applyBorder="1" applyAlignment="1">
      <alignment horizontal="center" vertical="center"/>
    </xf>
    <xf numFmtId="0" fontId="10" fillId="2" borderId="10" xfId="0" applyFont="1" applyFill="1" applyBorder="1" applyAlignment="1">
      <alignment horizontal="center" vertical="center"/>
    </xf>
    <xf numFmtId="0" fontId="10" fillId="2" borderId="2" xfId="0" applyFont="1" applyFill="1" applyBorder="1" applyAlignment="1">
      <alignment horizontal="center" vertical="center"/>
    </xf>
    <xf numFmtId="0" fontId="10" fillId="2" borderId="11" xfId="0" applyFont="1" applyFill="1" applyBorder="1" applyAlignment="1">
      <alignment horizontal="center" vertical="center"/>
    </xf>
    <xf numFmtId="0" fontId="4" fillId="0" borderId="1" xfId="0" applyFont="1" applyFill="1" applyBorder="1" applyAlignment="1">
      <alignment horizontal="left" vertical="top" indent="1"/>
    </xf>
    <xf numFmtId="0" fontId="4" fillId="0" borderId="9" xfId="0" applyFont="1" applyBorder="1" applyAlignment="1">
      <alignment horizontal="center" wrapText="1"/>
    </xf>
    <xf numFmtId="0" fontId="4" fillId="0" borderId="3" xfId="0" applyFont="1" applyBorder="1" applyAlignment="1">
      <alignment horizontal="center" wrapText="1"/>
    </xf>
    <xf numFmtId="0" fontId="4" fillId="6" borderId="9" xfId="0" applyFont="1" applyFill="1" applyBorder="1" applyAlignment="1">
      <alignment horizontal="center"/>
    </xf>
    <xf numFmtId="0" fontId="10" fillId="9" borderId="1" xfId="0" applyFont="1" applyFill="1" applyBorder="1" applyAlignment="1">
      <alignment horizontal="center"/>
    </xf>
    <xf numFmtId="0" fontId="10" fillId="2" borderId="12" xfId="0" applyFont="1" applyFill="1" applyBorder="1" applyAlignment="1">
      <alignment horizontal="center" vertical="center" wrapText="1"/>
    </xf>
    <xf numFmtId="0" fontId="10" fillId="2" borderId="31" xfId="0" applyFont="1" applyFill="1" applyBorder="1" applyAlignment="1">
      <alignment horizontal="center" vertical="center" wrapText="1"/>
    </xf>
    <xf numFmtId="0" fontId="10" fillId="2" borderId="10" xfId="0" applyFont="1" applyFill="1" applyBorder="1" applyAlignment="1">
      <alignment horizontal="center" vertical="center" wrapText="1"/>
    </xf>
    <xf numFmtId="0" fontId="10" fillId="2" borderId="11" xfId="0" applyFont="1" applyFill="1" applyBorder="1" applyAlignment="1">
      <alignment horizontal="center" vertical="center" wrapText="1"/>
    </xf>
    <xf numFmtId="0" fontId="10" fillId="11" borderId="1" xfId="0" applyFont="1" applyFill="1" applyBorder="1" applyAlignment="1">
      <alignment horizontal="center"/>
    </xf>
    <xf numFmtId="0" fontId="1" fillId="9" borderId="1" xfId="0" applyFont="1" applyFill="1" applyBorder="1" applyAlignment="1">
      <alignment horizontal="left"/>
    </xf>
    <xf numFmtId="0" fontId="5" fillId="0" borderId="1" xfId="3" applyBorder="1" applyAlignment="1" applyProtection="1">
      <alignment vertical="center" wrapText="1"/>
    </xf>
    <xf numFmtId="0" fontId="1" fillId="0" borderId="1" xfId="0" applyFont="1" applyBorder="1" applyAlignment="1">
      <alignment vertical="center" wrapText="1"/>
    </xf>
    <xf numFmtId="0" fontId="5" fillId="0" borderId="1" xfId="3" applyFill="1" applyBorder="1" applyAlignment="1" applyProtection="1">
      <alignment horizontal="left"/>
    </xf>
    <xf numFmtId="0" fontId="4" fillId="0" borderId="1" xfId="0" applyFont="1" applyFill="1" applyBorder="1" applyAlignment="1">
      <alignment horizontal="center"/>
    </xf>
    <xf numFmtId="0" fontId="4" fillId="0" borderId="1" xfId="0" applyFont="1" applyFill="1" applyBorder="1" applyAlignment="1">
      <alignment horizontal="left"/>
    </xf>
    <xf numFmtId="0" fontId="1" fillId="0" borderId="9" xfId="0" applyFont="1" applyFill="1" applyBorder="1" applyAlignment="1">
      <alignment horizontal="left"/>
    </xf>
    <xf numFmtId="0" fontId="1" fillId="0" borderId="3" xfId="0" applyFont="1" applyFill="1" applyBorder="1" applyAlignment="1">
      <alignment horizontal="left"/>
    </xf>
    <xf numFmtId="0" fontId="1" fillId="17" borderId="1" xfId="0" applyFont="1" applyFill="1" applyBorder="1" applyAlignment="1">
      <alignment horizontal="left"/>
    </xf>
    <xf numFmtId="0" fontId="62" fillId="14" borderId="2" xfId="3" applyFont="1" applyFill="1" applyBorder="1" applyAlignment="1" applyProtection="1">
      <alignment horizontal="left" vertical="top" wrapText="1"/>
    </xf>
    <xf numFmtId="0" fontId="4" fillId="0" borderId="4" xfId="0" applyFont="1" applyFill="1" applyBorder="1" applyAlignment="1">
      <alignment horizontal="left"/>
    </xf>
    <xf numFmtId="0" fontId="4" fillId="0" borderId="3" xfId="0" applyFont="1" applyFill="1" applyBorder="1" applyAlignment="1">
      <alignment horizontal="left"/>
    </xf>
    <xf numFmtId="0" fontId="10" fillId="10" borderId="1" xfId="0" applyFont="1" applyFill="1" applyBorder="1" applyAlignment="1">
      <alignment horizontal="center"/>
    </xf>
    <xf numFmtId="0" fontId="10" fillId="9" borderId="4" xfId="0" applyFont="1" applyFill="1" applyBorder="1" applyAlignment="1">
      <alignment horizontal="left"/>
    </xf>
    <xf numFmtId="0" fontId="10" fillId="9" borderId="3" xfId="0" applyFont="1" applyFill="1" applyBorder="1" applyAlignment="1">
      <alignment horizontal="left"/>
    </xf>
    <xf numFmtId="0" fontId="4" fillId="0" borderId="1" xfId="0" applyFont="1" applyFill="1" applyBorder="1" applyAlignment="1"/>
    <xf numFmtId="0" fontId="4" fillId="0" borderId="9" xfId="0" applyFont="1" applyFill="1" applyBorder="1" applyAlignment="1">
      <alignment horizontal="left"/>
    </xf>
    <xf numFmtId="0" fontId="4" fillId="0" borderId="1" xfId="0" applyFont="1" applyFill="1" applyBorder="1" applyAlignment="1">
      <alignment horizontal="right"/>
    </xf>
    <xf numFmtId="0" fontId="1" fillId="13" borderId="1" xfId="0" applyFont="1" applyFill="1" applyBorder="1" applyAlignment="1">
      <alignment horizontal="left"/>
    </xf>
    <xf numFmtId="0" fontId="4" fillId="13" borderId="1" xfId="0" applyFont="1" applyFill="1" applyBorder="1" applyAlignment="1">
      <alignment horizontal="left"/>
    </xf>
    <xf numFmtId="0" fontId="10" fillId="0" borderId="0" xfId="0" applyFont="1" applyFill="1" applyBorder="1" applyAlignment="1">
      <alignment horizontal="left"/>
    </xf>
    <xf numFmtId="0" fontId="4" fillId="0" borderId="0" xfId="0" applyFont="1" applyFill="1" applyBorder="1" applyAlignment="1">
      <alignment horizontal="left"/>
    </xf>
    <xf numFmtId="0" fontId="30" fillId="12" borderId="1" xfId="0" applyFont="1" applyFill="1" applyBorder="1" applyAlignment="1">
      <alignment horizontal="center" vertical="center" wrapText="1"/>
    </xf>
    <xf numFmtId="0" fontId="7" fillId="12" borderId="1" xfId="0" applyFont="1" applyFill="1" applyBorder="1" applyAlignment="1">
      <alignment horizontal="center" vertical="center" wrapText="1"/>
    </xf>
    <xf numFmtId="0" fontId="4" fillId="0" borderId="1" xfId="0" applyFont="1" applyFill="1" applyBorder="1" applyAlignment="1">
      <alignment horizontal="right" indent="1"/>
    </xf>
    <xf numFmtId="0" fontId="10" fillId="2" borderId="9" xfId="0" applyFont="1" applyFill="1" applyBorder="1" applyAlignment="1">
      <alignment horizontal="center"/>
    </xf>
    <xf numFmtId="0" fontId="4" fillId="2" borderId="4" xfId="0" applyFont="1" applyFill="1" applyBorder="1" applyAlignment="1">
      <alignment horizontal="center"/>
    </xf>
    <xf numFmtId="0" fontId="4" fillId="2" borderId="13" xfId="0" applyFont="1" applyFill="1" applyBorder="1" applyAlignment="1">
      <alignment horizontal="center"/>
    </xf>
    <xf numFmtId="0" fontId="4" fillId="2" borderId="31" xfId="0" applyFont="1" applyFill="1" applyBorder="1" applyAlignment="1">
      <alignment horizontal="center"/>
    </xf>
    <xf numFmtId="0" fontId="4" fillId="13" borderId="1" xfId="0" applyFont="1" applyFill="1" applyBorder="1" applyAlignment="1"/>
    <xf numFmtId="0" fontId="1" fillId="0" borderId="1" xfId="0" applyFont="1" applyBorder="1" applyAlignment="1"/>
    <xf numFmtId="0" fontId="10" fillId="0" borderId="20" xfId="0" applyFont="1" applyFill="1" applyBorder="1" applyAlignment="1">
      <alignment horizontal="left"/>
    </xf>
    <xf numFmtId="3" fontId="4" fillId="0" borderId="1" xfId="0" applyNumberFormat="1" applyFont="1" applyFill="1" applyBorder="1" applyAlignment="1">
      <alignment horizontal="left"/>
    </xf>
    <xf numFmtId="0" fontId="1" fillId="0" borderId="9" xfId="0" applyFont="1" applyFill="1" applyBorder="1" applyAlignment="1"/>
    <xf numFmtId="0" fontId="4" fillId="0" borderId="4" xfId="0" applyFont="1" applyFill="1" applyBorder="1" applyAlignment="1"/>
    <xf numFmtId="0" fontId="4" fillId="0" borderId="3" xfId="0" applyFont="1" applyFill="1" applyBorder="1" applyAlignment="1"/>
    <xf numFmtId="0" fontId="10" fillId="9" borderId="1" xfId="0" applyFont="1" applyFill="1" applyBorder="1" applyAlignment="1">
      <alignment horizontal="left"/>
    </xf>
    <xf numFmtId="0" fontId="1" fillId="13" borderId="9" xfId="0" applyFont="1" applyFill="1" applyBorder="1" applyAlignment="1">
      <alignment horizontal="left"/>
    </xf>
    <xf numFmtId="0" fontId="4" fillId="13" borderId="4" xfId="0" applyFont="1" applyFill="1" applyBorder="1" applyAlignment="1">
      <alignment horizontal="left"/>
    </xf>
    <xf numFmtId="0" fontId="4" fillId="13" borderId="3" xfId="0" applyFont="1" applyFill="1" applyBorder="1" applyAlignment="1">
      <alignment horizontal="left"/>
    </xf>
    <xf numFmtId="0" fontId="4" fillId="17" borderId="1" xfId="0" applyFont="1" applyFill="1" applyBorder="1" applyAlignment="1">
      <alignment horizontal="left"/>
    </xf>
    <xf numFmtId="0" fontId="1" fillId="0" borderId="1" xfId="0" applyFont="1" applyFill="1" applyBorder="1" applyAlignment="1">
      <alignment horizontal="right" indent="1"/>
    </xf>
    <xf numFmtId="0" fontId="71" fillId="2" borderId="9" xfId="0" applyFont="1" applyFill="1" applyBorder="1" applyAlignment="1">
      <alignment horizontal="center"/>
    </xf>
    <xf numFmtId="0" fontId="72" fillId="2" borderId="4" xfId="0" applyFont="1" applyFill="1" applyBorder="1" applyAlignment="1">
      <alignment horizontal="center"/>
    </xf>
    <xf numFmtId="0" fontId="72" fillId="2" borderId="3" xfId="0" applyFont="1" applyFill="1" applyBorder="1" applyAlignment="1">
      <alignment horizontal="center"/>
    </xf>
    <xf numFmtId="0" fontId="1" fillId="13" borderId="1" xfId="0" applyFont="1" applyFill="1" applyBorder="1" applyAlignment="1"/>
    <xf numFmtId="0" fontId="5" fillId="0" borderId="1" xfId="3" applyBorder="1" applyAlignment="1" applyProtection="1"/>
    <xf numFmtId="0" fontId="1" fillId="0" borderId="1" xfId="3" applyFont="1" applyBorder="1" applyAlignment="1" applyProtection="1"/>
    <xf numFmtId="0" fontId="1" fillId="0" borderId="9" xfId="0" applyFont="1" applyFill="1" applyBorder="1" applyAlignment="1">
      <alignment horizontal="right" wrapText="1" indent="1"/>
    </xf>
    <xf numFmtId="0" fontId="4" fillId="0" borderId="4" xfId="0" applyFont="1" applyFill="1" applyBorder="1" applyAlignment="1">
      <alignment horizontal="right" wrapText="1" indent="1"/>
    </xf>
    <xf numFmtId="0" fontId="4" fillId="0" borderId="3" xfId="0" applyFont="1" applyFill="1" applyBorder="1" applyAlignment="1">
      <alignment horizontal="right" wrapText="1" indent="1"/>
    </xf>
    <xf numFmtId="0" fontId="4" fillId="2" borderId="3" xfId="0" applyFont="1" applyFill="1" applyBorder="1" applyAlignment="1">
      <alignment horizontal="center"/>
    </xf>
    <xf numFmtId="0" fontId="5" fillId="0" borderId="9" xfId="3" applyFill="1" applyBorder="1" applyAlignment="1" applyProtection="1">
      <alignment horizontal="left"/>
    </xf>
    <xf numFmtId="0" fontId="1" fillId="0" borderId="1" xfId="0" applyFont="1" applyFill="1" applyBorder="1" applyAlignment="1"/>
    <xf numFmtId="0" fontId="10" fillId="2" borderId="4" xfId="0" applyFont="1" applyFill="1" applyBorder="1" applyAlignment="1">
      <alignment horizontal="center"/>
    </xf>
    <xf numFmtId="0" fontId="10" fillId="2" borderId="3" xfId="0" applyFont="1" applyFill="1" applyBorder="1" applyAlignment="1">
      <alignment horizontal="center"/>
    </xf>
    <xf numFmtId="0" fontId="1" fillId="13" borderId="1" xfId="0" applyFont="1" applyFill="1" applyBorder="1" applyAlignment="1">
      <alignment wrapText="1"/>
    </xf>
    <xf numFmtId="0" fontId="5" fillId="13" borderId="1" xfId="3" applyFill="1" applyBorder="1" applyAlignment="1" applyProtection="1"/>
    <xf numFmtId="0" fontId="10" fillId="2" borderId="9" xfId="3" applyFont="1" applyFill="1" applyBorder="1" applyAlignment="1" applyProtection="1">
      <alignment horizontal="center"/>
    </xf>
    <xf numFmtId="0" fontId="45" fillId="2" borderId="4" xfId="3" applyFont="1" applyFill="1" applyBorder="1" applyAlignment="1" applyProtection="1">
      <alignment horizontal="center"/>
    </xf>
    <xf numFmtId="0" fontId="45" fillId="2" borderId="3" xfId="3" applyFont="1" applyFill="1" applyBorder="1" applyAlignment="1" applyProtection="1">
      <alignment horizontal="center"/>
    </xf>
    <xf numFmtId="9" fontId="10" fillId="0" borderId="1" xfId="0" applyNumberFormat="1" applyFont="1" applyFill="1" applyBorder="1" applyAlignment="1">
      <alignment horizontal="center" wrapText="1"/>
    </xf>
    <xf numFmtId="0" fontId="1" fillId="13" borderId="9" xfId="0" applyFont="1" applyFill="1" applyBorder="1" applyAlignment="1">
      <alignment horizontal="left" wrapText="1"/>
    </xf>
    <xf numFmtId="0" fontId="1" fillId="13" borderId="4" xfId="0" applyFont="1" applyFill="1" applyBorder="1" applyAlignment="1">
      <alignment horizontal="left" wrapText="1"/>
    </xf>
    <xf numFmtId="0" fontId="1" fillId="13" borderId="3" xfId="0" applyFont="1" applyFill="1" applyBorder="1" applyAlignment="1">
      <alignment horizontal="left" wrapText="1"/>
    </xf>
    <xf numFmtId="0" fontId="1" fillId="0" borderId="4" xfId="0" applyFont="1" applyFill="1" applyBorder="1" applyAlignment="1">
      <alignment horizontal="left"/>
    </xf>
    <xf numFmtId="0" fontId="10" fillId="10" borderId="1" xfId="0" applyFont="1" applyFill="1" applyBorder="1" applyAlignment="1">
      <alignment horizontal="left"/>
    </xf>
    <xf numFmtId="0" fontId="4" fillId="0" borderId="9" xfId="0" applyFont="1" applyFill="1" applyBorder="1" applyAlignment="1">
      <alignment horizontal="left" indent="1"/>
    </xf>
    <xf numFmtId="0" fontId="4" fillId="0" borderId="4" xfId="0" applyFont="1" applyFill="1" applyBorder="1" applyAlignment="1">
      <alignment horizontal="left" indent="1"/>
    </xf>
    <xf numFmtId="0" fontId="4" fillId="0" borderId="3" xfId="0" applyFont="1" applyFill="1" applyBorder="1" applyAlignment="1">
      <alignment horizontal="left" indent="1"/>
    </xf>
    <xf numFmtId="0" fontId="1" fillId="0" borderId="12" xfId="0" applyFont="1" applyFill="1" applyBorder="1" applyAlignment="1">
      <alignment horizontal="right" indent="1"/>
    </xf>
    <xf numFmtId="0" fontId="1" fillId="0" borderId="13" xfId="0" applyFont="1" applyFill="1" applyBorder="1" applyAlignment="1">
      <alignment horizontal="right" indent="1"/>
    </xf>
    <xf numFmtId="0" fontId="10" fillId="2" borderId="1" xfId="0" applyFont="1" applyFill="1" applyBorder="1" applyAlignment="1">
      <alignment horizontal="center"/>
    </xf>
    <xf numFmtId="0" fontId="10" fillId="0" borderId="1" xfId="0" applyFont="1" applyFill="1" applyBorder="1" applyAlignment="1">
      <alignment horizontal="center" wrapText="1"/>
    </xf>
    <xf numFmtId="0" fontId="10" fillId="9" borderId="9" xfId="0" applyFont="1" applyFill="1" applyBorder="1" applyAlignment="1">
      <alignment horizontal="center"/>
    </xf>
    <xf numFmtId="0" fontId="10" fillId="9" borderId="4" xfId="0" applyFont="1" applyFill="1" applyBorder="1" applyAlignment="1">
      <alignment horizontal="center"/>
    </xf>
    <xf numFmtId="0" fontId="10" fillId="9" borderId="3" xfId="0" applyFont="1" applyFill="1" applyBorder="1" applyAlignment="1">
      <alignment horizontal="center"/>
    </xf>
    <xf numFmtId="0" fontId="1" fillId="17" borderId="1" xfId="3" applyFont="1" applyFill="1" applyBorder="1" applyAlignment="1" applyProtection="1">
      <alignment horizontal="left"/>
    </xf>
    <xf numFmtId="0" fontId="1" fillId="17" borderId="1" xfId="0" applyFont="1" applyFill="1" applyBorder="1" applyAlignment="1"/>
    <xf numFmtId="0" fontId="1" fillId="17" borderId="1" xfId="0" applyFont="1" applyFill="1" applyBorder="1" applyAlignment="1">
      <alignment vertical="center" wrapText="1"/>
    </xf>
    <xf numFmtId="0" fontId="5" fillId="17" borderId="1" xfId="3" applyFill="1" applyBorder="1" applyAlignment="1" applyProtection="1">
      <alignment horizontal="left"/>
    </xf>
    <xf numFmtId="0" fontId="62" fillId="14" borderId="2" xfId="3" applyFont="1" applyFill="1" applyBorder="1" applyAlignment="1" applyProtection="1">
      <alignment horizontal="left" vertical="top"/>
    </xf>
    <xf numFmtId="0" fontId="1" fillId="17" borderId="1" xfId="0" applyFont="1" applyFill="1" applyBorder="1" applyAlignment="1">
      <alignment horizontal="left" vertical="top" wrapText="1"/>
    </xf>
    <xf numFmtId="0" fontId="47" fillId="0" borderId="0" xfId="0" applyFont="1" applyAlignment="1">
      <alignment horizontal="left" vertical="center" wrapText="1"/>
    </xf>
    <xf numFmtId="0" fontId="5" fillId="0" borderId="0" xfId="3" applyAlignment="1" applyProtection="1">
      <alignment vertical="top" wrapText="1"/>
    </xf>
    <xf numFmtId="0" fontId="47" fillId="0" borderId="0" xfId="0" applyFont="1" applyAlignment="1">
      <alignment horizontal="left" vertical="center"/>
    </xf>
    <xf numFmtId="0" fontId="4" fillId="0" borderId="1" xfId="0" applyFont="1" applyBorder="1" applyAlignment="1">
      <alignment horizontal="center"/>
    </xf>
    <xf numFmtId="0" fontId="4" fillId="0" borderId="1" xfId="0" applyFont="1" applyBorder="1" applyAlignment="1"/>
    <xf numFmtId="0" fontId="47" fillId="0" borderId="0" xfId="0" applyFont="1" applyAlignment="1">
      <alignment horizontal="left" wrapText="1"/>
    </xf>
    <xf numFmtId="0" fontId="10" fillId="9" borderId="1" xfId="0" applyFont="1" applyFill="1" applyBorder="1" applyAlignment="1">
      <alignment horizontal="left" wrapText="1"/>
    </xf>
    <xf numFmtId="0" fontId="47" fillId="0" borderId="0" xfId="0" applyFont="1" applyAlignment="1">
      <alignment horizontal="left"/>
    </xf>
    <xf numFmtId="0" fontId="4" fillId="0" borderId="1" xfId="0" applyFont="1" applyBorder="1" applyAlignment="1">
      <alignment horizontal="left"/>
    </xf>
    <xf numFmtId="0" fontId="39" fillId="12" borderId="20" xfId="0" applyFont="1" applyFill="1" applyBorder="1" applyAlignment="1">
      <alignment horizontal="center" vertical="center" wrapText="1"/>
    </xf>
    <xf numFmtId="0" fontId="39" fillId="12" borderId="0" xfId="0" applyFont="1" applyFill="1" applyBorder="1" applyAlignment="1">
      <alignment horizontal="center" vertical="center" wrapText="1"/>
    </xf>
    <xf numFmtId="0" fontId="4" fillId="0" borderId="9" xfId="0" applyFont="1" applyBorder="1" applyAlignment="1">
      <alignment horizontal="left"/>
    </xf>
    <xf numFmtId="0" fontId="4" fillId="0" borderId="4" xfId="0" applyFont="1" applyBorder="1" applyAlignment="1">
      <alignment horizontal="left"/>
    </xf>
    <xf numFmtId="0" fontId="4" fillId="0" borderId="3" xfId="0" applyFont="1" applyBorder="1" applyAlignment="1">
      <alignment horizontal="left"/>
    </xf>
    <xf numFmtId="0" fontId="30" fillId="12" borderId="9" xfId="0" applyFont="1" applyFill="1" applyBorder="1" applyAlignment="1">
      <alignment horizontal="center" vertical="center" wrapText="1"/>
    </xf>
    <xf numFmtId="0" fontId="30" fillId="12" borderId="4" xfId="0" applyFont="1" applyFill="1" applyBorder="1" applyAlignment="1">
      <alignment horizontal="center" vertical="center" wrapText="1"/>
    </xf>
    <xf numFmtId="0" fontId="4" fillId="0" borderId="0" xfId="0" applyFont="1" applyFill="1" applyBorder="1" applyAlignment="1"/>
    <xf numFmtId="0" fontId="1" fillId="13" borderId="0" xfId="0" applyFont="1" applyFill="1" applyBorder="1" applyAlignment="1"/>
    <xf numFmtId="0" fontId="1" fillId="0" borderId="0" xfId="0" applyFont="1" applyFill="1" applyBorder="1" applyAlignment="1"/>
    <xf numFmtId="0" fontId="10" fillId="0" borderId="0" xfId="0" applyFont="1">
      <alignment vertical="top" wrapText="1"/>
    </xf>
    <xf numFmtId="0" fontId="1" fillId="13" borderId="1" xfId="0" applyFont="1" applyFill="1" applyBorder="1" applyAlignment="1">
      <alignment horizontal="left" vertical="top" wrapText="1"/>
    </xf>
    <xf numFmtId="0" fontId="88" fillId="17" borderId="1" xfId="0" applyFont="1" applyFill="1" applyBorder="1" applyAlignment="1">
      <alignment horizontal="left" vertical="top" wrapText="1"/>
    </xf>
    <xf numFmtId="0" fontId="10" fillId="9" borderId="1" xfId="0" applyFont="1" applyFill="1" applyBorder="1" applyAlignment="1">
      <alignment horizontal="center" vertical="top" wrapText="1"/>
    </xf>
    <xf numFmtId="0" fontId="10" fillId="0" borderId="2" xfId="0" applyFont="1" applyFill="1" applyBorder="1" applyAlignment="1">
      <alignment vertical="center" wrapText="1"/>
    </xf>
    <xf numFmtId="0" fontId="10" fillId="0" borderId="4" xfId="0" applyFont="1" applyFill="1" applyBorder="1" applyAlignment="1">
      <alignment vertical="center" wrapText="1"/>
    </xf>
    <xf numFmtId="0" fontId="72" fillId="17" borderId="1" xfId="0" applyFont="1" applyFill="1" applyBorder="1" applyAlignment="1">
      <alignment horizontal="left" vertical="top" wrapText="1"/>
    </xf>
    <xf numFmtId="0" fontId="1" fillId="13" borderId="9" xfId="0" applyFont="1" applyFill="1" applyBorder="1" applyAlignment="1">
      <alignment horizontal="left" vertical="top" wrapText="1"/>
    </xf>
    <xf numFmtId="0" fontId="1" fillId="13" borderId="4" xfId="0" applyFont="1" applyFill="1" applyBorder="1" applyAlignment="1">
      <alignment horizontal="left" vertical="top" wrapText="1"/>
    </xf>
    <xf numFmtId="0" fontId="1" fillId="13" borderId="3" xfId="0" applyFont="1" applyFill="1" applyBorder="1" applyAlignment="1">
      <alignment horizontal="left" vertical="top" wrapText="1"/>
    </xf>
    <xf numFmtId="0" fontId="1" fillId="0" borderId="1" xfId="0" applyFont="1" applyFill="1" applyBorder="1" applyAlignment="1">
      <alignment horizontal="left" vertical="top" wrapText="1"/>
    </xf>
    <xf numFmtId="0" fontId="10" fillId="13" borderId="2" xfId="0" applyFont="1" applyFill="1" applyBorder="1" applyAlignment="1">
      <alignment vertical="center" wrapText="1"/>
    </xf>
    <xf numFmtId="0" fontId="1" fillId="0" borderId="9" xfId="0" applyFont="1" applyFill="1" applyBorder="1" applyAlignment="1">
      <alignment horizontal="left" vertical="top" wrapText="1"/>
    </xf>
    <xf numFmtId="0" fontId="4" fillId="0" borderId="4" xfId="0" applyFont="1" applyFill="1" applyBorder="1" applyAlignment="1">
      <alignment horizontal="left" vertical="top" wrapText="1"/>
    </xf>
    <xf numFmtId="0" fontId="4" fillId="0" borderId="3" xfId="0" applyFont="1" applyFill="1" applyBorder="1" applyAlignment="1">
      <alignment horizontal="left" vertical="top" wrapText="1"/>
    </xf>
    <xf numFmtId="0" fontId="4" fillId="0" borderId="1" xfId="0" applyFont="1" applyFill="1" applyBorder="1" applyAlignment="1">
      <alignment horizontal="left" vertical="top" wrapText="1"/>
    </xf>
    <xf numFmtId="0" fontId="4" fillId="0" borderId="9" xfId="0" applyFont="1" applyFill="1" applyBorder="1" applyAlignment="1">
      <alignment horizontal="left" vertical="top" wrapText="1"/>
    </xf>
    <xf numFmtId="0" fontId="10" fillId="0" borderId="2" xfId="0" applyFont="1" applyFill="1" applyBorder="1" applyAlignment="1">
      <alignment horizontal="left" vertical="center" wrapText="1"/>
    </xf>
    <xf numFmtId="0" fontId="10" fillId="0" borderId="2" xfId="0" applyFont="1" applyFill="1" applyBorder="1" applyAlignment="1">
      <alignment horizontal="left" vertical="top" wrapText="1"/>
    </xf>
    <xf numFmtId="0" fontId="0" fillId="0" borderId="0" xfId="0" applyFill="1">
      <alignment vertical="top" wrapText="1"/>
    </xf>
    <xf numFmtId="0" fontId="4" fillId="0" borderId="1" xfId="0" applyFont="1" applyFill="1" applyBorder="1" applyAlignment="1">
      <alignment horizontal="left" vertical="center" wrapText="1"/>
    </xf>
    <xf numFmtId="0" fontId="10" fillId="9" borderId="9" xfId="0" applyFont="1" applyFill="1" applyBorder="1" applyAlignment="1">
      <alignment horizontal="center" vertical="top" wrapText="1"/>
    </xf>
    <xf numFmtId="0" fontId="10" fillId="9" borderId="4" xfId="0" applyFont="1" applyFill="1" applyBorder="1" applyAlignment="1">
      <alignment horizontal="center" vertical="top" wrapText="1"/>
    </xf>
    <xf numFmtId="0" fontId="10" fillId="9" borderId="3" xfId="0" applyFont="1" applyFill="1" applyBorder="1" applyAlignment="1">
      <alignment horizontal="center" vertical="top" wrapText="1"/>
    </xf>
    <xf numFmtId="0" fontId="65" fillId="12" borderId="20" xfId="0" applyFont="1" applyFill="1" applyBorder="1" applyAlignment="1">
      <alignment horizontal="center" vertical="center" wrapText="1"/>
    </xf>
    <xf numFmtId="0" fontId="65" fillId="12" borderId="0" xfId="0" applyFont="1" applyFill="1" applyBorder="1" applyAlignment="1">
      <alignment horizontal="center" vertical="center" wrapText="1"/>
    </xf>
    <xf numFmtId="0" fontId="4" fillId="0" borderId="0" xfId="0" applyFont="1" applyFill="1" applyAlignment="1">
      <alignment vertical="top" wrapText="1"/>
    </xf>
    <xf numFmtId="0" fontId="72" fillId="0" borderId="0" xfId="0" applyFont="1" applyFill="1" applyAlignment="1">
      <alignment vertical="top" wrapText="1"/>
    </xf>
    <xf numFmtId="0" fontId="4" fillId="0" borderId="9" xfId="0" applyFont="1" applyFill="1" applyBorder="1" applyAlignment="1">
      <alignment vertical="center" wrapText="1"/>
    </xf>
    <xf numFmtId="0" fontId="4" fillId="0" borderId="4" xfId="0" applyFont="1" applyFill="1" applyBorder="1" applyAlignment="1">
      <alignment vertical="center" wrapText="1"/>
    </xf>
    <xf numFmtId="0" fontId="4" fillId="0" borderId="3" xfId="0" applyFont="1" applyFill="1" applyBorder="1" applyAlignment="1">
      <alignment vertical="center" wrapText="1"/>
    </xf>
    <xf numFmtId="0" fontId="4" fillId="0" borderId="1" xfId="0" applyFont="1" applyFill="1" applyBorder="1" applyAlignment="1">
      <alignment vertical="center" wrapText="1"/>
    </xf>
    <xf numFmtId="0" fontId="1" fillId="0" borderId="4" xfId="0" applyFont="1" applyFill="1" applyBorder="1" applyAlignment="1">
      <alignment horizontal="left" vertical="top" wrapText="1"/>
    </xf>
    <xf numFmtId="0" fontId="1" fillId="0" borderId="3" xfId="0" applyFont="1" applyFill="1" applyBorder="1" applyAlignment="1">
      <alignment horizontal="left" vertical="top" wrapText="1"/>
    </xf>
    <xf numFmtId="0" fontId="10" fillId="0" borderId="0" xfId="0" applyFont="1" applyFill="1">
      <alignment vertical="top" wrapText="1"/>
    </xf>
    <xf numFmtId="0" fontId="0" fillId="0" borderId="4" xfId="0" applyBorder="1" applyAlignment="1">
      <alignment horizontal="center" vertical="center" wrapText="1"/>
    </xf>
    <xf numFmtId="0" fontId="4" fillId="0" borderId="0" xfId="0" applyFont="1" applyAlignment="1">
      <alignment vertical="top" wrapText="1"/>
    </xf>
    <xf numFmtId="0" fontId="1" fillId="13" borderId="0"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0" xfId="0" applyFont="1" applyAlignment="1">
      <alignment vertical="top" wrapText="1"/>
    </xf>
    <xf numFmtId="0" fontId="10" fillId="0" borderId="0" xfId="0" applyFont="1" applyFill="1" applyBorder="1" applyAlignment="1">
      <alignment horizontal="left" vertical="top" wrapText="1"/>
    </xf>
    <xf numFmtId="0" fontId="1" fillId="0" borderId="2" xfId="0" applyFont="1" applyFill="1" applyBorder="1" applyAlignment="1">
      <alignment horizontal="left" vertical="top" wrapText="1"/>
    </xf>
    <xf numFmtId="0" fontId="4" fillId="0" borderId="0" xfId="0" applyFont="1" applyFill="1" applyBorder="1" applyAlignment="1">
      <alignment horizontal="left" vertical="top" wrapText="1"/>
    </xf>
    <xf numFmtId="0" fontId="4" fillId="0" borderId="2" xfId="0" applyFont="1" applyFill="1" applyBorder="1" applyAlignment="1">
      <alignment horizontal="left" vertical="top" wrapText="1"/>
    </xf>
    <xf numFmtId="0" fontId="10" fillId="0" borderId="0" xfId="0" applyFont="1" applyFill="1" applyBorder="1" applyAlignment="1">
      <alignment vertical="top" wrapText="1"/>
    </xf>
    <xf numFmtId="0" fontId="10" fillId="0" borderId="0" xfId="0" applyFont="1" applyAlignment="1">
      <alignment vertical="top" wrapText="1"/>
    </xf>
    <xf numFmtId="0" fontId="10" fillId="13" borderId="0" xfId="0" applyFont="1" applyFill="1" applyBorder="1" applyAlignment="1">
      <alignment horizontal="left" vertical="top" wrapText="1"/>
    </xf>
    <xf numFmtId="0" fontId="30" fillId="12" borderId="20" xfId="0" applyFont="1" applyFill="1" applyBorder="1" applyAlignment="1">
      <alignment horizontal="center" vertical="center" wrapText="1"/>
    </xf>
    <xf numFmtId="0" fontId="30" fillId="12" borderId="0" xfId="0" applyFont="1" applyFill="1" applyBorder="1" applyAlignment="1">
      <alignment horizontal="center" vertical="center" wrapText="1"/>
    </xf>
    <xf numFmtId="0" fontId="4" fillId="0" borderId="0" xfId="0" applyFont="1" applyBorder="1" applyAlignment="1">
      <alignment vertical="top" wrapText="1"/>
    </xf>
    <xf numFmtId="0" fontId="10" fillId="2" borderId="1" xfId="0" applyFont="1" applyFill="1" applyBorder="1" applyAlignment="1">
      <alignment horizontal="center" vertical="top" wrapText="1"/>
    </xf>
    <xf numFmtId="0" fontId="1" fillId="0" borderId="1" xfId="0" applyFont="1" applyFill="1" applyBorder="1" applyAlignment="1">
      <alignment vertical="top" wrapText="1"/>
    </xf>
    <xf numFmtId="0" fontId="4" fillId="0" borderId="1" xfId="0" applyFont="1" applyFill="1" applyBorder="1" applyAlignment="1">
      <alignment vertical="top" wrapText="1"/>
    </xf>
    <xf numFmtId="0" fontId="10" fillId="0" borderId="1" xfId="0" applyFont="1" applyBorder="1" applyAlignment="1">
      <alignment horizontal="left" wrapText="1"/>
    </xf>
    <xf numFmtId="0" fontId="1" fillId="0" borderId="1" xfId="0" applyFont="1" applyBorder="1" applyAlignment="1">
      <alignment horizontal="left"/>
    </xf>
    <xf numFmtId="0" fontId="9" fillId="9" borderId="1" xfId="0" applyFont="1" applyFill="1" applyBorder="1" applyAlignment="1">
      <alignment horizontal="left" vertical="center"/>
    </xf>
    <xf numFmtId="0" fontId="4" fillId="0" borderId="0" xfId="0" applyFont="1" applyFill="1" applyBorder="1" applyAlignment="1">
      <alignment vertical="top" wrapText="1"/>
    </xf>
    <xf numFmtId="0" fontId="10" fillId="0" borderId="0" xfId="0" applyFont="1" applyFill="1" applyAlignment="1">
      <alignment vertical="top" wrapText="1"/>
    </xf>
    <xf numFmtId="0" fontId="1" fillId="0" borderId="0" xfId="0" applyFont="1" applyFill="1" applyAlignment="1">
      <alignment vertical="top" wrapText="1"/>
    </xf>
    <xf numFmtId="0" fontId="27" fillId="0" borderId="0" xfId="0" applyFont="1" applyFill="1" applyAlignment="1">
      <alignment vertical="top" wrapText="1"/>
    </xf>
    <xf numFmtId="0" fontId="9" fillId="9" borderId="1" xfId="0" applyFont="1" applyFill="1" applyBorder="1" applyAlignment="1">
      <alignment horizontal="center" vertical="center" wrapText="1"/>
    </xf>
    <xf numFmtId="0" fontId="1" fillId="0" borderId="9" xfId="0" applyFont="1" applyBorder="1" applyAlignment="1">
      <alignment horizontal="left"/>
    </xf>
    <xf numFmtId="0" fontId="1" fillId="0" borderId="3" xfId="0" applyFont="1" applyBorder="1" applyAlignment="1">
      <alignment horizontal="left"/>
    </xf>
    <xf numFmtId="0" fontId="10" fillId="0" borderId="0" xfId="0" applyFont="1" applyAlignment="1">
      <alignment horizontal="left"/>
    </xf>
    <xf numFmtId="0" fontId="1" fillId="0" borderId="9" xfId="0" applyFont="1" applyBorder="1" applyAlignment="1"/>
    <xf numFmtId="0" fontId="1" fillId="0" borderId="3" xfId="0" applyFont="1" applyBorder="1" applyAlignment="1"/>
    <xf numFmtId="0" fontId="4" fillId="0" borderId="0" xfId="0" applyFont="1" applyAlignment="1">
      <alignment vertical="center"/>
    </xf>
    <xf numFmtId="0" fontId="4" fillId="13" borderId="1" xfId="0" applyFont="1" applyFill="1" applyBorder="1" applyAlignment="1">
      <alignment vertical="top" wrapText="1"/>
    </xf>
    <xf numFmtId="0" fontId="1" fillId="19" borderId="9" xfId="0" applyFont="1" applyFill="1" applyBorder="1" applyAlignment="1">
      <alignment horizontal="center" vertical="top" wrapText="1"/>
    </xf>
    <xf numFmtId="0" fontId="4" fillId="19" borderId="3" xfId="0" applyFont="1" applyFill="1" applyBorder="1" applyAlignment="1">
      <alignment horizontal="center" vertical="top" wrapText="1"/>
    </xf>
    <xf numFmtId="0" fontId="1" fillId="13" borderId="1" xfId="0" applyFont="1" applyFill="1" applyBorder="1" applyAlignment="1">
      <alignment vertical="top" wrapText="1"/>
    </xf>
    <xf numFmtId="0" fontId="65" fillId="12" borderId="9" xfId="0" applyFont="1" applyFill="1" applyBorder="1" applyAlignment="1">
      <alignment horizontal="center" vertical="center" wrapText="1"/>
    </xf>
    <xf numFmtId="0" fontId="65" fillId="12" borderId="4" xfId="0" applyFont="1" applyFill="1" applyBorder="1" applyAlignment="1">
      <alignment horizontal="center" vertical="center" wrapText="1"/>
    </xf>
    <xf numFmtId="0" fontId="1" fillId="0" borderId="0" xfId="0" applyFont="1" applyFill="1" applyBorder="1" applyAlignment="1">
      <alignment vertical="top" wrapText="1"/>
    </xf>
    <xf numFmtId="0" fontId="1" fillId="0" borderId="2" xfId="0" applyFont="1" applyFill="1" applyBorder="1" applyAlignment="1">
      <alignment vertical="top" wrapText="1"/>
    </xf>
    <xf numFmtId="0" fontId="10" fillId="2" borderId="1" xfId="0" applyFont="1" applyFill="1" applyBorder="1" applyAlignment="1">
      <alignment vertical="center" wrapText="1"/>
    </xf>
    <xf numFmtId="0" fontId="1" fillId="0" borderId="0" xfId="0" applyFont="1" applyFill="1" applyAlignment="1">
      <alignment horizontal="left" vertical="top" wrapText="1"/>
    </xf>
    <xf numFmtId="0" fontId="4" fillId="0" borderId="9" xfId="0" applyFont="1" applyFill="1" applyBorder="1" applyAlignment="1">
      <alignment vertical="top" wrapText="1"/>
    </xf>
    <xf numFmtId="0" fontId="4" fillId="0" borderId="3" xfId="0" applyFont="1" applyFill="1" applyBorder="1" applyAlignment="1">
      <alignment vertical="top" wrapText="1"/>
    </xf>
    <xf numFmtId="0" fontId="1" fillId="0" borderId="9" xfId="0" applyFont="1" applyBorder="1" applyAlignment="1">
      <alignment horizontal="left" vertical="top" wrapText="1"/>
    </xf>
    <xf numFmtId="0" fontId="1" fillId="0" borderId="4" xfId="0" applyFont="1" applyBorder="1" applyAlignment="1">
      <alignment horizontal="left" vertical="top" wrapText="1"/>
    </xf>
    <xf numFmtId="0" fontId="1" fillId="0" borderId="3" xfId="0" applyFont="1" applyBorder="1" applyAlignment="1">
      <alignment horizontal="left" vertical="top" wrapText="1"/>
    </xf>
    <xf numFmtId="0" fontId="1" fillId="0" borderId="9" xfId="0" applyFont="1" applyBorder="1" applyAlignment="1">
      <alignment vertical="top" wrapText="1"/>
    </xf>
    <xf numFmtId="0" fontId="1" fillId="0" borderId="4" xfId="0" applyFont="1" applyBorder="1" applyAlignment="1">
      <alignment vertical="top" wrapText="1"/>
    </xf>
    <xf numFmtId="0" fontId="1" fillId="0" borderId="3" xfId="0" applyFont="1" applyBorder="1" applyAlignment="1">
      <alignment vertical="top" wrapText="1"/>
    </xf>
    <xf numFmtId="0" fontId="10" fillId="2" borderId="9"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0" fillId="2" borderId="3" xfId="0" applyFont="1" applyFill="1" applyBorder="1" applyAlignment="1">
      <alignment horizontal="center" vertical="center" wrapText="1"/>
    </xf>
    <xf numFmtId="0" fontId="1" fillId="0" borderId="9" xfId="0" applyFont="1" applyFill="1" applyBorder="1" applyAlignment="1">
      <alignment vertical="top" wrapText="1"/>
    </xf>
    <xf numFmtId="0" fontId="4" fillId="0" borderId="4" xfId="0" applyFont="1" applyFill="1" applyBorder="1" applyAlignment="1">
      <alignment vertical="top" wrapText="1"/>
    </xf>
    <xf numFmtId="0" fontId="4" fillId="2" borderId="4"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0" borderId="4" xfId="0" applyFont="1" applyBorder="1" applyAlignment="1">
      <alignment horizontal="left" vertical="top" wrapText="1"/>
    </xf>
    <xf numFmtId="0" fontId="4" fillId="0" borderId="3" xfId="0" applyFont="1" applyBorder="1" applyAlignment="1">
      <alignment horizontal="left" vertical="top" wrapText="1"/>
    </xf>
    <xf numFmtId="0" fontId="4" fillId="0" borderId="9" xfId="0" applyFont="1" applyBorder="1" applyAlignment="1">
      <alignment horizontal="left" vertical="top" wrapText="1"/>
    </xf>
    <xf numFmtId="0" fontId="76" fillId="9" borderId="12" xfId="0" applyFont="1" applyFill="1" applyBorder="1" applyAlignment="1">
      <alignment horizontal="center" vertical="top" wrapText="1"/>
    </xf>
    <xf numFmtId="0" fontId="76" fillId="9" borderId="13" xfId="0" applyFont="1" applyFill="1" applyBorder="1" applyAlignment="1">
      <alignment horizontal="center" vertical="top" wrapText="1"/>
    </xf>
    <xf numFmtId="0" fontId="76" fillId="9" borderId="31" xfId="0" applyFont="1" applyFill="1" applyBorder="1" applyAlignment="1">
      <alignment horizontal="center" vertical="top" wrapText="1"/>
    </xf>
    <xf numFmtId="0" fontId="76" fillId="9" borderId="10" xfId="0" applyFont="1" applyFill="1" applyBorder="1" applyAlignment="1">
      <alignment horizontal="center" vertical="top" wrapText="1"/>
    </xf>
    <xf numFmtId="0" fontId="76" fillId="9" borderId="2" xfId="0" applyFont="1" applyFill="1" applyBorder="1" applyAlignment="1">
      <alignment horizontal="center" vertical="top" wrapText="1"/>
    </xf>
    <xf numFmtId="0" fontId="76" fillId="9" borderId="11" xfId="0" applyFont="1" applyFill="1" applyBorder="1" applyAlignment="1">
      <alignment horizontal="center" vertical="top" wrapText="1"/>
    </xf>
    <xf numFmtId="0" fontId="1" fillId="13" borderId="10" xfId="0" applyFont="1" applyFill="1" applyBorder="1" applyAlignment="1">
      <alignment horizontal="center" vertical="top" wrapText="1"/>
    </xf>
    <xf numFmtId="0" fontId="1" fillId="13" borderId="2" xfId="0" applyFont="1" applyFill="1" applyBorder="1" applyAlignment="1">
      <alignment horizontal="center" vertical="top" wrapText="1"/>
    </xf>
    <xf numFmtId="0" fontId="1" fillId="13" borderId="11" xfId="0" applyFont="1" applyFill="1" applyBorder="1" applyAlignment="1">
      <alignment horizontal="center" vertical="top" wrapText="1"/>
    </xf>
    <xf numFmtId="0" fontId="0" fillId="9" borderId="4" xfId="0" applyFill="1" applyBorder="1" applyAlignment="1">
      <alignment horizontal="center" vertical="top" wrapText="1"/>
    </xf>
    <xf numFmtId="0" fontId="0" fillId="9" borderId="3" xfId="0" applyFill="1" applyBorder="1" applyAlignment="1">
      <alignment horizontal="center" vertical="top" wrapText="1"/>
    </xf>
    <xf numFmtId="0" fontId="0" fillId="0" borderId="9" xfId="0" applyBorder="1" applyAlignment="1">
      <alignment horizontal="center" vertical="top"/>
    </xf>
    <xf numFmtId="0" fontId="0" fillId="0" borderId="4" xfId="0" applyBorder="1" applyAlignment="1">
      <alignment horizontal="center" vertical="top"/>
    </xf>
    <xf numFmtId="0" fontId="0" fillId="0" borderId="3" xfId="0" applyBorder="1" applyAlignment="1">
      <alignment horizontal="center" vertical="top"/>
    </xf>
    <xf numFmtId="0" fontId="71" fillId="0" borderId="0" xfId="0" applyFont="1" applyAlignment="1">
      <alignment vertical="top" wrapText="1"/>
    </xf>
    <xf numFmtId="0" fontId="62" fillId="14" borderId="2" xfId="3" applyFont="1" applyFill="1" applyBorder="1" applyAlignment="1" applyProtection="1">
      <alignment vertical="top" wrapText="1"/>
    </xf>
    <xf numFmtId="0" fontId="65" fillId="12" borderId="1" xfId="0" applyFont="1" applyFill="1" applyBorder="1" applyAlignment="1">
      <alignment horizontal="center" vertical="center" wrapText="1"/>
    </xf>
    <xf numFmtId="0" fontId="61" fillId="12" borderId="1" xfId="0" applyFont="1" applyFill="1" applyBorder="1" applyAlignment="1">
      <alignment horizontal="center" vertical="center" wrapText="1"/>
    </xf>
    <xf numFmtId="0" fontId="4" fillId="2" borderId="4" xfId="0" applyFont="1" applyFill="1" applyBorder="1" applyAlignment="1">
      <alignment vertical="top" wrapText="1"/>
    </xf>
    <xf numFmtId="0" fontId="4" fillId="2" borderId="3" xfId="0" applyFont="1" applyFill="1" applyBorder="1" applyAlignment="1">
      <alignment vertical="top" wrapText="1"/>
    </xf>
    <xf numFmtId="0" fontId="1" fillId="9" borderId="9" xfId="0" applyFont="1" applyFill="1" applyBorder="1" applyAlignment="1">
      <alignment horizontal="center" vertical="top" wrapText="1"/>
    </xf>
    <xf numFmtId="0" fontId="4" fillId="0" borderId="9" xfId="0" applyFont="1" applyBorder="1" applyAlignment="1">
      <alignment vertical="top" wrapText="1"/>
    </xf>
    <xf numFmtId="0" fontId="4" fillId="0" borderId="4" xfId="0" applyFont="1" applyBorder="1" applyAlignment="1">
      <alignment vertical="top" wrapText="1"/>
    </xf>
    <xf numFmtId="0" fontId="4" fillId="0" borderId="3" xfId="0" applyFont="1" applyBorder="1" applyAlignment="1">
      <alignment vertical="top" wrapText="1"/>
    </xf>
    <xf numFmtId="0" fontId="10" fillId="0" borderId="0" xfId="0" applyFont="1" applyAlignment="1">
      <alignment horizontal="left" vertical="top" wrapText="1"/>
    </xf>
    <xf numFmtId="0" fontId="4" fillId="0" borderId="0" xfId="0" applyFont="1" applyBorder="1" applyAlignment="1">
      <alignment horizontal="left" vertical="top" wrapText="1"/>
    </xf>
    <xf numFmtId="0" fontId="4" fillId="0" borderId="21" xfId="0" applyFont="1" applyBorder="1" applyAlignment="1">
      <alignment horizontal="left" vertical="top" wrapText="1"/>
    </xf>
    <xf numFmtId="0" fontId="4" fillId="0" borderId="0" xfId="0" applyFont="1" applyAlignment="1">
      <alignment horizontal="left" wrapText="1"/>
    </xf>
    <xf numFmtId="0" fontId="4" fillId="0" borderId="20" xfId="0" applyFont="1" applyBorder="1" applyAlignment="1">
      <alignment horizontal="left" vertical="top" wrapText="1"/>
    </xf>
    <xf numFmtId="0" fontId="4" fillId="0" borderId="1" xfId="0" applyFont="1" applyBorder="1" applyAlignment="1">
      <alignment vertical="top" wrapText="1"/>
    </xf>
    <xf numFmtId="0" fontId="12" fillId="0" borderId="0" xfId="0" applyFont="1" applyFill="1" applyAlignment="1">
      <alignment vertical="top" wrapText="1"/>
    </xf>
    <xf numFmtId="0" fontId="12" fillId="0" borderId="0" xfId="0" applyFont="1" applyAlignment="1">
      <alignment vertical="top" wrapText="1"/>
    </xf>
    <xf numFmtId="0" fontId="10" fillId="9" borderId="1" xfId="0" applyFont="1" applyFill="1" applyBorder="1" applyAlignment="1">
      <alignment horizontal="left" vertical="top" wrapText="1"/>
    </xf>
    <xf numFmtId="0" fontId="1" fillId="13" borderId="0" xfId="0" applyFont="1" applyFill="1" applyAlignment="1">
      <alignment vertical="top" wrapText="1"/>
    </xf>
    <xf numFmtId="0" fontId="1" fillId="13" borderId="0" xfId="0" applyFont="1" applyFill="1" applyAlignment="1">
      <alignment horizontal="left" wrapText="1"/>
    </xf>
    <xf numFmtId="0" fontId="12" fillId="0" borderId="0" xfId="0" applyFont="1" applyAlignment="1">
      <alignment wrapText="1"/>
    </xf>
    <xf numFmtId="0" fontId="10" fillId="2" borderId="9" xfId="0" applyFont="1" applyFill="1" applyBorder="1" applyAlignment="1">
      <alignment horizontal="center" vertical="top" wrapText="1"/>
    </xf>
    <xf numFmtId="0" fontId="10" fillId="2" borderId="4" xfId="0" applyFont="1" applyFill="1" applyBorder="1" applyAlignment="1">
      <alignment horizontal="center" vertical="top" wrapText="1"/>
    </xf>
    <xf numFmtId="0" fontId="10" fillId="2" borderId="3" xfId="0" applyFont="1" applyFill="1" applyBorder="1" applyAlignment="1">
      <alignment horizontal="center" vertical="top" wrapText="1"/>
    </xf>
    <xf numFmtId="0" fontId="13" fillId="0" borderId="0" xfId="0" applyFont="1" applyFill="1" applyAlignment="1">
      <alignment horizontal="left" vertical="top" wrapText="1"/>
    </xf>
    <xf numFmtId="0" fontId="27" fillId="0" borderId="1" xfId="3" applyFont="1" applyFill="1" applyBorder="1" applyAlignment="1" applyProtection="1">
      <alignment vertical="top" wrapText="1"/>
    </xf>
    <xf numFmtId="0" fontId="4" fillId="0" borderId="1" xfId="0" applyFont="1" applyFill="1" applyBorder="1" applyAlignment="1">
      <alignment wrapText="1"/>
    </xf>
    <xf numFmtId="0" fontId="10" fillId="2" borderId="1" xfId="0" applyFont="1" applyFill="1" applyBorder="1" applyAlignment="1">
      <alignment horizontal="center" vertical="center" wrapText="1"/>
    </xf>
    <xf numFmtId="0" fontId="11" fillId="0" borderId="1" xfId="0" applyFont="1" applyBorder="1" applyAlignment="1">
      <alignment wrapText="1"/>
    </xf>
    <xf numFmtId="0" fontId="65" fillId="12" borderId="3" xfId="0" applyFont="1" applyFill="1" applyBorder="1" applyAlignment="1">
      <alignment horizontal="center" vertical="center" wrapText="1"/>
    </xf>
    <xf numFmtId="0" fontId="16" fillId="0" borderId="0" xfId="0" applyFont="1" applyAlignment="1">
      <alignment horizontal="left" vertical="top" wrapText="1"/>
    </xf>
    <xf numFmtId="0" fontId="16" fillId="0" borderId="0" xfId="0" applyFont="1" applyAlignment="1">
      <alignment vertical="top" wrapText="1"/>
    </xf>
    <xf numFmtId="0" fontId="4" fillId="0" borderId="1" xfId="0" applyFont="1" applyBorder="1" applyAlignment="1">
      <alignment horizontal="left" vertical="top" wrapText="1"/>
    </xf>
    <xf numFmtId="0" fontId="4" fillId="0" borderId="14" xfId="0" applyFont="1" applyBorder="1" applyAlignment="1">
      <alignment horizontal="left" vertical="top" wrapText="1"/>
    </xf>
    <xf numFmtId="0" fontId="4" fillId="0" borderId="13" xfId="0" applyFont="1" applyBorder="1" applyAlignment="1">
      <alignment horizontal="left" wrapText="1"/>
    </xf>
    <xf numFmtId="0" fontId="1" fillId="0" borderId="0" xfId="0" applyFont="1" applyAlignment="1">
      <alignment horizontal="left" vertical="top" wrapText="1"/>
    </xf>
    <xf numFmtId="0" fontId="4" fillId="0" borderId="0" xfId="0" applyFont="1" applyAlignment="1">
      <alignment horizontal="left" vertical="top" wrapText="1"/>
    </xf>
    <xf numFmtId="0" fontId="1" fillId="17" borderId="0" xfId="0" applyFont="1" applyFill="1" applyAlignment="1">
      <alignment vertical="top" wrapText="1"/>
    </xf>
    <xf numFmtId="0" fontId="4" fillId="17" borderId="0" xfId="0" applyFont="1" applyFill="1" applyAlignment="1">
      <alignment vertical="top" wrapText="1"/>
    </xf>
    <xf numFmtId="0" fontId="4" fillId="13" borderId="0" xfId="0" applyFont="1" applyFill="1" applyAlignment="1">
      <alignment vertical="top" wrapText="1"/>
    </xf>
    <xf numFmtId="0" fontId="1" fillId="13" borderId="0" xfId="0" applyFont="1" applyFill="1" applyAlignment="1">
      <alignment horizontal="left" vertical="top" wrapText="1"/>
    </xf>
    <xf numFmtId="0" fontId="4" fillId="13" borderId="0" xfId="0" applyFont="1" applyFill="1" applyAlignment="1">
      <alignment horizontal="left" vertical="top" wrapText="1"/>
    </xf>
    <xf numFmtId="0" fontId="10" fillId="11" borderId="81" xfId="0" applyFont="1" applyFill="1" applyBorder="1" applyAlignment="1">
      <alignment horizontal="center" vertical="top" wrapText="1"/>
    </xf>
    <xf numFmtId="0" fontId="10" fillId="11" borderId="32" xfId="0" applyFont="1" applyFill="1" applyBorder="1" applyAlignment="1">
      <alignment horizontal="center" vertical="top" wrapText="1"/>
    </xf>
    <xf numFmtId="0" fontId="10" fillId="11" borderId="33" xfId="0" applyFont="1" applyFill="1" applyBorder="1" applyAlignment="1">
      <alignment horizontal="center" vertical="top" wrapText="1"/>
    </xf>
    <xf numFmtId="0" fontId="0" fillId="0" borderId="4" xfId="0" applyBorder="1" applyAlignment="1">
      <alignment vertical="top" wrapText="1"/>
    </xf>
    <xf numFmtId="0" fontId="0" fillId="0" borderId="80" xfId="0" applyBorder="1" applyAlignment="1">
      <alignment vertical="top" wrapText="1"/>
    </xf>
    <xf numFmtId="0" fontId="39" fillId="12" borderId="9" xfId="0" applyFont="1" applyFill="1" applyBorder="1" applyAlignment="1">
      <alignment horizontal="center" vertical="center" wrapText="1"/>
    </xf>
    <xf numFmtId="0" fontId="39" fillId="12" borderId="4" xfId="0" applyFont="1" applyFill="1" applyBorder="1" applyAlignment="1">
      <alignment horizontal="center" vertical="center" wrapText="1"/>
    </xf>
    <xf numFmtId="0" fontId="39" fillId="12" borderId="3" xfId="0" applyFont="1" applyFill="1" applyBorder="1" applyAlignment="1">
      <alignment horizontal="center" vertical="center" wrapText="1"/>
    </xf>
    <xf numFmtId="0" fontId="4" fillId="0" borderId="25" xfId="0" applyFont="1" applyFill="1" applyBorder="1" applyAlignment="1">
      <alignment vertical="top" wrapText="1"/>
    </xf>
    <xf numFmtId="0" fontId="4" fillId="0" borderId="26" xfId="0" applyFont="1" applyFill="1" applyBorder="1" applyAlignment="1">
      <alignment vertical="top" wrapText="1"/>
    </xf>
    <xf numFmtId="0" fontId="4" fillId="0" borderId="17" xfId="0" applyFont="1" applyFill="1" applyBorder="1" applyAlignment="1">
      <alignment horizontal="left" vertical="top" wrapText="1"/>
    </xf>
    <xf numFmtId="0" fontId="4" fillId="0" borderId="24" xfId="0" applyFont="1" applyFill="1" applyBorder="1" applyAlignment="1">
      <alignment horizontal="left" vertical="top" wrapText="1"/>
    </xf>
    <xf numFmtId="0" fontId="4" fillId="0" borderId="16" xfId="0" applyFont="1" applyFill="1" applyBorder="1" applyAlignment="1">
      <alignment horizontal="left" vertical="top" wrapText="1"/>
    </xf>
    <xf numFmtId="0" fontId="1" fillId="0" borderId="9" xfId="0" applyFont="1" applyFill="1" applyBorder="1" applyAlignment="1">
      <alignment horizontal="center" vertical="top" wrapText="1"/>
    </xf>
    <xf numFmtId="0" fontId="4" fillId="0" borderId="4" xfId="0" applyFont="1" applyFill="1" applyBorder="1" applyAlignment="1">
      <alignment horizontal="center" vertical="top" wrapText="1"/>
    </xf>
    <xf numFmtId="0" fontId="4" fillId="0" borderId="3" xfId="0" applyFont="1" applyFill="1" applyBorder="1" applyAlignment="1">
      <alignment horizontal="center" vertical="top" wrapText="1"/>
    </xf>
    <xf numFmtId="0" fontId="0" fillId="0" borderId="3" xfId="0" applyBorder="1" applyAlignment="1">
      <alignment vertical="top" wrapText="1"/>
    </xf>
    <xf numFmtId="0" fontId="1" fillId="0" borderId="77" xfId="0" applyFont="1" applyBorder="1" applyAlignment="1">
      <alignment vertical="top"/>
    </xf>
    <xf numFmtId="0" fontId="4" fillId="0" borderId="77" xfId="0" applyFont="1" applyBorder="1" applyAlignment="1">
      <alignment vertical="top"/>
    </xf>
    <xf numFmtId="0" fontId="4" fillId="0" borderId="78" xfId="0" applyFont="1" applyBorder="1" applyAlignment="1">
      <alignment vertical="top"/>
    </xf>
    <xf numFmtId="0" fontId="5" fillId="0" borderId="1" xfId="3" applyBorder="1" applyAlignment="1" applyProtection="1">
      <alignment vertical="top"/>
    </xf>
    <xf numFmtId="0" fontId="4" fillId="0" borderId="1" xfId="0" applyFont="1" applyBorder="1" applyAlignment="1">
      <alignment vertical="top"/>
    </xf>
    <xf numFmtId="0" fontId="1" fillId="0" borderId="26" xfId="0" applyFont="1" applyBorder="1" applyAlignment="1">
      <alignment vertical="top"/>
    </xf>
    <xf numFmtId="0" fontId="4" fillId="0" borderId="26" xfId="0" applyFont="1" applyBorder="1" applyAlignment="1">
      <alignment vertical="top"/>
    </xf>
    <xf numFmtId="0" fontId="4" fillId="0" borderId="16" xfId="0" applyFont="1" applyBorder="1" applyAlignment="1">
      <alignment vertical="top"/>
    </xf>
    <xf numFmtId="0" fontId="4" fillId="0" borderId="27" xfId="0" applyFont="1" applyBorder="1" applyAlignment="1">
      <alignment vertical="top"/>
    </xf>
    <xf numFmtId="0" fontId="10" fillId="11" borderId="76" xfId="0" applyFont="1" applyFill="1" applyBorder="1" applyAlignment="1">
      <alignment vertical="top"/>
    </xf>
    <xf numFmtId="0" fontId="10" fillId="11" borderId="77" xfId="0" applyFont="1" applyFill="1" applyBorder="1" applyAlignment="1">
      <alignment vertical="top"/>
    </xf>
    <xf numFmtId="0" fontId="1" fillId="11" borderId="15" xfId="0" applyFont="1" applyFill="1" applyBorder="1" applyAlignment="1">
      <alignment vertical="top"/>
    </xf>
    <xf numFmtId="0" fontId="1" fillId="11" borderId="1" xfId="0" applyFont="1" applyFill="1" applyBorder="1" applyAlignment="1">
      <alignment vertical="top"/>
    </xf>
    <xf numFmtId="0" fontId="1" fillId="11" borderId="25" xfId="0" applyFont="1" applyFill="1" applyBorder="1" applyAlignment="1">
      <alignment vertical="top"/>
    </xf>
    <xf numFmtId="0" fontId="10" fillId="11" borderId="26" xfId="0" applyFont="1" applyFill="1" applyBorder="1" applyAlignment="1">
      <alignment vertical="top"/>
    </xf>
    <xf numFmtId="0" fontId="17" fillId="0" borderId="0" xfId="0" applyFont="1" applyAlignment="1">
      <alignment vertical="top" wrapText="1"/>
    </xf>
    <xf numFmtId="0" fontId="4" fillId="0" borderId="15" xfId="0" applyFont="1" applyFill="1" applyBorder="1" applyAlignment="1">
      <alignment vertical="top" wrapText="1"/>
    </xf>
    <xf numFmtId="0" fontId="0" fillId="0" borderId="0" xfId="0" applyAlignment="1">
      <alignment vertical="top" wrapText="1"/>
    </xf>
    <xf numFmtId="0" fontId="26" fillId="0" borderId="0" xfId="0" applyFont="1" applyFill="1" applyAlignment="1">
      <alignment vertical="top" wrapText="1"/>
    </xf>
    <xf numFmtId="0" fontId="1" fillId="0" borderId="2" xfId="0" applyFont="1" applyBorder="1" applyAlignment="1">
      <alignment horizontal="left" vertical="top" wrapText="1"/>
    </xf>
    <xf numFmtId="0" fontId="4" fillId="0" borderId="2" xfId="0" applyFont="1" applyBorder="1" applyAlignment="1">
      <alignment horizontal="left" vertical="top" wrapText="1"/>
    </xf>
    <xf numFmtId="0" fontId="5" fillId="0" borderId="1" xfId="3" applyFill="1" applyBorder="1" applyAlignment="1" applyProtection="1">
      <alignment horizontal="left" vertical="top" wrapText="1"/>
    </xf>
    <xf numFmtId="0" fontId="32" fillId="0" borderId="0" xfId="0" applyFont="1" applyAlignment="1">
      <alignment vertical="top" wrapText="1"/>
    </xf>
    <xf numFmtId="0" fontId="33" fillId="0" borderId="0" xfId="0" applyFont="1" applyAlignment="1">
      <alignment vertical="top" wrapText="1"/>
    </xf>
    <xf numFmtId="0" fontId="4" fillId="0" borderId="73" xfId="0" applyFont="1" applyFill="1" applyBorder="1" applyAlignment="1">
      <alignment vertical="top" wrapText="1"/>
    </xf>
    <xf numFmtId="0" fontId="0" fillId="0" borderId="74" xfId="0" applyBorder="1" applyAlignment="1">
      <alignment vertical="top" wrapText="1"/>
    </xf>
    <xf numFmtId="0" fontId="0" fillId="0" borderId="83" xfId="0" applyBorder="1" applyAlignment="1">
      <alignment vertical="top" wrapText="1"/>
    </xf>
    <xf numFmtId="0" fontId="10" fillId="0" borderId="0" xfId="0" applyFont="1" applyBorder="1" applyAlignment="1">
      <alignment vertical="top" wrapText="1"/>
    </xf>
    <xf numFmtId="0" fontId="23" fillId="0" borderId="0" xfId="0" applyFont="1" applyBorder="1" applyAlignment="1">
      <alignment vertical="top" wrapText="1"/>
    </xf>
    <xf numFmtId="0" fontId="0" fillId="0" borderId="0" xfId="0" applyBorder="1" applyAlignment="1">
      <alignment vertical="top" wrapText="1"/>
    </xf>
    <xf numFmtId="0" fontId="0" fillId="0" borderId="75" xfId="0" applyBorder="1" applyAlignment="1">
      <alignment vertical="top" wrapText="1"/>
    </xf>
    <xf numFmtId="0" fontId="4" fillId="11" borderId="15" xfId="0" applyFont="1" applyFill="1" applyBorder="1" applyAlignment="1">
      <alignment vertical="top" wrapText="1"/>
    </xf>
    <xf numFmtId="0" fontId="4" fillId="11" borderId="1" xfId="0" applyFont="1" applyFill="1" applyBorder="1" applyAlignment="1">
      <alignment vertical="top" wrapText="1"/>
    </xf>
    <xf numFmtId="0" fontId="4" fillId="11" borderId="25" xfId="0" applyFont="1" applyFill="1" applyBorder="1" applyAlignment="1">
      <alignment vertical="top" wrapText="1"/>
    </xf>
    <xf numFmtId="0" fontId="4" fillId="11" borderId="26" xfId="0" applyFont="1" applyFill="1" applyBorder="1" applyAlignment="1">
      <alignment vertical="top" wrapText="1"/>
    </xf>
    <xf numFmtId="0" fontId="4" fillId="0" borderId="26" xfId="0" applyFont="1" applyFill="1" applyBorder="1" applyAlignment="1">
      <alignment horizontal="left" vertical="top" wrapText="1"/>
    </xf>
    <xf numFmtId="0" fontId="4" fillId="0" borderId="27" xfId="0" applyFont="1" applyFill="1" applyBorder="1" applyAlignment="1">
      <alignment horizontal="left" vertical="top" wrapText="1"/>
    </xf>
    <xf numFmtId="0" fontId="10" fillId="11" borderId="82" xfId="0" applyFont="1" applyFill="1" applyBorder="1" applyAlignment="1">
      <alignment horizontal="center" vertical="top" wrapText="1"/>
    </xf>
    <xf numFmtId="0" fontId="4" fillId="11" borderId="23" xfId="0" applyFont="1" applyFill="1" applyBorder="1" applyAlignment="1">
      <alignment vertical="top" wrapText="1"/>
    </xf>
    <xf numFmtId="0" fontId="4" fillId="11" borderId="17" xfId="0" applyFont="1" applyFill="1" applyBorder="1" applyAlignment="1">
      <alignment vertical="top" wrapText="1"/>
    </xf>
    <xf numFmtId="0" fontId="10" fillId="11" borderId="76" xfId="0" applyFont="1" applyFill="1" applyBorder="1" applyAlignment="1">
      <alignment vertical="top" wrapText="1"/>
    </xf>
    <xf numFmtId="0" fontId="10" fillId="11" borderId="77" xfId="0" applyFont="1" applyFill="1" applyBorder="1" applyAlignment="1">
      <alignment vertical="top" wrapText="1"/>
    </xf>
    <xf numFmtId="0" fontId="1" fillId="11" borderId="79" xfId="0" applyFont="1" applyFill="1" applyBorder="1" applyAlignment="1">
      <alignment vertical="top" wrapText="1"/>
    </xf>
    <xf numFmtId="0" fontId="0" fillId="11" borderId="4" xfId="0" applyFill="1" applyBorder="1" applyAlignment="1">
      <alignment vertical="top" wrapText="1"/>
    </xf>
    <xf numFmtId="0" fontId="0" fillId="11" borderId="3" xfId="0" applyFill="1" applyBorder="1" applyAlignment="1">
      <alignment vertical="top" wrapText="1"/>
    </xf>
    <xf numFmtId="0" fontId="0" fillId="0" borderId="4" xfId="0" applyBorder="1" applyAlignment="1">
      <alignment horizontal="left" vertical="top" wrapText="1"/>
    </xf>
    <xf numFmtId="0" fontId="0" fillId="0" borderId="80" xfId="0" applyBorder="1" applyAlignment="1">
      <alignment horizontal="left" vertical="top" wrapText="1"/>
    </xf>
    <xf numFmtId="0" fontId="1" fillId="11" borderId="15" xfId="0" applyFont="1" applyFill="1" applyBorder="1" applyAlignment="1">
      <alignment vertical="top" wrapText="1"/>
    </xf>
    <xf numFmtId="0" fontId="58" fillId="0" borderId="1" xfId="0" applyFont="1" applyFill="1" applyBorder="1" applyAlignment="1">
      <alignment vertical="top" wrapText="1"/>
    </xf>
    <xf numFmtId="0" fontId="8" fillId="0" borderId="1" xfId="0" applyFont="1" applyFill="1" applyBorder="1" applyAlignment="1">
      <alignment vertical="top" wrapText="1"/>
    </xf>
    <xf numFmtId="0" fontId="48" fillId="9" borderId="9" xfId="0" applyFont="1" applyFill="1" applyBorder="1" applyAlignment="1">
      <alignment horizontal="center" vertical="center" wrapText="1"/>
    </xf>
    <xf numFmtId="0" fontId="48" fillId="9" borderId="4" xfId="0" applyFont="1" applyFill="1" applyBorder="1" applyAlignment="1">
      <alignment horizontal="center" vertical="center" wrapText="1"/>
    </xf>
    <xf numFmtId="0" fontId="48" fillId="9" borderId="3" xfId="0" applyFont="1" applyFill="1" applyBorder="1" applyAlignment="1">
      <alignment horizontal="center" vertical="center" wrapText="1"/>
    </xf>
    <xf numFmtId="0" fontId="58" fillId="0" borderId="9" xfId="0" applyFont="1" applyFill="1" applyBorder="1" applyAlignment="1">
      <alignment vertical="top" wrapText="1"/>
    </xf>
    <xf numFmtId="0" fontId="58" fillId="0" borderId="4" xfId="0" applyFont="1" applyFill="1" applyBorder="1" applyAlignment="1">
      <alignment vertical="top" wrapText="1"/>
    </xf>
    <xf numFmtId="0" fontId="58" fillId="0" borderId="3" xfId="0" applyFont="1" applyFill="1" applyBorder="1" applyAlignment="1">
      <alignment vertical="top" wrapText="1"/>
    </xf>
    <xf numFmtId="0" fontId="2" fillId="0" borderId="0" xfId="0" applyFont="1" applyAlignment="1">
      <alignment vertical="top"/>
    </xf>
    <xf numFmtId="0" fontId="3" fillId="0" borderId="0" xfId="0" applyFont="1" applyAlignment="1">
      <alignment vertical="top" wrapText="1"/>
    </xf>
    <xf numFmtId="0" fontId="4" fillId="0" borderId="0" xfId="0" applyFont="1" applyAlignment="1">
      <alignment wrapText="1"/>
    </xf>
    <xf numFmtId="0" fontId="10" fillId="0" borderId="0" xfId="0" applyFont="1" applyBorder="1" applyAlignment="1">
      <alignment wrapText="1"/>
    </xf>
    <xf numFmtId="0" fontId="4" fillId="0" borderId="0" xfId="0" applyFont="1" applyBorder="1" applyAlignment="1">
      <alignment wrapText="1"/>
    </xf>
    <xf numFmtId="0" fontId="48" fillId="9" borderId="1" xfId="0" applyFont="1" applyFill="1" applyBorder="1" applyAlignment="1">
      <alignment horizontal="center" vertical="center" wrapText="1"/>
    </xf>
    <xf numFmtId="0" fontId="8" fillId="9" borderId="1" xfId="0" applyFont="1" applyFill="1" applyBorder="1" applyAlignment="1">
      <alignment horizontal="center" vertical="center" wrapText="1"/>
    </xf>
    <xf numFmtId="0" fontId="8" fillId="0" borderId="9" xfId="0" applyFont="1" applyFill="1" applyBorder="1" applyAlignment="1">
      <alignment vertical="top" wrapText="1"/>
    </xf>
    <xf numFmtId="0" fontId="8" fillId="0" borderId="4" xfId="0" applyFont="1" applyFill="1" applyBorder="1" applyAlignment="1">
      <alignment vertical="top" wrapText="1"/>
    </xf>
    <xf numFmtId="0" fontId="8" fillId="0" borderId="3" xfId="0" applyFont="1" applyFill="1" applyBorder="1" applyAlignment="1">
      <alignment vertical="top" wrapText="1"/>
    </xf>
    <xf numFmtId="0" fontId="48" fillId="9" borderId="1" xfId="0" applyFont="1" applyFill="1" applyBorder="1" applyAlignment="1">
      <alignment vertical="top" wrapText="1"/>
    </xf>
    <xf numFmtId="0" fontId="2" fillId="0" borderId="0" xfId="0" applyFont="1" applyAlignment="1">
      <alignment vertical="top" wrapText="1"/>
    </xf>
    <xf numFmtId="0" fontId="4" fillId="2" borderId="1" xfId="0" applyFont="1" applyFill="1" applyBorder="1" applyAlignment="1">
      <alignment horizontal="center" vertical="center" wrapText="1"/>
    </xf>
    <xf numFmtId="0" fontId="10" fillId="0" borderId="0" xfId="0" applyFont="1" applyAlignment="1"/>
    <xf numFmtId="0" fontId="10" fillId="2" borderId="9" xfId="0" applyFont="1" applyFill="1" applyBorder="1" applyAlignment="1">
      <alignment vertical="center" wrapText="1"/>
    </xf>
    <xf numFmtId="0" fontId="10" fillId="2" borderId="4" xfId="0" applyFont="1" applyFill="1" applyBorder="1" applyAlignment="1">
      <alignment vertical="center" wrapText="1"/>
    </xf>
    <xf numFmtId="0" fontId="10" fillId="2" borderId="3" xfId="0" applyFont="1" applyFill="1" applyBorder="1" applyAlignment="1">
      <alignment vertical="center" wrapText="1"/>
    </xf>
    <xf numFmtId="0" fontId="4" fillId="0" borderId="1" xfId="0" applyFont="1" applyBorder="1" applyAlignment="1">
      <alignment wrapText="1"/>
    </xf>
    <xf numFmtId="0" fontId="1" fillId="17" borderId="1" xfId="0" applyFont="1" applyFill="1" applyBorder="1" applyAlignment="1">
      <alignment wrapText="1"/>
    </xf>
    <xf numFmtId="0" fontId="4" fillId="0" borderId="12" xfId="0" applyFont="1" applyFill="1" applyBorder="1" applyAlignment="1">
      <alignment horizontal="left"/>
    </xf>
    <xf numFmtId="0" fontId="4" fillId="0" borderId="13" xfId="0" applyFont="1" applyFill="1" applyBorder="1" applyAlignment="1">
      <alignment horizontal="left"/>
    </xf>
    <xf numFmtId="0" fontId="4" fillId="0" borderId="31" xfId="0" applyFont="1" applyFill="1" applyBorder="1" applyAlignment="1">
      <alignment horizontal="left"/>
    </xf>
    <xf numFmtId="0" fontId="10" fillId="11" borderId="9" xfId="0" applyFont="1" applyFill="1" applyBorder="1" applyAlignment="1">
      <alignment vertical="top" wrapText="1"/>
    </xf>
    <xf numFmtId="0" fontId="10" fillId="11" borderId="4" xfId="0" applyFont="1" applyFill="1" applyBorder="1" applyAlignment="1">
      <alignment vertical="top" wrapText="1"/>
    </xf>
    <xf numFmtId="0" fontId="10" fillId="11" borderId="3" xfId="0" applyFont="1" applyFill="1" applyBorder="1" applyAlignment="1">
      <alignment vertical="top" wrapText="1"/>
    </xf>
    <xf numFmtId="0" fontId="2" fillId="0" borderId="0" xfId="0" applyFont="1">
      <alignment vertical="top" wrapText="1"/>
    </xf>
    <xf numFmtId="0" fontId="8" fillId="18" borderId="1" xfId="0" applyFont="1" applyFill="1" applyBorder="1" applyAlignment="1">
      <alignment vertical="center" wrapText="1"/>
    </xf>
    <xf numFmtId="0" fontId="8" fillId="0" borderId="9" xfId="0" applyFont="1" applyBorder="1" applyAlignment="1">
      <alignment vertical="center" wrapText="1"/>
    </xf>
    <xf numFmtId="0" fontId="8" fillId="0" borderId="4" xfId="0" applyFont="1" applyBorder="1" applyAlignment="1">
      <alignment vertical="center" wrapText="1"/>
    </xf>
    <xf numFmtId="0" fontId="8" fillId="0" borderId="3" xfId="0" applyFont="1" applyBorder="1" applyAlignment="1">
      <alignment vertical="center" wrapText="1"/>
    </xf>
    <xf numFmtId="0" fontId="4" fillId="0" borderId="0" xfId="0" applyFont="1" applyAlignment="1">
      <alignment horizontal="left"/>
    </xf>
    <xf numFmtId="0" fontId="8" fillId="13" borderId="9" xfId="0" applyFont="1" applyFill="1" applyBorder="1" applyAlignment="1">
      <alignment vertical="center" wrapText="1"/>
    </xf>
    <xf numFmtId="0" fontId="8" fillId="13" borderId="4" xfId="0" applyFont="1" applyFill="1" applyBorder="1" applyAlignment="1">
      <alignment vertical="center" wrapText="1"/>
    </xf>
    <xf numFmtId="0" fontId="8" fillId="13" borderId="3" xfId="0" applyFont="1" applyFill="1" applyBorder="1" applyAlignment="1">
      <alignment vertical="center" wrapText="1"/>
    </xf>
    <xf numFmtId="0" fontId="10" fillId="2" borderId="9" xfId="0" applyFont="1" applyFill="1" applyBorder="1" applyAlignment="1">
      <alignment horizontal="left" vertical="center" wrapText="1"/>
    </xf>
    <xf numFmtId="0" fontId="10" fillId="2" borderId="3" xfId="0" applyFont="1" applyFill="1" applyBorder="1" applyAlignment="1">
      <alignment horizontal="left" vertical="center" wrapText="1"/>
    </xf>
    <xf numFmtId="0" fontId="2" fillId="0" borderId="0" xfId="0" applyFont="1" applyAlignment="1"/>
    <xf numFmtId="0" fontId="8" fillId="15" borderId="9" xfId="0" applyFont="1" applyFill="1" applyBorder="1" applyAlignment="1">
      <alignment vertical="center" wrapText="1"/>
    </xf>
    <xf numFmtId="0" fontId="8" fillId="15" borderId="4" xfId="0" applyFont="1" applyFill="1" applyBorder="1" applyAlignment="1">
      <alignment vertical="center" wrapText="1"/>
    </xf>
    <xf numFmtId="0" fontId="8" fillId="15" borderId="3" xfId="0" applyFont="1" applyFill="1" applyBorder="1" applyAlignment="1">
      <alignment vertical="center" wrapText="1"/>
    </xf>
    <xf numFmtId="0" fontId="8" fillId="18" borderId="9" xfId="0" applyFont="1" applyFill="1" applyBorder="1" applyAlignment="1">
      <alignment vertical="center" wrapText="1"/>
    </xf>
    <xf numFmtId="0" fontId="0" fillId="18" borderId="4" xfId="0" applyFill="1" applyBorder="1" applyAlignment="1">
      <alignment vertical="center" wrapText="1"/>
    </xf>
    <xf numFmtId="0" fontId="0" fillId="18" borderId="3" xfId="0" applyFill="1" applyBorder="1" applyAlignment="1">
      <alignment vertical="center" wrapText="1"/>
    </xf>
    <xf numFmtId="0" fontId="40" fillId="12" borderId="4" xfId="0" applyFont="1" applyFill="1" applyBorder="1" applyAlignment="1">
      <alignment horizontal="center" vertical="center" wrapText="1"/>
    </xf>
    <xf numFmtId="0" fontId="8" fillId="15" borderId="1" xfId="0" applyFont="1" applyFill="1" applyBorder="1" applyAlignment="1">
      <alignment vertical="center" wrapText="1"/>
    </xf>
    <xf numFmtId="0" fontId="8" fillId="0" borderId="9" xfId="0" applyFont="1" applyFill="1" applyBorder="1" applyAlignment="1">
      <alignment vertical="center" wrapText="1"/>
    </xf>
    <xf numFmtId="0" fontId="8" fillId="0" borderId="4" xfId="0" applyFont="1" applyFill="1" applyBorder="1" applyAlignment="1">
      <alignment vertical="center" wrapText="1"/>
    </xf>
    <xf numFmtId="0" fontId="8" fillId="0" borderId="3" xfId="0" applyFont="1" applyFill="1" applyBorder="1" applyAlignment="1">
      <alignment vertical="center" wrapText="1"/>
    </xf>
    <xf numFmtId="0" fontId="8" fillId="0" borderId="1" xfId="0" applyFont="1" applyBorder="1" applyAlignment="1">
      <alignment vertical="center" wrapText="1"/>
    </xf>
    <xf numFmtId="0" fontId="8" fillId="0" borderId="0" xfId="0" applyFont="1">
      <alignment vertical="top" wrapText="1"/>
    </xf>
    <xf numFmtId="0" fontId="66" fillId="18" borderId="1" xfId="0" applyFont="1" applyFill="1" applyBorder="1" applyAlignment="1">
      <alignment vertical="center" wrapText="1"/>
    </xf>
    <xf numFmtId="0" fontId="8" fillId="0" borderId="1" xfId="0" applyFont="1" applyFill="1" applyBorder="1" applyAlignment="1">
      <alignment vertical="center" wrapText="1"/>
    </xf>
    <xf numFmtId="0" fontId="5" fillId="0" borderId="0" xfId="3" applyFont="1" applyAlignment="1" applyProtection="1">
      <alignment vertical="top" wrapText="1"/>
    </xf>
    <xf numFmtId="0" fontId="4" fillId="0" borderId="10" xfId="0" applyFont="1" applyFill="1" applyBorder="1" applyAlignment="1">
      <alignment vertical="center" wrapText="1"/>
    </xf>
    <xf numFmtId="0" fontId="4" fillId="0" borderId="2" xfId="0" applyFont="1" applyFill="1" applyBorder="1" applyAlignment="1">
      <alignment vertical="center" wrapText="1"/>
    </xf>
    <xf numFmtId="0" fontId="4" fillId="0" borderId="11" xfId="0" applyFont="1" applyFill="1" applyBorder="1" applyAlignment="1">
      <alignment vertical="center" wrapText="1"/>
    </xf>
    <xf numFmtId="0" fontId="5" fillId="0" borderId="9" xfId="3" applyFill="1" applyBorder="1" applyAlignment="1" applyProtection="1">
      <alignment vertical="center" wrapText="1"/>
    </xf>
    <xf numFmtId="0" fontId="1" fillId="0" borderId="4" xfId="0" applyFont="1" applyFill="1" applyBorder="1" applyAlignment="1">
      <alignment vertical="center" wrapText="1"/>
    </xf>
    <xf numFmtId="0" fontId="1" fillId="0" borderId="3" xfId="0" applyFont="1" applyFill="1" applyBorder="1" applyAlignment="1">
      <alignment vertical="center" wrapText="1"/>
    </xf>
    <xf numFmtId="0" fontId="1" fillId="0" borderId="4" xfId="0" applyFont="1" applyFill="1" applyBorder="1" applyAlignment="1">
      <alignment vertical="top" wrapText="1"/>
    </xf>
    <xf numFmtId="0" fontId="1" fillId="0" borderId="3" xfId="0" applyFont="1" applyFill="1" applyBorder="1" applyAlignment="1">
      <alignment vertical="top" wrapText="1"/>
    </xf>
    <xf numFmtId="0" fontId="8" fillId="17" borderId="1" xfId="0" applyFont="1" applyFill="1" applyBorder="1" applyAlignment="1">
      <alignment vertical="center" wrapText="1"/>
    </xf>
    <xf numFmtId="0" fontId="8" fillId="18" borderId="9" xfId="0" applyFont="1" applyFill="1" applyBorder="1" applyAlignment="1">
      <alignment horizontal="left" vertical="center"/>
    </xf>
    <xf numFmtId="0" fontId="8" fillId="18" borderId="4" xfId="0" applyFont="1" applyFill="1" applyBorder="1" applyAlignment="1">
      <alignment horizontal="left" vertical="center"/>
    </xf>
    <xf numFmtId="0" fontId="8" fillId="18" borderId="3" xfId="0" applyFont="1" applyFill="1" applyBorder="1" applyAlignment="1">
      <alignment horizontal="left" vertical="center"/>
    </xf>
    <xf numFmtId="0" fontId="4" fillId="0" borderId="12" xfId="0" applyFont="1" applyFill="1" applyBorder="1" applyAlignment="1">
      <alignment vertical="center" wrapText="1"/>
    </xf>
    <xf numFmtId="0" fontId="4" fillId="0" borderId="13" xfId="0" applyFont="1" applyFill="1" applyBorder="1" applyAlignment="1">
      <alignment vertical="center" wrapText="1"/>
    </xf>
    <xf numFmtId="0" fontId="4" fillId="0" borderId="31" xfId="0" applyFont="1" applyFill="1" applyBorder="1" applyAlignment="1">
      <alignment vertical="center" wrapText="1"/>
    </xf>
    <xf numFmtId="0" fontId="1" fillId="17" borderId="1" xfId="0" applyFont="1" applyFill="1" applyBorder="1" applyAlignment="1">
      <alignment vertical="top" wrapText="1"/>
    </xf>
    <xf numFmtId="0" fontId="4" fillId="17" borderId="1" xfId="0" applyFont="1" applyFill="1" applyBorder="1" applyAlignment="1">
      <alignment vertical="top" wrapText="1"/>
    </xf>
    <xf numFmtId="0" fontId="1" fillId="0" borderId="1" xfId="0" applyFont="1" applyBorder="1" applyAlignment="1">
      <alignment vertical="top" wrapText="1"/>
    </xf>
    <xf numFmtId="0" fontId="1" fillId="13" borderId="9" xfId="0" applyFont="1" applyFill="1" applyBorder="1" applyAlignment="1">
      <alignment horizontal="left" vertical="center"/>
    </xf>
    <xf numFmtId="0" fontId="1" fillId="13" borderId="4" xfId="0" applyFont="1" applyFill="1" applyBorder="1" applyAlignment="1">
      <alignment horizontal="left" vertical="center"/>
    </xf>
    <xf numFmtId="0" fontId="1" fillId="13" borderId="3" xfId="0" applyFont="1" applyFill="1" applyBorder="1" applyAlignment="1">
      <alignment horizontal="left" vertical="center"/>
    </xf>
    <xf numFmtId="0" fontId="1" fillId="0" borderId="0" xfId="0" applyFont="1" applyBorder="1" applyAlignment="1">
      <alignment horizontal="left" vertical="top" wrapText="1"/>
    </xf>
    <xf numFmtId="0" fontId="10" fillId="0" borderId="0" xfId="0" applyFont="1" applyBorder="1" applyAlignment="1">
      <alignment vertical="center" wrapText="1"/>
    </xf>
    <xf numFmtId="0" fontId="98" fillId="0" borderId="0" xfId="13" applyFont="1" applyAlignment="1">
      <alignment horizontal="left" vertical="center" wrapText="1"/>
    </xf>
    <xf numFmtId="0" fontId="10" fillId="16" borderId="9" xfId="0" applyFont="1" applyFill="1" applyBorder="1" applyAlignment="1">
      <alignment vertical="center"/>
    </xf>
    <xf numFmtId="0" fontId="10" fillId="16" borderId="4" xfId="0" applyFont="1" applyFill="1" applyBorder="1" applyAlignment="1">
      <alignment vertical="center"/>
    </xf>
    <xf numFmtId="0" fontId="10" fillId="16" borderId="3" xfId="0" applyFont="1" applyFill="1" applyBorder="1" applyAlignment="1">
      <alignment vertical="center"/>
    </xf>
    <xf numFmtId="0" fontId="98" fillId="11" borderId="0" xfId="13" applyFont="1" applyFill="1" applyAlignment="1">
      <alignment horizontal="left" vertical="center" wrapText="1"/>
    </xf>
    <xf numFmtId="0" fontId="98" fillId="11" borderId="9" xfId="13" applyFont="1" applyFill="1" applyBorder="1" applyAlignment="1">
      <alignment horizontal="right" vertical="center" wrapText="1"/>
    </xf>
    <xf numFmtId="0" fontId="98" fillId="11" borderId="4" xfId="13" applyFont="1" applyFill="1" applyBorder="1" applyAlignment="1">
      <alignment horizontal="right" vertical="center" wrapText="1"/>
    </xf>
    <xf numFmtId="0" fontId="98" fillId="11" borderId="3" xfId="13" applyFont="1" applyFill="1" applyBorder="1" applyAlignment="1">
      <alignment horizontal="right" vertical="center" wrapText="1"/>
    </xf>
    <xf numFmtId="0" fontId="99" fillId="0" borderId="20" xfId="13" applyFont="1" applyBorder="1" applyAlignment="1">
      <alignment horizontal="left" vertical="center" wrapText="1"/>
    </xf>
    <xf numFmtId="0" fontId="99" fillId="0" borderId="0" xfId="13" applyFont="1" applyAlignment="1">
      <alignment horizontal="left" vertical="center" wrapText="1"/>
    </xf>
    <xf numFmtId="0" fontId="98" fillId="11" borderId="9" xfId="13" applyFont="1" applyFill="1" applyBorder="1" applyAlignment="1">
      <alignment horizontal="left" vertical="center" wrapText="1"/>
    </xf>
    <xf numFmtId="0" fontId="98" fillId="11" borderId="3" xfId="13" applyFont="1" applyFill="1" applyBorder="1" applyAlignment="1">
      <alignment horizontal="left" vertical="center" wrapText="1"/>
    </xf>
    <xf numFmtId="0" fontId="98" fillId="11" borderId="4" xfId="13" applyFont="1" applyFill="1" applyBorder="1" applyAlignment="1">
      <alignment horizontal="left" vertical="center" wrapText="1"/>
    </xf>
    <xf numFmtId="0" fontId="1" fillId="13" borderId="20" xfId="13" applyFont="1" applyFill="1" applyBorder="1" applyAlignment="1">
      <alignment horizontal="left" vertical="center" wrapText="1"/>
    </xf>
    <xf numFmtId="0" fontId="1" fillId="13" borderId="0" xfId="13" applyFont="1" applyFill="1" applyAlignment="1">
      <alignment horizontal="left" vertical="center" wrapText="1"/>
    </xf>
    <xf numFmtId="0" fontId="1" fillId="0" borderId="9" xfId="0" applyFont="1" applyBorder="1" applyAlignment="1">
      <alignment horizontal="center" vertical="top" wrapText="1"/>
    </xf>
    <xf numFmtId="0" fontId="4" fillId="0" borderId="4" xfId="0" applyFont="1" applyBorder="1" applyAlignment="1">
      <alignment horizontal="center" vertical="top" wrapText="1"/>
    </xf>
    <xf numFmtId="0" fontId="4" fillId="0" borderId="3" xfId="0" applyFont="1" applyBorder="1" applyAlignment="1">
      <alignment horizontal="center" vertical="top" wrapText="1"/>
    </xf>
    <xf numFmtId="0" fontId="1" fillId="0" borderId="1" xfId="0" applyFont="1" applyBorder="1" applyAlignment="1">
      <alignment horizontal="center" vertical="top" wrapText="1"/>
    </xf>
    <xf numFmtId="0" fontId="4" fillId="0" borderId="1" xfId="0" applyFont="1" applyBorder="1" applyAlignment="1">
      <alignment horizontal="center" vertical="top" wrapText="1"/>
    </xf>
    <xf numFmtId="0" fontId="4" fillId="0" borderId="0" xfId="0" applyFont="1" applyBorder="1" applyAlignment="1">
      <alignment vertical="center" wrapText="1"/>
    </xf>
    <xf numFmtId="0" fontId="4" fillId="0" borderId="1" xfId="0" applyFont="1" applyBorder="1" applyAlignment="1">
      <alignment vertical="center" wrapText="1"/>
    </xf>
    <xf numFmtId="0" fontId="1" fillId="0" borderId="4" xfId="0" applyFont="1" applyBorder="1" applyAlignment="1">
      <alignment horizontal="center" vertical="top" wrapText="1"/>
    </xf>
    <xf numFmtId="0" fontId="1" fillId="0" borderId="3" xfId="0" applyFont="1" applyBorder="1" applyAlignment="1">
      <alignment horizontal="center" vertical="top" wrapText="1"/>
    </xf>
    <xf numFmtId="0" fontId="1" fillId="9" borderId="20" xfId="0" applyFont="1" applyFill="1" applyBorder="1" applyAlignment="1">
      <alignment vertical="center" wrapText="1"/>
    </xf>
    <xf numFmtId="0" fontId="1" fillId="9" borderId="0" xfId="0" applyFont="1" applyFill="1" applyBorder="1" applyAlignment="1">
      <alignment vertical="center" wrapText="1"/>
    </xf>
    <xf numFmtId="0" fontId="1" fillId="9" borderId="21" xfId="0" applyFont="1" applyFill="1" applyBorder="1" applyAlignment="1">
      <alignment vertical="center" wrapText="1"/>
    </xf>
    <xf numFmtId="0" fontId="1" fillId="17" borderId="9" xfId="0" applyFont="1" applyFill="1" applyBorder="1" applyAlignment="1">
      <alignment horizontal="center" vertical="top" wrapText="1"/>
    </xf>
    <xf numFmtId="0" fontId="4" fillId="17" borderId="4" xfId="0" applyFont="1" applyFill="1" applyBorder="1" applyAlignment="1">
      <alignment horizontal="center" vertical="top" wrapText="1"/>
    </xf>
    <xf numFmtId="0" fontId="4" fillId="17" borderId="3" xfId="0" applyFont="1" applyFill="1" applyBorder="1" applyAlignment="1">
      <alignment horizontal="center" vertical="top" wrapText="1"/>
    </xf>
    <xf numFmtId="0" fontId="1" fillId="0" borderId="12" xfId="0" applyFont="1" applyBorder="1" applyAlignment="1">
      <alignment vertical="top" wrapText="1"/>
    </xf>
    <xf numFmtId="0" fontId="1" fillId="0" borderId="13" xfId="0" applyFont="1" applyBorder="1" applyAlignment="1">
      <alignment vertical="top" wrapText="1"/>
    </xf>
    <xf numFmtId="0" fontId="1" fillId="0" borderId="31" xfId="0" applyFont="1" applyBorder="1" applyAlignment="1">
      <alignment vertical="top" wrapText="1"/>
    </xf>
    <xf numFmtId="0" fontId="4" fillId="0" borderId="13" xfId="0" applyFont="1" applyBorder="1" applyAlignment="1"/>
    <xf numFmtId="0" fontId="4" fillId="0" borderId="0" xfId="0" applyFont="1" applyBorder="1" applyAlignment="1"/>
    <xf numFmtId="0" fontId="4" fillId="0" borderId="1" xfId="0" applyFont="1" applyBorder="1">
      <alignment vertical="top" wrapText="1"/>
    </xf>
    <xf numFmtId="0" fontId="2" fillId="0" borderId="0" xfId="0" applyFont="1" applyAlignment="1">
      <alignment horizontal="left"/>
    </xf>
    <xf numFmtId="0" fontId="1" fillId="9" borderId="12" xfId="0" applyFont="1" applyFill="1" applyBorder="1" applyAlignment="1">
      <alignment vertical="center" wrapText="1"/>
    </xf>
    <xf numFmtId="0" fontId="1" fillId="9" borderId="13" xfId="0" applyFont="1" applyFill="1" applyBorder="1" applyAlignment="1">
      <alignment vertical="center" wrapText="1"/>
    </xf>
    <xf numFmtId="0" fontId="1" fillId="9" borderId="31" xfId="0" applyFont="1" applyFill="1" applyBorder="1" applyAlignment="1">
      <alignment vertical="center" wrapText="1"/>
    </xf>
    <xf numFmtId="0" fontId="4" fillId="0" borderId="9" xfId="0" applyFont="1" applyBorder="1">
      <alignment vertical="top" wrapText="1"/>
    </xf>
    <xf numFmtId="0" fontId="4" fillId="0" borderId="4" xfId="0" applyFont="1" applyBorder="1">
      <alignment vertical="top" wrapText="1"/>
    </xf>
    <xf numFmtId="0" fontId="4" fillId="0" borderId="3" xfId="0" applyFont="1" applyBorder="1">
      <alignment vertical="top" wrapText="1"/>
    </xf>
    <xf numFmtId="0" fontId="2" fillId="0" borderId="0" xfId="0" applyFont="1" applyBorder="1" applyAlignment="1">
      <alignment horizontal="left" vertical="center" wrapText="1"/>
    </xf>
    <xf numFmtId="0" fontId="4" fillId="0" borderId="0" xfId="0" applyFont="1">
      <alignment vertical="top" wrapText="1"/>
    </xf>
    <xf numFmtId="0" fontId="4" fillId="9" borderId="12" xfId="0" applyFont="1" applyFill="1" applyBorder="1" applyAlignment="1">
      <alignment horizontal="left" vertical="center" wrapText="1"/>
    </xf>
    <xf numFmtId="0" fontId="4" fillId="9" borderId="13" xfId="0" applyFont="1" applyFill="1" applyBorder="1" applyAlignment="1">
      <alignment horizontal="left" vertical="center" wrapText="1"/>
    </xf>
    <xf numFmtId="0" fontId="4" fillId="9" borderId="20" xfId="0" applyFont="1" applyFill="1" applyBorder="1" applyAlignment="1">
      <alignment horizontal="left" vertical="center" wrapText="1"/>
    </xf>
    <xf numFmtId="0" fontId="4" fillId="9" borderId="0" xfId="0" applyFont="1" applyFill="1" applyBorder="1" applyAlignment="1">
      <alignment horizontal="left" vertical="center" wrapText="1"/>
    </xf>
    <xf numFmtId="0" fontId="1" fillId="9" borderId="20" xfId="0" applyFont="1" applyFill="1" applyBorder="1" applyAlignment="1">
      <alignment horizontal="left" vertical="center" wrapText="1"/>
    </xf>
    <xf numFmtId="0" fontId="4" fillId="9" borderId="0" xfId="0" applyFont="1" applyFill="1" applyBorder="1" applyAlignment="1">
      <alignment vertical="center" wrapText="1"/>
    </xf>
    <xf numFmtId="0" fontId="4" fillId="9" borderId="21" xfId="0" applyFont="1" applyFill="1" applyBorder="1" applyAlignment="1">
      <alignment vertical="center" wrapText="1"/>
    </xf>
    <xf numFmtId="0" fontId="4" fillId="9" borderId="13" xfId="0" applyFont="1" applyFill="1" applyBorder="1" applyAlignment="1">
      <alignment vertical="center" wrapText="1"/>
    </xf>
    <xf numFmtId="0" fontId="4" fillId="9" borderId="31" xfId="0" applyFont="1" applyFill="1" applyBorder="1" applyAlignment="1">
      <alignment vertical="center" wrapText="1"/>
    </xf>
    <xf numFmtId="0" fontId="1" fillId="0" borderId="0" xfId="0" applyFont="1" applyBorder="1" applyAlignment="1">
      <alignment horizontal="left" vertical="center" wrapText="1"/>
    </xf>
    <xf numFmtId="0" fontId="4" fillId="0" borderId="0" xfId="0" applyFont="1" applyBorder="1" applyAlignment="1">
      <alignment horizontal="left" vertical="center" wrapText="1"/>
    </xf>
    <xf numFmtId="0" fontId="1" fillId="17" borderId="12" xfId="0" applyFont="1" applyFill="1" applyBorder="1" applyAlignment="1">
      <alignment vertical="top" wrapText="1"/>
    </xf>
    <xf numFmtId="0" fontId="4" fillId="17" borderId="13" xfId="0" applyFont="1" applyFill="1" applyBorder="1" applyAlignment="1">
      <alignment vertical="top" wrapText="1"/>
    </xf>
    <xf numFmtId="0" fontId="4" fillId="17" borderId="31" xfId="0" applyFont="1" applyFill="1" applyBorder="1" applyAlignment="1">
      <alignment vertical="top" wrapText="1"/>
    </xf>
    <xf numFmtId="0" fontId="5" fillId="9" borderId="20" xfId="3" applyFill="1" applyBorder="1" applyAlignment="1" applyProtection="1">
      <alignment vertical="center" wrapText="1"/>
    </xf>
    <xf numFmtId="0" fontId="5" fillId="9" borderId="20" xfId="3" applyFill="1" applyBorder="1" applyAlignment="1" applyProtection="1">
      <alignment horizontal="left" vertical="center" wrapText="1"/>
    </xf>
    <xf numFmtId="0" fontId="5" fillId="9" borderId="0" xfId="3" applyFill="1" applyBorder="1" applyAlignment="1" applyProtection="1">
      <alignment horizontal="left" vertical="center" wrapText="1"/>
    </xf>
    <xf numFmtId="0" fontId="5" fillId="9" borderId="21" xfId="3" applyFill="1" applyBorder="1" applyAlignment="1" applyProtection="1">
      <alignment horizontal="left" vertical="center" wrapText="1"/>
    </xf>
    <xf numFmtId="0" fontId="1" fillId="9" borderId="0" xfId="0" applyFont="1" applyFill="1" applyBorder="1" applyAlignment="1">
      <alignment horizontal="left" vertical="center" wrapText="1"/>
    </xf>
    <xf numFmtId="0" fontId="1" fillId="9" borderId="21" xfId="0" applyFont="1" applyFill="1" applyBorder="1" applyAlignment="1">
      <alignment horizontal="left" vertical="center" wrapText="1"/>
    </xf>
    <xf numFmtId="0" fontId="4" fillId="0" borderId="0" xfId="0" applyFont="1" applyFill="1" applyBorder="1" applyAlignment="1">
      <alignment vertical="top"/>
    </xf>
    <xf numFmtId="0" fontId="2" fillId="0" borderId="0" xfId="0" applyFont="1" applyAlignment="1">
      <alignment vertical="center" wrapText="1"/>
    </xf>
    <xf numFmtId="0" fontId="4" fillId="0" borderId="20" xfId="0" applyFont="1" applyBorder="1" applyAlignment="1">
      <alignment vertical="top" wrapText="1"/>
    </xf>
    <xf numFmtId="0" fontId="21" fillId="0" borderId="1" xfId="0" applyFont="1" applyBorder="1" applyAlignment="1">
      <alignment vertical="top" wrapText="1"/>
    </xf>
    <xf numFmtId="0" fontId="4" fillId="0" borderId="34" xfId="0" applyFont="1" applyBorder="1" applyAlignment="1">
      <alignment vertical="center" wrapText="1"/>
    </xf>
    <xf numFmtId="0" fontId="4" fillId="0" borderId="35" xfId="0" applyFont="1" applyBorder="1" applyAlignment="1">
      <alignment vertical="center" wrapText="1"/>
    </xf>
    <xf numFmtId="0" fontId="4" fillId="0" borderId="36" xfId="0" applyFont="1" applyBorder="1" applyAlignment="1">
      <alignment vertical="center" wrapText="1"/>
    </xf>
    <xf numFmtId="0" fontId="9" fillId="2" borderId="12" xfId="0" applyFont="1" applyFill="1" applyBorder="1" applyAlignment="1">
      <alignment horizontal="center" vertical="top" wrapText="1"/>
    </xf>
    <xf numFmtId="0" fontId="9" fillId="2" borderId="13" xfId="0" applyFont="1" applyFill="1" applyBorder="1" applyAlignment="1">
      <alignment horizontal="center" vertical="top" wrapText="1"/>
    </xf>
    <xf numFmtId="0" fontId="4" fillId="0" borderId="12" xfId="0" applyFont="1" applyBorder="1" applyAlignment="1">
      <alignment vertical="top" wrapText="1"/>
    </xf>
    <xf numFmtId="0" fontId="4" fillId="0" borderId="31" xfId="0" applyFont="1" applyBorder="1" applyAlignment="1">
      <alignment vertical="top" wrapText="1"/>
    </xf>
    <xf numFmtId="0" fontId="4" fillId="0" borderId="0" xfId="0" applyFont="1" applyFill="1" applyBorder="1" applyAlignment="1">
      <alignment vertical="center" wrapText="1"/>
    </xf>
    <xf numFmtId="0" fontId="4" fillId="0" borderId="10" xfId="0" applyFont="1" applyBorder="1" applyAlignment="1">
      <alignment vertical="top" wrapText="1"/>
    </xf>
    <xf numFmtId="0" fontId="4" fillId="0" borderId="11" xfId="0" applyFont="1" applyBorder="1" applyAlignment="1">
      <alignment vertical="top" wrapText="1"/>
    </xf>
    <xf numFmtId="0" fontId="4" fillId="0" borderId="10" xfId="0" applyFont="1" applyBorder="1" applyAlignment="1"/>
    <xf numFmtId="0" fontId="4" fillId="0" borderId="2" xfId="0" applyFont="1" applyBorder="1" applyAlignment="1"/>
    <xf numFmtId="0" fontId="4" fillId="0" borderId="11" xfId="0" applyFont="1" applyBorder="1" applyAlignment="1"/>
    <xf numFmtId="0" fontId="4" fillId="0" borderId="1" xfId="0" applyFont="1" applyFill="1" applyBorder="1" applyAlignment="1">
      <alignment horizontal="center" vertical="top" wrapText="1"/>
    </xf>
    <xf numFmtId="0" fontId="4" fillId="0" borderId="0" xfId="0" applyFont="1" applyFill="1" applyAlignment="1">
      <alignment wrapText="1"/>
    </xf>
    <xf numFmtId="0" fontId="4" fillId="0" borderId="44" xfId="0" applyFont="1" applyBorder="1" applyAlignment="1">
      <alignment horizontal="left" vertical="top" wrapText="1"/>
    </xf>
    <xf numFmtId="0" fontId="4" fillId="0" borderId="45" xfId="0" applyFont="1" applyBorder="1" applyAlignment="1">
      <alignment horizontal="left" vertical="top" wrapText="1"/>
    </xf>
    <xf numFmtId="0" fontId="4" fillId="0" borderId="46" xfId="0" applyFont="1" applyBorder="1" applyAlignment="1">
      <alignment horizontal="left" vertical="top" wrapText="1"/>
    </xf>
    <xf numFmtId="0" fontId="4" fillId="0" borderId="47" xfId="0" applyFont="1" applyBorder="1" applyAlignment="1">
      <alignment horizontal="left" vertical="top" wrapText="1"/>
    </xf>
    <xf numFmtId="0" fontId="4" fillId="0" borderId="48" xfId="0" applyFont="1" applyBorder="1" applyAlignment="1">
      <alignment horizontal="left" vertical="top" wrapText="1"/>
    </xf>
    <xf numFmtId="0" fontId="4" fillId="0" borderId="49" xfId="0" applyFont="1" applyBorder="1" applyAlignment="1">
      <alignment horizontal="left" vertical="top" wrapText="1"/>
    </xf>
    <xf numFmtId="0" fontId="4" fillId="0" borderId="37" xfId="0" applyFont="1" applyBorder="1" applyAlignment="1">
      <alignment vertical="center" wrapText="1"/>
    </xf>
    <xf numFmtId="0" fontId="9" fillId="2" borderId="9" xfId="0" applyFont="1" applyFill="1" applyBorder="1" applyAlignment="1">
      <alignment vertical="top" wrapText="1"/>
    </xf>
    <xf numFmtId="0" fontId="9" fillId="2" borderId="4" xfId="0" applyFont="1" applyFill="1" applyBorder="1" applyAlignment="1">
      <alignment vertical="top" wrapText="1"/>
    </xf>
    <xf numFmtId="0" fontId="9" fillId="2" borderId="3" xfId="0" applyFont="1" applyFill="1" applyBorder="1" applyAlignment="1">
      <alignment vertical="top" wrapText="1"/>
    </xf>
    <xf numFmtId="0" fontId="4" fillId="0" borderId="13" xfId="0" applyFont="1" applyBorder="1" applyAlignment="1">
      <alignment vertical="top" wrapText="1"/>
    </xf>
    <xf numFmtId="0" fontId="4" fillId="0" borderId="0" xfId="0" applyFont="1" applyFill="1" applyAlignment="1">
      <alignment horizontal="left" wrapText="1"/>
    </xf>
    <xf numFmtId="0" fontId="4" fillId="0" borderId="0" xfId="0" applyFont="1" applyFill="1" applyAlignment="1">
      <alignment horizontal="left" vertical="center" wrapText="1"/>
    </xf>
    <xf numFmtId="0" fontId="2" fillId="0" borderId="0" xfId="0" applyFont="1" applyFill="1" applyAlignment="1">
      <alignment vertical="center" wrapText="1"/>
    </xf>
    <xf numFmtId="0" fontId="4" fillId="0" borderId="0" xfId="0" applyFont="1" applyFill="1" applyBorder="1" applyAlignment="1">
      <alignment horizontal="left" wrapText="1"/>
    </xf>
    <xf numFmtId="0" fontId="4" fillId="0" borderId="35" xfId="0" applyFont="1" applyFill="1" applyBorder="1" applyAlignment="1">
      <alignment vertical="center" wrapText="1"/>
    </xf>
    <xf numFmtId="0" fontId="4" fillId="0" borderId="37" xfId="0" applyFont="1" applyFill="1" applyBorder="1" applyAlignment="1">
      <alignment vertical="center" wrapText="1"/>
    </xf>
    <xf numFmtId="0" fontId="16" fillId="0" borderId="0" xfId="0" applyFont="1" applyAlignment="1">
      <alignment vertical="center" wrapText="1"/>
    </xf>
    <xf numFmtId="0" fontId="4" fillId="0" borderId="0" xfId="0" applyFont="1" applyFill="1" applyBorder="1" applyAlignment="1">
      <alignment horizontal="left" vertical="center" wrapText="1"/>
    </xf>
    <xf numFmtId="0" fontId="4" fillId="0" borderId="38" xfId="0" applyFont="1" applyBorder="1" applyAlignment="1">
      <alignment vertical="center" wrapText="1"/>
    </xf>
    <xf numFmtId="0" fontId="4" fillId="0" borderId="39" xfId="0" applyFont="1" applyBorder="1" applyAlignment="1">
      <alignment vertical="center" wrapText="1"/>
    </xf>
    <xf numFmtId="0" fontId="4" fillId="0" borderId="40" xfId="0" applyFont="1" applyBorder="1" applyAlignment="1">
      <alignment vertical="center" wrapText="1"/>
    </xf>
    <xf numFmtId="0" fontId="4" fillId="0" borderId="41" xfId="0" applyFont="1" applyBorder="1" applyAlignment="1">
      <alignment vertical="center" wrapText="1"/>
    </xf>
    <xf numFmtId="0" fontId="4" fillId="0" borderId="42" xfId="0" applyFont="1" applyBorder="1" applyAlignment="1">
      <alignment vertical="center" wrapText="1"/>
    </xf>
    <xf numFmtId="0" fontId="4" fillId="0" borderId="43" xfId="0" applyFont="1" applyBorder="1" applyAlignment="1">
      <alignment vertical="center" wrapText="1"/>
    </xf>
    <xf numFmtId="0" fontId="2" fillId="0" borderId="0" xfId="0" applyFont="1" applyAlignment="1">
      <alignment wrapText="1"/>
    </xf>
    <xf numFmtId="0" fontId="4" fillId="0" borderId="0" xfId="0" applyFont="1" applyAlignment="1"/>
    <xf numFmtId="0" fontId="10" fillId="2" borderId="1" xfId="0" applyFont="1" applyFill="1" applyBorder="1" applyAlignment="1">
      <alignment horizontal="center" vertical="center"/>
    </xf>
    <xf numFmtId="0" fontId="7" fillId="12" borderId="1" xfId="0" applyFont="1" applyFill="1" applyBorder="1" applyAlignment="1">
      <alignment horizontal="center" vertical="center"/>
    </xf>
    <xf numFmtId="0" fontId="4" fillId="0" borderId="0" xfId="0" applyFont="1" applyAlignment="1">
      <alignment vertical="center" wrapText="1"/>
    </xf>
    <xf numFmtId="0" fontId="10" fillId="2" borderId="1" xfId="0" applyFont="1" applyFill="1" applyBorder="1" applyAlignment="1">
      <alignment horizontal="left" vertical="center" wrapText="1"/>
    </xf>
    <xf numFmtId="0" fontId="4" fillId="0" borderId="0" xfId="0" applyFont="1" applyFill="1" applyBorder="1" applyAlignment="1">
      <alignment horizontal="left" vertical="top"/>
    </xf>
    <xf numFmtId="0" fontId="8" fillId="13" borderId="1" xfId="0" applyFont="1" applyFill="1" applyBorder="1" applyAlignment="1">
      <alignment vertical="center" wrapText="1"/>
    </xf>
    <xf numFmtId="0" fontId="10" fillId="0" borderId="0" xfId="0" applyFont="1" applyAlignment="1">
      <alignment vertical="center" wrapText="1"/>
    </xf>
    <xf numFmtId="0" fontId="48" fillId="9" borderId="1" xfId="0" applyFont="1" applyFill="1" applyBorder="1" applyAlignment="1">
      <alignment vertical="center" wrapText="1"/>
    </xf>
    <xf numFmtId="0" fontId="65" fillId="12" borderId="20" xfId="0" applyFont="1" applyFill="1" applyBorder="1" applyAlignment="1">
      <alignment horizontal="center" vertical="top" wrapText="1"/>
    </xf>
    <xf numFmtId="0" fontId="65" fillId="12" borderId="0" xfId="0" applyFont="1" applyFill="1" applyBorder="1" applyAlignment="1">
      <alignment horizontal="center" vertical="top" wrapText="1"/>
    </xf>
    <xf numFmtId="0" fontId="74" fillId="0" borderId="0" xfId="0" applyFont="1" applyAlignment="1">
      <alignment horizontal="left" vertical="center" wrapText="1"/>
    </xf>
    <xf numFmtId="0" fontId="5" fillId="0" borderId="0" xfId="3" applyFill="1" applyAlignment="1" applyProtection="1">
      <alignment vertical="top" wrapText="1"/>
    </xf>
    <xf numFmtId="0" fontId="1" fillId="0" borderId="0" xfId="0" applyFont="1" applyFill="1" applyBorder="1" applyAlignment="1">
      <alignment vertical="center" wrapText="1"/>
    </xf>
    <xf numFmtId="0" fontId="10" fillId="0" borderId="0" xfId="0" applyFont="1" applyFill="1" applyBorder="1" applyAlignment="1">
      <alignment horizontal="left" vertical="center" wrapText="1"/>
    </xf>
    <xf numFmtId="0" fontId="1" fillId="0" borderId="0" xfId="0" applyFont="1" applyFill="1" applyBorder="1" applyAlignment="1">
      <alignment horizontal="left" vertical="center" wrapText="1"/>
    </xf>
    <xf numFmtId="0" fontId="1" fillId="0" borderId="0" xfId="0" applyFont="1" applyFill="1" applyBorder="1" applyAlignment="1">
      <alignment horizontal="left" vertical="center"/>
    </xf>
    <xf numFmtId="0" fontId="1" fillId="0" borderId="0" xfId="0" applyFont="1" applyAlignment="1">
      <alignment vertical="center" wrapText="1"/>
    </xf>
    <xf numFmtId="0" fontId="0" fillId="0" borderId="0" xfId="0" applyAlignment="1">
      <alignment vertical="center" wrapText="1"/>
    </xf>
    <xf numFmtId="0" fontId="10" fillId="2" borderId="4" xfId="0" applyFont="1" applyFill="1" applyBorder="1" applyAlignment="1">
      <alignment horizontal="left" vertical="center" wrapText="1"/>
    </xf>
    <xf numFmtId="0" fontId="1" fillId="0" borderId="9"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0" xfId="0" applyFont="1" applyFill="1" applyBorder="1" applyAlignment="1">
      <alignment horizontal="center" vertical="center"/>
    </xf>
    <xf numFmtId="0" fontId="0" fillId="0" borderId="1" xfId="0" applyBorder="1" applyAlignment="1">
      <alignment vertical="center" wrapText="1"/>
    </xf>
    <xf numFmtId="0" fontId="1" fillId="0" borderId="9" xfId="0" applyFont="1" applyFill="1" applyBorder="1" applyAlignment="1">
      <alignment horizontal="center" vertical="center" wrapText="1"/>
    </xf>
    <xf numFmtId="0" fontId="75" fillId="0" borderId="0" xfId="0" applyFont="1" applyAlignment="1">
      <alignment horizontal="left" vertical="center" wrapText="1"/>
    </xf>
    <xf numFmtId="0" fontId="10" fillId="17" borderId="9" xfId="0" applyFont="1" applyFill="1" applyBorder="1" applyAlignment="1">
      <alignment horizontal="center" vertical="center"/>
    </xf>
    <xf numFmtId="0" fontId="10" fillId="17" borderId="4" xfId="0" applyFont="1" applyFill="1" applyBorder="1" applyAlignment="1">
      <alignment horizontal="center" vertical="center"/>
    </xf>
    <xf numFmtId="0" fontId="10" fillId="17" borderId="3" xfId="0" applyFont="1" applyFill="1" applyBorder="1" applyAlignment="1">
      <alignment horizontal="center" vertical="center"/>
    </xf>
    <xf numFmtId="0" fontId="1" fillId="0" borderId="1" xfId="0" applyFont="1" applyFill="1" applyBorder="1" applyAlignment="1">
      <alignment vertical="center" wrapText="1"/>
    </xf>
    <xf numFmtId="0" fontId="10" fillId="9" borderId="1" xfId="0" applyFont="1" applyFill="1" applyBorder="1" applyAlignment="1">
      <alignment vertical="top" wrapText="1"/>
    </xf>
    <xf numFmtId="0" fontId="0" fillId="9" borderId="1" xfId="0" applyFill="1" applyBorder="1" applyAlignment="1">
      <alignment vertical="top" wrapText="1"/>
    </xf>
    <xf numFmtId="0" fontId="0" fillId="0" borderId="1" xfId="0" applyBorder="1" applyAlignment="1">
      <alignment vertical="top" wrapText="1"/>
    </xf>
    <xf numFmtId="0" fontId="71" fillId="0" borderId="0" xfId="0" applyFont="1" applyFill="1" applyBorder="1" applyAlignment="1">
      <alignment vertical="top" wrapText="1"/>
    </xf>
    <xf numFmtId="0" fontId="72" fillId="0" borderId="0" xfId="0" applyFont="1" applyAlignment="1">
      <alignment vertical="top" wrapText="1"/>
    </xf>
    <xf numFmtId="0" fontId="4" fillId="13" borderId="9" xfId="0" applyFont="1" applyFill="1" applyBorder="1" applyAlignment="1">
      <alignment vertical="top" wrapText="1"/>
    </xf>
    <xf numFmtId="0" fontId="4" fillId="13" borderId="4" xfId="0" applyFont="1" applyFill="1" applyBorder="1" applyAlignment="1">
      <alignment vertical="top" wrapText="1"/>
    </xf>
    <xf numFmtId="0" fontId="4" fillId="0" borderId="9" xfId="0" applyFont="1" applyBorder="1" applyAlignment="1">
      <alignment vertical="center" wrapText="1"/>
    </xf>
    <xf numFmtId="0" fontId="4" fillId="0" borderId="4" xfId="0" applyFont="1" applyBorder="1" applyAlignment="1">
      <alignment vertical="center" wrapText="1"/>
    </xf>
    <xf numFmtId="0" fontId="4" fillId="0" borderId="3" xfId="0" applyFont="1" applyBorder="1" applyAlignment="1">
      <alignment vertical="center" wrapText="1"/>
    </xf>
    <xf numFmtId="0" fontId="4" fillId="13" borderId="3" xfId="0" applyFont="1" applyFill="1" applyBorder="1" applyAlignment="1">
      <alignment vertical="top" wrapText="1"/>
    </xf>
    <xf numFmtId="0" fontId="1" fillId="13" borderId="9" xfId="0" applyFont="1" applyFill="1" applyBorder="1" applyAlignment="1">
      <alignment vertical="top" wrapText="1"/>
    </xf>
    <xf numFmtId="0" fontId="1" fillId="13" borderId="4" xfId="0" applyFont="1" applyFill="1" applyBorder="1" applyAlignment="1">
      <alignment vertical="top" wrapText="1"/>
    </xf>
    <xf numFmtId="0" fontId="4" fillId="0" borderId="0" xfId="0" applyFont="1" applyAlignment="1">
      <alignment vertical="top"/>
    </xf>
    <xf numFmtId="0" fontId="4" fillId="0" borderId="0" xfId="0" applyFont="1" applyFill="1" applyBorder="1">
      <alignment vertical="top" wrapText="1"/>
    </xf>
    <xf numFmtId="0" fontId="3" fillId="0" borderId="0" xfId="0" applyFont="1" applyAlignment="1">
      <alignment vertical="center" wrapText="1"/>
    </xf>
    <xf numFmtId="0" fontId="30" fillId="12" borderId="9" xfId="0" applyFont="1" applyFill="1" applyBorder="1" applyAlignment="1">
      <alignment horizontal="center" vertical="top" wrapText="1"/>
    </xf>
    <xf numFmtId="0" fontId="39" fillId="12" borderId="4" xfId="0" applyFont="1" applyFill="1" applyBorder="1" applyAlignment="1">
      <alignment horizontal="center" vertical="top" wrapText="1"/>
    </xf>
    <xf numFmtId="0" fontId="0" fillId="0" borderId="0" xfId="0" applyAlignment="1">
      <alignment horizontal="left" vertical="top" wrapText="1"/>
    </xf>
    <xf numFmtId="0" fontId="50" fillId="0" borderId="50" xfId="0" applyFont="1" applyBorder="1" applyAlignment="1">
      <alignment horizontal="center" vertical="center" wrapText="1"/>
    </xf>
    <xf numFmtId="0" fontId="50" fillId="0" borderId="0" xfId="0" applyFont="1" applyBorder="1" applyAlignment="1">
      <alignment horizontal="center" vertical="center" wrapText="1"/>
    </xf>
    <xf numFmtId="0" fontId="50" fillId="0" borderId="51" xfId="0" applyFont="1" applyBorder="1" applyAlignment="1">
      <alignment horizontal="center" vertical="center" wrapText="1"/>
    </xf>
    <xf numFmtId="0" fontId="6" fillId="11" borderId="20" xfId="0" applyFont="1" applyFill="1" applyBorder="1" applyAlignment="1">
      <alignment vertical="center" wrapText="1"/>
    </xf>
    <xf numFmtId="0" fontId="6" fillId="11" borderId="0" xfId="0" applyFont="1" applyFill="1" applyBorder="1" applyAlignment="1">
      <alignment vertical="center" wrapText="1"/>
    </xf>
    <xf numFmtId="0" fontId="6" fillId="11" borderId="21" xfId="0" applyFont="1" applyFill="1" applyBorder="1" applyAlignment="1">
      <alignment vertical="center" wrapText="1"/>
    </xf>
    <xf numFmtId="0" fontId="52" fillId="0" borderId="50" xfId="0" applyFont="1" applyBorder="1" applyAlignment="1">
      <alignment horizontal="center" vertical="center" wrapText="1"/>
    </xf>
    <xf numFmtId="0" fontId="52" fillId="0" borderId="0" xfId="0" applyFont="1" applyBorder="1" applyAlignment="1">
      <alignment horizontal="center" vertical="center" wrapText="1"/>
    </xf>
    <xf numFmtId="0" fontId="52" fillId="0" borderId="51" xfId="0" applyFont="1" applyBorder="1" applyAlignment="1">
      <alignment horizontal="center" vertical="center" wrapText="1"/>
    </xf>
    <xf numFmtId="0" fontId="1" fillId="11" borderId="20" xfId="0" applyFont="1" applyFill="1" applyBorder="1" applyAlignment="1">
      <alignment vertical="center" wrapText="1"/>
    </xf>
    <xf numFmtId="0" fontId="1" fillId="11" borderId="0" xfId="0" applyFont="1" applyFill="1" applyBorder="1" applyAlignment="1">
      <alignment vertical="center" wrapText="1"/>
    </xf>
    <xf numFmtId="0" fontId="1" fillId="11" borderId="21" xfId="0" applyFont="1" applyFill="1" applyBorder="1" applyAlignment="1">
      <alignment vertical="center" wrapText="1"/>
    </xf>
    <xf numFmtId="0" fontId="8" fillId="0" borderId="8" xfId="0" applyFont="1" applyFill="1" applyBorder="1" applyAlignment="1">
      <alignment vertical="top" wrapText="1"/>
    </xf>
    <xf numFmtId="0" fontId="10" fillId="17" borderId="9" xfId="0" applyFont="1" applyFill="1" applyBorder="1" applyAlignment="1">
      <alignment horizontal="left" vertical="top" wrapText="1"/>
    </xf>
    <xf numFmtId="0" fontId="10" fillId="17" borderId="3" xfId="0" applyFont="1" applyFill="1" applyBorder="1" applyAlignment="1">
      <alignment horizontal="left" vertical="top" wrapText="1"/>
    </xf>
    <xf numFmtId="0" fontId="8" fillId="0" borderId="6" xfId="0" applyFont="1" applyFill="1" applyBorder="1" applyAlignment="1">
      <alignment vertical="top" wrapText="1"/>
    </xf>
    <xf numFmtId="0" fontId="53" fillId="0" borderId="50" xfId="0" applyFont="1" applyBorder="1" applyAlignment="1">
      <alignment horizontal="center" vertical="center" wrapText="1"/>
    </xf>
    <xf numFmtId="0" fontId="53" fillId="0" borderId="0" xfId="0" applyFont="1" applyBorder="1" applyAlignment="1">
      <alignment horizontal="center" vertical="center" wrapText="1"/>
    </xf>
    <xf numFmtId="0" fontId="53" fillId="0" borderId="51" xfId="0" applyFont="1" applyBorder="1" applyAlignment="1">
      <alignment horizontal="center" vertical="center" wrapText="1"/>
    </xf>
    <xf numFmtId="0" fontId="31" fillId="11" borderId="20" xfId="0" applyFont="1" applyFill="1" applyBorder="1" applyAlignment="1">
      <alignment vertical="center" wrapText="1"/>
    </xf>
    <xf numFmtId="0" fontId="31" fillId="11" borderId="0" xfId="0" applyFont="1" applyFill="1" applyBorder="1" applyAlignment="1">
      <alignment vertical="center" wrapText="1"/>
    </xf>
    <xf numFmtId="0" fontId="31" fillId="11" borderId="21" xfId="0" applyFont="1" applyFill="1" applyBorder="1" applyAlignment="1">
      <alignment vertical="center" wrapText="1"/>
    </xf>
    <xf numFmtId="0" fontId="6" fillId="0" borderId="52" xfId="0" applyFont="1" applyBorder="1" applyAlignment="1">
      <alignment horizontal="center" vertical="center" wrapText="1"/>
    </xf>
    <xf numFmtId="0" fontId="6" fillId="0" borderId="53" xfId="0" applyFont="1" applyBorder="1" applyAlignment="1">
      <alignment horizontal="center" vertical="center" wrapText="1"/>
    </xf>
    <xf numFmtId="0" fontId="6" fillId="0" borderId="54" xfId="0" applyFont="1" applyBorder="1" applyAlignment="1">
      <alignment horizontal="center" vertical="center" wrapText="1"/>
    </xf>
    <xf numFmtId="0" fontId="4" fillId="11" borderId="10" xfId="0" applyFont="1" applyFill="1" applyBorder="1" applyAlignment="1">
      <alignment vertical="center" wrapText="1"/>
    </xf>
    <xf numFmtId="0" fontId="4" fillId="11" borderId="2" xfId="0" applyFont="1" applyFill="1" applyBorder="1" applyAlignment="1">
      <alignment vertical="center" wrapText="1"/>
    </xf>
    <xf numFmtId="0" fontId="4" fillId="11" borderId="11" xfId="0" applyFont="1" applyFill="1" applyBorder="1" applyAlignment="1">
      <alignment vertical="center" wrapText="1"/>
    </xf>
    <xf numFmtId="0" fontId="38" fillId="11" borderId="20" xfId="0" applyFont="1" applyFill="1" applyBorder="1" applyAlignment="1">
      <alignment vertical="center" wrapText="1"/>
    </xf>
    <xf numFmtId="0" fontId="38" fillId="11" borderId="0" xfId="0" applyFont="1" applyFill="1" applyBorder="1" applyAlignment="1">
      <alignment vertical="center" wrapText="1"/>
    </xf>
    <xf numFmtId="0" fontId="38" fillId="11" borderId="21" xfId="0" applyFont="1" applyFill="1" applyBorder="1" applyAlignment="1">
      <alignment vertical="center" wrapText="1"/>
    </xf>
    <xf numFmtId="0" fontId="23" fillId="0" borderId="50" xfId="0" applyFont="1" applyBorder="1" applyAlignment="1">
      <alignment horizontal="center" wrapText="1"/>
    </xf>
    <xf numFmtId="0" fontId="54" fillId="0" borderId="0" xfId="0" applyFont="1" applyBorder="1" applyAlignment="1">
      <alignment horizontal="center" wrapText="1"/>
    </xf>
    <xf numFmtId="0" fontId="54" fillId="0" borderId="51" xfId="0" applyFont="1" applyBorder="1" applyAlignment="1">
      <alignment horizontal="center" wrapText="1"/>
    </xf>
    <xf numFmtId="0" fontId="37" fillId="11" borderId="20" xfId="0" applyFont="1" applyFill="1" applyBorder="1" applyAlignment="1">
      <alignment vertical="center" wrapText="1"/>
    </xf>
    <xf numFmtId="0" fontId="37" fillId="11" borderId="0" xfId="0" applyFont="1" applyFill="1" applyBorder="1" applyAlignment="1">
      <alignment vertical="center" wrapText="1"/>
    </xf>
    <xf numFmtId="0" fontId="37" fillId="11" borderId="21" xfId="0" applyFont="1" applyFill="1" applyBorder="1" applyAlignment="1">
      <alignment vertical="center" wrapText="1"/>
    </xf>
    <xf numFmtId="0" fontId="23" fillId="0" borderId="50" xfId="0" applyFont="1" applyBorder="1" applyAlignment="1">
      <alignment horizontal="left" vertical="top" wrapText="1"/>
    </xf>
    <xf numFmtId="0" fontId="54" fillId="0" borderId="0" xfId="0" applyFont="1" applyBorder="1" applyAlignment="1">
      <alignment horizontal="left" vertical="top" wrapText="1"/>
    </xf>
    <xf numFmtId="0" fontId="54" fillId="0" borderId="51" xfId="0" applyFont="1" applyBorder="1" applyAlignment="1">
      <alignment horizontal="left" vertical="top" wrapText="1"/>
    </xf>
    <xf numFmtId="0" fontId="69" fillId="11" borderId="20" xfId="0" applyFont="1" applyFill="1" applyBorder="1" applyAlignment="1">
      <alignment vertical="center" wrapText="1"/>
    </xf>
    <xf numFmtId="0" fontId="69" fillId="11" borderId="0" xfId="0" applyFont="1" applyFill="1" applyBorder="1" applyAlignment="1">
      <alignment vertical="center" wrapText="1"/>
    </xf>
    <xf numFmtId="0" fontId="69" fillId="11" borderId="21" xfId="0" applyFont="1" applyFill="1" applyBorder="1" applyAlignment="1">
      <alignment vertical="center" wrapText="1"/>
    </xf>
    <xf numFmtId="0" fontId="23" fillId="13" borderId="50" xfId="0" applyFont="1" applyFill="1" applyBorder="1" applyAlignment="1">
      <alignment horizontal="center" vertical="center" wrapText="1"/>
    </xf>
    <xf numFmtId="0" fontId="23" fillId="13" borderId="0" xfId="0" applyFont="1" applyFill="1" applyBorder="1" applyAlignment="1">
      <alignment horizontal="center" vertical="center" wrapText="1"/>
    </xf>
    <xf numFmtId="0" fontId="23" fillId="13" borderId="51" xfId="0" applyFont="1" applyFill="1" applyBorder="1" applyAlignment="1">
      <alignment horizontal="center" vertical="center" wrapText="1"/>
    </xf>
    <xf numFmtId="0" fontId="68" fillId="11" borderId="20" xfId="0" applyFont="1" applyFill="1" applyBorder="1" applyAlignment="1">
      <alignment vertical="center" wrapText="1"/>
    </xf>
    <xf numFmtId="0" fontId="68" fillId="11" borderId="0" xfId="0" applyFont="1" applyFill="1" applyBorder="1" applyAlignment="1">
      <alignment vertical="center" wrapText="1"/>
    </xf>
    <xf numFmtId="0" fontId="68" fillId="11" borderId="21" xfId="0" applyFont="1" applyFill="1" applyBorder="1" applyAlignment="1">
      <alignment vertical="center" wrapText="1"/>
    </xf>
    <xf numFmtId="0" fontId="23" fillId="9" borderId="50" xfId="0" applyFont="1" applyFill="1" applyBorder="1" applyAlignment="1">
      <alignment horizontal="center" vertical="center" wrapText="1"/>
    </xf>
    <xf numFmtId="0" fontId="23" fillId="9" borderId="0" xfId="0" applyFont="1" applyFill="1" applyBorder="1" applyAlignment="1">
      <alignment horizontal="center" vertical="center" wrapText="1"/>
    </xf>
    <xf numFmtId="0" fontId="23" fillId="9" borderId="51" xfId="0" applyFont="1" applyFill="1" applyBorder="1" applyAlignment="1">
      <alignment horizontal="center" vertical="center" wrapText="1"/>
    </xf>
    <xf numFmtId="0" fontId="67" fillId="11" borderId="20" xfId="0" applyFont="1" applyFill="1" applyBorder="1" applyAlignment="1">
      <alignment vertical="center" wrapText="1"/>
    </xf>
    <xf numFmtId="0" fontId="67" fillId="11" borderId="0" xfId="0" applyFont="1" applyFill="1" applyBorder="1" applyAlignment="1">
      <alignment vertical="center" wrapText="1"/>
    </xf>
    <xf numFmtId="0" fontId="67" fillId="11" borderId="21" xfId="0" applyFont="1" applyFill="1" applyBorder="1" applyAlignment="1">
      <alignment vertical="center" wrapText="1"/>
    </xf>
    <xf numFmtId="0" fontId="23" fillId="0" borderId="55" xfId="0" applyFont="1" applyBorder="1" applyAlignment="1">
      <alignment horizontal="center" vertical="center" wrapText="1"/>
    </xf>
    <xf numFmtId="0" fontId="23" fillId="0" borderId="56" xfId="0" applyFont="1" applyBorder="1" applyAlignment="1">
      <alignment horizontal="center" vertical="center" wrapText="1"/>
    </xf>
    <xf numFmtId="0" fontId="23" fillId="0" borderId="57" xfId="0" applyFont="1" applyBorder="1" applyAlignment="1">
      <alignment horizontal="center" vertical="center" wrapText="1"/>
    </xf>
    <xf numFmtId="0" fontId="6" fillId="11" borderId="12" xfId="0" applyFont="1" applyFill="1" applyBorder="1" applyAlignment="1">
      <alignment vertical="center" wrapText="1"/>
    </xf>
    <xf numFmtId="0" fontId="6" fillId="11" borderId="13" xfId="0" applyFont="1" applyFill="1" applyBorder="1" applyAlignment="1">
      <alignment vertical="center" wrapText="1"/>
    </xf>
    <xf numFmtId="0" fontId="6" fillId="11" borderId="31" xfId="0" applyFont="1" applyFill="1" applyBorder="1" applyAlignment="1">
      <alignment vertical="center" wrapText="1"/>
    </xf>
    <xf numFmtId="0" fontId="10" fillId="0" borderId="0" xfId="0" applyFont="1" applyAlignment="1">
      <alignment horizontal="left" vertical="center" wrapText="1"/>
    </xf>
    <xf numFmtId="0" fontId="1" fillId="0" borderId="0" xfId="0" applyFont="1" applyAlignment="1">
      <alignment horizontal="left" vertical="center" wrapText="1"/>
    </xf>
    <xf numFmtId="0" fontId="10" fillId="17" borderId="12" xfId="0" applyFont="1" applyFill="1" applyBorder="1" applyAlignment="1">
      <alignment horizontal="left" vertical="top" wrapText="1"/>
    </xf>
    <xf numFmtId="0" fontId="10" fillId="17" borderId="31" xfId="0" applyFont="1" applyFill="1" applyBorder="1" applyAlignment="1">
      <alignment horizontal="left" vertical="top" wrapText="1"/>
    </xf>
    <xf numFmtId="0" fontId="1" fillId="0" borderId="13" xfId="0" applyFont="1" applyBorder="1" applyAlignment="1">
      <alignment horizontal="left" vertical="top" wrapText="1"/>
    </xf>
    <xf numFmtId="0" fontId="1" fillId="0" borderId="31" xfId="0" applyFont="1" applyBorder="1" applyAlignment="1">
      <alignment horizontal="left" vertical="top" wrapText="1"/>
    </xf>
    <xf numFmtId="0" fontId="10" fillId="17" borderId="10" xfId="0" applyFont="1" applyFill="1" applyBorder="1" applyAlignment="1">
      <alignment horizontal="left" vertical="top" wrapText="1"/>
    </xf>
    <xf numFmtId="0" fontId="10" fillId="17" borderId="11" xfId="0" applyFont="1" applyFill="1" applyBorder="1" applyAlignment="1">
      <alignment horizontal="left" vertical="top" wrapText="1"/>
    </xf>
    <xf numFmtId="0" fontId="1" fillId="0" borderId="11" xfId="0" applyFont="1" applyBorder="1" applyAlignment="1">
      <alignment horizontal="left" vertical="top" wrapText="1"/>
    </xf>
    <xf numFmtId="0" fontId="10" fillId="11" borderId="9" xfId="0" applyFont="1" applyFill="1" applyBorder="1" applyAlignment="1">
      <alignment horizontal="center" vertical="top" wrapText="1"/>
    </xf>
    <xf numFmtId="0" fontId="10" fillId="11" borderId="4" xfId="0" applyFont="1" applyFill="1" applyBorder="1" applyAlignment="1">
      <alignment horizontal="center" vertical="top" wrapText="1"/>
    </xf>
    <xf numFmtId="0" fontId="10" fillId="11" borderId="3" xfId="0" applyFont="1" applyFill="1" applyBorder="1" applyAlignment="1">
      <alignment horizontal="center" vertical="top" wrapText="1"/>
    </xf>
    <xf numFmtId="0" fontId="4" fillId="17" borderId="9" xfId="0" applyFont="1" applyFill="1" applyBorder="1" applyAlignment="1">
      <alignment vertical="top" wrapText="1"/>
    </xf>
    <xf numFmtId="0" fontId="4" fillId="17" borderId="4" xfId="0" applyFont="1" applyFill="1" applyBorder="1" applyAlignment="1">
      <alignment vertical="top" wrapText="1"/>
    </xf>
    <xf numFmtId="0" fontId="4" fillId="17" borderId="3" xfId="0" applyFont="1" applyFill="1" applyBorder="1" applyAlignment="1">
      <alignment vertical="top" wrapText="1"/>
    </xf>
    <xf numFmtId="0" fontId="4" fillId="17" borderId="9" xfId="0" applyFont="1" applyFill="1" applyBorder="1" applyAlignment="1">
      <alignment horizontal="center" vertical="top" wrapText="1"/>
    </xf>
    <xf numFmtId="0" fontId="51" fillId="0" borderId="50" xfId="0" applyFont="1" applyBorder="1" applyAlignment="1">
      <alignment horizontal="left" vertical="center" wrapText="1"/>
    </xf>
    <xf numFmtId="0" fontId="51" fillId="0" borderId="0" xfId="0" applyFont="1" applyBorder="1" applyAlignment="1">
      <alignment horizontal="left" vertical="center" wrapText="1"/>
    </xf>
    <xf numFmtId="0" fontId="51" fillId="0" borderId="51" xfId="0" applyFont="1" applyBorder="1" applyAlignment="1">
      <alignment horizontal="left" vertical="center" wrapText="1"/>
    </xf>
    <xf numFmtId="0" fontId="10" fillId="0" borderId="50" xfId="0" applyFont="1" applyBorder="1" applyAlignment="1">
      <alignment horizontal="left" vertical="center" wrapText="1"/>
    </xf>
    <xf numFmtId="0" fontId="10" fillId="0" borderId="0" xfId="0" applyFont="1" applyBorder="1" applyAlignment="1">
      <alignment horizontal="left" vertical="center" wrapText="1"/>
    </xf>
    <xf numFmtId="0" fontId="10" fillId="0" borderId="51" xfId="0" applyFont="1" applyBorder="1" applyAlignment="1">
      <alignment horizontal="left" vertical="center" wrapText="1"/>
    </xf>
    <xf numFmtId="164" fontId="4" fillId="0" borderId="1" xfId="0" applyNumberFormat="1" applyFont="1" applyBorder="1" applyAlignment="1">
      <alignment horizontal="center" vertical="top" wrapText="1"/>
    </xf>
    <xf numFmtId="0" fontId="10" fillId="11" borderId="1" xfId="0" applyFont="1" applyFill="1" applyBorder="1" applyAlignment="1">
      <alignment horizontal="center" vertical="top"/>
    </xf>
    <xf numFmtId="0" fontId="23" fillId="0" borderId="50" xfId="0" applyFont="1" applyBorder="1" applyAlignment="1">
      <alignment horizontal="center" vertical="center" wrapText="1"/>
    </xf>
    <xf numFmtId="0" fontId="23" fillId="0" borderId="0" xfId="0" applyFont="1" applyBorder="1" applyAlignment="1">
      <alignment horizontal="center" vertical="center" wrapText="1"/>
    </xf>
    <xf numFmtId="0" fontId="23" fillId="0" borderId="51" xfId="0" applyFont="1" applyBorder="1" applyAlignment="1">
      <alignment horizontal="center" vertical="center" wrapText="1"/>
    </xf>
    <xf numFmtId="0" fontId="10" fillId="0" borderId="52" xfId="0" applyFont="1" applyBorder="1" applyAlignment="1">
      <alignment horizontal="left" vertical="center" wrapText="1"/>
    </xf>
    <xf numFmtId="0" fontId="10" fillId="0" borderId="53" xfId="0" applyFont="1" applyBorder="1" applyAlignment="1">
      <alignment horizontal="left" vertical="center" wrapText="1"/>
    </xf>
    <xf numFmtId="0" fontId="10" fillId="0" borderId="54" xfId="0" applyFont="1" applyBorder="1" applyAlignment="1">
      <alignment horizontal="left" vertical="center" wrapText="1"/>
    </xf>
    <xf numFmtId="0" fontId="10" fillId="0" borderId="52" xfId="0" applyFont="1" applyBorder="1" applyAlignment="1">
      <alignment horizontal="center" vertical="center" wrapText="1"/>
    </xf>
    <xf numFmtId="0" fontId="10" fillId="0" borderId="53" xfId="0" applyFont="1" applyBorder="1" applyAlignment="1">
      <alignment horizontal="center" vertical="center" wrapText="1"/>
    </xf>
    <xf numFmtId="0" fontId="10" fillId="0" borderId="54" xfId="0" applyFont="1" applyBorder="1" applyAlignment="1">
      <alignment horizontal="center" vertical="center" wrapText="1"/>
    </xf>
    <xf numFmtId="8" fontId="23" fillId="0" borderId="50" xfId="0" applyNumberFormat="1" applyFont="1" applyBorder="1" applyAlignment="1">
      <alignment horizontal="center" vertical="center" wrapText="1"/>
    </xf>
    <xf numFmtId="0" fontId="4" fillId="0" borderId="0" xfId="0" applyFont="1" applyAlignment="1">
      <alignment horizontal="left" vertical="center" wrapText="1"/>
    </xf>
    <xf numFmtId="0" fontId="23" fillId="0" borderId="50" xfId="0" applyFont="1" applyBorder="1" applyAlignment="1">
      <alignment horizontal="left" vertical="center" wrapText="1"/>
    </xf>
    <xf numFmtId="0" fontId="23" fillId="0" borderId="0" xfId="0" applyFont="1" applyBorder="1" applyAlignment="1">
      <alignment horizontal="left" vertical="center" wrapText="1"/>
    </xf>
    <xf numFmtId="0" fontId="23" fillId="0" borderId="51" xfId="0" applyFont="1" applyBorder="1" applyAlignment="1">
      <alignment horizontal="left" vertical="center" wrapText="1"/>
    </xf>
    <xf numFmtId="0" fontId="23" fillId="0" borderId="50" xfId="0" applyFont="1" applyBorder="1" applyAlignment="1">
      <alignment horizontal="center" vertical="top" wrapText="1"/>
    </xf>
    <xf numFmtId="0" fontId="23" fillId="0" borderId="0" xfId="0" applyFont="1" applyBorder="1" applyAlignment="1">
      <alignment horizontal="center" vertical="top" wrapText="1"/>
    </xf>
    <xf numFmtId="0" fontId="23" fillId="0" borderId="51" xfId="0" applyFont="1" applyBorder="1" applyAlignment="1">
      <alignment horizontal="center" vertical="top" wrapText="1"/>
    </xf>
    <xf numFmtId="0" fontId="51" fillId="0" borderId="50" xfId="0" applyFont="1" applyBorder="1" applyAlignment="1">
      <alignment horizontal="center" vertical="center" wrapText="1"/>
    </xf>
    <xf numFmtId="0" fontId="51" fillId="0" borderId="0" xfId="0" applyFont="1" applyBorder="1" applyAlignment="1">
      <alignment horizontal="center" vertical="center" wrapText="1"/>
    </xf>
    <xf numFmtId="0" fontId="51" fillId="0" borderId="51" xfId="0" applyFont="1" applyBorder="1" applyAlignment="1">
      <alignment horizontal="center" vertical="center" wrapText="1"/>
    </xf>
    <xf numFmtId="0" fontId="31" fillId="11" borderId="12" xfId="0" applyFont="1" applyFill="1" applyBorder="1" applyAlignment="1">
      <alignment vertical="center" wrapText="1"/>
    </xf>
    <xf numFmtId="0" fontId="31" fillId="11" borderId="13" xfId="0" applyFont="1" applyFill="1" applyBorder="1" applyAlignment="1">
      <alignment vertical="center" wrapText="1"/>
    </xf>
    <xf numFmtId="0" fontId="31" fillId="11" borderId="31" xfId="0" applyFont="1" applyFill="1" applyBorder="1" applyAlignment="1">
      <alignment vertical="center" wrapText="1"/>
    </xf>
    <xf numFmtId="0" fontId="23" fillId="0" borderId="55" xfId="0" applyFont="1" applyBorder="1" applyAlignment="1">
      <alignment horizontal="left" vertical="center" wrapText="1"/>
    </xf>
    <xf numFmtId="0" fontId="23" fillId="0" borderId="56" xfId="0" applyFont="1" applyBorder="1" applyAlignment="1">
      <alignment horizontal="left" vertical="center" wrapText="1"/>
    </xf>
    <xf numFmtId="0" fontId="23" fillId="0" borderId="57" xfId="0" applyFont="1" applyBorder="1" applyAlignment="1">
      <alignment horizontal="left" vertical="center" wrapText="1"/>
    </xf>
    <xf numFmtId="0" fontId="48" fillId="9" borderId="9" xfId="0" applyFont="1" applyFill="1" applyBorder="1" applyAlignment="1">
      <alignment horizontal="left" vertical="center" wrapText="1"/>
    </xf>
    <xf numFmtId="0" fontId="48" fillId="9" borderId="4" xfId="0" applyFont="1" applyFill="1" applyBorder="1" applyAlignment="1">
      <alignment horizontal="left" vertical="center" wrapText="1"/>
    </xf>
    <xf numFmtId="0" fontId="48" fillId="9" borderId="3" xfId="0" applyFont="1" applyFill="1" applyBorder="1" applyAlignment="1">
      <alignment horizontal="left" vertical="center" wrapText="1"/>
    </xf>
    <xf numFmtId="0" fontId="48" fillId="9" borderId="9" xfId="0" applyFont="1" applyFill="1" applyBorder="1" applyAlignment="1">
      <alignment vertical="center" wrapText="1"/>
    </xf>
    <xf numFmtId="0" fontId="48" fillId="9" borderId="6" xfId="0" applyFont="1" applyFill="1" applyBorder="1" applyAlignment="1">
      <alignment vertical="center" wrapText="1"/>
    </xf>
    <xf numFmtId="0" fontId="71" fillId="0" borderId="13" xfId="0" applyFont="1" applyFill="1" applyBorder="1" applyAlignment="1">
      <alignment wrapText="1"/>
    </xf>
    <xf numFmtId="0" fontId="71" fillId="0" borderId="13" xfId="0" applyFont="1" applyBorder="1" applyAlignment="1">
      <alignment wrapText="1"/>
    </xf>
    <xf numFmtId="0" fontId="1" fillId="0" borderId="2" xfId="0" applyFont="1" applyBorder="1" applyAlignment="1">
      <alignment horizontal="left" vertical="center" wrapText="1"/>
    </xf>
    <xf numFmtId="0" fontId="10" fillId="13" borderId="52" xfId="0" applyFont="1" applyFill="1" applyBorder="1" applyAlignment="1">
      <alignment horizontal="left" vertical="center" wrapText="1"/>
    </xf>
    <xf numFmtId="0" fontId="10" fillId="13" borderId="53" xfId="0" applyFont="1" applyFill="1" applyBorder="1" applyAlignment="1">
      <alignment horizontal="left" vertical="center" wrapText="1"/>
    </xf>
    <xf numFmtId="0" fontId="10" fillId="13" borderId="54" xfId="0" applyFont="1" applyFill="1" applyBorder="1" applyAlignment="1">
      <alignment horizontal="left" vertical="center" wrapText="1"/>
    </xf>
    <xf numFmtId="0" fontId="10" fillId="0" borderId="50" xfId="0" applyFont="1" applyBorder="1" applyAlignment="1">
      <alignment horizontal="center" vertical="center" wrapText="1"/>
    </xf>
    <xf numFmtId="0" fontId="10" fillId="0" borderId="0" xfId="0" applyFont="1" applyBorder="1" applyAlignment="1">
      <alignment horizontal="center" vertical="center" wrapText="1"/>
    </xf>
    <xf numFmtId="0" fontId="10" fillId="0" borderId="51" xfId="0" applyFont="1" applyBorder="1" applyAlignment="1">
      <alignment horizontal="center" vertical="center" wrapText="1"/>
    </xf>
    <xf numFmtId="0" fontId="10" fillId="13" borderId="50" xfId="0" applyFont="1" applyFill="1" applyBorder="1" applyAlignment="1">
      <alignment horizontal="center" vertical="center" wrapText="1"/>
    </xf>
    <xf numFmtId="0" fontId="10" fillId="13" borderId="0" xfId="0" applyFont="1" applyFill="1" applyBorder="1" applyAlignment="1">
      <alignment horizontal="center" vertical="center" wrapText="1"/>
    </xf>
    <xf numFmtId="0" fontId="10" fillId="13" borderId="51" xfId="0" applyFont="1" applyFill="1" applyBorder="1" applyAlignment="1">
      <alignment horizontal="center" vertical="center" wrapText="1"/>
    </xf>
    <xf numFmtId="0" fontId="72" fillId="0" borderId="2" xfId="0" applyFont="1" applyBorder="1">
      <alignment vertical="top" wrapText="1"/>
    </xf>
    <xf numFmtId="0" fontId="48" fillId="9" borderId="6" xfId="0" applyFont="1" applyFill="1" applyBorder="1" applyAlignment="1">
      <alignment horizontal="left" vertical="center" wrapText="1"/>
    </xf>
    <xf numFmtId="0" fontId="23" fillId="17" borderId="50" xfId="0" applyFont="1" applyFill="1" applyBorder="1" applyAlignment="1">
      <alignment horizontal="center" vertical="center" wrapText="1"/>
    </xf>
    <xf numFmtId="0" fontId="23" fillId="17" borderId="0" xfId="0" applyFont="1" applyFill="1" applyBorder="1" applyAlignment="1">
      <alignment horizontal="center" vertical="center" wrapText="1"/>
    </xf>
    <xf numFmtId="0" fontId="23" fillId="17" borderId="51" xfId="0" applyFont="1" applyFill="1" applyBorder="1" applyAlignment="1">
      <alignment horizontal="center" vertical="center" wrapText="1"/>
    </xf>
    <xf numFmtId="0" fontId="48" fillId="9" borderId="8" xfId="0" applyFont="1" applyFill="1" applyBorder="1" applyAlignment="1">
      <alignment vertical="center" wrapText="1"/>
    </xf>
    <xf numFmtId="0" fontId="1" fillId="13" borderId="0" xfId="0" applyFont="1" applyFill="1" applyAlignment="1">
      <alignment horizontal="left" vertical="center" wrapText="1"/>
    </xf>
    <xf numFmtId="0" fontId="107" fillId="0" borderId="50" xfId="0" applyFont="1" applyBorder="1" applyAlignment="1">
      <alignment horizontal="left" vertical="center" wrapText="1"/>
    </xf>
    <xf numFmtId="0" fontId="107" fillId="0" borderId="0" xfId="0" applyFont="1" applyBorder="1" applyAlignment="1">
      <alignment horizontal="left" vertical="center" wrapText="1"/>
    </xf>
    <xf numFmtId="0" fontId="107" fillId="0" borderId="51" xfId="0" applyFont="1" applyBorder="1" applyAlignment="1">
      <alignment horizontal="left" vertical="center" wrapText="1"/>
    </xf>
    <xf numFmtId="0" fontId="107" fillId="0" borderId="0" xfId="0" applyFont="1" applyAlignment="1">
      <alignment horizontal="left" vertical="center" wrapText="1"/>
    </xf>
    <xf numFmtId="0" fontId="95" fillId="0" borderId="50" xfId="0" applyFont="1" applyBorder="1" applyAlignment="1">
      <alignment horizontal="center" vertical="center" wrapText="1"/>
    </xf>
    <xf numFmtId="0" fontId="95" fillId="0" borderId="0" xfId="0" applyFont="1" applyBorder="1" applyAlignment="1">
      <alignment horizontal="center" vertical="center" wrapText="1"/>
    </xf>
    <xf numFmtId="0" fontId="95" fillId="0" borderId="51" xfId="0" applyFont="1" applyBorder="1" applyAlignment="1">
      <alignment horizontal="center" vertical="center" wrapText="1"/>
    </xf>
    <xf numFmtId="0" fontId="107" fillId="0" borderId="52" xfId="0" applyFont="1" applyBorder="1" applyAlignment="1">
      <alignment horizontal="left" vertical="center" wrapText="1"/>
    </xf>
    <xf numFmtId="0" fontId="107" fillId="0" borderId="53" xfId="0" applyFont="1" applyBorder="1" applyAlignment="1">
      <alignment horizontal="left" vertical="center" wrapText="1"/>
    </xf>
    <xf numFmtId="0" fontId="107" fillId="0" borderId="54" xfId="0" applyFont="1" applyBorder="1" applyAlignment="1">
      <alignment horizontal="left" vertical="center" wrapText="1"/>
    </xf>
    <xf numFmtId="0" fontId="111" fillId="0" borderId="50" xfId="0" applyFont="1" applyBorder="1" applyAlignment="1">
      <alignment horizontal="center" vertical="center" wrapText="1"/>
    </xf>
    <xf numFmtId="0" fontId="111" fillId="0" borderId="0" xfId="0" applyFont="1" applyBorder="1" applyAlignment="1">
      <alignment horizontal="center" vertical="center" wrapText="1"/>
    </xf>
    <xf numFmtId="0" fontId="111" fillId="0" borderId="51" xfId="0" applyFont="1" applyBorder="1" applyAlignment="1">
      <alignment horizontal="center" vertical="center" wrapText="1"/>
    </xf>
    <xf numFmtId="0" fontId="88" fillId="13" borderId="0" xfId="0" applyFont="1" applyFill="1" applyAlignment="1">
      <alignment horizontal="left" vertical="center" wrapText="1"/>
    </xf>
    <xf numFmtId="0" fontId="10" fillId="17" borderId="13" xfId="0" applyFont="1" applyFill="1" applyBorder="1" applyAlignment="1">
      <alignment horizontal="left" vertical="top" wrapText="1"/>
    </xf>
    <xf numFmtId="0" fontId="95" fillId="0" borderId="50" xfId="0" applyFont="1" applyBorder="1" applyAlignment="1">
      <alignment horizontal="center" vertical="top" wrapText="1"/>
    </xf>
    <xf numFmtId="0" fontId="95" fillId="0" borderId="0" xfId="0" applyFont="1" applyBorder="1" applyAlignment="1">
      <alignment horizontal="center" vertical="top" wrapText="1"/>
    </xf>
    <xf numFmtId="0" fontId="95" fillId="0" borderId="51" xfId="0" applyFont="1" applyBorder="1" applyAlignment="1">
      <alignment horizontal="center" vertical="top" wrapText="1"/>
    </xf>
    <xf numFmtId="0" fontId="109" fillId="11" borderId="20" xfId="0" applyFont="1" applyFill="1" applyBorder="1" applyAlignment="1">
      <alignment vertical="center" wrapText="1"/>
    </xf>
    <xf numFmtId="0" fontId="109" fillId="11" borderId="0" xfId="0" applyFont="1" applyFill="1" applyBorder="1" applyAlignment="1">
      <alignment vertical="center" wrapText="1"/>
    </xf>
    <xf numFmtId="0" fontId="109" fillId="11" borderId="21" xfId="0" applyFont="1" applyFill="1" applyBorder="1" applyAlignment="1">
      <alignment vertical="center" wrapText="1"/>
    </xf>
    <xf numFmtId="0" fontId="88" fillId="11" borderId="20" xfId="0" applyFont="1" applyFill="1" applyBorder="1" applyAlignment="1">
      <alignment vertical="center" wrapText="1"/>
    </xf>
    <xf numFmtId="0" fontId="88" fillId="11" borderId="0" xfId="0" applyFont="1" applyFill="1" applyBorder="1" applyAlignment="1">
      <alignment vertical="center" wrapText="1"/>
    </xf>
    <xf numFmtId="0" fontId="88" fillId="11" borderId="21" xfId="0" applyFont="1" applyFill="1" applyBorder="1" applyAlignment="1">
      <alignment vertical="center" wrapText="1"/>
    </xf>
    <xf numFmtId="0" fontId="51" fillId="13" borderId="50" xfId="0" applyFont="1" applyFill="1" applyBorder="1" applyAlignment="1">
      <alignment horizontal="center" vertical="center" wrapText="1"/>
    </xf>
    <xf numFmtId="0" fontId="51" fillId="13" borderId="0" xfId="0" applyFont="1" applyFill="1" applyBorder="1" applyAlignment="1">
      <alignment horizontal="center" vertical="center" wrapText="1"/>
    </xf>
    <xf numFmtId="0" fontId="51" fillId="13" borderId="51" xfId="0" applyFont="1" applyFill="1" applyBorder="1" applyAlignment="1">
      <alignment horizontal="center" vertical="center" wrapText="1"/>
    </xf>
    <xf numFmtId="0" fontId="10" fillId="13" borderId="0" xfId="0" applyFont="1" applyFill="1" applyAlignment="1">
      <alignment horizontal="left" vertical="center" wrapText="1"/>
    </xf>
    <xf numFmtId="0" fontId="23" fillId="23" borderId="50" xfId="0" applyFont="1" applyFill="1" applyBorder="1" applyAlignment="1">
      <alignment horizontal="center" vertical="center" wrapText="1"/>
    </xf>
    <xf numFmtId="0" fontId="23" fillId="23" borderId="0" xfId="0" applyFont="1" applyFill="1" applyBorder="1" applyAlignment="1">
      <alignment horizontal="center" vertical="center" wrapText="1"/>
    </xf>
    <xf numFmtId="0" fontId="23" fillId="23" borderId="51" xfId="0" applyFont="1" applyFill="1" applyBorder="1" applyAlignment="1">
      <alignment horizontal="center" vertical="center" wrapText="1"/>
    </xf>
    <xf numFmtId="0" fontId="10" fillId="0" borderId="2" xfId="0" applyFont="1" applyBorder="1" applyAlignment="1">
      <alignment horizontal="left" vertical="top" wrapText="1"/>
    </xf>
    <xf numFmtId="0" fontId="109" fillId="11" borderId="12" xfId="0" applyFont="1" applyFill="1" applyBorder="1" applyAlignment="1">
      <alignment vertical="center" wrapText="1"/>
    </xf>
    <xf numFmtId="0" fontId="109" fillId="11" borderId="13" xfId="0" applyFont="1" applyFill="1" applyBorder="1" applyAlignment="1">
      <alignment vertical="center" wrapText="1"/>
    </xf>
    <xf numFmtId="0" fontId="109" fillId="11" borderId="31" xfId="0" applyFont="1" applyFill="1" applyBorder="1" applyAlignment="1">
      <alignment vertical="center" wrapText="1"/>
    </xf>
    <xf numFmtId="0" fontId="88" fillId="0" borderId="0" xfId="0" applyFont="1" applyAlignment="1">
      <alignment horizontal="left" vertical="center" wrapText="1"/>
    </xf>
    <xf numFmtId="49" fontId="1" fillId="0" borderId="9" xfId="0" applyNumberFormat="1" applyFont="1" applyBorder="1" applyAlignment="1">
      <alignment horizontal="left" vertical="top" wrapText="1"/>
    </xf>
    <xf numFmtId="49" fontId="1" fillId="0" borderId="4" xfId="0" applyNumberFormat="1" applyFont="1" applyBorder="1" applyAlignment="1">
      <alignment horizontal="left" vertical="top" wrapText="1"/>
    </xf>
    <xf numFmtId="49" fontId="1" fillId="0" borderId="3" xfId="0" applyNumberFormat="1" applyFont="1" applyBorder="1" applyAlignment="1">
      <alignment horizontal="left" vertical="top" wrapText="1"/>
    </xf>
    <xf numFmtId="0" fontId="4" fillId="0" borderId="13" xfId="0" applyFont="1" applyBorder="1" applyAlignment="1">
      <alignment horizontal="left" vertical="top" wrapText="1"/>
    </xf>
    <xf numFmtId="0" fontId="95" fillId="13" borderId="50" xfId="0" applyFont="1" applyFill="1" applyBorder="1" applyAlignment="1">
      <alignment horizontal="center" vertical="center" wrapText="1"/>
    </xf>
    <xf numFmtId="0" fontId="95" fillId="13" borderId="0" xfId="0" applyFont="1" applyFill="1" applyBorder="1" applyAlignment="1">
      <alignment horizontal="center" vertical="center" wrapText="1"/>
    </xf>
    <xf numFmtId="0" fontId="95" fillId="13" borderId="51" xfId="0" applyFont="1" applyFill="1" applyBorder="1" applyAlignment="1">
      <alignment horizontal="center" vertical="center" wrapText="1"/>
    </xf>
    <xf numFmtId="0" fontId="10" fillId="13" borderId="50" xfId="0" applyFont="1" applyFill="1" applyBorder="1" applyAlignment="1">
      <alignment horizontal="left" vertical="center" wrapText="1"/>
    </xf>
    <xf numFmtId="0" fontId="10" fillId="13" borderId="0" xfId="0" applyFont="1" applyFill="1" applyBorder="1" applyAlignment="1">
      <alignment horizontal="left" vertical="center" wrapText="1"/>
    </xf>
    <xf numFmtId="0" fontId="10" fillId="13" borderId="51" xfId="0" applyFont="1" applyFill="1" applyBorder="1" applyAlignment="1">
      <alignment horizontal="left" vertical="center" wrapText="1"/>
    </xf>
    <xf numFmtId="0" fontId="108" fillId="11" borderId="20" xfId="0" applyFont="1" applyFill="1" applyBorder="1" applyAlignment="1">
      <alignment vertical="center" wrapText="1"/>
    </xf>
    <xf numFmtId="0" fontId="108" fillId="11" borderId="0" xfId="0" applyFont="1" applyFill="1" applyBorder="1" applyAlignment="1">
      <alignment vertical="center" wrapText="1"/>
    </xf>
    <xf numFmtId="0" fontId="108" fillId="11" borderId="21" xfId="0" applyFont="1" applyFill="1" applyBorder="1" applyAlignment="1">
      <alignment vertical="center" wrapText="1"/>
    </xf>
    <xf numFmtId="0" fontId="112" fillId="11" borderId="20" xfId="0" applyFont="1" applyFill="1" applyBorder="1" applyAlignment="1">
      <alignment vertical="center" wrapText="1"/>
    </xf>
    <xf numFmtId="0" fontId="112" fillId="11" borderId="0" xfId="0" applyFont="1" applyFill="1" applyBorder="1" applyAlignment="1">
      <alignment vertical="center" wrapText="1"/>
    </xf>
    <xf numFmtId="0" fontId="112" fillId="11" borderId="21" xfId="0" applyFont="1" applyFill="1" applyBorder="1" applyAlignment="1">
      <alignment vertical="center" wrapText="1"/>
    </xf>
    <xf numFmtId="0" fontId="113" fillId="11" borderId="20" xfId="0" applyFont="1" applyFill="1" applyBorder="1" applyAlignment="1">
      <alignment vertical="center" wrapText="1"/>
    </xf>
    <xf numFmtId="0" fontId="113" fillId="11" borderId="0" xfId="0" applyFont="1" applyFill="1" applyBorder="1" applyAlignment="1">
      <alignment vertical="center" wrapText="1"/>
    </xf>
    <xf numFmtId="0" fontId="113" fillId="11" borderId="21" xfId="0" applyFont="1" applyFill="1" applyBorder="1" applyAlignment="1">
      <alignment vertical="center" wrapText="1"/>
    </xf>
    <xf numFmtId="0" fontId="114" fillId="11" borderId="20" xfId="0" applyFont="1" applyFill="1" applyBorder="1" applyAlignment="1">
      <alignment vertical="center" wrapText="1"/>
    </xf>
    <xf numFmtId="0" fontId="114" fillId="11" borderId="0" xfId="0" applyFont="1" applyFill="1" applyBorder="1" applyAlignment="1">
      <alignment vertical="center" wrapText="1"/>
    </xf>
    <xf numFmtId="0" fontId="114" fillId="11" borderId="21" xfId="0" applyFont="1" applyFill="1" applyBorder="1" applyAlignment="1">
      <alignment vertical="center" wrapText="1"/>
    </xf>
    <xf numFmtId="0" fontId="110" fillId="0" borderId="50" xfId="0" applyFont="1" applyBorder="1" applyAlignment="1">
      <alignment horizontal="center" vertical="center" wrapText="1"/>
    </xf>
    <xf numFmtId="0" fontId="110" fillId="0" borderId="0" xfId="0" applyFont="1" applyBorder="1" applyAlignment="1">
      <alignment horizontal="center" vertical="center" wrapText="1"/>
    </xf>
    <xf numFmtId="0" fontId="110" fillId="0" borderId="51" xfId="0" applyFont="1" applyBorder="1" applyAlignment="1">
      <alignment horizontal="center" vertical="center" wrapText="1"/>
    </xf>
    <xf numFmtId="0" fontId="111" fillId="0" borderId="50" xfId="0" applyFont="1" applyBorder="1" applyAlignment="1">
      <alignment horizontal="left" vertical="center" wrapText="1"/>
    </xf>
    <xf numFmtId="0" fontId="111" fillId="0" borderId="0" xfId="0" applyFont="1" applyBorder="1" applyAlignment="1">
      <alignment horizontal="left" vertical="center" wrapText="1"/>
    </xf>
    <xf numFmtId="0" fontId="111" fillId="0" borderId="51" xfId="0" applyFont="1" applyBorder="1" applyAlignment="1">
      <alignment horizontal="left" vertical="center" wrapText="1"/>
    </xf>
    <xf numFmtId="0" fontId="95" fillId="0" borderId="55" xfId="0" applyFont="1" applyBorder="1" applyAlignment="1">
      <alignment horizontal="center" vertical="center" wrapText="1"/>
    </xf>
    <xf numFmtId="0" fontId="95" fillId="0" borderId="56" xfId="0" applyFont="1" applyBorder="1" applyAlignment="1">
      <alignment horizontal="center" vertical="center" wrapText="1"/>
    </xf>
    <xf numFmtId="0" fontId="95" fillId="0" borderId="57" xfId="0" applyFont="1" applyBorder="1" applyAlignment="1">
      <alignment horizontal="center" vertical="center" wrapText="1"/>
    </xf>
    <xf numFmtId="0" fontId="115" fillId="11" borderId="20" xfId="0" applyFont="1" applyFill="1" applyBorder="1" applyAlignment="1">
      <alignment vertical="center" wrapText="1"/>
    </xf>
    <xf numFmtId="0" fontId="115" fillId="11" borderId="0" xfId="0" applyFont="1" applyFill="1" applyBorder="1" applyAlignment="1">
      <alignment vertical="center" wrapText="1"/>
    </xf>
    <xf numFmtId="0" fontId="115" fillId="11" borderId="21" xfId="0" applyFont="1" applyFill="1" applyBorder="1" applyAlignment="1">
      <alignment vertical="center" wrapText="1"/>
    </xf>
    <xf numFmtId="0" fontId="116" fillId="11" borderId="20" xfId="0" applyFont="1" applyFill="1" applyBorder="1" applyAlignment="1">
      <alignment vertical="center" wrapText="1"/>
    </xf>
    <xf numFmtId="0" fontId="116" fillId="11" borderId="0" xfId="0" applyFont="1" applyFill="1" applyBorder="1" applyAlignment="1">
      <alignment vertical="center" wrapText="1"/>
    </xf>
    <xf numFmtId="0" fontId="116" fillId="11" borderId="21" xfId="0" applyFont="1" applyFill="1" applyBorder="1" applyAlignment="1">
      <alignment vertical="center" wrapText="1"/>
    </xf>
    <xf numFmtId="0" fontId="88" fillId="11" borderId="10" xfId="0" applyFont="1" applyFill="1" applyBorder="1" applyAlignment="1">
      <alignment vertical="center" wrapText="1"/>
    </xf>
    <xf numFmtId="0" fontId="88" fillId="11" borderId="2" xfId="0" applyFont="1" applyFill="1" applyBorder="1" applyAlignment="1">
      <alignment vertical="center" wrapText="1"/>
    </xf>
    <xf numFmtId="0" fontId="88" fillId="11" borderId="11" xfId="0" applyFont="1" applyFill="1" applyBorder="1" applyAlignment="1">
      <alignment vertical="center" wrapText="1"/>
    </xf>
    <xf numFmtId="0" fontId="86" fillId="0" borderId="1" xfId="0" applyFont="1" applyBorder="1" applyAlignment="1">
      <alignment horizontal="center" vertical="center" wrapText="1"/>
    </xf>
    <xf numFmtId="0" fontId="6" fillId="0" borderId="18" xfId="0" applyFont="1" applyFill="1" applyBorder="1" applyAlignment="1">
      <alignment vertical="top" wrapText="1"/>
    </xf>
    <xf numFmtId="0" fontId="6" fillId="0" borderId="71" xfId="0" applyFont="1" applyFill="1" applyBorder="1" applyAlignment="1">
      <alignment vertical="top" wrapText="1"/>
    </xf>
    <xf numFmtId="0" fontId="9" fillId="0" borderId="62" xfId="0" applyFont="1" applyFill="1" applyBorder="1" applyAlignment="1">
      <alignment vertical="top" wrapText="1"/>
    </xf>
    <xf numFmtId="0" fontId="9" fillId="0" borderId="63" xfId="0" applyFont="1" applyFill="1" applyBorder="1" applyAlignment="1">
      <alignment vertical="top" wrapText="1"/>
    </xf>
    <xf numFmtId="0" fontId="9" fillId="0" borderId="64" xfId="0" applyFont="1" applyFill="1" applyBorder="1" applyAlignment="1">
      <alignment vertical="top" wrapText="1"/>
    </xf>
    <xf numFmtId="0" fontId="9" fillId="0" borderId="20" xfId="0" applyFont="1" applyFill="1" applyBorder="1" applyAlignment="1">
      <alignment vertical="top" wrapText="1"/>
    </xf>
    <xf numFmtId="0" fontId="9" fillId="0" borderId="0" xfId="0" applyFont="1" applyFill="1" applyBorder="1" applyAlignment="1">
      <alignment vertical="top" wrapText="1"/>
    </xf>
    <xf numFmtId="0" fontId="9" fillId="0" borderId="21" xfId="0" applyFont="1" applyFill="1" applyBorder="1" applyAlignment="1">
      <alignment vertical="top" wrapText="1"/>
    </xf>
    <xf numFmtId="0" fontId="9" fillId="0" borderId="68" xfId="0" applyFont="1" applyFill="1" applyBorder="1" applyAlignment="1">
      <alignment vertical="top" wrapText="1"/>
    </xf>
    <xf numFmtId="0" fontId="9" fillId="0" borderId="69" xfId="0" applyFont="1" applyFill="1" applyBorder="1" applyAlignment="1">
      <alignment vertical="top" wrapText="1"/>
    </xf>
    <xf numFmtId="0" fontId="9" fillId="0" borderId="70" xfId="0" applyFont="1" applyFill="1" applyBorder="1" applyAlignment="1">
      <alignment vertical="top" wrapText="1"/>
    </xf>
    <xf numFmtId="0" fontId="6" fillId="0" borderId="59" xfId="0" applyFont="1" applyFill="1" applyBorder="1" applyAlignment="1">
      <alignment vertical="top" wrapText="1"/>
    </xf>
    <xf numFmtId="0" fontId="6" fillId="0" borderId="60" xfId="0" applyFont="1" applyFill="1" applyBorder="1" applyAlignment="1">
      <alignment vertical="top" wrapText="1"/>
    </xf>
    <xf numFmtId="0" fontId="6" fillId="0" borderId="9" xfId="0" applyFont="1" applyFill="1" applyBorder="1" applyAlignment="1">
      <alignment vertical="top" wrapText="1"/>
    </xf>
    <xf numFmtId="0" fontId="6" fillId="0" borderId="4" xfId="0" applyFont="1" applyFill="1" applyBorder="1" applyAlignment="1">
      <alignment vertical="top" wrapText="1"/>
    </xf>
    <xf numFmtId="0" fontId="6" fillId="0" borderId="10" xfId="0" applyFont="1" applyFill="1" applyBorder="1" applyAlignment="1">
      <alignment vertical="top" wrapText="1"/>
    </xf>
    <xf numFmtId="0" fontId="6" fillId="0" borderId="2" xfId="0" applyFont="1" applyFill="1" applyBorder="1" applyAlignment="1">
      <alignment vertical="top" wrapText="1"/>
    </xf>
    <xf numFmtId="0" fontId="6" fillId="0" borderId="12" xfId="0" applyFont="1" applyFill="1" applyBorder="1" applyAlignment="1">
      <alignment vertical="top" wrapText="1"/>
    </xf>
    <xf numFmtId="0" fontId="6" fillId="0" borderId="13" xfId="0" applyFont="1" applyFill="1" applyBorder="1" applyAlignment="1">
      <alignment vertical="top" wrapText="1"/>
    </xf>
    <xf numFmtId="0" fontId="9" fillId="0" borderId="12" xfId="0" applyFont="1" applyBorder="1" applyAlignment="1">
      <alignment vertical="top" wrapText="1"/>
    </xf>
    <xf numFmtId="0" fontId="9" fillId="0" borderId="13" xfId="0" applyFont="1" applyBorder="1" applyAlignment="1">
      <alignment vertical="top" wrapText="1"/>
    </xf>
    <xf numFmtId="0" fontId="9" fillId="0" borderId="31" xfId="0" applyFont="1" applyBorder="1" applyAlignment="1">
      <alignment vertical="top" wrapText="1"/>
    </xf>
    <xf numFmtId="0" fontId="9" fillId="0" borderId="20" xfId="0" applyFont="1" applyBorder="1" applyAlignment="1">
      <alignment vertical="top" wrapText="1"/>
    </xf>
    <xf numFmtId="0" fontId="9" fillId="0" borderId="0" xfId="0" applyFont="1" applyBorder="1" applyAlignment="1">
      <alignment vertical="top" wrapText="1"/>
    </xf>
    <xf numFmtId="0" fontId="9" fillId="0" borderId="21" xfId="0" applyFont="1" applyBorder="1" applyAlignment="1">
      <alignment vertical="top" wrapText="1"/>
    </xf>
    <xf numFmtId="0" fontId="6" fillId="0" borderId="9" xfId="0" applyFont="1" applyBorder="1" applyAlignment="1">
      <alignment vertical="top" wrapText="1"/>
    </xf>
    <xf numFmtId="0" fontId="6" fillId="0" borderId="4" xfId="0" applyFont="1" applyBorder="1" applyAlignment="1">
      <alignment vertical="top" wrapText="1"/>
    </xf>
    <xf numFmtId="0" fontId="6" fillId="0" borderId="20" xfId="0" applyFont="1" applyFill="1" applyBorder="1" applyAlignment="1">
      <alignment vertical="top" wrapText="1"/>
    </xf>
    <xf numFmtId="0" fontId="6" fillId="0" borderId="0" xfId="0" applyFont="1" applyFill="1" applyBorder="1" applyAlignment="1">
      <alignment vertical="top" wrapText="1"/>
    </xf>
    <xf numFmtId="0" fontId="6" fillId="0" borderId="21" xfId="0" applyFont="1" applyFill="1" applyBorder="1" applyAlignment="1">
      <alignment vertical="top" wrapText="1"/>
    </xf>
    <xf numFmtId="0" fontId="6" fillId="0" borderId="11" xfId="0" applyFont="1" applyFill="1" applyBorder="1" applyAlignment="1">
      <alignment vertical="top" wrapText="1"/>
    </xf>
    <xf numFmtId="0" fontId="6" fillId="0" borderId="73" xfId="0" applyFont="1" applyFill="1" applyBorder="1" applyAlignment="1">
      <alignment vertical="top" wrapText="1"/>
    </xf>
    <xf numFmtId="0" fontId="6" fillId="0" borderId="74" xfId="0" applyFont="1" applyFill="1" applyBorder="1" applyAlignment="1">
      <alignment vertical="top" wrapText="1"/>
    </xf>
    <xf numFmtId="0" fontId="6" fillId="0" borderId="62" xfId="0" applyFont="1" applyFill="1" applyBorder="1" applyAlignment="1">
      <alignment vertical="top" wrapText="1"/>
    </xf>
    <xf numFmtId="0" fontId="6" fillId="0" borderId="63" xfId="0" applyFont="1" applyFill="1" applyBorder="1" applyAlignment="1">
      <alignment vertical="top" wrapText="1"/>
    </xf>
    <xf numFmtId="0" fontId="6" fillId="0" borderId="64" xfId="0" applyFont="1" applyFill="1" applyBorder="1" applyAlignment="1">
      <alignment vertical="top" wrapText="1"/>
    </xf>
    <xf numFmtId="0" fontId="6" fillId="0" borderId="12" xfId="0" applyFont="1" applyBorder="1" applyAlignment="1">
      <alignment vertical="top" wrapText="1"/>
    </xf>
    <xf numFmtId="0" fontId="6" fillId="0" borderId="13" xfId="0" applyFont="1" applyBorder="1" applyAlignment="1">
      <alignment vertical="top" wrapText="1"/>
    </xf>
    <xf numFmtId="0" fontId="9" fillId="0" borderId="65" xfId="0" applyFont="1" applyFill="1" applyBorder="1" applyAlignment="1">
      <alignment vertical="top" wrapText="1"/>
    </xf>
    <xf numFmtId="0" fontId="9" fillId="0" borderId="66" xfId="0" applyFont="1" applyFill="1" applyBorder="1" applyAlignment="1">
      <alignment vertical="top" wrapText="1"/>
    </xf>
    <xf numFmtId="0" fontId="9" fillId="0" borderId="67" xfId="0" applyFont="1" applyFill="1" applyBorder="1" applyAlignment="1">
      <alignment vertical="top" wrapText="1"/>
    </xf>
    <xf numFmtId="0" fontId="6" fillId="0" borderId="65" xfId="0" applyFont="1" applyFill="1" applyBorder="1" applyAlignment="1">
      <alignment vertical="top" wrapText="1"/>
    </xf>
    <xf numFmtId="0" fontId="6" fillId="0" borderId="66" xfId="0" applyFont="1" applyFill="1" applyBorder="1" applyAlignment="1">
      <alignment vertical="top" wrapText="1"/>
    </xf>
    <xf numFmtId="0" fontId="39" fillId="12" borderId="9" xfId="0" applyFont="1" applyFill="1" applyBorder="1" applyAlignment="1">
      <alignment horizontal="center" vertical="top" wrapText="1"/>
    </xf>
    <xf numFmtId="0" fontId="1" fillId="11" borderId="1" xfId="0" applyFont="1" applyFill="1" applyBorder="1" applyAlignment="1">
      <alignment horizontal="center" vertical="top" wrapText="1"/>
    </xf>
    <xf numFmtId="0" fontId="10" fillId="11" borderId="1" xfId="0" applyFont="1" applyFill="1" applyBorder="1" applyAlignment="1">
      <alignment vertical="top"/>
    </xf>
    <xf numFmtId="0" fontId="9" fillId="2" borderId="12"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9" fillId="2" borderId="31" xfId="0" applyFont="1" applyFill="1" applyBorder="1" applyAlignment="1">
      <alignment horizontal="center" vertical="center" wrapText="1"/>
    </xf>
    <xf numFmtId="0" fontId="9" fillId="2" borderId="10" xfId="0" applyFont="1" applyFill="1" applyBorder="1" applyAlignment="1">
      <alignment horizontal="center" vertical="center" wrapText="1"/>
    </xf>
    <xf numFmtId="0" fontId="9" fillId="2" borderId="2" xfId="0" applyFont="1" applyFill="1" applyBorder="1" applyAlignment="1">
      <alignment horizontal="center" vertical="center" wrapText="1"/>
    </xf>
    <xf numFmtId="0" fontId="9" fillId="2" borderId="11" xfId="0" applyFont="1" applyFill="1" applyBorder="1" applyAlignment="1">
      <alignment horizontal="center" vertical="center" wrapText="1"/>
    </xf>
    <xf numFmtId="0" fontId="4" fillId="0" borderId="0" xfId="0" applyFont="1" applyFill="1">
      <alignment vertical="top" wrapText="1"/>
    </xf>
    <xf numFmtId="0" fontId="1" fillId="13" borderId="1" xfId="0" applyFont="1" applyFill="1" applyBorder="1" applyAlignment="1">
      <alignment horizontal="center" vertical="center" wrapText="1"/>
    </xf>
    <xf numFmtId="0" fontId="4" fillId="0" borderId="9" xfId="0" applyFont="1" applyFill="1" applyBorder="1" applyAlignment="1">
      <alignment horizontal="center" vertical="top" wrapText="1"/>
    </xf>
    <xf numFmtId="16" fontId="4" fillId="0" borderId="9" xfId="0" applyNumberFormat="1" applyFont="1" applyFill="1" applyBorder="1" applyAlignment="1">
      <alignment vertical="top" wrapText="1"/>
    </xf>
    <xf numFmtId="0" fontId="10" fillId="11" borderId="1" xfId="0" applyFont="1" applyFill="1" applyBorder="1" applyAlignment="1">
      <alignment vertical="top" wrapText="1"/>
    </xf>
    <xf numFmtId="0" fontId="10" fillId="0" borderId="9" xfId="0" applyFont="1" applyFill="1" applyBorder="1" applyAlignment="1">
      <alignment vertical="top" wrapText="1"/>
    </xf>
    <xf numFmtId="0" fontId="10" fillId="0" borderId="4" xfId="0" applyFont="1" applyFill="1" applyBorder="1" applyAlignment="1">
      <alignment vertical="top" wrapText="1"/>
    </xf>
    <xf numFmtId="0" fontId="10" fillId="0" borderId="3" xfId="0" applyFont="1" applyFill="1" applyBorder="1" applyAlignment="1">
      <alignment vertical="top" wrapText="1"/>
    </xf>
    <xf numFmtId="0" fontId="10" fillId="11" borderId="58" xfId="0" applyFont="1" applyFill="1" applyBorder="1" applyAlignment="1">
      <alignment vertical="top" wrapText="1"/>
    </xf>
    <xf numFmtId="0" fontId="10" fillId="0" borderId="59" xfId="0" applyFont="1" applyFill="1" applyBorder="1" applyAlignment="1">
      <alignment vertical="top" wrapText="1"/>
    </xf>
    <xf numFmtId="0" fontId="10" fillId="0" borderId="60" xfId="0" applyFont="1" applyFill="1" applyBorder="1" applyAlignment="1">
      <alignment vertical="top" wrapText="1"/>
    </xf>
    <xf numFmtId="0" fontId="10" fillId="0" borderId="61" xfId="0" applyFont="1" applyFill="1" applyBorder="1" applyAlignment="1">
      <alignment vertical="top" wrapText="1"/>
    </xf>
    <xf numFmtId="0" fontId="4" fillId="0" borderId="12" xfId="0" applyFont="1" applyFill="1" applyBorder="1" applyAlignment="1">
      <alignment vertical="top" wrapText="1"/>
    </xf>
    <xf numFmtId="0" fontId="4" fillId="0" borderId="31" xfId="0" applyFont="1" applyFill="1" applyBorder="1" applyAlignment="1">
      <alignment vertical="top" wrapText="1"/>
    </xf>
    <xf numFmtId="0" fontId="10" fillId="0" borderId="10" xfId="0" applyFont="1" applyFill="1" applyBorder="1" applyAlignment="1">
      <alignment vertical="top" wrapText="1"/>
    </xf>
    <xf numFmtId="0" fontId="10" fillId="0" borderId="2" xfId="0" applyFont="1" applyFill="1" applyBorder="1" applyAlignment="1">
      <alignment vertical="top" wrapText="1"/>
    </xf>
    <xf numFmtId="0" fontId="10" fillId="0" borderId="11" xfId="0" applyFont="1" applyFill="1" applyBorder="1" applyAlignment="1">
      <alignment vertical="top" wrapText="1"/>
    </xf>
    <xf numFmtId="0" fontId="1" fillId="13" borderId="9" xfId="0" applyFont="1" applyFill="1" applyBorder="1" applyAlignment="1">
      <alignment vertical="center" wrapText="1"/>
    </xf>
    <xf numFmtId="0" fontId="1" fillId="13" borderId="4" xfId="0" applyFont="1" applyFill="1" applyBorder="1" applyAlignment="1">
      <alignment vertical="center" wrapText="1"/>
    </xf>
    <xf numFmtId="0" fontId="1" fillId="13" borderId="3" xfId="0" applyFont="1" applyFill="1" applyBorder="1" applyAlignment="1">
      <alignment vertical="center" wrapText="1"/>
    </xf>
    <xf numFmtId="0" fontId="4" fillId="17" borderId="9" xfId="0" applyFont="1" applyFill="1" applyBorder="1" applyAlignment="1">
      <alignment vertical="center" wrapText="1"/>
    </xf>
    <xf numFmtId="0" fontId="4" fillId="17" borderId="4" xfId="0" applyFont="1" applyFill="1" applyBorder="1" applyAlignment="1">
      <alignment vertical="center" wrapText="1"/>
    </xf>
    <xf numFmtId="0" fontId="4" fillId="17" borderId="3" xfId="0" applyFont="1" applyFill="1" applyBorder="1" applyAlignment="1">
      <alignment vertical="center" wrapText="1"/>
    </xf>
    <xf numFmtId="0" fontId="4" fillId="13" borderId="9" xfId="0" applyFont="1" applyFill="1" applyBorder="1" applyAlignment="1">
      <alignment vertical="center" wrapText="1"/>
    </xf>
    <xf numFmtId="0" fontId="4" fillId="13" borderId="4" xfId="0" applyFont="1" applyFill="1" applyBorder="1" applyAlignment="1">
      <alignment vertical="center" wrapText="1"/>
    </xf>
    <xf numFmtId="0" fontId="4" fillId="13" borderId="3" xfId="0" applyFont="1" applyFill="1" applyBorder="1" applyAlignment="1">
      <alignment vertical="center" wrapText="1"/>
    </xf>
    <xf numFmtId="0" fontId="1" fillId="0" borderId="1" xfId="0" applyFont="1" applyBorder="1" applyAlignment="1">
      <alignment horizontal="center" vertical="center" wrapText="1"/>
    </xf>
    <xf numFmtId="0" fontId="4" fillId="0" borderId="9" xfId="0" applyFont="1" applyFill="1" applyBorder="1" applyAlignment="1">
      <alignment wrapText="1"/>
    </xf>
    <xf numFmtId="0" fontId="4" fillId="0" borderId="3" xfId="0" applyFont="1" applyFill="1" applyBorder="1" applyAlignment="1">
      <alignment wrapText="1"/>
    </xf>
    <xf numFmtId="0" fontId="72" fillId="0" borderId="9" xfId="0" applyFont="1" applyFill="1" applyBorder="1" applyAlignment="1">
      <alignment horizontal="left" wrapText="1"/>
    </xf>
    <xf numFmtId="0" fontId="72" fillId="0" borderId="3" xfId="0" applyFont="1" applyFill="1" applyBorder="1" applyAlignment="1">
      <alignment horizontal="left" wrapText="1"/>
    </xf>
    <xf numFmtId="0" fontId="1" fillId="17" borderId="13" xfId="0" applyFont="1" applyFill="1" applyBorder="1" applyAlignment="1">
      <alignment horizontal="left" vertical="top" wrapText="1"/>
    </xf>
    <xf numFmtId="0" fontId="4" fillId="17" borderId="13" xfId="0" applyFont="1" applyFill="1" applyBorder="1" applyAlignment="1">
      <alignment horizontal="left" vertical="top" wrapText="1"/>
    </xf>
    <xf numFmtId="0" fontId="10" fillId="0" borderId="2" xfId="0" applyFont="1" applyBorder="1" applyAlignment="1">
      <alignment horizontal="left" vertical="center" wrapText="1"/>
    </xf>
    <xf numFmtId="0" fontId="8" fillId="9" borderId="9" xfId="0" applyFont="1" applyFill="1" applyBorder="1" applyAlignment="1">
      <alignment vertical="center" wrapText="1"/>
    </xf>
    <xf numFmtId="0" fontId="8" fillId="9" borderId="4" xfId="0" applyFont="1" applyFill="1" applyBorder="1" applyAlignment="1">
      <alignment vertical="center" wrapText="1"/>
    </xf>
    <xf numFmtId="0" fontId="8" fillId="9" borderId="3" xfId="0" applyFont="1" applyFill="1" applyBorder="1" applyAlignment="1">
      <alignment vertical="center" wrapText="1"/>
    </xf>
    <xf numFmtId="0" fontId="1" fillId="17" borderId="1" xfId="0" applyFont="1" applyFill="1" applyBorder="1" applyAlignment="1">
      <alignment horizontal="center" vertical="center" wrapText="1"/>
    </xf>
    <xf numFmtId="0" fontId="1" fillId="0" borderId="9" xfId="0" applyFont="1" applyFill="1" applyBorder="1" applyAlignment="1">
      <alignment wrapText="1"/>
    </xf>
    <xf numFmtId="0" fontId="1" fillId="0" borderId="3" xfId="0" applyFont="1" applyFill="1" applyBorder="1" applyAlignment="1">
      <alignment wrapText="1"/>
    </xf>
    <xf numFmtId="0" fontId="72" fillId="0" borderId="0" xfId="0" applyFont="1" applyFill="1">
      <alignment vertical="top" wrapText="1"/>
    </xf>
    <xf numFmtId="0" fontId="4" fillId="0" borderId="12" xfId="0" applyFont="1" applyFill="1" applyBorder="1" applyAlignment="1">
      <alignment horizontal="center" vertical="top" wrapText="1"/>
    </xf>
    <xf numFmtId="0" fontId="4" fillId="0" borderId="31" xfId="0" applyFont="1" applyFill="1" applyBorder="1" applyAlignment="1">
      <alignment horizontal="center" vertical="top" wrapText="1"/>
    </xf>
    <xf numFmtId="0" fontId="10" fillId="11" borderId="17" xfId="0" applyFont="1" applyFill="1" applyBorder="1" applyAlignment="1">
      <alignment vertical="top" wrapText="1"/>
    </xf>
    <xf numFmtId="0" fontId="4" fillId="13" borderId="1" xfId="0" applyFont="1" applyFill="1" applyBorder="1" applyAlignment="1">
      <alignment horizontal="center" vertical="center" wrapText="1"/>
    </xf>
    <xf numFmtId="0" fontId="59" fillId="0" borderId="0" xfId="0" applyFont="1" applyAlignment="1">
      <alignment horizontal="left" vertical="center" wrapText="1"/>
    </xf>
    <xf numFmtId="0" fontId="11" fillId="9" borderId="9" xfId="0" applyFont="1" applyFill="1" applyBorder="1" applyAlignment="1">
      <alignment horizontal="center" vertical="center" wrapText="1"/>
    </xf>
    <xf numFmtId="0" fontId="11" fillId="9" borderId="3" xfId="0" applyFont="1" applyFill="1" applyBorder="1" applyAlignment="1">
      <alignment horizontal="center" vertical="center" wrapText="1"/>
    </xf>
    <xf numFmtId="0" fontId="10" fillId="9" borderId="9" xfId="0" applyFont="1" applyFill="1" applyBorder="1" applyAlignment="1">
      <alignment horizontal="center" vertical="center" wrapText="1"/>
    </xf>
    <xf numFmtId="0" fontId="10" fillId="9" borderId="3" xfId="0" applyFont="1" applyFill="1" applyBorder="1" applyAlignment="1">
      <alignment horizontal="center" vertical="center" wrapText="1"/>
    </xf>
    <xf numFmtId="0" fontId="10" fillId="9" borderId="14" xfId="0" applyFont="1" applyFill="1" applyBorder="1" applyAlignment="1">
      <alignment horizontal="center" vertical="center" wrapText="1"/>
    </xf>
    <xf numFmtId="0" fontId="10" fillId="9" borderId="17" xfId="0" applyFont="1" applyFill="1" applyBorder="1" applyAlignment="1">
      <alignment horizontal="center" vertical="center" wrapText="1"/>
    </xf>
    <xf numFmtId="0" fontId="10" fillId="2" borderId="9" xfId="0" applyFont="1" applyFill="1" applyBorder="1" applyAlignment="1">
      <alignment horizontal="center" wrapText="1"/>
    </xf>
    <xf numFmtId="0" fontId="10" fillId="2" borderId="4" xfId="0" applyFont="1" applyFill="1" applyBorder="1" applyAlignment="1">
      <alignment horizontal="center" wrapText="1"/>
    </xf>
    <xf numFmtId="0" fontId="10" fillId="2" borderId="3" xfId="0" applyFont="1" applyFill="1" applyBorder="1" applyAlignment="1">
      <alignment horizontal="center" wrapText="1"/>
    </xf>
    <xf numFmtId="0" fontId="4" fillId="0" borderId="9" xfId="0" applyFont="1" applyBorder="1" applyAlignment="1">
      <alignment wrapText="1"/>
    </xf>
    <xf numFmtId="0" fontId="4" fillId="0" borderId="4" xfId="0" applyFont="1" applyBorder="1" applyAlignment="1">
      <alignment wrapText="1"/>
    </xf>
    <xf numFmtId="0" fontId="4" fillId="0" borderId="3" xfId="0" applyFont="1" applyBorder="1" applyAlignment="1">
      <alignment wrapText="1"/>
    </xf>
    <xf numFmtId="0" fontId="10" fillId="0" borderId="0" xfId="0" applyFont="1" applyAlignment="1">
      <alignment wrapText="1"/>
    </xf>
    <xf numFmtId="0" fontId="4" fillId="13" borderId="1" xfId="0" applyFont="1" applyFill="1" applyBorder="1" applyAlignment="1">
      <alignment horizontal="center" vertical="center"/>
    </xf>
    <xf numFmtId="0" fontId="1" fillId="0" borderId="0" xfId="0" applyFont="1" applyAlignment="1">
      <alignment vertical="top"/>
    </xf>
    <xf numFmtId="0" fontId="1" fillId="13" borderId="1" xfId="0" applyFont="1" applyFill="1" applyBorder="1" applyAlignment="1">
      <alignment vertical="center"/>
    </xf>
    <xf numFmtId="0" fontId="4" fillId="13" borderId="12" xfId="0" applyFont="1" applyFill="1" applyBorder="1" applyAlignment="1">
      <alignment horizontal="center" vertical="center"/>
    </xf>
    <xf numFmtId="0" fontId="4" fillId="13" borderId="31" xfId="0" applyFont="1" applyFill="1" applyBorder="1" applyAlignment="1">
      <alignment horizontal="center" vertical="center"/>
    </xf>
    <xf numFmtId="0" fontId="1" fillId="0" borderId="1" xfId="0" applyFont="1" applyBorder="1" applyAlignment="1">
      <alignment horizontal="left" vertical="center" wrapText="1"/>
    </xf>
    <xf numFmtId="165" fontId="4" fillId="0" borderId="9" xfId="0" applyNumberFormat="1" applyFont="1" applyBorder="1" applyAlignment="1">
      <alignment horizontal="left" vertical="center" wrapText="1"/>
    </xf>
    <xf numFmtId="165" fontId="4" fillId="0" borderId="4" xfId="0" applyNumberFormat="1" applyFont="1" applyBorder="1" applyAlignment="1">
      <alignment horizontal="left" vertical="center" wrapText="1"/>
    </xf>
    <xf numFmtId="165" fontId="4" fillId="0" borderId="3" xfId="0" applyNumberFormat="1" applyFont="1" applyBorder="1" applyAlignment="1">
      <alignment horizontal="left" vertical="center" wrapText="1"/>
    </xf>
    <xf numFmtId="0" fontId="1" fillId="0" borderId="9" xfId="0" applyFont="1" applyBorder="1" applyAlignment="1">
      <alignment horizontal="left" vertical="center" wrapText="1"/>
    </xf>
    <xf numFmtId="0" fontId="1" fillId="0" borderId="4" xfId="0" applyFont="1" applyBorder="1" applyAlignment="1">
      <alignment horizontal="left" vertical="center" wrapText="1"/>
    </xf>
    <xf numFmtId="0" fontId="1" fillId="0" borderId="3" xfId="0" applyFont="1" applyBorder="1" applyAlignment="1">
      <alignment horizontal="left" vertical="center" wrapText="1"/>
    </xf>
    <xf numFmtId="0" fontId="4" fillId="0" borderId="9" xfId="0" applyFont="1" applyBorder="1" applyAlignment="1">
      <alignment horizontal="left" vertical="center" wrapText="1"/>
    </xf>
    <xf numFmtId="0" fontId="4" fillId="0" borderId="4" xfId="0" applyFont="1" applyBorder="1" applyAlignment="1">
      <alignment horizontal="left" vertical="center" wrapText="1"/>
    </xf>
    <xf numFmtId="0" fontId="4" fillId="0" borderId="3" xfId="0" applyFont="1" applyBorder="1" applyAlignment="1">
      <alignment horizontal="left" vertical="center" wrapText="1"/>
    </xf>
    <xf numFmtId="0" fontId="10" fillId="0" borderId="1" xfId="0" applyFont="1" applyBorder="1" applyAlignment="1">
      <alignment wrapText="1"/>
    </xf>
    <xf numFmtId="0" fontId="65" fillId="12" borderId="9" xfId="0" applyFont="1" applyFill="1" applyBorder="1" applyAlignment="1">
      <alignment horizontal="center" vertical="top" wrapText="1"/>
    </xf>
    <xf numFmtId="0" fontId="61" fillId="12" borderId="4" xfId="0" applyFont="1" applyFill="1" applyBorder="1" applyAlignment="1">
      <alignment vertical="top" wrapText="1"/>
    </xf>
    <xf numFmtId="0" fontId="61" fillId="12" borderId="3" xfId="0" applyFont="1" applyFill="1" applyBorder="1" applyAlignment="1">
      <alignment vertical="top" wrapText="1"/>
    </xf>
    <xf numFmtId="0" fontId="10" fillId="0" borderId="1" xfId="0" applyFont="1" applyFill="1" applyBorder="1" applyAlignment="1">
      <alignment vertical="top" wrapText="1"/>
    </xf>
    <xf numFmtId="0" fontId="10" fillId="0" borderId="1" xfId="0" applyFont="1" applyBorder="1" applyAlignment="1">
      <alignment vertical="top" wrapText="1"/>
    </xf>
    <xf numFmtId="0" fontId="10" fillId="0" borderId="4" xfId="0" applyFont="1" applyBorder="1" applyAlignment="1">
      <alignment vertical="top" wrapText="1"/>
    </xf>
    <xf numFmtId="0" fontId="10" fillId="0" borderId="3" xfId="0" applyFont="1" applyBorder="1" applyAlignment="1">
      <alignment vertical="top" wrapText="1"/>
    </xf>
    <xf numFmtId="0" fontId="0" fillId="11" borderId="1" xfId="0" applyFill="1" applyBorder="1" applyAlignment="1">
      <alignment vertical="top" wrapText="1"/>
    </xf>
    <xf numFmtId="0" fontId="0" fillId="0" borderId="0" xfId="0">
      <alignment vertical="top" wrapText="1"/>
    </xf>
    <xf numFmtId="0" fontId="12" fillId="0" borderId="0" xfId="0" applyFont="1" applyAlignment="1">
      <alignment horizontal="left"/>
    </xf>
    <xf numFmtId="0" fontId="1" fillId="0" borderId="0" xfId="0" applyFont="1" applyAlignment="1"/>
    <xf numFmtId="0" fontId="0" fillId="0" borderId="1" xfId="0" applyBorder="1">
      <alignment vertical="top" wrapText="1"/>
    </xf>
    <xf numFmtId="0" fontId="10" fillId="0" borderId="1" xfId="0" applyFont="1" applyBorder="1" applyAlignment="1">
      <alignment horizontal="center" vertical="top" wrapText="1"/>
    </xf>
    <xf numFmtId="0" fontId="4" fillId="11" borderId="1" xfId="0" applyFont="1" applyFill="1" applyBorder="1" applyAlignment="1">
      <alignment horizontal="center" vertical="top" wrapText="1"/>
    </xf>
    <xf numFmtId="0" fontId="13" fillId="0" borderId="0" xfId="0" applyFont="1" applyAlignment="1">
      <alignment vertical="top" wrapText="1"/>
    </xf>
    <xf numFmtId="0" fontId="10" fillId="0" borderId="9" xfId="0" applyFont="1" applyBorder="1" applyAlignment="1">
      <alignment vertical="top" wrapText="1"/>
    </xf>
    <xf numFmtId="0" fontId="4" fillId="8" borderId="1" xfId="0" applyFont="1" applyFill="1" applyBorder="1" applyAlignment="1">
      <alignment horizontal="left" vertical="top" wrapText="1"/>
    </xf>
    <xf numFmtId="6" fontId="4" fillId="0" borderId="9" xfId="0" applyNumberFormat="1" applyFont="1" applyBorder="1" applyAlignment="1">
      <alignment horizontal="center" vertical="top" wrapText="1"/>
    </xf>
    <xf numFmtId="0" fontId="10" fillId="9" borderId="12" xfId="0" applyFont="1" applyFill="1" applyBorder="1" applyAlignment="1">
      <alignment horizontal="center" vertical="center" wrapText="1"/>
    </xf>
    <xf numFmtId="0" fontId="10" fillId="9" borderId="31" xfId="0" applyFont="1" applyFill="1" applyBorder="1" applyAlignment="1">
      <alignment horizontal="center" vertical="center" wrapText="1"/>
    </xf>
    <xf numFmtId="0" fontId="10" fillId="9" borderId="10" xfId="0" applyFont="1" applyFill="1" applyBorder="1" applyAlignment="1">
      <alignment horizontal="center" vertical="center" wrapText="1"/>
    </xf>
    <xf numFmtId="0" fontId="10" fillId="9" borderId="11" xfId="0" applyFont="1" applyFill="1" applyBorder="1" applyAlignment="1">
      <alignment horizontal="center" vertical="center" wrapText="1"/>
    </xf>
    <xf numFmtId="0" fontId="61" fillId="12" borderId="4" xfId="0" applyFont="1" applyFill="1" applyBorder="1" applyAlignment="1">
      <alignment horizontal="center" vertical="top" wrapText="1"/>
    </xf>
    <xf numFmtId="0" fontId="27" fillId="0" borderId="4" xfId="0" applyFont="1" applyFill="1" applyBorder="1" applyAlignment="1">
      <alignment vertical="top" wrapText="1"/>
    </xf>
    <xf numFmtId="0" fontId="27" fillId="0" borderId="3" xfId="0" applyFont="1" applyFill="1" applyBorder="1" applyAlignment="1">
      <alignment vertical="top" wrapText="1"/>
    </xf>
    <xf numFmtId="0" fontId="10" fillId="0" borderId="9" xfId="0" applyFont="1" applyBorder="1" applyAlignment="1">
      <alignment horizontal="left" vertical="top" wrapText="1"/>
    </xf>
    <xf numFmtId="0" fontId="10" fillId="0" borderId="4" xfId="0" applyFont="1" applyBorder="1" applyAlignment="1">
      <alignment horizontal="left" vertical="top" wrapText="1"/>
    </xf>
    <xf numFmtId="0" fontId="10" fillId="0" borderId="3" xfId="0" applyFont="1" applyBorder="1" applyAlignment="1">
      <alignment horizontal="left" vertical="top" wrapText="1"/>
    </xf>
    <xf numFmtId="0" fontId="4" fillId="8" borderId="9" xfId="0" applyFont="1" applyFill="1" applyBorder="1" applyAlignment="1">
      <alignment horizontal="left" vertical="top" wrapText="1"/>
    </xf>
    <xf numFmtId="0" fontId="4" fillId="8" borderId="3" xfId="0" applyFont="1" applyFill="1" applyBorder="1" applyAlignment="1">
      <alignment horizontal="left" vertical="top" wrapText="1"/>
    </xf>
    <xf numFmtId="0" fontId="10" fillId="2" borderId="14" xfId="0" applyFont="1" applyFill="1" applyBorder="1" applyAlignment="1">
      <alignment horizontal="center" vertical="center" wrapText="1"/>
    </xf>
    <xf numFmtId="0" fontId="10" fillId="2" borderId="17" xfId="0" applyFont="1" applyFill="1" applyBorder="1" applyAlignment="1">
      <alignment horizontal="center" vertical="center" wrapText="1"/>
    </xf>
    <xf numFmtId="0" fontId="4" fillId="0" borderId="9" xfId="0" applyFont="1" applyBorder="1" applyAlignment="1">
      <alignment horizontal="center" vertical="top" wrapText="1"/>
    </xf>
    <xf numFmtId="0" fontId="1" fillId="0" borderId="0" xfId="0" applyFont="1">
      <alignment vertical="top" wrapText="1"/>
    </xf>
    <xf numFmtId="0" fontId="93" fillId="21" borderId="1" xfId="7" applyFont="1" applyFill="1" applyBorder="1" applyAlignment="1">
      <alignment horizontal="center" wrapText="1"/>
    </xf>
    <xf numFmtId="0" fontId="91" fillId="14" borderId="0" xfId="3" applyFont="1" applyFill="1" applyBorder="1" applyAlignment="1" applyProtection="1">
      <alignment horizontal="left" vertical="top" wrapText="1"/>
    </xf>
    <xf numFmtId="0" fontId="92" fillId="17" borderId="85" xfId="0" applyFont="1" applyFill="1" applyBorder="1" applyAlignment="1">
      <alignment horizontal="center" vertical="top" wrapText="1"/>
    </xf>
    <xf numFmtId="0" fontId="92" fillId="17" borderId="86" xfId="0" applyFont="1" applyFill="1" applyBorder="1" applyAlignment="1">
      <alignment horizontal="center" vertical="top" wrapText="1"/>
    </xf>
    <xf numFmtId="0" fontId="92" fillId="17" borderId="87" xfId="0" applyFont="1" applyFill="1" applyBorder="1" applyAlignment="1">
      <alignment horizontal="center" vertical="top" wrapText="1"/>
    </xf>
    <xf numFmtId="0" fontId="9" fillId="9" borderId="1" xfId="7" applyFont="1" applyFill="1" applyBorder="1" applyAlignment="1">
      <alignment horizontal="center" wrapText="1"/>
    </xf>
    <xf numFmtId="0" fontId="8" fillId="13" borderId="9" xfId="7" applyFont="1" applyFill="1" applyBorder="1" applyAlignment="1">
      <alignment horizontal="left" vertical="top" wrapText="1"/>
    </xf>
    <xf numFmtId="0" fontId="8" fillId="13" borderId="4" xfId="7" applyFont="1" applyFill="1" applyBorder="1" applyAlignment="1">
      <alignment horizontal="left" vertical="top" wrapText="1"/>
    </xf>
    <xf numFmtId="0" fontId="8" fillId="13" borderId="3" xfId="7" applyFont="1" applyFill="1" applyBorder="1" applyAlignment="1">
      <alignment horizontal="left" vertical="top" wrapText="1"/>
    </xf>
    <xf numFmtId="0" fontId="8" fillId="13" borderId="1" xfId="7" applyFont="1" applyFill="1" applyBorder="1" applyAlignment="1">
      <alignment horizontal="left" vertical="top" wrapText="1"/>
    </xf>
    <xf numFmtId="0" fontId="71" fillId="0" borderId="0" xfId="0" applyFont="1" applyAlignment="1">
      <alignment horizontal="left" vertical="top" wrapText="1"/>
    </xf>
  </cellXfs>
  <cellStyles count="14">
    <cellStyle name="Currency" xfId="1" builtinId="4"/>
    <cellStyle name="Currency 2" xfId="2"/>
    <cellStyle name="Hyperlink" xfId="3" builtinId="8"/>
    <cellStyle name="Normal" xfId="0" builtinId="0"/>
    <cellStyle name="Normal 2" xfId="4"/>
    <cellStyle name="Normal 3" xfId="8"/>
    <cellStyle name="Normal 3 2" xfId="13"/>
    <cellStyle name="Normal 4" xfId="5"/>
    <cellStyle name="Normal 5" xfId="6"/>
    <cellStyle name="Normal 6" xfId="9"/>
    <cellStyle name="Normal 7" xfId="10"/>
    <cellStyle name="Normal 8" xfId="11"/>
    <cellStyle name="Normal 9" xfId="12"/>
    <cellStyle name="Normal_Update Request" xfId="7"/>
  </cellStyles>
  <dxfs count="0"/>
  <tableStyles count="0" defaultTableStyle="TableStyleMedium9" defaultPivotStyle="PivotStyleLight16"/>
  <colors>
    <mruColors>
      <color rgb="FF0922D9"/>
      <color rgb="FF66FFFF"/>
      <color rgb="FF66CCFF"/>
      <color rgb="FF99CCFF"/>
      <color rgb="FF339966"/>
      <color rgb="FF009900"/>
      <color rgb="FF008000"/>
      <color rgb="FF33CC33"/>
      <color rgb="FF008080"/>
      <color rgb="FF00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worksheets/sheet30.xml" Type="http://schemas.openxmlformats.org/officeDocument/2006/relationships/worksheet"/><Relationship Id="rId31" Target="worksheets/sheet31.xml" Type="http://schemas.openxmlformats.org/officeDocument/2006/relationships/worksheet"/><Relationship Id="rId32" Target="worksheets/sheet32.xml" Type="http://schemas.openxmlformats.org/officeDocument/2006/relationships/worksheet"/><Relationship Id="rId33" Target="worksheets/sheet33.xml" Type="http://schemas.openxmlformats.org/officeDocument/2006/relationships/worksheet"/><Relationship Id="rId34" Target="worksheets/sheet34.xml" Type="http://schemas.openxmlformats.org/officeDocument/2006/relationships/worksheet"/><Relationship Id="rId35" Target="worksheets/sheet35.xml" Type="http://schemas.openxmlformats.org/officeDocument/2006/relationships/worksheet"/><Relationship Id="rId36" Target="worksheets/sheet36.xml" Type="http://schemas.openxmlformats.org/officeDocument/2006/relationships/worksheet"/><Relationship Id="rId37" Target="worksheets/sheet37.xml" Type="http://schemas.openxmlformats.org/officeDocument/2006/relationships/worksheet"/><Relationship Id="rId38" Target="worksheets/sheet38.xml" Type="http://schemas.openxmlformats.org/officeDocument/2006/relationships/worksheet"/><Relationship Id="rId39" Target="worksheets/sheet39.xml" Type="http://schemas.openxmlformats.org/officeDocument/2006/relationships/worksheet"/><Relationship Id="rId4" Target="worksheets/sheet4.xml" Type="http://schemas.openxmlformats.org/officeDocument/2006/relationships/worksheet"/><Relationship Id="rId40" Target="worksheets/sheet40.xml" Type="http://schemas.openxmlformats.org/officeDocument/2006/relationships/worksheet"/><Relationship Id="rId41" Target="theme/theme1.xml" Type="http://schemas.openxmlformats.org/officeDocument/2006/relationships/theme"/><Relationship Id="rId42" Target="styles.xml" Type="http://schemas.openxmlformats.org/officeDocument/2006/relationships/styles"/><Relationship Id="rId43" Target="sharedStrings.xml" Type="http://schemas.openxmlformats.org/officeDocument/2006/relationships/sharedStrings"/><Relationship Id="rId44" Target="calcChain.xml" Type="http://schemas.openxmlformats.org/officeDocument/2006/relationships/calcChain"/><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2.png" Type="http://schemas.openxmlformats.org/officeDocument/2006/relationships/image"/><Relationship Id="rId2" Target="../media/image3.png" Type="http://schemas.openxmlformats.org/officeDocument/2006/relationships/image"/></Relationships>
</file>

<file path=xl/drawings/_rels/drawing2.xml.rels><?xml version="1.0" encoding="UTF-8" standalone="no"?><Relationships xmlns="http://schemas.openxmlformats.org/package/2006/relationships"><Relationship Id="rId1" Target="../media/image4.png" Type="http://schemas.openxmlformats.org/officeDocument/2006/relationships/image"/></Relationships>
</file>

<file path=xl/drawings/_rels/drawing3.xml.rels><?xml version="1.0" encoding="UTF-8" standalone="no"?><Relationships xmlns="http://schemas.openxmlformats.org/package/2006/relationships"><Relationship Id="rId1" Target="../media/image5.png" Type="http://schemas.openxmlformats.org/officeDocument/2006/relationships/image"/><Relationship Id="rId2" Target="../media/image6.png" Type="http://schemas.openxmlformats.org/officeDocument/2006/relationships/image"/><Relationship Id="rId3" Target="../media/image7.png" Type="http://schemas.openxmlformats.org/officeDocument/2006/relationships/image"/></Relationships>
</file>

<file path=xl/drawings/_rels/vmlDrawing1.vml.rels><?xml version="1.0" encoding="UTF-8" standalone="no"?><Relationships xmlns="http://schemas.openxmlformats.org/package/2006/relationships"><Relationship Id="rId1" Target="../media/image1.jpeg" Type="http://schemas.openxmlformats.org/officeDocument/2006/relationships/image"/></Relationships>
</file>

<file path=xl/drawings/_rels/vmlDrawing10.vml.rels><?xml version="1.0" encoding="UTF-8" standalone="no"?><Relationships xmlns="http://schemas.openxmlformats.org/package/2006/relationships"><Relationship Id="rId1" Target="../media/image1.jpeg" Type="http://schemas.openxmlformats.org/officeDocument/2006/relationships/image"/></Relationships>
</file>

<file path=xl/drawings/_rels/vmlDrawing12.vml.rels><?xml version="1.0" encoding="UTF-8" standalone="no"?><Relationships xmlns="http://schemas.openxmlformats.org/package/2006/relationships"><Relationship Id="rId1" Target="../media/image1.jpeg" Type="http://schemas.openxmlformats.org/officeDocument/2006/relationships/image"/></Relationships>
</file>

<file path=xl/drawings/_rels/vmlDrawing14.vml.rels><?xml version="1.0" encoding="UTF-8" standalone="no"?><Relationships xmlns="http://schemas.openxmlformats.org/package/2006/relationships"><Relationship Id="rId1" Target="../media/image1.jpeg" Type="http://schemas.openxmlformats.org/officeDocument/2006/relationships/image"/></Relationships>
</file>

<file path=xl/drawings/_rels/vmlDrawing16.vml.rels><?xml version="1.0" encoding="UTF-8" standalone="no"?><Relationships xmlns="http://schemas.openxmlformats.org/package/2006/relationships"><Relationship Id="rId1" Target="../media/image1.jpeg" Type="http://schemas.openxmlformats.org/officeDocument/2006/relationships/image"/></Relationships>
</file>

<file path=xl/drawings/_rels/vmlDrawing17.vml.rels><?xml version="1.0" encoding="UTF-8" standalone="no"?><Relationships xmlns="http://schemas.openxmlformats.org/package/2006/relationships"><Relationship Id="rId1" Target="../media/image1.jpeg" Type="http://schemas.openxmlformats.org/officeDocument/2006/relationships/image"/></Relationships>
</file>

<file path=xl/drawings/_rels/vmlDrawing19.vml.rels><?xml version="1.0" encoding="UTF-8" standalone="no"?><Relationships xmlns="http://schemas.openxmlformats.org/package/2006/relationships"><Relationship Id="rId1" Target="../media/image1.jpeg" Type="http://schemas.openxmlformats.org/officeDocument/2006/relationships/image"/></Relationships>
</file>

<file path=xl/drawings/_rels/vmlDrawing20.vml.rels><?xml version="1.0" encoding="UTF-8" standalone="no"?><Relationships xmlns="http://schemas.openxmlformats.org/package/2006/relationships"><Relationship Id="rId1" Target="../media/image1.jpeg" Type="http://schemas.openxmlformats.org/officeDocument/2006/relationships/image"/></Relationships>
</file>

<file path=xl/drawings/_rels/vmlDrawing22.vml.rels><?xml version="1.0" encoding="UTF-8" standalone="no"?><Relationships xmlns="http://schemas.openxmlformats.org/package/2006/relationships"><Relationship Id="rId1" Target="../media/image1.jpeg" Type="http://schemas.openxmlformats.org/officeDocument/2006/relationships/image"/></Relationships>
</file>

<file path=xl/drawings/_rels/vmlDrawing23.vml.rels><?xml version="1.0" encoding="UTF-8" standalone="no"?><Relationships xmlns="http://schemas.openxmlformats.org/package/2006/relationships"><Relationship Id="rId1" Target="../media/image1.jpeg" Type="http://schemas.openxmlformats.org/officeDocument/2006/relationships/image"/></Relationships>
</file>

<file path=xl/drawings/_rels/vmlDrawing24.vml.rels><?xml version="1.0" encoding="UTF-8" standalone="no"?><Relationships xmlns="http://schemas.openxmlformats.org/package/2006/relationships"><Relationship Id="rId1" Target="../media/image1.jpeg" Type="http://schemas.openxmlformats.org/officeDocument/2006/relationships/image"/></Relationships>
</file>

<file path=xl/drawings/_rels/vmlDrawing25.vml.rels><?xml version="1.0" encoding="UTF-8" standalone="no"?><Relationships xmlns="http://schemas.openxmlformats.org/package/2006/relationships"><Relationship Id="rId1" Target="../media/image1.jpeg" Type="http://schemas.openxmlformats.org/officeDocument/2006/relationships/image"/></Relationships>
</file>

<file path=xl/drawings/_rels/vmlDrawing26.vml.rels><?xml version="1.0" encoding="UTF-8" standalone="no"?><Relationships xmlns="http://schemas.openxmlformats.org/package/2006/relationships"><Relationship Id="rId1" Target="../media/image1.jpeg" Type="http://schemas.openxmlformats.org/officeDocument/2006/relationships/image"/></Relationships>
</file>

<file path=xl/drawings/_rels/vmlDrawing27.vml.rels><?xml version="1.0" encoding="UTF-8" standalone="no"?><Relationships xmlns="http://schemas.openxmlformats.org/package/2006/relationships"><Relationship Id="rId1" Target="../media/image1.jpeg" Type="http://schemas.openxmlformats.org/officeDocument/2006/relationships/image"/></Relationships>
</file>

<file path=xl/drawings/_rels/vmlDrawing28.vml.rels><?xml version="1.0" encoding="UTF-8" standalone="no"?><Relationships xmlns="http://schemas.openxmlformats.org/package/2006/relationships"><Relationship Id="rId1" Target="../media/image1.jpeg" Type="http://schemas.openxmlformats.org/officeDocument/2006/relationships/image"/></Relationships>
</file>

<file path=xl/drawings/_rels/vmlDrawing29.vml.rels><?xml version="1.0" encoding="UTF-8" standalone="no"?><Relationships xmlns="http://schemas.openxmlformats.org/package/2006/relationships"><Relationship Id="rId1" Target="../media/image1.jpeg" Type="http://schemas.openxmlformats.org/officeDocument/2006/relationships/image"/></Relationships>
</file>

<file path=xl/drawings/_rels/vmlDrawing3.vml.rels><?xml version="1.0" encoding="UTF-8" standalone="no"?><Relationships xmlns="http://schemas.openxmlformats.org/package/2006/relationships"><Relationship Id="rId1" Target="../media/image1.jpeg" Type="http://schemas.openxmlformats.org/officeDocument/2006/relationships/image"/></Relationships>
</file>

<file path=xl/drawings/_rels/vmlDrawing30.vml.rels><?xml version="1.0" encoding="UTF-8" standalone="no"?><Relationships xmlns="http://schemas.openxmlformats.org/package/2006/relationships"><Relationship Id="rId1" Target="../media/image1.jpeg" Type="http://schemas.openxmlformats.org/officeDocument/2006/relationships/image"/></Relationships>
</file>

<file path=xl/drawings/_rels/vmlDrawing31.vml.rels><?xml version="1.0" encoding="UTF-8" standalone="no"?><Relationships xmlns="http://schemas.openxmlformats.org/package/2006/relationships"><Relationship Id="rId1" Target="../media/image1.jpeg" Type="http://schemas.openxmlformats.org/officeDocument/2006/relationships/image"/></Relationships>
</file>

<file path=xl/drawings/_rels/vmlDrawing33.vml.rels><?xml version="1.0" encoding="UTF-8" standalone="no"?><Relationships xmlns="http://schemas.openxmlformats.org/package/2006/relationships"><Relationship Id="rId1" Target="../media/image1.jpeg" Type="http://schemas.openxmlformats.org/officeDocument/2006/relationships/image"/></Relationships>
</file>

<file path=xl/drawings/_rels/vmlDrawing34.vml.rels><?xml version="1.0" encoding="UTF-8" standalone="no"?><Relationships xmlns="http://schemas.openxmlformats.org/package/2006/relationships"><Relationship Id="rId1" Target="../media/image1.jpeg" Type="http://schemas.openxmlformats.org/officeDocument/2006/relationships/image"/></Relationships>
</file>

<file path=xl/drawings/_rels/vmlDrawing36.vml.rels><?xml version="1.0" encoding="UTF-8" standalone="no"?><Relationships xmlns="http://schemas.openxmlformats.org/package/2006/relationships"><Relationship Id="rId1" Target="../media/image1.jpeg" Type="http://schemas.openxmlformats.org/officeDocument/2006/relationships/image"/></Relationships>
</file>

<file path=xl/drawings/_rels/vmlDrawing37.vml.rels><?xml version="1.0" encoding="UTF-8" standalone="no"?><Relationships xmlns="http://schemas.openxmlformats.org/package/2006/relationships"><Relationship Id="rId1" Target="../media/image1.jpeg" Type="http://schemas.openxmlformats.org/officeDocument/2006/relationships/image"/></Relationships>
</file>

<file path=xl/drawings/_rels/vmlDrawing38.vml.rels><?xml version="1.0" encoding="UTF-8" standalone="no"?><Relationships xmlns="http://schemas.openxmlformats.org/package/2006/relationships"><Relationship Id="rId1" Target="../media/image1.jpeg" Type="http://schemas.openxmlformats.org/officeDocument/2006/relationships/image"/></Relationships>
</file>

<file path=xl/drawings/_rels/vmlDrawing39.vml.rels><?xml version="1.0" encoding="UTF-8" standalone="no"?><Relationships xmlns="http://schemas.openxmlformats.org/package/2006/relationships"><Relationship Id="rId1" Target="../media/image1.jpeg" Type="http://schemas.openxmlformats.org/officeDocument/2006/relationships/image"/></Relationships>
</file>

<file path=xl/drawings/_rels/vmlDrawing4.vml.rels><?xml version="1.0" encoding="UTF-8" standalone="no"?><Relationships xmlns="http://schemas.openxmlformats.org/package/2006/relationships"><Relationship Id="rId1" Target="../media/image1.jpeg" Type="http://schemas.openxmlformats.org/officeDocument/2006/relationships/image"/></Relationships>
</file>

<file path=xl/drawings/_rels/vmlDrawing41.vml.rels><?xml version="1.0" encoding="UTF-8" standalone="no"?><Relationships xmlns="http://schemas.openxmlformats.org/package/2006/relationships"><Relationship Id="rId1" Target="../media/image1.jpeg" Type="http://schemas.openxmlformats.org/officeDocument/2006/relationships/image"/></Relationships>
</file>

<file path=xl/drawings/_rels/vmlDrawing43.vml.rels><?xml version="1.0" encoding="UTF-8" standalone="no"?><Relationships xmlns="http://schemas.openxmlformats.org/package/2006/relationships"><Relationship Id="rId1" Target="../media/image1.jpeg" Type="http://schemas.openxmlformats.org/officeDocument/2006/relationships/image"/></Relationships>
</file>

<file path=xl/drawings/_rels/vmlDrawing6.vml.rels><?xml version="1.0" encoding="UTF-8" standalone="no"?><Relationships xmlns="http://schemas.openxmlformats.org/package/2006/relationships"><Relationship Id="rId1" Target="../media/image1.jpeg" Type="http://schemas.openxmlformats.org/officeDocument/2006/relationships/image"/></Relationships>
</file>

<file path=xl/drawings/_rels/vmlDrawing8.vml.rels><?xml version="1.0" encoding="UTF-8" standalone="no"?><Relationships xmlns="http://schemas.openxmlformats.org/package/2006/relationships"><Relationship Id="rId1" Target="../media/image1.jpeg" Type="http://schemas.openxmlformats.org/officeDocument/2006/relationships/image"/></Relationships>
</file>

<file path=xl/drawings/drawing1.xml><?xml version="1.0" encoding="utf-8"?>
<xdr:wsDr xmlns:xdr="http://schemas.openxmlformats.org/drawingml/2006/spreadsheetDrawing" xmlns:a="http://schemas.openxmlformats.org/drawingml/2006/main">
  <xdr:twoCellAnchor editAs="oneCell">
    <xdr:from>
      <xdr:col>0</xdr:col>
      <xdr:colOff>107669</xdr:colOff>
      <xdr:row>39</xdr:row>
      <xdr:rowOff>41415</xdr:rowOff>
    </xdr:from>
    <xdr:to>
      <xdr:col>1</xdr:col>
      <xdr:colOff>819828</xdr:colOff>
      <xdr:row>39</xdr:row>
      <xdr:rowOff>899510</xdr:rowOff>
    </xdr:to>
    <xdr:pic>
      <xdr:nvPicPr>
        <xdr:cNvPr id="2" name="Picture 1"/>
        <xdr:cNvPicPr>
          <a:picLocks noChangeAspect="1"/>
        </xdr:cNvPicPr>
      </xdr:nvPicPr>
      <xdr:blipFill>
        <a:blip xmlns:r="http://schemas.openxmlformats.org/officeDocument/2006/relationships" r:embed="rId1"/>
        <a:stretch>
          <a:fillRect/>
        </a:stretch>
      </xdr:blipFill>
      <xdr:spPr>
        <a:xfrm>
          <a:off x="107669" y="4961285"/>
          <a:ext cx="2153333" cy="858095"/>
        </a:xfrm>
        <a:prstGeom prst="rect">
          <a:avLst/>
        </a:prstGeom>
        <a:ln>
          <a:solidFill>
            <a:sysClr val="windowText" lastClr="000000"/>
          </a:solidFill>
        </a:ln>
      </xdr:spPr>
    </xdr:pic>
    <xdr:clientData/>
  </xdr:twoCellAnchor>
  <xdr:twoCellAnchor editAs="oneCell">
    <xdr:from>
      <xdr:col>0</xdr:col>
      <xdr:colOff>74547</xdr:colOff>
      <xdr:row>42</xdr:row>
      <xdr:rowOff>49698</xdr:rowOff>
    </xdr:from>
    <xdr:to>
      <xdr:col>4</xdr:col>
      <xdr:colOff>899290</xdr:colOff>
      <xdr:row>42</xdr:row>
      <xdr:rowOff>1592555</xdr:rowOff>
    </xdr:to>
    <xdr:pic>
      <xdr:nvPicPr>
        <xdr:cNvPr id="3" name="Picture 2"/>
        <xdr:cNvPicPr>
          <a:picLocks noChangeAspect="1"/>
        </xdr:cNvPicPr>
      </xdr:nvPicPr>
      <xdr:blipFill>
        <a:blip xmlns:r="http://schemas.openxmlformats.org/officeDocument/2006/relationships" r:embed="rId2"/>
        <a:stretch>
          <a:fillRect/>
        </a:stretch>
      </xdr:blipFill>
      <xdr:spPr>
        <a:xfrm>
          <a:off x="74547" y="6319633"/>
          <a:ext cx="6614286" cy="1542857"/>
        </a:xfrm>
        <a:prstGeom prst="rect">
          <a:avLst/>
        </a:prstGeom>
        <a:ln>
          <a:solidFill>
            <a:sysClr val="windowText" lastClr="000000"/>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78</xdr:row>
      <xdr:rowOff>30480</xdr:rowOff>
    </xdr:from>
    <xdr:to>
      <xdr:col>15</xdr:col>
      <xdr:colOff>455575</xdr:colOff>
      <xdr:row>123</xdr:row>
      <xdr:rowOff>58141</xdr:rowOff>
    </xdr:to>
    <xdr:pic>
      <xdr:nvPicPr>
        <xdr:cNvPr id="3" name="Picture 2"/>
        <xdr:cNvPicPr>
          <a:picLocks noChangeAspect="1"/>
        </xdr:cNvPicPr>
      </xdr:nvPicPr>
      <xdr:blipFill>
        <a:blip xmlns:r="http://schemas.openxmlformats.org/officeDocument/2006/relationships" r:embed="rId1"/>
        <a:stretch>
          <a:fillRect/>
        </a:stretch>
      </xdr:blipFill>
      <xdr:spPr>
        <a:xfrm>
          <a:off x="0" y="15156180"/>
          <a:ext cx="13226695" cy="757146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565914</xdr:colOff>
      <xdr:row>49</xdr:row>
      <xdr:rowOff>89650</xdr:rowOff>
    </xdr:from>
    <xdr:to>
      <xdr:col>2</xdr:col>
      <xdr:colOff>290249</xdr:colOff>
      <xdr:row>50</xdr:row>
      <xdr:rowOff>289675</xdr:rowOff>
    </xdr:to>
    <xdr:pic>
      <xdr:nvPicPr>
        <xdr:cNvPr id="9" name="Picture 2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2590" y="7541562"/>
          <a:ext cx="60960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166</xdr:row>
      <xdr:rowOff>142875</xdr:rowOff>
    </xdr:from>
    <xdr:to>
      <xdr:col>6</xdr:col>
      <xdr:colOff>119551</xdr:colOff>
      <xdr:row>186</xdr:row>
      <xdr:rowOff>132875</xdr:rowOff>
    </xdr:to>
    <xdr:pic>
      <xdr:nvPicPr>
        <xdr:cNvPr id="2" name="Picture 1"/>
        <xdr:cNvPicPr>
          <a:picLocks noChangeAspect="1"/>
        </xdr:cNvPicPr>
      </xdr:nvPicPr>
      <xdr:blipFill>
        <a:blip xmlns:r="http://schemas.openxmlformats.org/officeDocument/2006/relationships" r:embed="rId2"/>
        <a:stretch>
          <a:fillRect/>
        </a:stretch>
      </xdr:blipFill>
      <xdr:spPr>
        <a:xfrm>
          <a:off x="104775" y="30260925"/>
          <a:ext cx="3990476" cy="3800000"/>
        </a:xfrm>
        <a:prstGeom prst="rect">
          <a:avLst/>
        </a:prstGeom>
      </xdr:spPr>
    </xdr:pic>
    <xdr:clientData/>
  </xdr:twoCellAnchor>
  <xdr:twoCellAnchor>
    <xdr:from>
      <xdr:col>1</xdr:col>
      <xdr:colOff>565914</xdr:colOff>
      <xdr:row>108</xdr:row>
      <xdr:rowOff>89650</xdr:rowOff>
    </xdr:from>
    <xdr:to>
      <xdr:col>2</xdr:col>
      <xdr:colOff>290249</xdr:colOff>
      <xdr:row>109</xdr:row>
      <xdr:rowOff>289675</xdr:rowOff>
    </xdr:to>
    <xdr:pic>
      <xdr:nvPicPr>
        <xdr:cNvPr id="19" name="Picture 2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2590" y="7541562"/>
          <a:ext cx="60960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100869</xdr:colOff>
      <xdr:row>135</xdr:row>
      <xdr:rowOff>179294</xdr:rowOff>
    </xdr:from>
    <xdr:to>
      <xdr:col>3</xdr:col>
      <xdr:colOff>105351</xdr:colOff>
      <xdr:row>138</xdr:row>
      <xdr:rowOff>87966</xdr:rowOff>
    </xdr:to>
    <xdr:pic>
      <xdr:nvPicPr>
        <xdr:cNvPr id="22" name="Picture 2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12810" y="20473147"/>
          <a:ext cx="60960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112060</xdr:colOff>
      <xdr:row>157</xdr:row>
      <xdr:rowOff>24090</xdr:rowOff>
    </xdr:from>
    <xdr:to>
      <xdr:col>3</xdr:col>
      <xdr:colOff>116542</xdr:colOff>
      <xdr:row>159</xdr:row>
      <xdr:rowOff>166404</xdr:rowOff>
    </xdr:to>
    <xdr:pic>
      <xdr:nvPicPr>
        <xdr:cNvPr id="24" name="Picture 2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1" y="25898472"/>
          <a:ext cx="60960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565914</xdr:colOff>
      <xdr:row>78</xdr:row>
      <xdr:rowOff>89650</xdr:rowOff>
    </xdr:from>
    <xdr:to>
      <xdr:col>2</xdr:col>
      <xdr:colOff>290249</xdr:colOff>
      <xdr:row>79</xdr:row>
      <xdr:rowOff>289675</xdr:rowOff>
    </xdr:to>
    <xdr:pic>
      <xdr:nvPicPr>
        <xdr:cNvPr id="31" name="Picture 2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4089" y="8890750"/>
          <a:ext cx="61016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8282</xdr:colOff>
      <xdr:row>44</xdr:row>
      <xdr:rowOff>74552</xdr:rowOff>
    </xdr:from>
    <xdr:to>
      <xdr:col>5</xdr:col>
      <xdr:colOff>532904</xdr:colOff>
      <xdr:row>44</xdr:row>
      <xdr:rowOff>817409</xdr:rowOff>
    </xdr:to>
    <xdr:pic>
      <xdr:nvPicPr>
        <xdr:cNvPr id="4" name="Picture 3"/>
        <xdr:cNvPicPr>
          <a:picLocks noChangeAspect="1"/>
        </xdr:cNvPicPr>
      </xdr:nvPicPr>
      <xdr:blipFill>
        <a:blip xmlns:r="http://schemas.openxmlformats.org/officeDocument/2006/relationships" r:embed="rId3"/>
        <a:stretch>
          <a:fillRect/>
        </a:stretch>
      </xdr:blipFill>
      <xdr:spPr>
        <a:xfrm>
          <a:off x="8282" y="6642661"/>
          <a:ext cx="3961905" cy="742857"/>
        </a:xfrm>
        <a:prstGeom prst="rect">
          <a:avLst/>
        </a:prstGeom>
      </xdr:spPr>
    </xdr:pic>
    <xdr:clientData/>
  </xdr:twoCellAnchor>
  <xdr:twoCellAnchor editAs="oneCell">
    <xdr:from>
      <xdr:col>0</xdr:col>
      <xdr:colOff>0</xdr:colOff>
      <xdr:row>73</xdr:row>
      <xdr:rowOff>57993</xdr:rowOff>
    </xdr:from>
    <xdr:to>
      <xdr:col>5</xdr:col>
      <xdr:colOff>524622</xdr:colOff>
      <xdr:row>73</xdr:row>
      <xdr:rowOff>800850</xdr:rowOff>
    </xdr:to>
    <xdr:pic>
      <xdr:nvPicPr>
        <xdr:cNvPr id="33" name="Picture 32"/>
        <xdr:cNvPicPr>
          <a:picLocks noChangeAspect="1"/>
        </xdr:cNvPicPr>
      </xdr:nvPicPr>
      <xdr:blipFill>
        <a:blip xmlns:r="http://schemas.openxmlformats.org/officeDocument/2006/relationships" r:embed="rId3"/>
        <a:stretch>
          <a:fillRect/>
        </a:stretch>
      </xdr:blipFill>
      <xdr:spPr>
        <a:xfrm>
          <a:off x="0" y="13260471"/>
          <a:ext cx="3961905" cy="742857"/>
        </a:xfrm>
        <a:prstGeom prst="rect">
          <a:avLst/>
        </a:prstGeom>
      </xdr:spPr>
    </xdr:pic>
    <xdr:clientData/>
  </xdr:twoCellAnchor>
  <xdr:twoCellAnchor editAs="oneCell">
    <xdr:from>
      <xdr:col>0</xdr:col>
      <xdr:colOff>0</xdr:colOff>
      <xdr:row>103</xdr:row>
      <xdr:rowOff>57976</xdr:rowOff>
    </xdr:from>
    <xdr:to>
      <xdr:col>5</xdr:col>
      <xdr:colOff>524622</xdr:colOff>
      <xdr:row>103</xdr:row>
      <xdr:rowOff>800833</xdr:rowOff>
    </xdr:to>
    <xdr:pic>
      <xdr:nvPicPr>
        <xdr:cNvPr id="34" name="Picture 33"/>
        <xdr:cNvPicPr>
          <a:picLocks noChangeAspect="1"/>
        </xdr:cNvPicPr>
      </xdr:nvPicPr>
      <xdr:blipFill>
        <a:blip xmlns:r="http://schemas.openxmlformats.org/officeDocument/2006/relationships" r:embed="rId3"/>
        <a:stretch>
          <a:fillRect/>
        </a:stretch>
      </xdr:blipFill>
      <xdr:spPr>
        <a:xfrm>
          <a:off x="0" y="19638063"/>
          <a:ext cx="3961905" cy="742857"/>
        </a:xfrm>
        <a:prstGeom prst="rect">
          <a:avLst/>
        </a:prstGeom>
      </xdr:spPr>
    </xdr:pic>
    <xdr:clientData/>
  </xdr:twoCellAnchor>
  <xdr:twoCellAnchor editAs="oneCell">
    <xdr:from>
      <xdr:col>0</xdr:col>
      <xdr:colOff>8283</xdr:colOff>
      <xdr:row>127</xdr:row>
      <xdr:rowOff>57978</xdr:rowOff>
    </xdr:from>
    <xdr:to>
      <xdr:col>5</xdr:col>
      <xdr:colOff>532905</xdr:colOff>
      <xdr:row>127</xdr:row>
      <xdr:rowOff>800835</xdr:rowOff>
    </xdr:to>
    <xdr:pic>
      <xdr:nvPicPr>
        <xdr:cNvPr id="35" name="Picture 34"/>
        <xdr:cNvPicPr>
          <a:picLocks noChangeAspect="1"/>
        </xdr:cNvPicPr>
      </xdr:nvPicPr>
      <xdr:blipFill>
        <a:blip xmlns:r="http://schemas.openxmlformats.org/officeDocument/2006/relationships" r:embed="rId3"/>
        <a:stretch>
          <a:fillRect/>
        </a:stretch>
      </xdr:blipFill>
      <xdr:spPr>
        <a:xfrm>
          <a:off x="8283" y="26843935"/>
          <a:ext cx="3961905" cy="742857"/>
        </a:xfrm>
        <a:prstGeom prst="rect">
          <a:avLst/>
        </a:prstGeom>
      </xdr:spPr>
    </xdr:pic>
    <xdr:clientData/>
  </xdr:twoCellAnchor>
  <xdr:twoCellAnchor editAs="oneCell">
    <xdr:from>
      <xdr:col>0</xdr:col>
      <xdr:colOff>0</xdr:colOff>
      <xdr:row>147</xdr:row>
      <xdr:rowOff>24848</xdr:rowOff>
    </xdr:from>
    <xdr:to>
      <xdr:col>5</xdr:col>
      <xdr:colOff>524622</xdr:colOff>
      <xdr:row>147</xdr:row>
      <xdr:rowOff>767705</xdr:rowOff>
    </xdr:to>
    <xdr:pic>
      <xdr:nvPicPr>
        <xdr:cNvPr id="36" name="Picture 35"/>
        <xdr:cNvPicPr>
          <a:picLocks noChangeAspect="1"/>
        </xdr:cNvPicPr>
      </xdr:nvPicPr>
      <xdr:blipFill>
        <a:blip xmlns:r="http://schemas.openxmlformats.org/officeDocument/2006/relationships" r:embed="rId3"/>
        <a:stretch>
          <a:fillRect/>
        </a:stretch>
      </xdr:blipFill>
      <xdr:spPr>
        <a:xfrm>
          <a:off x="0" y="31937739"/>
          <a:ext cx="3961905" cy="742857"/>
        </a:xfrm>
        <a:prstGeom prst="rect">
          <a:avLst/>
        </a:prstGeom>
      </xdr:spPr>
    </xdr:pic>
    <xdr:clientData/>
  </xdr:twoCellAnchor>
  <xdr:twoCellAnchor editAs="oneCell">
    <xdr:from>
      <xdr:col>0</xdr:col>
      <xdr:colOff>99391</xdr:colOff>
      <xdr:row>167</xdr:row>
      <xdr:rowOff>57977</xdr:rowOff>
    </xdr:from>
    <xdr:to>
      <xdr:col>6</xdr:col>
      <xdr:colOff>77361</xdr:colOff>
      <xdr:row>171</xdr:row>
      <xdr:rowOff>38834</xdr:rowOff>
    </xdr:to>
    <xdr:pic>
      <xdr:nvPicPr>
        <xdr:cNvPr id="37" name="Picture 36"/>
        <xdr:cNvPicPr>
          <a:picLocks noChangeAspect="1"/>
        </xdr:cNvPicPr>
      </xdr:nvPicPr>
      <xdr:blipFill>
        <a:blip xmlns:r="http://schemas.openxmlformats.org/officeDocument/2006/relationships" r:embed="rId3"/>
        <a:stretch>
          <a:fillRect/>
        </a:stretch>
      </xdr:blipFill>
      <xdr:spPr>
        <a:xfrm>
          <a:off x="99391" y="36841042"/>
          <a:ext cx="3961905" cy="742857"/>
        </a:xfrm>
        <a:prstGeom prst="rect">
          <a:avLst/>
        </a:prstGeom>
      </xdr:spPr>
    </xdr:pic>
    <xdr:clientData/>
  </xdr:twoCellAnchor>
  <xdr:twoCellAnchor editAs="oneCell">
    <xdr:from>
      <xdr:col>0</xdr:col>
      <xdr:colOff>0</xdr:colOff>
      <xdr:row>193</xdr:row>
      <xdr:rowOff>41415</xdr:rowOff>
    </xdr:from>
    <xdr:to>
      <xdr:col>5</xdr:col>
      <xdr:colOff>524622</xdr:colOff>
      <xdr:row>193</xdr:row>
      <xdr:rowOff>784272</xdr:rowOff>
    </xdr:to>
    <xdr:pic>
      <xdr:nvPicPr>
        <xdr:cNvPr id="38" name="Picture 37"/>
        <xdr:cNvPicPr>
          <a:picLocks noChangeAspect="1"/>
        </xdr:cNvPicPr>
      </xdr:nvPicPr>
      <xdr:blipFill>
        <a:blip xmlns:r="http://schemas.openxmlformats.org/officeDocument/2006/relationships" r:embed="rId3"/>
        <a:stretch>
          <a:fillRect/>
        </a:stretch>
      </xdr:blipFill>
      <xdr:spPr>
        <a:xfrm>
          <a:off x="0" y="41752632"/>
          <a:ext cx="3961905" cy="742857"/>
        </a:xfrm>
        <a:prstGeom prst="rect">
          <a:avLst/>
        </a:prstGeom>
      </xdr:spPr>
    </xdr:pic>
    <xdr:clientData/>
  </xdr:twoCellAnchor>
  <xdr:twoCellAnchor editAs="oneCell">
    <xdr:from>
      <xdr:col>0</xdr:col>
      <xdr:colOff>0</xdr:colOff>
      <xdr:row>213</xdr:row>
      <xdr:rowOff>49695</xdr:rowOff>
    </xdr:from>
    <xdr:to>
      <xdr:col>5</xdr:col>
      <xdr:colOff>524622</xdr:colOff>
      <xdr:row>213</xdr:row>
      <xdr:rowOff>792552</xdr:rowOff>
    </xdr:to>
    <xdr:pic>
      <xdr:nvPicPr>
        <xdr:cNvPr id="39" name="Picture 38"/>
        <xdr:cNvPicPr>
          <a:picLocks noChangeAspect="1"/>
        </xdr:cNvPicPr>
      </xdr:nvPicPr>
      <xdr:blipFill>
        <a:blip xmlns:r="http://schemas.openxmlformats.org/officeDocument/2006/relationships" r:embed="rId3"/>
        <a:stretch>
          <a:fillRect/>
        </a:stretch>
      </xdr:blipFill>
      <xdr:spPr>
        <a:xfrm>
          <a:off x="0" y="46589673"/>
          <a:ext cx="3961905" cy="742857"/>
        </a:xfrm>
        <a:prstGeom prst="rect">
          <a:avLst/>
        </a:prstGeom>
      </xdr:spPr>
    </xdr:pic>
    <xdr:clientData/>
  </xdr:twoCellAnchor>
  <xdr:twoCellAnchor editAs="oneCell">
    <xdr:from>
      <xdr:col>0</xdr:col>
      <xdr:colOff>0</xdr:colOff>
      <xdr:row>235</xdr:row>
      <xdr:rowOff>41415</xdr:rowOff>
    </xdr:from>
    <xdr:to>
      <xdr:col>5</xdr:col>
      <xdr:colOff>524622</xdr:colOff>
      <xdr:row>235</xdr:row>
      <xdr:rowOff>784272</xdr:rowOff>
    </xdr:to>
    <xdr:pic>
      <xdr:nvPicPr>
        <xdr:cNvPr id="40" name="Picture 39"/>
        <xdr:cNvPicPr>
          <a:picLocks noChangeAspect="1"/>
        </xdr:cNvPicPr>
      </xdr:nvPicPr>
      <xdr:blipFill>
        <a:blip xmlns:r="http://schemas.openxmlformats.org/officeDocument/2006/relationships" r:embed="rId3"/>
        <a:stretch>
          <a:fillRect/>
        </a:stretch>
      </xdr:blipFill>
      <xdr:spPr>
        <a:xfrm>
          <a:off x="0" y="52006502"/>
          <a:ext cx="3961905" cy="74285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238125</xdr:colOff>
      <xdr:row>243</xdr:row>
      <xdr:rowOff>0</xdr:rowOff>
    </xdr:from>
    <xdr:to>
      <xdr:col>2</xdr:col>
      <xdr:colOff>314325</xdr:colOff>
      <xdr:row>244</xdr:row>
      <xdr:rowOff>38100</xdr:rowOff>
    </xdr:to>
    <xdr:sp macro="" textlink="">
      <xdr:nvSpPr>
        <xdr:cNvPr id="115108" name="Text Box 11"/>
        <xdr:cNvSpPr txBox="1">
          <a:spLocks noChangeArrowheads="1"/>
        </xdr:cNvSpPr>
      </xdr:nvSpPr>
      <xdr:spPr bwMode="auto">
        <a:xfrm>
          <a:off x="1323975" y="4624387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238125</xdr:colOff>
      <xdr:row>243</xdr:row>
      <xdr:rowOff>0</xdr:rowOff>
    </xdr:from>
    <xdr:to>
      <xdr:col>2</xdr:col>
      <xdr:colOff>314325</xdr:colOff>
      <xdr:row>244</xdr:row>
      <xdr:rowOff>38100</xdr:rowOff>
    </xdr:to>
    <xdr:sp macro="" textlink="">
      <xdr:nvSpPr>
        <xdr:cNvPr id="115109" name="Text Box 12"/>
        <xdr:cNvSpPr txBox="1">
          <a:spLocks noChangeArrowheads="1"/>
        </xdr:cNvSpPr>
      </xdr:nvSpPr>
      <xdr:spPr bwMode="auto">
        <a:xfrm>
          <a:off x="1323975" y="4624387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238125</xdr:colOff>
      <xdr:row>243</xdr:row>
      <xdr:rowOff>0</xdr:rowOff>
    </xdr:from>
    <xdr:to>
      <xdr:col>2</xdr:col>
      <xdr:colOff>314325</xdr:colOff>
      <xdr:row>244</xdr:row>
      <xdr:rowOff>38100</xdr:rowOff>
    </xdr:to>
    <xdr:sp macro="" textlink="">
      <xdr:nvSpPr>
        <xdr:cNvPr id="115110" name="Text Box 14"/>
        <xdr:cNvSpPr txBox="1">
          <a:spLocks noChangeArrowheads="1"/>
        </xdr:cNvSpPr>
      </xdr:nvSpPr>
      <xdr:spPr bwMode="auto">
        <a:xfrm>
          <a:off x="1323975" y="4624387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238125</xdr:colOff>
      <xdr:row>243</xdr:row>
      <xdr:rowOff>0</xdr:rowOff>
    </xdr:from>
    <xdr:to>
      <xdr:col>2</xdr:col>
      <xdr:colOff>314325</xdr:colOff>
      <xdr:row>244</xdr:row>
      <xdr:rowOff>38100</xdr:rowOff>
    </xdr:to>
    <xdr:sp macro="" textlink="">
      <xdr:nvSpPr>
        <xdr:cNvPr id="115111" name="Text Box 15"/>
        <xdr:cNvSpPr txBox="1">
          <a:spLocks noChangeArrowheads="1"/>
        </xdr:cNvSpPr>
      </xdr:nvSpPr>
      <xdr:spPr bwMode="auto">
        <a:xfrm>
          <a:off x="1323975" y="4624387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238125</xdr:colOff>
      <xdr:row>243</xdr:row>
      <xdr:rowOff>0</xdr:rowOff>
    </xdr:from>
    <xdr:to>
      <xdr:col>2</xdr:col>
      <xdr:colOff>314325</xdr:colOff>
      <xdr:row>244</xdr:row>
      <xdr:rowOff>38100</xdr:rowOff>
    </xdr:to>
    <xdr:sp macro="" textlink="">
      <xdr:nvSpPr>
        <xdr:cNvPr id="115112" name="Text Box 16"/>
        <xdr:cNvSpPr txBox="1">
          <a:spLocks noChangeArrowheads="1"/>
        </xdr:cNvSpPr>
      </xdr:nvSpPr>
      <xdr:spPr bwMode="auto">
        <a:xfrm>
          <a:off x="1323975" y="4624387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238125</xdr:colOff>
      <xdr:row>243</xdr:row>
      <xdr:rowOff>0</xdr:rowOff>
    </xdr:from>
    <xdr:to>
      <xdr:col>2</xdr:col>
      <xdr:colOff>314325</xdr:colOff>
      <xdr:row>244</xdr:row>
      <xdr:rowOff>38100</xdr:rowOff>
    </xdr:to>
    <xdr:sp macro="" textlink="">
      <xdr:nvSpPr>
        <xdr:cNvPr id="115113" name="Text Box 17"/>
        <xdr:cNvSpPr txBox="1">
          <a:spLocks noChangeArrowheads="1"/>
        </xdr:cNvSpPr>
      </xdr:nvSpPr>
      <xdr:spPr bwMode="auto">
        <a:xfrm>
          <a:off x="1323975" y="4624387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238125</xdr:colOff>
      <xdr:row>243</xdr:row>
      <xdr:rowOff>0</xdr:rowOff>
    </xdr:from>
    <xdr:to>
      <xdr:col>2</xdr:col>
      <xdr:colOff>314325</xdr:colOff>
      <xdr:row>244</xdr:row>
      <xdr:rowOff>38100</xdr:rowOff>
    </xdr:to>
    <xdr:sp macro="" textlink="">
      <xdr:nvSpPr>
        <xdr:cNvPr id="115114" name="Text Box 18"/>
        <xdr:cNvSpPr txBox="1">
          <a:spLocks noChangeArrowheads="1"/>
        </xdr:cNvSpPr>
      </xdr:nvSpPr>
      <xdr:spPr bwMode="auto">
        <a:xfrm>
          <a:off x="1323975" y="4624387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238125</xdr:colOff>
      <xdr:row>253</xdr:row>
      <xdr:rowOff>0</xdr:rowOff>
    </xdr:from>
    <xdr:to>
      <xdr:col>2</xdr:col>
      <xdr:colOff>314325</xdr:colOff>
      <xdr:row>254</xdr:row>
      <xdr:rowOff>38100</xdr:rowOff>
    </xdr:to>
    <xdr:sp macro="" textlink="">
      <xdr:nvSpPr>
        <xdr:cNvPr id="115115" name="Text Box 11"/>
        <xdr:cNvSpPr txBox="1">
          <a:spLocks noChangeArrowheads="1"/>
        </xdr:cNvSpPr>
      </xdr:nvSpPr>
      <xdr:spPr bwMode="auto">
        <a:xfrm>
          <a:off x="1323975" y="4807267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238125</xdr:colOff>
      <xdr:row>253</xdr:row>
      <xdr:rowOff>0</xdr:rowOff>
    </xdr:from>
    <xdr:to>
      <xdr:col>2</xdr:col>
      <xdr:colOff>314325</xdr:colOff>
      <xdr:row>254</xdr:row>
      <xdr:rowOff>38100</xdr:rowOff>
    </xdr:to>
    <xdr:sp macro="" textlink="">
      <xdr:nvSpPr>
        <xdr:cNvPr id="115116" name="Text Box 12"/>
        <xdr:cNvSpPr txBox="1">
          <a:spLocks noChangeArrowheads="1"/>
        </xdr:cNvSpPr>
      </xdr:nvSpPr>
      <xdr:spPr bwMode="auto">
        <a:xfrm>
          <a:off x="1323975" y="4807267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238125</xdr:colOff>
      <xdr:row>253</xdr:row>
      <xdr:rowOff>0</xdr:rowOff>
    </xdr:from>
    <xdr:to>
      <xdr:col>2</xdr:col>
      <xdr:colOff>314325</xdr:colOff>
      <xdr:row>254</xdr:row>
      <xdr:rowOff>38100</xdr:rowOff>
    </xdr:to>
    <xdr:sp macro="" textlink="">
      <xdr:nvSpPr>
        <xdr:cNvPr id="115117" name="Text Box 14"/>
        <xdr:cNvSpPr txBox="1">
          <a:spLocks noChangeArrowheads="1"/>
        </xdr:cNvSpPr>
      </xdr:nvSpPr>
      <xdr:spPr bwMode="auto">
        <a:xfrm>
          <a:off x="1323975" y="4807267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238125</xdr:colOff>
      <xdr:row>253</xdr:row>
      <xdr:rowOff>0</xdr:rowOff>
    </xdr:from>
    <xdr:to>
      <xdr:col>2</xdr:col>
      <xdr:colOff>314325</xdr:colOff>
      <xdr:row>254</xdr:row>
      <xdr:rowOff>38100</xdr:rowOff>
    </xdr:to>
    <xdr:sp macro="" textlink="">
      <xdr:nvSpPr>
        <xdr:cNvPr id="115118" name="Text Box 15"/>
        <xdr:cNvSpPr txBox="1">
          <a:spLocks noChangeArrowheads="1"/>
        </xdr:cNvSpPr>
      </xdr:nvSpPr>
      <xdr:spPr bwMode="auto">
        <a:xfrm>
          <a:off x="1323975" y="4807267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238125</xdr:colOff>
      <xdr:row>253</xdr:row>
      <xdr:rowOff>0</xdr:rowOff>
    </xdr:from>
    <xdr:to>
      <xdr:col>2</xdr:col>
      <xdr:colOff>314325</xdr:colOff>
      <xdr:row>254</xdr:row>
      <xdr:rowOff>38100</xdr:rowOff>
    </xdr:to>
    <xdr:sp macro="" textlink="">
      <xdr:nvSpPr>
        <xdr:cNvPr id="115119" name="Text Box 16"/>
        <xdr:cNvSpPr txBox="1">
          <a:spLocks noChangeArrowheads="1"/>
        </xdr:cNvSpPr>
      </xdr:nvSpPr>
      <xdr:spPr bwMode="auto">
        <a:xfrm>
          <a:off x="1323975" y="4807267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238125</xdr:colOff>
      <xdr:row>253</xdr:row>
      <xdr:rowOff>0</xdr:rowOff>
    </xdr:from>
    <xdr:to>
      <xdr:col>2</xdr:col>
      <xdr:colOff>314325</xdr:colOff>
      <xdr:row>254</xdr:row>
      <xdr:rowOff>38100</xdr:rowOff>
    </xdr:to>
    <xdr:sp macro="" textlink="">
      <xdr:nvSpPr>
        <xdr:cNvPr id="115120" name="Text Box 17"/>
        <xdr:cNvSpPr txBox="1">
          <a:spLocks noChangeArrowheads="1"/>
        </xdr:cNvSpPr>
      </xdr:nvSpPr>
      <xdr:spPr bwMode="auto">
        <a:xfrm>
          <a:off x="1323975" y="4807267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238125</xdr:colOff>
      <xdr:row>253</xdr:row>
      <xdr:rowOff>0</xdr:rowOff>
    </xdr:from>
    <xdr:to>
      <xdr:col>2</xdr:col>
      <xdr:colOff>314325</xdr:colOff>
      <xdr:row>254</xdr:row>
      <xdr:rowOff>38100</xdr:rowOff>
    </xdr:to>
    <xdr:sp macro="" textlink="">
      <xdr:nvSpPr>
        <xdr:cNvPr id="115121" name="Text Box 18"/>
        <xdr:cNvSpPr txBox="1">
          <a:spLocks noChangeArrowheads="1"/>
        </xdr:cNvSpPr>
      </xdr:nvSpPr>
      <xdr:spPr bwMode="auto">
        <a:xfrm>
          <a:off x="1323975" y="4807267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printerSettings/printerSettings2.bin" Type="http://schemas.openxmlformats.org/officeDocument/2006/relationships/printerSettings"/><Relationship Id="rId3" Target="../printerSettings/printerSettings3.bin" Type="http://schemas.openxmlformats.org/officeDocument/2006/relationships/printerSettings"/><Relationship Id="rId4" Target="../customProperty1.bin" Type="http://schemas.openxmlformats.org/officeDocument/2006/relationships/customProperty"/><Relationship Id="rId5" Target="../drawings/vmlDrawing1.vml" Type="http://schemas.openxmlformats.org/officeDocument/2006/relationships/vmlDrawing"/></Relationships>
</file>

<file path=xl/worksheets/_rels/sheet10.xml.rels><?xml version="1.0" encoding="UTF-8" standalone="no"?><Relationships xmlns="http://schemas.openxmlformats.org/package/2006/relationships"><Relationship Id="rId1" Target="../printerSettings/printerSettings26.bin" Type="http://schemas.openxmlformats.org/officeDocument/2006/relationships/printerSettings"/><Relationship Id="rId2" Target="../printerSettings/printerSettings27.bin" Type="http://schemas.openxmlformats.org/officeDocument/2006/relationships/printerSettings"/><Relationship Id="rId3" Target="../printerSettings/printerSettings28.bin" Type="http://schemas.openxmlformats.org/officeDocument/2006/relationships/printerSettings"/><Relationship Id="rId4" Target="../customProperty8.bin" Type="http://schemas.openxmlformats.org/officeDocument/2006/relationships/customProperty"/><Relationship Id="rId5" Target="../drawings/vmlDrawing15.vml" Type="http://schemas.openxmlformats.org/officeDocument/2006/relationships/vmlDrawing"/><Relationship Id="rId6" Target="../drawings/vmlDrawing16.vml" Type="http://schemas.openxmlformats.org/officeDocument/2006/relationships/vmlDrawing"/><Relationship Id="rId7" Target="../comments7.xml" Type="http://schemas.openxmlformats.org/officeDocument/2006/relationships/comments"/></Relationships>
</file>

<file path=xl/worksheets/_rels/sheet11.xml.rels><?xml version="1.0" encoding="UTF-8" standalone="no"?><Relationships xmlns="http://schemas.openxmlformats.org/package/2006/relationships"><Relationship Id="rId1" Target="../printerSettings/printerSettings29.bin" Type="http://schemas.openxmlformats.org/officeDocument/2006/relationships/printerSettings"/><Relationship Id="rId2" Target="../printerSettings/printerSettings30.bin" Type="http://schemas.openxmlformats.org/officeDocument/2006/relationships/printerSettings"/><Relationship Id="rId3" Target="../printerSettings/printerSettings31.bin" Type="http://schemas.openxmlformats.org/officeDocument/2006/relationships/printerSettings"/><Relationship Id="rId4" Target="../customProperty9.bin" Type="http://schemas.openxmlformats.org/officeDocument/2006/relationships/customProperty"/><Relationship Id="rId5" Target="../drawings/vmlDrawing17.vml" Type="http://schemas.openxmlformats.org/officeDocument/2006/relationships/vmlDrawing"/></Relationships>
</file>

<file path=xl/worksheets/_rels/sheet12.xml.rels><?xml version="1.0" encoding="UTF-8" standalone="no"?><Relationships xmlns="http://schemas.openxmlformats.org/package/2006/relationships"><Relationship Id="rId1" Target="../printerSettings/printerSettings32.bin" Type="http://schemas.openxmlformats.org/officeDocument/2006/relationships/printerSettings"/><Relationship Id="rId2" Target="../printerSettings/printerSettings33.bin" Type="http://schemas.openxmlformats.org/officeDocument/2006/relationships/printerSettings"/><Relationship Id="rId3" Target="../printerSettings/printerSettings34.bin" Type="http://schemas.openxmlformats.org/officeDocument/2006/relationships/printerSettings"/><Relationship Id="rId4" Target="../customProperty10.bin" Type="http://schemas.openxmlformats.org/officeDocument/2006/relationships/customProperty"/><Relationship Id="rId5" Target="../drawings/vmlDrawing18.vml" Type="http://schemas.openxmlformats.org/officeDocument/2006/relationships/vmlDrawing"/><Relationship Id="rId6" Target="../drawings/vmlDrawing19.vml" Type="http://schemas.openxmlformats.org/officeDocument/2006/relationships/vmlDrawing"/><Relationship Id="rId7" Target="../comments8.xml" Type="http://schemas.openxmlformats.org/officeDocument/2006/relationships/comments"/></Relationships>
</file>

<file path=xl/worksheets/_rels/sheet13.xml.rels><?xml version="1.0" encoding="UTF-8" standalone="no"?><Relationships xmlns="http://schemas.openxmlformats.org/package/2006/relationships"><Relationship Id="rId1" Target="../printerSettings/printerSettings35.bin" Type="http://schemas.openxmlformats.org/officeDocument/2006/relationships/printerSettings"/><Relationship Id="rId2" Target="../drawings/vmlDrawing20.vml" Type="http://schemas.openxmlformats.org/officeDocument/2006/relationships/vmlDrawing"/></Relationships>
</file>

<file path=xl/worksheets/_rels/sheet14.xml.rels><?xml version="1.0" encoding="UTF-8" standalone="no"?><Relationships xmlns="http://schemas.openxmlformats.org/package/2006/relationships"><Relationship Id="rId1" Target="../printerSettings/printerSettings36.bin" Type="http://schemas.openxmlformats.org/officeDocument/2006/relationships/printerSettings"/><Relationship Id="rId2" Target="../printerSettings/printerSettings37.bin" Type="http://schemas.openxmlformats.org/officeDocument/2006/relationships/printerSettings"/><Relationship Id="rId3" Target="../printerSettings/printerSettings38.bin" Type="http://schemas.openxmlformats.org/officeDocument/2006/relationships/printerSettings"/><Relationship Id="rId4" Target="../customProperty11.bin" Type="http://schemas.openxmlformats.org/officeDocument/2006/relationships/customProperty"/><Relationship Id="rId5" Target="../drawings/drawing1.xml" Type="http://schemas.openxmlformats.org/officeDocument/2006/relationships/drawing"/><Relationship Id="rId6" Target="../drawings/vmlDrawing21.vml" Type="http://schemas.openxmlformats.org/officeDocument/2006/relationships/vmlDrawing"/><Relationship Id="rId7" Target="../drawings/vmlDrawing22.vml" Type="http://schemas.openxmlformats.org/officeDocument/2006/relationships/vmlDrawing"/><Relationship Id="rId8" Target="../comments9.xml" Type="http://schemas.openxmlformats.org/officeDocument/2006/relationships/comments"/></Relationships>
</file>

<file path=xl/worksheets/_rels/sheet15.xml.rels><?xml version="1.0" encoding="UTF-8" standalone="no"?><Relationships xmlns="http://schemas.openxmlformats.org/package/2006/relationships"><Relationship Id="rId1" Target="../printerSettings/printerSettings39.bin" Type="http://schemas.openxmlformats.org/officeDocument/2006/relationships/printerSettings"/><Relationship Id="rId2" Target="../printerSettings/printerSettings40.bin" Type="http://schemas.openxmlformats.org/officeDocument/2006/relationships/printerSettings"/><Relationship Id="rId3" Target="../printerSettings/printerSettings41.bin" Type="http://schemas.openxmlformats.org/officeDocument/2006/relationships/printerSettings"/><Relationship Id="rId4" Target="../customProperty12.bin" Type="http://schemas.openxmlformats.org/officeDocument/2006/relationships/customProperty"/><Relationship Id="rId5" Target="../drawings/vmlDrawing23.vml" Type="http://schemas.openxmlformats.org/officeDocument/2006/relationships/vmlDrawing"/></Relationships>
</file>

<file path=xl/worksheets/_rels/sheet16.xml.rels><?xml version="1.0" encoding="UTF-8" standalone="no"?><Relationships xmlns="http://schemas.openxmlformats.org/package/2006/relationships"><Relationship Id="rId1" Target="../printerSettings/printerSettings42.bin" Type="http://schemas.openxmlformats.org/officeDocument/2006/relationships/printerSettings"/><Relationship Id="rId2" Target="../printerSettings/printerSettings43.bin" Type="http://schemas.openxmlformats.org/officeDocument/2006/relationships/printerSettings"/><Relationship Id="rId3" Target="../printerSettings/printerSettings44.bin" Type="http://schemas.openxmlformats.org/officeDocument/2006/relationships/printerSettings"/><Relationship Id="rId4" Target="../customProperty13.bin" Type="http://schemas.openxmlformats.org/officeDocument/2006/relationships/customProperty"/><Relationship Id="rId5" Target="../drawings/drawing2.xml" Type="http://schemas.openxmlformats.org/officeDocument/2006/relationships/drawing"/><Relationship Id="rId6" Target="../drawings/vmlDrawing24.vml" Type="http://schemas.openxmlformats.org/officeDocument/2006/relationships/vmlDrawing"/></Relationships>
</file>

<file path=xl/worksheets/_rels/sheet17.xml.rels><?xml version="1.0" encoding="UTF-8" standalone="no"?><Relationships xmlns="http://schemas.openxmlformats.org/package/2006/relationships"><Relationship Id="rId1" Target="../printerSettings/printerSettings45.bin" Type="http://schemas.openxmlformats.org/officeDocument/2006/relationships/printerSettings"/><Relationship Id="rId2" Target="../printerSettings/printerSettings46.bin" Type="http://schemas.openxmlformats.org/officeDocument/2006/relationships/printerSettings"/><Relationship Id="rId3" Target="mailto:dcodemo@paypal.com" TargetMode="External" Type="http://schemas.openxmlformats.org/officeDocument/2006/relationships/hyperlink"/><Relationship Id="rId4" Target="http://intranet.compusystems.com/@api/deki/files/2721/=DelayedCaptureInfo.pdf" TargetMode="External" Type="http://schemas.openxmlformats.org/officeDocument/2006/relationships/hyperlink"/><Relationship Id="rId5" Target="../printerSettings/printerSettings47.bin" Type="http://schemas.openxmlformats.org/officeDocument/2006/relationships/printerSettings"/><Relationship Id="rId6" Target="../customProperty14.bin" Type="http://schemas.openxmlformats.org/officeDocument/2006/relationships/customProperty"/><Relationship Id="rId7" Target="../drawings/vmlDrawing25.vml" Type="http://schemas.openxmlformats.org/officeDocument/2006/relationships/vmlDrawing"/></Relationships>
</file>

<file path=xl/worksheets/_rels/sheet18.xml.rels><?xml version="1.0" encoding="UTF-8" standalone="no"?><Relationships xmlns="http://schemas.openxmlformats.org/package/2006/relationships"><Relationship Id="rId1" Target="../printerSettings/printerSettings48.bin" Type="http://schemas.openxmlformats.org/officeDocument/2006/relationships/printerSettings"/><Relationship Id="rId2" Target="../printerSettings/printerSettings49.bin" Type="http://schemas.openxmlformats.org/officeDocument/2006/relationships/printerSettings"/><Relationship Id="rId3" Target="mailto:Frederic.jouhet@onpeak.com" TargetMode="External" Type="http://schemas.openxmlformats.org/officeDocument/2006/relationships/hyperlink"/><Relationship Id="rId4" Target="mailto:michele.harris@onpeak.com" TargetMode="External" Type="http://schemas.openxmlformats.org/officeDocument/2006/relationships/hyperlink"/><Relationship Id="rId5" Target="https://aws.passkey.com/g/39130120" TargetMode="External" Type="http://schemas.openxmlformats.org/officeDocument/2006/relationships/hyperlink"/><Relationship Id="rId6" Target="../printerSettings/printerSettings50.bin" Type="http://schemas.openxmlformats.org/officeDocument/2006/relationships/printerSettings"/><Relationship Id="rId7" Target="../customProperty15.bin" Type="http://schemas.openxmlformats.org/officeDocument/2006/relationships/customProperty"/><Relationship Id="rId8" Target="../drawings/vmlDrawing26.vml" Type="http://schemas.openxmlformats.org/officeDocument/2006/relationships/vmlDrawing"/></Relationships>
</file>

<file path=xl/worksheets/_rels/sheet19.xml.rels><?xml version="1.0" encoding="UTF-8" standalone="no"?><Relationships xmlns="http://schemas.openxmlformats.org/package/2006/relationships"><Relationship Id="rId1" Target="../printerSettings/printerSettings51.bin" Type="http://schemas.openxmlformats.org/officeDocument/2006/relationships/printerSettings"/><Relationship Id="rId2" Target="../printerSettings/printerSettings52.bin" Type="http://schemas.openxmlformats.org/officeDocument/2006/relationships/printerSettings"/><Relationship Id="rId3" Target="../../2014%20PSM/GPS%20GECE%202014/Broadcast%20E-mails/Email%20Broadcast%20Request%20Form%20-%20New%2003_30_11.xls" TargetMode="External" Type="http://schemas.openxmlformats.org/officeDocument/2006/relationships/hyperlink"/><Relationship Id="rId4" Target="../printerSettings/printerSettings53.bin" Type="http://schemas.openxmlformats.org/officeDocument/2006/relationships/printerSettings"/><Relationship Id="rId5" Target="../customProperty16.bin" Type="http://schemas.openxmlformats.org/officeDocument/2006/relationships/customProperty"/><Relationship Id="rId6" Target="../drawings/vmlDrawing27.vml" Type="http://schemas.openxmlformats.org/officeDocument/2006/relationships/vmlDrawing"/></Relationships>
</file>

<file path=xl/worksheets/_rels/sheet2.xml.rels><?xml version="1.0" encoding="UTF-8" standalone="no"?><Relationships xmlns="http://schemas.openxmlformats.org/package/2006/relationships"><Relationship Id="rId1" Target="../printerSettings/printerSettings4.bin" Type="http://schemas.openxmlformats.org/officeDocument/2006/relationships/printerSettings"/><Relationship Id="rId10" Target="mailto:edward.mustafaa@csireg.com" TargetMode="External" Type="http://schemas.openxmlformats.org/officeDocument/2006/relationships/hyperlink"/><Relationship Id="rId11" Target="mailto:breasanders@aast.org" TargetMode="External" Type="http://schemas.openxmlformats.org/officeDocument/2006/relationships/hyperlink"/><Relationship Id="rId12" Target="mailto:smith@facs.org" TargetMode="External" Type="http://schemas.openxmlformats.org/officeDocument/2006/relationships/hyperlink"/><Relationship Id="rId13" Target="mailto:alex.villalobos@csireg.com" TargetMode="External" Type="http://schemas.openxmlformats.org/officeDocument/2006/relationships/hyperlink"/><Relationship Id="rId14" Target="mailto:krivera@enforme.com" TargetMode="External" Type="http://schemas.openxmlformats.org/officeDocument/2006/relationships/hyperlink"/><Relationship Id="rId15" Target="https://www.marriott.com/hotels/travel/daldh-sheraton-dallas-hotel/" TargetMode="External" Type="http://schemas.openxmlformats.org/officeDocument/2006/relationships/hyperlink"/><Relationship Id="rId16" Target="https://docs.google.com/spreadsheets/d/1dSst4zI86AiM6yli-tuLfavDL9VUiz0oi8W922qyCIs/edit" TargetMode="External" Type="http://schemas.openxmlformats.org/officeDocument/2006/relationships/hyperlink"/><Relationship Id="rId17" Target="https://www.compusystems.com/servlet/ar?evt_uid=360" TargetMode="External" Type="http://schemas.openxmlformats.org/officeDocument/2006/relationships/hyperlink"/><Relationship Id="rId18" Target="https://docs.google.com/document/d/10dfEYfty26zpUgexjxdLwKDLdz1FlrnABS-TdO4IKgY/edit" TargetMode="External" Type="http://schemas.openxmlformats.org/officeDocument/2006/relationships/hyperlink"/><Relationship Id="rId19" Target="https://docs.google.com/document/d/1vlmWcBmxcSnFdSL0O9O93PiTxd-Y9ZHrcJHhiv6U2qA/edit" TargetMode="External" Type="http://schemas.openxmlformats.org/officeDocument/2006/relationships/hyperlink"/><Relationship Id="rId2" Target="../printerSettings/printerSettings5.bin" Type="http://schemas.openxmlformats.org/officeDocument/2006/relationships/printerSettings"/><Relationship Id="rId20" Target="mailto:jayaram.muthuramalingam@csireg.com" TargetMode="External" Type="http://schemas.openxmlformats.org/officeDocument/2006/relationships/hyperlink"/><Relationship Id="rId21" Target="https://www.compusystems.com/servlet/ar?evt_uid=360&amp;site=EXH" TargetMode="External" Type="http://schemas.openxmlformats.org/officeDocument/2006/relationships/hyperlink"/><Relationship Id="rId22" Target="https://docs.google.com/spreadsheets/d/1lK5ae4gNVKwUKS9rusf55KPcsjgSkUwVSHJcw5ecIK8/edit" TargetMode="External" Type="http://schemas.openxmlformats.org/officeDocument/2006/relationships/hyperlink"/><Relationship Id="rId23" Target="mailto:joanna.zwolinski@csireg.com" TargetMode="External" Type="http://schemas.openxmlformats.org/officeDocument/2006/relationships/hyperlink"/><Relationship Id="rId24" Target="../printerSettings/printerSettings6.bin" Type="http://schemas.openxmlformats.org/officeDocument/2006/relationships/printerSettings"/><Relationship Id="rId25" Target="../customProperty2.bin" Type="http://schemas.openxmlformats.org/officeDocument/2006/relationships/customProperty"/><Relationship Id="rId26" Target="../drawings/vmlDrawing2.vml" Type="http://schemas.openxmlformats.org/officeDocument/2006/relationships/vmlDrawing"/><Relationship Id="rId27" Target="../comments1.xml" Type="http://schemas.openxmlformats.org/officeDocument/2006/relationships/comments"/><Relationship Id="rId3" Target="http://www.aast.org/AnnualMeeting/Default.aspx" TargetMode="External" Type="http://schemas.openxmlformats.org/officeDocument/2006/relationships/hyperlink"/><Relationship Id="rId4" Target="mailto:ginger.kernkamp@csireg.com" TargetMode="External" Type="http://schemas.openxmlformats.org/officeDocument/2006/relationships/hyperlink"/><Relationship Id="rId5" Target="mailto:dpteam#2@csireg.com" TargetMode="External" Type="http://schemas.openxmlformats.org/officeDocument/2006/relationships/hyperlink"/><Relationship Id="rId6" Target="mailto:Scasad@facs.org" TargetMode="External" Type="http://schemas.openxmlformats.org/officeDocument/2006/relationships/hyperlink"/><Relationship Id="rId7" Target="mailto:michael.sieber@csireg.com" TargetMode="External" Type="http://schemas.openxmlformats.org/officeDocument/2006/relationships/hyperlink"/><Relationship Id="rId8" Target="mailto:jackie.macpherson@csireg.com" TargetMode="External" Type="http://schemas.openxmlformats.org/officeDocument/2006/relationships/hyperlink"/><Relationship Id="rId9" Target="https://www.compusystems.com/servlet/OnsiteRegLoginServlet?evt_uid=360" TargetMode="External" Type="http://schemas.openxmlformats.org/officeDocument/2006/relationships/hyperlink"/></Relationships>
</file>

<file path=xl/worksheets/_rels/sheet20.xml.rels><?xml version="1.0" encoding="UTF-8" standalone="no"?><Relationships xmlns="http://schemas.openxmlformats.org/package/2006/relationships"><Relationship Id="rId1" Target="../printerSettings/printerSettings54.bin" Type="http://schemas.openxmlformats.org/officeDocument/2006/relationships/printerSettings"/><Relationship Id="rId10" Target="../customProperty17.bin" Type="http://schemas.openxmlformats.org/officeDocument/2006/relationships/customProperty"/><Relationship Id="rId11" Target="../drawings/vmlDrawing28.vml" Type="http://schemas.openxmlformats.org/officeDocument/2006/relationships/vmlDrawing"/><Relationship Id="rId2" Target="../printerSettings/printerSettings55.bin" Type="http://schemas.openxmlformats.org/officeDocument/2006/relationships/printerSettings"/><Relationship Id="rId3" Target="http://intranet.compusystems.com/Documentation/Reports_-_Statistical" TargetMode="External" Type="http://schemas.openxmlformats.org/officeDocument/2006/relationships/hyperlink"/><Relationship Id="rId4" Target="http://intranet.compusystems.com/Documentation/Reports_-_Financial" TargetMode="External" Type="http://schemas.openxmlformats.org/officeDocument/2006/relationships/hyperlink"/><Relationship Id="rId5" Target="http://intranet.compusystems.com/Documentation/Reports_-_Statistical" TargetMode="External" Type="http://schemas.openxmlformats.org/officeDocument/2006/relationships/hyperlink"/><Relationship Id="rId6" Target="http://intranet.compusystems.com/Documentation/Reports_-_Lead_Retrieval" TargetMode="External" Type="http://schemas.openxmlformats.org/officeDocument/2006/relationships/hyperlink"/><Relationship Id="rId7" Target="http://intranet.compusystems.com/Documentation/Reports_-_BuyerConnect" TargetMode="External" Type="http://schemas.openxmlformats.org/officeDocument/2006/relationships/hyperlink"/><Relationship Id="rId8" Target="mailto:scasad@facs.org" TargetMode="External" Type="http://schemas.openxmlformats.org/officeDocument/2006/relationships/hyperlink"/><Relationship Id="rId9" Target="../printerSettings/printerSettings56.bin" Type="http://schemas.openxmlformats.org/officeDocument/2006/relationships/printerSettings"/></Relationships>
</file>

<file path=xl/worksheets/_rels/sheet21.xml.rels><?xml version="1.0" encoding="UTF-8" standalone="no"?><Relationships xmlns="http://schemas.openxmlformats.org/package/2006/relationships"><Relationship Id="rId1" Target="../printerSettings/printerSettings57.bin" Type="http://schemas.openxmlformats.org/officeDocument/2006/relationships/printerSettings"/><Relationship Id="rId2" Target="../printerSettings/printerSettings58.bin" Type="http://schemas.openxmlformats.org/officeDocument/2006/relationships/printerSettings"/><Relationship Id="rId3" Target="mailto:scasad@facs.org" TargetMode="External" Type="http://schemas.openxmlformats.org/officeDocument/2006/relationships/hyperlink"/><Relationship Id="rId4" Target="mailto:ginger.kernkamp@csireg.com" TargetMode="External" Type="http://schemas.openxmlformats.org/officeDocument/2006/relationships/hyperlink"/><Relationship Id="rId5" Target="mailto:rking@enforme.com" TargetMode="External" Type="http://schemas.openxmlformats.org/officeDocument/2006/relationships/hyperlink"/><Relationship Id="rId6" Target="../printerSettings/printerSettings59.bin" Type="http://schemas.openxmlformats.org/officeDocument/2006/relationships/printerSettings"/><Relationship Id="rId7" Target="../customProperty18.bin" Type="http://schemas.openxmlformats.org/officeDocument/2006/relationships/customProperty"/><Relationship Id="rId8" Target="../drawings/vmlDrawing29.vml" Type="http://schemas.openxmlformats.org/officeDocument/2006/relationships/vmlDrawing"/></Relationships>
</file>

<file path=xl/worksheets/_rels/sheet22.xml.rels><?xml version="1.0" encoding="UTF-8" standalone="no"?><Relationships xmlns="http://schemas.openxmlformats.org/package/2006/relationships"><Relationship Id="rId1" Target="../printerSettings/printerSettings60.bin" Type="http://schemas.openxmlformats.org/officeDocument/2006/relationships/printerSettings"/><Relationship Id="rId2" Target="../printerSettings/printerSettings61.bin" Type="http://schemas.openxmlformats.org/officeDocument/2006/relationships/printerSettings"/><Relationship Id="rId3" Target="../printerSettings/printerSettings62.bin" Type="http://schemas.openxmlformats.org/officeDocument/2006/relationships/printerSettings"/><Relationship Id="rId4" Target="../customProperty19.bin" Type="http://schemas.openxmlformats.org/officeDocument/2006/relationships/customProperty"/><Relationship Id="rId5" Target="../drawings/vmlDrawing30.vml" Type="http://schemas.openxmlformats.org/officeDocument/2006/relationships/vmlDrawing"/></Relationships>
</file>

<file path=xl/worksheets/_rels/sheet23.xml.rels><?xml version="1.0" encoding="UTF-8" standalone="no"?><Relationships xmlns="http://schemas.openxmlformats.org/package/2006/relationships"><Relationship Id="rId1" Target="../printerSettings/printerSettings63.bin" Type="http://schemas.openxmlformats.org/officeDocument/2006/relationships/printerSettings"/></Relationships>
</file>

<file path=xl/worksheets/_rels/sheet24.xml.rels><?xml version="1.0" encoding="UTF-8" standalone="no"?><Relationships xmlns="http://schemas.openxmlformats.org/package/2006/relationships"><Relationship Id="rId1" Target="http://intranet.compusystems.com/@api/deki/files/2691/=AttExh_Matching_Ver2-0__Setup_Guide.pdf" TargetMode="External" Type="http://schemas.openxmlformats.org/officeDocument/2006/relationships/hyperlink"/><Relationship Id="rId2" Target="http://intranet.compusystems.com/@api/deki/files/2688/=AttExh_Matching_Ver2-0__User_Guide.pdf" TargetMode="External" Type="http://schemas.openxmlformats.org/officeDocument/2006/relationships/hyperlink"/><Relationship Id="rId3" Target="../printerSettings/printerSettings64.bin" Type="http://schemas.openxmlformats.org/officeDocument/2006/relationships/printerSettings"/></Relationships>
</file>

<file path=xl/worksheets/_rels/sheet26.xml.rels><?xml version="1.0" encoding="UTF-8" standalone="no"?><Relationships xmlns="http://schemas.openxmlformats.org/package/2006/relationships"><Relationship Id="rId1" Target="../printerSettings/printerSettings65.bin" Type="http://schemas.openxmlformats.org/officeDocument/2006/relationships/printerSettings"/></Relationships>
</file>

<file path=xl/worksheets/_rels/sheet27.xml.rels><?xml version="1.0" encoding="UTF-8" standalone="no"?><Relationships xmlns="http://schemas.openxmlformats.org/package/2006/relationships"><Relationship Id="rId1" Target="../printerSettings/printerSettings66.bin" Type="http://schemas.openxmlformats.org/officeDocument/2006/relationships/printerSettings"/><Relationship Id="rId2" Target="../drawings/vmlDrawing31.vml" Type="http://schemas.openxmlformats.org/officeDocument/2006/relationships/vmlDrawing"/></Relationships>
</file>

<file path=xl/worksheets/_rels/sheet29.xml.rels><?xml version="1.0" encoding="UTF-8" standalone="no"?><Relationships xmlns="http://schemas.openxmlformats.org/package/2006/relationships"><Relationship Id="rId1" Target="../printerSettings/printerSettings67.bin" Type="http://schemas.openxmlformats.org/officeDocument/2006/relationships/printerSettings"/><Relationship Id="rId2" Target="../printerSettings/printerSettings68.bin" Type="http://schemas.openxmlformats.org/officeDocument/2006/relationships/printerSettings"/><Relationship Id="rId3" Target="../printerSettings/printerSettings69.bin" Type="http://schemas.openxmlformats.org/officeDocument/2006/relationships/printerSettings"/><Relationship Id="rId4" Target="../customProperty20.bin" Type="http://schemas.openxmlformats.org/officeDocument/2006/relationships/customProperty"/><Relationship Id="rId5" Target="../drawings/vmlDrawing32.vml" Type="http://schemas.openxmlformats.org/officeDocument/2006/relationships/vmlDrawing"/><Relationship Id="rId6" Target="../drawings/vmlDrawing33.vml" Type="http://schemas.openxmlformats.org/officeDocument/2006/relationships/vmlDrawing"/><Relationship Id="rId7" Target="../comments10.xml" Type="http://schemas.openxmlformats.org/officeDocument/2006/relationships/comments"/></Relationships>
</file>

<file path=xl/worksheets/_rels/sheet3.xml.rels><?xml version="1.0" encoding="UTF-8" standalone="no"?><Relationships xmlns="http://schemas.openxmlformats.org/package/2006/relationships"><Relationship Id="rId1" Target="../printerSettings/printerSettings7.bin" Type="http://schemas.openxmlformats.org/officeDocument/2006/relationships/printerSettings"/><Relationship Id="rId2" Target="../printerSettings/printerSettings8.bin" Type="http://schemas.openxmlformats.org/officeDocument/2006/relationships/printerSettings"/><Relationship Id="rId3" Target="../printerSettings/printerSettings9.bin" Type="http://schemas.openxmlformats.org/officeDocument/2006/relationships/printerSettings"/><Relationship Id="rId4" Target="../customProperty3.bin" Type="http://schemas.openxmlformats.org/officeDocument/2006/relationships/customProperty"/><Relationship Id="rId5" Target="../drawings/vmlDrawing3.vml" Type="http://schemas.openxmlformats.org/officeDocument/2006/relationships/vmlDrawing"/></Relationships>
</file>

<file path=xl/worksheets/_rels/sheet30.xml.rels><?xml version="1.0" encoding="UTF-8" standalone="no"?><Relationships xmlns="http://schemas.openxmlformats.org/package/2006/relationships"><Relationship Id="rId1" Target="../printerSettings/printerSettings70.bin" Type="http://schemas.openxmlformats.org/officeDocument/2006/relationships/printerSettings"/></Relationships>
</file>

<file path=xl/worksheets/_rels/sheet31.xml.rels><?xml version="1.0" encoding="UTF-8" standalone="no"?><Relationships xmlns="http://schemas.openxmlformats.org/package/2006/relationships"><Relationship Id="rId1" Target="../printerSettings/printerSettings71.bin" Type="http://schemas.openxmlformats.org/officeDocument/2006/relationships/printerSettings"/><Relationship Id="rId2" Target="../printerSettings/printerSettings72.bin" Type="http://schemas.openxmlformats.org/officeDocument/2006/relationships/printerSettings"/><Relationship Id="rId3" Target="file://///SS1/Share/Database%20Programmer%20Shared%20Files/Badge%20Formats/Word%20Badge%20Formats%20-%20PDF-417%20-%20centered.doc" TargetMode="External" Type="http://schemas.openxmlformats.org/officeDocument/2006/relationships/hyperlink"/><Relationship Id="rId4" Target="file://///SS1/Share/Database%20Programmer%20Shared%20Files/Badge%20Formats/Word%20Ticket%20Formats.doc" TargetMode="External" Type="http://schemas.openxmlformats.org/officeDocument/2006/relationships/hyperlink"/><Relationship Id="rId5" Target="../printerSettings/printerSettings73.bin" Type="http://schemas.openxmlformats.org/officeDocument/2006/relationships/printerSettings"/><Relationship Id="rId6" Target="../customProperty21.bin" Type="http://schemas.openxmlformats.org/officeDocument/2006/relationships/customProperty"/><Relationship Id="rId7" Target="../drawings/drawing3.xml" Type="http://schemas.openxmlformats.org/officeDocument/2006/relationships/drawing"/><Relationship Id="rId8" Target="../drawings/vmlDrawing34.vml" Type="http://schemas.openxmlformats.org/officeDocument/2006/relationships/vmlDrawing"/></Relationships>
</file>

<file path=xl/worksheets/_rels/sheet32.xml.rels><?xml version="1.0" encoding="UTF-8" standalone="no"?><Relationships xmlns="http://schemas.openxmlformats.org/package/2006/relationships"><Relationship Id="rId1" Target="../printerSettings/printerSettings74.bin" Type="http://schemas.openxmlformats.org/officeDocument/2006/relationships/printerSettings"/><Relationship Id="rId2" Target="../printerSettings/printerSettings75.bin" Type="http://schemas.openxmlformats.org/officeDocument/2006/relationships/printerSettings"/><Relationship Id="rId3" Target="../printerSettings/printerSettings76.bin" Type="http://schemas.openxmlformats.org/officeDocument/2006/relationships/printerSettings"/><Relationship Id="rId4" Target="../customProperty22.bin" Type="http://schemas.openxmlformats.org/officeDocument/2006/relationships/customProperty"/><Relationship Id="rId5" Target="../drawings/vmlDrawing35.vml" Type="http://schemas.openxmlformats.org/officeDocument/2006/relationships/vmlDrawing"/><Relationship Id="rId6" Target="../drawings/vmlDrawing36.vml" Type="http://schemas.openxmlformats.org/officeDocument/2006/relationships/vmlDrawing"/><Relationship Id="rId7" Target="../comments11.xml" Type="http://schemas.openxmlformats.org/officeDocument/2006/relationships/comments"/></Relationships>
</file>

<file path=xl/worksheets/_rels/sheet33.xml.rels><?xml version="1.0" encoding="UTF-8" standalone="no"?><Relationships xmlns="http://schemas.openxmlformats.org/package/2006/relationships"><Relationship Id="rId1" Target="../printerSettings/printerSettings77.bin" Type="http://schemas.openxmlformats.org/officeDocument/2006/relationships/printerSettings"/><Relationship Id="rId2" Target="../printerSettings/printerSettings78.bin" Type="http://schemas.openxmlformats.org/officeDocument/2006/relationships/printerSettings"/><Relationship Id="rId3" Target="../printerSettings/printerSettings79.bin" Type="http://schemas.openxmlformats.org/officeDocument/2006/relationships/printerSettings"/><Relationship Id="rId4" Target="../customProperty23.bin" Type="http://schemas.openxmlformats.org/officeDocument/2006/relationships/customProperty"/><Relationship Id="rId5" Target="../drawings/vmlDrawing37.vml" Type="http://schemas.openxmlformats.org/officeDocument/2006/relationships/vmlDrawing"/></Relationships>
</file>

<file path=xl/worksheets/_rels/sheet34.xml.rels><?xml version="1.0" encoding="UTF-8" standalone="no"?><Relationships xmlns="http://schemas.openxmlformats.org/package/2006/relationships"><Relationship Id="rId1" Target="../printerSettings/printerSettings80.bin" Type="http://schemas.openxmlformats.org/officeDocument/2006/relationships/printerSettings"/><Relationship Id="rId2" Target="../printerSettings/printerSettings81.bin" Type="http://schemas.openxmlformats.org/officeDocument/2006/relationships/printerSettings"/><Relationship Id="rId3" Target="../printerSettings/printerSettings82.bin" Type="http://schemas.openxmlformats.org/officeDocument/2006/relationships/printerSettings"/><Relationship Id="rId4" Target="../customProperty24.bin" Type="http://schemas.openxmlformats.org/officeDocument/2006/relationships/customProperty"/><Relationship Id="rId5" Target="../drawings/vmlDrawing38.vml" Type="http://schemas.openxmlformats.org/officeDocument/2006/relationships/vmlDrawing"/></Relationships>
</file>

<file path=xl/worksheets/_rels/sheet35.xml.rels><?xml version="1.0" encoding="UTF-8" standalone="no"?><Relationships xmlns="http://schemas.openxmlformats.org/package/2006/relationships"><Relationship Id="rId1" Target="../printerSettings/printerSettings83.bin" Type="http://schemas.openxmlformats.org/officeDocument/2006/relationships/printerSettings"/><Relationship Id="rId2" Target="../printerSettings/printerSettings84.bin" Type="http://schemas.openxmlformats.org/officeDocument/2006/relationships/printerSettings"/><Relationship Id="rId3" Target="../printerSettings/printerSettings85.bin" Type="http://schemas.openxmlformats.org/officeDocument/2006/relationships/printerSettings"/><Relationship Id="rId4" Target="../drawings/vmlDrawing39.vml" Type="http://schemas.openxmlformats.org/officeDocument/2006/relationships/vmlDrawing"/></Relationships>
</file>

<file path=xl/worksheets/_rels/sheet36.xml.rels><?xml version="1.0" encoding="UTF-8" standalone="no"?><Relationships xmlns="http://schemas.openxmlformats.org/package/2006/relationships"><Relationship Id="rId1" Target="../printerSettings/printerSettings86.bin" Type="http://schemas.openxmlformats.org/officeDocument/2006/relationships/printerSettings"/><Relationship Id="rId2" Target="../printerSettings/printerSettings87.bin" Type="http://schemas.openxmlformats.org/officeDocument/2006/relationships/printerSettings"/><Relationship Id="rId3" Target="../printerSettings/printerSettings88.bin" Type="http://schemas.openxmlformats.org/officeDocument/2006/relationships/printerSettings"/><Relationship Id="rId4" Target="../drawings/vmlDrawing40.vml" Type="http://schemas.openxmlformats.org/officeDocument/2006/relationships/vmlDrawing"/><Relationship Id="rId5" Target="../drawings/vmlDrawing41.vml" Type="http://schemas.openxmlformats.org/officeDocument/2006/relationships/vmlDrawing"/><Relationship Id="rId6" Target="../comments12.xml" Type="http://schemas.openxmlformats.org/officeDocument/2006/relationships/comments"/></Relationships>
</file>

<file path=xl/worksheets/_rels/sheet37.xml.rels><?xml version="1.0" encoding="UTF-8" standalone="no"?><Relationships xmlns="http://schemas.openxmlformats.org/package/2006/relationships"><Relationship Id="rId1" Target="../printerSettings/printerSettings89.bin" Type="http://schemas.openxmlformats.org/officeDocument/2006/relationships/printerSettings"/><Relationship Id="rId2" Target="../printerSettings/printerSettings90.bin" Type="http://schemas.openxmlformats.org/officeDocument/2006/relationships/printerSettings"/><Relationship Id="rId3" Target="http://intranet.compusystems.com/@api/deki/files/2734/=Voucher_Exchange__Technical_Guide.pdf" TargetMode="External" Type="http://schemas.openxmlformats.org/officeDocument/2006/relationships/hyperlink"/><Relationship Id="rId4" Target="../printerSettings/printerSettings91.bin" Type="http://schemas.openxmlformats.org/officeDocument/2006/relationships/printerSettings"/><Relationship Id="rId5" Target="../customProperty25.bin" Type="http://schemas.openxmlformats.org/officeDocument/2006/relationships/customProperty"/><Relationship Id="rId6" Target="../drawings/drawing4.xml" Type="http://schemas.openxmlformats.org/officeDocument/2006/relationships/drawing"/><Relationship Id="rId7" Target="../drawings/vmlDrawing42.vml" Type="http://schemas.openxmlformats.org/officeDocument/2006/relationships/vmlDrawing"/><Relationship Id="rId8" Target="../drawings/vmlDrawing43.vml" Type="http://schemas.openxmlformats.org/officeDocument/2006/relationships/vmlDrawing"/><Relationship Id="rId9" Target="../comments13.xml" Type="http://schemas.openxmlformats.org/officeDocument/2006/relationships/comments"/></Relationships>
</file>

<file path=xl/worksheets/_rels/sheet38.xml.rels><?xml version="1.0" encoding="UTF-8" standalone="no"?><Relationships xmlns="http://schemas.openxmlformats.org/package/2006/relationships"><Relationship Id="rId1" Target="../printerSettings/printerSettings92.bin" Type="http://schemas.openxmlformats.org/officeDocument/2006/relationships/printerSettings"/></Relationships>
</file>

<file path=xl/worksheets/_rels/sheet39.xml.rels><?xml version="1.0" encoding="UTF-8" standalone="no"?><Relationships xmlns="http://schemas.openxmlformats.org/package/2006/relationships"><Relationship Id="rId1" Target="../customProperty26.bin" Type="http://schemas.openxmlformats.org/officeDocument/2006/relationships/customProperty"/></Relationships>
</file>

<file path=xl/worksheets/_rels/sheet4.xml.rels><?xml version="1.0" encoding="UTF-8" standalone="no"?><Relationships xmlns="http://schemas.openxmlformats.org/package/2006/relationships"><Relationship Id="rId1" Target="../printerSettings/printerSettings10.bin" Type="http://schemas.openxmlformats.org/officeDocument/2006/relationships/printerSettings"/><Relationship Id="rId2" Target="../printerSettings/printerSettings11.bin" Type="http://schemas.openxmlformats.org/officeDocument/2006/relationships/printerSettings"/><Relationship Id="rId3" Target="../AppData/Roaming/Show%20Process/Phase%202%20-%20Copied%20to%20Portal/Phase2_CS%20Go%20Live%20Checklist%20Template.doc" TargetMode="External" Type="http://schemas.openxmlformats.org/officeDocument/2006/relationships/hyperlink"/><Relationship Id="rId4" Target="../printerSettings/printerSettings12.bin" Type="http://schemas.openxmlformats.org/officeDocument/2006/relationships/printerSettings"/><Relationship Id="rId5" Target="../customProperty4.bin" Type="http://schemas.openxmlformats.org/officeDocument/2006/relationships/customProperty"/><Relationship Id="rId6" Target="../drawings/vmlDrawing4.vml" Type="http://schemas.openxmlformats.org/officeDocument/2006/relationships/vmlDrawing"/></Relationships>
</file>

<file path=xl/worksheets/_rels/sheet40.xml.rels><?xml version="1.0" encoding="UTF-8" standalone="no"?><Relationships xmlns="http://schemas.openxmlformats.org/package/2006/relationships"><Relationship Id="rId1" Target="../printerSettings/printerSettings93.bin" Type="http://schemas.openxmlformats.org/officeDocument/2006/relationships/printerSettings"/></Relationships>
</file>

<file path=xl/worksheets/_rels/sheet5.xml.rels><?xml version="1.0" encoding="UTF-8" standalone="no"?><Relationships xmlns="http://schemas.openxmlformats.org/package/2006/relationships"><Relationship Id="rId1" Target="../printerSettings/printerSettings13.bin" Type="http://schemas.openxmlformats.org/officeDocument/2006/relationships/printerSettings"/><Relationship Id="rId2" Target="../drawings/vmlDrawing5.vml" Type="http://schemas.openxmlformats.org/officeDocument/2006/relationships/vmlDrawing"/><Relationship Id="rId3" Target="../drawings/vmlDrawing6.vml" Type="http://schemas.openxmlformats.org/officeDocument/2006/relationships/vmlDrawing"/><Relationship Id="rId4" Target="../comments2.xml" Type="http://schemas.openxmlformats.org/officeDocument/2006/relationships/comments"/></Relationships>
</file>

<file path=xl/worksheets/_rels/sheet6.xml.rels><?xml version="1.0" encoding="UTF-8" standalone="no"?><Relationships xmlns="http://schemas.openxmlformats.org/package/2006/relationships"><Relationship Id="rId1" Target="../printerSettings/printerSettings14.bin" Type="http://schemas.openxmlformats.org/officeDocument/2006/relationships/printerSettings"/><Relationship Id="rId2" Target="../printerSettings/printerSettings15.bin" Type="http://schemas.openxmlformats.org/officeDocument/2006/relationships/printerSettings"/><Relationship Id="rId3" Target="../printerSettings/printerSettings16.bin" Type="http://schemas.openxmlformats.org/officeDocument/2006/relationships/printerSettings"/><Relationship Id="rId4" Target="../customProperty5.bin" Type="http://schemas.openxmlformats.org/officeDocument/2006/relationships/customProperty"/><Relationship Id="rId5" Target="../drawings/vmlDrawing7.vml" Type="http://schemas.openxmlformats.org/officeDocument/2006/relationships/vmlDrawing"/><Relationship Id="rId6" Target="../drawings/vmlDrawing8.vml" Type="http://schemas.openxmlformats.org/officeDocument/2006/relationships/vmlDrawing"/><Relationship Id="rId7" Target="../comments3.xml" Type="http://schemas.openxmlformats.org/officeDocument/2006/relationships/comments"/></Relationships>
</file>

<file path=xl/worksheets/_rels/sheet7.xml.rels><?xml version="1.0" encoding="UTF-8" standalone="no"?><Relationships xmlns="http://schemas.openxmlformats.org/package/2006/relationships"><Relationship Id="rId1" Target="../printerSettings/printerSettings17.bin" Type="http://schemas.openxmlformats.org/officeDocument/2006/relationships/printerSettings"/><Relationship Id="rId2" Target="../printerSettings/printerSettings18.bin" Type="http://schemas.openxmlformats.org/officeDocument/2006/relationships/printerSettings"/><Relationship Id="rId3" Target="../printerSettings/printerSettings19.bin" Type="http://schemas.openxmlformats.org/officeDocument/2006/relationships/printerSettings"/><Relationship Id="rId4" Target="../drawings/vmlDrawing9.vml" Type="http://schemas.openxmlformats.org/officeDocument/2006/relationships/vmlDrawing"/><Relationship Id="rId5" Target="../drawings/vmlDrawing10.vml" Type="http://schemas.openxmlformats.org/officeDocument/2006/relationships/vmlDrawing"/><Relationship Id="rId6" Target="../comments4.xml" Type="http://schemas.openxmlformats.org/officeDocument/2006/relationships/comments"/></Relationships>
</file>

<file path=xl/worksheets/_rels/sheet8.xml.rels><?xml version="1.0" encoding="UTF-8" standalone="no"?><Relationships xmlns="http://schemas.openxmlformats.org/package/2006/relationships"><Relationship Id="rId1" Target="../printerSettings/printerSettings20.bin" Type="http://schemas.openxmlformats.org/officeDocument/2006/relationships/printerSettings"/><Relationship Id="rId2" Target="../printerSettings/printerSettings21.bin" Type="http://schemas.openxmlformats.org/officeDocument/2006/relationships/printerSettings"/><Relationship Id="rId3" Target="../printerSettings/printerSettings22.bin" Type="http://schemas.openxmlformats.org/officeDocument/2006/relationships/printerSettings"/><Relationship Id="rId4" Target="../customProperty6.bin" Type="http://schemas.openxmlformats.org/officeDocument/2006/relationships/customProperty"/><Relationship Id="rId5" Target="../drawings/vmlDrawing11.vml" Type="http://schemas.openxmlformats.org/officeDocument/2006/relationships/vmlDrawing"/><Relationship Id="rId6" Target="../drawings/vmlDrawing12.vml" Type="http://schemas.openxmlformats.org/officeDocument/2006/relationships/vmlDrawing"/><Relationship Id="rId7" Target="../comments5.xml" Type="http://schemas.openxmlformats.org/officeDocument/2006/relationships/comments"/></Relationships>
</file>

<file path=xl/worksheets/_rels/sheet9.xml.rels><?xml version="1.0" encoding="UTF-8" standalone="no"?><Relationships xmlns="http://schemas.openxmlformats.org/package/2006/relationships"><Relationship Id="rId1" Target="../printerSettings/printerSettings23.bin" Type="http://schemas.openxmlformats.org/officeDocument/2006/relationships/printerSettings"/><Relationship Id="rId2" Target="../printerSettings/printerSettings24.bin" Type="http://schemas.openxmlformats.org/officeDocument/2006/relationships/printerSettings"/><Relationship Id="rId3" Target="../printerSettings/printerSettings25.bin" Type="http://schemas.openxmlformats.org/officeDocument/2006/relationships/printerSettings"/><Relationship Id="rId4" Target="../customProperty7.bin" Type="http://schemas.openxmlformats.org/officeDocument/2006/relationships/customProperty"/><Relationship Id="rId5" Target="../drawings/vmlDrawing13.vml" Type="http://schemas.openxmlformats.org/officeDocument/2006/relationships/vmlDrawing"/><Relationship Id="rId6" Target="../drawings/vmlDrawing14.vml" Type="http://schemas.openxmlformats.org/officeDocument/2006/relationships/vmlDrawing"/><Relationship Id="rId7" Target="../comments6.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0070C0"/>
  </sheetPr>
  <dimension ref="A1:G48"/>
  <sheetViews>
    <sheetView zoomScaleNormal="100" workbookViewId="0">
      <selection activeCell="B29" sqref="B29"/>
    </sheetView>
  </sheetViews>
  <sheetFormatPr defaultColWidth="5.7109375" defaultRowHeight="12.75" x14ac:dyDescent="0.2"/>
  <cols>
    <col min="1" max="1" width="36.140625" customWidth="1"/>
    <col min="2" max="2" width="58.7109375" customWidth="1"/>
  </cols>
  <sheetData>
    <row r="1" spans="1:7" s="35" customFormat="1" ht="21.75" customHeight="1" x14ac:dyDescent="0.2">
      <c r="A1" s="1183" t="s">
        <v>58</v>
      </c>
      <c r="B1" s="1184"/>
    </row>
    <row r="3" spans="1:7" s="83" customFormat="1" ht="14.25" customHeight="1" x14ac:dyDescent="0.2">
      <c r="A3" s="102" t="s">
        <v>478</v>
      </c>
      <c r="C3"/>
      <c r="D3"/>
      <c r="E3"/>
      <c r="F3"/>
      <c r="G3"/>
    </row>
    <row r="4" spans="1:7" s="83" customFormat="1" ht="14.25" customHeight="1" x14ac:dyDescent="0.2">
      <c r="A4" s="271" t="s">
        <v>891</v>
      </c>
      <c r="B4" s="630" t="s">
        <v>91</v>
      </c>
    </row>
    <row r="5" spans="1:7" s="83" customFormat="1" ht="14.25" customHeight="1" x14ac:dyDescent="0.2">
      <c r="A5" s="271" t="s">
        <v>1468</v>
      </c>
      <c r="B5"/>
      <c r="C5"/>
      <c r="D5"/>
      <c r="E5"/>
      <c r="F5"/>
      <c r="G5"/>
    </row>
    <row r="6" spans="1:7" s="83" customFormat="1" ht="14.25" customHeight="1" x14ac:dyDescent="0.2">
      <c r="A6" s="271" t="s">
        <v>1466</v>
      </c>
    </row>
    <row r="7" spans="1:7" s="83" customFormat="1" ht="14.25" customHeight="1" x14ac:dyDescent="0.2">
      <c r="A7" s="271" t="s">
        <v>81</v>
      </c>
      <c r="B7"/>
      <c r="C7"/>
      <c r="D7"/>
      <c r="E7"/>
      <c r="F7"/>
      <c r="G7"/>
    </row>
    <row r="8" spans="1:7" s="83" customFormat="1" ht="14.25" customHeight="1" x14ac:dyDescent="0.2">
      <c r="A8" s="271" t="s">
        <v>60</v>
      </c>
    </row>
    <row r="9" spans="1:7" s="83" customFormat="1" ht="14.25" customHeight="1" x14ac:dyDescent="0.2">
      <c r="A9" s="271" t="s">
        <v>1464</v>
      </c>
    </row>
    <row r="10" spans="1:7" s="83" customFormat="1" ht="14.25" customHeight="1" x14ac:dyDescent="0.2">
      <c r="A10" s="605" t="s">
        <v>1471</v>
      </c>
      <c r="B10" s="630" t="s">
        <v>91</v>
      </c>
    </row>
    <row r="11" spans="1:7" s="83" customFormat="1" ht="14.25" customHeight="1" x14ac:dyDescent="0.2">
      <c r="A11" s="271" t="s">
        <v>98</v>
      </c>
      <c r="B11" s="630" t="s">
        <v>91</v>
      </c>
    </row>
    <row r="12" spans="1:7" s="83" customFormat="1" ht="14.25" customHeight="1" x14ac:dyDescent="0.2">
      <c r="A12" s="271" t="s">
        <v>1465</v>
      </c>
      <c r="B12" s="630" t="s">
        <v>91</v>
      </c>
    </row>
    <row r="13" spans="1:7" s="83" customFormat="1" ht="14.25" customHeight="1" x14ac:dyDescent="0.2">
      <c r="A13" s="271" t="s">
        <v>986</v>
      </c>
      <c r="B13"/>
      <c r="C13"/>
      <c r="D13"/>
      <c r="E13"/>
      <c r="F13"/>
      <c r="G13"/>
    </row>
    <row r="14" spans="1:7" s="83" customFormat="1" ht="14.25" customHeight="1" x14ac:dyDescent="0.2">
      <c r="A14" s="272" t="s">
        <v>161</v>
      </c>
      <c r="B14" s="630" t="s">
        <v>91</v>
      </c>
    </row>
    <row r="15" spans="1:7" s="83" customFormat="1" ht="14.25" customHeight="1" x14ac:dyDescent="0.2">
      <c r="A15" s="271" t="s">
        <v>141</v>
      </c>
    </row>
    <row r="16" spans="1:7" s="450" customFormat="1" x14ac:dyDescent="0.2">
      <c r="A16" s="453" t="s">
        <v>1683</v>
      </c>
    </row>
    <row r="17" spans="1:7" s="83" customFormat="1" ht="14.25" customHeight="1" x14ac:dyDescent="0.2">
      <c r="A17" s="271" t="s">
        <v>1461</v>
      </c>
    </row>
    <row r="18" spans="1:7" s="83" customFormat="1" ht="14.25" customHeight="1" x14ac:dyDescent="0.2">
      <c r="A18" s="271" t="s">
        <v>87</v>
      </c>
      <c r="B18" s="630" t="s">
        <v>91</v>
      </c>
      <c r="C18" s="456"/>
      <c r="D18" s="456"/>
      <c r="E18" s="456"/>
      <c r="F18" s="456"/>
      <c r="G18" s="456"/>
    </row>
    <row r="19" spans="1:7" s="83" customFormat="1" ht="14.25" customHeight="1" x14ac:dyDescent="0.2">
      <c r="A19" s="271" t="s">
        <v>883</v>
      </c>
      <c r="B19"/>
      <c r="C19"/>
      <c r="D19"/>
      <c r="E19"/>
      <c r="F19"/>
      <c r="G19"/>
    </row>
    <row r="20" spans="1:7" s="83" customFormat="1" ht="14.25" customHeight="1" x14ac:dyDescent="0.2">
      <c r="A20" s="271" t="s">
        <v>1470</v>
      </c>
      <c r="B20" s="450"/>
      <c r="C20" s="450"/>
      <c r="D20" s="450"/>
      <c r="E20" s="450"/>
      <c r="F20" s="450"/>
      <c r="G20" s="450"/>
    </row>
    <row r="21" spans="1:7" s="83" customFormat="1" ht="14.25" customHeight="1" x14ac:dyDescent="0.2">
      <c r="A21" s="271" t="s">
        <v>1472</v>
      </c>
    </row>
    <row r="22" spans="1:7" s="83" customFormat="1" ht="14.25" customHeight="1" x14ac:dyDescent="0.2">
      <c r="A22" s="271" t="s">
        <v>1467</v>
      </c>
      <c r="B22" s="456"/>
      <c r="C22" s="456"/>
      <c r="D22" s="456"/>
      <c r="E22" s="456"/>
      <c r="F22" s="456"/>
      <c r="G22" s="456"/>
    </row>
    <row r="23" spans="1:7" s="83" customFormat="1" ht="14.25" customHeight="1" x14ac:dyDescent="0.2">
      <c r="A23" s="271" t="s">
        <v>1075</v>
      </c>
      <c r="B23" s="630" t="s">
        <v>91</v>
      </c>
      <c r="C23" s="450"/>
      <c r="D23" s="450"/>
      <c r="E23" s="450"/>
      <c r="F23" s="450"/>
      <c r="G23" s="450"/>
    </row>
    <row r="24" spans="1:7" s="83" customFormat="1" ht="14.25" customHeight="1" x14ac:dyDescent="0.2">
      <c r="A24" s="271" t="s">
        <v>914</v>
      </c>
      <c r="B24" s="630"/>
    </row>
    <row r="25" spans="1:7" s="607" customFormat="1" ht="14.25" customHeight="1" x14ac:dyDescent="0.2">
      <c r="A25" s="271" t="s">
        <v>1883</v>
      </c>
      <c r="B25" s="630" t="s">
        <v>91</v>
      </c>
    </row>
    <row r="26" spans="1:7" s="83" customFormat="1" ht="14.25" customHeight="1" x14ac:dyDescent="0.2">
      <c r="A26" s="271" t="s">
        <v>1460</v>
      </c>
    </row>
    <row r="27" spans="1:7" s="83" customFormat="1" ht="14.25" customHeight="1" x14ac:dyDescent="0.2">
      <c r="A27" s="605" t="s">
        <v>767</v>
      </c>
    </row>
    <row r="28" spans="1:7" s="83" customFormat="1" ht="14.25" customHeight="1" x14ac:dyDescent="0.2">
      <c r="A28" s="271" t="s">
        <v>1463</v>
      </c>
    </row>
    <row r="29" spans="1:7" s="456" customFormat="1" ht="14.25" customHeight="1" x14ac:dyDescent="0.2">
      <c r="A29" s="271" t="s">
        <v>149</v>
      </c>
      <c r="B29" s="834" t="s">
        <v>91</v>
      </c>
    </row>
    <row r="30" spans="1:7" s="399" customFormat="1" x14ac:dyDescent="0.2">
      <c r="A30" s="407" t="s">
        <v>1575</v>
      </c>
      <c r="B30" s="622" t="s">
        <v>91</v>
      </c>
    </row>
    <row r="31" spans="1:7" s="438" customFormat="1" x14ac:dyDescent="0.2">
      <c r="A31" s="439" t="s">
        <v>1639</v>
      </c>
      <c r="B31" s="701" t="s">
        <v>91</v>
      </c>
    </row>
    <row r="32" spans="1:7" s="443" customFormat="1" ht="14.25" customHeight="1" x14ac:dyDescent="0.2">
      <c r="A32" s="271" t="s">
        <v>137</v>
      </c>
      <c r="B32" s="83"/>
      <c r="C32" s="83"/>
      <c r="D32" s="83"/>
      <c r="E32" s="83"/>
      <c r="F32" s="83"/>
      <c r="G32" s="83"/>
    </row>
    <row r="33" spans="1:7" s="456" customFormat="1" ht="14.25" customHeight="1" x14ac:dyDescent="0.2">
      <c r="A33" s="271" t="s">
        <v>1462</v>
      </c>
      <c r="B33" s="83"/>
      <c r="C33" s="83"/>
      <c r="D33" s="83"/>
      <c r="E33" s="83"/>
      <c r="F33" s="83"/>
      <c r="G33" s="83"/>
    </row>
    <row r="34" spans="1:7" s="606" customFormat="1" x14ac:dyDescent="0.2">
      <c r="A34" s="605" t="s">
        <v>1897</v>
      </c>
      <c r="B34" s="701"/>
    </row>
    <row r="35" spans="1:7" ht="14.25" customHeight="1" x14ac:dyDescent="0.2">
      <c r="A35" s="271" t="s">
        <v>79</v>
      </c>
      <c r="B35" s="456"/>
      <c r="C35" s="456"/>
      <c r="D35" s="456"/>
      <c r="E35" s="456"/>
      <c r="F35" s="456"/>
      <c r="G35" s="456"/>
    </row>
    <row r="36" spans="1:7" ht="14.25" customHeight="1" x14ac:dyDescent="0.2">
      <c r="A36" s="271" t="s">
        <v>769</v>
      </c>
      <c r="B36" s="443"/>
      <c r="C36" s="83"/>
      <c r="D36" s="83"/>
      <c r="E36" s="83"/>
      <c r="F36" s="83"/>
      <c r="G36" s="83"/>
    </row>
    <row r="37" spans="1:7" x14ac:dyDescent="0.2">
      <c r="A37" s="453" t="s">
        <v>1577</v>
      </c>
      <c r="C37" s="450"/>
      <c r="D37" s="450"/>
      <c r="E37" s="450"/>
      <c r="F37" s="450"/>
      <c r="G37" s="450"/>
    </row>
    <row r="38" spans="1:7" ht="14.25" customHeight="1" x14ac:dyDescent="0.2">
      <c r="A38" s="271" t="s">
        <v>140</v>
      </c>
      <c r="B38" s="456"/>
      <c r="C38" s="443"/>
      <c r="D38" s="443"/>
      <c r="E38" s="443"/>
      <c r="F38" s="443"/>
      <c r="G38" s="443"/>
    </row>
    <row r="39" spans="1:7" ht="14.25" customHeight="1" x14ac:dyDescent="0.2">
      <c r="A39" s="271" t="s">
        <v>1469</v>
      </c>
      <c r="B39" s="701" t="s">
        <v>91</v>
      </c>
      <c r="C39" s="456"/>
      <c r="D39" s="456"/>
      <c r="E39" s="456"/>
      <c r="F39" s="456"/>
      <c r="G39" s="456"/>
    </row>
    <row r="40" spans="1:7" ht="14.25" customHeight="1" x14ac:dyDescent="0.2">
      <c r="A40" s="271" t="s">
        <v>221</v>
      </c>
      <c r="C40" s="360"/>
      <c r="D40" s="360"/>
      <c r="E40" s="360"/>
      <c r="F40" s="360"/>
      <c r="G40" s="360"/>
    </row>
    <row r="41" spans="1:7" ht="14.25" customHeight="1" x14ac:dyDescent="0.2">
      <c r="A41" s="453" t="s">
        <v>1475</v>
      </c>
      <c r="C41" s="450"/>
      <c r="D41" s="450"/>
      <c r="E41" s="450"/>
      <c r="F41" s="450"/>
      <c r="G41" s="450"/>
    </row>
    <row r="42" spans="1:7" ht="14.25" customHeight="1" x14ac:dyDescent="0.2">
      <c r="A42" s="272" t="s">
        <v>95</v>
      </c>
      <c r="C42" s="456"/>
      <c r="D42" s="456"/>
      <c r="E42" s="456"/>
      <c r="F42" s="456"/>
      <c r="G42" s="456"/>
    </row>
    <row r="43" spans="1:7" ht="14.25" customHeight="1" x14ac:dyDescent="0.2">
      <c r="A43" s="271" t="s">
        <v>766</v>
      </c>
      <c r="C43" s="456"/>
      <c r="D43" s="456"/>
      <c r="E43" s="456"/>
      <c r="F43" s="456"/>
      <c r="G43" s="456"/>
    </row>
    <row r="44" spans="1:7" ht="14.25" customHeight="1" x14ac:dyDescent="0.2">
      <c r="A44" s="271" t="s">
        <v>209</v>
      </c>
    </row>
    <row r="45" spans="1:7" ht="14.25" customHeight="1" x14ac:dyDescent="0.2">
      <c r="A45" s="271" t="s">
        <v>457</v>
      </c>
    </row>
    <row r="46" spans="1:7" ht="14.25" customHeight="1" x14ac:dyDescent="0.2">
      <c r="A46" s="271" t="s">
        <v>620</v>
      </c>
    </row>
    <row r="47" spans="1:7" ht="14.25" customHeight="1" x14ac:dyDescent="0.2">
      <c r="A47" s="271" t="s">
        <v>1459</v>
      </c>
    </row>
    <row r="48" spans="1:7" x14ac:dyDescent="0.2">
      <c r="A48" s="605" t="s">
        <v>1896</v>
      </c>
    </row>
  </sheetData>
  <sortState ref="A3:XFD48">
    <sortCondition ref="A3:A48"/>
  </sortState>
  <customSheetViews>
    <customSheetView guid="{4892E1C0-7A56-4F81-A857-987D77EC4462}" topLeftCell="A100">
      <selection activeCell="B121" sqref="B121:Q121"/>
      <pageMargins left="0.75" right="0.75" top="1" bottom="1" header="0.5" footer="0.5"/>
      <pageSetup orientation="landscape" horizontalDpi="300" verticalDpi="300" r:id="rId1"/>
      <headerFooter alignWithMargins="0">
        <oddHeader>&amp;L&amp;G&amp;CShowAcronymGoesHere - PSM&amp;R&amp;P</oddHeader>
        <oddFooter>&amp;L&amp;D&amp;R&amp;Z&amp;F</oddFooter>
      </headerFooter>
    </customSheetView>
    <customSheetView guid="{C29C6423-4E3D-4B08-919E-993C7C45FC31}" topLeftCell="A100">
      <selection activeCell="B121" sqref="B121:Q121"/>
      <pageMargins left="0.75" right="0.75" top="1" bottom="1" header="0.5" footer="0.5"/>
      <pageSetup orientation="landscape" horizontalDpi="300" verticalDpi="300" r:id="rId2"/>
      <headerFooter alignWithMargins="0">
        <oddHeader>&amp;L&amp;G&amp;CShowAcronymGoesHere - PSM&amp;R&amp;P</oddHeader>
        <oddFooter>&amp;L&amp;D&amp;R&amp;Z&amp;F</oddFooter>
      </headerFooter>
    </customSheetView>
  </customSheetViews>
  <mergeCells count="1">
    <mergeCell ref="A1:B1"/>
  </mergeCells>
  <phoneticPr fontId="6" type="noConversion"/>
  <hyperlinks>
    <hyperlink ref="A45" location="'Show Info'!A1" display="Show Information"/>
    <hyperlink ref="A47" location="'Show Services'!A1" display="Show Services"/>
    <hyperlink ref="A42" location="'Reg Codes'!A1" display="Registration Codes"/>
    <hyperlink ref="A43" location="'Reg Types'!A1" display="Registration Types"/>
    <hyperlink ref="A26" location="'Field Designations'!A1" display="Field Designations"/>
    <hyperlink ref="A17" location="Demos!A1" display="Demographics"/>
    <hyperlink ref="A36" location="Options!A1" display="Options"/>
    <hyperlink ref="A24" location="Exhibitor!A1" display="Exhibitors"/>
    <hyperlink ref="A33" location="Membership!A1" display="Membership"/>
    <hyperlink ref="A18" location="'Discount Mgr'!A1" display="Discount Manager"/>
    <hyperlink ref="A40" location="'Qualification Mgr'!A1" display="Qualification Manager"/>
    <hyperlink ref="A28" location="Financial!A1" display="Financial Processing"/>
    <hyperlink ref="A29" location="Housing!A1" display="Housing"/>
    <hyperlink ref="A9" location="Confirmations!A1" display="Confirmations"/>
    <hyperlink ref="A44" location="'Reporting '!A1" display="Reporting"/>
    <hyperlink ref="A8" location="'Client Services &amp; Database Mgr'!A1" display="Client Services"/>
    <hyperlink ref="A4" location="'Attendee Exhibitor Matching '!A1" display="Attendee &amp; Exhibitor Matching"/>
    <hyperlink ref="A12" location="'Data Control'!A1" display="Data Control"/>
    <hyperlink ref="A32" location="Materials!A1" display="Materials"/>
    <hyperlink ref="A6" location="'Badge Ticket Formats'!A1" display="Badge and Ticket Formats"/>
    <hyperlink ref="A35" location="Onsite!A1" display="Onsite"/>
    <hyperlink ref="A22" location="ESG!A1" display="ESG"/>
    <hyperlink ref="A38" location="'Post Show '!A1" display="Post Show"/>
    <hyperlink ref="A14" location="'Data Transfer'!A1" display="Data Transfer"/>
    <hyperlink ref="A39" location="'PrePop AutoReg'!A1" display="Pre Populated Data"/>
    <hyperlink ref="A3" location="'Additional Services'!A1" display="Additional Services"/>
    <hyperlink ref="A15" location="'Client Services &amp; Database Mgr'!A1" display="Database Manager"/>
    <hyperlink ref="A5" location="'PrePop AutoReg'!A1" display="Auto Reg Data"/>
    <hyperlink ref="A7" location="Financial!A1" display="Cancellation Policy"/>
    <hyperlink ref="A19" location="Financial!A1" display="Duplicate Removal"/>
    <hyperlink ref="A23" location="Confirmations!A1" display="Exhibitor Password Letters"/>
    <hyperlink ref="A20" location="Confirmations!A1" display="Email Blasts"/>
    <hyperlink ref="A46" location="'Client Services &amp; Database Mgr'!A1" display="Show Organizer Dashboard"/>
    <hyperlink ref="A13" location="'Client Services &amp; Database Mgr'!A1" display="Data Download"/>
    <hyperlink ref="A21" location="Materials!A1" display="Equipment at Client"/>
    <hyperlink ref="A41" location="Financial!A1" display="Refund Policy"/>
    <hyperlink ref="A30" location="Inquiry!A1" display="Inquiry"/>
    <hyperlink ref="A37" location="Fields!A1" display="Piece Codes"/>
    <hyperlink ref="A31" location="'Invite A Customer'!A1" display="Invite A Customer"/>
    <hyperlink ref="A16" location="Financial!A1" display="Delayed Capture"/>
    <hyperlink ref="A48" location="'Web Dashboard'!A1" display="Web Dashboard"/>
    <hyperlink ref="A25" location="'Exhibitor Contet'!A1" display="Exhibitor Content"/>
    <hyperlink ref="A34" location="'myLeads '!A1" display="myLeads"/>
    <hyperlink ref="A10" location="'ConnectMe Mobile App'!A1" display="ConnectME Mobile"/>
    <hyperlink ref="A11" location="CustomerService" display="Customer Service"/>
    <hyperlink ref="A27" location="Fields!A1" display="Fields"/>
  </hyperlinks>
  <pageMargins left="0.75" right="0.75" top="1" bottom="1" header="0.5" footer="0.5"/>
  <pageSetup orientation="landscape" horizontalDpi="300" verticalDpi="300" r:id="rId3"/>
  <headerFooter alignWithMargins="0">
    <oddHeader>&amp;L&amp;G&amp;CShowAcronymGoesHere - PSM&amp;R&amp;P</oddHeader>
    <oddFooter>&amp;L&amp;D&amp;R&amp;Z&amp;F</oddFooter>
  </headerFooter>
  <customProperties>
    <customPr name="DVSECTIONID" r:id="rId4"/>
  </customProperties>
  <legacyDrawingHF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tabColor theme="0" tint="-0.14999847407452621"/>
  </sheetPr>
  <dimension ref="A1:X124"/>
  <sheetViews>
    <sheetView topLeftCell="A46" zoomScale="130" zoomScaleNormal="130" workbookViewId="0">
      <selection activeCell="D52" sqref="D52"/>
    </sheetView>
  </sheetViews>
  <sheetFormatPr defaultColWidth="14.7109375" defaultRowHeight="12.75" x14ac:dyDescent="0.2"/>
  <cols>
    <col min="1" max="1" width="13.42578125" style="98" customWidth="1"/>
    <col min="2" max="2" width="6.7109375" style="98" customWidth="1"/>
    <col min="3" max="3" width="13.42578125" style="98" bestFit="1" customWidth="1"/>
    <col min="4" max="4" width="58.28515625" style="98" customWidth="1"/>
    <col min="5" max="5" width="9.28515625" style="98" customWidth="1"/>
    <col min="6" max="6" width="6.42578125" style="98" customWidth="1"/>
    <col min="7" max="7" width="7.7109375" style="98" bestFit="1" customWidth="1"/>
    <col min="8" max="8" width="7.5703125" style="98" bestFit="1" customWidth="1"/>
    <col min="9" max="9" width="13.28515625" style="98" customWidth="1"/>
    <col min="10" max="12" width="13.5703125" style="98" customWidth="1"/>
    <col min="13" max="13" width="4.5703125" style="98" customWidth="1"/>
    <col min="14" max="14" width="10.7109375" style="98" customWidth="1"/>
    <col min="15" max="15" width="21" style="98" customWidth="1"/>
    <col min="16" max="16" width="3.85546875" style="98" hidden="1" customWidth="1"/>
    <col min="17" max="17" width="5.140625" style="98" hidden="1" customWidth="1"/>
    <col min="18" max="18" width="6.28515625" style="98" hidden="1" customWidth="1"/>
    <col min="19" max="19" width="7.7109375" style="98" bestFit="1" customWidth="1"/>
    <col min="20" max="20" width="9.140625" style="98" hidden="1" customWidth="1"/>
    <col min="21" max="21" width="9.42578125" style="98" bestFit="1" customWidth="1"/>
    <col min="22" max="23" width="14" style="1007" bestFit="1" customWidth="1"/>
    <col min="24" max="24" width="87" style="98" customWidth="1"/>
    <col min="25" max="16384" width="14.7109375" style="98"/>
  </cols>
  <sheetData>
    <row r="1" spans="1:24" s="285" customFormat="1" ht="57.75" customHeight="1" x14ac:dyDescent="0.2">
      <c r="A1" s="283" t="s">
        <v>2377</v>
      </c>
      <c r="B1" s="283" t="s">
        <v>2506</v>
      </c>
      <c r="C1" s="283" t="s">
        <v>814</v>
      </c>
      <c r="D1" s="283" t="s">
        <v>616</v>
      </c>
      <c r="E1" s="813" t="s">
        <v>2432</v>
      </c>
      <c r="F1" s="283" t="s">
        <v>626</v>
      </c>
      <c r="G1" s="283" t="s">
        <v>142</v>
      </c>
      <c r="H1" s="283" t="s">
        <v>1565</v>
      </c>
      <c r="I1" s="283" t="s">
        <v>627</v>
      </c>
      <c r="J1" s="283" t="s">
        <v>628</v>
      </c>
      <c r="K1" s="283" t="s">
        <v>2355</v>
      </c>
      <c r="L1" s="283" t="s">
        <v>2356</v>
      </c>
      <c r="M1" s="283" t="s">
        <v>89</v>
      </c>
      <c r="N1" s="283" t="s">
        <v>632</v>
      </c>
      <c r="O1" s="284" t="s">
        <v>629</v>
      </c>
      <c r="P1" s="283" t="s">
        <v>458</v>
      </c>
      <c r="Q1" s="283" t="s">
        <v>630</v>
      </c>
      <c r="R1" s="283" t="s">
        <v>631</v>
      </c>
      <c r="S1" s="283" t="s">
        <v>383</v>
      </c>
      <c r="T1" s="283" t="s">
        <v>143</v>
      </c>
      <c r="U1" s="283" t="s">
        <v>900</v>
      </c>
      <c r="V1" s="284" t="s">
        <v>2542</v>
      </c>
      <c r="W1" s="1010" t="s">
        <v>899</v>
      </c>
      <c r="X1" s="283" t="s">
        <v>332</v>
      </c>
    </row>
    <row r="2" spans="1:24" s="714" customFormat="1" ht="11.25" x14ac:dyDescent="0.2">
      <c r="A2" s="708"/>
      <c r="B2" s="708"/>
      <c r="C2" s="708" t="s">
        <v>2604</v>
      </c>
      <c r="D2" s="708" t="s">
        <v>2724</v>
      </c>
      <c r="E2" s="855">
        <v>455</v>
      </c>
      <c r="F2" s="856">
        <v>0</v>
      </c>
      <c r="G2" s="708">
        <v>9999</v>
      </c>
      <c r="H2" s="708">
        <v>1</v>
      </c>
      <c r="I2" s="732">
        <v>43724.322916666664</v>
      </c>
      <c r="J2" s="1005">
        <v>43724.666666666664</v>
      </c>
      <c r="K2" s="708"/>
      <c r="L2" s="708"/>
      <c r="M2" s="708"/>
      <c r="N2" s="708"/>
      <c r="O2" s="712"/>
      <c r="P2" s="708"/>
      <c r="Q2" s="708"/>
      <c r="R2" s="708"/>
      <c r="S2" s="708" t="s">
        <v>2605</v>
      </c>
      <c r="T2" s="708"/>
      <c r="U2" s="708"/>
      <c r="V2" s="712"/>
      <c r="W2" s="857"/>
      <c r="X2" s="708"/>
    </row>
    <row r="3" spans="1:24" s="714" customFormat="1" ht="11.25" x14ac:dyDescent="0.2">
      <c r="A3" s="708"/>
      <c r="B3" s="708"/>
      <c r="C3" s="708" t="s">
        <v>2721</v>
      </c>
      <c r="D3" s="708" t="s">
        <v>2724</v>
      </c>
      <c r="E3" s="855">
        <v>500</v>
      </c>
      <c r="F3" s="856">
        <v>0</v>
      </c>
      <c r="G3" s="708">
        <v>9999</v>
      </c>
      <c r="H3" s="708">
        <v>1</v>
      </c>
      <c r="I3" s="732">
        <v>43724.322916666664</v>
      </c>
      <c r="J3" s="1005">
        <v>43724.666666666664</v>
      </c>
      <c r="K3" s="708"/>
      <c r="L3" s="708"/>
      <c r="M3" s="708"/>
      <c r="N3" s="708"/>
      <c r="O3" s="712"/>
      <c r="P3" s="708"/>
      <c r="Q3" s="708"/>
      <c r="R3" s="708"/>
      <c r="S3" s="708" t="s">
        <v>2605</v>
      </c>
      <c r="T3" s="708"/>
      <c r="U3" s="708"/>
      <c r="V3" s="712"/>
      <c r="W3" s="857"/>
      <c r="X3" s="708"/>
    </row>
    <row r="4" spans="1:24" s="714" customFormat="1" ht="11.25" x14ac:dyDescent="0.2">
      <c r="A4" s="708"/>
      <c r="B4" s="708"/>
      <c r="C4" s="708" t="s">
        <v>2605</v>
      </c>
      <c r="D4" s="708" t="s">
        <v>2725</v>
      </c>
      <c r="E4" s="856">
        <v>0</v>
      </c>
      <c r="F4" s="856">
        <v>0</v>
      </c>
      <c r="G4" s="708">
        <v>9999</v>
      </c>
      <c r="H4" s="708">
        <v>1</v>
      </c>
      <c r="I4" s="732">
        <v>43725.322916666664</v>
      </c>
      <c r="J4" s="1005">
        <v>43725.666666666664</v>
      </c>
      <c r="K4" s="708"/>
      <c r="L4" s="708"/>
      <c r="M4" s="708"/>
      <c r="N4" s="708"/>
      <c r="O4" s="712"/>
      <c r="P4" s="708"/>
      <c r="Q4" s="708"/>
      <c r="R4" s="708"/>
      <c r="S4" s="708"/>
      <c r="T4" s="708"/>
      <c r="U4" s="708"/>
      <c r="V4" s="712"/>
      <c r="W4" s="857"/>
      <c r="X4" s="708"/>
    </row>
    <row r="5" spans="1:24" s="714" customFormat="1" ht="22.5" x14ac:dyDescent="0.2">
      <c r="A5" s="708"/>
      <c r="B5" s="708" t="s">
        <v>2507</v>
      </c>
      <c r="C5" s="708" t="s">
        <v>2345</v>
      </c>
      <c r="D5" s="708" t="s">
        <v>2731</v>
      </c>
      <c r="E5" s="855">
        <v>70</v>
      </c>
      <c r="F5" s="856">
        <v>0</v>
      </c>
      <c r="G5" s="708">
        <v>9999</v>
      </c>
      <c r="H5" s="708">
        <v>1</v>
      </c>
      <c r="I5" s="732">
        <v>43726.291666666664</v>
      </c>
      <c r="J5" s="1005">
        <v>43726.479166666664</v>
      </c>
      <c r="K5" s="1174">
        <v>43726.270833333336</v>
      </c>
      <c r="L5" s="1175">
        <v>43726.5</v>
      </c>
      <c r="M5" s="708">
        <v>200</v>
      </c>
      <c r="N5" s="1176" t="s">
        <v>2544</v>
      </c>
      <c r="O5" s="712" t="s">
        <v>2796</v>
      </c>
      <c r="P5" s="708"/>
      <c r="Q5" s="708"/>
      <c r="R5" s="708"/>
      <c r="S5" s="708"/>
      <c r="T5" s="708"/>
      <c r="U5" s="708" t="s">
        <v>96</v>
      </c>
      <c r="V5" s="712" t="s">
        <v>2543</v>
      </c>
      <c r="W5" s="857"/>
      <c r="X5" s="708"/>
    </row>
    <row r="6" spans="1:24" s="714" customFormat="1" ht="22.5" x14ac:dyDescent="0.2">
      <c r="A6" s="708"/>
      <c r="B6" s="708" t="s">
        <v>2507</v>
      </c>
      <c r="C6" s="708" t="s">
        <v>2466</v>
      </c>
      <c r="D6" s="708" t="s">
        <v>2731</v>
      </c>
      <c r="E6" s="856">
        <v>0</v>
      </c>
      <c r="F6" s="856">
        <v>0</v>
      </c>
      <c r="G6" s="708">
        <v>9999</v>
      </c>
      <c r="H6" s="708">
        <v>1</v>
      </c>
      <c r="I6" s="732">
        <v>43726.291666666664</v>
      </c>
      <c r="J6" s="1005">
        <v>43726.479166666664</v>
      </c>
      <c r="K6" s="1030"/>
      <c r="L6" s="1031"/>
      <c r="M6" s="708">
        <v>201</v>
      </c>
      <c r="N6" s="1032"/>
      <c r="O6" s="712" t="s">
        <v>2796</v>
      </c>
      <c r="P6" s="708"/>
      <c r="Q6" s="708"/>
      <c r="R6" s="708"/>
      <c r="S6" s="708"/>
      <c r="T6" s="708"/>
      <c r="U6" s="708" t="s">
        <v>96</v>
      </c>
      <c r="V6" s="712" t="s">
        <v>2543</v>
      </c>
      <c r="W6" s="1011"/>
      <c r="X6" s="708"/>
    </row>
    <row r="7" spans="1:24" s="714" customFormat="1" ht="22.5" x14ac:dyDescent="0.2">
      <c r="A7" s="708"/>
      <c r="B7" s="708" t="s">
        <v>2507</v>
      </c>
      <c r="C7" s="708" t="s">
        <v>2378</v>
      </c>
      <c r="D7" s="708" t="s">
        <v>2711</v>
      </c>
      <c r="E7" s="855">
        <v>70</v>
      </c>
      <c r="F7" s="856">
        <v>0</v>
      </c>
      <c r="G7" s="708">
        <v>9999</v>
      </c>
      <c r="H7" s="708">
        <v>1</v>
      </c>
      <c r="I7" s="732">
        <v>43726.291666666664</v>
      </c>
      <c r="J7" s="1005">
        <v>43726.479166666664</v>
      </c>
      <c r="K7" s="1174">
        <v>43726.270833333336</v>
      </c>
      <c r="L7" s="1175">
        <v>43726.5</v>
      </c>
      <c r="M7" s="708">
        <v>202</v>
      </c>
      <c r="N7" s="1176" t="s">
        <v>2545</v>
      </c>
      <c r="O7" s="712" t="s">
        <v>2797</v>
      </c>
      <c r="P7" s="708"/>
      <c r="Q7" s="708"/>
      <c r="R7" s="708"/>
      <c r="S7" s="708"/>
      <c r="T7" s="708"/>
      <c r="U7" s="708" t="s">
        <v>96</v>
      </c>
      <c r="V7" s="712" t="s">
        <v>2543</v>
      </c>
      <c r="W7" s="857"/>
      <c r="X7" s="708"/>
    </row>
    <row r="8" spans="1:24" s="714" customFormat="1" ht="22.5" x14ac:dyDescent="0.2">
      <c r="A8" s="708"/>
      <c r="B8" s="708" t="s">
        <v>2507</v>
      </c>
      <c r="C8" s="708" t="s">
        <v>2467</v>
      </c>
      <c r="D8" s="708" t="s">
        <v>2711</v>
      </c>
      <c r="E8" s="856">
        <v>0</v>
      </c>
      <c r="F8" s="856">
        <v>0</v>
      </c>
      <c r="G8" s="708">
        <v>9999</v>
      </c>
      <c r="H8" s="708">
        <v>1</v>
      </c>
      <c r="I8" s="732">
        <v>43726.291666666664</v>
      </c>
      <c r="J8" s="1005">
        <v>43726.479166666664</v>
      </c>
      <c r="K8" s="1030"/>
      <c r="L8" s="1031"/>
      <c r="M8" s="708">
        <v>203</v>
      </c>
      <c r="N8" s="1032"/>
      <c r="O8" s="712" t="s">
        <v>2797</v>
      </c>
      <c r="P8" s="708"/>
      <c r="Q8" s="708"/>
      <c r="R8" s="708"/>
      <c r="S8" s="708"/>
      <c r="T8" s="708"/>
      <c r="U8" s="708" t="s">
        <v>96</v>
      </c>
      <c r="V8" s="712" t="s">
        <v>2543</v>
      </c>
      <c r="W8" s="1011"/>
      <c r="X8" s="708"/>
    </row>
    <row r="9" spans="1:24" s="714" customFormat="1" ht="22.5" x14ac:dyDescent="0.2">
      <c r="A9" s="708"/>
      <c r="B9" s="708" t="s">
        <v>2507</v>
      </c>
      <c r="C9" s="708" t="s">
        <v>2379</v>
      </c>
      <c r="D9" s="708" t="s">
        <v>2715</v>
      </c>
      <c r="E9" s="855">
        <v>70</v>
      </c>
      <c r="F9" s="856">
        <v>0</v>
      </c>
      <c r="G9" s="708">
        <v>100</v>
      </c>
      <c r="H9" s="708">
        <v>1</v>
      </c>
      <c r="I9" s="732">
        <v>43726.291666666664</v>
      </c>
      <c r="J9" s="1005">
        <v>43726.479166666664</v>
      </c>
      <c r="K9" s="1174">
        <v>43726.270833333336</v>
      </c>
      <c r="L9" s="1175">
        <v>43726.5</v>
      </c>
      <c r="M9" s="708">
        <v>204</v>
      </c>
      <c r="N9" s="1176" t="s">
        <v>2546</v>
      </c>
      <c r="O9" s="712" t="s">
        <v>2798</v>
      </c>
      <c r="P9" s="708"/>
      <c r="Q9" s="708"/>
      <c r="R9" s="708"/>
      <c r="S9" s="708"/>
      <c r="T9" s="708"/>
      <c r="U9" s="708" t="s">
        <v>96</v>
      </c>
      <c r="V9" s="712" t="s">
        <v>2543</v>
      </c>
      <c r="W9" s="857"/>
      <c r="X9" s="708"/>
    </row>
    <row r="10" spans="1:24" s="714" customFormat="1" ht="22.5" x14ac:dyDescent="0.2">
      <c r="A10" s="708"/>
      <c r="B10" s="708" t="s">
        <v>2507</v>
      </c>
      <c r="C10" s="708" t="s">
        <v>2468</v>
      </c>
      <c r="D10" s="708" t="s">
        <v>2715</v>
      </c>
      <c r="E10" s="856">
        <v>0</v>
      </c>
      <c r="F10" s="856">
        <v>0</v>
      </c>
      <c r="G10" s="708">
        <v>100</v>
      </c>
      <c r="H10" s="708">
        <v>1</v>
      </c>
      <c r="I10" s="732">
        <v>43726.291666666664</v>
      </c>
      <c r="J10" s="1005">
        <v>43726.479166666664</v>
      </c>
      <c r="K10" s="1030"/>
      <c r="L10" s="1031"/>
      <c r="M10" s="708">
        <v>205</v>
      </c>
      <c r="N10" s="1032"/>
      <c r="O10" s="712" t="s">
        <v>2798</v>
      </c>
      <c r="P10" s="708"/>
      <c r="Q10" s="708"/>
      <c r="R10" s="708"/>
      <c r="S10" s="708"/>
      <c r="T10" s="708"/>
      <c r="U10" s="708" t="s">
        <v>96</v>
      </c>
      <c r="V10" s="712" t="s">
        <v>2543</v>
      </c>
      <c r="W10" s="1011"/>
      <c r="X10" s="708"/>
    </row>
    <row r="11" spans="1:24" s="714" customFormat="1" ht="22.5" x14ac:dyDescent="0.2">
      <c r="A11" s="708"/>
      <c r="B11" s="708" t="s">
        <v>2507</v>
      </c>
      <c r="C11" s="708" t="s">
        <v>2463</v>
      </c>
      <c r="D11" s="708" t="s">
        <v>2717</v>
      </c>
      <c r="E11" s="855">
        <v>70</v>
      </c>
      <c r="F11" s="856">
        <v>0</v>
      </c>
      <c r="G11" s="708">
        <v>9999</v>
      </c>
      <c r="H11" s="708">
        <v>1</v>
      </c>
      <c r="I11" s="732">
        <v>43726.291666666664</v>
      </c>
      <c r="J11" s="1005">
        <v>43726.479166666664</v>
      </c>
      <c r="K11" s="1174">
        <v>43726.270833333336</v>
      </c>
      <c r="L11" s="1175">
        <v>43726.5</v>
      </c>
      <c r="M11" s="708">
        <v>206</v>
      </c>
      <c r="N11" s="1176" t="s">
        <v>2547</v>
      </c>
      <c r="O11" s="712" t="s">
        <v>2794</v>
      </c>
      <c r="P11" s="708"/>
      <c r="Q11" s="708"/>
      <c r="R11" s="708"/>
      <c r="S11" s="708"/>
      <c r="T11" s="708"/>
      <c r="U11" s="708" t="s">
        <v>96</v>
      </c>
      <c r="V11" s="712" t="s">
        <v>2543</v>
      </c>
      <c r="W11" s="857"/>
      <c r="X11" s="708"/>
    </row>
    <row r="12" spans="1:24" s="714" customFormat="1" ht="22.5" x14ac:dyDescent="0.2">
      <c r="A12" s="708"/>
      <c r="B12" s="708" t="s">
        <v>2507</v>
      </c>
      <c r="C12" s="708" t="s">
        <v>2469</v>
      </c>
      <c r="D12" s="708" t="s">
        <v>2717</v>
      </c>
      <c r="E12" s="856">
        <v>0</v>
      </c>
      <c r="F12" s="856">
        <v>0</v>
      </c>
      <c r="G12" s="708">
        <v>9999</v>
      </c>
      <c r="H12" s="708">
        <v>1</v>
      </c>
      <c r="I12" s="732">
        <v>43726.291666666664</v>
      </c>
      <c r="J12" s="1005">
        <v>43726.479166666664</v>
      </c>
      <c r="K12" s="1030"/>
      <c r="L12" s="1031"/>
      <c r="M12" s="708">
        <v>207</v>
      </c>
      <c r="N12" s="1032"/>
      <c r="O12" s="712" t="s">
        <v>2794</v>
      </c>
      <c r="P12" s="708"/>
      <c r="Q12" s="708"/>
      <c r="R12" s="708"/>
      <c r="S12" s="708"/>
      <c r="T12" s="708"/>
      <c r="U12" s="708" t="s">
        <v>96</v>
      </c>
      <c r="V12" s="712" t="s">
        <v>2543</v>
      </c>
      <c r="W12" s="1011"/>
      <c r="X12" s="708"/>
    </row>
    <row r="13" spans="1:24" s="714" customFormat="1" x14ac:dyDescent="0.2">
      <c r="A13" s="708"/>
      <c r="B13" s="708"/>
      <c r="C13" s="708" t="s">
        <v>2625</v>
      </c>
      <c r="D13" s="708" t="s">
        <v>2699</v>
      </c>
      <c r="E13" s="856">
        <v>0</v>
      </c>
      <c r="F13" s="856">
        <v>0</v>
      </c>
      <c r="G13" s="708">
        <v>9999</v>
      </c>
      <c r="H13" s="708">
        <v>1</v>
      </c>
      <c r="I13" s="732">
        <v>43726.770833333336</v>
      </c>
      <c r="J13" s="1005">
        <v>43726.8125</v>
      </c>
      <c r="K13" s="1030"/>
      <c r="L13" s="1031"/>
      <c r="M13" s="708"/>
      <c r="N13" s="1032"/>
      <c r="O13" s="712"/>
      <c r="P13" s="708"/>
      <c r="Q13" s="708"/>
      <c r="R13" s="708"/>
      <c r="S13" s="708"/>
      <c r="T13" s="708"/>
      <c r="U13" s="708"/>
      <c r="V13" s="712"/>
      <c r="W13" s="1011"/>
      <c r="X13" s="1012"/>
    </row>
    <row r="14" spans="1:24" s="714" customFormat="1" x14ac:dyDescent="0.2">
      <c r="A14" s="708"/>
      <c r="B14" s="708"/>
      <c r="C14" s="708" t="s">
        <v>2628</v>
      </c>
      <c r="D14" s="708" t="s">
        <v>2701</v>
      </c>
      <c r="E14" s="856">
        <v>0</v>
      </c>
      <c r="F14" s="856">
        <v>0</v>
      </c>
      <c r="G14" s="708">
        <v>9999</v>
      </c>
      <c r="H14" s="708">
        <v>1</v>
      </c>
      <c r="I14" s="732">
        <v>43726.770833333336</v>
      </c>
      <c r="J14" s="1005">
        <v>43726.8125</v>
      </c>
      <c r="K14" s="1030"/>
      <c r="L14" s="1031"/>
      <c r="M14" s="708"/>
      <c r="N14" s="1032"/>
      <c r="O14" s="712"/>
      <c r="P14" s="708"/>
      <c r="Q14" s="708"/>
      <c r="R14" s="708"/>
      <c r="S14" s="708"/>
      <c r="T14" s="708"/>
      <c r="U14" s="708"/>
      <c r="V14" s="712"/>
      <c r="W14" s="1011"/>
      <c r="X14" s="1012"/>
    </row>
    <row r="15" spans="1:24" s="714" customFormat="1" ht="22.5" x14ac:dyDescent="0.2">
      <c r="A15" s="708"/>
      <c r="B15" s="708" t="s">
        <v>2812</v>
      </c>
      <c r="C15" s="708" t="s">
        <v>2276</v>
      </c>
      <c r="D15" s="708" t="s">
        <v>2223</v>
      </c>
      <c r="E15" s="709">
        <v>0</v>
      </c>
      <c r="F15" s="709">
        <v>0</v>
      </c>
      <c r="G15" s="708">
        <v>9999</v>
      </c>
      <c r="H15" s="708">
        <v>1</v>
      </c>
      <c r="I15" s="732">
        <v>43727.260416666664</v>
      </c>
      <c r="J15" s="1005">
        <v>43727.3125</v>
      </c>
      <c r="K15" s="1174">
        <v>43727.239583333336</v>
      </c>
      <c r="L15" s="1175">
        <v>43727.333333333336</v>
      </c>
      <c r="M15" s="711" t="s">
        <v>2771</v>
      </c>
      <c r="N15" s="1177" t="s">
        <v>2771</v>
      </c>
      <c r="O15" s="712" t="s">
        <v>2799</v>
      </c>
      <c r="P15" s="708"/>
      <c r="Q15" s="708"/>
      <c r="R15" s="708"/>
      <c r="S15" s="708"/>
      <c r="T15" s="708"/>
      <c r="U15" s="708" t="s">
        <v>96</v>
      </c>
      <c r="V15" s="712" t="s">
        <v>2543</v>
      </c>
      <c r="W15" s="713"/>
      <c r="X15" s="708"/>
    </row>
    <row r="16" spans="1:24" s="714" customFormat="1" ht="11.25" x14ac:dyDescent="0.2">
      <c r="A16" s="708"/>
      <c r="B16" s="708" t="s">
        <v>2811</v>
      </c>
      <c r="C16" s="708" t="s">
        <v>2277</v>
      </c>
      <c r="D16" s="997" t="s">
        <v>2560</v>
      </c>
      <c r="E16" s="709">
        <v>0</v>
      </c>
      <c r="F16" s="709">
        <v>0</v>
      </c>
      <c r="G16" s="708">
        <v>9999</v>
      </c>
      <c r="H16" s="708">
        <v>1</v>
      </c>
      <c r="I16" s="732">
        <v>43727.260416666664</v>
      </c>
      <c r="J16" s="1005">
        <v>43727.3125</v>
      </c>
      <c r="K16" s="1174">
        <v>43727.239583333336</v>
      </c>
      <c r="L16" s="1175">
        <v>43727.333333333336</v>
      </c>
      <c r="M16" s="711" t="s">
        <v>2772</v>
      </c>
      <c r="N16" s="1177" t="s">
        <v>2772</v>
      </c>
      <c r="O16" s="712" t="s">
        <v>2796</v>
      </c>
      <c r="P16" s="708"/>
      <c r="Q16" s="708"/>
      <c r="R16" s="708"/>
      <c r="S16" s="708"/>
      <c r="T16" s="708"/>
      <c r="U16" s="708" t="s">
        <v>96</v>
      </c>
      <c r="V16" s="712" t="s">
        <v>2543</v>
      </c>
      <c r="W16" s="713"/>
      <c r="X16" s="708"/>
    </row>
    <row r="17" spans="1:24" s="714" customFormat="1" ht="11.25" x14ac:dyDescent="0.2">
      <c r="A17" s="708"/>
      <c r="B17" s="708"/>
      <c r="C17" s="708" t="s">
        <v>2590</v>
      </c>
      <c r="D17" s="708" t="s">
        <v>2603</v>
      </c>
      <c r="E17" s="709">
        <v>0</v>
      </c>
      <c r="F17" s="709">
        <v>0</v>
      </c>
      <c r="G17" s="708">
        <v>9999</v>
      </c>
      <c r="H17" s="708">
        <v>1</v>
      </c>
      <c r="I17" s="732">
        <v>43727.520833333336</v>
      </c>
      <c r="J17" s="732">
        <v>43727.572916666664</v>
      </c>
      <c r="K17" s="710"/>
      <c r="L17" s="710"/>
      <c r="M17" s="711"/>
      <c r="N17" s="711"/>
      <c r="O17" s="712"/>
      <c r="P17" s="708"/>
      <c r="Q17" s="708"/>
      <c r="R17" s="708"/>
      <c r="S17" s="708"/>
      <c r="T17" s="708"/>
      <c r="U17" s="708" t="s">
        <v>97</v>
      </c>
      <c r="V17" s="712"/>
      <c r="W17" s="713"/>
      <c r="X17" s="708"/>
    </row>
    <row r="18" spans="1:24" s="714" customFormat="1" ht="22.5" x14ac:dyDescent="0.2">
      <c r="A18" s="708"/>
      <c r="B18" s="708" t="s">
        <v>2507</v>
      </c>
      <c r="C18" s="708" t="s">
        <v>2591</v>
      </c>
      <c r="D18" s="1001" t="s">
        <v>2702</v>
      </c>
      <c r="E18" s="855">
        <v>70</v>
      </c>
      <c r="F18" s="709">
        <v>0</v>
      </c>
      <c r="G18" s="708">
        <v>9999</v>
      </c>
      <c r="H18" s="708">
        <v>1</v>
      </c>
      <c r="I18" s="732">
        <v>43727.520833333336</v>
      </c>
      <c r="J18" s="732">
        <v>43727.572916666664</v>
      </c>
      <c r="K18" s="1174">
        <v>43727.5</v>
      </c>
      <c r="L18" s="1174">
        <v>43727.59375</v>
      </c>
      <c r="M18" s="711" t="s">
        <v>2357</v>
      </c>
      <c r="N18" s="1176" t="s">
        <v>2548</v>
      </c>
      <c r="O18" s="712" t="s">
        <v>2794</v>
      </c>
      <c r="P18" s="708"/>
      <c r="Q18" s="708"/>
      <c r="R18" s="708"/>
      <c r="S18" s="708"/>
      <c r="T18" s="708"/>
      <c r="U18" s="708" t="s">
        <v>96</v>
      </c>
      <c r="V18" s="712" t="s">
        <v>2543</v>
      </c>
      <c r="W18" s="713"/>
      <c r="X18" s="1047"/>
    </row>
    <row r="19" spans="1:24" s="714" customFormat="1" ht="22.5" x14ac:dyDescent="0.2">
      <c r="A19" s="708"/>
      <c r="B19" s="708" t="s">
        <v>2507</v>
      </c>
      <c r="C19" s="708" t="s">
        <v>2592</v>
      </c>
      <c r="D19" s="1001" t="s">
        <v>2702</v>
      </c>
      <c r="E19" s="709">
        <v>0</v>
      </c>
      <c r="F19" s="709">
        <v>0</v>
      </c>
      <c r="G19" s="708">
        <v>9999</v>
      </c>
      <c r="H19" s="708">
        <v>1</v>
      </c>
      <c r="I19" s="732">
        <v>43727.520833333336</v>
      </c>
      <c r="J19" s="732">
        <v>43727.572916666664</v>
      </c>
      <c r="K19" s="1030"/>
      <c r="L19" s="1030"/>
      <c r="M19" s="711" t="s">
        <v>2358</v>
      </c>
      <c r="N19" s="1032"/>
      <c r="O19" s="712" t="s">
        <v>2794</v>
      </c>
      <c r="P19" s="708"/>
      <c r="Q19" s="708"/>
      <c r="R19" s="708"/>
      <c r="S19" s="708"/>
      <c r="T19" s="708"/>
      <c r="U19" s="708" t="s">
        <v>96</v>
      </c>
      <c r="V19" s="712" t="s">
        <v>2543</v>
      </c>
      <c r="W19" s="1011"/>
      <c r="X19" s="1047"/>
    </row>
    <row r="20" spans="1:24" s="714" customFormat="1" ht="22.5" x14ac:dyDescent="0.2">
      <c r="A20" s="708"/>
      <c r="B20" s="708" t="s">
        <v>2507</v>
      </c>
      <c r="C20" s="708" t="s">
        <v>2593</v>
      </c>
      <c r="D20" s="1001" t="s">
        <v>2703</v>
      </c>
      <c r="E20" s="855">
        <v>70</v>
      </c>
      <c r="F20" s="709">
        <v>0</v>
      </c>
      <c r="G20" s="708">
        <v>9999</v>
      </c>
      <c r="H20" s="708">
        <v>1</v>
      </c>
      <c r="I20" s="732">
        <v>43727.520833333336</v>
      </c>
      <c r="J20" s="732">
        <v>43727.572916666664</v>
      </c>
      <c r="K20" s="1174">
        <v>43727.5</v>
      </c>
      <c r="L20" s="1174">
        <v>43727.59375</v>
      </c>
      <c r="M20" s="711" t="s">
        <v>2359</v>
      </c>
      <c r="N20" s="1176" t="s">
        <v>2549</v>
      </c>
      <c r="O20" s="712" t="s">
        <v>2797</v>
      </c>
      <c r="P20" s="708"/>
      <c r="Q20" s="708"/>
      <c r="R20" s="708"/>
      <c r="S20" s="708"/>
      <c r="T20" s="708"/>
      <c r="U20" s="708" t="s">
        <v>96</v>
      </c>
      <c r="V20" s="712" t="s">
        <v>2543</v>
      </c>
      <c r="W20" s="713"/>
      <c r="X20" s="708"/>
    </row>
    <row r="21" spans="1:24" s="714" customFormat="1" ht="22.5" x14ac:dyDescent="0.2">
      <c r="A21" s="708"/>
      <c r="B21" s="708" t="s">
        <v>2507</v>
      </c>
      <c r="C21" s="708" t="s">
        <v>2594</v>
      </c>
      <c r="D21" s="1001" t="s">
        <v>2703</v>
      </c>
      <c r="E21" s="709">
        <v>0</v>
      </c>
      <c r="F21" s="709">
        <v>0</v>
      </c>
      <c r="G21" s="708">
        <v>9999</v>
      </c>
      <c r="H21" s="708">
        <v>1</v>
      </c>
      <c r="I21" s="732">
        <v>43727.520833333336</v>
      </c>
      <c r="J21" s="732">
        <v>43727.572916666664</v>
      </c>
      <c r="K21" s="1030"/>
      <c r="L21" s="1030"/>
      <c r="M21" s="711" t="s">
        <v>2360</v>
      </c>
      <c r="N21" s="1032"/>
      <c r="O21" s="712" t="s">
        <v>2797</v>
      </c>
      <c r="P21" s="708"/>
      <c r="Q21" s="708"/>
      <c r="R21" s="708"/>
      <c r="S21" s="708"/>
      <c r="T21" s="708"/>
      <c r="U21" s="708" t="s">
        <v>96</v>
      </c>
      <c r="V21" s="712" t="s">
        <v>2543</v>
      </c>
      <c r="W21" s="1011"/>
      <c r="X21" s="708"/>
    </row>
    <row r="22" spans="1:24" s="714" customFormat="1" ht="22.5" x14ac:dyDescent="0.2">
      <c r="A22" s="708"/>
      <c r="B22" s="708" t="s">
        <v>2507</v>
      </c>
      <c r="C22" s="708" t="s">
        <v>2595</v>
      </c>
      <c r="D22" s="1001" t="s">
        <v>2704</v>
      </c>
      <c r="E22" s="855">
        <v>70</v>
      </c>
      <c r="F22" s="709">
        <v>0</v>
      </c>
      <c r="G22" s="708">
        <v>9999</v>
      </c>
      <c r="H22" s="708">
        <v>1</v>
      </c>
      <c r="I22" s="732">
        <v>43727.520833333336</v>
      </c>
      <c r="J22" s="732">
        <v>43727.572916666664</v>
      </c>
      <c r="K22" s="1174">
        <v>43727.5</v>
      </c>
      <c r="L22" s="1174">
        <v>43727.59375</v>
      </c>
      <c r="M22" s="711" t="s">
        <v>2361</v>
      </c>
      <c r="N22" s="1176" t="s">
        <v>2550</v>
      </c>
      <c r="O22" s="712" t="s">
        <v>2796</v>
      </c>
      <c r="P22" s="708"/>
      <c r="Q22" s="708"/>
      <c r="R22" s="708"/>
      <c r="S22" s="708"/>
      <c r="T22" s="708"/>
      <c r="U22" s="708" t="s">
        <v>96</v>
      </c>
      <c r="V22" s="712" t="s">
        <v>2543</v>
      </c>
      <c r="W22" s="713"/>
      <c r="X22" s="1012"/>
    </row>
    <row r="23" spans="1:24" s="714" customFormat="1" ht="22.5" x14ac:dyDescent="0.2">
      <c r="A23" s="708"/>
      <c r="B23" s="708" t="s">
        <v>2507</v>
      </c>
      <c r="C23" s="708" t="s">
        <v>2596</v>
      </c>
      <c r="D23" s="1001" t="s">
        <v>2704</v>
      </c>
      <c r="E23" s="709">
        <v>0</v>
      </c>
      <c r="F23" s="709">
        <v>0</v>
      </c>
      <c r="G23" s="708">
        <v>9999</v>
      </c>
      <c r="H23" s="708">
        <v>1</v>
      </c>
      <c r="I23" s="732">
        <v>43727.520833333336</v>
      </c>
      <c r="J23" s="732">
        <v>43727.572916666664</v>
      </c>
      <c r="K23" s="1030"/>
      <c r="L23" s="1030"/>
      <c r="M23" s="711" t="s">
        <v>2362</v>
      </c>
      <c r="N23" s="1032"/>
      <c r="O23" s="712" t="s">
        <v>2796</v>
      </c>
      <c r="P23" s="708"/>
      <c r="Q23" s="708"/>
      <c r="R23" s="708"/>
      <c r="S23" s="708"/>
      <c r="T23" s="708"/>
      <c r="U23" s="708" t="s">
        <v>96</v>
      </c>
      <c r="V23" s="712" t="s">
        <v>2543</v>
      </c>
      <c r="W23" s="1011"/>
      <c r="X23" s="1012"/>
    </row>
    <row r="24" spans="1:24" s="714" customFormat="1" ht="22.5" x14ac:dyDescent="0.2">
      <c r="A24" s="708"/>
      <c r="B24" s="708" t="s">
        <v>2507</v>
      </c>
      <c r="C24" s="708" t="s">
        <v>2597</v>
      </c>
      <c r="D24" s="1001" t="s">
        <v>2705</v>
      </c>
      <c r="E24" s="855">
        <v>70</v>
      </c>
      <c r="F24" s="709">
        <v>0</v>
      </c>
      <c r="G24" s="708">
        <v>9999</v>
      </c>
      <c r="H24" s="708">
        <v>1</v>
      </c>
      <c r="I24" s="732">
        <v>43727.520833333336</v>
      </c>
      <c r="J24" s="732">
        <v>43727.572916666664</v>
      </c>
      <c r="K24" s="1174">
        <v>43727.5</v>
      </c>
      <c r="L24" s="1174">
        <v>43727.59375</v>
      </c>
      <c r="M24" s="711" t="s">
        <v>2363</v>
      </c>
      <c r="N24" s="1176" t="s">
        <v>2551</v>
      </c>
      <c r="O24" s="712" t="s">
        <v>2799</v>
      </c>
      <c r="P24" s="708"/>
      <c r="Q24" s="708"/>
      <c r="R24" s="708"/>
      <c r="S24" s="708"/>
      <c r="T24" s="708"/>
      <c r="U24" s="708" t="s">
        <v>96</v>
      </c>
      <c r="V24" s="712" t="s">
        <v>2543</v>
      </c>
      <c r="W24" s="713"/>
      <c r="X24" s="1047"/>
    </row>
    <row r="25" spans="1:24" s="714" customFormat="1" ht="22.5" x14ac:dyDescent="0.2">
      <c r="A25" s="708"/>
      <c r="B25" s="708" t="s">
        <v>2507</v>
      </c>
      <c r="C25" s="708" t="s">
        <v>2598</v>
      </c>
      <c r="D25" s="1001" t="s">
        <v>2712</v>
      </c>
      <c r="E25" s="709">
        <v>0</v>
      </c>
      <c r="F25" s="709">
        <v>0</v>
      </c>
      <c r="G25" s="708">
        <v>9999</v>
      </c>
      <c r="H25" s="708">
        <v>1</v>
      </c>
      <c r="I25" s="732">
        <v>43727.520833333336</v>
      </c>
      <c r="J25" s="732">
        <v>43727.572916666664</v>
      </c>
      <c r="K25" s="1030"/>
      <c r="L25" s="1030"/>
      <c r="M25" s="711" t="s">
        <v>2364</v>
      </c>
      <c r="N25" s="1032"/>
      <c r="O25" s="712" t="s">
        <v>2799</v>
      </c>
      <c r="P25" s="708"/>
      <c r="Q25" s="708"/>
      <c r="R25" s="708"/>
      <c r="S25" s="708"/>
      <c r="T25" s="708"/>
      <c r="U25" s="708" t="s">
        <v>96</v>
      </c>
      <c r="V25" s="712" t="s">
        <v>2543</v>
      </c>
      <c r="W25" s="1011"/>
      <c r="X25" s="1047"/>
    </row>
    <row r="26" spans="1:24" s="714" customFormat="1" ht="22.5" x14ac:dyDescent="0.2">
      <c r="A26" s="708"/>
      <c r="B26" s="708" t="s">
        <v>2507</v>
      </c>
      <c r="C26" s="708" t="s">
        <v>2599</v>
      </c>
      <c r="D26" s="1001" t="s">
        <v>2706</v>
      </c>
      <c r="E26" s="855">
        <v>70</v>
      </c>
      <c r="F26" s="709">
        <v>0</v>
      </c>
      <c r="G26" s="708">
        <v>9999</v>
      </c>
      <c r="H26" s="708">
        <v>1</v>
      </c>
      <c r="I26" s="732">
        <v>43727.520833333336</v>
      </c>
      <c r="J26" s="732">
        <v>43727.572916666664</v>
      </c>
      <c r="K26" s="1174">
        <v>43727.5</v>
      </c>
      <c r="L26" s="1174">
        <v>43727.59375</v>
      </c>
      <c r="M26" s="711" t="s">
        <v>2365</v>
      </c>
      <c r="N26" s="1176" t="s">
        <v>2552</v>
      </c>
      <c r="O26" s="712" t="s">
        <v>2795</v>
      </c>
      <c r="P26" s="708"/>
      <c r="Q26" s="708"/>
      <c r="R26" s="708"/>
      <c r="S26" s="708"/>
      <c r="T26" s="708"/>
      <c r="U26" s="708" t="s">
        <v>96</v>
      </c>
      <c r="V26" s="712" t="s">
        <v>2543</v>
      </c>
      <c r="W26" s="713"/>
      <c r="X26" s="1013"/>
    </row>
    <row r="27" spans="1:24" s="714" customFormat="1" ht="22.5" x14ac:dyDescent="0.2">
      <c r="A27" s="708"/>
      <c r="B27" s="708" t="s">
        <v>2507</v>
      </c>
      <c r="C27" s="708" t="s">
        <v>2600</v>
      </c>
      <c r="D27" s="1001" t="s">
        <v>2706</v>
      </c>
      <c r="E27" s="709">
        <v>0</v>
      </c>
      <c r="F27" s="709">
        <v>0</v>
      </c>
      <c r="G27" s="708">
        <v>9999</v>
      </c>
      <c r="H27" s="708">
        <v>1</v>
      </c>
      <c r="I27" s="732">
        <v>43727.520833333336</v>
      </c>
      <c r="J27" s="732">
        <v>43727.572916666664</v>
      </c>
      <c r="K27" s="1030"/>
      <c r="L27" s="1030"/>
      <c r="M27" s="711" t="s">
        <v>2366</v>
      </c>
      <c r="N27" s="1032"/>
      <c r="O27" s="712" t="s">
        <v>2795</v>
      </c>
      <c r="P27" s="708"/>
      <c r="Q27" s="708"/>
      <c r="R27" s="708"/>
      <c r="S27" s="708"/>
      <c r="T27" s="708"/>
      <c r="U27" s="708" t="s">
        <v>96</v>
      </c>
      <c r="V27" s="712" t="s">
        <v>2543</v>
      </c>
      <c r="W27" s="1011"/>
      <c r="X27" s="1013"/>
    </row>
    <row r="28" spans="1:24" s="714" customFormat="1" ht="22.5" x14ac:dyDescent="0.2">
      <c r="A28" s="708"/>
      <c r="B28" s="708" t="s">
        <v>2507</v>
      </c>
      <c r="C28" s="708" t="s">
        <v>2601</v>
      </c>
      <c r="D28" s="1001" t="s">
        <v>2707</v>
      </c>
      <c r="E28" s="855">
        <v>70</v>
      </c>
      <c r="F28" s="709">
        <v>0</v>
      </c>
      <c r="G28" s="708">
        <v>9999</v>
      </c>
      <c r="H28" s="708">
        <v>1</v>
      </c>
      <c r="I28" s="732">
        <v>43727.520833333336</v>
      </c>
      <c r="J28" s="732">
        <v>43727.572916666664</v>
      </c>
      <c r="K28" s="1174">
        <v>43727.5</v>
      </c>
      <c r="L28" s="1174">
        <v>43727.59375</v>
      </c>
      <c r="M28" s="711" t="s">
        <v>2367</v>
      </c>
      <c r="N28" s="1176" t="s">
        <v>2553</v>
      </c>
      <c r="O28" s="712" t="s">
        <v>2798</v>
      </c>
      <c r="P28" s="708"/>
      <c r="Q28" s="708"/>
      <c r="R28" s="708"/>
      <c r="S28" s="708"/>
      <c r="T28" s="708"/>
      <c r="U28" s="708" t="s">
        <v>96</v>
      </c>
      <c r="V28" s="712" t="s">
        <v>2543</v>
      </c>
      <c r="W28" s="713"/>
      <c r="X28" s="1013"/>
    </row>
    <row r="29" spans="1:24" s="714" customFormat="1" ht="22.5" x14ac:dyDescent="0.2">
      <c r="A29" s="708"/>
      <c r="B29" s="708" t="s">
        <v>2507</v>
      </c>
      <c r="C29" s="708" t="s">
        <v>2602</v>
      </c>
      <c r="D29" s="1001" t="s">
        <v>2707</v>
      </c>
      <c r="E29" s="709">
        <v>0</v>
      </c>
      <c r="F29" s="709">
        <v>0</v>
      </c>
      <c r="G29" s="708">
        <v>9999</v>
      </c>
      <c r="H29" s="708">
        <v>1</v>
      </c>
      <c r="I29" s="732">
        <v>43727.520833333336</v>
      </c>
      <c r="J29" s="732">
        <v>43727.572916666664</v>
      </c>
      <c r="K29" s="1030"/>
      <c r="L29" s="1030"/>
      <c r="M29" s="711" t="s">
        <v>2368</v>
      </c>
      <c r="N29" s="1032"/>
      <c r="O29" s="712" t="s">
        <v>2798</v>
      </c>
      <c r="P29" s="708"/>
      <c r="Q29" s="708"/>
      <c r="R29" s="708"/>
      <c r="S29" s="708"/>
      <c r="T29" s="708"/>
      <c r="U29" s="708" t="s">
        <v>96</v>
      </c>
      <c r="V29" s="712" t="s">
        <v>2543</v>
      </c>
      <c r="W29" s="1011"/>
      <c r="X29" s="1013"/>
    </row>
    <row r="30" spans="1:24" s="714" customFormat="1" ht="12" x14ac:dyDescent="0.2">
      <c r="A30" s="708"/>
      <c r="B30" s="708"/>
      <c r="C30" s="708" t="s">
        <v>2627</v>
      </c>
      <c r="D30" s="708" t="s">
        <v>2606</v>
      </c>
      <c r="E30" s="709">
        <v>0</v>
      </c>
      <c r="F30" s="709">
        <v>0</v>
      </c>
      <c r="G30" s="708">
        <v>9999</v>
      </c>
      <c r="H30" s="708">
        <v>1</v>
      </c>
      <c r="I30" s="732">
        <v>43728.260416666664</v>
      </c>
      <c r="J30" s="732">
        <v>43728.3125</v>
      </c>
      <c r="K30" s="820"/>
      <c r="L30" s="820"/>
      <c r="M30" s="711"/>
      <c r="N30" s="711"/>
      <c r="O30" s="712"/>
      <c r="P30" s="708"/>
      <c r="Q30" s="708"/>
      <c r="R30" s="708"/>
      <c r="S30" s="708"/>
      <c r="T30" s="708"/>
      <c r="U30" s="708" t="s">
        <v>97</v>
      </c>
      <c r="V30" s="712"/>
      <c r="W30" s="713"/>
      <c r="X30" s="708"/>
    </row>
    <row r="31" spans="1:24" s="714" customFormat="1" ht="22.5" x14ac:dyDescent="0.2">
      <c r="A31" s="708"/>
      <c r="B31" s="708" t="s">
        <v>2507</v>
      </c>
      <c r="C31" s="708" t="s">
        <v>2607</v>
      </c>
      <c r="D31" s="1001" t="s">
        <v>2708</v>
      </c>
      <c r="E31" s="855">
        <v>70</v>
      </c>
      <c r="F31" s="709">
        <v>0</v>
      </c>
      <c r="G31" s="708">
        <v>9999</v>
      </c>
      <c r="H31" s="708">
        <v>1</v>
      </c>
      <c r="I31" s="732">
        <v>43728.260416666664</v>
      </c>
      <c r="J31" s="732">
        <v>43728.3125</v>
      </c>
      <c r="K31" s="1174">
        <v>43728.239583333336</v>
      </c>
      <c r="L31" s="1174">
        <v>43728.333333333336</v>
      </c>
      <c r="M31" s="711" t="s">
        <v>2529</v>
      </c>
      <c r="N31" s="1177" t="s">
        <v>2554</v>
      </c>
      <c r="O31" s="712" t="s">
        <v>2798</v>
      </c>
      <c r="P31" s="708"/>
      <c r="Q31" s="708"/>
      <c r="R31" s="708"/>
      <c r="S31" s="708"/>
      <c r="T31" s="708"/>
      <c r="U31" s="708" t="s">
        <v>96</v>
      </c>
      <c r="V31" s="712" t="s">
        <v>2543</v>
      </c>
      <c r="W31" s="713"/>
      <c r="X31" s="1047"/>
    </row>
    <row r="32" spans="1:24" s="714" customFormat="1" ht="22.5" x14ac:dyDescent="0.2">
      <c r="A32" s="708"/>
      <c r="B32" s="708" t="s">
        <v>2507</v>
      </c>
      <c r="C32" s="708" t="s">
        <v>2608</v>
      </c>
      <c r="D32" s="1001" t="s">
        <v>2708</v>
      </c>
      <c r="E32" s="709">
        <v>0</v>
      </c>
      <c r="F32" s="709">
        <v>0</v>
      </c>
      <c r="G32" s="708">
        <v>9999</v>
      </c>
      <c r="H32" s="708">
        <v>1</v>
      </c>
      <c r="I32" s="732">
        <v>43728.260416666664</v>
      </c>
      <c r="J32" s="732">
        <v>43728.3125</v>
      </c>
      <c r="K32" s="1030"/>
      <c r="L32" s="1030"/>
      <c r="M32" s="711" t="s">
        <v>2407</v>
      </c>
      <c r="N32" s="1033"/>
      <c r="O32" s="712" t="s">
        <v>2798</v>
      </c>
      <c r="P32" s="708"/>
      <c r="Q32" s="708"/>
      <c r="R32" s="708"/>
      <c r="S32" s="708"/>
      <c r="T32" s="708"/>
      <c r="U32" s="708" t="s">
        <v>96</v>
      </c>
      <c r="V32" s="712" t="s">
        <v>2543</v>
      </c>
      <c r="W32" s="1011"/>
      <c r="X32" s="1047"/>
    </row>
    <row r="33" spans="1:24" s="714" customFormat="1" ht="22.5" x14ac:dyDescent="0.2">
      <c r="A33" s="708"/>
      <c r="B33" s="708" t="s">
        <v>2507</v>
      </c>
      <c r="C33" s="708" t="s">
        <v>2618</v>
      </c>
      <c r="D33" s="1001" t="s">
        <v>2709</v>
      </c>
      <c r="E33" s="855">
        <v>70</v>
      </c>
      <c r="F33" s="709">
        <v>0</v>
      </c>
      <c r="G33" s="708">
        <v>9999</v>
      </c>
      <c r="H33" s="708">
        <v>1</v>
      </c>
      <c r="I33" s="732">
        <v>43728.260416666664</v>
      </c>
      <c r="J33" s="732">
        <v>43728.3125</v>
      </c>
      <c r="K33" s="1174">
        <v>43728.239583333336</v>
      </c>
      <c r="L33" s="1174">
        <v>43728.333333333336</v>
      </c>
      <c r="M33" s="711" t="s">
        <v>2410</v>
      </c>
      <c r="N33" s="1177" t="s">
        <v>2555</v>
      </c>
      <c r="O33" s="712" t="s">
        <v>2794</v>
      </c>
      <c r="P33" s="708"/>
      <c r="Q33" s="708"/>
      <c r="R33" s="708"/>
      <c r="S33" s="708"/>
      <c r="T33" s="708"/>
      <c r="U33" s="708" t="s">
        <v>96</v>
      </c>
      <c r="V33" s="712" t="s">
        <v>2543</v>
      </c>
      <c r="W33" s="713"/>
      <c r="X33" s="1012"/>
    </row>
    <row r="34" spans="1:24" s="714" customFormat="1" ht="22.5" x14ac:dyDescent="0.2">
      <c r="A34" s="708"/>
      <c r="B34" s="708" t="s">
        <v>2507</v>
      </c>
      <c r="C34" s="708" t="s">
        <v>2609</v>
      </c>
      <c r="D34" s="1001" t="s">
        <v>2709</v>
      </c>
      <c r="E34" s="709">
        <v>0</v>
      </c>
      <c r="F34" s="709">
        <v>0</v>
      </c>
      <c r="G34" s="708">
        <v>9999</v>
      </c>
      <c r="H34" s="708">
        <v>1</v>
      </c>
      <c r="I34" s="732">
        <v>43728.260416666664</v>
      </c>
      <c r="J34" s="732">
        <v>43728.3125</v>
      </c>
      <c r="K34" s="1030"/>
      <c r="L34" s="1030"/>
      <c r="M34" s="711" t="s">
        <v>2530</v>
      </c>
      <c r="N34" s="1033"/>
      <c r="O34" s="712" t="s">
        <v>2794</v>
      </c>
      <c r="P34" s="708"/>
      <c r="Q34" s="708"/>
      <c r="R34" s="708"/>
      <c r="S34" s="708"/>
      <c r="T34" s="708"/>
      <c r="U34" s="708" t="s">
        <v>96</v>
      </c>
      <c r="V34" s="712" t="s">
        <v>2543</v>
      </c>
      <c r="W34" s="1011"/>
      <c r="X34" s="1012"/>
    </row>
    <row r="35" spans="1:24" s="714" customFormat="1" ht="22.5" x14ac:dyDescent="0.2">
      <c r="A35" s="708"/>
      <c r="B35" s="708" t="s">
        <v>2507</v>
      </c>
      <c r="C35" s="708" t="s">
        <v>2610</v>
      </c>
      <c r="D35" s="1001" t="s">
        <v>2732</v>
      </c>
      <c r="E35" s="855">
        <v>70</v>
      </c>
      <c r="F35" s="709">
        <v>0</v>
      </c>
      <c r="G35" s="708">
        <v>9999</v>
      </c>
      <c r="H35" s="708">
        <v>1</v>
      </c>
      <c r="I35" s="732">
        <v>43728.260416666664</v>
      </c>
      <c r="J35" s="732">
        <v>43728.3125</v>
      </c>
      <c r="K35" s="1174">
        <v>43728.239583333336</v>
      </c>
      <c r="L35" s="1174">
        <v>43728.333333333336</v>
      </c>
      <c r="M35" s="711" t="s">
        <v>2531</v>
      </c>
      <c r="N35" s="1177" t="s">
        <v>2556</v>
      </c>
      <c r="O35" s="712" t="s">
        <v>2797</v>
      </c>
      <c r="P35" s="708"/>
      <c r="Q35" s="708"/>
      <c r="R35" s="708"/>
      <c r="S35" s="708"/>
      <c r="T35" s="708"/>
      <c r="U35" s="708" t="s">
        <v>96</v>
      </c>
      <c r="V35" s="712" t="s">
        <v>2543</v>
      </c>
      <c r="W35" s="713"/>
      <c r="X35" s="1047"/>
    </row>
    <row r="36" spans="1:24" s="714" customFormat="1" ht="22.5" x14ac:dyDescent="0.2">
      <c r="A36" s="708"/>
      <c r="B36" s="708" t="s">
        <v>2507</v>
      </c>
      <c r="C36" s="708" t="s">
        <v>2611</v>
      </c>
      <c r="D36" s="1001" t="s">
        <v>2732</v>
      </c>
      <c r="E36" s="709">
        <v>0</v>
      </c>
      <c r="F36" s="709">
        <v>0</v>
      </c>
      <c r="G36" s="708">
        <v>9999</v>
      </c>
      <c r="H36" s="708">
        <v>1</v>
      </c>
      <c r="I36" s="732">
        <v>43728.260416666664</v>
      </c>
      <c r="J36" s="732">
        <v>43728.3125</v>
      </c>
      <c r="K36" s="1030"/>
      <c r="L36" s="1030"/>
      <c r="M36" s="711" t="s">
        <v>2532</v>
      </c>
      <c r="N36" s="1033"/>
      <c r="O36" s="712" t="s">
        <v>2797</v>
      </c>
      <c r="P36" s="708"/>
      <c r="Q36" s="708"/>
      <c r="R36" s="708"/>
      <c r="S36" s="708"/>
      <c r="T36" s="708"/>
      <c r="U36" s="708" t="s">
        <v>96</v>
      </c>
      <c r="V36" s="712" t="s">
        <v>2543</v>
      </c>
      <c r="W36" s="1011"/>
      <c r="X36" s="1047"/>
    </row>
    <row r="37" spans="1:24" s="714" customFormat="1" ht="22.5" x14ac:dyDescent="0.2">
      <c r="A37" s="708"/>
      <c r="B37" s="708" t="s">
        <v>2507</v>
      </c>
      <c r="C37" s="708" t="s">
        <v>2612</v>
      </c>
      <c r="D37" s="1001" t="s">
        <v>2716</v>
      </c>
      <c r="E37" s="855">
        <v>70</v>
      </c>
      <c r="F37" s="709">
        <v>0</v>
      </c>
      <c r="G37" s="708">
        <v>9999</v>
      </c>
      <c r="H37" s="708">
        <v>1</v>
      </c>
      <c r="I37" s="732">
        <v>43728.260416666664</v>
      </c>
      <c r="J37" s="732">
        <v>43728.3125</v>
      </c>
      <c r="K37" s="1174">
        <v>43728.239583333336</v>
      </c>
      <c r="L37" s="1174">
        <v>43728.333333333336</v>
      </c>
      <c r="M37" s="711" t="s">
        <v>2533</v>
      </c>
      <c r="N37" s="1177" t="s">
        <v>2557</v>
      </c>
      <c r="O37" s="712" t="s">
        <v>2795</v>
      </c>
      <c r="P37" s="708"/>
      <c r="Q37" s="708"/>
      <c r="R37" s="708"/>
      <c r="S37" s="708"/>
      <c r="T37" s="708"/>
      <c r="U37" s="708" t="s">
        <v>96</v>
      </c>
      <c r="V37" s="712" t="s">
        <v>2543</v>
      </c>
      <c r="W37" s="713"/>
      <c r="X37" s="1013"/>
    </row>
    <row r="38" spans="1:24" s="714" customFormat="1" ht="22.5" x14ac:dyDescent="0.2">
      <c r="A38" s="708"/>
      <c r="B38" s="708" t="s">
        <v>2507</v>
      </c>
      <c r="C38" s="708" t="s">
        <v>2613</v>
      </c>
      <c r="D38" s="1001" t="s">
        <v>2716</v>
      </c>
      <c r="E38" s="709">
        <v>0</v>
      </c>
      <c r="F38" s="709">
        <v>0</v>
      </c>
      <c r="G38" s="708">
        <v>9999</v>
      </c>
      <c r="H38" s="708">
        <v>1</v>
      </c>
      <c r="I38" s="732">
        <v>43728.260416666664</v>
      </c>
      <c r="J38" s="732">
        <v>43728.3125</v>
      </c>
      <c r="K38" s="1030"/>
      <c r="L38" s="1030"/>
      <c r="M38" s="711" t="s">
        <v>2534</v>
      </c>
      <c r="N38" s="1033"/>
      <c r="O38" s="712" t="s">
        <v>2795</v>
      </c>
      <c r="P38" s="708"/>
      <c r="Q38" s="708"/>
      <c r="R38" s="708"/>
      <c r="S38" s="708"/>
      <c r="T38" s="708"/>
      <c r="U38" s="708" t="s">
        <v>96</v>
      </c>
      <c r="V38" s="712" t="s">
        <v>2543</v>
      </c>
      <c r="W38" s="1011"/>
      <c r="X38" s="1013"/>
    </row>
    <row r="39" spans="1:24" s="714" customFormat="1" ht="22.5" x14ac:dyDescent="0.2">
      <c r="A39" s="708"/>
      <c r="B39" s="708" t="s">
        <v>2507</v>
      </c>
      <c r="C39" s="708" t="s">
        <v>2614</v>
      </c>
      <c r="D39" s="1001" t="s">
        <v>2720</v>
      </c>
      <c r="E39" s="855">
        <v>70</v>
      </c>
      <c r="F39" s="709">
        <v>0</v>
      </c>
      <c r="G39" s="708">
        <v>9999</v>
      </c>
      <c r="H39" s="708">
        <v>1</v>
      </c>
      <c r="I39" s="732">
        <v>43728.260416666664</v>
      </c>
      <c r="J39" s="732">
        <v>43728.3125</v>
      </c>
      <c r="K39" s="1174">
        <v>43728.239583333336</v>
      </c>
      <c r="L39" s="1174">
        <v>43728.333333333336</v>
      </c>
      <c r="M39" s="711" t="s">
        <v>2535</v>
      </c>
      <c r="N39" s="1177" t="s">
        <v>2558</v>
      </c>
      <c r="O39" s="712" t="s">
        <v>2796</v>
      </c>
      <c r="P39" s="708"/>
      <c r="Q39" s="708"/>
      <c r="R39" s="708"/>
      <c r="S39" s="708"/>
      <c r="T39" s="708"/>
      <c r="U39" s="708" t="s">
        <v>96</v>
      </c>
      <c r="V39" s="712" t="s">
        <v>2543</v>
      </c>
      <c r="W39" s="713"/>
      <c r="X39" s="1012"/>
    </row>
    <row r="40" spans="1:24" s="714" customFormat="1" ht="22.5" x14ac:dyDescent="0.2">
      <c r="A40" s="708"/>
      <c r="B40" s="708" t="s">
        <v>2507</v>
      </c>
      <c r="C40" s="708" t="s">
        <v>2615</v>
      </c>
      <c r="D40" s="1001" t="s">
        <v>2720</v>
      </c>
      <c r="E40" s="709">
        <v>0</v>
      </c>
      <c r="F40" s="709">
        <v>0</v>
      </c>
      <c r="G40" s="708">
        <v>9999</v>
      </c>
      <c r="H40" s="708">
        <v>1</v>
      </c>
      <c r="I40" s="732">
        <v>43728.260416666664</v>
      </c>
      <c r="J40" s="732">
        <v>43728.3125</v>
      </c>
      <c r="K40" s="1030"/>
      <c r="L40" s="1030"/>
      <c r="M40" s="711" t="s">
        <v>2536</v>
      </c>
      <c r="N40" s="1033"/>
      <c r="O40" s="712" t="s">
        <v>2796</v>
      </c>
      <c r="P40" s="708"/>
      <c r="Q40" s="708"/>
      <c r="R40" s="708"/>
      <c r="S40" s="708"/>
      <c r="T40" s="708"/>
      <c r="U40" s="708" t="s">
        <v>96</v>
      </c>
      <c r="V40" s="712" t="s">
        <v>2543</v>
      </c>
      <c r="W40" s="1011"/>
      <c r="X40" s="1012"/>
    </row>
    <row r="41" spans="1:24" s="714" customFormat="1" ht="22.5" x14ac:dyDescent="0.2">
      <c r="A41" s="708"/>
      <c r="B41" s="708" t="s">
        <v>2507</v>
      </c>
      <c r="C41" s="708" t="s">
        <v>2616</v>
      </c>
      <c r="D41" s="1001" t="s">
        <v>2710</v>
      </c>
      <c r="E41" s="855">
        <v>70</v>
      </c>
      <c r="F41" s="709">
        <v>0</v>
      </c>
      <c r="G41" s="708">
        <v>9999</v>
      </c>
      <c r="H41" s="708">
        <v>1</v>
      </c>
      <c r="I41" s="732">
        <v>43728.260416666664</v>
      </c>
      <c r="J41" s="732">
        <v>43728.3125</v>
      </c>
      <c r="K41" s="1174">
        <v>43728.239583333336</v>
      </c>
      <c r="L41" s="1174">
        <v>43728.333333333336</v>
      </c>
      <c r="M41" s="711" t="s">
        <v>2537</v>
      </c>
      <c r="N41" s="1177" t="s">
        <v>2559</v>
      </c>
      <c r="O41" s="712" t="s">
        <v>2799</v>
      </c>
      <c r="P41" s="708"/>
      <c r="Q41" s="708"/>
      <c r="R41" s="708"/>
      <c r="S41" s="708"/>
      <c r="T41" s="708"/>
      <c r="U41" s="708" t="s">
        <v>96</v>
      </c>
      <c r="V41" s="712" t="s">
        <v>2543</v>
      </c>
      <c r="W41" s="713"/>
      <c r="X41" s="708"/>
    </row>
    <row r="42" spans="1:24" s="714" customFormat="1" ht="22.5" x14ac:dyDescent="0.2">
      <c r="A42" s="708"/>
      <c r="B42" s="708" t="s">
        <v>2507</v>
      </c>
      <c r="C42" s="708" t="s">
        <v>2617</v>
      </c>
      <c r="D42" s="1001" t="s">
        <v>2710</v>
      </c>
      <c r="E42" s="709">
        <v>0</v>
      </c>
      <c r="F42" s="709">
        <v>0</v>
      </c>
      <c r="G42" s="708">
        <v>9999</v>
      </c>
      <c r="H42" s="708">
        <v>1</v>
      </c>
      <c r="I42" s="732">
        <v>43728.260416666664</v>
      </c>
      <c r="J42" s="732">
        <v>43728.3125</v>
      </c>
      <c r="K42" s="1030"/>
      <c r="L42" s="1030"/>
      <c r="M42" s="711" t="s">
        <v>2538</v>
      </c>
      <c r="N42" s="1033"/>
      <c r="O42" s="712" t="s">
        <v>2799</v>
      </c>
      <c r="P42" s="708"/>
      <c r="Q42" s="708"/>
      <c r="R42" s="708"/>
      <c r="S42" s="708"/>
      <c r="T42" s="708"/>
      <c r="U42" s="708" t="s">
        <v>96</v>
      </c>
      <c r="V42" s="712" t="s">
        <v>2543</v>
      </c>
      <c r="W42" s="1011"/>
      <c r="X42" s="708"/>
    </row>
    <row r="43" spans="1:24" s="714" customFormat="1" x14ac:dyDescent="0.2">
      <c r="A43" s="708"/>
      <c r="B43" s="708"/>
      <c r="C43" s="708" t="s">
        <v>2626</v>
      </c>
      <c r="D43" s="1001" t="s">
        <v>2700</v>
      </c>
      <c r="E43" s="709">
        <v>0</v>
      </c>
      <c r="F43" s="709">
        <v>0</v>
      </c>
      <c r="G43" s="708">
        <v>9999</v>
      </c>
      <c r="H43" s="708">
        <v>1</v>
      </c>
      <c r="I43" s="732">
        <v>43728.5</v>
      </c>
      <c r="J43" s="732">
        <v>43728.53125</v>
      </c>
      <c r="K43" s="1030"/>
      <c r="L43" s="1030"/>
      <c r="M43" s="711"/>
      <c r="N43" s="1033"/>
      <c r="O43" s="712"/>
      <c r="P43" s="708"/>
      <c r="Q43" s="708"/>
      <c r="R43" s="708"/>
      <c r="S43" s="708"/>
      <c r="T43" s="708"/>
      <c r="U43" s="708"/>
      <c r="V43" s="712"/>
      <c r="W43" s="1011"/>
      <c r="X43" s="708"/>
    </row>
    <row r="44" spans="1:24" s="714" customFormat="1" x14ac:dyDescent="0.2">
      <c r="A44" s="708"/>
      <c r="B44" s="708"/>
      <c r="C44" s="708" t="s">
        <v>2629</v>
      </c>
      <c r="D44" s="1001" t="s">
        <v>2701</v>
      </c>
      <c r="E44" s="709">
        <v>0</v>
      </c>
      <c r="F44" s="709">
        <v>0</v>
      </c>
      <c r="G44" s="708">
        <v>9999</v>
      </c>
      <c r="H44" s="708">
        <v>1</v>
      </c>
      <c r="I44" s="732">
        <v>43728.5</v>
      </c>
      <c r="J44" s="732">
        <v>43728.53125</v>
      </c>
      <c r="K44" s="1030"/>
      <c r="L44" s="1030"/>
      <c r="M44" s="711"/>
      <c r="N44" s="1033"/>
      <c r="O44" s="712"/>
      <c r="P44" s="708"/>
      <c r="Q44" s="708"/>
      <c r="R44" s="708"/>
      <c r="S44" s="708"/>
      <c r="T44" s="708"/>
      <c r="U44" s="708"/>
      <c r="V44" s="712"/>
      <c r="W44" s="1011"/>
      <c r="X44" s="708"/>
    </row>
    <row r="45" spans="1:24" s="714" customFormat="1" ht="33.75" customHeight="1" x14ac:dyDescent="0.2">
      <c r="A45" s="708"/>
      <c r="B45" s="708" t="s">
        <v>2507</v>
      </c>
      <c r="C45" s="708" t="s">
        <v>2278</v>
      </c>
      <c r="D45" s="708" t="s">
        <v>2222</v>
      </c>
      <c r="E45" s="709">
        <v>50</v>
      </c>
      <c r="F45" s="709">
        <v>0</v>
      </c>
      <c r="G45" s="708">
        <v>9999</v>
      </c>
      <c r="H45" s="708">
        <v>1</v>
      </c>
      <c r="I45" s="732">
        <v>43728.8125</v>
      </c>
      <c r="J45" s="732">
        <v>43728.916666666664</v>
      </c>
      <c r="K45" s="1174">
        <v>43728.791666666664</v>
      </c>
      <c r="L45" s="1174">
        <v>43728.9375</v>
      </c>
      <c r="M45" s="711" t="s">
        <v>2539</v>
      </c>
      <c r="N45" s="1177" t="s">
        <v>2624</v>
      </c>
      <c r="O45" s="712" t="s">
        <v>2800</v>
      </c>
      <c r="P45" s="708"/>
      <c r="Q45" s="708"/>
      <c r="R45" s="708"/>
      <c r="S45" s="708"/>
      <c r="T45" s="708"/>
      <c r="U45" s="708" t="s">
        <v>96</v>
      </c>
      <c r="V45" s="712" t="s">
        <v>2543</v>
      </c>
      <c r="W45" s="713"/>
      <c r="X45" s="708"/>
    </row>
    <row r="46" spans="1:24" s="714" customFormat="1" ht="34.5" customHeight="1" x14ac:dyDescent="0.2">
      <c r="A46" s="708"/>
      <c r="B46" s="708" t="s">
        <v>2507</v>
      </c>
      <c r="C46" s="708" t="s">
        <v>2620</v>
      </c>
      <c r="D46" s="708" t="s">
        <v>2619</v>
      </c>
      <c r="E46" s="709">
        <v>0</v>
      </c>
      <c r="F46" s="709">
        <v>0</v>
      </c>
      <c r="G46" s="708">
        <v>9999</v>
      </c>
      <c r="H46" s="708">
        <v>1</v>
      </c>
      <c r="I46" s="732">
        <v>43728.8125</v>
      </c>
      <c r="J46" s="732">
        <v>43728.916666666664</v>
      </c>
      <c r="K46" s="1030"/>
      <c r="L46" s="1030"/>
      <c r="M46" s="711" t="s">
        <v>2540</v>
      </c>
      <c r="N46" s="1033"/>
      <c r="O46" s="712" t="s">
        <v>2800</v>
      </c>
      <c r="P46" s="708"/>
      <c r="Q46" s="708"/>
      <c r="R46" s="708"/>
      <c r="S46" s="708"/>
      <c r="T46" s="708"/>
      <c r="U46" s="708" t="s">
        <v>96</v>
      </c>
      <c r="V46" s="712" t="s">
        <v>2543</v>
      </c>
      <c r="W46" s="1011"/>
      <c r="X46" s="708"/>
    </row>
    <row r="47" spans="1:24" s="714" customFormat="1" ht="33.75" customHeight="1" x14ac:dyDescent="0.2">
      <c r="A47" s="708"/>
      <c r="B47" s="708" t="s">
        <v>2507</v>
      </c>
      <c r="C47" s="708" t="s">
        <v>2623</v>
      </c>
      <c r="D47" s="708" t="s">
        <v>2622</v>
      </c>
      <c r="E47" s="709">
        <v>25</v>
      </c>
      <c r="F47" s="709">
        <v>0</v>
      </c>
      <c r="G47" s="708">
        <v>9999</v>
      </c>
      <c r="H47" s="708">
        <v>1</v>
      </c>
      <c r="I47" s="732">
        <v>43728.8125</v>
      </c>
      <c r="J47" s="732">
        <v>43728.916666666664</v>
      </c>
      <c r="K47" s="732"/>
      <c r="L47" s="732"/>
      <c r="M47" s="711" t="s">
        <v>2621</v>
      </c>
      <c r="N47" s="711"/>
      <c r="O47" s="712" t="s">
        <v>2800</v>
      </c>
      <c r="P47" s="708"/>
      <c r="Q47" s="708"/>
      <c r="R47" s="708"/>
      <c r="S47" s="708"/>
      <c r="T47" s="708"/>
      <c r="U47" s="708" t="s">
        <v>96</v>
      </c>
      <c r="V47" s="712" t="s">
        <v>2543</v>
      </c>
      <c r="W47" s="713"/>
      <c r="X47" s="708"/>
    </row>
    <row r="48" spans="1:24" s="714" customFormat="1" ht="12" x14ac:dyDescent="0.2">
      <c r="A48" s="708"/>
      <c r="B48" s="708"/>
      <c r="C48" s="708" t="s">
        <v>2279</v>
      </c>
      <c r="D48" s="708" t="s">
        <v>2224</v>
      </c>
      <c r="E48" s="709">
        <v>0</v>
      </c>
      <c r="F48" s="709">
        <v>0</v>
      </c>
      <c r="G48" s="708">
        <v>9999</v>
      </c>
      <c r="H48" s="708">
        <v>1</v>
      </c>
      <c r="I48" s="732">
        <v>43728.8125</v>
      </c>
      <c r="J48" s="732">
        <v>43728.916666666664</v>
      </c>
      <c r="K48" s="820"/>
      <c r="L48" s="820"/>
      <c r="M48" s="711"/>
      <c r="N48" s="711"/>
      <c r="O48" s="712"/>
      <c r="P48" s="708"/>
      <c r="Q48" s="708"/>
      <c r="R48" s="708"/>
      <c r="S48" s="708"/>
      <c r="T48" s="708"/>
      <c r="U48" s="708" t="s">
        <v>97</v>
      </c>
      <c r="V48" s="712"/>
      <c r="W48" s="713"/>
      <c r="X48" s="708"/>
    </row>
    <row r="49" spans="1:24" s="714" customFormat="1" ht="24.75" customHeight="1" x14ac:dyDescent="0.2">
      <c r="A49" s="708"/>
      <c r="B49" s="708" t="s">
        <v>2225</v>
      </c>
      <c r="C49" s="708" t="s">
        <v>2280</v>
      </c>
      <c r="D49" s="708" t="s">
        <v>2561</v>
      </c>
      <c r="E49" s="709">
        <v>0</v>
      </c>
      <c r="F49" s="709">
        <v>0</v>
      </c>
      <c r="G49" s="708">
        <v>9999</v>
      </c>
      <c r="H49" s="708">
        <v>1</v>
      </c>
      <c r="I49" s="732">
        <v>43729.291666666664</v>
      </c>
      <c r="J49" s="732">
        <v>43729.333333333336</v>
      </c>
      <c r="K49" s="820"/>
      <c r="L49" s="820"/>
      <c r="M49" s="711"/>
      <c r="N49" s="711"/>
      <c r="O49" s="712" t="s">
        <v>2810</v>
      </c>
      <c r="P49" s="708"/>
      <c r="Q49" s="708"/>
      <c r="R49" s="708"/>
      <c r="S49" s="708"/>
      <c r="T49" s="708"/>
      <c r="U49" s="708" t="s">
        <v>96</v>
      </c>
      <c r="V49" s="712" t="s">
        <v>2543</v>
      </c>
      <c r="W49" s="713"/>
      <c r="X49" s="708"/>
    </row>
    <row r="50" spans="1:24" s="714" customFormat="1" ht="12" x14ac:dyDescent="0.2">
      <c r="A50" s="708"/>
      <c r="B50" s="708"/>
      <c r="C50" s="708" t="s">
        <v>2383</v>
      </c>
      <c r="D50" s="708" t="s">
        <v>2381</v>
      </c>
      <c r="E50" s="709">
        <v>25</v>
      </c>
      <c r="F50" s="709">
        <v>0</v>
      </c>
      <c r="G50" s="708">
        <v>9999</v>
      </c>
      <c r="H50" s="708">
        <v>1</v>
      </c>
      <c r="I50" s="732">
        <v>43726</v>
      </c>
      <c r="J50" s="732">
        <v>43729</v>
      </c>
      <c r="K50" s="820"/>
      <c r="L50" s="820"/>
      <c r="M50" s="711"/>
      <c r="N50" s="711"/>
      <c r="O50" s="712"/>
      <c r="P50" s="708"/>
      <c r="Q50" s="708"/>
      <c r="R50" s="708"/>
      <c r="S50" s="708"/>
      <c r="T50" s="708"/>
      <c r="U50" s="708" t="s">
        <v>97</v>
      </c>
      <c r="V50" s="712"/>
      <c r="W50" s="713"/>
      <c r="X50" s="708"/>
    </row>
    <row r="51" spans="1:24" s="714" customFormat="1" ht="12" x14ac:dyDescent="0.2">
      <c r="A51" s="708"/>
      <c r="B51" s="708"/>
      <c r="C51" s="708" t="s">
        <v>2384</v>
      </c>
      <c r="D51" s="708" t="s">
        <v>2382</v>
      </c>
      <c r="E51" s="709">
        <v>0</v>
      </c>
      <c r="F51" s="709">
        <v>0</v>
      </c>
      <c r="G51" s="708">
        <v>9999</v>
      </c>
      <c r="H51" s="708">
        <v>1</v>
      </c>
      <c r="I51" s="732">
        <v>43726</v>
      </c>
      <c r="J51" s="732">
        <v>43729</v>
      </c>
      <c r="K51" s="820"/>
      <c r="L51" s="820"/>
      <c r="M51" s="711"/>
      <c r="N51" s="711"/>
      <c r="O51" s="712"/>
      <c r="P51" s="708"/>
      <c r="Q51" s="708"/>
      <c r="R51" s="708"/>
      <c r="S51" s="708"/>
      <c r="T51" s="708"/>
      <c r="U51" s="708" t="s">
        <v>97</v>
      </c>
      <c r="V51" s="712"/>
      <c r="W51" s="713"/>
      <c r="X51" s="708"/>
    </row>
    <row r="52" spans="1:24" s="714" customFormat="1" ht="52.5" customHeight="1" x14ac:dyDescent="0.2">
      <c r="A52" s="708"/>
      <c r="B52" s="708" t="s">
        <v>2225</v>
      </c>
      <c r="C52" s="708" t="s">
        <v>2065</v>
      </c>
      <c r="D52" s="708" t="s">
        <v>2219</v>
      </c>
      <c r="E52" s="709">
        <v>0</v>
      </c>
      <c r="F52" s="709">
        <v>0</v>
      </c>
      <c r="G52" s="708">
        <v>9999</v>
      </c>
      <c r="H52" s="708">
        <v>1</v>
      </c>
      <c r="I52" s="710"/>
      <c r="J52" s="710"/>
      <c r="K52" s="820"/>
      <c r="L52" s="820"/>
      <c r="M52" s="711"/>
      <c r="N52" s="711"/>
      <c r="O52" s="712"/>
      <c r="P52" s="708"/>
      <c r="Q52" s="708"/>
      <c r="R52" s="708"/>
      <c r="S52" s="708" t="s">
        <v>2220</v>
      </c>
      <c r="T52" s="708" t="s">
        <v>2221</v>
      </c>
      <c r="U52" s="708" t="s">
        <v>97</v>
      </c>
      <c r="V52" s="712"/>
      <c r="W52" s="713"/>
      <c r="X52" s="708"/>
    </row>
    <row r="53" spans="1:24" s="282" customFormat="1" ht="12" x14ac:dyDescent="0.2">
      <c r="M53" s="273"/>
      <c r="N53" s="273"/>
      <c r="V53" s="1009"/>
      <c r="W53" s="1009"/>
    </row>
    <row r="54" spans="1:24" s="282" customFormat="1" x14ac:dyDescent="0.2">
      <c r="A54" s="313"/>
      <c r="B54" s="655"/>
      <c r="C54" s="314"/>
      <c r="D54" s="314"/>
      <c r="E54" s="314"/>
      <c r="F54" s="314"/>
      <c r="G54" s="314"/>
      <c r="H54" s="314"/>
      <c r="I54" s="314"/>
      <c r="J54" s="314"/>
      <c r="M54" s="314"/>
      <c r="N54" s="314"/>
      <c r="O54" s="314"/>
      <c r="P54" s="314"/>
      <c r="Q54" s="314"/>
      <c r="R54" s="314"/>
      <c r="S54" s="314"/>
      <c r="T54" s="314"/>
      <c r="U54" s="314"/>
      <c r="V54" s="733"/>
      <c r="W54" s="733"/>
      <c r="X54" s="314"/>
    </row>
    <row r="55" spans="1:24" s="282" customFormat="1" x14ac:dyDescent="0.2">
      <c r="A55" s="1349"/>
      <c r="B55" s="1349"/>
      <c r="C55" s="1346"/>
      <c r="D55" s="1346"/>
      <c r="E55" s="1346"/>
      <c r="F55" s="1346"/>
      <c r="G55" s="1346"/>
      <c r="H55" s="1346"/>
      <c r="I55" s="1346"/>
      <c r="J55" s="298"/>
      <c r="M55" s="298"/>
      <c r="N55" s="298"/>
      <c r="O55" s="298"/>
      <c r="P55" s="298"/>
      <c r="Q55" s="298"/>
      <c r="R55" s="298"/>
      <c r="S55" s="298"/>
      <c r="T55" s="298"/>
      <c r="U55" s="298"/>
      <c r="V55" s="1008"/>
      <c r="W55" s="733"/>
      <c r="X55" s="312"/>
    </row>
    <row r="56" spans="1:24" s="282" customFormat="1" x14ac:dyDescent="0.2">
      <c r="A56" s="1346"/>
      <c r="B56" s="1346"/>
      <c r="C56" s="1346"/>
      <c r="D56" s="1346"/>
      <c r="E56" s="1346"/>
      <c r="F56" s="1346"/>
      <c r="G56" s="1346"/>
      <c r="H56" s="1346"/>
      <c r="I56" s="1346"/>
      <c r="M56" s="273"/>
      <c r="N56" s="273"/>
      <c r="V56" s="1009"/>
      <c r="W56" s="1009"/>
    </row>
    <row r="57" spans="1:24" s="282" customFormat="1" ht="12" x14ac:dyDescent="0.2">
      <c r="V57" s="1009"/>
      <c r="W57" s="1009"/>
    </row>
    <row r="58" spans="1:24" s="282" customFormat="1" ht="12" x14ac:dyDescent="0.2">
      <c r="V58" s="1009"/>
      <c r="W58" s="1009"/>
    </row>
    <row r="59" spans="1:24" s="282" customFormat="1" ht="12" x14ac:dyDescent="0.2">
      <c r="V59" s="1009"/>
      <c r="W59" s="1009"/>
    </row>
    <row r="60" spans="1:24" s="282" customFormat="1" ht="12" x14ac:dyDescent="0.2">
      <c r="V60" s="1009"/>
      <c r="W60" s="1009"/>
    </row>
    <row r="61" spans="1:24" s="282" customFormat="1" ht="12" x14ac:dyDescent="0.2">
      <c r="V61" s="1009"/>
      <c r="W61" s="1009"/>
    </row>
    <row r="62" spans="1:24" s="282" customFormat="1" ht="12" x14ac:dyDescent="0.2">
      <c r="V62" s="1009"/>
      <c r="W62" s="1009"/>
    </row>
    <row r="63" spans="1:24" s="282" customFormat="1" ht="12" x14ac:dyDescent="0.2">
      <c r="V63" s="1009"/>
      <c r="W63" s="1009"/>
    </row>
    <row r="64" spans="1:24" s="282" customFormat="1" ht="12" x14ac:dyDescent="0.2">
      <c r="V64" s="1009"/>
      <c r="W64" s="1009"/>
    </row>
    <row r="65" spans="1:24" s="282" customFormat="1" ht="12" x14ac:dyDescent="0.2">
      <c r="V65" s="1009"/>
      <c r="W65" s="1009"/>
    </row>
    <row r="66" spans="1:24" s="282" customFormat="1" ht="12" x14ac:dyDescent="0.2">
      <c r="V66" s="1009"/>
      <c r="W66" s="1009"/>
    </row>
    <row r="67" spans="1:24" s="282" customFormat="1" ht="12" x14ac:dyDescent="0.2">
      <c r="V67" s="1009"/>
      <c r="W67" s="1009"/>
    </row>
    <row r="68" spans="1:24" s="282" customFormat="1" ht="12" x14ac:dyDescent="0.2">
      <c r="V68" s="1009"/>
      <c r="W68" s="1009"/>
    </row>
    <row r="69" spans="1:24" s="282" customFormat="1" ht="12" x14ac:dyDescent="0.2">
      <c r="V69" s="1009"/>
      <c r="W69" s="1009"/>
    </row>
    <row r="70" spans="1:24" s="282" customFormat="1" ht="12" x14ac:dyDescent="0.2">
      <c r="V70" s="1009"/>
      <c r="W70" s="1009"/>
    </row>
    <row r="71" spans="1:24" s="99" customFormat="1" x14ac:dyDescent="0.2">
      <c r="A71" s="282"/>
      <c r="B71" s="282"/>
      <c r="C71" s="282"/>
      <c r="D71" s="282"/>
      <c r="E71" s="282"/>
      <c r="F71" s="282"/>
      <c r="G71" s="282"/>
      <c r="H71" s="282"/>
      <c r="I71" s="282"/>
      <c r="J71" s="282"/>
      <c r="K71" s="282"/>
      <c r="L71" s="282"/>
      <c r="M71" s="282"/>
      <c r="N71" s="282"/>
      <c r="O71" s="282"/>
      <c r="P71" s="282"/>
      <c r="Q71" s="282"/>
      <c r="R71" s="282"/>
      <c r="S71" s="282"/>
      <c r="T71" s="282"/>
      <c r="U71" s="282"/>
      <c r="V71" s="1009"/>
      <c r="W71" s="1009"/>
      <c r="X71" s="282"/>
    </row>
    <row r="72" spans="1:24" s="99" customFormat="1" x14ac:dyDescent="0.2">
      <c r="A72" s="282"/>
      <c r="B72" s="282"/>
      <c r="C72" s="282"/>
      <c r="D72" s="282"/>
      <c r="E72" s="282"/>
      <c r="F72" s="282"/>
      <c r="G72" s="282"/>
      <c r="H72" s="282"/>
      <c r="I72" s="282"/>
      <c r="J72" s="282"/>
      <c r="K72" s="282"/>
      <c r="L72" s="282"/>
      <c r="M72" s="282"/>
      <c r="N72" s="282"/>
      <c r="O72" s="282"/>
      <c r="P72" s="282"/>
      <c r="Q72" s="282"/>
      <c r="R72" s="282"/>
      <c r="S72" s="282"/>
      <c r="T72" s="282"/>
      <c r="U72" s="282"/>
      <c r="V72" s="1009"/>
      <c r="W72" s="1009"/>
      <c r="X72" s="282"/>
    </row>
    <row r="73" spans="1:24" s="99" customFormat="1" x14ac:dyDescent="0.2">
      <c r="A73" s="282"/>
      <c r="B73" s="282"/>
      <c r="C73" s="282"/>
      <c r="D73" s="282"/>
      <c r="E73" s="282"/>
      <c r="F73" s="282"/>
      <c r="G73" s="282"/>
      <c r="H73" s="282"/>
      <c r="I73" s="282"/>
      <c r="J73" s="282"/>
      <c r="K73" s="282"/>
      <c r="L73" s="282"/>
      <c r="M73" s="282"/>
      <c r="N73" s="282"/>
      <c r="O73" s="282"/>
      <c r="P73" s="282"/>
      <c r="Q73" s="282"/>
      <c r="R73" s="282"/>
      <c r="S73" s="282"/>
      <c r="T73" s="282"/>
      <c r="U73" s="282"/>
      <c r="V73" s="1009"/>
      <c r="W73" s="1009"/>
      <c r="X73" s="282"/>
    </row>
    <row r="74" spans="1:24" s="99" customFormat="1" x14ac:dyDescent="0.2">
      <c r="A74" s="282"/>
      <c r="B74" s="282"/>
      <c r="C74" s="282"/>
      <c r="D74" s="282"/>
      <c r="E74" s="282"/>
      <c r="F74" s="282"/>
      <c r="G74" s="282"/>
      <c r="H74" s="282"/>
      <c r="I74" s="282"/>
      <c r="J74" s="282"/>
      <c r="K74" s="282"/>
      <c r="L74" s="282"/>
      <c r="M74" s="282"/>
      <c r="N74" s="282"/>
      <c r="O74" s="282"/>
      <c r="P74" s="282"/>
      <c r="Q74" s="282"/>
      <c r="R74" s="282"/>
      <c r="S74" s="282"/>
      <c r="T74" s="282"/>
      <c r="U74" s="282"/>
      <c r="V74" s="1009"/>
      <c r="W74" s="1009"/>
      <c r="X74" s="282"/>
    </row>
    <row r="75" spans="1:24" s="99" customFormat="1" x14ac:dyDescent="0.2">
      <c r="A75" s="282"/>
      <c r="B75" s="282"/>
      <c r="C75" s="282"/>
      <c r="D75" s="282"/>
      <c r="E75" s="282"/>
      <c r="F75" s="282"/>
      <c r="G75" s="282"/>
      <c r="H75" s="282"/>
      <c r="I75" s="282"/>
      <c r="J75" s="282"/>
      <c r="K75" s="282"/>
      <c r="L75" s="282"/>
      <c r="M75" s="282"/>
      <c r="N75" s="282"/>
      <c r="O75" s="282"/>
      <c r="P75" s="282"/>
      <c r="Q75" s="282"/>
      <c r="R75" s="282"/>
      <c r="S75" s="282"/>
      <c r="T75" s="282"/>
      <c r="U75" s="282"/>
      <c r="V75" s="1009"/>
      <c r="W75" s="1009"/>
      <c r="X75" s="282"/>
    </row>
    <row r="76" spans="1:24" s="99" customFormat="1" x14ac:dyDescent="0.2">
      <c r="A76" s="282"/>
      <c r="B76" s="282"/>
      <c r="C76" s="282"/>
      <c r="D76" s="282"/>
      <c r="E76" s="282"/>
      <c r="F76" s="282"/>
      <c r="G76" s="282"/>
      <c r="H76" s="282"/>
      <c r="I76" s="282"/>
      <c r="J76" s="282"/>
      <c r="K76" s="282"/>
      <c r="L76" s="282"/>
      <c r="M76" s="282"/>
      <c r="N76" s="282"/>
      <c r="O76" s="282"/>
      <c r="P76" s="282"/>
      <c r="Q76" s="282"/>
      <c r="R76" s="282"/>
      <c r="S76" s="282"/>
      <c r="T76" s="282"/>
      <c r="U76" s="282"/>
      <c r="V76" s="1009"/>
      <c r="W76" s="1009"/>
      <c r="X76" s="282"/>
    </row>
    <row r="77" spans="1:24" x14ac:dyDescent="0.2">
      <c r="A77" s="282"/>
      <c r="B77" s="282"/>
      <c r="C77" s="282"/>
      <c r="D77" s="282"/>
      <c r="E77" s="282"/>
      <c r="F77" s="282"/>
      <c r="G77" s="282"/>
      <c r="H77" s="282"/>
      <c r="I77" s="282"/>
      <c r="J77" s="282"/>
      <c r="K77" s="282"/>
      <c r="L77" s="282"/>
      <c r="M77" s="282"/>
      <c r="N77" s="282"/>
      <c r="O77" s="282"/>
      <c r="P77" s="282"/>
      <c r="Q77" s="282"/>
      <c r="R77" s="282"/>
      <c r="S77" s="282"/>
      <c r="T77" s="282"/>
      <c r="U77" s="282"/>
      <c r="V77" s="1009"/>
      <c r="W77" s="1009"/>
      <c r="X77" s="282"/>
    </row>
    <row r="78" spans="1:24" x14ac:dyDescent="0.2">
      <c r="A78" s="282"/>
      <c r="B78" s="282"/>
      <c r="C78" s="282"/>
      <c r="D78" s="282"/>
      <c r="E78" s="282"/>
      <c r="F78" s="282"/>
      <c r="G78" s="282"/>
      <c r="H78" s="282"/>
      <c r="I78" s="282"/>
      <c r="J78" s="282"/>
      <c r="K78" s="282"/>
      <c r="L78" s="282"/>
      <c r="M78" s="282"/>
      <c r="N78" s="282"/>
      <c r="O78" s="282"/>
      <c r="P78" s="282"/>
      <c r="Q78" s="282"/>
      <c r="R78" s="282"/>
      <c r="S78" s="282"/>
      <c r="T78" s="282"/>
      <c r="U78" s="282"/>
      <c r="V78" s="1009"/>
      <c r="W78" s="1009"/>
      <c r="X78" s="282"/>
    </row>
    <row r="79" spans="1:24" x14ac:dyDescent="0.2">
      <c r="A79" s="282"/>
      <c r="B79" s="282"/>
      <c r="C79" s="282"/>
      <c r="D79" s="282"/>
      <c r="E79" s="282"/>
      <c r="F79" s="282"/>
      <c r="G79" s="282"/>
      <c r="H79" s="282"/>
      <c r="I79" s="282"/>
      <c r="J79" s="282"/>
      <c r="K79" s="282"/>
      <c r="L79" s="282"/>
      <c r="M79" s="282"/>
      <c r="N79" s="282"/>
      <c r="O79" s="282"/>
      <c r="P79" s="282"/>
      <c r="Q79" s="282"/>
      <c r="R79" s="282"/>
      <c r="S79" s="282"/>
      <c r="T79" s="282"/>
      <c r="U79" s="282"/>
      <c r="V79" s="1009"/>
      <c r="W79" s="1009"/>
      <c r="X79" s="282"/>
    </row>
    <row r="80" spans="1:24" x14ac:dyDescent="0.2">
      <c r="A80" s="282"/>
      <c r="B80" s="282"/>
      <c r="C80" s="282"/>
      <c r="D80" s="282"/>
      <c r="E80" s="282"/>
      <c r="F80" s="282"/>
      <c r="G80" s="282"/>
      <c r="H80" s="282"/>
      <c r="I80" s="282"/>
      <c r="J80" s="282"/>
      <c r="K80" s="282"/>
      <c r="L80" s="282"/>
      <c r="M80" s="282"/>
      <c r="N80" s="282"/>
      <c r="O80" s="282"/>
      <c r="P80" s="282"/>
      <c r="Q80" s="282"/>
      <c r="R80" s="282"/>
      <c r="S80" s="282"/>
      <c r="T80" s="282"/>
      <c r="U80" s="282"/>
      <c r="V80" s="1009"/>
      <c r="W80" s="1009"/>
      <c r="X80" s="282"/>
    </row>
    <row r="81" spans="1:24" x14ac:dyDescent="0.2">
      <c r="A81" s="282"/>
      <c r="B81" s="282"/>
      <c r="C81" s="282"/>
      <c r="D81" s="282"/>
      <c r="E81" s="282"/>
      <c r="F81" s="282"/>
      <c r="G81" s="282"/>
      <c r="H81" s="282"/>
      <c r="I81" s="282"/>
      <c r="J81" s="282"/>
      <c r="K81" s="282"/>
      <c r="L81" s="282"/>
      <c r="M81" s="282"/>
      <c r="N81" s="282"/>
      <c r="O81" s="282"/>
      <c r="P81" s="282"/>
      <c r="Q81" s="282"/>
      <c r="R81" s="282"/>
      <c r="S81" s="282"/>
      <c r="T81" s="282"/>
      <c r="U81" s="282"/>
      <c r="V81" s="1009"/>
      <c r="W81" s="1009"/>
      <c r="X81" s="282"/>
    </row>
    <row r="82" spans="1:24" x14ac:dyDescent="0.2">
      <c r="A82" s="282"/>
      <c r="B82" s="282"/>
      <c r="C82" s="282"/>
      <c r="D82" s="282"/>
      <c r="E82" s="282"/>
      <c r="F82" s="282"/>
      <c r="G82" s="282"/>
      <c r="H82" s="282"/>
      <c r="I82" s="282"/>
      <c r="J82" s="282"/>
      <c r="K82" s="282"/>
      <c r="L82" s="282"/>
      <c r="M82" s="282"/>
      <c r="N82" s="282"/>
      <c r="O82" s="282"/>
      <c r="P82" s="282"/>
      <c r="Q82" s="282"/>
      <c r="R82" s="282"/>
      <c r="S82" s="282"/>
      <c r="T82" s="282"/>
      <c r="U82" s="282"/>
      <c r="V82" s="1009"/>
      <c r="W82" s="1009"/>
      <c r="X82" s="282"/>
    </row>
    <row r="83" spans="1:24" x14ac:dyDescent="0.2">
      <c r="A83" s="282"/>
      <c r="B83" s="282"/>
      <c r="C83" s="282"/>
      <c r="D83" s="282"/>
      <c r="E83" s="282"/>
      <c r="F83" s="282"/>
      <c r="G83" s="282"/>
      <c r="H83" s="282"/>
      <c r="I83" s="282"/>
      <c r="J83" s="282"/>
      <c r="K83" s="282"/>
      <c r="L83" s="282"/>
      <c r="M83" s="282"/>
      <c r="N83" s="282"/>
      <c r="O83" s="282"/>
      <c r="P83" s="282"/>
      <c r="Q83" s="282"/>
      <c r="R83" s="282"/>
      <c r="S83" s="282"/>
      <c r="T83" s="282"/>
      <c r="U83" s="282"/>
      <c r="V83" s="1009"/>
      <c r="W83" s="1009"/>
      <c r="X83" s="282"/>
    </row>
    <row r="84" spans="1:24" x14ac:dyDescent="0.2">
      <c r="A84" s="282"/>
      <c r="B84" s="282"/>
      <c r="C84" s="282"/>
      <c r="D84" s="282"/>
      <c r="E84" s="282"/>
      <c r="F84" s="282"/>
      <c r="G84" s="282"/>
      <c r="H84" s="282"/>
      <c r="I84" s="282"/>
      <c r="J84" s="282"/>
      <c r="K84" s="282"/>
      <c r="L84" s="282"/>
      <c r="M84" s="282"/>
      <c r="N84" s="282"/>
      <c r="O84" s="282"/>
      <c r="P84" s="282"/>
      <c r="Q84" s="282"/>
      <c r="R84" s="282"/>
      <c r="S84" s="282"/>
      <c r="T84" s="282"/>
      <c r="U84" s="282"/>
      <c r="V84" s="1009"/>
      <c r="W84" s="1009"/>
      <c r="X84" s="282"/>
    </row>
    <row r="85" spans="1:24" x14ac:dyDescent="0.2">
      <c r="A85" s="282"/>
      <c r="B85" s="282"/>
      <c r="C85" s="282"/>
      <c r="D85" s="282"/>
      <c r="E85" s="282"/>
      <c r="F85" s="282"/>
      <c r="G85" s="282"/>
      <c r="H85" s="282"/>
      <c r="I85" s="282"/>
      <c r="J85" s="282"/>
      <c r="K85" s="282"/>
      <c r="L85" s="282"/>
      <c r="M85" s="282"/>
      <c r="N85" s="282"/>
      <c r="O85" s="282"/>
      <c r="P85" s="282"/>
      <c r="Q85" s="282"/>
      <c r="R85" s="282"/>
      <c r="S85" s="282"/>
      <c r="T85" s="282"/>
      <c r="U85" s="282"/>
      <c r="V85" s="1009"/>
      <c r="W85" s="1009"/>
      <c r="X85" s="282"/>
    </row>
    <row r="86" spans="1:24" x14ac:dyDescent="0.2">
      <c r="A86" s="282"/>
      <c r="B86" s="282"/>
      <c r="C86" s="282"/>
      <c r="D86" s="282"/>
      <c r="E86" s="282"/>
      <c r="F86" s="282"/>
      <c r="G86" s="282"/>
      <c r="H86" s="282"/>
      <c r="I86" s="282"/>
      <c r="J86" s="282"/>
      <c r="K86" s="282"/>
      <c r="L86" s="282"/>
      <c r="M86" s="282"/>
      <c r="N86" s="282"/>
      <c r="O86" s="282"/>
      <c r="P86" s="282"/>
      <c r="Q86" s="282"/>
      <c r="R86" s="282"/>
      <c r="S86" s="282"/>
      <c r="T86" s="282"/>
      <c r="U86" s="282"/>
      <c r="V86" s="1009"/>
      <c r="W86" s="1009"/>
      <c r="X86" s="282"/>
    </row>
    <row r="87" spans="1:24" x14ac:dyDescent="0.2">
      <c r="A87" s="282"/>
      <c r="B87" s="282"/>
      <c r="C87" s="282"/>
      <c r="D87" s="282"/>
      <c r="E87" s="282"/>
      <c r="F87" s="282"/>
      <c r="G87" s="282"/>
      <c r="H87" s="282"/>
      <c r="I87" s="282"/>
      <c r="J87" s="282"/>
      <c r="K87" s="282"/>
      <c r="L87" s="282"/>
      <c r="M87" s="282"/>
      <c r="N87" s="282"/>
      <c r="O87" s="282"/>
      <c r="P87" s="282"/>
      <c r="Q87" s="282"/>
      <c r="R87" s="282"/>
      <c r="S87" s="282"/>
      <c r="T87" s="282"/>
      <c r="U87" s="282"/>
      <c r="V87" s="1009"/>
      <c r="W87" s="1009"/>
      <c r="X87" s="282"/>
    </row>
    <row r="88" spans="1:24" x14ac:dyDescent="0.2">
      <c r="A88" s="282"/>
      <c r="B88" s="282"/>
      <c r="C88" s="282"/>
      <c r="D88" s="282"/>
      <c r="E88" s="282"/>
      <c r="F88" s="282"/>
      <c r="G88" s="282"/>
      <c r="H88" s="282"/>
      <c r="I88" s="282"/>
      <c r="J88" s="282"/>
      <c r="K88" s="282"/>
      <c r="L88" s="282"/>
      <c r="M88" s="282"/>
      <c r="N88" s="282"/>
      <c r="O88" s="282"/>
      <c r="P88" s="282"/>
      <c r="Q88" s="282"/>
      <c r="R88" s="282"/>
      <c r="S88" s="282"/>
      <c r="T88" s="282"/>
      <c r="U88" s="282"/>
      <c r="V88" s="1009"/>
      <c r="W88" s="1009"/>
      <c r="X88" s="282"/>
    </row>
    <row r="89" spans="1:24" x14ac:dyDescent="0.2">
      <c r="A89" s="282"/>
      <c r="B89" s="282"/>
      <c r="C89" s="282"/>
      <c r="D89" s="282"/>
      <c r="E89" s="282"/>
      <c r="F89" s="282"/>
      <c r="G89" s="282"/>
      <c r="H89" s="282"/>
      <c r="I89" s="282"/>
      <c r="J89" s="282"/>
      <c r="K89" s="282"/>
      <c r="L89" s="282"/>
      <c r="M89" s="282"/>
      <c r="N89" s="282"/>
      <c r="O89" s="282"/>
      <c r="P89" s="282"/>
      <c r="Q89" s="282"/>
      <c r="R89" s="282"/>
      <c r="S89" s="282"/>
      <c r="T89" s="282"/>
      <c r="U89" s="282"/>
      <c r="V89" s="1009"/>
      <c r="W89" s="1009"/>
      <c r="X89" s="282"/>
    </row>
    <row r="90" spans="1:24" x14ac:dyDescent="0.2">
      <c r="A90" s="282"/>
      <c r="B90" s="282"/>
      <c r="C90" s="282"/>
      <c r="D90" s="282"/>
      <c r="E90" s="282"/>
      <c r="F90" s="282"/>
      <c r="G90" s="282"/>
      <c r="H90" s="282"/>
      <c r="I90" s="282"/>
      <c r="J90" s="282"/>
      <c r="K90" s="282"/>
      <c r="L90" s="282"/>
      <c r="M90" s="282"/>
      <c r="N90" s="282"/>
      <c r="O90" s="282"/>
      <c r="P90" s="282"/>
      <c r="Q90" s="282"/>
      <c r="R90" s="282"/>
      <c r="S90" s="282"/>
      <c r="T90" s="282"/>
      <c r="U90" s="282"/>
      <c r="V90" s="1009"/>
      <c r="W90" s="1009"/>
      <c r="X90" s="282"/>
    </row>
    <row r="91" spans="1:24" x14ac:dyDescent="0.2">
      <c r="A91" s="282"/>
      <c r="B91" s="282"/>
      <c r="C91" s="282"/>
      <c r="D91" s="282"/>
      <c r="E91" s="282"/>
      <c r="F91" s="282"/>
      <c r="G91" s="282"/>
      <c r="H91" s="282"/>
      <c r="I91" s="282"/>
      <c r="J91" s="282"/>
      <c r="K91" s="282"/>
      <c r="L91" s="282"/>
      <c r="M91" s="282"/>
      <c r="N91" s="282"/>
      <c r="O91" s="282"/>
      <c r="P91" s="282"/>
      <c r="Q91" s="282"/>
      <c r="R91" s="282"/>
      <c r="S91" s="282"/>
      <c r="T91" s="282"/>
      <c r="U91" s="282"/>
      <c r="V91" s="1009"/>
      <c r="W91" s="1009"/>
      <c r="X91" s="282"/>
    </row>
    <row r="92" spans="1:24" x14ac:dyDescent="0.2">
      <c r="A92" s="282"/>
      <c r="B92" s="282"/>
      <c r="C92" s="282"/>
      <c r="D92" s="282"/>
      <c r="E92" s="282"/>
      <c r="F92" s="282"/>
      <c r="G92" s="282"/>
      <c r="H92" s="282"/>
      <c r="I92" s="282"/>
      <c r="J92" s="282"/>
      <c r="K92" s="282"/>
      <c r="L92" s="282"/>
      <c r="M92" s="282"/>
      <c r="N92" s="282"/>
      <c r="O92" s="282"/>
      <c r="P92" s="282"/>
      <c r="Q92" s="282"/>
      <c r="R92" s="282"/>
      <c r="S92" s="282"/>
      <c r="T92" s="282"/>
      <c r="U92" s="282"/>
      <c r="V92" s="1009"/>
      <c r="W92" s="1009"/>
      <c r="X92" s="282"/>
    </row>
    <row r="93" spans="1:24" x14ac:dyDescent="0.2">
      <c r="A93" s="282"/>
      <c r="B93" s="282"/>
      <c r="C93" s="282"/>
      <c r="D93" s="282"/>
      <c r="E93" s="282"/>
      <c r="F93" s="282"/>
      <c r="G93" s="282"/>
      <c r="H93" s="282"/>
      <c r="I93" s="282"/>
      <c r="J93" s="282"/>
      <c r="K93" s="282"/>
      <c r="L93" s="282"/>
      <c r="M93" s="282"/>
      <c r="N93" s="282"/>
      <c r="O93" s="282"/>
      <c r="P93" s="282"/>
      <c r="Q93" s="282"/>
      <c r="R93" s="282"/>
      <c r="S93" s="282"/>
      <c r="T93" s="282"/>
      <c r="U93" s="282"/>
      <c r="V93" s="1009"/>
      <c r="W93" s="1009"/>
      <c r="X93" s="282"/>
    </row>
    <row r="94" spans="1:24" x14ac:dyDescent="0.2">
      <c r="A94" s="282"/>
      <c r="B94" s="282"/>
      <c r="C94" s="282"/>
      <c r="D94" s="282"/>
      <c r="E94" s="282"/>
      <c r="F94" s="282"/>
      <c r="G94" s="282"/>
      <c r="H94" s="282"/>
      <c r="I94" s="282"/>
      <c r="J94" s="282"/>
      <c r="K94" s="282"/>
      <c r="L94" s="282"/>
      <c r="M94" s="282"/>
      <c r="N94" s="282"/>
      <c r="O94" s="282"/>
      <c r="P94" s="282"/>
      <c r="Q94" s="282"/>
      <c r="R94" s="282"/>
      <c r="S94" s="282"/>
      <c r="T94" s="282"/>
      <c r="U94" s="282"/>
      <c r="V94" s="1009"/>
      <c r="W94" s="1009"/>
      <c r="X94" s="282"/>
    </row>
    <row r="95" spans="1:24" x14ac:dyDescent="0.2">
      <c r="A95" s="282"/>
      <c r="B95" s="282"/>
      <c r="C95" s="282"/>
      <c r="D95" s="282"/>
      <c r="E95" s="282"/>
      <c r="F95" s="282"/>
      <c r="G95" s="282"/>
      <c r="H95" s="282"/>
      <c r="I95" s="282"/>
      <c r="J95" s="282"/>
      <c r="K95" s="282"/>
      <c r="L95" s="282"/>
      <c r="M95" s="282"/>
      <c r="N95" s="282"/>
      <c r="O95" s="282"/>
      <c r="P95" s="282"/>
      <c r="Q95" s="282"/>
      <c r="R95" s="282"/>
      <c r="S95" s="282"/>
      <c r="T95" s="282"/>
      <c r="U95" s="282"/>
      <c r="V95" s="1009"/>
      <c r="W95" s="1009"/>
      <c r="X95" s="282"/>
    </row>
    <row r="96" spans="1:24" x14ac:dyDescent="0.2">
      <c r="A96" s="282"/>
      <c r="B96" s="282"/>
      <c r="C96" s="282"/>
      <c r="D96" s="282"/>
      <c r="E96" s="282"/>
      <c r="F96" s="282"/>
      <c r="G96" s="282"/>
      <c r="H96" s="282"/>
      <c r="I96" s="282"/>
      <c r="J96" s="282"/>
      <c r="K96" s="282"/>
      <c r="L96" s="282"/>
      <c r="M96" s="282"/>
      <c r="N96" s="282"/>
      <c r="O96" s="282"/>
      <c r="P96" s="282"/>
      <c r="Q96" s="282"/>
      <c r="R96" s="282"/>
      <c r="S96" s="282"/>
      <c r="T96" s="282"/>
      <c r="U96" s="282"/>
      <c r="V96" s="1009"/>
      <c r="W96" s="1009"/>
      <c r="X96" s="282"/>
    </row>
    <row r="97" spans="1:24" x14ac:dyDescent="0.2">
      <c r="A97" s="282"/>
      <c r="B97" s="282"/>
      <c r="C97" s="282"/>
      <c r="D97" s="282"/>
      <c r="E97" s="282"/>
      <c r="F97" s="282"/>
      <c r="G97" s="282"/>
      <c r="H97" s="282"/>
      <c r="I97" s="282"/>
      <c r="J97" s="282"/>
      <c r="K97" s="282"/>
      <c r="L97" s="282"/>
      <c r="M97" s="282"/>
      <c r="N97" s="282"/>
      <c r="O97" s="282"/>
      <c r="P97" s="282"/>
      <c r="Q97" s="282"/>
      <c r="R97" s="282"/>
      <c r="S97" s="282"/>
      <c r="T97" s="282"/>
      <c r="U97" s="282"/>
      <c r="V97" s="1009"/>
      <c r="W97" s="1009"/>
      <c r="X97" s="282"/>
    </row>
    <row r="98" spans="1:24" x14ac:dyDescent="0.2">
      <c r="A98" s="282"/>
      <c r="B98" s="282"/>
      <c r="C98" s="282"/>
      <c r="D98" s="282"/>
      <c r="E98" s="282"/>
      <c r="F98" s="282"/>
      <c r="G98" s="282"/>
      <c r="H98" s="282"/>
      <c r="I98" s="282"/>
      <c r="J98" s="282"/>
      <c r="K98" s="282"/>
      <c r="L98" s="282"/>
      <c r="M98" s="282"/>
      <c r="N98" s="282"/>
      <c r="O98" s="282"/>
      <c r="P98" s="282"/>
      <c r="Q98" s="282"/>
      <c r="R98" s="282"/>
      <c r="S98" s="282"/>
      <c r="T98" s="282"/>
      <c r="U98" s="282"/>
      <c r="V98" s="1009"/>
      <c r="W98" s="1009"/>
      <c r="X98" s="282"/>
    </row>
    <row r="99" spans="1:24" x14ac:dyDescent="0.2">
      <c r="A99" s="282"/>
      <c r="B99" s="282"/>
      <c r="C99" s="282"/>
      <c r="D99" s="282"/>
      <c r="E99" s="282"/>
      <c r="F99" s="282"/>
      <c r="G99" s="282"/>
      <c r="H99" s="282"/>
      <c r="I99" s="282"/>
      <c r="J99" s="282"/>
      <c r="K99" s="282"/>
      <c r="L99" s="282"/>
      <c r="M99" s="282"/>
      <c r="N99" s="282"/>
      <c r="O99" s="282"/>
      <c r="P99" s="282"/>
      <c r="Q99" s="282"/>
      <c r="R99" s="282"/>
      <c r="S99" s="282"/>
      <c r="T99" s="282"/>
      <c r="U99" s="282"/>
      <c r="V99" s="1009"/>
      <c r="W99" s="1009"/>
      <c r="X99" s="282"/>
    </row>
    <row r="100" spans="1:24" x14ac:dyDescent="0.2">
      <c r="A100" s="282"/>
      <c r="B100" s="282"/>
      <c r="C100" s="282"/>
      <c r="D100" s="282"/>
      <c r="E100" s="282"/>
      <c r="F100" s="282"/>
      <c r="G100" s="282"/>
      <c r="H100" s="282"/>
      <c r="I100" s="282"/>
      <c r="J100" s="282"/>
      <c r="K100" s="282"/>
      <c r="L100" s="282"/>
      <c r="M100" s="282"/>
      <c r="N100" s="282"/>
      <c r="O100" s="282"/>
      <c r="P100" s="282"/>
      <c r="Q100" s="282"/>
      <c r="R100" s="282"/>
      <c r="S100" s="282"/>
      <c r="T100" s="282"/>
      <c r="U100" s="282"/>
      <c r="V100" s="1009"/>
      <c r="W100" s="1009"/>
      <c r="X100" s="282"/>
    </row>
    <row r="101" spans="1:24" x14ac:dyDescent="0.2">
      <c r="A101" s="282"/>
      <c r="B101" s="282"/>
      <c r="C101" s="282"/>
      <c r="D101" s="282"/>
      <c r="E101" s="282"/>
      <c r="F101" s="282"/>
      <c r="G101" s="282"/>
      <c r="H101" s="282"/>
      <c r="I101" s="282"/>
      <c r="J101" s="282"/>
      <c r="K101" s="99"/>
      <c r="L101" s="99"/>
      <c r="M101" s="282"/>
      <c r="N101" s="282"/>
      <c r="O101" s="282"/>
      <c r="P101" s="282"/>
      <c r="Q101" s="282"/>
      <c r="R101" s="282"/>
      <c r="S101" s="282"/>
      <c r="T101" s="282"/>
      <c r="U101" s="282"/>
      <c r="V101" s="1009"/>
      <c r="W101" s="1009"/>
      <c r="X101" s="282"/>
    </row>
    <row r="102" spans="1:24" x14ac:dyDescent="0.2">
      <c r="A102" s="282"/>
      <c r="B102" s="282"/>
      <c r="C102" s="282"/>
      <c r="D102" s="282"/>
      <c r="E102" s="282"/>
      <c r="F102" s="282"/>
      <c r="G102" s="282"/>
      <c r="H102" s="282"/>
      <c r="I102" s="282"/>
      <c r="J102" s="282"/>
      <c r="K102" s="99"/>
      <c r="L102" s="99"/>
      <c r="M102" s="282"/>
      <c r="N102" s="282"/>
      <c r="O102" s="282"/>
      <c r="P102" s="282"/>
      <c r="Q102" s="282"/>
      <c r="R102" s="282"/>
      <c r="S102" s="282"/>
      <c r="T102" s="282"/>
      <c r="U102" s="282"/>
      <c r="V102" s="1009"/>
      <c r="W102" s="1009"/>
      <c r="X102" s="282"/>
    </row>
    <row r="103" spans="1:24" x14ac:dyDescent="0.2">
      <c r="A103" s="282"/>
      <c r="B103" s="282"/>
      <c r="C103" s="282"/>
      <c r="D103" s="282"/>
      <c r="E103" s="282"/>
      <c r="F103" s="282"/>
      <c r="G103" s="282"/>
      <c r="H103" s="282"/>
      <c r="I103" s="282"/>
      <c r="J103" s="282"/>
      <c r="K103" s="99"/>
      <c r="L103" s="99"/>
      <c r="M103" s="282"/>
      <c r="N103" s="282"/>
      <c r="O103" s="282"/>
      <c r="P103" s="282"/>
      <c r="Q103" s="282"/>
      <c r="R103" s="282"/>
      <c r="S103" s="282"/>
      <c r="T103" s="282"/>
      <c r="U103" s="282"/>
      <c r="V103" s="1009"/>
      <c r="W103" s="1009"/>
      <c r="X103" s="282"/>
    </row>
    <row r="104" spans="1:24" x14ac:dyDescent="0.2">
      <c r="A104" s="282"/>
      <c r="B104" s="282"/>
      <c r="C104" s="282"/>
      <c r="D104" s="282"/>
      <c r="E104" s="282"/>
      <c r="F104" s="282"/>
      <c r="G104" s="282"/>
      <c r="H104" s="282"/>
      <c r="I104" s="282"/>
      <c r="J104" s="282"/>
      <c r="K104" s="99"/>
      <c r="L104" s="99"/>
      <c r="M104" s="282"/>
      <c r="N104" s="282"/>
      <c r="O104" s="282"/>
      <c r="P104" s="282"/>
      <c r="Q104" s="282"/>
      <c r="R104" s="282"/>
      <c r="S104" s="282"/>
      <c r="T104" s="282"/>
      <c r="U104" s="282"/>
      <c r="V104" s="1009"/>
      <c r="W104" s="1009"/>
      <c r="X104" s="282"/>
    </row>
    <row r="105" spans="1:24" x14ac:dyDescent="0.2">
      <c r="A105" s="282"/>
      <c r="B105" s="282"/>
      <c r="C105" s="282"/>
      <c r="D105" s="282"/>
      <c r="E105" s="282"/>
      <c r="F105" s="282"/>
      <c r="G105" s="282"/>
      <c r="H105" s="282"/>
      <c r="I105" s="282"/>
      <c r="J105" s="282"/>
      <c r="K105" s="99"/>
      <c r="L105" s="99"/>
      <c r="M105" s="282"/>
      <c r="N105" s="282"/>
      <c r="O105" s="282"/>
      <c r="P105" s="282"/>
      <c r="Q105" s="282"/>
      <c r="R105" s="282"/>
      <c r="S105" s="282"/>
      <c r="T105" s="282"/>
      <c r="U105" s="282"/>
      <c r="V105" s="1009"/>
      <c r="W105" s="1009"/>
      <c r="X105" s="282"/>
    </row>
    <row r="106" spans="1:24" x14ac:dyDescent="0.2">
      <c r="A106" s="282"/>
      <c r="B106" s="282"/>
      <c r="C106" s="282"/>
      <c r="D106" s="282"/>
      <c r="E106" s="282"/>
      <c r="F106" s="282"/>
      <c r="G106" s="282"/>
      <c r="H106" s="282"/>
      <c r="I106" s="282"/>
      <c r="J106" s="282"/>
      <c r="K106" s="99"/>
      <c r="L106" s="99"/>
      <c r="M106" s="282"/>
      <c r="N106" s="282"/>
      <c r="O106" s="282"/>
      <c r="P106" s="282"/>
      <c r="Q106" s="282"/>
      <c r="R106" s="282"/>
      <c r="S106" s="282"/>
      <c r="T106" s="282"/>
      <c r="U106" s="282"/>
      <c r="V106" s="1009"/>
      <c r="W106" s="1009"/>
      <c r="X106" s="282"/>
    </row>
    <row r="107" spans="1:24" x14ac:dyDescent="0.2">
      <c r="A107" s="282"/>
      <c r="B107" s="282"/>
      <c r="C107" s="282"/>
      <c r="D107" s="282"/>
      <c r="E107" s="282"/>
      <c r="F107" s="282"/>
      <c r="G107" s="282"/>
      <c r="H107" s="282"/>
      <c r="I107" s="282"/>
      <c r="J107" s="282"/>
      <c r="M107" s="282"/>
      <c r="N107" s="282"/>
      <c r="O107" s="282"/>
      <c r="P107" s="282"/>
      <c r="Q107" s="282"/>
      <c r="R107" s="282"/>
      <c r="S107" s="282"/>
      <c r="T107" s="282"/>
      <c r="U107" s="282"/>
      <c r="V107" s="1009"/>
      <c r="W107" s="1009"/>
      <c r="X107" s="282"/>
    </row>
    <row r="108" spans="1:24" x14ac:dyDescent="0.2">
      <c r="A108" s="282"/>
      <c r="B108" s="282"/>
      <c r="C108" s="282"/>
      <c r="D108" s="282"/>
      <c r="E108" s="282"/>
      <c r="F108" s="282"/>
      <c r="G108" s="282"/>
      <c r="H108" s="282"/>
      <c r="I108" s="282"/>
      <c r="J108" s="282"/>
      <c r="M108" s="282"/>
      <c r="N108" s="282"/>
      <c r="O108" s="282"/>
      <c r="P108" s="282"/>
      <c r="Q108" s="282"/>
      <c r="R108" s="282"/>
      <c r="S108" s="282"/>
      <c r="T108" s="282"/>
      <c r="U108" s="282"/>
      <c r="V108" s="1009"/>
      <c r="W108" s="1009"/>
      <c r="X108" s="282"/>
    </row>
    <row r="109" spans="1:24" x14ac:dyDescent="0.2">
      <c r="A109" s="282"/>
      <c r="B109" s="282"/>
      <c r="C109" s="282"/>
      <c r="D109" s="282"/>
      <c r="E109" s="282"/>
      <c r="F109" s="282"/>
      <c r="G109" s="282"/>
      <c r="H109" s="282"/>
      <c r="I109" s="282"/>
      <c r="J109" s="282"/>
      <c r="M109" s="282"/>
      <c r="N109" s="282"/>
      <c r="O109" s="282"/>
      <c r="P109" s="282"/>
      <c r="Q109" s="282"/>
      <c r="R109" s="282"/>
      <c r="S109" s="282"/>
      <c r="T109" s="282"/>
      <c r="U109" s="282"/>
      <c r="V109" s="1009"/>
      <c r="W109" s="1009"/>
      <c r="X109" s="282"/>
    </row>
    <row r="110" spans="1:24" x14ac:dyDescent="0.2">
      <c r="A110" s="282"/>
      <c r="B110" s="282"/>
      <c r="C110" s="282"/>
      <c r="D110" s="282"/>
      <c r="E110" s="282"/>
      <c r="F110" s="282"/>
      <c r="G110" s="282"/>
      <c r="H110" s="282"/>
      <c r="I110" s="282"/>
      <c r="J110" s="282"/>
      <c r="M110" s="282"/>
      <c r="N110" s="282"/>
      <c r="O110" s="282"/>
      <c r="P110" s="282"/>
      <c r="Q110" s="282"/>
      <c r="R110" s="282"/>
      <c r="S110" s="282"/>
      <c r="T110" s="282"/>
      <c r="U110" s="282"/>
      <c r="V110" s="1009"/>
      <c r="W110" s="1009"/>
      <c r="X110" s="282"/>
    </row>
    <row r="111" spans="1:24" x14ac:dyDescent="0.2">
      <c r="A111" s="282"/>
      <c r="B111" s="282"/>
      <c r="C111" s="282"/>
      <c r="D111" s="282"/>
      <c r="E111" s="282"/>
      <c r="F111" s="282"/>
      <c r="G111" s="282"/>
      <c r="H111" s="282"/>
      <c r="I111" s="282"/>
      <c r="J111" s="282"/>
      <c r="M111" s="282"/>
      <c r="N111" s="282"/>
      <c r="O111" s="282"/>
      <c r="P111" s="282"/>
      <c r="Q111" s="282"/>
      <c r="R111" s="282"/>
      <c r="S111" s="282"/>
      <c r="T111" s="282"/>
      <c r="U111" s="282"/>
      <c r="V111" s="1009"/>
      <c r="W111" s="1009"/>
      <c r="X111" s="282"/>
    </row>
    <row r="112" spans="1:24" x14ac:dyDescent="0.2">
      <c r="A112" s="282"/>
      <c r="B112" s="282"/>
      <c r="C112" s="282"/>
      <c r="D112" s="282"/>
      <c r="E112" s="282"/>
      <c r="F112" s="282"/>
      <c r="G112" s="282"/>
      <c r="H112" s="282"/>
      <c r="I112" s="282"/>
      <c r="J112" s="282"/>
      <c r="M112" s="282"/>
      <c r="N112" s="282"/>
      <c r="O112" s="282"/>
      <c r="P112" s="282"/>
      <c r="Q112" s="282"/>
      <c r="R112" s="282"/>
      <c r="S112" s="282"/>
      <c r="T112" s="282"/>
      <c r="U112" s="282"/>
      <c r="V112" s="1009"/>
      <c r="W112" s="1009"/>
      <c r="X112" s="282"/>
    </row>
    <row r="113" spans="1:24" x14ac:dyDescent="0.2">
      <c r="A113" s="282"/>
      <c r="B113" s="282"/>
      <c r="C113" s="282"/>
      <c r="D113" s="282"/>
      <c r="E113" s="282"/>
      <c r="F113" s="282"/>
      <c r="G113" s="282"/>
      <c r="H113" s="282"/>
      <c r="I113" s="282"/>
      <c r="J113" s="282"/>
      <c r="M113" s="282"/>
      <c r="N113" s="282"/>
      <c r="O113" s="282"/>
      <c r="P113" s="282"/>
      <c r="Q113" s="282"/>
      <c r="R113" s="282"/>
      <c r="S113" s="282"/>
      <c r="T113" s="282"/>
      <c r="U113" s="282"/>
      <c r="V113" s="1009"/>
      <c r="W113" s="1009"/>
      <c r="X113" s="282"/>
    </row>
    <row r="114" spans="1:24" x14ac:dyDescent="0.2">
      <c r="A114" s="282"/>
      <c r="B114" s="282"/>
      <c r="C114" s="282"/>
      <c r="D114" s="282"/>
      <c r="E114" s="282"/>
      <c r="F114" s="282"/>
      <c r="G114" s="282"/>
      <c r="H114" s="282"/>
      <c r="I114" s="282"/>
      <c r="J114" s="282"/>
      <c r="M114" s="282"/>
      <c r="N114" s="282"/>
      <c r="O114" s="282"/>
      <c r="P114" s="282"/>
      <c r="Q114" s="282"/>
      <c r="R114" s="282"/>
      <c r="S114" s="282"/>
      <c r="T114" s="282"/>
      <c r="U114" s="282"/>
      <c r="V114" s="1009"/>
      <c r="W114" s="1009"/>
      <c r="X114" s="282"/>
    </row>
    <row r="115" spans="1:24" x14ac:dyDescent="0.2">
      <c r="A115" s="282"/>
      <c r="B115" s="282"/>
      <c r="C115" s="282"/>
      <c r="D115" s="282"/>
      <c r="E115" s="282"/>
      <c r="F115" s="282"/>
      <c r="G115" s="282"/>
      <c r="H115" s="282"/>
      <c r="I115" s="282"/>
      <c r="J115" s="282"/>
      <c r="M115" s="282"/>
      <c r="N115" s="282"/>
      <c r="O115" s="282"/>
      <c r="P115" s="282"/>
      <c r="Q115" s="282"/>
      <c r="R115" s="282"/>
      <c r="S115" s="282"/>
      <c r="T115" s="282"/>
      <c r="U115" s="282"/>
      <c r="V115" s="1009"/>
      <c r="W115" s="1009"/>
      <c r="X115" s="282"/>
    </row>
    <row r="116" spans="1:24" x14ac:dyDescent="0.2">
      <c r="A116" s="282"/>
      <c r="B116" s="282"/>
      <c r="C116" s="282"/>
      <c r="D116" s="282"/>
      <c r="E116" s="282"/>
      <c r="F116" s="282"/>
      <c r="G116" s="282"/>
      <c r="H116" s="282"/>
      <c r="I116" s="282"/>
      <c r="J116" s="282"/>
      <c r="M116" s="282"/>
      <c r="N116" s="282"/>
      <c r="O116" s="282"/>
      <c r="P116" s="282"/>
      <c r="Q116" s="282"/>
      <c r="R116" s="282"/>
      <c r="S116" s="282"/>
      <c r="T116" s="282"/>
      <c r="U116" s="282"/>
      <c r="V116" s="1009"/>
      <c r="W116" s="1009"/>
      <c r="X116" s="282"/>
    </row>
    <row r="117" spans="1:24" x14ac:dyDescent="0.2">
      <c r="A117" s="282"/>
      <c r="B117" s="282"/>
      <c r="C117" s="282"/>
      <c r="D117" s="282"/>
      <c r="E117" s="282"/>
      <c r="F117" s="282"/>
      <c r="G117" s="282"/>
      <c r="H117" s="282"/>
      <c r="I117" s="282"/>
      <c r="J117" s="282"/>
      <c r="M117" s="282"/>
      <c r="N117" s="282"/>
      <c r="O117" s="282"/>
      <c r="P117" s="282"/>
      <c r="Q117" s="282"/>
      <c r="R117" s="282"/>
      <c r="S117" s="282"/>
      <c r="T117" s="282"/>
      <c r="U117" s="282"/>
      <c r="V117" s="1009"/>
      <c r="W117" s="1009"/>
      <c r="X117" s="282"/>
    </row>
    <row r="118" spans="1:24" x14ac:dyDescent="0.2">
      <c r="A118" s="282"/>
      <c r="B118" s="282"/>
      <c r="C118" s="282"/>
      <c r="D118" s="282"/>
      <c r="E118" s="282"/>
      <c r="F118" s="282"/>
      <c r="G118" s="282"/>
      <c r="H118" s="282"/>
      <c r="I118" s="282"/>
      <c r="J118" s="282"/>
      <c r="M118" s="282"/>
      <c r="N118" s="282"/>
      <c r="O118" s="282"/>
      <c r="P118" s="282"/>
      <c r="Q118" s="282"/>
      <c r="R118" s="282"/>
      <c r="S118" s="282"/>
      <c r="T118" s="282"/>
      <c r="U118" s="282"/>
      <c r="V118" s="1009"/>
      <c r="W118" s="1009"/>
      <c r="X118" s="282"/>
    </row>
    <row r="119" spans="1:24" x14ac:dyDescent="0.2">
      <c r="A119" s="99"/>
      <c r="B119" s="99"/>
      <c r="C119" s="99"/>
      <c r="D119" s="99"/>
      <c r="E119" s="99"/>
      <c r="F119" s="99"/>
      <c r="G119" s="99"/>
      <c r="H119" s="99"/>
      <c r="I119" s="99"/>
      <c r="J119" s="99"/>
      <c r="M119" s="99"/>
      <c r="N119" s="99"/>
      <c r="O119" s="99"/>
      <c r="P119" s="99"/>
      <c r="Q119" s="99"/>
      <c r="R119" s="99"/>
      <c r="S119" s="99"/>
      <c r="T119" s="99"/>
      <c r="U119" s="99"/>
      <c r="X119" s="99"/>
    </row>
    <row r="120" spans="1:24" x14ac:dyDescent="0.2">
      <c r="A120" s="99"/>
      <c r="B120" s="99"/>
      <c r="C120" s="99"/>
      <c r="D120" s="99"/>
      <c r="E120" s="99"/>
      <c r="F120" s="99"/>
      <c r="G120" s="99"/>
      <c r="H120" s="99"/>
      <c r="I120" s="99"/>
      <c r="J120" s="99"/>
      <c r="M120" s="99"/>
      <c r="N120" s="99"/>
      <c r="O120" s="99"/>
      <c r="P120" s="99"/>
      <c r="Q120" s="99"/>
      <c r="R120" s="99"/>
      <c r="S120" s="99"/>
      <c r="T120" s="99"/>
      <c r="U120" s="99"/>
      <c r="X120" s="99"/>
    </row>
    <row r="121" spans="1:24" x14ac:dyDescent="0.2">
      <c r="A121" s="99"/>
      <c r="B121" s="99"/>
      <c r="C121" s="99"/>
      <c r="D121" s="99"/>
      <c r="E121" s="99"/>
      <c r="F121" s="99"/>
      <c r="G121" s="99"/>
      <c r="H121" s="99"/>
      <c r="I121" s="99"/>
      <c r="J121" s="99"/>
      <c r="M121" s="99"/>
      <c r="N121" s="99"/>
      <c r="O121" s="99"/>
      <c r="P121" s="99"/>
      <c r="Q121" s="99"/>
      <c r="R121" s="99"/>
      <c r="S121" s="99"/>
      <c r="T121" s="99"/>
      <c r="U121" s="99"/>
      <c r="X121" s="99"/>
    </row>
    <row r="122" spans="1:24" x14ac:dyDescent="0.2">
      <c r="A122" s="99"/>
      <c r="B122" s="99"/>
      <c r="C122" s="99"/>
      <c r="D122" s="99"/>
      <c r="E122" s="99"/>
      <c r="F122" s="99"/>
      <c r="G122" s="99"/>
      <c r="H122" s="99"/>
      <c r="I122" s="99"/>
      <c r="J122" s="99"/>
      <c r="M122" s="99"/>
      <c r="N122" s="99"/>
      <c r="O122" s="99"/>
      <c r="P122" s="99"/>
      <c r="Q122" s="99"/>
      <c r="R122" s="99"/>
      <c r="S122" s="99"/>
      <c r="T122" s="99"/>
      <c r="U122" s="99"/>
      <c r="X122" s="99"/>
    </row>
    <row r="123" spans="1:24" x14ac:dyDescent="0.2">
      <c r="A123" s="99"/>
      <c r="B123" s="99"/>
      <c r="C123" s="99"/>
      <c r="D123" s="99"/>
      <c r="E123" s="99"/>
      <c r="F123" s="99"/>
      <c r="G123" s="99"/>
      <c r="H123" s="99"/>
      <c r="I123" s="99"/>
      <c r="J123" s="99"/>
      <c r="M123" s="99"/>
      <c r="N123" s="99"/>
      <c r="O123" s="99"/>
      <c r="P123" s="99"/>
      <c r="Q123" s="99"/>
      <c r="R123" s="99"/>
      <c r="S123" s="99"/>
      <c r="T123" s="99"/>
      <c r="U123" s="99"/>
      <c r="X123" s="99"/>
    </row>
    <row r="124" spans="1:24" x14ac:dyDescent="0.2">
      <c r="A124" s="99"/>
      <c r="B124" s="99"/>
      <c r="C124" s="99"/>
      <c r="D124" s="99"/>
      <c r="E124" s="99"/>
      <c r="F124" s="99"/>
      <c r="G124" s="99"/>
      <c r="H124" s="99"/>
      <c r="I124" s="99"/>
      <c r="J124" s="99"/>
      <c r="M124" s="99"/>
      <c r="N124" s="99"/>
      <c r="O124" s="99"/>
      <c r="P124" s="99"/>
      <c r="Q124" s="99"/>
      <c r="R124" s="99"/>
      <c r="S124" s="99"/>
      <c r="T124" s="99"/>
      <c r="U124" s="99"/>
      <c r="X124" s="99"/>
    </row>
  </sheetData>
  <sortState ref="A13:AK62">
    <sortCondition ref="I13:I62"/>
  </sortState>
  <customSheetViews>
    <customSheetView guid="{4892E1C0-7A56-4F81-A857-987D77EC4462}" scale="80">
      <pane xSplit="2" ySplit="11" topLeftCell="C33" activePane="bottomRight" state="frozen"/>
      <selection pane="bottomRight" activeCell="S26" sqref="S26"/>
      <pageMargins left="0.2" right="0.2" top="0.75" bottom="0.75" header="0.3" footer="0.3"/>
      <pageSetup paperSize="5" orientation="landscape" r:id="rId1"/>
      <headerFooter>
        <oddHeader>&amp;L&amp;G&amp;CShowAcronymGoesHere - PSM&amp;R&amp;P</oddHeader>
        <oddFooter>&amp;L&amp;D&amp;R&amp;Z&amp;F</oddFooter>
      </headerFooter>
    </customSheetView>
    <customSheetView guid="{C29C6423-4E3D-4B08-919E-993C7C45FC31}" scale="80">
      <pane xSplit="2" ySplit="11" topLeftCell="C33" activePane="bottomRight" state="frozen"/>
      <selection pane="bottomRight" activeCell="S26" sqref="S26"/>
      <pageMargins left="0.2" right="0.2" top="0.75" bottom="0.75" header="0.3" footer="0.3"/>
      <pageSetup paperSize="5" orientation="landscape" r:id="rId2"/>
      <headerFooter>
        <oddHeader>&amp;L&amp;G&amp;CShowAcronymGoesHere - PSM&amp;R&amp;P</oddHeader>
        <oddFooter>&amp;L&amp;D&amp;R&amp;Z&amp;F</oddFooter>
      </headerFooter>
    </customSheetView>
  </customSheetViews>
  <mergeCells count="2">
    <mergeCell ref="A55:I55"/>
    <mergeCell ref="A56:I56"/>
  </mergeCells>
  <phoneticPr fontId="6" type="noConversion"/>
  <pageMargins left="0.2" right="0.2" top="0.75" bottom="0.75" header="0.3" footer="0.3"/>
  <pageSetup paperSize="5" orientation="landscape" r:id="rId3"/>
  <headerFooter>
    <oddHeader>&amp;L&amp;G&amp;CShowAcronymGoesHere - PSM&amp;R&amp;P</oddHeader>
    <oddFooter>&amp;L&amp;D&amp;R&amp;Z&amp;F</oddFooter>
  </headerFooter>
  <customProperties>
    <customPr name="DVSECTIONID" r:id="rId4"/>
  </customProperties>
  <legacyDrawing r:id="rId5"/>
  <legacyDrawingHF r:id="rId6"/>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T98"/>
  <sheetViews>
    <sheetView tabSelected="1" topLeftCell="O1" zoomScale="115" zoomScaleNormal="115" workbookViewId="0">
      <selection activeCell="P3" sqref="P3"/>
    </sheetView>
  </sheetViews>
  <sheetFormatPr defaultRowHeight="12.75" x14ac:dyDescent="0.2"/>
  <cols>
    <col min="1" max="1" width="5.5703125" customWidth="1"/>
    <col min="2" max="2" width="18.42578125" customWidth="1"/>
    <col min="3" max="3" width="6" customWidth="1"/>
    <col min="4" max="4" width="12.42578125" customWidth="1"/>
    <col min="5" max="6" width="11.28515625" style="783" customWidth="1"/>
    <col min="7" max="7" width="7.85546875" customWidth="1"/>
    <col min="8" max="8" width="7.7109375" style="943" hidden="1" customWidth="1"/>
    <col min="9" max="9" width="10" customWidth="1"/>
    <col min="10" max="10" width="8.42578125" customWidth="1"/>
    <col min="11" max="11" width="9.28515625" customWidth="1"/>
    <col min="12" max="12" width="7.85546875" bestFit="1" customWidth="1"/>
    <col min="13" max="13" width="16.42578125" style="1075" bestFit="1" customWidth="1"/>
    <col min="14" max="14" width="17.7109375" style="1075" bestFit="1" customWidth="1"/>
    <col min="15" max="15" width="27.5703125" style="1181" customWidth="1"/>
    <col min="16" max="16" width="116.7109375" style="1179" customWidth="1"/>
    <col min="17" max="17" width="6" style="438" customWidth="1"/>
    <col min="18" max="18" width="11.28515625" customWidth="1"/>
    <col min="19" max="19" width="3.28515625" hidden="1" customWidth="1"/>
  </cols>
  <sheetData>
    <row r="1" spans="1:19" s="331" customFormat="1" ht="15" x14ac:dyDescent="0.2">
      <c r="A1" s="326" t="s">
        <v>1819</v>
      </c>
      <c r="B1" s="327" t="s">
        <v>1923</v>
      </c>
      <c r="C1" s="328" t="s">
        <v>1922</v>
      </c>
      <c r="D1" s="704"/>
      <c r="E1" s="329"/>
      <c r="F1" s="329"/>
      <c r="G1" s="329"/>
      <c r="H1" s="329"/>
      <c r="I1" s="330">
        <v>575</v>
      </c>
      <c r="J1" s="330">
        <v>635</v>
      </c>
      <c r="K1" s="330">
        <v>685</v>
      </c>
      <c r="L1" s="703">
        <v>0</v>
      </c>
      <c r="M1" s="820" t="s">
        <v>1924</v>
      </c>
      <c r="N1" s="1076"/>
      <c r="O1" s="1182" t="s">
        <v>2818</v>
      </c>
      <c r="P1" s="1178" t="s">
        <v>2820</v>
      </c>
      <c r="Q1" s="326" t="s">
        <v>158</v>
      </c>
      <c r="R1" s="329" t="s">
        <v>2821</v>
      </c>
      <c r="S1" s="326"/>
    </row>
    <row r="2" spans="1:19" s="733" customFormat="1" ht="90" customHeight="1" thickBot="1" x14ac:dyDescent="0.25">
      <c r="A2" s="326" t="s">
        <v>2198</v>
      </c>
      <c r="B2" s="327" t="s">
        <v>1961</v>
      </c>
      <c r="C2" s="336" t="s">
        <v>1922</v>
      </c>
      <c r="D2" s="707"/>
      <c r="E2" s="329"/>
      <c r="F2" s="329"/>
      <c r="G2" s="329" t="s">
        <v>619</v>
      </c>
      <c r="H2" s="329"/>
      <c r="I2" s="330">
        <v>575</v>
      </c>
      <c r="J2" s="330">
        <v>575</v>
      </c>
      <c r="K2" s="330">
        <v>685</v>
      </c>
      <c r="L2" s="703">
        <v>0</v>
      </c>
      <c r="M2" s="820" t="s">
        <v>1924</v>
      </c>
      <c r="N2" s="1077"/>
      <c r="O2" s="326" t="s">
        <v>2818</v>
      </c>
      <c r="P2" s="1178" t="s">
        <v>2822</v>
      </c>
      <c r="Q2" s="326" t="s">
        <v>158</v>
      </c>
      <c r="R2" s="329" t="s">
        <v>2821</v>
      </c>
      <c r="S2" s="326"/>
    </row>
    <row r="3" spans="1:19" s="331" customFormat="1" ht="84" customHeight="1" x14ac:dyDescent="0.2">
      <c r="A3" s="326" t="s">
        <v>2685</v>
      </c>
      <c r="B3" s="327" t="s">
        <v>2681</v>
      </c>
      <c r="C3" s="328" t="s">
        <v>2682</v>
      </c>
      <c r="D3" s="704"/>
      <c r="E3" s="329"/>
      <c r="F3" s="329"/>
      <c r="G3" s="329"/>
      <c r="H3" s="329"/>
      <c r="I3" s="330">
        <v>300</v>
      </c>
      <c r="J3" s="330">
        <v>300</v>
      </c>
      <c r="K3" s="330">
        <v>300</v>
      </c>
      <c r="L3" s="703">
        <v>0</v>
      </c>
      <c r="M3" s="820" t="s">
        <v>2751</v>
      </c>
      <c r="N3" s="1074"/>
      <c r="O3" s="1182" t="s">
        <v>2818</v>
      </c>
      <c r="P3" s="1178" t="s">
        <v>2823</v>
      </c>
      <c r="Q3" s="326" t="s">
        <v>158</v>
      </c>
      <c r="R3" s="329" t="s">
        <v>2821</v>
      </c>
      <c r="S3" s="326"/>
    </row>
    <row r="4" spans="1:19" s="331" customFormat="1" ht="15" x14ac:dyDescent="0.2">
      <c r="A4" s="326" t="s">
        <v>2066</v>
      </c>
      <c r="B4" s="327" t="s">
        <v>1926</v>
      </c>
      <c r="C4" s="328" t="s">
        <v>1925</v>
      </c>
      <c r="D4" s="704"/>
      <c r="E4" s="329"/>
      <c r="F4" s="329"/>
      <c r="G4" s="329"/>
      <c r="H4" s="329"/>
      <c r="I4" s="330">
        <v>645</v>
      </c>
      <c r="J4" s="330">
        <v>695</v>
      </c>
      <c r="K4" s="330">
        <v>735</v>
      </c>
      <c r="L4" s="703">
        <v>0</v>
      </c>
      <c r="M4" s="820" t="s">
        <v>1927</v>
      </c>
      <c r="N4" s="820"/>
      <c r="O4" s="1182" t="s">
        <v>2818</v>
      </c>
      <c r="P4" s="1178" t="s">
        <v>2823</v>
      </c>
      <c r="Q4" s="326" t="s">
        <v>158</v>
      </c>
      <c r="R4" s="329" t="s">
        <v>2821</v>
      </c>
      <c r="S4" s="326"/>
    </row>
    <row r="5" spans="1:19" s="733" customFormat="1" ht="24" x14ac:dyDescent="0.2">
      <c r="A5" s="326" t="s">
        <v>2147</v>
      </c>
      <c r="B5" s="327" t="s">
        <v>1932</v>
      </c>
      <c r="C5" s="328" t="s">
        <v>2068</v>
      </c>
      <c r="D5" s="704" t="s">
        <v>2069</v>
      </c>
      <c r="E5" s="329"/>
      <c r="F5" s="329"/>
      <c r="G5" s="329"/>
      <c r="H5" s="329"/>
      <c r="I5" s="330">
        <v>355</v>
      </c>
      <c r="J5" s="330">
        <v>355</v>
      </c>
      <c r="K5" s="330">
        <v>355</v>
      </c>
      <c r="L5" s="703" t="s">
        <v>2730</v>
      </c>
      <c r="M5" s="820" t="s">
        <v>1933</v>
      </c>
      <c r="N5" s="820"/>
      <c r="O5" s="1182" t="s">
        <v>2818</v>
      </c>
      <c r="P5" s="1178" t="s">
        <v>2824</v>
      </c>
      <c r="Q5" s="326" t="s">
        <v>158</v>
      </c>
      <c r="R5" s="329" t="s">
        <v>2821</v>
      </c>
      <c r="S5" s="326"/>
    </row>
    <row r="6" spans="1:19" s="733" customFormat="1" ht="24" x14ac:dyDescent="0.2">
      <c r="A6" s="326" t="s">
        <v>2148</v>
      </c>
      <c r="B6" s="327" t="s">
        <v>2071</v>
      </c>
      <c r="C6" s="328" t="s">
        <v>2068</v>
      </c>
      <c r="D6" s="704" t="s">
        <v>2069</v>
      </c>
      <c r="E6" s="329" t="s">
        <v>613</v>
      </c>
      <c r="F6" s="329"/>
      <c r="G6" s="329"/>
      <c r="H6" s="329"/>
      <c r="I6" s="330">
        <v>115</v>
      </c>
      <c r="J6" s="330">
        <v>115</v>
      </c>
      <c r="K6" s="330">
        <v>115</v>
      </c>
      <c r="L6" s="703">
        <v>0</v>
      </c>
      <c r="M6" s="820" t="s">
        <v>2204</v>
      </c>
      <c r="N6" s="1074" t="s">
        <v>1933</v>
      </c>
      <c r="O6" s="1182" t="s">
        <v>2818</v>
      </c>
      <c r="P6" s="1178" t="s">
        <v>2825</v>
      </c>
      <c r="Q6" s="326" t="s">
        <v>158</v>
      </c>
      <c r="R6" s="329" t="s">
        <v>2821</v>
      </c>
      <c r="S6" s="326"/>
    </row>
    <row r="7" spans="1:19" s="656" customFormat="1" ht="24" x14ac:dyDescent="0.2">
      <c r="A7" s="326" t="s">
        <v>2149</v>
      </c>
      <c r="B7" s="327" t="s">
        <v>2073</v>
      </c>
      <c r="C7" s="328" t="s">
        <v>2068</v>
      </c>
      <c r="D7" s="704" t="s">
        <v>2069</v>
      </c>
      <c r="E7" s="329" t="s">
        <v>74</v>
      </c>
      <c r="F7" s="329"/>
      <c r="G7" s="329"/>
      <c r="H7" s="329"/>
      <c r="I7" s="330">
        <v>115</v>
      </c>
      <c r="J7" s="330">
        <v>115</v>
      </c>
      <c r="K7" s="330">
        <v>115</v>
      </c>
      <c r="L7" s="703">
        <v>0</v>
      </c>
      <c r="M7" s="820" t="s">
        <v>2205</v>
      </c>
      <c r="N7" s="1078" t="s">
        <v>1933</v>
      </c>
      <c r="O7" s="1182" t="s">
        <v>2818</v>
      </c>
      <c r="P7" s="1178" t="s">
        <v>2826</v>
      </c>
      <c r="Q7" s="326" t="s">
        <v>158</v>
      </c>
      <c r="R7" s="329" t="s">
        <v>2821</v>
      </c>
      <c r="S7" s="326"/>
    </row>
    <row r="8" spans="1:19" s="656" customFormat="1" ht="24" x14ac:dyDescent="0.2">
      <c r="A8" s="326" t="s">
        <v>2150</v>
      </c>
      <c r="B8" s="327" t="s">
        <v>2075</v>
      </c>
      <c r="C8" s="328" t="s">
        <v>2068</v>
      </c>
      <c r="D8" s="704" t="s">
        <v>2069</v>
      </c>
      <c r="E8" s="329" t="s">
        <v>156</v>
      </c>
      <c r="F8" s="329"/>
      <c r="G8" s="329"/>
      <c r="H8" s="329"/>
      <c r="I8" s="330">
        <v>125</v>
      </c>
      <c r="J8" s="330">
        <v>125</v>
      </c>
      <c r="K8" s="330">
        <v>125</v>
      </c>
      <c r="L8" s="703">
        <v>0</v>
      </c>
      <c r="M8" s="820" t="s">
        <v>2206</v>
      </c>
      <c r="N8" s="1078" t="s">
        <v>1933</v>
      </c>
      <c r="O8" s="1182" t="s">
        <v>2818</v>
      </c>
      <c r="P8" s="1178" t="s">
        <v>2827</v>
      </c>
      <c r="Q8" s="326" t="s">
        <v>158</v>
      </c>
      <c r="R8" s="329" t="s">
        <v>2821</v>
      </c>
      <c r="S8" s="326"/>
    </row>
    <row r="9" spans="1:19" s="656" customFormat="1" ht="24" x14ac:dyDescent="0.2">
      <c r="A9" s="326" t="s">
        <v>2151</v>
      </c>
      <c r="B9" s="327" t="s">
        <v>2077</v>
      </c>
      <c r="C9" s="328" t="s">
        <v>1931</v>
      </c>
      <c r="D9" s="704" t="s">
        <v>2069</v>
      </c>
      <c r="E9" s="329" t="s">
        <v>166</v>
      </c>
      <c r="F9" s="329"/>
      <c r="G9" s="329"/>
      <c r="H9" s="329"/>
      <c r="I9" s="330">
        <v>25</v>
      </c>
      <c r="J9" s="330">
        <v>25</v>
      </c>
      <c r="K9" s="330">
        <v>25</v>
      </c>
      <c r="L9" s="703">
        <v>0</v>
      </c>
      <c r="M9" s="820" t="s">
        <v>2207</v>
      </c>
      <c r="N9" s="1078" t="s">
        <v>1933</v>
      </c>
      <c r="O9" s="1182" t="s">
        <v>2818</v>
      </c>
      <c r="P9" s="1178" t="s">
        <v>2828</v>
      </c>
      <c r="Q9" s="326" t="s">
        <v>158</v>
      </c>
      <c r="R9" s="329" t="s">
        <v>2821</v>
      </c>
      <c r="S9" s="326"/>
    </row>
    <row r="10" spans="1:19" s="656" customFormat="1" ht="24" x14ac:dyDescent="0.2">
      <c r="A10" s="326" t="s">
        <v>2067</v>
      </c>
      <c r="B10" s="327" t="s">
        <v>2078</v>
      </c>
      <c r="C10" s="328" t="s">
        <v>2068</v>
      </c>
      <c r="D10" s="704" t="s">
        <v>2069</v>
      </c>
      <c r="E10" s="329" t="s">
        <v>1964</v>
      </c>
      <c r="F10" s="329"/>
      <c r="G10" s="329"/>
      <c r="H10" s="329"/>
      <c r="I10" s="330">
        <v>230</v>
      </c>
      <c r="J10" s="330">
        <v>230</v>
      </c>
      <c r="K10" s="330">
        <v>230</v>
      </c>
      <c r="L10" s="703">
        <v>0</v>
      </c>
      <c r="M10" s="820" t="s">
        <v>2208</v>
      </c>
      <c r="N10" s="1078" t="s">
        <v>1933</v>
      </c>
      <c r="O10" s="1182" t="s">
        <v>2818</v>
      </c>
      <c r="P10" s="1178" t="s">
        <v>2829</v>
      </c>
      <c r="Q10" s="326" t="s">
        <v>158</v>
      </c>
      <c r="R10" s="329" t="s">
        <v>2821</v>
      </c>
      <c r="S10" s="326"/>
    </row>
    <row r="11" spans="1:19" s="656" customFormat="1" ht="24" x14ac:dyDescent="0.2">
      <c r="A11" s="326" t="s">
        <v>2070</v>
      </c>
      <c r="B11" s="327" t="s">
        <v>2079</v>
      </c>
      <c r="C11" s="328" t="s">
        <v>2068</v>
      </c>
      <c r="D11" s="704" t="s">
        <v>2069</v>
      </c>
      <c r="E11" s="329" t="s">
        <v>1966</v>
      </c>
      <c r="F11" s="329"/>
      <c r="G11" s="329"/>
      <c r="H11" s="329"/>
      <c r="I11" s="330">
        <v>240</v>
      </c>
      <c r="J11" s="330">
        <v>240</v>
      </c>
      <c r="K11" s="330">
        <v>240</v>
      </c>
      <c r="L11" s="703">
        <v>0</v>
      </c>
      <c r="M11" s="820" t="s">
        <v>2209</v>
      </c>
      <c r="N11" s="1078" t="s">
        <v>1933</v>
      </c>
      <c r="O11" s="1182" t="s">
        <v>2818</v>
      </c>
      <c r="P11" s="1178" t="s">
        <v>2830</v>
      </c>
      <c r="Q11" s="326" t="s">
        <v>158</v>
      </c>
      <c r="R11" s="329" t="s">
        <v>2821</v>
      </c>
      <c r="S11" s="326"/>
    </row>
    <row r="12" spans="1:19" s="656" customFormat="1" ht="42.75" customHeight="1" x14ac:dyDescent="0.2">
      <c r="A12" s="326" t="s">
        <v>2072</v>
      </c>
      <c r="B12" s="327" t="s">
        <v>2080</v>
      </c>
      <c r="C12" s="328" t="s">
        <v>1931</v>
      </c>
      <c r="D12" s="704" t="s">
        <v>2069</v>
      </c>
      <c r="E12" s="329" t="s">
        <v>1968</v>
      </c>
      <c r="F12" s="329"/>
      <c r="G12" s="329"/>
      <c r="H12" s="329"/>
      <c r="I12" s="330">
        <v>140</v>
      </c>
      <c r="J12" s="330">
        <v>140</v>
      </c>
      <c r="K12" s="330">
        <v>140</v>
      </c>
      <c r="L12" s="703">
        <v>0</v>
      </c>
      <c r="M12" s="820" t="s">
        <v>2210</v>
      </c>
      <c r="N12" s="1078" t="s">
        <v>1933</v>
      </c>
      <c r="O12" s="1182" t="s">
        <v>2818</v>
      </c>
      <c r="P12" s="1178" t="s">
        <v>2831</v>
      </c>
      <c r="Q12" s="326" t="s">
        <v>158</v>
      </c>
      <c r="R12" s="329" t="s">
        <v>2821</v>
      </c>
      <c r="S12" s="326"/>
    </row>
    <row r="13" spans="1:19" s="656" customFormat="1" ht="24" x14ac:dyDescent="0.2">
      <c r="A13" s="326" t="s">
        <v>2074</v>
      </c>
      <c r="B13" s="327" t="s">
        <v>2082</v>
      </c>
      <c r="C13" s="328" t="s">
        <v>2068</v>
      </c>
      <c r="D13" s="704" t="s">
        <v>2069</v>
      </c>
      <c r="E13" s="329" t="s">
        <v>1970</v>
      </c>
      <c r="F13" s="329"/>
      <c r="G13" s="329"/>
      <c r="H13" s="329"/>
      <c r="I13" s="330">
        <v>240</v>
      </c>
      <c r="J13" s="330">
        <v>240</v>
      </c>
      <c r="K13" s="330">
        <v>240</v>
      </c>
      <c r="L13" s="703">
        <v>0</v>
      </c>
      <c r="M13" s="820" t="s">
        <v>2211</v>
      </c>
      <c r="N13" s="1078" t="s">
        <v>1933</v>
      </c>
      <c r="O13" s="1182" t="s">
        <v>2818</v>
      </c>
      <c r="P13" s="1178" t="s">
        <v>2832</v>
      </c>
      <c r="Q13" s="326" t="s">
        <v>158</v>
      </c>
      <c r="R13" s="329" t="s">
        <v>2821</v>
      </c>
      <c r="S13" s="326"/>
    </row>
    <row r="14" spans="1:19" s="656" customFormat="1" ht="24" x14ac:dyDescent="0.2">
      <c r="A14" s="326" t="s">
        <v>2076</v>
      </c>
      <c r="B14" s="327" t="s">
        <v>2084</v>
      </c>
      <c r="C14" s="328" t="s">
        <v>1931</v>
      </c>
      <c r="D14" s="704" t="s">
        <v>2069</v>
      </c>
      <c r="E14" s="329" t="s">
        <v>1972</v>
      </c>
      <c r="F14" s="329"/>
      <c r="G14" s="329"/>
      <c r="H14" s="329"/>
      <c r="I14" s="330">
        <v>140</v>
      </c>
      <c r="J14" s="330">
        <v>140</v>
      </c>
      <c r="K14" s="330">
        <v>140</v>
      </c>
      <c r="L14" s="703">
        <v>0</v>
      </c>
      <c r="M14" s="820" t="s">
        <v>2212</v>
      </c>
      <c r="N14" s="1078" t="s">
        <v>1933</v>
      </c>
      <c r="O14" s="1182" t="s">
        <v>2818</v>
      </c>
      <c r="P14" s="1178" t="s">
        <v>2833</v>
      </c>
      <c r="Q14" s="326" t="s">
        <v>158</v>
      </c>
      <c r="R14" s="329" t="s">
        <v>2821</v>
      </c>
      <c r="S14" s="326"/>
    </row>
    <row r="15" spans="1:19" s="656" customFormat="1" ht="24" x14ac:dyDescent="0.2">
      <c r="A15" s="326" t="s">
        <v>2095</v>
      </c>
      <c r="B15" s="327" t="s">
        <v>2086</v>
      </c>
      <c r="C15" s="328" t="s">
        <v>1931</v>
      </c>
      <c r="D15" s="704" t="s">
        <v>2069</v>
      </c>
      <c r="E15" s="329" t="s">
        <v>1974</v>
      </c>
      <c r="F15" s="329"/>
      <c r="G15" s="329"/>
      <c r="H15" s="329"/>
      <c r="I15" s="330">
        <v>150</v>
      </c>
      <c r="J15" s="330">
        <v>150</v>
      </c>
      <c r="K15" s="330">
        <v>150</v>
      </c>
      <c r="L15" s="703">
        <v>0</v>
      </c>
      <c r="M15" s="820" t="s">
        <v>2213</v>
      </c>
      <c r="N15" s="1078" t="s">
        <v>1933</v>
      </c>
      <c r="O15" s="1182" t="s">
        <v>2818</v>
      </c>
      <c r="P15" s="1178" t="s">
        <v>2834</v>
      </c>
      <c r="Q15" s="326" t="s">
        <v>158</v>
      </c>
      <c r="R15" s="329" t="s">
        <v>2821</v>
      </c>
      <c r="S15" s="326"/>
    </row>
    <row r="16" spans="1:19" s="656" customFormat="1" ht="143.25" customHeight="1" x14ac:dyDescent="0.2">
      <c r="A16" s="326" t="s">
        <v>2124</v>
      </c>
      <c r="B16" s="327" t="s">
        <v>2088</v>
      </c>
      <c r="C16" s="328" t="s">
        <v>2068</v>
      </c>
      <c r="D16" s="704" t="s">
        <v>2069</v>
      </c>
      <c r="E16" s="329" t="s">
        <v>1976</v>
      </c>
      <c r="F16" s="329"/>
      <c r="G16" s="329"/>
      <c r="H16" s="329"/>
      <c r="I16" s="330">
        <v>355</v>
      </c>
      <c r="J16" s="330">
        <v>355</v>
      </c>
      <c r="K16" s="330">
        <v>355</v>
      </c>
      <c r="L16" s="703">
        <v>0</v>
      </c>
      <c r="M16" s="820" t="s">
        <v>2214</v>
      </c>
      <c r="N16" s="1078" t="s">
        <v>1933</v>
      </c>
      <c r="O16" s="1182" t="s">
        <v>2818</v>
      </c>
      <c r="P16" s="1178" t="s">
        <v>2824</v>
      </c>
      <c r="Q16" s="326" t="s">
        <v>158</v>
      </c>
      <c r="R16" s="329" t="s">
        <v>2821</v>
      </c>
      <c r="S16" s="326"/>
    </row>
    <row r="17" spans="1:19" s="656" customFormat="1" ht="36" x14ac:dyDescent="0.2">
      <c r="A17" s="326" t="s">
        <v>2125</v>
      </c>
      <c r="B17" s="327" t="s">
        <v>2090</v>
      </c>
      <c r="C17" s="328" t="s">
        <v>1931</v>
      </c>
      <c r="D17" s="704" t="s">
        <v>2069</v>
      </c>
      <c r="E17" s="329" t="s">
        <v>1978</v>
      </c>
      <c r="F17" s="329"/>
      <c r="G17" s="329"/>
      <c r="H17" s="329"/>
      <c r="I17" s="330">
        <v>255</v>
      </c>
      <c r="J17" s="330">
        <v>255</v>
      </c>
      <c r="K17" s="330">
        <v>255</v>
      </c>
      <c r="L17" s="703">
        <v>0</v>
      </c>
      <c r="M17" s="820" t="s">
        <v>2215</v>
      </c>
      <c r="N17" s="1078" t="s">
        <v>1933</v>
      </c>
      <c r="O17" s="1182" t="s">
        <v>2818</v>
      </c>
      <c r="P17" s="1178" t="s">
        <v>2829</v>
      </c>
      <c r="Q17" s="326" t="s">
        <v>158</v>
      </c>
      <c r="R17" s="329" t="s">
        <v>2821</v>
      </c>
      <c r="S17" s="326"/>
    </row>
    <row r="18" spans="1:19" s="656" customFormat="1" ht="36" x14ac:dyDescent="0.2">
      <c r="A18" s="326" t="s">
        <v>2126</v>
      </c>
      <c r="B18" s="327" t="s">
        <v>2092</v>
      </c>
      <c r="C18" s="328" t="s">
        <v>1931</v>
      </c>
      <c r="D18" s="704" t="s">
        <v>2069</v>
      </c>
      <c r="E18" s="329" t="s">
        <v>1982</v>
      </c>
      <c r="F18" s="329"/>
      <c r="G18" s="329"/>
      <c r="H18" s="329"/>
      <c r="I18" s="330">
        <v>265</v>
      </c>
      <c r="J18" s="330">
        <v>265</v>
      </c>
      <c r="K18" s="330">
        <v>265</v>
      </c>
      <c r="L18" s="703">
        <v>0</v>
      </c>
      <c r="M18" s="820" t="s">
        <v>2216</v>
      </c>
      <c r="N18" s="1078" t="s">
        <v>1933</v>
      </c>
      <c r="O18" s="1182" t="s">
        <v>2818</v>
      </c>
      <c r="P18" s="1178" t="s">
        <v>2830</v>
      </c>
      <c r="Q18" s="326" t="s">
        <v>158</v>
      </c>
      <c r="R18" s="329" t="s">
        <v>2821</v>
      </c>
      <c r="S18" s="326"/>
    </row>
    <row r="19" spans="1:19" s="656" customFormat="1" ht="36" x14ac:dyDescent="0.2">
      <c r="A19" s="326" t="s">
        <v>2127</v>
      </c>
      <c r="B19" s="327" t="s">
        <v>2094</v>
      </c>
      <c r="C19" s="328" t="s">
        <v>1931</v>
      </c>
      <c r="D19" s="704" t="s">
        <v>2069</v>
      </c>
      <c r="E19" s="329" t="s">
        <v>1980</v>
      </c>
      <c r="F19" s="329"/>
      <c r="G19" s="329"/>
      <c r="H19" s="329"/>
      <c r="I19" s="330">
        <v>265</v>
      </c>
      <c r="J19" s="330">
        <v>265</v>
      </c>
      <c r="K19" s="330">
        <v>265</v>
      </c>
      <c r="L19" s="703">
        <v>0</v>
      </c>
      <c r="M19" s="820" t="s">
        <v>2217</v>
      </c>
      <c r="N19" s="1078" t="s">
        <v>1933</v>
      </c>
      <c r="O19" s="1182" t="s">
        <v>2818</v>
      </c>
      <c r="P19" s="1178" t="s">
        <v>2832</v>
      </c>
      <c r="Q19" s="326" t="s">
        <v>158</v>
      </c>
      <c r="R19" s="329" t="s">
        <v>2821</v>
      </c>
      <c r="S19" s="326"/>
    </row>
    <row r="20" spans="1:19" s="733" customFormat="1" ht="24" x14ac:dyDescent="0.2">
      <c r="A20" s="326" t="s">
        <v>2138</v>
      </c>
      <c r="B20" s="327" t="s">
        <v>1929</v>
      </c>
      <c r="C20" s="328" t="s">
        <v>1928</v>
      </c>
      <c r="D20" s="704"/>
      <c r="E20" s="329"/>
      <c r="F20" s="329"/>
      <c r="G20" s="329"/>
      <c r="H20" s="329"/>
      <c r="I20" s="330">
        <v>510</v>
      </c>
      <c r="J20" s="330">
        <v>560</v>
      </c>
      <c r="K20" s="330">
        <v>610</v>
      </c>
      <c r="L20" s="703">
        <v>0</v>
      </c>
      <c r="M20" s="820" t="s">
        <v>1930</v>
      </c>
      <c r="N20" s="820"/>
      <c r="O20" s="1182" t="s">
        <v>2818</v>
      </c>
      <c r="P20" s="1178" t="s">
        <v>2823</v>
      </c>
      <c r="Q20" s="326" t="s">
        <v>158</v>
      </c>
      <c r="R20" s="329" t="s">
        <v>2821</v>
      </c>
      <c r="S20" s="326"/>
    </row>
    <row r="21" spans="1:19" s="733" customFormat="1" ht="24" x14ac:dyDescent="0.2">
      <c r="A21" s="326" t="s">
        <v>2450</v>
      </c>
      <c r="B21" s="327" t="s">
        <v>2451</v>
      </c>
      <c r="C21" s="328" t="s">
        <v>1928</v>
      </c>
      <c r="D21" s="704"/>
      <c r="E21" s="329" t="s">
        <v>613</v>
      </c>
      <c r="F21" s="329"/>
      <c r="G21" s="329"/>
      <c r="H21" s="329"/>
      <c r="I21" s="330">
        <v>175</v>
      </c>
      <c r="J21" s="330">
        <v>175</v>
      </c>
      <c r="K21" s="330">
        <v>175</v>
      </c>
      <c r="L21" s="703">
        <v>0</v>
      </c>
      <c r="M21" s="820" t="s">
        <v>2204</v>
      </c>
      <c r="N21" s="1074" t="s">
        <v>1930</v>
      </c>
      <c r="O21" s="1182" t="s">
        <v>2818</v>
      </c>
      <c r="P21" s="1178" t="s">
        <v>2825</v>
      </c>
      <c r="Q21" s="326" t="s">
        <v>158</v>
      </c>
      <c r="R21" s="329" t="s">
        <v>2821</v>
      </c>
      <c r="S21" s="326"/>
    </row>
    <row r="22" spans="1:19" s="733" customFormat="1" ht="24" x14ac:dyDescent="0.2">
      <c r="A22" s="326" t="s">
        <v>2452</v>
      </c>
      <c r="B22" s="327" t="s">
        <v>2453</v>
      </c>
      <c r="C22" s="328" t="s">
        <v>1928</v>
      </c>
      <c r="D22" s="704"/>
      <c r="E22" s="329" t="s">
        <v>74</v>
      </c>
      <c r="F22" s="329"/>
      <c r="G22" s="329"/>
      <c r="H22" s="329"/>
      <c r="I22" s="330">
        <v>175</v>
      </c>
      <c r="J22" s="330">
        <v>175</v>
      </c>
      <c r="K22" s="330">
        <v>175</v>
      </c>
      <c r="L22" s="703">
        <v>0</v>
      </c>
      <c r="M22" s="820" t="s">
        <v>2205</v>
      </c>
      <c r="N22" s="1074" t="s">
        <v>1930</v>
      </c>
      <c r="O22" s="1182" t="s">
        <v>2818</v>
      </c>
      <c r="P22" s="1178" t="s">
        <v>2835</v>
      </c>
      <c r="Q22" s="326" t="s">
        <v>158</v>
      </c>
      <c r="R22" s="329" t="s">
        <v>2821</v>
      </c>
      <c r="S22" s="326"/>
    </row>
    <row r="23" spans="1:19" s="733" customFormat="1" ht="24" x14ac:dyDescent="0.2">
      <c r="A23" s="326" t="s">
        <v>2454</v>
      </c>
      <c r="B23" s="327" t="s">
        <v>2455</v>
      </c>
      <c r="C23" s="328" t="s">
        <v>1928</v>
      </c>
      <c r="D23" s="704"/>
      <c r="E23" s="329" t="s">
        <v>156</v>
      </c>
      <c r="F23" s="329"/>
      <c r="G23" s="329"/>
      <c r="H23" s="329"/>
      <c r="I23" s="330">
        <v>175</v>
      </c>
      <c r="J23" s="330">
        <v>175</v>
      </c>
      <c r="K23" s="330">
        <v>175</v>
      </c>
      <c r="L23" s="703">
        <v>0</v>
      </c>
      <c r="M23" s="820" t="s">
        <v>2206</v>
      </c>
      <c r="N23" s="1074" t="s">
        <v>1930</v>
      </c>
      <c r="O23" s="1182" t="s">
        <v>2818</v>
      </c>
      <c r="P23" s="1178" t="s">
        <v>2827</v>
      </c>
      <c r="Q23" s="326" t="s">
        <v>158</v>
      </c>
      <c r="R23" s="329" t="s">
        <v>2821</v>
      </c>
      <c r="S23" s="326"/>
    </row>
    <row r="24" spans="1:19" s="733" customFormat="1" ht="24" x14ac:dyDescent="0.2">
      <c r="A24" s="326" t="s">
        <v>2143</v>
      </c>
      <c r="B24" s="327" t="s">
        <v>2152</v>
      </c>
      <c r="C24" s="328" t="s">
        <v>1928</v>
      </c>
      <c r="D24" s="704"/>
      <c r="E24" s="329" t="s">
        <v>166</v>
      </c>
      <c r="F24" s="329"/>
      <c r="G24" s="329"/>
      <c r="H24" s="329"/>
      <c r="I24" s="330">
        <v>25</v>
      </c>
      <c r="J24" s="330">
        <v>25</v>
      </c>
      <c r="K24" s="330">
        <v>25</v>
      </c>
      <c r="L24" s="703">
        <v>0</v>
      </c>
      <c r="M24" s="820" t="s">
        <v>2207</v>
      </c>
      <c r="N24" s="1074" t="s">
        <v>1930</v>
      </c>
      <c r="O24" s="1182" t="s">
        <v>2818</v>
      </c>
      <c r="P24" s="1178" t="s">
        <v>2828</v>
      </c>
      <c r="Q24" s="326" t="s">
        <v>158</v>
      </c>
      <c r="R24" s="329" t="s">
        <v>2821</v>
      </c>
      <c r="S24" s="326"/>
    </row>
    <row r="25" spans="1:19" s="733" customFormat="1" ht="24" x14ac:dyDescent="0.2">
      <c r="A25" s="326" t="s">
        <v>2145</v>
      </c>
      <c r="B25" s="327" t="s">
        <v>2154</v>
      </c>
      <c r="C25" s="328" t="s">
        <v>1928</v>
      </c>
      <c r="D25" s="704"/>
      <c r="E25" s="329" t="s">
        <v>1964</v>
      </c>
      <c r="F25" s="329"/>
      <c r="G25" s="329"/>
      <c r="H25" s="329"/>
      <c r="I25" s="330">
        <v>350</v>
      </c>
      <c r="J25" s="330">
        <v>350</v>
      </c>
      <c r="K25" s="330">
        <v>350</v>
      </c>
      <c r="L25" s="703">
        <v>0</v>
      </c>
      <c r="M25" s="820" t="s">
        <v>2208</v>
      </c>
      <c r="N25" s="1074" t="s">
        <v>1930</v>
      </c>
      <c r="O25" s="1182" t="s">
        <v>2818</v>
      </c>
      <c r="P25" s="1178" t="s">
        <v>2836</v>
      </c>
      <c r="Q25" s="326" t="s">
        <v>158</v>
      </c>
      <c r="R25" s="329" t="s">
        <v>2821</v>
      </c>
      <c r="S25" s="326"/>
    </row>
    <row r="26" spans="1:19" s="733" customFormat="1" ht="24" x14ac:dyDescent="0.2">
      <c r="A26" s="326" t="s">
        <v>2097</v>
      </c>
      <c r="B26" s="327" t="s">
        <v>2156</v>
      </c>
      <c r="C26" s="328" t="s">
        <v>1928</v>
      </c>
      <c r="D26" s="704"/>
      <c r="E26" s="329" t="s">
        <v>1966</v>
      </c>
      <c r="F26" s="329"/>
      <c r="G26" s="329"/>
      <c r="H26" s="329"/>
      <c r="I26" s="330">
        <v>350</v>
      </c>
      <c r="J26" s="330">
        <v>350</v>
      </c>
      <c r="K26" s="330">
        <v>350</v>
      </c>
      <c r="L26" s="703">
        <v>0</v>
      </c>
      <c r="M26" s="820" t="s">
        <v>2209</v>
      </c>
      <c r="N26" s="1074" t="s">
        <v>1930</v>
      </c>
      <c r="O26" s="1182" t="s">
        <v>2818</v>
      </c>
      <c r="P26" s="1178" t="s">
        <v>2830</v>
      </c>
      <c r="Q26" s="326" t="s">
        <v>158</v>
      </c>
      <c r="R26" s="329" t="s">
        <v>2821</v>
      </c>
      <c r="S26" s="326"/>
    </row>
    <row r="27" spans="1:19" s="733" customFormat="1" ht="24" x14ac:dyDescent="0.2">
      <c r="A27" s="326" t="s">
        <v>2099</v>
      </c>
      <c r="B27" s="327" t="s">
        <v>2158</v>
      </c>
      <c r="C27" s="328" t="s">
        <v>1928</v>
      </c>
      <c r="D27" s="704"/>
      <c r="E27" s="329" t="s">
        <v>1968</v>
      </c>
      <c r="F27" s="329"/>
      <c r="G27" s="329"/>
      <c r="H27" s="329"/>
      <c r="I27" s="330">
        <v>200</v>
      </c>
      <c r="J27" s="330">
        <v>200</v>
      </c>
      <c r="K27" s="330">
        <v>200</v>
      </c>
      <c r="L27" s="703">
        <v>0</v>
      </c>
      <c r="M27" s="820" t="s">
        <v>2210</v>
      </c>
      <c r="N27" s="1074" t="s">
        <v>1930</v>
      </c>
      <c r="O27" s="1182" t="s">
        <v>2818</v>
      </c>
      <c r="P27" s="1178" t="s">
        <v>2825</v>
      </c>
      <c r="Q27" s="326" t="s">
        <v>158</v>
      </c>
      <c r="R27" s="329" t="s">
        <v>2821</v>
      </c>
      <c r="S27" s="326"/>
    </row>
    <row r="28" spans="1:19" s="733" customFormat="1" ht="24" x14ac:dyDescent="0.2">
      <c r="A28" s="326" t="s">
        <v>2101</v>
      </c>
      <c r="B28" s="327" t="s">
        <v>2160</v>
      </c>
      <c r="C28" s="328" t="s">
        <v>1928</v>
      </c>
      <c r="D28" s="704"/>
      <c r="E28" s="329" t="s">
        <v>1970</v>
      </c>
      <c r="F28" s="329"/>
      <c r="G28" s="329"/>
      <c r="H28" s="329"/>
      <c r="I28" s="330">
        <v>350</v>
      </c>
      <c r="J28" s="330">
        <v>350</v>
      </c>
      <c r="K28" s="330">
        <v>350</v>
      </c>
      <c r="L28" s="703">
        <v>0</v>
      </c>
      <c r="M28" s="820" t="s">
        <v>2211</v>
      </c>
      <c r="N28" s="1074" t="s">
        <v>1930</v>
      </c>
      <c r="O28" s="1182" t="s">
        <v>2818</v>
      </c>
      <c r="P28" s="1178" t="s">
        <v>2837</v>
      </c>
      <c r="Q28" s="326" t="s">
        <v>158</v>
      </c>
      <c r="R28" s="329" t="s">
        <v>2821</v>
      </c>
      <c r="S28" s="326"/>
    </row>
    <row r="29" spans="1:19" s="733" customFormat="1" ht="24" x14ac:dyDescent="0.2">
      <c r="A29" s="326" t="s">
        <v>2103</v>
      </c>
      <c r="B29" s="327" t="s">
        <v>2162</v>
      </c>
      <c r="C29" s="328" t="s">
        <v>1928</v>
      </c>
      <c r="D29" s="704"/>
      <c r="E29" s="329" t="s">
        <v>1972</v>
      </c>
      <c r="F29" s="329"/>
      <c r="G29" s="329"/>
      <c r="H29" s="329"/>
      <c r="I29" s="330">
        <v>200</v>
      </c>
      <c r="J29" s="330">
        <v>200</v>
      </c>
      <c r="K29" s="330">
        <v>200</v>
      </c>
      <c r="L29" s="703">
        <v>0</v>
      </c>
      <c r="M29" s="820" t="s">
        <v>2212</v>
      </c>
      <c r="N29" s="1074" t="s">
        <v>1930</v>
      </c>
      <c r="O29" s="1182" t="s">
        <v>2818</v>
      </c>
      <c r="P29" s="1178" t="s">
        <v>2835</v>
      </c>
      <c r="Q29" s="326" t="s">
        <v>158</v>
      </c>
      <c r="R29" s="329" t="s">
        <v>2821</v>
      </c>
      <c r="S29" s="326"/>
    </row>
    <row r="30" spans="1:19" s="733" customFormat="1" ht="24" x14ac:dyDescent="0.2">
      <c r="A30" s="332" t="s">
        <v>2105</v>
      </c>
      <c r="B30" s="333" t="s">
        <v>2164</v>
      </c>
      <c r="C30" s="334" t="s">
        <v>1928</v>
      </c>
      <c r="D30" s="706"/>
      <c r="E30" s="335" t="s">
        <v>1974</v>
      </c>
      <c r="F30" s="335"/>
      <c r="G30" s="335"/>
      <c r="H30" s="335"/>
      <c r="I30" s="330">
        <v>200</v>
      </c>
      <c r="J30" s="330">
        <v>200</v>
      </c>
      <c r="K30" s="330">
        <v>200</v>
      </c>
      <c r="L30" s="703">
        <v>0</v>
      </c>
      <c r="M30" s="820" t="s">
        <v>2213</v>
      </c>
      <c r="N30" s="1074" t="s">
        <v>1930</v>
      </c>
      <c r="O30" s="1182" t="s">
        <v>2818</v>
      </c>
      <c r="P30" s="1178" t="s">
        <v>2834</v>
      </c>
      <c r="Q30" s="326" t="s">
        <v>158</v>
      </c>
      <c r="R30" s="329" t="s">
        <v>2821</v>
      </c>
      <c r="S30" s="332"/>
    </row>
    <row r="31" spans="1:19" s="733" customFormat="1" ht="36" x14ac:dyDescent="0.2">
      <c r="A31" s="326" t="s">
        <v>2107</v>
      </c>
      <c r="B31" s="327" t="s">
        <v>2166</v>
      </c>
      <c r="C31" s="328" t="s">
        <v>1928</v>
      </c>
      <c r="D31" s="704"/>
      <c r="E31" s="329" t="s">
        <v>1976</v>
      </c>
      <c r="F31" s="329"/>
      <c r="G31" s="329"/>
      <c r="H31" s="329"/>
      <c r="I31" s="330">
        <v>525</v>
      </c>
      <c r="J31" s="330">
        <v>525</v>
      </c>
      <c r="K31" s="330">
        <v>525</v>
      </c>
      <c r="L31" s="703">
        <v>0</v>
      </c>
      <c r="M31" s="820" t="s">
        <v>2214</v>
      </c>
      <c r="N31" s="1074" t="s">
        <v>1930</v>
      </c>
      <c r="O31" s="1182" t="s">
        <v>2818</v>
      </c>
      <c r="P31" s="1178" t="s">
        <v>2823</v>
      </c>
      <c r="Q31" s="326" t="s">
        <v>158</v>
      </c>
      <c r="R31" s="329" t="s">
        <v>2821</v>
      </c>
      <c r="S31" s="326"/>
    </row>
    <row r="32" spans="1:19" s="733" customFormat="1" ht="36" x14ac:dyDescent="0.2">
      <c r="A32" s="326" t="s">
        <v>2173</v>
      </c>
      <c r="B32" s="327" t="s">
        <v>2168</v>
      </c>
      <c r="C32" s="328" t="s">
        <v>1928</v>
      </c>
      <c r="D32" s="704"/>
      <c r="E32" s="329" t="s">
        <v>1978</v>
      </c>
      <c r="F32" s="329"/>
      <c r="G32" s="329"/>
      <c r="H32" s="329"/>
      <c r="I32" s="330">
        <v>375</v>
      </c>
      <c r="J32" s="330">
        <v>375</v>
      </c>
      <c r="K32" s="330">
        <v>375</v>
      </c>
      <c r="L32" s="703">
        <v>0</v>
      </c>
      <c r="M32" s="820" t="s">
        <v>2215</v>
      </c>
      <c r="N32" s="1074" t="s">
        <v>1930</v>
      </c>
      <c r="O32" s="1182" t="s">
        <v>2818</v>
      </c>
      <c r="P32" s="1178" t="s">
        <v>2836</v>
      </c>
      <c r="Q32" s="326" t="s">
        <v>158</v>
      </c>
      <c r="R32" s="329" t="s">
        <v>2821</v>
      </c>
      <c r="S32" s="326"/>
    </row>
    <row r="33" spans="1:19" s="733" customFormat="1" ht="36" x14ac:dyDescent="0.2">
      <c r="A33" s="326" t="s">
        <v>2174</v>
      </c>
      <c r="B33" s="327" t="s">
        <v>2170</v>
      </c>
      <c r="C33" s="328" t="s">
        <v>1928</v>
      </c>
      <c r="D33" s="704"/>
      <c r="E33" s="329" t="s">
        <v>1982</v>
      </c>
      <c r="F33" s="329"/>
      <c r="G33" s="329"/>
      <c r="H33" s="329"/>
      <c r="I33" s="330">
        <v>375</v>
      </c>
      <c r="J33" s="330">
        <v>375</v>
      </c>
      <c r="K33" s="330">
        <v>375</v>
      </c>
      <c r="L33" s="703">
        <v>0</v>
      </c>
      <c r="M33" s="820" t="s">
        <v>2216</v>
      </c>
      <c r="N33" s="1074" t="s">
        <v>1930</v>
      </c>
      <c r="O33" s="1182" t="s">
        <v>2818</v>
      </c>
      <c r="P33" s="1178" t="s">
        <v>2830</v>
      </c>
      <c r="Q33" s="326" t="s">
        <v>158</v>
      </c>
      <c r="R33" s="329" t="s">
        <v>2821</v>
      </c>
      <c r="S33" s="326"/>
    </row>
    <row r="34" spans="1:19" s="656" customFormat="1" ht="36" x14ac:dyDescent="0.2">
      <c r="A34" s="326" t="s">
        <v>2175</v>
      </c>
      <c r="B34" s="327" t="s">
        <v>2172</v>
      </c>
      <c r="C34" s="328" t="s">
        <v>1928</v>
      </c>
      <c r="D34" s="704"/>
      <c r="E34" s="329" t="s">
        <v>1980</v>
      </c>
      <c r="F34" s="329"/>
      <c r="G34" s="329"/>
      <c r="H34" s="329"/>
      <c r="I34" s="330">
        <v>375</v>
      </c>
      <c r="J34" s="330">
        <v>375</v>
      </c>
      <c r="K34" s="330">
        <v>375</v>
      </c>
      <c r="L34" s="703">
        <v>0</v>
      </c>
      <c r="M34" s="820" t="s">
        <v>2217</v>
      </c>
      <c r="N34" s="1074" t="s">
        <v>1930</v>
      </c>
      <c r="O34" s="1182" t="s">
        <v>2818</v>
      </c>
      <c r="P34" s="1178" t="s">
        <v>2837</v>
      </c>
      <c r="Q34" s="326" t="s">
        <v>158</v>
      </c>
      <c r="R34" s="329" t="s">
        <v>2821</v>
      </c>
      <c r="S34" s="326"/>
    </row>
    <row r="35" spans="1:19" s="733" customFormat="1" ht="15" x14ac:dyDescent="0.2">
      <c r="A35" s="326" t="s">
        <v>2176</v>
      </c>
      <c r="B35" s="327" t="s">
        <v>391</v>
      </c>
      <c r="C35" s="328" t="s">
        <v>1940</v>
      </c>
      <c r="D35" s="704"/>
      <c r="E35" s="329"/>
      <c r="F35" s="329"/>
      <c r="G35" s="329"/>
      <c r="H35" s="329"/>
      <c r="I35" s="330">
        <v>510</v>
      </c>
      <c r="J35" s="330">
        <v>560</v>
      </c>
      <c r="K35" s="330">
        <v>610</v>
      </c>
      <c r="L35" s="703">
        <v>0</v>
      </c>
      <c r="M35" s="820" t="s">
        <v>1942</v>
      </c>
      <c r="N35" s="820"/>
      <c r="O35" s="1182" t="s">
        <v>2818</v>
      </c>
      <c r="P35" s="1178" t="s">
        <v>2823</v>
      </c>
      <c r="Q35" s="326" t="s">
        <v>158</v>
      </c>
      <c r="R35" s="329" t="s">
        <v>2821</v>
      </c>
      <c r="S35" s="326"/>
    </row>
    <row r="36" spans="1:19" s="733" customFormat="1" ht="15" x14ac:dyDescent="0.2">
      <c r="A36" s="326" t="s">
        <v>2456</v>
      </c>
      <c r="B36" s="327" t="s">
        <v>2457</v>
      </c>
      <c r="C36" s="328" t="s">
        <v>1940</v>
      </c>
      <c r="D36" s="704"/>
      <c r="E36" s="329" t="s">
        <v>613</v>
      </c>
      <c r="F36" s="329"/>
      <c r="G36" s="329"/>
      <c r="H36" s="329"/>
      <c r="I36" s="330">
        <v>175</v>
      </c>
      <c r="J36" s="330">
        <v>175</v>
      </c>
      <c r="K36" s="330">
        <v>175</v>
      </c>
      <c r="L36" s="703">
        <v>0</v>
      </c>
      <c r="M36" s="820" t="s">
        <v>2204</v>
      </c>
      <c r="N36" s="1074" t="s">
        <v>1942</v>
      </c>
      <c r="O36" s="1182" t="s">
        <v>2818</v>
      </c>
      <c r="P36" s="1178" t="s">
        <v>2825</v>
      </c>
      <c r="Q36" s="326" t="s">
        <v>158</v>
      </c>
      <c r="R36" s="329" t="s">
        <v>2821</v>
      </c>
      <c r="S36" s="326"/>
    </row>
    <row r="37" spans="1:19" s="733" customFormat="1" ht="15" x14ac:dyDescent="0.2">
      <c r="A37" s="326" t="s">
        <v>2458</v>
      </c>
      <c r="B37" s="327" t="s">
        <v>2459</v>
      </c>
      <c r="C37" s="328" t="s">
        <v>1940</v>
      </c>
      <c r="D37" s="704"/>
      <c r="E37" s="329" t="s">
        <v>74</v>
      </c>
      <c r="F37" s="329"/>
      <c r="G37" s="329"/>
      <c r="H37" s="329"/>
      <c r="I37" s="330">
        <v>175</v>
      </c>
      <c r="J37" s="330">
        <v>175</v>
      </c>
      <c r="K37" s="330">
        <v>175</v>
      </c>
      <c r="L37" s="703">
        <v>0</v>
      </c>
      <c r="M37" s="820" t="s">
        <v>2205</v>
      </c>
      <c r="N37" s="1074" t="s">
        <v>1942</v>
      </c>
      <c r="O37" s="1182" t="s">
        <v>2818</v>
      </c>
      <c r="P37" s="1178" t="s">
        <v>2835</v>
      </c>
      <c r="Q37" s="326" t="s">
        <v>158</v>
      </c>
      <c r="R37" s="329" t="s">
        <v>2821</v>
      </c>
      <c r="S37" s="326"/>
    </row>
    <row r="38" spans="1:19" s="733" customFormat="1" ht="15" x14ac:dyDescent="0.2">
      <c r="A38" s="326" t="s">
        <v>2460</v>
      </c>
      <c r="B38" s="327" t="s">
        <v>2461</v>
      </c>
      <c r="C38" s="328" t="s">
        <v>1940</v>
      </c>
      <c r="D38" s="704"/>
      <c r="E38" s="329" t="s">
        <v>156</v>
      </c>
      <c r="F38" s="329"/>
      <c r="G38" s="329"/>
      <c r="H38" s="329"/>
      <c r="I38" s="330">
        <v>175</v>
      </c>
      <c r="J38" s="330">
        <v>175</v>
      </c>
      <c r="K38" s="330">
        <v>175</v>
      </c>
      <c r="L38" s="703">
        <v>0</v>
      </c>
      <c r="M38" s="820" t="s">
        <v>2206</v>
      </c>
      <c r="N38" s="1074" t="s">
        <v>1942</v>
      </c>
      <c r="O38" s="1182" t="s">
        <v>2818</v>
      </c>
      <c r="P38" s="1178" t="s">
        <v>2827</v>
      </c>
      <c r="Q38" s="326" t="s">
        <v>158</v>
      </c>
      <c r="R38" s="329" t="s">
        <v>2821</v>
      </c>
      <c r="S38" s="326"/>
    </row>
    <row r="39" spans="1:19" s="656" customFormat="1" ht="15" x14ac:dyDescent="0.2">
      <c r="A39" s="326" t="s">
        <v>2180</v>
      </c>
      <c r="B39" s="327" t="s">
        <v>2177</v>
      </c>
      <c r="C39" s="328" t="s">
        <v>1940</v>
      </c>
      <c r="D39" s="704"/>
      <c r="E39" s="329" t="s">
        <v>166</v>
      </c>
      <c r="F39" s="329"/>
      <c r="G39" s="329"/>
      <c r="H39" s="329"/>
      <c r="I39" s="330">
        <v>25</v>
      </c>
      <c r="J39" s="330">
        <v>25</v>
      </c>
      <c r="K39" s="330">
        <v>25</v>
      </c>
      <c r="L39" s="703">
        <v>0</v>
      </c>
      <c r="M39" s="820" t="s">
        <v>2207</v>
      </c>
      <c r="N39" s="1074" t="s">
        <v>1942</v>
      </c>
      <c r="O39" s="1182" t="s">
        <v>2818</v>
      </c>
      <c r="P39" s="1178" t="s">
        <v>2828</v>
      </c>
      <c r="Q39" s="326" t="s">
        <v>158</v>
      </c>
      <c r="R39" s="329" t="s">
        <v>2821</v>
      </c>
      <c r="S39" s="326"/>
    </row>
    <row r="40" spans="1:19" s="656" customFormat="1" ht="24" x14ac:dyDescent="0.2">
      <c r="A40" s="326" t="s">
        <v>2182</v>
      </c>
      <c r="B40" s="327" t="s">
        <v>2178</v>
      </c>
      <c r="C40" s="328" t="s">
        <v>1940</v>
      </c>
      <c r="D40" s="704"/>
      <c r="E40" s="329" t="s">
        <v>1964</v>
      </c>
      <c r="F40" s="329"/>
      <c r="G40" s="329"/>
      <c r="H40" s="329"/>
      <c r="I40" s="330">
        <v>350</v>
      </c>
      <c r="J40" s="330">
        <v>350</v>
      </c>
      <c r="K40" s="330">
        <v>350</v>
      </c>
      <c r="L40" s="703">
        <v>0</v>
      </c>
      <c r="M40" s="820" t="s">
        <v>2208</v>
      </c>
      <c r="N40" s="1074" t="s">
        <v>1942</v>
      </c>
      <c r="O40" s="1182" t="s">
        <v>2818</v>
      </c>
      <c r="P40" s="1178" t="s">
        <v>2836</v>
      </c>
      <c r="Q40" s="326" t="s">
        <v>158</v>
      </c>
      <c r="R40" s="329" t="s">
        <v>2821</v>
      </c>
      <c r="S40" s="326"/>
    </row>
    <row r="41" spans="1:19" s="656" customFormat="1" ht="24" x14ac:dyDescent="0.2">
      <c r="A41" s="326" t="s">
        <v>2184</v>
      </c>
      <c r="B41" s="327" t="s">
        <v>2179</v>
      </c>
      <c r="C41" s="328" t="s">
        <v>1940</v>
      </c>
      <c r="D41" s="704"/>
      <c r="E41" s="329" t="s">
        <v>1966</v>
      </c>
      <c r="F41" s="329"/>
      <c r="G41" s="329"/>
      <c r="H41" s="329"/>
      <c r="I41" s="330">
        <v>350</v>
      </c>
      <c r="J41" s="330">
        <v>350</v>
      </c>
      <c r="K41" s="330">
        <v>350</v>
      </c>
      <c r="L41" s="703">
        <v>0</v>
      </c>
      <c r="M41" s="820" t="s">
        <v>2209</v>
      </c>
      <c r="N41" s="1074" t="s">
        <v>1942</v>
      </c>
      <c r="O41" s="1182" t="s">
        <v>2818</v>
      </c>
      <c r="P41" s="1178" t="s">
        <v>2830</v>
      </c>
      <c r="Q41" s="326" t="s">
        <v>158</v>
      </c>
      <c r="R41" s="329" t="s">
        <v>2821</v>
      </c>
      <c r="S41" s="326"/>
    </row>
    <row r="42" spans="1:19" s="656" customFormat="1" ht="24" x14ac:dyDescent="0.2">
      <c r="A42" s="326" t="s">
        <v>2186</v>
      </c>
      <c r="B42" s="327" t="s">
        <v>2181</v>
      </c>
      <c r="C42" s="328" t="s">
        <v>1940</v>
      </c>
      <c r="D42" s="704"/>
      <c r="E42" s="329" t="s">
        <v>1968</v>
      </c>
      <c r="F42" s="329"/>
      <c r="G42" s="329"/>
      <c r="H42" s="329"/>
      <c r="I42" s="330">
        <v>200</v>
      </c>
      <c r="J42" s="330">
        <v>200</v>
      </c>
      <c r="K42" s="330">
        <v>200</v>
      </c>
      <c r="L42" s="703">
        <v>0</v>
      </c>
      <c r="M42" s="820" t="s">
        <v>2210</v>
      </c>
      <c r="N42" s="1074" t="s">
        <v>1942</v>
      </c>
      <c r="O42" s="1182" t="s">
        <v>2818</v>
      </c>
      <c r="P42" s="1178" t="s">
        <v>2825</v>
      </c>
      <c r="Q42" s="326" t="s">
        <v>158</v>
      </c>
      <c r="R42" s="329" t="s">
        <v>2821</v>
      </c>
      <c r="S42" s="326"/>
    </row>
    <row r="43" spans="1:19" s="656" customFormat="1" ht="24" x14ac:dyDescent="0.2">
      <c r="A43" s="326" t="s">
        <v>2188</v>
      </c>
      <c r="B43" s="327" t="s">
        <v>2183</v>
      </c>
      <c r="C43" s="328" t="s">
        <v>1940</v>
      </c>
      <c r="D43" s="704"/>
      <c r="E43" s="329" t="s">
        <v>1970</v>
      </c>
      <c r="F43" s="329"/>
      <c r="G43" s="329"/>
      <c r="H43" s="329"/>
      <c r="I43" s="330">
        <v>350</v>
      </c>
      <c r="J43" s="330">
        <v>350</v>
      </c>
      <c r="K43" s="330">
        <v>350</v>
      </c>
      <c r="L43" s="703">
        <v>0</v>
      </c>
      <c r="M43" s="820" t="s">
        <v>2211</v>
      </c>
      <c r="N43" s="1074" t="s">
        <v>1942</v>
      </c>
      <c r="O43" s="1182" t="s">
        <v>2818</v>
      </c>
      <c r="P43" s="1178" t="s">
        <v>2837</v>
      </c>
      <c r="Q43" s="326" t="s">
        <v>158</v>
      </c>
      <c r="R43" s="329" t="s">
        <v>2821</v>
      </c>
      <c r="S43" s="326"/>
    </row>
    <row r="44" spans="1:19" s="656" customFormat="1" ht="24" x14ac:dyDescent="0.2">
      <c r="A44" s="326" t="s">
        <v>2190</v>
      </c>
      <c r="B44" s="327" t="s">
        <v>2185</v>
      </c>
      <c r="C44" s="705" t="s">
        <v>1940</v>
      </c>
      <c r="D44" s="707"/>
      <c r="E44" s="329" t="s">
        <v>1972</v>
      </c>
      <c r="F44" s="329"/>
      <c r="G44" s="329"/>
      <c r="H44" s="329"/>
      <c r="I44" s="330">
        <v>200</v>
      </c>
      <c r="J44" s="330">
        <v>200</v>
      </c>
      <c r="K44" s="330">
        <v>200</v>
      </c>
      <c r="L44" s="703">
        <v>0</v>
      </c>
      <c r="M44" s="820" t="s">
        <v>2212</v>
      </c>
      <c r="N44" s="1074" t="s">
        <v>1942</v>
      </c>
      <c r="O44" s="1182" t="s">
        <v>2818</v>
      </c>
      <c r="P44" s="1178" t="s">
        <v>2835</v>
      </c>
      <c r="Q44" s="326" t="s">
        <v>158</v>
      </c>
      <c r="R44" s="329" t="s">
        <v>2821</v>
      </c>
      <c r="S44" s="326"/>
    </row>
    <row r="45" spans="1:19" s="656" customFormat="1" ht="24" x14ac:dyDescent="0.2">
      <c r="A45" s="326" t="s">
        <v>2192</v>
      </c>
      <c r="B45" s="327" t="s">
        <v>2187</v>
      </c>
      <c r="C45" s="705" t="s">
        <v>1940</v>
      </c>
      <c r="D45" s="707"/>
      <c r="E45" s="329" t="s">
        <v>1974</v>
      </c>
      <c r="F45" s="329"/>
      <c r="G45" s="329"/>
      <c r="H45" s="329"/>
      <c r="I45" s="330">
        <v>200</v>
      </c>
      <c r="J45" s="330">
        <v>200</v>
      </c>
      <c r="K45" s="330">
        <v>200</v>
      </c>
      <c r="L45" s="703">
        <v>0</v>
      </c>
      <c r="M45" s="820" t="s">
        <v>2213</v>
      </c>
      <c r="N45" s="1074" t="s">
        <v>1942</v>
      </c>
      <c r="O45" s="1182" t="s">
        <v>2818</v>
      </c>
      <c r="P45" s="1178" t="s">
        <v>2834</v>
      </c>
      <c r="Q45" s="326" t="s">
        <v>158</v>
      </c>
      <c r="R45" s="329" t="s">
        <v>2821</v>
      </c>
      <c r="S45" s="326"/>
    </row>
    <row r="46" spans="1:19" s="656" customFormat="1" ht="36" x14ac:dyDescent="0.2">
      <c r="A46" s="326" t="s">
        <v>2194</v>
      </c>
      <c r="B46" s="327" t="s">
        <v>2189</v>
      </c>
      <c r="C46" s="705" t="s">
        <v>1940</v>
      </c>
      <c r="D46" s="707"/>
      <c r="E46" s="329" t="s">
        <v>1976</v>
      </c>
      <c r="F46" s="329"/>
      <c r="G46" s="329"/>
      <c r="H46" s="329"/>
      <c r="I46" s="330">
        <v>525</v>
      </c>
      <c r="J46" s="330">
        <v>525</v>
      </c>
      <c r="K46" s="330">
        <v>525</v>
      </c>
      <c r="L46" s="703">
        <v>0</v>
      </c>
      <c r="M46" s="820" t="s">
        <v>2214</v>
      </c>
      <c r="N46" s="1074" t="s">
        <v>1942</v>
      </c>
      <c r="O46" s="1182" t="s">
        <v>2818</v>
      </c>
      <c r="P46" s="1178" t="s">
        <v>2823</v>
      </c>
      <c r="Q46" s="326" t="s">
        <v>158</v>
      </c>
      <c r="R46" s="329" t="s">
        <v>2821</v>
      </c>
      <c r="S46" s="326"/>
    </row>
    <row r="47" spans="1:19" s="656" customFormat="1" ht="36.75" thickBot="1" x14ac:dyDescent="0.25">
      <c r="A47" s="326" t="s">
        <v>2109</v>
      </c>
      <c r="B47" s="327" t="s">
        <v>2191</v>
      </c>
      <c r="C47" s="336" t="s">
        <v>1940</v>
      </c>
      <c r="D47" s="707"/>
      <c r="E47" s="329" t="s">
        <v>1978</v>
      </c>
      <c r="F47" s="329"/>
      <c r="G47" s="329"/>
      <c r="H47" s="329"/>
      <c r="I47" s="330">
        <v>375</v>
      </c>
      <c r="J47" s="330">
        <v>375</v>
      </c>
      <c r="K47" s="330">
        <v>375</v>
      </c>
      <c r="L47" s="703">
        <v>0</v>
      </c>
      <c r="M47" s="820" t="s">
        <v>2215</v>
      </c>
      <c r="N47" s="1074" t="s">
        <v>1942</v>
      </c>
      <c r="O47" s="1182" t="s">
        <v>2818</v>
      </c>
      <c r="P47" s="1178" t="s">
        <v>2836</v>
      </c>
      <c r="Q47" s="326" t="s">
        <v>158</v>
      </c>
      <c r="R47" s="329" t="s">
        <v>2821</v>
      </c>
      <c r="S47" s="326"/>
    </row>
    <row r="48" spans="1:19" s="656" customFormat="1" ht="36" x14ac:dyDescent="0.2">
      <c r="A48" s="326" t="s">
        <v>2110</v>
      </c>
      <c r="B48" s="327" t="s">
        <v>2193</v>
      </c>
      <c r="C48" s="705" t="s">
        <v>1940</v>
      </c>
      <c r="D48" s="707"/>
      <c r="E48" s="329" t="s">
        <v>1982</v>
      </c>
      <c r="F48" s="329"/>
      <c r="G48" s="329"/>
      <c r="H48" s="329"/>
      <c r="I48" s="330">
        <v>375</v>
      </c>
      <c r="J48" s="330">
        <v>375</v>
      </c>
      <c r="K48" s="330">
        <v>375</v>
      </c>
      <c r="L48" s="703">
        <v>0</v>
      </c>
      <c r="M48" s="820" t="s">
        <v>2216</v>
      </c>
      <c r="N48" s="1074" t="s">
        <v>1942</v>
      </c>
      <c r="O48" s="1182" t="s">
        <v>2818</v>
      </c>
      <c r="P48" s="1178" t="s">
        <v>2830</v>
      </c>
      <c r="Q48" s="326" t="s">
        <v>158</v>
      </c>
      <c r="R48" s="329" t="s">
        <v>2821</v>
      </c>
      <c r="S48" s="326"/>
    </row>
    <row r="49" spans="1:19" s="656" customFormat="1" ht="36" x14ac:dyDescent="0.2">
      <c r="A49" s="326" t="s">
        <v>2112</v>
      </c>
      <c r="B49" s="327" t="s">
        <v>2195</v>
      </c>
      <c r="C49" s="705" t="s">
        <v>1940</v>
      </c>
      <c r="D49" s="707"/>
      <c r="E49" s="329" t="s">
        <v>1980</v>
      </c>
      <c r="F49" s="329"/>
      <c r="G49" s="329"/>
      <c r="H49" s="329"/>
      <c r="I49" s="330">
        <v>375</v>
      </c>
      <c r="J49" s="330">
        <v>375</v>
      </c>
      <c r="K49" s="330">
        <v>375</v>
      </c>
      <c r="L49" s="703">
        <v>0</v>
      </c>
      <c r="M49" s="820" t="s">
        <v>2217</v>
      </c>
      <c r="N49" s="1074" t="s">
        <v>1942</v>
      </c>
      <c r="O49" s="1182" t="s">
        <v>2818</v>
      </c>
      <c r="P49" s="1178" t="s">
        <v>2837</v>
      </c>
      <c r="Q49" s="326" t="s">
        <v>158</v>
      </c>
      <c r="R49" s="329" t="s">
        <v>2821</v>
      </c>
      <c r="S49" s="326"/>
    </row>
    <row r="50" spans="1:19" s="733" customFormat="1" ht="15" x14ac:dyDescent="0.2">
      <c r="A50" s="326" t="s">
        <v>2128</v>
      </c>
      <c r="B50" s="327" t="s">
        <v>1935</v>
      </c>
      <c r="C50" s="705" t="s">
        <v>1934</v>
      </c>
      <c r="D50" s="704" t="s">
        <v>2069</v>
      </c>
      <c r="E50" s="329"/>
      <c r="F50" s="329"/>
      <c r="G50" s="329"/>
      <c r="H50" s="329"/>
      <c r="I50" s="330">
        <v>355</v>
      </c>
      <c r="J50" s="330">
        <v>355</v>
      </c>
      <c r="K50" s="330">
        <v>355</v>
      </c>
      <c r="L50" s="703" t="s">
        <v>2730</v>
      </c>
      <c r="M50" s="820" t="s">
        <v>1936</v>
      </c>
      <c r="N50" s="820"/>
      <c r="O50" s="1182" t="s">
        <v>2818</v>
      </c>
      <c r="P50" s="1178" t="s">
        <v>2838</v>
      </c>
      <c r="Q50" s="326" t="s">
        <v>158</v>
      </c>
      <c r="R50" s="329" t="s">
        <v>2821</v>
      </c>
      <c r="S50" s="326"/>
    </row>
    <row r="51" spans="1:19" s="656" customFormat="1" ht="15.75" thickBot="1" x14ac:dyDescent="0.25">
      <c r="A51" s="326" t="s">
        <v>2200</v>
      </c>
      <c r="B51" s="327" t="s">
        <v>2111</v>
      </c>
      <c r="C51" s="336" t="s">
        <v>1934</v>
      </c>
      <c r="D51" s="704" t="s">
        <v>2069</v>
      </c>
      <c r="E51" s="329" t="s">
        <v>613</v>
      </c>
      <c r="F51" s="329"/>
      <c r="G51" s="329"/>
      <c r="H51" s="329"/>
      <c r="I51" s="330">
        <v>115</v>
      </c>
      <c r="J51" s="330">
        <v>115</v>
      </c>
      <c r="K51" s="330">
        <v>115</v>
      </c>
      <c r="L51" s="703">
        <v>0</v>
      </c>
      <c r="M51" s="820" t="s">
        <v>2204</v>
      </c>
      <c r="N51" s="820" t="s">
        <v>1936</v>
      </c>
      <c r="O51" s="1182" t="s">
        <v>2818</v>
      </c>
      <c r="P51" s="1178" t="s">
        <v>2825</v>
      </c>
      <c r="Q51" s="326" t="s">
        <v>158</v>
      </c>
      <c r="R51" s="329" t="s">
        <v>2821</v>
      </c>
      <c r="S51" s="326"/>
    </row>
    <row r="52" spans="1:19" s="656" customFormat="1" ht="15" x14ac:dyDescent="0.2">
      <c r="A52" s="326" t="s">
        <v>2199</v>
      </c>
      <c r="B52" s="327" t="s">
        <v>2113</v>
      </c>
      <c r="C52" s="705" t="s">
        <v>1934</v>
      </c>
      <c r="D52" s="704" t="s">
        <v>2069</v>
      </c>
      <c r="E52" s="329" t="s">
        <v>74</v>
      </c>
      <c r="F52" s="329"/>
      <c r="G52" s="329"/>
      <c r="H52" s="329"/>
      <c r="I52" s="330">
        <v>115</v>
      </c>
      <c r="J52" s="330">
        <v>115</v>
      </c>
      <c r="K52" s="330">
        <v>115</v>
      </c>
      <c r="L52" s="703">
        <v>0</v>
      </c>
      <c r="M52" s="820" t="s">
        <v>2205</v>
      </c>
      <c r="N52" s="820" t="s">
        <v>1936</v>
      </c>
      <c r="O52" s="1182" t="s">
        <v>2818</v>
      </c>
      <c r="P52" s="1178" t="s">
        <v>2826</v>
      </c>
      <c r="Q52" s="326" t="s">
        <v>158</v>
      </c>
      <c r="R52" s="329" t="s">
        <v>2821</v>
      </c>
      <c r="S52" s="326"/>
    </row>
    <row r="53" spans="1:19" s="656" customFormat="1" ht="15" x14ac:dyDescent="0.2">
      <c r="A53" s="326" t="s">
        <v>2203</v>
      </c>
      <c r="B53" s="327" t="s">
        <v>2115</v>
      </c>
      <c r="C53" s="705" t="s">
        <v>1934</v>
      </c>
      <c r="D53" s="704" t="s">
        <v>2069</v>
      </c>
      <c r="E53" s="329" t="s">
        <v>156</v>
      </c>
      <c r="F53" s="329"/>
      <c r="G53" s="329"/>
      <c r="H53" s="329"/>
      <c r="I53" s="330">
        <v>95</v>
      </c>
      <c r="J53" s="330">
        <v>95</v>
      </c>
      <c r="K53" s="330">
        <v>95</v>
      </c>
      <c r="L53" s="703">
        <v>0</v>
      </c>
      <c r="M53" s="820" t="s">
        <v>2206</v>
      </c>
      <c r="N53" s="820" t="s">
        <v>1936</v>
      </c>
      <c r="O53" s="1182" t="s">
        <v>2818</v>
      </c>
      <c r="P53" s="1178" t="s">
        <v>2839</v>
      </c>
      <c r="Q53" s="326" t="s">
        <v>158</v>
      </c>
      <c r="R53" s="329" t="s">
        <v>2821</v>
      </c>
      <c r="S53" s="326"/>
    </row>
    <row r="54" spans="1:19" s="656" customFormat="1" ht="15" x14ac:dyDescent="0.2">
      <c r="A54" s="326" t="s">
        <v>2196</v>
      </c>
      <c r="B54" s="327" t="s">
        <v>2096</v>
      </c>
      <c r="C54" s="328" t="s">
        <v>1934</v>
      </c>
      <c r="D54" s="704" t="s">
        <v>2069</v>
      </c>
      <c r="E54" s="329" t="s">
        <v>166</v>
      </c>
      <c r="F54" s="329"/>
      <c r="G54" s="329"/>
      <c r="H54" s="329"/>
      <c r="I54" s="330">
        <v>15</v>
      </c>
      <c r="J54" s="330">
        <v>15</v>
      </c>
      <c r="K54" s="330">
        <v>15</v>
      </c>
      <c r="L54" s="703">
        <v>0</v>
      </c>
      <c r="M54" s="820" t="s">
        <v>2207</v>
      </c>
      <c r="N54" s="820" t="s">
        <v>1936</v>
      </c>
      <c r="O54" s="1182" t="s">
        <v>2818</v>
      </c>
      <c r="P54" s="1178" t="s">
        <v>2828</v>
      </c>
      <c r="Q54" s="326" t="s">
        <v>158</v>
      </c>
      <c r="R54" s="329" t="s">
        <v>2821</v>
      </c>
      <c r="S54" s="326"/>
    </row>
    <row r="55" spans="1:19" s="656" customFormat="1" ht="24" x14ac:dyDescent="0.2">
      <c r="A55" s="326" t="s">
        <v>2201</v>
      </c>
      <c r="B55" s="327" t="s">
        <v>2117</v>
      </c>
      <c r="C55" s="705" t="s">
        <v>1934</v>
      </c>
      <c r="D55" s="704" t="s">
        <v>2069</v>
      </c>
      <c r="E55" s="329" t="s">
        <v>1964</v>
      </c>
      <c r="F55" s="329"/>
      <c r="G55" s="329"/>
      <c r="H55" s="329"/>
      <c r="I55" s="330">
        <v>230</v>
      </c>
      <c r="J55" s="330">
        <v>230</v>
      </c>
      <c r="K55" s="330">
        <v>230</v>
      </c>
      <c r="L55" s="703">
        <v>0</v>
      </c>
      <c r="M55" s="820" t="s">
        <v>2208</v>
      </c>
      <c r="N55" s="820" t="s">
        <v>1936</v>
      </c>
      <c r="O55" s="1182" t="s">
        <v>2818</v>
      </c>
      <c r="P55" s="1178" t="s">
        <v>2829</v>
      </c>
      <c r="Q55" s="326" t="s">
        <v>158</v>
      </c>
      <c r="R55" s="329" t="s">
        <v>2821</v>
      </c>
      <c r="S55" s="326"/>
    </row>
    <row r="56" spans="1:19" s="656" customFormat="1" ht="24.75" thickBot="1" x14ac:dyDescent="0.25">
      <c r="A56" s="326" t="s">
        <v>2153</v>
      </c>
      <c r="B56" s="327" t="s">
        <v>2119</v>
      </c>
      <c r="C56" s="336" t="s">
        <v>1934</v>
      </c>
      <c r="D56" s="704" t="s">
        <v>2069</v>
      </c>
      <c r="E56" s="329" t="s">
        <v>1966</v>
      </c>
      <c r="F56" s="329"/>
      <c r="G56" s="329"/>
      <c r="H56" s="329"/>
      <c r="I56" s="330">
        <v>210</v>
      </c>
      <c r="J56" s="330">
        <v>210</v>
      </c>
      <c r="K56" s="330">
        <v>210</v>
      </c>
      <c r="L56" s="703">
        <v>0</v>
      </c>
      <c r="M56" s="820" t="s">
        <v>2209</v>
      </c>
      <c r="N56" s="820" t="s">
        <v>1936</v>
      </c>
      <c r="O56" s="1182" t="s">
        <v>2818</v>
      </c>
      <c r="P56" s="1178" t="s">
        <v>2840</v>
      </c>
      <c r="Q56" s="326" t="s">
        <v>158</v>
      </c>
      <c r="R56" s="329" t="s">
        <v>2821</v>
      </c>
      <c r="S56" s="326"/>
    </row>
    <row r="57" spans="1:19" s="656" customFormat="1" ht="24" x14ac:dyDescent="0.2">
      <c r="A57" s="326" t="s">
        <v>2155</v>
      </c>
      <c r="B57" s="327" t="s">
        <v>2098</v>
      </c>
      <c r="C57" s="328" t="s">
        <v>1934</v>
      </c>
      <c r="D57" s="704" t="s">
        <v>2069</v>
      </c>
      <c r="E57" s="329" t="s">
        <v>1968</v>
      </c>
      <c r="F57" s="329"/>
      <c r="G57" s="329"/>
      <c r="H57" s="329"/>
      <c r="I57" s="330">
        <v>130</v>
      </c>
      <c r="J57" s="330">
        <v>130</v>
      </c>
      <c r="K57" s="330">
        <v>130</v>
      </c>
      <c r="L57" s="703">
        <v>0</v>
      </c>
      <c r="M57" s="820" t="s">
        <v>2210</v>
      </c>
      <c r="N57" s="820" t="s">
        <v>1936</v>
      </c>
      <c r="O57" s="1182" t="s">
        <v>2818</v>
      </c>
      <c r="P57" s="1178" t="s">
        <v>2825</v>
      </c>
      <c r="Q57" s="326" t="s">
        <v>158</v>
      </c>
      <c r="R57" s="329" t="s">
        <v>2821</v>
      </c>
      <c r="S57" s="326"/>
    </row>
    <row r="58" spans="1:19" s="656" customFormat="1" ht="24" x14ac:dyDescent="0.2">
      <c r="A58" s="326" t="s">
        <v>2157</v>
      </c>
      <c r="B58" s="327" t="s">
        <v>2121</v>
      </c>
      <c r="C58" s="705" t="s">
        <v>1934</v>
      </c>
      <c r="D58" s="704" t="s">
        <v>2069</v>
      </c>
      <c r="E58" s="329" t="s">
        <v>1970</v>
      </c>
      <c r="F58" s="329"/>
      <c r="G58" s="329"/>
      <c r="H58" s="329"/>
      <c r="I58" s="330">
        <v>210</v>
      </c>
      <c r="J58" s="330">
        <v>210</v>
      </c>
      <c r="K58" s="330">
        <v>210</v>
      </c>
      <c r="L58" s="703">
        <v>0</v>
      </c>
      <c r="M58" s="820" t="s">
        <v>2211</v>
      </c>
      <c r="N58" s="820" t="s">
        <v>1936</v>
      </c>
      <c r="O58" s="1182" t="s">
        <v>2818</v>
      </c>
      <c r="P58" s="1178" t="s">
        <v>2841</v>
      </c>
      <c r="Q58" s="326" t="s">
        <v>158</v>
      </c>
      <c r="R58" s="329" t="s">
        <v>2821</v>
      </c>
      <c r="S58" s="326"/>
    </row>
    <row r="59" spans="1:19" s="656" customFormat="1" ht="24" x14ac:dyDescent="0.2">
      <c r="A59" s="326" t="s">
        <v>2159</v>
      </c>
      <c r="B59" s="327" t="s">
        <v>2100</v>
      </c>
      <c r="C59" s="328" t="s">
        <v>1934</v>
      </c>
      <c r="D59" s="704" t="s">
        <v>2069</v>
      </c>
      <c r="E59" s="329" t="s">
        <v>1972</v>
      </c>
      <c r="F59" s="329"/>
      <c r="G59" s="329"/>
      <c r="H59" s="329"/>
      <c r="I59" s="330">
        <v>130</v>
      </c>
      <c r="J59" s="330">
        <v>130</v>
      </c>
      <c r="K59" s="330">
        <v>130</v>
      </c>
      <c r="L59" s="703">
        <v>0</v>
      </c>
      <c r="M59" s="820" t="s">
        <v>2212</v>
      </c>
      <c r="N59" s="820" t="s">
        <v>1936</v>
      </c>
      <c r="O59" s="1182" t="s">
        <v>2818</v>
      </c>
      <c r="P59" s="1178" t="s">
        <v>2826</v>
      </c>
      <c r="Q59" s="326" t="s">
        <v>158</v>
      </c>
      <c r="R59" s="329" t="s">
        <v>2821</v>
      </c>
      <c r="S59" s="326"/>
    </row>
    <row r="60" spans="1:19" s="656" customFormat="1" ht="24" x14ac:dyDescent="0.2">
      <c r="A60" s="326" t="s">
        <v>2161</v>
      </c>
      <c r="B60" s="327" t="s">
        <v>2102</v>
      </c>
      <c r="C60" s="328" t="s">
        <v>1934</v>
      </c>
      <c r="D60" s="704" t="s">
        <v>2069</v>
      </c>
      <c r="E60" s="329" t="s">
        <v>1974</v>
      </c>
      <c r="F60" s="329"/>
      <c r="G60" s="329"/>
      <c r="H60" s="329"/>
      <c r="I60" s="330">
        <v>110</v>
      </c>
      <c r="J60" s="330">
        <v>110</v>
      </c>
      <c r="K60" s="330">
        <v>110</v>
      </c>
      <c r="L60" s="703">
        <v>0</v>
      </c>
      <c r="M60" s="820" t="s">
        <v>2213</v>
      </c>
      <c r="N60" s="820" t="s">
        <v>1936</v>
      </c>
      <c r="O60" s="1182" t="s">
        <v>2818</v>
      </c>
      <c r="P60" s="1178" t="s">
        <v>2842</v>
      </c>
      <c r="Q60" s="326" t="s">
        <v>158</v>
      </c>
      <c r="R60" s="329" t="s">
        <v>2821</v>
      </c>
      <c r="S60" s="326"/>
    </row>
    <row r="61" spans="1:19" s="656" customFormat="1" ht="36" x14ac:dyDescent="0.2">
      <c r="A61" s="326" t="s">
        <v>2163</v>
      </c>
      <c r="B61" s="327" t="s">
        <v>2123</v>
      </c>
      <c r="C61" s="705" t="s">
        <v>1934</v>
      </c>
      <c r="D61" s="704" t="s">
        <v>2069</v>
      </c>
      <c r="E61" s="329" t="s">
        <v>1976</v>
      </c>
      <c r="F61" s="329"/>
      <c r="G61" s="329"/>
      <c r="H61" s="329"/>
      <c r="I61" s="330">
        <v>325</v>
      </c>
      <c r="J61" s="330">
        <v>325</v>
      </c>
      <c r="K61" s="330">
        <v>325</v>
      </c>
      <c r="L61" s="703">
        <v>0</v>
      </c>
      <c r="M61" s="820" t="s">
        <v>2214</v>
      </c>
      <c r="N61" s="820" t="s">
        <v>1936</v>
      </c>
      <c r="O61" s="1182" t="s">
        <v>2818</v>
      </c>
      <c r="P61" s="1178" t="s">
        <v>2838</v>
      </c>
      <c r="Q61" s="326" t="s">
        <v>158</v>
      </c>
      <c r="R61" s="329" t="s">
        <v>2821</v>
      </c>
      <c r="S61" s="326"/>
    </row>
    <row r="62" spans="1:19" s="656" customFormat="1" ht="36" x14ac:dyDescent="0.2">
      <c r="A62" s="326" t="s">
        <v>2165</v>
      </c>
      <c r="B62" s="327" t="s">
        <v>2104</v>
      </c>
      <c r="C62" s="328" t="s">
        <v>1934</v>
      </c>
      <c r="D62" s="704" t="s">
        <v>2069</v>
      </c>
      <c r="E62" s="329" t="s">
        <v>1978</v>
      </c>
      <c r="F62" s="329"/>
      <c r="G62" s="329"/>
      <c r="H62" s="329"/>
      <c r="I62" s="330">
        <v>245</v>
      </c>
      <c r="J62" s="330">
        <v>245</v>
      </c>
      <c r="K62" s="330">
        <v>245</v>
      </c>
      <c r="L62" s="703">
        <v>0</v>
      </c>
      <c r="M62" s="820" t="s">
        <v>2215</v>
      </c>
      <c r="N62" s="820" t="s">
        <v>1936</v>
      </c>
      <c r="O62" s="1182" t="s">
        <v>2818</v>
      </c>
      <c r="P62" s="1178" t="s">
        <v>2829</v>
      </c>
      <c r="Q62" s="326" t="s">
        <v>158</v>
      </c>
      <c r="R62" s="329" t="s">
        <v>2821</v>
      </c>
      <c r="S62" s="326"/>
    </row>
    <row r="63" spans="1:19" s="656" customFormat="1" ht="36" x14ac:dyDescent="0.2">
      <c r="A63" s="326" t="s">
        <v>2167</v>
      </c>
      <c r="B63" s="327" t="s">
        <v>2106</v>
      </c>
      <c r="C63" s="328" t="s">
        <v>1934</v>
      </c>
      <c r="D63" s="704" t="s">
        <v>2069</v>
      </c>
      <c r="E63" s="329" t="s">
        <v>1982</v>
      </c>
      <c r="F63" s="329"/>
      <c r="G63" s="329"/>
      <c r="H63" s="329"/>
      <c r="I63" s="330">
        <v>225</v>
      </c>
      <c r="J63" s="330">
        <v>225</v>
      </c>
      <c r="K63" s="330">
        <v>225</v>
      </c>
      <c r="L63" s="703">
        <v>0</v>
      </c>
      <c r="M63" s="820" t="s">
        <v>2216</v>
      </c>
      <c r="N63" s="820" t="s">
        <v>1936</v>
      </c>
      <c r="O63" s="1182" t="s">
        <v>2818</v>
      </c>
      <c r="P63" s="1178" t="s">
        <v>2840</v>
      </c>
      <c r="Q63" s="326" t="s">
        <v>158</v>
      </c>
      <c r="R63" s="329" t="s">
        <v>2821</v>
      </c>
      <c r="S63" s="326"/>
    </row>
    <row r="64" spans="1:19" s="656" customFormat="1" ht="36" x14ac:dyDescent="0.2">
      <c r="A64" s="326" t="s">
        <v>2169</v>
      </c>
      <c r="B64" s="327" t="s">
        <v>2108</v>
      </c>
      <c r="C64" s="328" t="s">
        <v>1934</v>
      </c>
      <c r="D64" s="704" t="s">
        <v>2069</v>
      </c>
      <c r="E64" s="329" t="s">
        <v>1980</v>
      </c>
      <c r="F64" s="329"/>
      <c r="G64" s="329"/>
      <c r="H64" s="329"/>
      <c r="I64" s="330">
        <v>225</v>
      </c>
      <c r="J64" s="330">
        <v>225</v>
      </c>
      <c r="K64" s="330">
        <v>225</v>
      </c>
      <c r="L64" s="703">
        <v>0</v>
      </c>
      <c r="M64" s="820" t="s">
        <v>2217</v>
      </c>
      <c r="N64" s="820" t="s">
        <v>1936</v>
      </c>
      <c r="O64" s="1182" t="s">
        <v>2818</v>
      </c>
      <c r="P64" s="1178" t="s">
        <v>2843</v>
      </c>
      <c r="Q64" s="326" t="s">
        <v>158</v>
      </c>
      <c r="R64" s="329" t="s">
        <v>2821</v>
      </c>
      <c r="S64" s="326"/>
    </row>
    <row r="65" spans="1:19" s="733" customFormat="1" ht="15" x14ac:dyDescent="0.2">
      <c r="A65" s="326" t="s">
        <v>2171</v>
      </c>
      <c r="B65" s="327" t="s">
        <v>1938</v>
      </c>
      <c r="C65" s="328" t="s">
        <v>1937</v>
      </c>
      <c r="D65" s="704" t="s">
        <v>2069</v>
      </c>
      <c r="E65" s="329"/>
      <c r="F65" s="329"/>
      <c r="G65" s="329"/>
      <c r="H65" s="329"/>
      <c r="I65" s="330">
        <v>175</v>
      </c>
      <c r="J65" s="330">
        <v>175</v>
      </c>
      <c r="K65" s="330">
        <v>175</v>
      </c>
      <c r="L65" s="703" t="s">
        <v>2729</v>
      </c>
      <c r="M65" s="820" t="s">
        <v>1939</v>
      </c>
      <c r="N65" s="820"/>
      <c r="O65" s="1182" t="s">
        <v>2818</v>
      </c>
      <c r="P65" s="1178" t="s">
        <v>2838</v>
      </c>
      <c r="Q65" s="326" t="s">
        <v>158</v>
      </c>
      <c r="R65" s="329" t="s">
        <v>2821</v>
      </c>
      <c r="S65" s="326"/>
    </row>
    <row r="66" spans="1:19" s="733" customFormat="1" ht="15" x14ac:dyDescent="0.2">
      <c r="A66" s="326" t="s">
        <v>2444</v>
      </c>
      <c r="B66" s="327" t="s">
        <v>2445</v>
      </c>
      <c r="C66" s="328" t="s">
        <v>1937</v>
      </c>
      <c r="D66" s="704" t="s">
        <v>2069</v>
      </c>
      <c r="E66" s="329" t="s">
        <v>613</v>
      </c>
      <c r="F66" s="329"/>
      <c r="G66" s="329"/>
      <c r="H66" s="329"/>
      <c r="I66" s="330">
        <v>65</v>
      </c>
      <c r="J66" s="330">
        <v>65</v>
      </c>
      <c r="K66" s="330">
        <v>65</v>
      </c>
      <c r="L66" s="703">
        <v>0</v>
      </c>
      <c r="M66" s="820" t="s">
        <v>2204</v>
      </c>
      <c r="N66" s="820" t="s">
        <v>1939</v>
      </c>
      <c r="O66" s="1182" t="s">
        <v>2818</v>
      </c>
      <c r="P66" s="1178" t="s">
        <v>2825</v>
      </c>
      <c r="Q66" s="326" t="s">
        <v>158</v>
      </c>
      <c r="R66" s="329" t="s">
        <v>2821</v>
      </c>
      <c r="S66" s="326"/>
    </row>
    <row r="67" spans="1:19" s="733" customFormat="1" ht="15" x14ac:dyDescent="0.2">
      <c r="A67" s="326" t="s">
        <v>2446</v>
      </c>
      <c r="B67" s="327" t="s">
        <v>2447</v>
      </c>
      <c r="C67" s="328" t="s">
        <v>1937</v>
      </c>
      <c r="D67" s="704" t="s">
        <v>2069</v>
      </c>
      <c r="E67" s="329" t="s">
        <v>74</v>
      </c>
      <c r="F67" s="329"/>
      <c r="G67" s="329"/>
      <c r="H67" s="329"/>
      <c r="I67" s="330">
        <v>65</v>
      </c>
      <c r="J67" s="330">
        <v>65</v>
      </c>
      <c r="K67" s="330">
        <v>65</v>
      </c>
      <c r="L67" s="703">
        <v>0</v>
      </c>
      <c r="M67" s="820" t="s">
        <v>2205</v>
      </c>
      <c r="N67" s="820" t="s">
        <v>1939</v>
      </c>
      <c r="O67" s="1182" t="s">
        <v>2818</v>
      </c>
      <c r="P67" s="1178" t="s">
        <v>2826</v>
      </c>
      <c r="Q67" s="326" t="s">
        <v>158</v>
      </c>
      <c r="R67" s="329" t="s">
        <v>2821</v>
      </c>
      <c r="S67" s="326"/>
    </row>
    <row r="68" spans="1:19" s="733" customFormat="1" ht="15" x14ac:dyDescent="0.2">
      <c r="A68" s="326" t="s">
        <v>2448</v>
      </c>
      <c r="B68" s="327" t="s">
        <v>2449</v>
      </c>
      <c r="C68" s="328" t="s">
        <v>1937</v>
      </c>
      <c r="D68" s="704" t="s">
        <v>2069</v>
      </c>
      <c r="E68" s="329" t="s">
        <v>156</v>
      </c>
      <c r="F68" s="329"/>
      <c r="G68" s="329"/>
      <c r="H68" s="329"/>
      <c r="I68" s="330">
        <v>45</v>
      </c>
      <c r="J68" s="330">
        <v>45</v>
      </c>
      <c r="K68" s="330">
        <v>45</v>
      </c>
      <c r="L68" s="703">
        <v>0</v>
      </c>
      <c r="M68" s="820" t="s">
        <v>2206</v>
      </c>
      <c r="N68" s="820" t="s">
        <v>1939</v>
      </c>
      <c r="O68" s="1182" t="s">
        <v>2818</v>
      </c>
      <c r="P68" s="1178" t="s">
        <v>2839</v>
      </c>
      <c r="Q68" s="326" t="s">
        <v>158</v>
      </c>
      <c r="R68" s="329" t="s">
        <v>2821</v>
      </c>
      <c r="S68" s="326"/>
    </row>
    <row r="69" spans="1:19" s="656" customFormat="1" ht="15" x14ac:dyDescent="0.2">
      <c r="A69" s="326" t="s">
        <v>2081</v>
      </c>
      <c r="B69" s="327" t="s">
        <v>2129</v>
      </c>
      <c r="C69" s="328" t="s">
        <v>1937</v>
      </c>
      <c r="D69" s="704" t="s">
        <v>2069</v>
      </c>
      <c r="E69" s="329" t="s">
        <v>166</v>
      </c>
      <c r="F69" s="329"/>
      <c r="G69" s="329"/>
      <c r="H69" s="329"/>
      <c r="I69" s="330">
        <v>0</v>
      </c>
      <c r="J69" s="330">
        <v>0</v>
      </c>
      <c r="K69" s="330">
        <v>0</v>
      </c>
      <c r="L69" s="703">
        <v>0</v>
      </c>
      <c r="M69" s="820" t="s">
        <v>2207</v>
      </c>
      <c r="N69" s="820" t="s">
        <v>1939</v>
      </c>
      <c r="O69" s="1182" t="s">
        <v>2818</v>
      </c>
      <c r="P69" s="1178" t="s">
        <v>2828</v>
      </c>
      <c r="Q69" s="326" t="s">
        <v>158</v>
      </c>
      <c r="R69" s="329" t="s">
        <v>2821</v>
      </c>
      <c r="S69" s="326"/>
    </row>
    <row r="70" spans="1:19" s="656" customFormat="1" ht="24" x14ac:dyDescent="0.2">
      <c r="A70" s="326" t="s">
        <v>2083</v>
      </c>
      <c r="B70" s="327" t="s">
        <v>2131</v>
      </c>
      <c r="C70" s="328" t="s">
        <v>1937</v>
      </c>
      <c r="D70" s="704" t="s">
        <v>2069</v>
      </c>
      <c r="E70" s="329" t="s">
        <v>1964</v>
      </c>
      <c r="F70" s="329"/>
      <c r="G70" s="329"/>
      <c r="H70" s="329"/>
      <c r="I70" s="330">
        <v>130</v>
      </c>
      <c r="J70" s="330">
        <v>130</v>
      </c>
      <c r="K70" s="330">
        <v>130</v>
      </c>
      <c r="L70" s="703">
        <v>0</v>
      </c>
      <c r="M70" s="820" t="s">
        <v>2208</v>
      </c>
      <c r="N70" s="820" t="s">
        <v>1939</v>
      </c>
      <c r="O70" s="1182" t="s">
        <v>2818</v>
      </c>
      <c r="P70" s="1178" t="s">
        <v>2829</v>
      </c>
      <c r="Q70" s="326" t="s">
        <v>158</v>
      </c>
      <c r="R70" s="329" t="s">
        <v>2821</v>
      </c>
      <c r="S70" s="326"/>
    </row>
    <row r="71" spans="1:19" s="656" customFormat="1" ht="24" x14ac:dyDescent="0.2">
      <c r="A71" s="326" t="s">
        <v>2085</v>
      </c>
      <c r="B71" s="327" t="s">
        <v>2133</v>
      </c>
      <c r="C71" s="328" t="s">
        <v>1937</v>
      </c>
      <c r="D71" s="704" t="s">
        <v>2069</v>
      </c>
      <c r="E71" s="329" t="s">
        <v>1966</v>
      </c>
      <c r="F71" s="329"/>
      <c r="G71" s="329"/>
      <c r="H71" s="329"/>
      <c r="I71" s="330">
        <v>110</v>
      </c>
      <c r="J71" s="330">
        <v>110</v>
      </c>
      <c r="K71" s="330">
        <v>110</v>
      </c>
      <c r="L71" s="703">
        <v>0</v>
      </c>
      <c r="M71" s="820" t="s">
        <v>2209</v>
      </c>
      <c r="N71" s="820" t="s">
        <v>1939</v>
      </c>
      <c r="O71" s="1182" t="s">
        <v>2818</v>
      </c>
      <c r="P71" s="1178" t="s">
        <v>2840</v>
      </c>
      <c r="Q71" s="326" t="s">
        <v>158</v>
      </c>
      <c r="R71" s="329" t="s">
        <v>2821</v>
      </c>
      <c r="S71" s="326"/>
    </row>
    <row r="72" spans="1:19" s="656" customFormat="1" ht="24" x14ac:dyDescent="0.2">
      <c r="A72" s="326" t="s">
        <v>2087</v>
      </c>
      <c r="B72" s="327" t="s">
        <v>2135</v>
      </c>
      <c r="C72" s="328" t="s">
        <v>1937</v>
      </c>
      <c r="D72" s="704" t="s">
        <v>2069</v>
      </c>
      <c r="E72" s="329" t="s">
        <v>1968</v>
      </c>
      <c r="F72" s="329"/>
      <c r="G72" s="329"/>
      <c r="H72" s="329"/>
      <c r="I72" s="330">
        <v>65</v>
      </c>
      <c r="J72" s="330">
        <v>65</v>
      </c>
      <c r="K72" s="330">
        <v>65</v>
      </c>
      <c r="L72" s="703">
        <v>0</v>
      </c>
      <c r="M72" s="820" t="s">
        <v>2210</v>
      </c>
      <c r="N72" s="820" t="s">
        <v>1939</v>
      </c>
      <c r="O72" s="1182" t="s">
        <v>2818</v>
      </c>
      <c r="P72" s="1178" t="s">
        <v>2825</v>
      </c>
      <c r="Q72" s="326" t="s">
        <v>158</v>
      </c>
      <c r="R72" s="329" t="s">
        <v>2821</v>
      </c>
      <c r="S72" s="326"/>
    </row>
    <row r="73" spans="1:19" s="733" customFormat="1" ht="24" x14ac:dyDescent="0.2">
      <c r="A73" s="326" t="s">
        <v>2089</v>
      </c>
      <c r="B73" s="327" t="s">
        <v>2137</v>
      </c>
      <c r="C73" s="328" t="s">
        <v>1937</v>
      </c>
      <c r="D73" s="704" t="s">
        <v>2069</v>
      </c>
      <c r="E73" s="329" t="s">
        <v>1970</v>
      </c>
      <c r="F73" s="329"/>
      <c r="G73" s="329"/>
      <c r="H73" s="329"/>
      <c r="I73" s="330">
        <v>110</v>
      </c>
      <c r="J73" s="330">
        <v>110</v>
      </c>
      <c r="K73" s="330">
        <v>110</v>
      </c>
      <c r="L73" s="703">
        <v>0</v>
      </c>
      <c r="M73" s="820" t="s">
        <v>2211</v>
      </c>
      <c r="N73" s="820" t="s">
        <v>1939</v>
      </c>
      <c r="O73" s="1182" t="s">
        <v>2818</v>
      </c>
      <c r="P73" s="1178" t="s">
        <v>2841</v>
      </c>
      <c r="Q73" s="326" t="s">
        <v>158</v>
      </c>
      <c r="R73" s="329" t="s">
        <v>2821</v>
      </c>
      <c r="S73" s="326"/>
    </row>
    <row r="74" spans="1:19" s="733" customFormat="1" ht="24" x14ac:dyDescent="0.2">
      <c r="A74" s="326" t="s">
        <v>2091</v>
      </c>
      <c r="B74" s="327" t="s">
        <v>2139</v>
      </c>
      <c r="C74" s="328" t="s">
        <v>1937</v>
      </c>
      <c r="D74" s="704" t="s">
        <v>2069</v>
      </c>
      <c r="E74" s="329" t="s">
        <v>1972</v>
      </c>
      <c r="F74" s="329"/>
      <c r="G74" s="329"/>
      <c r="H74" s="329"/>
      <c r="I74" s="330">
        <v>65</v>
      </c>
      <c r="J74" s="330">
        <v>65</v>
      </c>
      <c r="K74" s="330">
        <v>65</v>
      </c>
      <c r="L74" s="703">
        <v>0</v>
      </c>
      <c r="M74" s="820" t="s">
        <v>2212</v>
      </c>
      <c r="N74" s="820" t="s">
        <v>1939</v>
      </c>
      <c r="O74" s="1182" t="s">
        <v>2818</v>
      </c>
      <c r="P74" s="1178" t="s">
        <v>2826</v>
      </c>
      <c r="Q74" s="326" t="s">
        <v>158</v>
      </c>
      <c r="R74" s="329" t="s">
        <v>2821</v>
      </c>
      <c r="S74" s="326"/>
    </row>
    <row r="75" spans="1:19" s="733" customFormat="1" ht="24" x14ac:dyDescent="0.2">
      <c r="A75" s="332" t="s">
        <v>2093</v>
      </c>
      <c r="B75" s="333" t="s">
        <v>2140</v>
      </c>
      <c r="C75" s="334" t="s">
        <v>1937</v>
      </c>
      <c r="D75" s="706" t="s">
        <v>2069</v>
      </c>
      <c r="E75" s="335" t="s">
        <v>1974</v>
      </c>
      <c r="F75" s="335"/>
      <c r="G75" s="335"/>
      <c r="H75" s="335"/>
      <c r="I75" s="330">
        <v>45</v>
      </c>
      <c r="J75" s="330">
        <v>45</v>
      </c>
      <c r="K75" s="330">
        <v>45</v>
      </c>
      <c r="L75" s="703">
        <v>0</v>
      </c>
      <c r="M75" s="820" t="s">
        <v>2213</v>
      </c>
      <c r="N75" s="820" t="s">
        <v>1939</v>
      </c>
      <c r="O75" s="1182" t="s">
        <v>2818</v>
      </c>
      <c r="P75" s="1178" t="s">
        <v>2842</v>
      </c>
      <c r="Q75" s="326" t="s">
        <v>158</v>
      </c>
      <c r="R75" s="329" t="s">
        <v>2821</v>
      </c>
      <c r="S75" s="332"/>
    </row>
    <row r="76" spans="1:19" s="733" customFormat="1" ht="36" x14ac:dyDescent="0.2">
      <c r="A76" s="326" t="s">
        <v>2130</v>
      </c>
      <c r="B76" s="327" t="s">
        <v>2141</v>
      </c>
      <c r="C76" s="328" t="s">
        <v>1937</v>
      </c>
      <c r="D76" s="704" t="s">
        <v>2069</v>
      </c>
      <c r="E76" s="329" t="s">
        <v>1976</v>
      </c>
      <c r="F76" s="329"/>
      <c r="G76" s="329"/>
      <c r="H76" s="329"/>
      <c r="I76" s="330">
        <v>175</v>
      </c>
      <c r="J76" s="330">
        <v>175</v>
      </c>
      <c r="K76" s="330">
        <v>175</v>
      </c>
      <c r="L76" s="703">
        <v>0</v>
      </c>
      <c r="M76" s="820" t="s">
        <v>2214</v>
      </c>
      <c r="N76" s="820" t="s">
        <v>1939</v>
      </c>
      <c r="O76" s="1182" t="s">
        <v>2818</v>
      </c>
      <c r="P76" s="1178" t="s">
        <v>2838</v>
      </c>
      <c r="Q76" s="326" t="s">
        <v>158</v>
      </c>
      <c r="R76" s="329" t="s">
        <v>2821</v>
      </c>
      <c r="S76" s="326"/>
    </row>
    <row r="77" spans="1:19" s="733" customFormat="1" ht="36" x14ac:dyDescent="0.2">
      <c r="A77" s="326" t="s">
        <v>2132</v>
      </c>
      <c r="B77" s="327" t="s">
        <v>2142</v>
      </c>
      <c r="C77" s="328" t="s">
        <v>1937</v>
      </c>
      <c r="D77" s="704" t="s">
        <v>2069</v>
      </c>
      <c r="E77" s="329" t="s">
        <v>1978</v>
      </c>
      <c r="F77" s="329"/>
      <c r="G77" s="329"/>
      <c r="H77" s="329"/>
      <c r="I77" s="330">
        <v>130</v>
      </c>
      <c r="J77" s="330">
        <v>130</v>
      </c>
      <c r="K77" s="330">
        <v>130</v>
      </c>
      <c r="L77" s="703">
        <v>0</v>
      </c>
      <c r="M77" s="820" t="s">
        <v>2215</v>
      </c>
      <c r="N77" s="820" t="s">
        <v>1939</v>
      </c>
      <c r="O77" s="1182" t="s">
        <v>2818</v>
      </c>
      <c r="P77" s="1178" t="s">
        <v>2829</v>
      </c>
      <c r="Q77" s="326" t="s">
        <v>158</v>
      </c>
      <c r="R77" s="329" t="s">
        <v>2821</v>
      </c>
      <c r="S77" s="326"/>
    </row>
    <row r="78" spans="1:19" s="733" customFormat="1" ht="36" x14ac:dyDescent="0.2">
      <c r="A78" s="326" t="s">
        <v>2134</v>
      </c>
      <c r="B78" s="327" t="s">
        <v>2144</v>
      </c>
      <c r="C78" s="328" t="s">
        <v>1937</v>
      </c>
      <c r="D78" s="704" t="s">
        <v>2069</v>
      </c>
      <c r="E78" s="329" t="s">
        <v>1982</v>
      </c>
      <c r="F78" s="329"/>
      <c r="G78" s="329"/>
      <c r="H78" s="329"/>
      <c r="I78" s="330">
        <v>110</v>
      </c>
      <c r="J78" s="330">
        <v>110</v>
      </c>
      <c r="K78" s="330">
        <v>110</v>
      </c>
      <c r="L78" s="330">
        <v>0</v>
      </c>
      <c r="M78" s="820" t="s">
        <v>2216</v>
      </c>
      <c r="N78" s="820" t="s">
        <v>1939</v>
      </c>
      <c r="O78" s="1182" t="s">
        <v>2818</v>
      </c>
      <c r="P78" s="1178" t="s">
        <v>2840</v>
      </c>
      <c r="Q78" s="326" t="s">
        <v>158</v>
      </c>
      <c r="R78" s="329" t="s">
        <v>2821</v>
      </c>
      <c r="S78" s="326"/>
    </row>
    <row r="79" spans="1:19" s="733" customFormat="1" ht="36" x14ac:dyDescent="0.2">
      <c r="A79" s="326" t="s">
        <v>2136</v>
      </c>
      <c r="B79" s="327" t="s">
        <v>2146</v>
      </c>
      <c r="C79" s="328" t="s">
        <v>1937</v>
      </c>
      <c r="D79" s="704" t="s">
        <v>2069</v>
      </c>
      <c r="E79" s="329" t="s">
        <v>1980</v>
      </c>
      <c r="F79" s="329"/>
      <c r="G79" s="329"/>
      <c r="H79" s="329"/>
      <c r="I79" s="330">
        <v>110</v>
      </c>
      <c r="J79" s="330">
        <v>110</v>
      </c>
      <c r="K79" s="330">
        <v>110</v>
      </c>
      <c r="L79" s="330">
        <v>0</v>
      </c>
      <c r="M79" s="820" t="s">
        <v>2217</v>
      </c>
      <c r="N79" s="820" t="s">
        <v>1939</v>
      </c>
      <c r="O79" s="1182" t="s">
        <v>2818</v>
      </c>
      <c r="P79" s="1178" t="s">
        <v>2841</v>
      </c>
      <c r="Q79" s="326" t="s">
        <v>158</v>
      </c>
      <c r="R79" s="329" t="s">
        <v>2821</v>
      </c>
      <c r="S79" s="326"/>
    </row>
    <row r="80" spans="1:19" s="733" customFormat="1" ht="15" x14ac:dyDescent="0.2">
      <c r="A80" s="326" t="s">
        <v>2472</v>
      </c>
      <c r="B80" s="327" t="s">
        <v>2470</v>
      </c>
      <c r="C80" s="328" t="s">
        <v>2386</v>
      </c>
      <c r="D80" s="704" t="s">
        <v>2069</v>
      </c>
      <c r="E80" s="329"/>
      <c r="F80" s="329"/>
      <c r="G80" s="329"/>
      <c r="H80" s="329"/>
      <c r="I80" s="330">
        <v>450</v>
      </c>
      <c r="J80" s="330">
        <v>495</v>
      </c>
      <c r="K80" s="330">
        <v>535</v>
      </c>
      <c r="L80" s="330">
        <v>0</v>
      </c>
      <c r="M80" s="820" t="s">
        <v>2471</v>
      </c>
      <c r="N80" s="820"/>
      <c r="O80" s="1182" t="s">
        <v>2818</v>
      </c>
      <c r="P80" s="1178" t="s">
        <v>2823</v>
      </c>
      <c r="Q80" s="326" t="s">
        <v>158</v>
      </c>
      <c r="R80" s="329" t="s">
        <v>2821</v>
      </c>
      <c r="S80" s="326"/>
    </row>
    <row r="81" spans="1:20" s="866" customFormat="1" ht="24" x14ac:dyDescent="0.2">
      <c r="A81" s="326" t="s">
        <v>2376</v>
      </c>
      <c r="B81" s="327" t="s">
        <v>2462</v>
      </c>
      <c r="C81" s="705" t="s">
        <v>2388</v>
      </c>
      <c r="D81" s="707"/>
      <c r="E81" s="329"/>
      <c r="F81" s="329" t="s">
        <v>619</v>
      </c>
      <c r="G81" s="329"/>
      <c r="H81" s="329"/>
      <c r="I81" s="879">
        <v>0</v>
      </c>
      <c r="J81" s="879">
        <v>0</v>
      </c>
      <c r="K81" s="330">
        <v>0</v>
      </c>
      <c r="L81" s="330">
        <v>0</v>
      </c>
      <c r="M81" s="820" t="s">
        <v>2375</v>
      </c>
      <c r="N81" s="1074"/>
      <c r="O81" s="1182" t="s">
        <v>2818</v>
      </c>
      <c r="P81" s="1178" t="s">
        <v>2844</v>
      </c>
      <c r="Q81" s="326" t="s">
        <v>158</v>
      </c>
      <c r="R81" s="329" t="s">
        <v>2821</v>
      </c>
      <c r="S81" s="329"/>
      <c r="T81" s="326"/>
    </row>
    <row r="82" spans="1:20" s="733" customFormat="1" ht="36" x14ac:dyDescent="0.2">
      <c r="A82" s="326" t="s">
        <v>2583</v>
      </c>
      <c r="B82" s="327" t="s">
        <v>2723</v>
      </c>
      <c r="C82" s="705" t="s">
        <v>2583</v>
      </c>
      <c r="D82" s="707"/>
      <c r="E82" s="329"/>
      <c r="F82" s="329" t="s">
        <v>157</v>
      </c>
      <c r="G82" s="329"/>
      <c r="H82" s="329"/>
      <c r="I82" s="879">
        <v>0</v>
      </c>
      <c r="J82" s="879">
        <v>0</v>
      </c>
      <c r="K82" s="330">
        <v>0</v>
      </c>
      <c r="L82" s="330">
        <v>0</v>
      </c>
      <c r="M82" s="820" t="s">
        <v>2750</v>
      </c>
      <c r="N82" s="1074"/>
      <c r="O82" s="1182" t="s">
        <v>2818</v>
      </c>
      <c r="P82" s="1178" t="s">
        <v>2845</v>
      </c>
      <c r="Q82" s="326" t="s">
        <v>158</v>
      </c>
      <c r="R82" s="329" t="s">
        <v>2845</v>
      </c>
      <c r="S82" s="329"/>
      <c r="T82" s="999"/>
    </row>
    <row r="83" spans="1:20" s="733" customFormat="1" ht="24" x14ac:dyDescent="0.2">
      <c r="A83" s="326" t="s">
        <v>2116</v>
      </c>
      <c r="B83" s="327" t="s">
        <v>1953</v>
      </c>
      <c r="C83" s="328" t="s">
        <v>2197</v>
      </c>
      <c r="D83" s="704"/>
      <c r="E83" s="329"/>
      <c r="F83" s="329"/>
      <c r="G83" s="329"/>
      <c r="H83" s="329"/>
      <c r="I83" s="916">
        <v>1500</v>
      </c>
      <c r="J83" s="916">
        <v>1500</v>
      </c>
      <c r="K83" s="916">
        <v>1500</v>
      </c>
      <c r="L83" s="330">
        <v>0</v>
      </c>
      <c r="M83" s="820" t="s">
        <v>1956</v>
      </c>
      <c r="N83" s="820"/>
      <c r="O83" s="1182" t="s">
        <v>2818</v>
      </c>
      <c r="P83" s="1178" t="s">
        <v>2846</v>
      </c>
      <c r="Q83" s="326" t="s">
        <v>91</v>
      </c>
      <c r="R83" s="329" t="s">
        <v>2821</v>
      </c>
      <c r="S83" s="326"/>
    </row>
    <row r="84" spans="1:20" s="733" customFormat="1" ht="43.15" customHeight="1" x14ac:dyDescent="0.2">
      <c r="A84" s="326" t="s">
        <v>2114</v>
      </c>
      <c r="B84" s="327" t="s">
        <v>1948</v>
      </c>
      <c r="C84" s="328" t="s">
        <v>1947</v>
      </c>
      <c r="D84" s="704"/>
      <c r="E84" s="329"/>
      <c r="F84" s="329"/>
      <c r="G84" s="329"/>
      <c r="H84" s="329"/>
      <c r="I84" s="330">
        <v>200</v>
      </c>
      <c r="J84" s="330">
        <v>200</v>
      </c>
      <c r="K84" s="330">
        <v>200</v>
      </c>
      <c r="L84" s="330">
        <v>0</v>
      </c>
      <c r="M84" s="820" t="s">
        <v>1949</v>
      </c>
      <c r="N84" s="820"/>
      <c r="O84" s="1182" t="s">
        <v>2818</v>
      </c>
      <c r="P84" s="1178" t="s">
        <v>2847</v>
      </c>
      <c r="Q84" s="326" t="s">
        <v>158</v>
      </c>
      <c r="R84" s="329" t="s">
        <v>2821</v>
      </c>
      <c r="S84" s="326"/>
    </row>
    <row r="85" spans="1:20" s="733" customFormat="1" ht="15" x14ac:dyDescent="0.2">
      <c r="A85" s="332" t="s">
        <v>2118</v>
      </c>
      <c r="B85" s="333" t="s">
        <v>392</v>
      </c>
      <c r="C85" s="334" t="s">
        <v>1946</v>
      </c>
      <c r="D85" s="706"/>
      <c r="E85" s="335"/>
      <c r="F85" s="335"/>
      <c r="G85" s="335"/>
      <c r="H85" s="335"/>
      <c r="I85" s="330">
        <v>0</v>
      </c>
      <c r="J85" s="330">
        <v>0</v>
      </c>
      <c r="K85" s="330">
        <v>0</v>
      </c>
      <c r="L85" s="330">
        <v>0</v>
      </c>
      <c r="M85" s="820" t="s">
        <v>459</v>
      </c>
      <c r="N85" s="1079"/>
      <c r="O85" s="1182" t="s">
        <v>2818</v>
      </c>
      <c r="P85" s="1178" t="s">
        <v>2846</v>
      </c>
      <c r="Q85" s="326" t="s">
        <v>91</v>
      </c>
      <c r="R85" s="329" t="s">
        <v>2821</v>
      </c>
      <c r="S85" s="332"/>
    </row>
    <row r="86" spans="1:20" s="733" customFormat="1" ht="15" x14ac:dyDescent="0.2">
      <c r="A86" s="326" t="s">
        <v>2120</v>
      </c>
      <c r="B86" s="327" t="s">
        <v>1944</v>
      </c>
      <c r="C86" s="328" t="s">
        <v>1943</v>
      </c>
      <c r="D86" s="704"/>
      <c r="E86" s="329"/>
      <c r="F86" s="329"/>
      <c r="G86" s="329"/>
      <c r="H86" s="329"/>
      <c r="I86" s="330">
        <v>0</v>
      </c>
      <c r="J86" s="330">
        <v>0</v>
      </c>
      <c r="K86" s="330">
        <v>0</v>
      </c>
      <c r="L86" s="330">
        <v>0</v>
      </c>
      <c r="M86" s="820" t="s">
        <v>1945</v>
      </c>
      <c r="N86" s="820"/>
      <c r="O86" s="1182" t="s">
        <v>2818</v>
      </c>
      <c r="P86" s="1178" t="s">
        <v>2846</v>
      </c>
      <c r="Q86" s="326" t="s">
        <v>91</v>
      </c>
      <c r="R86" s="329"/>
      <c r="S86" s="326"/>
    </row>
    <row r="87" spans="1:20" s="733" customFormat="1" ht="15" x14ac:dyDescent="0.2">
      <c r="A87" s="326" t="s">
        <v>2122</v>
      </c>
      <c r="B87" s="327" t="s">
        <v>244</v>
      </c>
      <c r="C87" s="328" t="s">
        <v>1950</v>
      </c>
      <c r="D87" s="704"/>
      <c r="E87" s="329"/>
      <c r="F87" s="329"/>
      <c r="G87" s="329"/>
      <c r="H87" s="329"/>
      <c r="I87" s="1046" t="s">
        <v>2819</v>
      </c>
      <c r="J87" s="1046" t="s">
        <v>2819</v>
      </c>
      <c r="K87" s="1046" t="s">
        <v>2819</v>
      </c>
      <c r="L87" s="703">
        <v>0</v>
      </c>
      <c r="M87" s="820" t="s">
        <v>2202</v>
      </c>
      <c r="N87" s="820"/>
      <c r="O87" s="1182" t="s">
        <v>2818</v>
      </c>
      <c r="P87" s="1178" t="s">
        <v>2846</v>
      </c>
      <c r="Q87" s="326" t="s">
        <v>91</v>
      </c>
      <c r="R87" s="828"/>
      <c r="S87" s="326"/>
    </row>
    <row r="91" spans="1:20" x14ac:dyDescent="0.2">
      <c r="P91" s="1180"/>
    </row>
    <row r="92" spans="1:20" x14ac:dyDescent="0.2">
      <c r="O92" s="740"/>
      <c r="P92" s="734"/>
    </row>
    <row r="93" spans="1:20" x14ac:dyDescent="0.2">
      <c r="O93" s="740"/>
    </row>
    <row r="94" spans="1:20" x14ac:dyDescent="0.2">
      <c r="O94" s="740"/>
    </row>
    <row r="95" spans="1:20" x14ac:dyDescent="0.2">
      <c r="O95" s="740"/>
    </row>
    <row r="96" spans="1:20" x14ac:dyDescent="0.2">
      <c r="O96" s="740"/>
    </row>
    <row r="97" spans="15:15" x14ac:dyDescent="0.2">
      <c r="O97" s="740"/>
    </row>
    <row r="98" spans="15:15" x14ac:dyDescent="0.2">
      <c r="O98" s="740"/>
    </row>
  </sheetData>
  <customSheetViews>
    <customSheetView guid="{4892E1C0-7A56-4F81-A857-987D77EC4462}" topLeftCell="A13">
      <selection activeCell="F5" sqref="F5"/>
      <pageMargins left="0.25" right="0.25" top="1" bottom="1" header="0.5" footer="0.5"/>
      <printOptions gridLines="1"/>
      <pageSetup paperSize="5" orientation="landscape" r:id="rId1"/>
      <headerFooter alignWithMargins="0">
        <oddHeader>&amp;L&amp;G&amp;CShowAcronymGoesHere - PSM&amp;R&amp;P</oddHeader>
        <oddFooter>&amp;L&amp;D&amp;R&amp;Z&amp;F</oddFooter>
      </headerFooter>
    </customSheetView>
    <customSheetView guid="{C29C6423-4E3D-4B08-919E-993C7C45FC31}" topLeftCell="A13">
      <selection activeCell="F5" sqref="F5"/>
      <pageMargins left="0.25" right="0.25" top="1" bottom="1" header="0.5" footer="0.5"/>
      <printOptions gridLines="1"/>
      <pageSetup paperSize="5" orientation="landscape" r:id="rId2"/>
      <headerFooter alignWithMargins="0">
        <oddHeader>&amp;L&amp;G&amp;CShowAcronymGoesHere - PSM&amp;R&amp;P</oddHeader>
        <oddFooter>&amp;L&amp;D&amp;R&amp;Z&amp;F</oddFooter>
      </headerFooter>
    </customSheetView>
  </customSheetViews>
  <phoneticPr fontId="6" type="noConversion"/>
  <pageMargins left="0.25" right="0.25" top="1" bottom="1" header="0.5" footer="0.5"/>
  <pageSetup paperSize="5" scale="79" fitToHeight="25" orientation="landscape" r:id="rId3"/>
  <headerFooter alignWithMargins="0">
    <oddHeader>&amp;L&amp;G&amp;CShowAcronymGoesHere - PSM&amp;R&amp;P</oddHeader>
    <oddFooter>&amp;L&amp;D&amp;R&amp;Z&amp;F</oddFooter>
  </headerFooter>
  <customProperties>
    <customPr name="DVSECTIONID" r:id="rId4"/>
  </customProperties>
  <legacyDrawingHF r:id="rId5"/>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2">
    <tabColor theme="0" tint="-0.14999847407452621"/>
  </sheetPr>
  <dimension ref="A1:J148"/>
  <sheetViews>
    <sheetView zoomScaleNormal="100" zoomScaleSheetLayoutView="100" workbookViewId="0">
      <pane ySplit="1" topLeftCell="A36" activePane="bottomLeft" state="frozen"/>
      <selection activeCell="U16" sqref="U16"/>
      <selection pane="bottomLeft" activeCell="A44" sqref="A44:B44"/>
    </sheetView>
  </sheetViews>
  <sheetFormatPr defaultRowHeight="12.75" x14ac:dyDescent="0.2"/>
  <cols>
    <col min="1" max="1" width="10.5703125" customWidth="1"/>
    <col min="2" max="2" width="13.7109375" customWidth="1"/>
    <col min="3" max="3" width="22.28515625" bestFit="1" customWidth="1"/>
    <col min="4" max="4" width="19.7109375" customWidth="1"/>
    <col min="5" max="5" width="9.28515625" customWidth="1"/>
    <col min="6" max="6" width="11.42578125" customWidth="1"/>
    <col min="7" max="7" width="26.5703125" customWidth="1"/>
    <col min="8" max="8" width="9" customWidth="1"/>
  </cols>
  <sheetData>
    <row r="1" spans="1:9" ht="14.25" customHeight="1" x14ac:dyDescent="0.2">
      <c r="A1" s="181" t="s">
        <v>639</v>
      </c>
    </row>
    <row r="2" spans="1:9" s="33" customFormat="1" ht="21.75" customHeight="1" x14ac:dyDescent="0.2">
      <c r="A2" s="1305" t="s">
        <v>914</v>
      </c>
      <c r="B2" s="1306"/>
      <c r="C2" s="1306"/>
      <c r="D2" s="1306"/>
      <c r="E2" s="1306"/>
      <c r="F2" s="1306"/>
      <c r="G2" s="1306"/>
      <c r="H2" s="1306"/>
    </row>
    <row r="3" spans="1:9" s="552" customFormat="1" ht="14.25" customHeight="1" x14ac:dyDescent="0.2">
      <c r="A3" s="549"/>
      <c r="B3" s="550"/>
      <c r="C3" s="550"/>
      <c r="D3" s="550"/>
      <c r="E3" s="550"/>
      <c r="F3" s="550"/>
      <c r="G3" s="551"/>
      <c r="H3" s="551"/>
    </row>
    <row r="4" spans="1:9" s="33" customFormat="1" ht="25.5" customHeight="1" x14ac:dyDescent="0.2">
      <c r="A4" s="545" t="s">
        <v>604</v>
      </c>
      <c r="B4" s="1360" t="s">
        <v>1803</v>
      </c>
      <c r="C4" s="1360"/>
      <c r="D4" s="1360"/>
      <c r="E4" s="1360"/>
      <c r="F4" s="1360"/>
      <c r="G4" s="34"/>
      <c r="H4" s="34"/>
    </row>
    <row r="5" spans="1:9" s="33" customFormat="1" ht="12.75" customHeight="1" x14ac:dyDescent="0.2">
      <c r="A5" s="546"/>
      <c r="B5" s="1361" t="s">
        <v>96</v>
      </c>
      <c r="C5" s="1362"/>
      <c r="D5" s="1362"/>
      <c r="E5" s="1362"/>
      <c r="F5" s="1362"/>
      <c r="G5" s="544"/>
      <c r="H5" s="544"/>
    </row>
    <row r="6" spans="1:9" s="33" customFormat="1" x14ac:dyDescent="0.2">
      <c r="A6" s="546"/>
      <c r="B6" s="1361" t="s">
        <v>97</v>
      </c>
      <c r="C6" s="1362"/>
      <c r="D6" s="1362"/>
      <c r="E6" s="1362"/>
      <c r="F6" s="1362"/>
      <c r="G6" s="544"/>
      <c r="H6" s="544"/>
    </row>
    <row r="7" spans="1:9" s="33" customFormat="1" x14ac:dyDescent="0.2">
      <c r="A7" s="316" t="s">
        <v>604</v>
      </c>
      <c r="B7" s="1361" t="s">
        <v>2292</v>
      </c>
      <c r="C7" s="1362"/>
      <c r="D7" s="1362"/>
      <c r="E7" s="1362"/>
      <c r="F7" s="1362"/>
      <c r="G7" s="544"/>
      <c r="H7" s="544"/>
    </row>
    <row r="8" spans="1:9" s="33" customFormat="1" x14ac:dyDescent="0.2">
      <c r="A8" s="547"/>
      <c r="B8" s="547"/>
      <c r="C8" s="547"/>
      <c r="D8" s="547"/>
      <c r="E8" s="547"/>
      <c r="F8" s="547"/>
      <c r="G8" s="544"/>
      <c r="H8" s="544"/>
    </row>
    <row r="9" spans="1:9" s="17" customFormat="1" ht="15" customHeight="1" x14ac:dyDescent="0.2">
      <c r="A9" s="806" t="s">
        <v>831</v>
      </c>
      <c r="B9" s="81"/>
      <c r="D9" s="749" t="s">
        <v>2240</v>
      </c>
    </row>
    <row r="10" spans="1:9" s="35" customFormat="1" x14ac:dyDescent="0.2">
      <c r="A10" s="805" t="s">
        <v>833</v>
      </c>
      <c r="B10" s="134"/>
      <c r="D10" s="749" t="s">
        <v>420</v>
      </c>
    </row>
    <row r="11" spans="1:9" s="843" customFormat="1" x14ac:dyDescent="0.2">
      <c r="A11" s="840"/>
      <c r="B11" s="842"/>
      <c r="D11" s="845"/>
    </row>
    <row r="12" spans="1:9" s="844" customFormat="1" ht="25.15" customHeight="1" x14ac:dyDescent="0.2">
      <c r="A12" s="848" t="s">
        <v>1489</v>
      </c>
      <c r="B12" s="1363" t="s">
        <v>2341</v>
      </c>
      <c r="C12" s="1363"/>
      <c r="D12" s="1363"/>
      <c r="E12" s="1363"/>
      <c r="F12" s="1363"/>
      <c r="G12" s="1363"/>
      <c r="H12" s="841"/>
      <c r="I12" s="841"/>
    </row>
    <row r="13" spans="1:9" s="35" customFormat="1" x14ac:dyDescent="0.2">
      <c r="A13" s="134"/>
      <c r="B13" s="86"/>
      <c r="C13" s="86"/>
    </row>
    <row r="14" spans="1:9" s="35" customFormat="1" x14ac:dyDescent="0.2">
      <c r="A14" s="136" t="s">
        <v>896</v>
      </c>
      <c r="B14" s="86"/>
      <c r="C14" s="86"/>
      <c r="D14" s="808" t="s">
        <v>91</v>
      </c>
    </row>
    <row r="15" spans="1:9" s="35" customFormat="1" hidden="1" x14ac:dyDescent="0.2">
      <c r="A15" s="64" t="s">
        <v>858</v>
      </c>
      <c r="B15" s="1359"/>
      <c r="C15" s="1359"/>
      <c r="D15" s="64"/>
      <c r="E15" s="64"/>
    </row>
    <row r="16" spans="1:9" s="35" customFormat="1" hidden="1" x14ac:dyDescent="0.2">
      <c r="A16" s="64" t="s">
        <v>856</v>
      </c>
      <c r="B16" s="1359"/>
      <c r="C16" s="1359"/>
      <c r="D16" s="64"/>
      <c r="E16" s="64"/>
    </row>
    <row r="17" spans="1:8" s="35" customFormat="1" hidden="1" x14ac:dyDescent="0.2">
      <c r="A17" s="64" t="s">
        <v>857</v>
      </c>
      <c r="B17" s="1359"/>
      <c r="C17" s="1359"/>
      <c r="D17" s="64"/>
      <c r="E17" s="64"/>
    </row>
    <row r="18" spans="1:8" s="35" customFormat="1" hidden="1" x14ac:dyDescent="0.2">
      <c r="A18" s="160"/>
      <c r="B18" s="64"/>
      <c r="C18" s="64"/>
      <c r="D18" s="64"/>
      <c r="E18" s="64"/>
    </row>
    <row r="19" spans="1:8" s="17" customFormat="1" hidden="1" x14ac:dyDescent="0.2">
      <c r="A19" s="38" t="s">
        <v>604</v>
      </c>
      <c r="B19" s="1360" t="s">
        <v>322</v>
      </c>
      <c r="C19" s="1360"/>
      <c r="D19" s="1360"/>
      <c r="E19" s="1360"/>
      <c r="F19" s="1360"/>
      <c r="G19" s="34"/>
      <c r="H19" s="34"/>
    </row>
    <row r="20" spans="1:8" s="17" customFormat="1" hidden="1" x14ac:dyDescent="0.2">
      <c r="A20" s="176"/>
      <c r="B20" s="1362" t="s">
        <v>323</v>
      </c>
      <c r="C20" s="1362"/>
      <c r="D20" s="1362"/>
      <c r="E20" s="1362"/>
      <c r="F20" s="1362"/>
      <c r="G20" s="34"/>
      <c r="H20" s="34"/>
    </row>
    <row r="21" spans="1:8" s="17" customFormat="1" hidden="1" x14ac:dyDescent="0.2">
      <c r="A21" s="176"/>
      <c r="B21" s="1362" t="s">
        <v>315</v>
      </c>
      <c r="C21" s="1362"/>
      <c r="D21" s="1362"/>
      <c r="E21" s="1362"/>
      <c r="F21" s="1362"/>
      <c r="G21" s="34"/>
      <c r="H21" s="34"/>
    </row>
    <row r="22" spans="1:8" s="17" customFormat="1" hidden="1" x14ac:dyDescent="0.2">
      <c r="A22" s="176"/>
      <c r="B22" s="1362" t="s">
        <v>309</v>
      </c>
      <c r="C22" s="1362"/>
      <c r="D22" s="1362"/>
      <c r="E22" s="1362"/>
      <c r="F22" s="1362"/>
      <c r="G22" s="34"/>
      <c r="H22" s="34"/>
    </row>
    <row r="23" spans="1:8" s="17" customFormat="1" x14ac:dyDescent="0.2">
      <c r="A23" s="46"/>
      <c r="B23" s="46"/>
      <c r="C23" s="46"/>
      <c r="D23" s="46"/>
      <c r="E23" s="46"/>
      <c r="F23" s="46"/>
      <c r="G23" s="34"/>
      <c r="H23" s="34"/>
    </row>
    <row r="24" spans="1:8" s="541" customFormat="1" ht="13.15" customHeight="1" x14ac:dyDescent="0.2">
      <c r="A24" s="1350" t="s">
        <v>2293</v>
      </c>
      <c r="B24" s="1350"/>
      <c r="C24" s="1350"/>
      <c r="D24" s="744" t="s">
        <v>97</v>
      </c>
      <c r="E24" s="745"/>
      <c r="F24" s="745"/>
      <c r="G24" s="537"/>
      <c r="H24" s="537"/>
    </row>
    <row r="25" spans="1:8" s="541" customFormat="1" x14ac:dyDescent="0.2">
      <c r="A25" s="538"/>
      <c r="B25" s="538"/>
      <c r="C25" s="538"/>
      <c r="D25" s="538"/>
      <c r="E25" s="538"/>
      <c r="F25" s="538"/>
      <c r="G25" s="537"/>
      <c r="H25" s="537"/>
    </row>
    <row r="26" spans="1:8" s="17" customFormat="1" ht="25.9" customHeight="1" x14ac:dyDescent="0.2">
      <c r="A26" s="1350" t="s">
        <v>1106</v>
      </c>
      <c r="B26" s="1350"/>
      <c r="C26" s="1350"/>
      <c r="D26" s="1348" t="s">
        <v>2342</v>
      </c>
      <c r="E26" s="1348"/>
      <c r="F26" s="1348"/>
      <c r="G26" s="1348"/>
      <c r="H26" s="746"/>
    </row>
    <row r="27" spans="1:8" s="367" customFormat="1" x14ac:dyDescent="0.2">
      <c r="A27" s="365"/>
      <c r="B27" s="365"/>
      <c r="C27" s="365"/>
      <c r="D27" s="365"/>
      <c r="E27" s="365"/>
      <c r="F27" s="365"/>
      <c r="G27" s="365"/>
      <c r="H27" s="365"/>
    </row>
    <row r="28" spans="1:8" s="17" customFormat="1" ht="13.15" customHeight="1" x14ac:dyDescent="0.2">
      <c r="A28" s="1350" t="s">
        <v>1107</v>
      </c>
      <c r="B28" s="1350"/>
      <c r="C28" s="1350"/>
      <c r="D28" s="747" t="s">
        <v>91</v>
      </c>
      <c r="E28" s="746"/>
      <c r="F28" s="746"/>
      <c r="G28" s="746"/>
      <c r="H28" s="746"/>
    </row>
    <row r="29" spans="1:8" s="17" customFormat="1" x14ac:dyDescent="0.2">
      <c r="A29" s="1366"/>
      <c r="B29" s="1366"/>
      <c r="C29" s="1366"/>
      <c r="D29" s="1366"/>
      <c r="E29" s="1366"/>
      <c r="F29" s="1366"/>
      <c r="G29" s="1366"/>
      <c r="H29" s="1366"/>
    </row>
    <row r="30" spans="1:8" s="367" customFormat="1" ht="13.15" customHeight="1" x14ac:dyDescent="0.2">
      <c r="A30" s="1328" t="s">
        <v>1583</v>
      </c>
      <c r="B30" s="1328"/>
      <c r="C30" s="1328"/>
      <c r="D30" s="1328"/>
      <c r="E30" s="804" t="s">
        <v>91</v>
      </c>
      <c r="F30" s="804"/>
      <c r="G30" s="804"/>
      <c r="H30" s="804"/>
    </row>
    <row r="31" spans="1:8" s="286" customFormat="1" ht="43.5" hidden="1" customHeight="1" x14ac:dyDescent="0.2">
      <c r="A31" s="396" t="s">
        <v>1580</v>
      </c>
      <c r="B31" s="396" t="s">
        <v>1652</v>
      </c>
      <c r="C31" s="396" t="s">
        <v>1584</v>
      </c>
      <c r="D31" s="394" t="s">
        <v>1647</v>
      </c>
      <c r="E31" s="1370" t="s">
        <v>1646</v>
      </c>
      <c r="F31" s="1370"/>
      <c r="G31" s="394" t="s">
        <v>1648</v>
      </c>
    </row>
    <row r="32" spans="1:8" s="364" customFormat="1" ht="32.25" hidden="1" customHeight="1" x14ac:dyDescent="0.2">
      <c r="A32" s="366"/>
      <c r="B32" s="366"/>
      <c r="C32" s="366"/>
      <c r="D32" s="363" t="s">
        <v>1581</v>
      </c>
      <c r="E32" s="1322" t="s">
        <v>1581</v>
      </c>
      <c r="F32" s="1343"/>
      <c r="G32" s="363" t="s">
        <v>1581</v>
      </c>
    </row>
    <row r="33" spans="1:10" s="364" customFormat="1" ht="32.25" hidden="1" customHeight="1" x14ac:dyDescent="0.2">
      <c r="A33" s="366"/>
      <c r="B33" s="366"/>
      <c r="C33" s="366"/>
      <c r="D33" s="363" t="s">
        <v>1581</v>
      </c>
      <c r="E33" s="1322" t="s">
        <v>1581</v>
      </c>
      <c r="F33" s="1343"/>
      <c r="G33" s="363" t="s">
        <v>1581</v>
      </c>
    </row>
    <row r="34" spans="1:10" s="364" customFormat="1" ht="32.25" hidden="1" customHeight="1" x14ac:dyDescent="0.2">
      <c r="A34" s="366"/>
      <c r="B34" s="366"/>
      <c r="C34" s="366"/>
      <c r="D34" s="363" t="s">
        <v>1581</v>
      </c>
      <c r="E34" s="1322" t="s">
        <v>1581</v>
      </c>
      <c r="F34" s="1343"/>
      <c r="G34" s="363" t="s">
        <v>1581</v>
      </c>
    </row>
    <row r="35" spans="1:10" s="364" customFormat="1" x14ac:dyDescent="0.2"/>
    <row r="36" spans="1:10" s="35" customFormat="1" x14ac:dyDescent="0.2">
      <c r="A36" s="1367" t="s">
        <v>1520</v>
      </c>
      <c r="B36" s="1367"/>
      <c r="C36" s="1367"/>
      <c r="D36" s="1367"/>
      <c r="E36" s="158"/>
      <c r="F36" s="158"/>
      <c r="G36" s="158"/>
      <c r="H36" s="158"/>
    </row>
    <row r="37" spans="1:10" s="409" customFormat="1" x14ac:dyDescent="0.2">
      <c r="A37" s="1368" t="s">
        <v>1588</v>
      </c>
      <c r="B37" s="1368"/>
      <c r="C37" s="1368"/>
      <c r="D37" s="1368"/>
      <c r="E37" s="1368"/>
      <c r="F37" s="1368"/>
      <c r="G37" s="1368"/>
      <c r="H37" s="1368"/>
    </row>
    <row r="38" spans="1:10" s="35" customFormat="1" x14ac:dyDescent="0.2">
      <c r="A38" s="1366" t="s">
        <v>1138</v>
      </c>
      <c r="B38" s="1366"/>
      <c r="C38" s="1366"/>
      <c r="D38" s="1366"/>
      <c r="E38" s="1366"/>
      <c r="F38" s="1366"/>
      <c r="G38" s="1366"/>
      <c r="H38" s="1366"/>
    </row>
    <row r="39" spans="1:10" s="35" customFormat="1" ht="12.75" customHeight="1" x14ac:dyDescent="0.2">
      <c r="A39" s="1366" t="s">
        <v>1150</v>
      </c>
      <c r="B39" s="1366"/>
      <c r="C39" s="1366"/>
      <c r="D39" s="1366"/>
      <c r="E39" s="1366"/>
      <c r="F39" s="1366"/>
      <c r="G39" s="1366"/>
      <c r="H39" s="1366"/>
      <c r="I39" s="46"/>
      <c r="J39" s="46"/>
    </row>
    <row r="40" spans="1:10" s="35" customFormat="1" ht="26.25" customHeight="1" x14ac:dyDescent="0.2">
      <c r="A40" s="1368" t="s">
        <v>1589</v>
      </c>
      <c r="B40" s="1368"/>
      <c r="C40" s="1368"/>
      <c r="D40" s="1368"/>
      <c r="E40" s="1368"/>
      <c r="F40" s="1368"/>
      <c r="G40" s="1368"/>
      <c r="H40" s="1368"/>
    </row>
    <row r="41" spans="1:10" s="35" customFormat="1" x14ac:dyDescent="0.2">
      <c r="A41" s="1369"/>
      <c r="B41" s="1369"/>
      <c r="C41" s="1369"/>
      <c r="D41" s="1369"/>
      <c r="E41" s="1369"/>
      <c r="F41" s="1369"/>
      <c r="G41" s="1369"/>
      <c r="H41" s="1369"/>
    </row>
    <row r="42" spans="1:10" s="17" customFormat="1" ht="18" customHeight="1" x14ac:dyDescent="0.2">
      <c r="A42" s="1373" t="s">
        <v>1638</v>
      </c>
      <c r="B42" s="1373"/>
      <c r="C42" s="1373"/>
      <c r="D42" s="1373"/>
      <c r="E42" s="1373"/>
      <c r="F42" s="1373"/>
      <c r="G42" s="1373"/>
      <c r="H42" s="1373"/>
    </row>
    <row r="43" spans="1:10" s="17" customFormat="1" ht="6.75" customHeight="1" x14ac:dyDescent="0.2">
      <c r="A43" s="136"/>
      <c r="B43" s="136"/>
      <c r="C43" s="136"/>
      <c r="D43" s="136"/>
      <c r="E43" s="136"/>
      <c r="F43" s="136"/>
      <c r="G43" s="136"/>
      <c r="H43" s="136"/>
    </row>
    <row r="44" spans="1:10" s="416" customFormat="1" ht="22.5" x14ac:dyDescent="0.2">
      <c r="A44" s="1365" t="s">
        <v>859</v>
      </c>
      <c r="B44" s="1365"/>
      <c r="C44" s="422" t="s">
        <v>815</v>
      </c>
      <c r="D44" s="1365" t="s">
        <v>1582</v>
      </c>
      <c r="E44" s="1365"/>
      <c r="F44" s="400" t="s">
        <v>1598</v>
      </c>
      <c r="G44" s="423" t="s">
        <v>1637</v>
      </c>
      <c r="H44" s="425" t="s">
        <v>301</v>
      </c>
    </row>
    <row r="45" spans="1:10" s="416" customFormat="1" x14ac:dyDescent="0.2">
      <c r="A45" s="1226" t="s">
        <v>2309</v>
      </c>
      <c r="B45" s="1226"/>
      <c r="C45" s="1002" t="s">
        <v>1590</v>
      </c>
      <c r="D45" s="1226" t="s">
        <v>1634</v>
      </c>
      <c r="E45" s="1226"/>
      <c r="F45" s="715">
        <v>30</v>
      </c>
      <c r="G45" s="1003" t="s">
        <v>1641</v>
      </c>
      <c r="H45" s="1004"/>
    </row>
    <row r="46" spans="1:10" s="416" customFormat="1" x14ac:dyDescent="0.2">
      <c r="A46" s="1364" t="s">
        <v>1845</v>
      </c>
      <c r="B46" s="1364"/>
      <c r="C46" s="417" t="s">
        <v>268</v>
      </c>
      <c r="D46" s="1364" t="s">
        <v>267</v>
      </c>
      <c r="E46" s="1364"/>
      <c r="F46" s="424">
        <v>80</v>
      </c>
      <c r="G46" s="418" t="s">
        <v>1641</v>
      </c>
      <c r="H46" s="426"/>
    </row>
    <row r="47" spans="1:10" s="416" customFormat="1" x14ac:dyDescent="0.2">
      <c r="A47" s="1364" t="s">
        <v>2517</v>
      </c>
      <c r="B47" s="1364"/>
      <c r="C47" s="417" t="s">
        <v>1593</v>
      </c>
      <c r="D47" s="1364" t="s">
        <v>849</v>
      </c>
      <c r="E47" s="1364"/>
      <c r="F47" s="424">
        <v>8</v>
      </c>
      <c r="G47" s="418" t="s">
        <v>1641</v>
      </c>
      <c r="H47" s="426"/>
    </row>
    <row r="48" spans="1:10" s="416" customFormat="1" x14ac:dyDescent="0.2">
      <c r="A48" s="1364" t="s">
        <v>1623</v>
      </c>
      <c r="B48" s="1364"/>
      <c r="C48" s="417" t="s">
        <v>860</v>
      </c>
      <c r="D48" s="1364" t="s">
        <v>1623</v>
      </c>
      <c r="E48" s="1364"/>
      <c r="F48" s="424">
        <v>4</v>
      </c>
      <c r="G48" s="418"/>
      <c r="H48" s="426"/>
    </row>
    <row r="49" spans="1:8" s="416" customFormat="1" x14ac:dyDescent="0.2">
      <c r="A49" s="1364" t="s">
        <v>606</v>
      </c>
      <c r="B49" s="1364"/>
      <c r="C49" s="417" t="s">
        <v>1591</v>
      </c>
      <c r="D49" s="1364" t="s">
        <v>1617</v>
      </c>
      <c r="E49" s="1364"/>
      <c r="F49" s="424">
        <v>40</v>
      </c>
      <c r="G49" s="418" t="s">
        <v>1641</v>
      </c>
      <c r="H49" s="426" t="s">
        <v>97</v>
      </c>
    </row>
    <row r="50" spans="1:8" s="416" customFormat="1" x14ac:dyDescent="0.2">
      <c r="A50" s="1364" t="s">
        <v>607</v>
      </c>
      <c r="B50" s="1364"/>
      <c r="C50" s="417" t="s">
        <v>1592</v>
      </c>
      <c r="D50" s="1364" t="s">
        <v>1618</v>
      </c>
      <c r="E50" s="1364"/>
      <c r="F50" s="424">
        <v>40</v>
      </c>
      <c r="G50" s="418" t="s">
        <v>1641</v>
      </c>
      <c r="H50" s="426" t="s">
        <v>97</v>
      </c>
    </row>
    <row r="51" spans="1:8" s="416" customFormat="1" x14ac:dyDescent="0.2">
      <c r="A51" s="1364" t="s">
        <v>690</v>
      </c>
      <c r="B51" s="1364"/>
      <c r="C51" s="417" t="s">
        <v>272</v>
      </c>
      <c r="D51" s="1364" t="s">
        <v>271</v>
      </c>
      <c r="E51" s="1364"/>
      <c r="F51" s="424">
        <v>50</v>
      </c>
      <c r="G51" s="418" t="s">
        <v>1641</v>
      </c>
      <c r="H51" s="426"/>
    </row>
    <row r="52" spans="1:8" s="416" customFormat="1" x14ac:dyDescent="0.2">
      <c r="A52" s="1364" t="s">
        <v>609</v>
      </c>
      <c r="B52" s="1364"/>
      <c r="C52" s="417" t="s">
        <v>276</v>
      </c>
      <c r="D52" s="1364" t="s">
        <v>609</v>
      </c>
      <c r="E52" s="1364"/>
      <c r="F52" s="424">
        <v>30</v>
      </c>
      <c r="G52" s="418" t="s">
        <v>1641</v>
      </c>
      <c r="H52" s="426"/>
    </row>
    <row r="53" spans="1:8" s="416" customFormat="1" x14ac:dyDescent="0.2">
      <c r="A53" s="1364" t="s">
        <v>277</v>
      </c>
      <c r="B53" s="1364"/>
      <c r="C53" s="417" t="s">
        <v>278</v>
      </c>
      <c r="D53" s="1364" t="s">
        <v>1649</v>
      </c>
      <c r="E53" s="1364"/>
      <c r="F53" s="424">
        <v>2</v>
      </c>
      <c r="G53" s="418" t="s">
        <v>1642</v>
      </c>
      <c r="H53" s="426"/>
    </row>
    <row r="54" spans="1:8" s="416" customFormat="1" x14ac:dyDescent="0.2">
      <c r="A54" s="1364" t="s">
        <v>361</v>
      </c>
      <c r="B54" s="1364"/>
      <c r="C54" s="417" t="s">
        <v>355</v>
      </c>
      <c r="D54" s="1364" t="s">
        <v>361</v>
      </c>
      <c r="E54" s="1364"/>
      <c r="F54" s="424">
        <v>13</v>
      </c>
      <c r="G54" s="418" t="s">
        <v>1642</v>
      </c>
      <c r="H54" s="426"/>
    </row>
    <row r="55" spans="1:8" s="416" customFormat="1" x14ac:dyDescent="0.2">
      <c r="A55" s="1364" t="s">
        <v>610</v>
      </c>
      <c r="B55" s="1364"/>
      <c r="C55" s="417" t="s">
        <v>281</v>
      </c>
      <c r="D55" s="1371" t="s">
        <v>610</v>
      </c>
      <c r="E55" s="1372"/>
      <c r="F55" s="424">
        <v>30</v>
      </c>
      <c r="G55" s="418" t="s">
        <v>1650</v>
      </c>
      <c r="H55" s="426"/>
    </row>
    <row r="56" spans="1:8" s="416" customFormat="1" x14ac:dyDescent="0.2">
      <c r="A56" s="1364" t="s">
        <v>236</v>
      </c>
      <c r="B56" s="1364"/>
      <c r="C56" s="417" t="s">
        <v>285</v>
      </c>
      <c r="D56" s="1364" t="s">
        <v>284</v>
      </c>
      <c r="E56" s="1364"/>
      <c r="F56" s="424">
        <v>22</v>
      </c>
      <c r="G56" s="418"/>
      <c r="H56" s="426" t="s">
        <v>97</v>
      </c>
    </row>
    <row r="57" spans="1:8" s="416" customFormat="1" x14ac:dyDescent="0.2">
      <c r="A57" s="1226" t="s">
        <v>420</v>
      </c>
      <c r="B57" s="1226"/>
      <c r="C57" s="1002" t="s">
        <v>371</v>
      </c>
      <c r="D57" s="1226" t="s">
        <v>1620</v>
      </c>
      <c r="E57" s="1226"/>
      <c r="F57" s="715">
        <v>60</v>
      </c>
      <c r="G57" s="1003" t="s">
        <v>1641</v>
      </c>
      <c r="H57" s="1004" t="s">
        <v>97</v>
      </c>
    </row>
    <row r="58" spans="1:8" s="1080" customFormat="1" hidden="1" x14ac:dyDescent="0.2">
      <c r="A58" s="1226"/>
      <c r="B58" s="1226"/>
      <c r="C58" s="1002" t="s">
        <v>54</v>
      </c>
      <c r="D58" s="1226"/>
      <c r="E58" s="1226"/>
      <c r="F58" s="715">
        <v>30</v>
      </c>
      <c r="G58" s="1003"/>
      <c r="H58" s="1004"/>
    </row>
    <row r="59" spans="1:8" s="416" customFormat="1" hidden="1" x14ac:dyDescent="0.2">
      <c r="A59" s="1364"/>
      <c r="B59" s="1364"/>
      <c r="C59" s="417" t="s">
        <v>1611</v>
      </c>
      <c r="D59" s="1364" t="s">
        <v>1621</v>
      </c>
      <c r="E59" s="1364"/>
      <c r="F59" s="424">
        <v>60</v>
      </c>
      <c r="G59" s="418"/>
      <c r="H59" s="426" t="s">
        <v>97</v>
      </c>
    </row>
    <row r="60" spans="1:8" s="416" customFormat="1" hidden="1" x14ac:dyDescent="0.2">
      <c r="A60" s="1364"/>
      <c r="B60" s="1364"/>
      <c r="C60" s="417" t="s">
        <v>829</v>
      </c>
      <c r="D60" s="1364" t="s">
        <v>1622</v>
      </c>
      <c r="E60" s="1364"/>
      <c r="F60" s="424">
        <v>250</v>
      </c>
      <c r="G60" s="418" t="s">
        <v>1641</v>
      </c>
      <c r="H60" s="426"/>
    </row>
    <row r="61" spans="1:8" s="416" customFormat="1" ht="38.25" hidden="1" x14ac:dyDescent="0.2">
      <c r="A61" s="1364"/>
      <c r="B61" s="1364"/>
      <c r="C61" s="417" t="s">
        <v>1597</v>
      </c>
      <c r="D61" s="1364" t="s">
        <v>853</v>
      </c>
      <c r="E61" s="1364"/>
      <c r="F61" s="424">
        <v>50</v>
      </c>
      <c r="G61" s="418" t="s">
        <v>1643</v>
      </c>
      <c r="H61" s="426"/>
    </row>
    <row r="62" spans="1:8" s="416" customFormat="1" ht="38.25" hidden="1" x14ac:dyDescent="0.2">
      <c r="A62" s="1364"/>
      <c r="B62" s="1364"/>
      <c r="C62" s="417" t="s">
        <v>1607</v>
      </c>
      <c r="D62" s="1364" t="s">
        <v>57</v>
      </c>
      <c r="E62" s="1364"/>
      <c r="F62" s="424">
        <v>50</v>
      </c>
      <c r="G62" s="418" t="s">
        <v>1644</v>
      </c>
      <c r="H62" s="426"/>
    </row>
    <row r="63" spans="1:8" s="416" customFormat="1" hidden="1" x14ac:dyDescent="0.2">
      <c r="A63" s="1364"/>
      <c r="B63" s="1364"/>
      <c r="C63" s="417" t="s">
        <v>1595</v>
      </c>
      <c r="D63" s="1364" t="s">
        <v>851</v>
      </c>
      <c r="E63" s="1364"/>
      <c r="F63" s="424">
        <v>2</v>
      </c>
      <c r="G63" s="418" t="s">
        <v>1641</v>
      </c>
      <c r="H63" s="426"/>
    </row>
    <row r="64" spans="1:8" s="416" customFormat="1" hidden="1" x14ac:dyDescent="0.2">
      <c r="A64" s="1364"/>
      <c r="B64" s="1364"/>
      <c r="C64" s="417" t="s">
        <v>1596</v>
      </c>
      <c r="D64" s="1364" t="s">
        <v>852</v>
      </c>
      <c r="E64" s="1364"/>
      <c r="F64" s="424">
        <v>2</v>
      </c>
      <c r="G64" s="418" t="s">
        <v>1641</v>
      </c>
      <c r="H64" s="426"/>
    </row>
    <row r="65" spans="1:8" s="416" customFormat="1" ht="25.5" hidden="1" x14ac:dyDescent="0.2">
      <c r="A65" s="1364"/>
      <c r="B65" s="1364"/>
      <c r="C65" s="417" t="s">
        <v>1594</v>
      </c>
      <c r="D65" s="1364" t="s">
        <v>850</v>
      </c>
      <c r="E65" s="1364"/>
      <c r="F65" s="424">
        <v>4</v>
      </c>
      <c r="G65" s="418" t="s">
        <v>1635</v>
      </c>
      <c r="H65" s="426"/>
    </row>
    <row r="66" spans="1:8" s="416" customFormat="1" hidden="1" x14ac:dyDescent="0.2">
      <c r="A66" s="1371"/>
      <c r="B66" s="1372"/>
      <c r="C66" s="417" t="s">
        <v>197</v>
      </c>
      <c r="D66" s="1371" t="s">
        <v>223</v>
      </c>
      <c r="E66" s="1372"/>
      <c r="F66" s="424">
        <v>8</v>
      </c>
      <c r="G66" s="418" t="s">
        <v>1636</v>
      </c>
      <c r="H66" s="426"/>
    </row>
    <row r="67" spans="1:8" s="416" customFormat="1" hidden="1" x14ac:dyDescent="0.2">
      <c r="A67" s="1364"/>
      <c r="B67" s="1364"/>
      <c r="C67" s="417" t="s">
        <v>1602</v>
      </c>
      <c r="D67" s="1364" t="s">
        <v>1624</v>
      </c>
      <c r="E67" s="1364"/>
      <c r="F67" s="424">
        <v>40</v>
      </c>
      <c r="G67" s="418"/>
      <c r="H67" s="426"/>
    </row>
    <row r="68" spans="1:8" s="416" customFormat="1" hidden="1" x14ac:dyDescent="0.2">
      <c r="A68" s="1364"/>
      <c r="B68" s="1364"/>
      <c r="C68" s="417" t="s">
        <v>1603</v>
      </c>
      <c r="D68" s="1364" t="s">
        <v>1625</v>
      </c>
      <c r="E68" s="1364"/>
      <c r="F68" s="424">
        <v>40</v>
      </c>
      <c r="G68" s="418"/>
      <c r="H68" s="426"/>
    </row>
    <row r="69" spans="1:8" s="416" customFormat="1" ht="51" hidden="1" x14ac:dyDescent="0.2">
      <c r="A69" s="1371"/>
      <c r="B69" s="1372"/>
      <c r="C69" s="417"/>
      <c r="D69" s="1371" t="s">
        <v>854</v>
      </c>
      <c r="E69" s="1372"/>
      <c r="F69" s="424"/>
      <c r="G69" s="419" t="s">
        <v>1645</v>
      </c>
      <c r="H69" s="426"/>
    </row>
    <row r="70" spans="1:8" s="416" customFormat="1" hidden="1" x14ac:dyDescent="0.2">
      <c r="A70" s="1364"/>
      <c r="B70" s="1364"/>
      <c r="C70" s="417" t="s">
        <v>675</v>
      </c>
      <c r="D70" s="1364" t="s">
        <v>605</v>
      </c>
      <c r="E70" s="1364"/>
      <c r="F70" s="424">
        <v>4</v>
      </c>
      <c r="G70" s="418"/>
      <c r="H70" s="426"/>
    </row>
    <row r="71" spans="1:8" s="416" customFormat="1" hidden="1" x14ac:dyDescent="0.2">
      <c r="A71" s="1364"/>
      <c r="B71" s="1364"/>
      <c r="C71" s="417" t="s">
        <v>823</v>
      </c>
      <c r="D71" s="1364" t="s">
        <v>182</v>
      </c>
      <c r="E71" s="1364"/>
      <c r="F71" s="424">
        <v>3</v>
      </c>
      <c r="G71" s="418"/>
      <c r="H71" s="426"/>
    </row>
    <row r="72" spans="1:8" s="416" customFormat="1" hidden="1" x14ac:dyDescent="0.2">
      <c r="A72" s="1364"/>
      <c r="B72" s="1364"/>
      <c r="C72" s="417" t="s">
        <v>51</v>
      </c>
      <c r="D72" s="1364"/>
      <c r="E72" s="1364"/>
      <c r="F72" s="424">
        <v>3</v>
      </c>
      <c r="G72" s="418"/>
      <c r="H72" s="426"/>
    </row>
    <row r="73" spans="1:8" s="416" customFormat="1" hidden="1" x14ac:dyDescent="0.2">
      <c r="A73" s="1364"/>
      <c r="B73" s="1364"/>
      <c r="C73" s="417" t="s">
        <v>52</v>
      </c>
      <c r="D73" s="1364"/>
      <c r="E73" s="1364"/>
      <c r="F73" s="424">
        <v>3</v>
      </c>
      <c r="G73" s="418"/>
      <c r="H73" s="426"/>
    </row>
    <row r="74" spans="1:8" s="416" customFormat="1" hidden="1" x14ac:dyDescent="0.2">
      <c r="A74" s="1364"/>
      <c r="B74" s="1364"/>
      <c r="C74" s="417" t="s">
        <v>297</v>
      </c>
      <c r="D74" s="1364"/>
      <c r="E74" s="1364"/>
      <c r="F74" s="424">
        <v>3</v>
      </c>
      <c r="G74" s="418"/>
      <c r="H74" s="426"/>
    </row>
    <row r="75" spans="1:8" s="416" customFormat="1" hidden="1" x14ac:dyDescent="0.2">
      <c r="A75" s="1364"/>
      <c r="B75" s="1364"/>
      <c r="C75" s="417" t="s">
        <v>298</v>
      </c>
      <c r="D75" s="1364"/>
      <c r="E75" s="1364"/>
      <c r="F75" s="424">
        <v>15</v>
      </c>
      <c r="G75" s="418"/>
      <c r="H75" s="426"/>
    </row>
    <row r="76" spans="1:8" s="416" customFormat="1" hidden="1" x14ac:dyDescent="0.2">
      <c r="A76" s="1364"/>
      <c r="B76" s="1364"/>
      <c r="C76" s="417" t="s">
        <v>299</v>
      </c>
      <c r="D76" s="1364"/>
      <c r="E76" s="1364"/>
      <c r="F76" s="424">
        <v>15</v>
      </c>
      <c r="G76" s="418"/>
      <c r="H76" s="426"/>
    </row>
    <row r="77" spans="1:8" s="416" customFormat="1" hidden="1" x14ac:dyDescent="0.2">
      <c r="A77" s="1364"/>
      <c r="B77" s="1364"/>
      <c r="C77" s="417" t="s">
        <v>818</v>
      </c>
      <c r="D77" s="1364"/>
      <c r="E77" s="1364"/>
      <c r="F77" s="424">
        <v>30</v>
      </c>
      <c r="G77" s="418"/>
      <c r="H77" s="426"/>
    </row>
    <row r="78" spans="1:8" s="416" customFormat="1" hidden="1" x14ac:dyDescent="0.2">
      <c r="A78" s="1364"/>
      <c r="B78" s="1364"/>
      <c r="C78" s="417" t="s">
        <v>819</v>
      </c>
      <c r="D78" s="1364"/>
      <c r="E78" s="1364"/>
      <c r="F78" s="424">
        <v>30</v>
      </c>
      <c r="G78" s="418"/>
      <c r="H78" s="426"/>
    </row>
    <row r="79" spans="1:8" s="416" customFormat="1" hidden="1" x14ac:dyDescent="0.2">
      <c r="A79" s="1364"/>
      <c r="B79" s="1364"/>
      <c r="C79" s="417" t="s">
        <v>820</v>
      </c>
      <c r="D79" s="1364"/>
      <c r="E79" s="1364"/>
      <c r="F79" s="424">
        <v>30</v>
      </c>
      <c r="G79" s="418"/>
      <c r="H79" s="426"/>
    </row>
    <row r="80" spans="1:8" s="416" customFormat="1" hidden="1" x14ac:dyDescent="0.2">
      <c r="A80" s="1364"/>
      <c r="B80" s="1364"/>
      <c r="C80" s="417" t="s">
        <v>821</v>
      </c>
      <c r="D80" s="1364"/>
      <c r="E80" s="1364"/>
      <c r="F80" s="424">
        <v>30</v>
      </c>
      <c r="G80" s="418"/>
      <c r="H80" s="426"/>
    </row>
    <row r="81" spans="1:8" s="416" customFormat="1" hidden="1" x14ac:dyDescent="0.2">
      <c r="A81" s="1364"/>
      <c r="B81" s="1364"/>
      <c r="C81" s="417" t="s">
        <v>822</v>
      </c>
      <c r="D81" s="1364"/>
      <c r="E81" s="1364"/>
      <c r="F81" s="424">
        <v>60</v>
      </c>
      <c r="G81" s="418"/>
      <c r="H81" s="426"/>
    </row>
    <row r="82" spans="1:8" s="416" customFormat="1" hidden="1" x14ac:dyDescent="0.2">
      <c r="A82" s="1364"/>
      <c r="B82" s="1364"/>
      <c r="C82" s="417" t="s">
        <v>827</v>
      </c>
      <c r="D82" s="1364"/>
      <c r="E82" s="1364"/>
      <c r="F82" s="424">
        <v>30</v>
      </c>
      <c r="G82" s="418"/>
      <c r="H82" s="426"/>
    </row>
    <row r="83" spans="1:8" s="416" customFormat="1" hidden="1" x14ac:dyDescent="0.2">
      <c r="A83" s="1364"/>
      <c r="B83" s="1364"/>
      <c r="C83" s="417" t="s">
        <v>828</v>
      </c>
      <c r="D83" s="1364"/>
      <c r="E83" s="1364"/>
      <c r="F83" s="424">
        <v>60</v>
      </c>
      <c r="G83" s="418"/>
      <c r="H83" s="426"/>
    </row>
    <row r="84" spans="1:8" s="416" customFormat="1" hidden="1" x14ac:dyDescent="0.2">
      <c r="A84" s="1364"/>
      <c r="B84" s="1364"/>
      <c r="C84" s="417" t="s">
        <v>1608</v>
      </c>
      <c r="D84" s="1364" t="s">
        <v>1626</v>
      </c>
      <c r="E84" s="1364"/>
      <c r="F84" s="424">
        <v>1</v>
      </c>
      <c r="G84" s="418"/>
      <c r="H84" s="426"/>
    </row>
    <row r="85" spans="1:8" s="416" customFormat="1" hidden="1" x14ac:dyDescent="0.2">
      <c r="A85" s="1364"/>
      <c r="B85" s="1364"/>
      <c r="C85" s="417" t="s">
        <v>302</v>
      </c>
      <c r="D85" s="1364" t="s">
        <v>1627</v>
      </c>
      <c r="E85" s="1364"/>
      <c r="F85" s="424">
        <v>15</v>
      </c>
      <c r="G85" s="418"/>
      <c r="H85" s="426"/>
    </row>
    <row r="86" spans="1:8" s="416" customFormat="1" hidden="1" x14ac:dyDescent="0.2">
      <c r="A86" s="1364"/>
      <c r="B86" s="1364"/>
      <c r="C86" s="417" t="s">
        <v>53</v>
      </c>
      <c r="D86" s="1364" t="s">
        <v>1628</v>
      </c>
      <c r="E86" s="1364"/>
      <c r="F86" s="424">
        <v>1</v>
      </c>
      <c r="G86" s="418"/>
      <c r="H86" s="426"/>
    </row>
    <row r="87" spans="1:8" s="416" customFormat="1" hidden="1" x14ac:dyDescent="0.2">
      <c r="A87" s="1364"/>
      <c r="B87" s="1364"/>
      <c r="C87" s="417" t="s">
        <v>824</v>
      </c>
      <c r="D87" s="1364" t="s">
        <v>1629</v>
      </c>
      <c r="E87" s="1364"/>
      <c r="F87" s="424">
        <v>15</v>
      </c>
      <c r="G87" s="418"/>
      <c r="H87" s="426"/>
    </row>
    <row r="88" spans="1:8" s="416" customFormat="1" hidden="1" x14ac:dyDescent="0.2">
      <c r="A88" s="1364"/>
      <c r="B88" s="1364"/>
      <c r="C88" s="417" t="s">
        <v>31</v>
      </c>
      <c r="D88" s="1364" t="s">
        <v>1630</v>
      </c>
      <c r="E88" s="1364"/>
      <c r="F88" s="424">
        <v>15</v>
      </c>
      <c r="G88" s="418"/>
      <c r="H88" s="426"/>
    </row>
    <row r="89" spans="1:8" s="416" customFormat="1" hidden="1" x14ac:dyDescent="0.2">
      <c r="A89" s="1364"/>
      <c r="B89" s="1364"/>
      <c r="C89" s="417" t="s">
        <v>1613</v>
      </c>
      <c r="D89" s="1364" t="s">
        <v>262</v>
      </c>
      <c r="E89" s="1364"/>
      <c r="F89" s="424">
        <v>1</v>
      </c>
      <c r="G89" s="418"/>
      <c r="H89" s="426"/>
    </row>
    <row r="90" spans="1:8" s="416" customFormat="1" hidden="1" x14ac:dyDescent="0.2">
      <c r="A90" s="1374"/>
      <c r="B90" s="1375"/>
      <c r="C90" s="417" t="s">
        <v>1614</v>
      </c>
      <c r="D90" s="1374" t="s">
        <v>201</v>
      </c>
      <c r="E90" s="1375"/>
      <c r="F90" s="424">
        <v>4</v>
      </c>
      <c r="G90" s="418"/>
      <c r="H90" s="426"/>
    </row>
    <row r="91" spans="1:8" s="416" customFormat="1" hidden="1" x14ac:dyDescent="0.2">
      <c r="A91" s="1374"/>
      <c r="B91" s="1375"/>
      <c r="C91" s="417" t="s">
        <v>618</v>
      </c>
      <c r="D91" s="1374" t="s">
        <v>761</v>
      </c>
      <c r="E91" s="1375"/>
      <c r="F91" s="424">
        <v>1</v>
      </c>
      <c r="G91" s="418"/>
      <c r="H91" s="426"/>
    </row>
    <row r="92" spans="1:8" s="416" customFormat="1" hidden="1" x14ac:dyDescent="0.2">
      <c r="A92" s="1374"/>
      <c r="B92" s="1375"/>
      <c r="C92" s="417" t="s">
        <v>55</v>
      </c>
      <c r="D92" s="1374" t="s">
        <v>189</v>
      </c>
      <c r="E92" s="1375"/>
      <c r="F92" s="424">
        <v>1</v>
      </c>
      <c r="G92" s="418"/>
      <c r="H92" s="426"/>
    </row>
    <row r="93" spans="1:8" s="416" customFormat="1" hidden="1" x14ac:dyDescent="0.2">
      <c r="A93" s="1374"/>
      <c r="B93" s="1375"/>
      <c r="C93" s="417" t="s">
        <v>32</v>
      </c>
      <c r="D93" s="1374"/>
      <c r="E93" s="1375"/>
      <c r="F93" s="424">
        <v>8</v>
      </c>
      <c r="G93" s="418"/>
      <c r="H93" s="426"/>
    </row>
    <row r="94" spans="1:8" s="416" customFormat="1" hidden="1" x14ac:dyDescent="0.2">
      <c r="A94" s="1374"/>
      <c r="B94" s="1375"/>
      <c r="C94" s="417" t="s">
        <v>1610</v>
      </c>
      <c r="D94" s="1374"/>
      <c r="E94" s="1375"/>
      <c r="F94" s="424">
        <v>4</v>
      </c>
      <c r="G94" s="418"/>
      <c r="H94" s="426"/>
    </row>
    <row r="95" spans="1:8" s="416" customFormat="1" hidden="1" x14ac:dyDescent="0.2">
      <c r="A95" s="1374"/>
      <c r="B95" s="1375"/>
      <c r="C95" s="417" t="s">
        <v>1609</v>
      </c>
      <c r="D95" s="1374"/>
      <c r="E95" s="1375"/>
      <c r="F95" s="424">
        <v>8</v>
      </c>
      <c r="G95" s="418"/>
      <c r="H95" s="426"/>
    </row>
    <row r="96" spans="1:8" s="416" customFormat="1" hidden="1" x14ac:dyDescent="0.2">
      <c r="A96" s="1374"/>
      <c r="B96" s="1375"/>
      <c r="C96" s="417" t="s">
        <v>1612</v>
      </c>
      <c r="D96" s="1374"/>
      <c r="E96" s="1375"/>
      <c r="F96" s="424">
        <v>10</v>
      </c>
      <c r="G96" s="418"/>
      <c r="H96" s="426"/>
    </row>
    <row r="97" spans="1:8" s="416" customFormat="1" hidden="1" x14ac:dyDescent="0.2">
      <c r="A97" s="1374"/>
      <c r="B97" s="1375"/>
      <c r="C97" s="417" t="s">
        <v>204</v>
      </c>
      <c r="D97" s="1374" t="s">
        <v>1631</v>
      </c>
      <c r="E97" s="1375"/>
      <c r="F97" s="424">
        <v>15</v>
      </c>
      <c r="G97" s="418"/>
      <c r="H97" s="426"/>
    </row>
    <row r="98" spans="1:8" s="416" customFormat="1" hidden="1" x14ac:dyDescent="0.2">
      <c r="A98" s="1374"/>
      <c r="B98" s="1375"/>
      <c r="C98" s="417" t="s">
        <v>265</v>
      </c>
      <c r="D98" s="1374" t="s">
        <v>608</v>
      </c>
      <c r="E98" s="1375"/>
      <c r="F98" s="424">
        <v>20</v>
      </c>
      <c r="G98" s="418"/>
      <c r="H98" s="426"/>
    </row>
    <row r="99" spans="1:8" s="416" customFormat="1" hidden="1" x14ac:dyDescent="0.2">
      <c r="A99" s="1374"/>
      <c r="B99" s="1375"/>
      <c r="C99" s="417" t="s">
        <v>1605</v>
      </c>
      <c r="D99" s="1374" t="s">
        <v>1632</v>
      </c>
      <c r="E99" s="1375"/>
      <c r="F99" s="424">
        <v>1</v>
      </c>
      <c r="G99" s="418"/>
      <c r="H99" s="426"/>
    </row>
    <row r="100" spans="1:8" s="416" customFormat="1" hidden="1" x14ac:dyDescent="0.2">
      <c r="A100" s="1374"/>
      <c r="B100" s="1375"/>
      <c r="C100" s="417" t="s">
        <v>1600</v>
      </c>
      <c r="D100" s="1374"/>
      <c r="E100" s="1375"/>
      <c r="F100" s="424">
        <v>4</v>
      </c>
      <c r="G100" s="418"/>
      <c r="H100" s="426"/>
    </row>
    <row r="101" spans="1:8" s="416" customFormat="1" hidden="1" x14ac:dyDescent="0.2">
      <c r="A101" s="1374"/>
      <c r="B101" s="1375"/>
      <c r="C101" s="417" t="s">
        <v>1606</v>
      </c>
      <c r="D101" s="1374"/>
      <c r="E101" s="1375"/>
      <c r="F101" s="424">
        <v>15</v>
      </c>
      <c r="G101" s="418"/>
      <c r="H101" s="426"/>
    </row>
    <row r="102" spans="1:8" s="416" customFormat="1" hidden="1" x14ac:dyDescent="0.2">
      <c r="A102" s="1374"/>
      <c r="B102" s="1375"/>
      <c r="C102" s="417" t="s">
        <v>1599</v>
      </c>
      <c r="D102" s="1374"/>
      <c r="E102" s="1375"/>
      <c r="F102" s="424">
        <v>8</v>
      </c>
      <c r="G102" s="418"/>
      <c r="H102" s="426"/>
    </row>
    <row r="103" spans="1:8" s="416" customFormat="1" hidden="1" x14ac:dyDescent="0.2">
      <c r="A103" s="1374"/>
      <c r="B103" s="1375"/>
      <c r="C103" s="417" t="s">
        <v>1604</v>
      </c>
      <c r="D103" s="1374"/>
      <c r="E103" s="1375"/>
      <c r="F103" s="424">
        <v>1</v>
      </c>
      <c r="G103" s="418"/>
      <c r="H103" s="426"/>
    </row>
    <row r="104" spans="1:8" s="416" customFormat="1" hidden="1" x14ac:dyDescent="0.2">
      <c r="A104" s="1374"/>
      <c r="B104" s="1375"/>
      <c r="C104" s="417" t="s">
        <v>779</v>
      </c>
      <c r="D104" s="1374" t="s">
        <v>1633</v>
      </c>
      <c r="E104" s="1375"/>
      <c r="F104" s="424">
        <v>8</v>
      </c>
      <c r="G104" s="418"/>
      <c r="H104" s="426"/>
    </row>
    <row r="105" spans="1:8" s="416" customFormat="1" hidden="1" x14ac:dyDescent="0.2">
      <c r="A105" s="1374"/>
      <c r="B105" s="1375"/>
      <c r="C105" s="417" t="s">
        <v>1615</v>
      </c>
      <c r="D105" s="1374"/>
      <c r="E105" s="1375"/>
      <c r="F105" s="424">
        <v>2</v>
      </c>
      <c r="G105" s="418"/>
      <c r="H105" s="426"/>
    </row>
    <row r="106" spans="1:8" s="416" customFormat="1" hidden="1" x14ac:dyDescent="0.2">
      <c r="A106" s="1374"/>
      <c r="B106" s="1375"/>
      <c r="C106" s="417" t="s">
        <v>40</v>
      </c>
      <c r="D106" s="1374"/>
      <c r="E106" s="1375"/>
      <c r="F106" s="424">
        <v>9</v>
      </c>
      <c r="G106" s="418"/>
      <c r="H106" s="426"/>
    </row>
    <row r="107" spans="1:8" s="416" customFormat="1" hidden="1" x14ac:dyDescent="0.2">
      <c r="A107" s="1374"/>
      <c r="B107" s="1375"/>
      <c r="C107" s="417" t="s">
        <v>304</v>
      </c>
      <c r="D107" s="1374"/>
      <c r="E107" s="1375"/>
      <c r="F107" s="424">
        <v>80</v>
      </c>
      <c r="G107" s="418"/>
      <c r="H107" s="426"/>
    </row>
    <row r="108" spans="1:8" s="416" customFormat="1" hidden="1" x14ac:dyDescent="0.2">
      <c r="A108" s="1374"/>
      <c r="B108" s="1375"/>
      <c r="C108" s="417" t="s">
        <v>351</v>
      </c>
      <c r="D108" s="1374"/>
      <c r="E108" s="1375"/>
      <c r="F108" s="424">
        <v>10</v>
      </c>
      <c r="G108" s="418"/>
      <c r="H108" s="426"/>
    </row>
    <row r="109" spans="1:8" s="416" customFormat="1" hidden="1" x14ac:dyDescent="0.2">
      <c r="A109" s="1374"/>
      <c r="B109" s="1375"/>
      <c r="C109" s="417" t="s">
        <v>1616</v>
      </c>
      <c r="D109" s="1374"/>
      <c r="E109" s="1375"/>
      <c r="F109" s="424">
        <v>10</v>
      </c>
      <c r="G109" s="418"/>
      <c r="H109" s="426"/>
    </row>
    <row r="110" spans="1:8" s="416" customFormat="1" hidden="1" x14ac:dyDescent="0.2">
      <c r="A110" s="1364"/>
      <c r="B110" s="1364"/>
      <c r="C110" s="417" t="s">
        <v>1601</v>
      </c>
      <c r="D110" s="1364" t="s">
        <v>1619</v>
      </c>
      <c r="E110" s="1364"/>
      <c r="F110" s="424">
        <v>80</v>
      </c>
      <c r="G110" s="418"/>
      <c r="H110" s="426" t="s">
        <v>97</v>
      </c>
    </row>
    <row r="111" spans="1:8" s="416" customFormat="1" hidden="1" x14ac:dyDescent="0.2">
      <c r="A111" s="1364"/>
      <c r="B111" s="1364"/>
      <c r="C111" s="417" t="s">
        <v>270</v>
      </c>
      <c r="D111" s="1364" t="s">
        <v>269</v>
      </c>
      <c r="E111" s="1364"/>
      <c r="F111" s="424">
        <v>50</v>
      </c>
      <c r="G111" s="418"/>
      <c r="H111" s="426"/>
    </row>
    <row r="112" spans="1:8" s="416" customFormat="1" hidden="1" x14ac:dyDescent="0.2">
      <c r="A112" s="1364"/>
      <c r="B112" s="1364"/>
      <c r="C112" s="417" t="s">
        <v>274</v>
      </c>
      <c r="D112" s="1364" t="s">
        <v>273</v>
      </c>
      <c r="E112" s="1364"/>
      <c r="F112" s="424">
        <v>50</v>
      </c>
      <c r="G112" s="418"/>
      <c r="H112" s="426"/>
    </row>
    <row r="113" spans="1:8" s="416" customFormat="1" hidden="1" x14ac:dyDescent="0.2">
      <c r="A113" s="1364"/>
      <c r="B113" s="1364"/>
      <c r="C113" s="417" t="s">
        <v>275</v>
      </c>
      <c r="D113" s="1364" t="s">
        <v>317</v>
      </c>
      <c r="E113" s="1364"/>
      <c r="F113" s="424">
        <v>50</v>
      </c>
      <c r="G113" s="418"/>
      <c r="H113" s="426"/>
    </row>
    <row r="114" spans="1:8" s="416" customFormat="1" hidden="1" x14ac:dyDescent="0.2">
      <c r="A114" s="1364"/>
      <c r="B114" s="1364"/>
      <c r="C114" s="417" t="s">
        <v>1478</v>
      </c>
      <c r="D114" s="1364" t="s">
        <v>1479</v>
      </c>
      <c r="E114" s="1364"/>
      <c r="F114" s="424">
        <v>3</v>
      </c>
      <c r="G114" s="418"/>
      <c r="H114" s="426" t="s">
        <v>97</v>
      </c>
    </row>
    <row r="115" spans="1:8" s="416" customFormat="1" hidden="1" x14ac:dyDescent="0.2">
      <c r="A115" s="1364"/>
      <c r="B115" s="1364"/>
      <c r="C115" s="417" t="s">
        <v>283</v>
      </c>
      <c r="D115" s="1364" t="s">
        <v>282</v>
      </c>
      <c r="E115" s="1364"/>
      <c r="F115" s="424">
        <v>3</v>
      </c>
      <c r="G115" s="418"/>
      <c r="H115" s="426" t="s">
        <v>97</v>
      </c>
    </row>
    <row r="116" spans="1:8" s="416" customFormat="1" hidden="1" x14ac:dyDescent="0.2">
      <c r="A116" s="1364"/>
      <c r="B116" s="1364"/>
      <c r="C116" s="417" t="s">
        <v>1476</v>
      </c>
      <c r="D116" s="1364" t="s">
        <v>1477</v>
      </c>
      <c r="E116" s="1364"/>
      <c r="F116" s="424">
        <v>3</v>
      </c>
      <c r="G116" s="418"/>
      <c r="H116" s="426"/>
    </row>
    <row r="117" spans="1:8" s="416" customFormat="1" hidden="1" x14ac:dyDescent="0.2">
      <c r="A117" s="1364"/>
      <c r="B117" s="1364"/>
      <c r="C117" s="417" t="s">
        <v>290</v>
      </c>
      <c r="D117" s="1364" t="s">
        <v>289</v>
      </c>
      <c r="E117" s="1364"/>
      <c r="F117" s="424">
        <v>3</v>
      </c>
      <c r="G117" s="418"/>
      <c r="H117" s="426"/>
    </row>
    <row r="118" spans="1:8" s="416" customFormat="1" hidden="1" x14ac:dyDescent="0.2">
      <c r="A118" s="1364" t="s">
        <v>235</v>
      </c>
      <c r="B118" s="1364"/>
      <c r="C118" s="417" t="s">
        <v>292</v>
      </c>
      <c r="D118" s="1364" t="s">
        <v>291</v>
      </c>
      <c r="E118" s="1364"/>
      <c r="F118" s="424">
        <v>22</v>
      </c>
      <c r="G118" s="418"/>
      <c r="H118" s="426"/>
    </row>
    <row r="119" spans="1:8" s="408" customFormat="1" ht="14.25" customHeight="1" x14ac:dyDescent="0.2">
      <c r="B119" s="409"/>
      <c r="F119" s="409"/>
    </row>
    <row r="120" spans="1:8" s="17" customFormat="1" x14ac:dyDescent="0.2"/>
    <row r="121" spans="1:8" s="17" customFormat="1" x14ac:dyDescent="0.2"/>
    <row r="122" spans="1:8" s="17" customFormat="1" x14ac:dyDescent="0.2"/>
    <row r="123" spans="1:8" s="17" customFormat="1" x14ac:dyDescent="0.2"/>
    <row r="124" spans="1:8" s="17" customFormat="1" x14ac:dyDescent="0.2"/>
    <row r="125" spans="1:8" s="17" customFormat="1" x14ac:dyDescent="0.2"/>
    <row r="126" spans="1:8" s="17" customFormat="1" x14ac:dyDescent="0.2"/>
    <row r="127" spans="1:8" s="17" customFormat="1" x14ac:dyDescent="0.2"/>
    <row r="128" spans="1:8" s="17" customFormat="1" x14ac:dyDescent="0.2"/>
    <row r="129" spans="1:8" s="17" customFormat="1" x14ac:dyDescent="0.2"/>
    <row r="130" spans="1:8" s="17" customFormat="1" x14ac:dyDescent="0.2"/>
    <row r="131" spans="1:8" s="17" customFormat="1" x14ac:dyDescent="0.2"/>
    <row r="132" spans="1:8" s="17" customFormat="1" x14ac:dyDescent="0.2"/>
    <row r="133" spans="1:8" s="17" customFormat="1" x14ac:dyDescent="0.2"/>
    <row r="134" spans="1:8" s="17" customFormat="1" x14ac:dyDescent="0.2"/>
    <row r="135" spans="1:8" s="17" customFormat="1" x14ac:dyDescent="0.2"/>
    <row r="136" spans="1:8" s="17" customFormat="1" x14ac:dyDescent="0.2"/>
    <row r="137" spans="1:8" s="17" customFormat="1" x14ac:dyDescent="0.2"/>
    <row r="138" spans="1:8" s="17" customFormat="1" x14ac:dyDescent="0.2"/>
    <row r="139" spans="1:8" s="17" customFormat="1" x14ac:dyDescent="0.2"/>
    <row r="140" spans="1:8" s="17" customFormat="1" x14ac:dyDescent="0.2"/>
    <row r="141" spans="1:8" x14ac:dyDescent="0.2">
      <c r="A141" s="17"/>
      <c r="B141" s="17"/>
      <c r="C141" s="17"/>
      <c r="D141" s="17"/>
      <c r="E141" s="17"/>
      <c r="F141" s="17"/>
      <c r="G141" s="17"/>
      <c r="H141" s="17"/>
    </row>
    <row r="142" spans="1:8" x14ac:dyDescent="0.2">
      <c r="A142" s="17"/>
      <c r="B142" s="17"/>
      <c r="C142" s="17"/>
      <c r="D142" s="17"/>
      <c r="E142" s="17"/>
      <c r="F142" s="17"/>
      <c r="G142" s="17"/>
      <c r="H142" s="17"/>
    </row>
    <row r="143" spans="1:8" x14ac:dyDescent="0.2">
      <c r="A143" s="17"/>
      <c r="B143" s="17"/>
      <c r="C143" s="17"/>
      <c r="D143" s="17"/>
      <c r="E143" s="17"/>
      <c r="F143" s="17"/>
      <c r="G143" s="17"/>
      <c r="H143" s="17"/>
    </row>
    <row r="144" spans="1:8" x14ac:dyDescent="0.2">
      <c r="A144" s="17"/>
      <c r="B144" s="17"/>
      <c r="C144" s="17"/>
      <c r="D144" s="17"/>
      <c r="E144" s="17"/>
      <c r="F144" s="17"/>
      <c r="G144" s="17"/>
      <c r="H144" s="17"/>
    </row>
    <row r="145" spans="1:8" x14ac:dyDescent="0.2">
      <c r="A145" s="17"/>
      <c r="B145" s="17"/>
      <c r="C145" s="17"/>
      <c r="D145" s="17"/>
      <c r="E145" s="17"/>
      <c r="F145" s="17"/>
      <c r="G145" s="17"/>
      <c r="H145" s="17"/>
    </row>
    <row r="146" spans="1:8" x14ac:dyDescent="0.2">
      <c r="A146" s="17"/>
      <c r="B146" s="17"/>
      <c r="C146" s="17"/>
      <c r="D146" s="17"/>
      <c r="E146" s="17"/>
      <c r="F146" s="17"/>
      <c r="G146" s="17"/>
      <c r="H146" s="17"/>
    </row>
    <row r="147" spans="1:8" x14ac:dyDescent="0.2">
      <c r="A147" s="17"/>
      <c r="B147" s="17"/>
      <c r="C147" s="17"/>
      <c r="D147" s="17"/>
      <c r="E147" s="17"/>
      <c r="F147" s="17"/>
      <c r="G147" s="17"/>
      <c r="H147" s="17"/>
    </row>
    <row r="148" spans="1:8" x14ac:dyDescent="0.2">
      <c r="A148" s="17"/>
      <c r="B148" s="17"/>
      <c r="C148" s="17"/>
      <c r="D148" s="17"/>
      <c r="E148" s="17"/>
      <c r="F148" s="17"/>
      <c r="G148" s="17"/>
      <c r="H148" s="17"/>
    </row>
  </sheetData>
  <sortState ref="A125:XFD144">
    <sortCondition ref="C125:C144"/>
  </sortState>
  <customSheetViews>
    <customSheetView guid="{4892E1C0-7A56-4F81-A857-987D77EC4462}">
      <selection activeCell="J14" sqref="J14"/>
      <rowBreaks count="1" manualBreakCount="1">
        <brk id="70" max="16383" man="1"/>
      </rowBreaks>
      <pageMargins left="0.7" right="0.7" top="0.75" bottom="0.75" header="0.3" footer="0.3"/>
      <pageSetup orientation="landscape" r:id="rId1"/>
      <headerFooter>
        <oddHeader>&amp;L&amp;G&amp;CShowAcronymGoesHere - PSM&amp;R&amp;P</oddHeader>
        <oddFooter>&amp;L&amp;D&amp;R&amp;Z&amp;F</oddFooter>
      </headerFooter>
    </customSheetView>
    <customSheetView guid="{C29C6423-4E3D-4B08-919E-993C7C45FC31}">
      <selection activeCell="K8" sqref="K8"/>
      <rowBreaks count="1" manualBreakCount="1">
        <brk id="83" max="16383" man="1"/>
      </rowBreaks>
      <pageMargins left="0.7" right="0.7" top="0.75" bottom="0.75" header="0.3" footer="0.3"/>
      <pageSetup orientation="landscape" r:id="rId2"/>
      <headerFooter>
        <oddHeader>&amp;L&amp;G&amp;CShowAcronymGoesHere - PSM&amp;R&amp;P</oddHeader>
        <oddFooter>&amp;L&amp;D&amp;R&amp;Z&amp;F</oddFooter>
      </headerFooter>
    </customSheetView>
  </customSheetViews>
  <mergeCells count="180">
    <mergeCell ref="D85:E85"/>
    <mergeCell ref="D100:E100"/>
    <mergeCell ref="A66:B66"/>
    <mergeCell ref="D66:E66"/>
    <mergeCell ref="D64:E64"/>
    <mergeCell ref="A79:B79"/>
    <mergeCell ref="A64:B64"/>
    <mergeCell ref="D79:E79"/>
    <mergeCell ref="A83:B83"/>
    <mergeCell ref="D83:E83"/>
    <mergeCell ref="A80:B80"/>
    <mergeCell ref="A118:B118"/>
    <mergeCell ref="D118:E118"/>
    <mergeCell ref="D95:E95"/>
    <mergeCell ref="A115:B115"/>
    <mergeCell ref="D115:E115"/>
    <mergeCell ref="D68:E68"/>
    <mergeCell ref="A69:B69"/>
    <mergeCell ref="D69:E69"/>
    <mergeCell ref="D106:E106"/>
    <mergeCell ref="A76:B76"/>
    <mergeCell ref="D76:E76"/>
    <mergeCell ref="A103:B103"/>
    <mergeCell ref="A104:B104"/>
    <mergeCell ref="A71:B71"/>
    <mergeCell ref="D71:E71"/>
    <mergeCell ref="A74:B74"/>
    <mergeCell ref="A86:B86"/>
    <mergeCell ref="D84:E84"/>
    <mergeCell ref="D74:E74"/>
    <mergeCell ref="A77:B77"/>
    <mergeCell ref="D78:E78"/>
    <mergeCell ref="D92:E92"/>
    <mergeCell ref="D93:E93"/>
    <mergeCell ref="D94:E94"/>
    <mergeCell ref="A113:B113"/>
    <mergeCell ref="A109:B109"/>
    <mergeCell ref="D109:E109"/>
    <mergeCell ref="A110:B110"/>
    <mergeCell ref="D110:E110"/>
    <mergeCell ref="A68:B68"/>
    <mergeCell ref="D57:E57"/>
    <mergeCell ref="A75:B75"/>
    <mergeCell ref="D75:E75"/>
    <mergeCell ref="D80:E80"/>
    <mergeCell ref="A81:B81"/>
    <mergeCell ref="A85:B85"/>
    <mergeCell ref="D82:E82"/>
    <mergeCell ref="A88:B88"/>
    <mergeCell ref="D88:E88"/>
    <mergeCell ref="A65:B65"/>
    <mergeCell ref="D65:E65"/>
    <mergeCell ref="D60:E60"/>
    <mergeCell ref="D77:E77"/>
    <mergeCell ref="A87:B87"/>
    <mergeCell ref="D87:E87"/>
    <mergeCell ref="A84:B84"/>
    <mergeCell ref="A108:B108"/>
    <mergeCell ref="A78:B78"/>
    <mergeCell ref="D104:E104"/>
    <mergeCell ref="A105:B105"/>
    <mergeCell ref="A91:B91"/>
    <mergeCell ref="A94:B94"/>
    <mergeCell ref="A100:B100"/>
    <mergeCell ref="A107:B107"/>
    <mergeCell ref="D105:E105"/>
    <mergeCell ref="A98:B98"/>
    <mergeCell ref="A111:B111"/>
    <mergeCell ref="D111:E111"/>
    <mergeCell ref="A102:B102"/>
    <mergeCell ref="A101:B101"/>
    <mergeCell ref="A97:B97"/>
    <mergeCell ref="D108:E108"/>
    <mergeCell ref="A117:B117"/>
    <mergeCell ref="D117:E117"/>
    <mergeCell ref="A67:B67"/>
    <mergeCell ref="D67:E67"/>
    <mergeCell ref="A95:B95"/>
    <mergeCell ref="A93:B93"/>
    <mergeCell ref="D86:E86"/>
    <mergeCell ref="A89:B89"/>
    <mergeCell ref="D89:E89"/>
    <mergeCell ref="A90:B90"/>
    <mergeCell ref="D97:E97"/>
    <mergeCell ref="D98:E98"/>
    <mergeCell ref="D99:E99"/>
    <mergeCell ref="D96:E96"/>
    <mergeCell ref="D101:E101"/>
    <mergeCell ref="A106:B106"/>
    <mergeCell ref="D90:E90"/>
    <mergeCell ref="D91:E91"/>
    <mergeCell ref="A112:B112"/>
    <mergeCell ref="D112:E112"/>
    <mergeCell ref="A114:B114"/>
    <mergeCell ref="D114:E114"/>
    <mergeCell ref="D102:E102"/>
    <mergeCell ref="D103:E103"/>
    <mergeCell ref="D44:E44"/>
    <mergeCell ref="A46:B46"/>
    <mergeCell ref="D46:E46"/>
    <mergeCell ref="A45:B45"/>
    <mergeCell ref="D107:E107"/>
    <mergeCell ref="D63:E63"/>
    <mergeCell ref="A116:B116"/>
    <mergeCell ref="D116:E116"/>
    <mergeCell ref="A70:B70"/>
    <mergeCell ref="D70:E70"/>
    <mergeCell ref="A60:B60"/>
    <mergeCell ref="A61:B61"/>
    <mergeCell ref="D61:E61"/>
    <mergeCell ref="A72:B72"/>
    <mergeCell ref="D72:E72"/>
    <mergeCell ref="A73:B73"/>
    <mergeCell ref="D73:E73"/>
    <mergeCell ref="A58:B58"/>
    <mergeCell ref="D58:E58"/>
    <mergeCell ref="A96:B96"/>
    <mergeCell ref="A99:B99"/>
    <mergeCell ref="A92:B92"/>
    <mergeCell ref="D81:E81"/>
    <mergeCell ref="A82:B82"/>
    <mergeCell ref="A54:B54"/>
    <mergeCell ref="D53:E53"/>
    <mergeCell ref="A49:B49"/>
    <mergeCell ref="D49:E49"/>
    <mergeCell ref="A50:B50"/>
    <mergeCell ref="D50:E50"/>
    <mergeCell ref="D113:E113"/>
    <mergeCell ref="A29:H29"/>
    <mergeCell ref="A38:H38"/>
    <mergeCell ref="A36:D36"/>
    <mergeCell ref="A40:H40"/>
    <mergeCell ref="A41:H41"/>
    <mergeCell ref="A39:H39"/>
    <mergeCell ref="E33:F33"/>
    <mergeCell ref="E34:F34"/>
    <mergeCell ref="E31:F31"/>
    <mergeCell ref="E32:F32"/>
    <mergeCell ref="A55:B55"/>
    <mergeCell ref="D55:E55"/>
    <mergeCell ref="A37:H37"/>
    <mergeCell ref="D47:E47"/>
    <mergeCell ref="A63:B63"/>
    <mergeCell ref="D56:E56"/>
    <mergeCell ref="A42:H42"/>
    <mergeCell ref="A56:B56"/>
    <mergeCell ref="A47:B47"/>
    <mergeCell ref="A62:B62"/>
    <mergeCell ref="D62:E62"/>
    <mergeCell ref="A57:B57"/>
    <mergeCell ref="A59:B59"/>
    <mergeCell ref="D59:E59"/>
    <mergeCell ref="B22:F22"/>
    <mergeCell ref="B20:F20"/>
    <mergeCell ref="B21:F21"/>
    <mergeCell ref="A48:B48"/>
    <mergeCell ref="D48:E48"/>
    <mergeCell ref="A52:B52"/>
    <mergeCell ref="D52:E52"/>
    <mergeCell ref="A30:D30"/>
    <mergeCell ref="A44:B44"/>
    <mergeCell ref="A51:B51"/>
    <mergeCell ref="D51:E51"/>
    <mergeCell ref="D54:E54"/>
    <mergeCell ref="A53:B53"/>
    <mergeCell ref="A24:C24"/>
    <mergeCell ref="A26:C26"/>
    <mergeCell ref="A28:C28"/>
    <mergeCell ref="D45:E45"/>
    <mergeCell ref="D26:G26"/>
    <mergeCell ref="A2:H2"/>
    <mergeCell ref="B15:C15"/>
    <mergeCell ref="B16:C16"/>
    <mergeCell ref="B17:C17"/>
    <mergeCell ref="B4:F4"/>
    <mergeCell ref="B5:F5"/>
    <mergeCell ref="B6:F6"/>
    <mergeCell ref="B7:F7"/>
    <mergeCell ref="B19:F19"/>
    <mergeCell ref="B12:G12"/>
  </mergeCells>
  <phoneticPr fontId="6" type="noConversion"/>
  <hyperlinks>
    <hyperlink ref="A1" location="TOC!A1" display="TOC Page"/>
  </hyperlinks>
  <pageMargins left="0.7" right="0.7" top="0.75" bottom="0.75" header="0.3" footer="0.3"/>
  <pageSetup orientation="landscape" r:id="rId3"/>
  <headerFooter>
    <oddHeader>&amp;L&amp;G&amp;CShowAcronymGoesHere - PSM&amp;R&amp;P</oddHeader>
    <oddFooter>&amp;L&amp;D&amp;R&amp;Z&amp;F</oddFooter>
  </headerFooter>
  <customProperties>
    <customPr name="DVSECTIONID" r:id="rId4"/>
  </customProperties>
  <legacyDrawing r:id="rId5"/>
  <legacyDrawingHF r:id="rId6"/>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9"/>
  <sheetViews>
    <sheetView zoomScaleNormal="100" zoomScaleSheetLayoutView="100" workbookViewId="0">
      <pane ySplit="1" topLeftCell="A2" activePane="bottomLeft" state="frozen"/>
      <selection activeCell="U16" sqref="U16"/>
      <selection pane="bottomLeft"/>
    </sheetView>
  </sheetViews>
  <sheetFormatPr defaultColWidth="9.140625" defaultRowHeight="12.75" x14ac:dyDescent="0.2"/>
  <cols>
    <col min="1" max="1" width="75.85546875" style="399" customWidth="1"/>
    <col min="2" max="2" width="48.140625" style="399" customWidth="1"/>
    <col min="3" max="16384" width="9.140625" style="399"/>
  </cols>
  <sheetData>
    <row r="1" spans="1:2" x14ac:dyDescent="0.2">
      <c r="A1" s="181" t="s">
        <v>639</v>
      </c>
    </row>
    <row r="2" spans="1:2" s="33" customFormat="1" ht="20.25" x14ac:dyDescent="0.2">
      <c r="A2" s="1305" t="s">
        <v>1639</v>
      </c>
      <c r="B2" s="1306"/>
    </row>
    <row r="3" spans="1:2" s="33" customFormat="1" x14ac:dyDescent="0.2">
      <c r="A3" s="398"/>
      <c r="B3" s="398"/>
    </row>
    <row r="4" spans="1:2" s="409" customFormat="1" x14ac:dyDescent="0.2">
      <c r="A4" s="155" t="s">
        <v>1486</v>
      </c>
      <c r="B4" s="398"/>
    </row>
    <row r="5" spans="1:2" s="409" customFormat="1" x14ac:dyDescent="0.2">
      <c r="A5" s="1376" t="s">
        <v>1136</v>
      </c>
      <c r="B5" s="1376"/>
    </row>
    <row r="6" spans="1:2" s="409" customFormat="1" x14ac:dyDescent="0.2">
      <c r="A6" s="1376" t="s">
        <v>1137</v>
      </c>
      <c r="B6" s="1376"/>
    </row>
    <row r="7" spans="1:2" s="409" customFormat="1" x14ac:dyDescent="0.2">
      <c r="A7" s="155"/>
      <c r="B7" s="161"/>
    </row>
    <row r="8" spans="1:2" s="409" customFormat="1" x14ac:dyDescent="0.2">
      <c r="A8" s="155" t="s">
        <v>861</v>
      </c>
      <c r="B8" s="398"/>
    </row>
    <row r="9" spans="1:2" s="408" customFormat="1" x14ac:dyDescent="0.2">
      <c r="A9" s="427" t="s">
        <v>1133</v>
      </c>
      <c r="B9" s="403" t="s">
        <v>240</v>
      </c>
    </row>
    <row r="10" spans="1:2" s="406" customFormat="1" x14ac:dyDescent="0.2">
      <c r="A10" s="397" t="s">
        <v>1134</v>
      </c>
      <c r="B10" s="428"/>
    </row>
    <row r="11" spans="1:2" s="406" customFormat="1" x14ac:dyDescent="0.2">
      <c r="A11" s="397" t="s">
        <v>1135</v>
      </c>
      <c r="B11" s="397"/>
    </row>
    <row r="12" spans="1:2" s="409" customFormat="1" ht="18.75" customHeight="1" x14ac:dyDescent="0.2">
      <c r="A12" s="155"/>
      <c r="B12" s="398"/>
    </row>
    <row r="13" spans="1:2" s="409" customFormat="1" x14ac:dyDescent="0.2">
      <c r="A13" s="402" t="s">
        <v>862</v>
      </c>
      <c r="B13" s="405" t="s">
        <v>59</v>
      </c>
    </row>
    <row r="14" spans="1:2" s="162" customFormat="1" ht="38.25" x14ac:dyDescent="0.2">
      <c r="A14" s="404" t="s">
        <v>863</v>
      </c>
      <c r="B14" s="401"/>
    </row>
    <row r="15" spans="1:2" s="162" customFormat="1" ht="30.75" customHeight="1" x14ac:dyDescent="0.2">
      <c r="A15" s="421" t="s">
        <v>1651</v>
      </c>
      <c r="B15" s="420" t="s">
        <v>1129</v>
      </c>
    </row>
    <row r="16" spans="1:2" s="162" customFormat="1" ht="127.5" x14ac:dyDescent="0.2">
      <c r="A16" s="404" t="s">
        <v>865</v>
      </c>
      <c r="B16" s="420" t="s">
        <v>1640</v>
      </c>
    </row>
    <row r="17" spans="1:2" s="162" customFormat="1" ht="22.5" customHeight="1" x14ac:dyDescent="0.2">
      <c r="A17" s="155"/>
      <c r="B17" s="161"/>
    </row>
    <row r="18" spans="1:2" s="162" customFormat="1" x14ac:dyDescent="0.2">
      <c r="A18" s="405" t="s">
        <v>1132</v>
      </c>
      <c r="B18" s="257" t="s">
        <v>59</v>
      </c>
    </row>
    <row r="19" spans="1:2" s="469" customFormat="1" ht="18" customHeight="1" x14ac:dyDescent="0.2">
      <c r="A19" s="466" t="s">
        <v>1702</v>
      </c>
      <c r="B19" s="468"/>
    </row>
    <row r="20" spans="1:2" s="162" customFormat="1" ht="38.25" x14ac:dyDescent="0.2">
      <c r="A20" s="401" t="s">
        <v>1108</v>
      </c>
      <c r="B20" s="401" t="s">
        <v>1109</v>
      </c>
    </row>
    <row r="21" spans="1:2" s="162" customFormat="1" ht="25.5" x14ac:dyDescent="0.2">
      <c r="A21" s="401" t="s">
        <v>1110</v>
      </c>
      <c r="B21" s="401" t="s">
        <v>1111</v>
      </c>
    </row>
    <row r="22" spans="1:2" s="162" customFormat="1" ht="51" x14ac:dyDescent="0.2">
      <c r="A22" s="401" t="s">
        <v>1112</v>
      </c>
      <c r="B22" s="401" t="s">
        <v>1128</v>
      </c>
    </row>
    <row r="23" spans="1:2" s="406" customFormat="1" ht="76.5" x14ac:dyDescent="0.2">
      <c r="A23" s="401" t="s">
        <v>1131</v>
      </c>
      <c r="B23" s="401" t="s">
        <v>240</v>
      </c>
    </row>
    <row r="24" spans="1:2" s="406" customFormat="1" ht="25.5" x14ac:dyDescent="0.2">
      <c r="A24" s="401" t="s">
        <v>1113</v>
      </c>
      <c r="B24" s="401" t="s">
        <v>1114</v>
      </c>
    </row>
    <row r="25" spans="1:2" s="406" customFormat="1" ht="25.5" x14ac:dyDescent="0.2">
      <c r="A25" s="401" t="s">
        <v>1115</v>
      </c>
      <c r="B25" s="401" t="s">
        <v>1114</v>
      </c>
    </row>
    <row r="26" spans="1:2" s="406" customFormat="1" ht="38.25" x14ac:dyDescent="0.2">
      <c r="A26" s="401" t="s">
        <v>1116</v>
      </c>
      <c r="B26" s="401" t="s">
        <v>1117</v>
      </c>
    </row>
    <row r="27" spans="1:2" s="406" customFormat="1" ht="25.5" x14ac:dyDescent="0.2">
      <c r="A27" s="401" t="s">
        <v>864</v>
      </c>
      <c r="B27" s="401" t="s">
        <v>1129</v>
      </c>
    </row>
    <row r="28" spans="1:2" s="406" customFormat="1" ht="76.5" x14ac:dyDescent="0.2">
      <c r="A28" s="401" t="s">
        <v>1130</v>
      </c>
      <c r="B28" s="401" t="s">
        <v>1118</v>
      </c>
    </row>
    <row r="29" spans="1:2" s="406" customFormat="1" ht="38.25" x14ac:dyDescent="0.2">
      <c r="A29" s="401" t="s">
        <v>1119</v>
      </c>
      <c r="B29" s="401" t="s">
        <v>240</v>
      </c>
    </row>
    <row r="30" spans="1:2" s="406" customFormat="1" x14ac:dyDescent="0.2">
      <c r="A30" s="401" t="s">
        <v>1120</v>
      </c>
      <c r="B30" s="401" t="s">
        <v>240</v>
      </c>
    </row>
    <row r="31" spans="1:2" s="406" customFormat="1" ht="25.5" x14ac:dyDescent="0.2">
      <c r="A31" s="401" t="s">
        <v>1121</v>
      </c>
      <c r="B31" s="401" t="s">
        <v>91</v>
      </c>
    </row>
    <row r="32" spans="1:2" s="406" customFormat="1" x14ac:dyDescent="0.2">
      <c r="A32" s="401" t="s">
        <v>1122</v>
      </c>
      <c r="B32" s="401" t="s">
        <v>91</v>
      </c>
    </row>
    <row r="33" spans="1:2" s="406" customFormat="1" x14ac:dyDescent="0.2">
      <c r="A33" s="401" t="s">
        <v>1123</v>
      </c>
      <c r="B33" s="401" t="s">
        <v>96</v>
      </c>
    </row>
    <row r="34" spans="1:2" s="406" customFormat="1" x14ac:dyDescent="0.2">
      <c r="A34" s="401" t="s">
        <v>1124</v>
      </c>
      <c r="B34" s="401" t="s">
        <v>96</v>
      </c>
    </row>
    <row r="35" spans="1:2" s="406" customFormat="1" x14ac:dyDescent="0.2">
      <c r="A35" s="401" t="s">
        <v>1125</v>
      </c>
      <c r="B35" s="401" t="s">
        <v>1126</v>
      </c>
    </row>
    <row r="36" spans="1:2" s="406" customFormat="1" ht="25.5" x14ac:dyDescent="0.2">
      <c r="A36" s="401" t="s">
        <v>1127</v>
      </c>
      <c r="B36" s="401" t="s">
        <v>240</v>
      </c>
    </row>
    <row r="37" spans="1:2" s="406" customFormat="1" x14ac:dyDescent="0.2"/>
    <row r="38" spans="1:2" s="406" customFormat="1" x14ac:dyDescent="0.2"/>
    <row r="39" spans="1:2" s="406" customFormat="1" x14ac:dyDescent="0.2"/>
    <row r="40" spans="1:2" s="406" customFormat="1" x14ac:dyDescent="0.2"/>
    <row r="41" spans="1:2" s="406" customFormat="1" x14ac:dyDescent="0.2"/>
    <row r="42" spans="1:2" s="406" customFormat="1" x14ac:dyDescent="0.2"/>
    <row r="43" spans="1:2" s="406" customFormat="1" x14ac:dyDescent="0.2"/>
    <row r="44" spans="1:2" s="406" customFormat="1" x14ac:dyDescent="0.2"/>
    <row r="45" spans="1:2" s="406" customFormat="1" x14ac:dyDescent="0.2"/>
    <row r="46" spans="1:2" s="406" customFormat="1" x14ac:dyDescent="0.2"/>
    <row r="47" spans="1:2" s="406" customFormat="1" x14ac:dyDescent="0.2"/>
    <row r="48" spans="1:2" s="406" customFormat="1" x14ac:dyDescent="0.2"/>
    <row r="49" spans="1:2" s="406" customFormat="1" x14ac:dyDescent="0.2"/>
    <row r="50" spans="1:2" s="406" customFormat="1" x14ac:dyDescent="0.2"/>
    <row r="51" spans="1:2" s="406" customFormat="1" x14ac:dyDescent="0.2"/>
    <row r="52" spans="1:2" s="406" customFormat="1" x14ac:dyDescent="0.2"/>
    <row r="53" spans="1:2" s="406" customFormat="1" x14ac:dyDescent="0.2"/>
    <row r="54" spans="1:2" s="406" customFormat="1" x14ac:dyDescent="0.2"/>
    <row r="55" spans="1:2" s="406" customFormat="1" x14ac:dyDescent="0.2"/>
    <row r="56" spans="1:2" s="406" customFormat="1" x14ac:dyDescent="0.2"/>
    <row r="57" spans="1:2" s="406" customFormat="1" x14ac:dyDescent="0.2"/>
    <row r="58" spans="1:2" s="406" customFormat="1" x14ac:dyDescent="0.2"/>
    <row r="59" spans="1:2" s="406" customFormat="1" x14ac:dyDescent="0.2"/>
    <row r="60" spans="1:2" s="406" customFormat="1" x14ac:dyDescent="0.2"/>
    <row r="61" spans="1:2" s="406" customFormat="1" x14ac:dyDescent="0.2"/>
    <row r="62" spans="1:2" s="410" customFormat="1" x14ac:dyDescent="0.2">
      <c r="A62" s="406"/>
      <c r="B62" s="406"/>
    </row>
    <row r="63" spans="1:2" s="410" customFormat="1" x14ac:dyDescent="0.2">
      <c r="A63" s="406"/>
      <c r="B63" s="406"/>
    </row>
    <row r="64" spans="1:2" s="410" customFormat="1" x14ac:dyDescent="0.2">
      <c r="A64" s="406"/>
      <c r="B64" s="406"/>
    </row>
    <row r="65" spans="1:2" s="410" customFormat="1" x14ac:dyDescent="0.2">
      <c r="A65" s="406"/>
      <c r="B65" s="406"/>
    </row>
    <row r="66" spans="1:2" s="410" customFormat="1" x14ac:dyDescent="0.2">
      <c r="A66" s="406"/>
      <c r="B66" s="406"/>
    </row>
    <row r="67" spans="1:2" x14ac:dyDescent="0.2">
      <c r="A67" s="408"/>
      <c r="B67" s="408"/>
    </row>
    <row r="68" spans="1:2" x14ac:dyDescent="0.2">
      <c r="A68" s="408"/>
      <c r="B68" s="408"/>
    </row>
    <row r="69" spans="1:2" x14ac:dyDescent="0.2">
      <c r="A69" s="408"/>
      <c r="B69" s="408"/>
    </row>
  </sheetData>
  <mergeCells count="3">
    <mergeCell ref="A5:B5"/>
    <mergeCell ref="A6:B6"/>
    <mergeCell ref="A2:B2"/>
  </mergeCells>
  <hyperlinks>
    <hyperlink ref="A1" location="TOC!A1" display="TOC Page"/>
  </hyperlinks>
  <pageMargins left="0.7" right="0.7" top="0.75" bottom="0.75" header="0.3" footer="0.3"/>
  <pageSetup orientation="landscape" r:id="rId1"/>
  <headerFooter>
    <oddHeader>&amp;L&amp;G&amp;CShowAcronymGoesHere - PSM&amp;R&amp;P</oddHeader>
    <oddFooter>&amp;L&amp;D&amp;R&amp;Z&amp;F</oddFooter>
  </headerFooter>
  <rowBreaks count="1" manualBreakCount="1">
    <brk id="21" max="16383" man="1"/>
  </rowBreaks>
  <legacyDrawingHF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0" tint="-0.14999847407452621"/>
  </sheetPr>
  <dimension ref="A1:I93"/>
  <sheetViews>
    <sheetView zoomScale="115" zoomScaleNormal="115" workbookViewId="0">
      <pane ySplit="1" topLeftCell="A2" activePane="bottomLeft" state="frozen"/>
      <selection activeCell="U16" sqref="U16"/>
      <selection pane="bottomLeft" activeCell="A7" sqref="A7"/>
    </sheetView>
  </sheetViews>
  <sheetFormatPr defaultRowHeight="12.75" x14ac:dyDescent="0.2"/>
  <cols>
    <col min="1" max="1" width="21.5703125" style="374" customWidth="1"/>
    <col min="2" max="2" width="22.42578125" style="374" customWidth="1"/>
    <col min="3" max="3" width="24.85546875" style="374" customWidth="1"/>
    <col min="4" max="5" width="17.85546875" style="374" customWidth="1"/>
    <col min="6" max="6" width="17.7109375" style="374" customWidth="1"/>
    <col min="7" max="7" width="9.140625" style="374"/>
  </cols>
  <sheetData>
    <row r="1" spans="1:7" x14ac:dyDescent="0.2">
      <c r="A1" s="180" t="s">
        <v>639</v>
      </c>
    </row>
    <row r="2" spans="1:7" s="35" customFormat="1" ht="21.75" customHeight="1" x14ac:dyDescent="0.2">
      <c r="A2" s="1381" t="s">
        <v>545</v>
      </c>
      <c r="B2" s="1382"/>
      <c r="C2" s="1382"/>
      <c r="D2" s="1382"/>
      <c r="E2" s="1382"/>
      <c r="F2" s="1382"/>
      <c r="G2" s="392"/>
    </row>
    <row r="4" spans="1:7" s="17" customFormat="1" ht="12.75" customHeight="1" x14ac:dyDescent="0.2">
      <c r="A4" s="384" t="s">
        <v>831</v>
      </c>
      <c r="B4" s="384"/>
      <c r="C4" s="702" t="s">
        <v>2240</v>
      </c>
      <c r="D4" s="384"/>
      <c r="E4" s="390"/>
      <c r="F4" s="390"/>
      <c r="G4" s="390"/>
    </row>
    <row r="5" spans="1:7" s="35" customFormat="1" x14ac:dyDescent="0.2">
      <c r="A5" s="389" t="s">
        <v>833</v>
      </c>
      <c r="B5" s="389"/>
      <c r="C5" s="702" t="s">
        <v>420</v>
      </c>
      <c r="D5" s="391"/>
      <c r="E5" s="392"/>
      <c r="F5" s="392"/>
      <c r="G5" s="392"/>
    </row>
    <row r="6" spans="1:7" s="17" customFormat="1" x14ac:dyDescent="0.2">
      <c r="A6" s="390"/>
      <c r="B6" s="390"/>
      <c r="C6" s="390"/>
      <c r="D6" s="390"/>
      <c r="E6" s="390"/>
      <c r="F6" s="390"/>
      <c r="G6" s="390"/>
    </row>
    <row r="7" spans="1:7" s="35" customFormat="1" x14ac:dyDescent="0.2">
      <c r="A7" s="378" t="s">
        <v>896</v>
      </c>
      <c r="B7" s="391"/>
      <c r="C7" s="702" t="s">
        <v>91</v>
      </c>
      <c r="D7" s="392"/>
      <c r="E7" s="392"/>
      <c r="F7" s="392"/>
      <c r="G7" s="392"/>
    </row>
    <row r="8" spans="1:7" s="35" customFormat="1" hidden="1" x14ac:dyDescent="0.2">
      <c r="A8" s="375" t="s">
        <v>858</v>
      </c>
      <c r="B8" s="375"/>
      <c r="C8" s="375"/>
      <c r="D8" s="375"/>
      <c r="E8" s="375"/>
      <c r="F8" s="392"/>
      <c r="G8" s="392"/>
    </row>
    <row r="9" spans="1:7" s="35" customFormat="1" hidden="1" x14ac:dyDescent="0.2">
      <c r="A9" s="375" t="s">
        <v>856</v>
      </c>
      <c r="B9" s="375"/>
      <c r="C9" s="375"/>
      <c r="D9" s="375"/>
      <c r="E9" s="375"/>
      <c r="F9" s="392"/>
      <c r="G9" s="392"/>
    </row>
    <row r="10" spans="1:7" s="35" customFormat="1" hidden="1" x14ac:dyDescent="0.2">
      <c r="A10" s="375" t="s">
        <v>857</v>
      </c>
      <c r="B10" s="375"/>
      <c r="C10" s="375"/>
      <c r="D10" s="375"/>
      <c r="E10" s="375"/>
      <c r="F10" s="392"/>
      <c r="G10" s="392"/>
    </row>
    <row r="11" spans="1:7" s="35" customFormat="1" hidden="1" x14ac:dyDescent="0.2">
      <c r="A11" s="375"/>
      <c r="B11" s="375"/>
      <c r="C11" s="375"/>
      <c r="D11" s="375"/>
      <c r="E11" s="375"/>
      <c r="F11" s="392"/>
      <c r="G11" s="392"/>
    </row>
    <row r="12" spans="1:7" s="35" customFormat="1" x14ac:dyDescent="0.2">
      <c r="A12" s="375"/>
      <c r="B12" s="375"/>
      <c r="C12" s="375"/>
      <c r="D12" s="375"/>
      <c r="E12" s="375"/>
      <c r="F12" s="392"/>
      <c r="G12" s="392"/>
    </row>
    <row r="13" spans="1:7" s="70" customFormat="1" ht="15" x14ac:dyDescent="0.2">
      <c r="A13" s="387" t="s">
        <v>11</v>
      </c>
      <c r="B13" s="387"/>
      <c r="C13" s="387"/>
      <c r="D13" s="387"/>
      <c r="E13" s="387"/>
      <c r="F13" s="387"/>
    </row>
    <row r="15" spans="1:7" ht="14.25" customHeight="1" x14ac:dyDescent="0.2">
      <c r="A15" s="383" t="s">
        <v>604</v>
      </c>
      <c r="B15" s="380" t="s">
        <v>305</v>
      </c>
      <c r="C15" s="388"/>
      <c r="D15" s="381"/>
    </row>
    <row r="16" spans="1:7" s="135" customFormat="1" ht="14.25" customHeight="1" x14ac:dyDescent="0.2">
      <c r="A16" s="414"/>
      <c r="B16" s="412" t="s">
        <v>306</v>
      </c>
      <c r="C16" s="109"/>
      <c r="D16" s="413"/>
    </row>
    <row r="17" spans="1:7" s="135" customFormat="1" ht="14.25" customHeight="1" x14ac:dyDescent="0.2">
      <c r="A17" s="715" t="s">
        <v>604</v>
      </c>
      <c r="B17" s="412" t="s">
        <v>307</v>
      </c>
      <c r="C17" s="109"/>
      <c r="D17" s="413"/>
    </row>
    <row r="18" spans="1:7" s="135" customFormat="1" ht="14.25" customHeight="1" x14ac:dyDescent="0.2">
      <c r="A18" s="414"/>
      <c r="B18" s="412" t="s">
        <v>308</v>
      </c>
      <c r="C18" s="109"/>
      <c r="D18" s="413"/>
    </row>
    <row r="19" spans="1:7" s="135" customFormat="1" ht="14.25" customHeight="1" x14ac:dyDescent="0.2">
      <c r="A19" s="414"/>
      <c r="B19" s="412" t="s">
        <v>897</v>
      </c>
      <c r="C19" s="109"/>
      <c r="D19" s="413"/>
    </row>
    <row r="20" spans="1:7" s="135" customFormat="1" ht="14.25" customHeight="1" x14ac:dyDescent="0.2">
      <c r="A20" s="414"/>
      <c r="B20" s="412" t="s">
        <v>898</v>
      </c>
      <c r="C20" s="109"/>
      <c r="D20" s="413"/>
    </row>
    <row r="21" spans="1:7" s="135" customFormat="1" ht="17.25" customHeight="1" x14ac:dyDescent="0.2">
      <c r="A21" s="227"/>
      <c r="B21" s="228"/>
      <c r="C21" s="228"/>
      <c r="D21" s="228"/>
    </row>
    <row r="22" spans="1:7" s="17" customFormat="1" ht="26.25" customHeight="1" x14ac:dyDescent="0.2">
      <c r="A22" s="1354" t="s">
        <v>1508</v>
      </c>
      <c r="B22" s="1354"/>
      <c r="C22" s="1354"/>
      <c r="D22" s="1354"/>
      <c r="E22" s="1354"/>
      <c r="F22" s="1354"/>
      <c r="G22" s="376"/>
    </row>
    <row r="23" spans="1:7" s="17" customFormat="1" x14ac:dyDescent="0.2">
      <c r="A23" s="1383" t="s">
        <v>2686</v>
      </c>
      <c r="B23" s="1366"/>
      <c r="C23" s="1366"/>
      <c r="D23" s="1366"/>
      <c r="E23" s="1366"/>
      <c r="F23" s="1366"/>
      <c r="G23" s="373"/>
    </row>
    <row r="24" spans="1:7" s="367" customFormat="1" x14ac:dyDescent="0.2">
      <c r="A24" s="376"/>
      <c r="B24" s="376"/>
      <c r="C24" s="376"/>
      <c r="D24" s="376"/>
      <c r="E24" s="376"/>
      <c r="F24" s="376"/>
      <c r="G24" s="373"/>
    </row>
    <row r="25" spans="1:7" s="17" customFormat="1" ht="12.75" customHeight="1" x14ac:dyDescent="0.2">
      <c r="A25" s="1354" t="s">
        <v>1139</v>
      </c>
      <c r="B25" s="1354"/>
      <c r="C25" s="1354"/>
      <c r="D25" s="1354"/>
      <c r="E25" s="1354"/>
      <c r="F25" s="1354"/>
      <c r="G25" s="376"/>
    </row>
    <row r="26" spans="1:7" s="17" customFormat="1" x14ac:dyDescent="0.2">
      <c r="A26" s="1383" t="s">
        <v>91</v>
      </c>
      <c r="B26" s="1366"/>
      <c r="C26" s="1366"/>
      <c r="D26" s="1366"/>
      <c r="E26" s="1366"/>
      <c r="F26" s="1366"/>
      <c r="G26" s="373"/>
    </row>
    <row r="27" spans="1:7" s="17" customFormat="1" x14ac:dyDescent="0.2">
      <c r="A27" s="376"/>
      <c r="B27" s="376"/>
      <c r="C27" s="376"/>
      <c r="D27" s="376"/>
      <c r="E27" s="376"/>
      <c r="F27" s="376"/>
      <c r="G27" s="373"/>
    </row>
    <row r="28" spans="1:7" s="367" customFormat="1" ht="12.75" hidden="1" customHeight="1" x14ac:dyDescent="0.2">
      <c r="A28" s="1384" t="s">
        <v>1583</v>
      </c>
      <c r="B28" s="1384"/>
      <c r="C28" s="1384"/>
      <c r="D28" s="1384"/>
      <c r="E28" s="1384"/>
      <c r="F28" s="1384"/>
      <c r="G28" s="393"/>
    </row>
    <row r="29" spans="1:7" s="286" customFormat="1" ht="43.5" hidden="1" customHeight="1" x14ac:dyDescent="0.2">
      <c r="A29" s="396" t="s">
        <v>1580</v>
      </c>
      <c r="B29" s="396" t="s">
        <v>1652</v>
      </c>
      <c r="C29" s="396" t="s">
        <v>1584</v>
      </c>
      <c r="D29" s="395" t="s">
        <v>1585</v>
      </c>
      <c r="E29" s="415" t="s">
        <v>1586</v>
      </c>
      <c r="F29" s="395" t="s">
        <v>1587</v>
      </c>
    </row>
    <row r="30" spans="1:7" s="364" customFormat="1" ht="32.25" hidden="1" customHeight="1" x14ac:dyDescent="0.2">
      <c r="A30" s="379"/>
      <c r="B30" s="379"/>
      <c r="C30" s="379"/>
      <c r="D30" s="371" t="s">
        <v>1581</v>
      </c>
      <c r="E30" s="411" t="s">
        <v>1581</v>
      </c>
      <c r="F30" s="386" t="s">
        <v>1581</v>
      </c>
    </row>
    <row r="31" spans="1:7" s="364" customFormat="1" ht="32.25" hidden="1" customHeight="1" x14ac:dyDescent="0.2">
      <c r="A31" s="379"/>
      <c r="B31" s="379"/>
      <c r="C31" s="379"/>
      <c r="D31" s="371" t="s">
        <v>1581</v>
      </c>
      <c r="E31" s="411" t="s">
        <v>1581</v>
      </c>
      <c r="F31" s="386" t="s">
        <v>1581</v>
      </c>
    </row>
    <row r="32" spans="1:7" s="364" customFormat="1" ht="32.25" hidden="1" customHeight="1" x14ac:dyDescent="0.2">
      <c r="A32" s="379"/>
      <c r="B32" s="379"/>
      <c r="C32" s="379"/>
      <c r="D32" s="371" t="s">
        <v>1581</v>
      </c>
      <c r="E32" s="411" t="s">
        <v>1581</v>
      </c>
      <c r="F32" s="386" t="s">
        <v>1581</v>
      </c>
    </row>
    <row r="33" spans="1:9" s="17" customFormat="1" hidden="1" x14ac:dyDescent="0.2">
      <c r="A33" s="376"/>
      <c r="B33" s="376"/>
      <c r="C33" s="376"/>
      <c r="D33" s="376"/>
      <c r="E33" s="376"/>
      <c r="F33" s="376"/>
      <c r="G33" s="373"/>
    </row>
    <row r="34" spans="1:9" hidden="1" x14ac:dyDescent="0.2"/>
    <row r="35" spans="1:9" hidden="1" x14ac:dyDescent="0.2">
      <c r="A35" s="42"/>
      <c r="B35" s="42"/>
      <c r="C35" s="42"/>
      <c r="D35" s="42"/>
      <c r="E35" s="42"/>
      <c r="F35" s="42"/>
    </row>
    <row r="36" spans="1:9" s="35" customFormat="1" ht="12.75" customHeight="1" x14ac:dyDescent="0.2">
      <c r="A36" s="1367" t="s">
        <v>1520</v>
      </c>
      <c r="B36" s="1367"/>
      <c r="C36" s="1367"/>
      <c r="D36" s="1367"/>
      <c r="E36" s="1367"/>
      <c r="F36" s="1367"/>
      <c r="G36" s="372"/>
    </row>
    <row r="37" spans="1:9" s="35" customFormat="1" ht="12.75" customHeight="1" x14ac:dyDescent="0.2">
      <c r="A37" s="1366" t="s">
        <v>1150</v>
      </c>
      <c r="B37" s="1366"/>
      <c r="C37" s="1366"/>
      <c r="D37" s="1366"/>
      <c r="E37" s="1366"/>
      <c r="F37" s="1366"/>
      <c r="G37" s="376"/>
      <c r="H37" s="46"/>
      <c r="I37" s="46"/>
    </row>
    <row r="38" spans="1:9" s="35" customFormat="1" x14ac:dyDescent="0.2">
      <c r="A38" s="1366"/>
      <c r="B38" s="1366"/>
      <c r="C38" s="1366"/>
      <c r="D38" s="1366"/>
      <c r="E38" s="1366"/>
      <c r="F38" s="1366"/>
      <c r="G38" s="376"/>
    </row>
    <row r="39" spans="1:9" s="35" customFormat="1" x14ac:dyDescent="0.2">
      <c r="A39" s="1350" t="s">
        <v>2687</v>
      </c>
      <c r="B39" s="1350"/>
      <c r="C39" s="1348" t="s">
        <v>2689</v>
      </c>
      <c r="D39" s="1348"/>
      <c r="E39" s="1348"/>
      <c r="F39" s="1348"/>
      <c r="G39" s="377"/>
    </row>
    <row r="40" spans="1:9" s="1060" customFormat="1" ht="80.25" customHeight="1" x14ac:dyDescent="0.2">
      <c r="A40" s="1058"/>
      <c r="B40" s="1058"/>
      <c r="C40" s="1057"/>
      <c r="D40" s="1057"/>
      <c r="E40" s="1057"/>
      <c r="F40" s="1057"/>
      <c r="G40" s="1059"/>
    </row>
    <row r="41" spans="1:9" s="1060" customFormat="1" x14ac:dyDescent="0.2">
      <c r="A41" s="1058"/>
      <c r="B41" s="1058"/>
      <c r="C41" s="1057"/>
      <c r="D41" s="1057"/>
      <c r="E41" s="1057"/>
      <c r="F41" s="1057"/>
      <c r="G41" s="1059"/>
    </row>
    <row r="42" spans="1:9" s="1061" customFormat="1" ht="28.5" customHeight="1" x14ac:dyDescent="0.2">
      <c r="A42" s="1350" t="s">
        <v>2688</v>
      </c>
      <c r="B42" s="1350"/>
      <c r="C42" s="1386" t="s">
        <v>2690</v>
      </c>
      <c r="D42" s="1386"/>
      <c r="E42" s="1386"/>
      <c r="F42" s="1386"/>
      <c r="G42" s="306"/>
      <c r="H42" s="306"/>
    </row>
    <row r="43" spans="1:9" s="1060" customFormat="1" ht="127.5" customHeight="1" x14ac:dyDescent="0.2">
      <c r="A43" s="1058"/>
      <c r="B43" s="1058"/>
      <c r="C43" s="1057"/>
      <c r="D43" s="1057"/>
      <c r="E43" s="1057"/>
      <c r="F43" s="1057"/>
      <c r="G43" s="1059"/>
    </row>
    <row r="44" spans="1:9" s="1060" customFormat="1" x14ac:dyDescent="0.2">
      <c r="A44" s="1058"/>
      <c r="B44" s="1058"/>
      <c r="C44" s="1057"/>
      <c r="D44" s="1057"/>
      <c r="E44" s="1057"/>
      <c r="F44" s="1057"/>
      <c r="G44" s="1059"/>
    </row>
    <row r="45" spans="1:9" s="17" customFormat="1" ht="18" customHeight="1" x14ac:dyDescent="0.2">
      <c r="A45" s="387" t="s">
        <v>830</v>
      </c>
      <c r="B45" s="387"/>
      <c r="C45" s="387"/>
      <c r="D45" s="387"/>
      <c r="E45" s="387"/>
      <c r="F45" s="387"/>
      <c r="G45" s="390"/>
    </row>
    <row r="46" spans="1:9" ht="10.5" customHeight="1" x14ac:dyDescent="0.2"/>
    <row r="47" spans="1:9" ht="12.75" customHeight="1" x14ac:dyDescent="0.2">
      <c r="A47" s="226" t="s">
        <v>816</v>
      </c>
      <c r="B47" s="226" t="s">
        <v>815</v>
      </c>
      <c r="C47" s="380" t="s">
        <v>817</v>
      </c>
      <c r="D47" s="382" t="s">
        <v>301</v>
      </c>
      <c r="E47" s="1385" t="s">
        <v>637</v>
      </c>
      <c r="F47" s="1385"/>
      <c r="G47"/>
    </row>
    <row r="48" spans="1:9" ht="12.75" customHeight="1" x14ac:dyDescent="0.2">
      <c r="A48" s="316" t="s">
        <v>1627</v>
      </c>
      <c r="B48" s="370" t="s">
        <v>302</v>
      </c>
      <c r="C48" s="385" t="s">
        <v>303</v>
      </c>
      <c r="D48" s="316" t="s">
        <v>619</v>
      </c>
      <c r="E48" s="1362"/>
      <c r="F48" s="1362"/>
      <c r="G48"/>
    </row>
    <row r="49" spans="1:7" s="661" customFormat="1" ht="56.25" customHeight="1" x14ac:dyDescent="0.2">
      <c r="A49" s="316" t="s">
        <v>2241</v>
      </c>
      <c r="B49" s="958" t="s">
        <v>2464</v>
      </c>
      <c r="C49" s="958" t="s">
        <v>1961</v>
      </c>
      <c r="D49" s="638" t="s">
        <v>619</v>
      </c>
      <c r="E49" s="1380" t="s">
        <v>2465</v>
      </c>
      <c r="F49" s="1380"/>
    </row>
    <row r="50" spans="1:7" x14ac:dyDescent="0.2">
      <c r="A50" s="638" t="s">
        <v>420</v>
      </c>
      <c r="B50" s="942" t="s">
        <v>293</v>
      </c>
      <c r="C50" s="913" t="s">
        <v>362</v>
      </c>
      <c r="D50" s="638" t="s">
        <v>619</v>
      </c>
      <c r="E50" s="1377"/>
      <c r="F50" s="1377"/>
      <c r="G50"/>
    </row>
    <row r="51" spans="1:7" x14ac:dyDescent="0.2">
      <c r="A51" s="316" t="s">
        <v>606</v>
      </c>
      <c r="B51" s="370" t="s">
        <v>205</v>
      </c>
      <c r="C51" s="385" t="s">
        <v>606</v>
      </c>
      <c r="D51" s="316" t="s">
        <v>619</v>
      </c>
      <c r="E51" s="1362"/>
      <c r="F51" s="1362"/>
      <c r="G51"/>
    </row>
    <row r="52" spans="1:7" x14ac:dyDescent="0.2">
      <c r="A52" s="316" t="s">
        <v>2389</v>
      </c>
      <c r="B52" s="370" t="s">
        <v>263</v>
      </c>
      <c r="C52" s="385"/>
      <c r="D52" s="379"/>
      <c r="E52" s="1362"/>
      <c r="F52" s="1362"/>
      <c r="G52"/>
    </row>
    <row r="53" spans="1:7" x14ac:dyDescent="0.2">
      <c r="A53" s="316" t="s">
        <v>607</v>
      </c>
      <c r="B53" s="370" t="s">
        <v>264</v>
      </c>
      <c r="C53" s="385" t="s">
        <v>607</v>
      </c>
      <c r="D53" s="316" t="s">
        <v>619</v>
      </c>
      <c r="E53" s="1362"/>
      <c r="F53" s="1362"/>
      <c r="G53"/>
    </row>
    <row r="54" spans="1:7" s="736" customFormat="1" x14ac:dyDescent="0.2">
      <c r="A54" s="316" t="s">
        <v>2390</v>
      </c>
      <c r="B54" s="735" t="s">
        <v>265</v>
      </c>
      <c r="C54" s="737"/>
      <c r="D54" s="316" t="s">
        <v>619</v>
      </c>
      <c r="E54" s="1326"/>
      <c r="F54" s="1324"/>
    </row>
    <row r="55" spans="1:7" x14ac:dyDescent="0.2">
      <c r="A55" s="849" t="s">
        <v>2228</v>
      </c>
      <c r="B55" s="370" t="s">
        <v>268</v>
      </c>
      <c r="C55" s="737" t="s">
        <v>2228</v>
      </c>
      <c r="D55" s="316" t="s">
        <v>619</v>
      </c>
      <c r="E55" s="1362"/>
      <c r="F55" s="1362"/>
      <c r="G55"/>
    </row>
    <row r="56" spans="1:7" x14ac:dyDescent="0.2">
      <c r="A56" s="849" t="s">
        <v>2433</v>
      </c>
      <c r="B56" s="735" t="s">
        <v>270</v>
      </c>
      <c r="C56" s="737" t="s">
        <v>2229</v>
      </c>
      <c r="D56" s="316" t="s">
        <v>619</v>
      </c>
      <c r="E56" s="1362"/>
      <c r="F56" s="1362"/>
      <c r="G56"/>
    </row>
    <row r="57" spans="1:7" s="783" customFormat="1" x14ac:dyDescent="0.2">
      <c r="A57" s="1056" t="s">
        <v>683</v>
      </c>
      <c r="B57" s="946"/>
      <c r="C57" s="947"/>
      <c r="D57" s="882"/>
      <c r="E57" s="1378" t="s">
        <v>2632</v>
      </c>
      <c r="F57" s="1379"/>
    </row>
    <row r="58" spans="1:7" x14ac:dyDescent="0.2">
      <c r="A58" s="638" t="s">
        <v>2434</v>
      </c>
      <c r="B58" s="1025" t="s">
        <v>1612</v>
      </c>
      <c r="C58" s="1026"/>
      <c r="D58" s="200"/>
      <c r="E58" s="1380"/>
      <c r="F58" s="1377"/>
      <c r="G58"/>
    </row>
    <row r="59" spans="1:7" s="661" customFormat="1" x14ac:dyDescent="0.2">
      <c r="A59" s="316" t="s">
        <v>610</v>
      </c>
      <c r="B59" s="660" t="s">
        <v>281</v>
      </c>
      <c r="C59" s="665" t="s">
        <v>610</v>
      </c>
      <c r="D59" s="316" t="s">
        <v>619</v>
      </c>
      <c r="E59" s="1362"/>
      <c r="F59" s="1362"/>
    </row>
    <row r="60" spans="1:7" x14ac:dyDescent="0.2">
      <c r="A60" s="850" t="s">
        <v>271</v>
      </c>
      <c r="B60" s="370" t="s">
        <v>272</v>
      </c>
      <c r="C60" s="416" t="s">
        <v>271</v>
      </c>
      <c r="D60" s="316" t="s">
        <v>619</v>
      </c>
      <c r="E60" s="1362"/>
      <c r="F60" s="1362"/>
      <c r="G60"/>
    </row>
    <row r="61" spans="1:7" x14ac:dyDescent="0.2">
      <c r="A61" s="850" t="s">
        <v>273</v>
      </c>
      <c r="B61" s="370" t="s">
        <v>274</v>
      </c>
      <c r="C61" s="385" t="s">
        <v>273</v>
      </c>
      <c r="D61" s="316" t="s">
        <v>619</v>
      </c>
      <c r="E61" s="1362"/>
      <c r="F61" s="1362"/>
      <c r="G61"/>
    </row>
    <row r="62" spans="1:7" s="736" customFormat="1" hidden="1" x14ac:dyDescent="0.2">
      <c r="A62" s="316" t="s">
        <v>317</v>
      </c>
      <c r="B62" s="735" t="s">
        <v>275</v>
      </c>
      <c r="C62" s="737" t="s">
        <v>317</v>
      </c>
      <c r="D62" s="638" t="s">
        <v>619</v>
      </c>
      <c r="E62" s="1380"/>
      <c r="F62" s="1380"/>
    </row>
    <row r="63" spans="1:7" x14ac:dyDescent="0.2">
      <c r="A63" s="316" t="s">
        <v>609</v>
      </c>
      <c r="B63" s="370" t="s">
        <v>276</v>
      </c>
      <c r="C63" s="385" t="s">
        <v>609</v>
      </c>
      <c r="D63" s="316" t="s">
        <v>619</v>
      </c>
      <c r="E63" s="1362"/>
      <c r="F63" s="1362"/>
      <c r="G63"/>
    </row>
    <row r="64" spans="1:7" x14ac:dyDescent="0.2">
      <c r="A64" s="316" t="s">
        <v>277</v>
      </c>
      <c r="B64" s="370" t="s">
        <v>278</v>
      </c>
      <c r="C64" s="737" t="s">
        <v>1649</v>
      </c>
      <c r="D64" s="316" t="s">
        <v>619</v>
      </c>
      <c r="E64" s="1362"/>
      <c r="F64" s="1362"/>
      <c r="G64"/>
    </row>
    <row r="65" spans="1:7" x14ac:dyDescent="0.2">
      <c r="A65" s="316" t="s">
        <v>2443</v>
      </c>
      <c r="B65" s="370" t="s">
        <v>355</v>
      </c>
      <c r="C65" s="737" t="s">
        <v>2231</v>
      </c>
      <c r="D65" s="316" t="s">
        <v>619</v>
      </c>
      <c r="E65" s="1362"/>
      <c r="F65" s="1362"/>
      <c r="G65"/>
    </row>
    <row r="66" spans="1:7" x14ac:dyDescent="0.2">
      <c r="A66" s="316" t="s">
        <v>236</v>
      </c>
      <c r="B66" s="370" t="s">
        <v>285</v>
      </c>
      <c r="C66" s="737" t="s">
        <v>284</v>
      </c>
      <c r="D66" s="316" t="s">
        <v>619</v>
      </c>
      <c r="E66" s="1362"/>
      <c r="F66" s="1362"/>
      <c r="G66"/>
    </row>
    <row r="67" spans="1:7" x14ac:dyDescent="0.2">
      <c r="A67" s="316" t="s">
        <v>235</v>
      </c>
      <c r="B67" s="370" t="s">
        <v>292</v>
      </c>
      <c r="C67" s="737" t="s">
        <v>291</v>
      </c>
      <c r="D67" s="316" t="s">
        <v>619</v>
      </c>
      <c r="E67" s="1362"/>
      <c r="F67" s="1362"/>
      <c r="G67"/>
    </row>
    <row r="68" spans="1:7" hidden="1" x14ac:dyDescent="0.2">
      <c r="A68" s="316"/>
      <c r="B68" s="370" t="s">
        <v>825</v>
      </c>
      <c r="C68" s="385" t="s">
        <v>614</v>
      </c>
      <c r="D68" s="379"/>
      <c r="E68" s="1362"/>
      <c r="F68" s="1362"/>
      <c r="G68"/>
    </row>
    <row r="69" spans="1:7" hidden="1" x14ac:dyDescent="0.2">
      <c r="A69" s="316"/>
      <c r="B69" s="370" t="s">
        <v>823</v>
      </c>
      <c r="C69" s="385" t="s">
        <v>314</v>
      </c>
      <c r="D69" s="379"/>
      <c r="E69" s="1362"/>
      <c r="F69" s="1362"/>
      <c r="G69"/>
    </row>
    <row r="70" spans="1:7" hidden="1" x14ac:dyDescent="0.2">
      <c r="A70" s="316"/>
      <c r="B70" s="370" t="s">
        <v>51</v>
      </c>
      <c r="C70" s="385"/>
      <c r="D70" s="379"/>
      <c r="E70" s="1362"/>
      <c r="F70" s="1362"/>
      <c r="G70"/>
    </row>
    <row r="71" spans="1:7" hidden="1" x14ac:dyDescent="0.2">
      <c r="A71" s="316"/>
      <c r="B71" s="370" t="s">
        <v>52</v>
      </c>
      <c r="C71" s="385"/>
      <c r="D71" s="379"/>
      <c r="E71" s="1362"/>
      <c r="F71" s="1362"/>
      <c r="G71"/>
    </row>
    <row r="72" spans="1:7" hidden="1" x14ac:dyDescent="0.2">
      <c r="A72" s="316"/>
      <c r="B72" s="370" t="s">
        <v>297</v>
      </c>
      <c r="C72" s="385"/>
      <c r="D72" s="379"/>
      <c r="E72" s="1362"/>
      <c r="F72" s="1362"/>
      <c r="G72"/>
    </row>
    <row r="73" spans="1:7" hidden="1" x14ac:dyDescent="0.2">
      <c r="A73" s="316"/>
      <c r="B73" s="370" t="s">
        <v>298</v>
      </c>
      <c r="C73" s="385"/>
      <c r="D73" s="379"/>
      <c r="E73" s="1362"/>
      <c r="F73" s="1362"/>
      <c r="G73"/>
    </row>
    <row r="74" spans="1:7" hidden="1" x14ac:dyDescent="0.2">
      <c r="A74" s="316"/>
      <c r="B74" s="370" t="s">
        <v>299</v>
      </c>
      <c r="C74" s="385"/>
      <c r="D74" s="379"/>
      <c r="E74" s="1362"/>
      <c r="F74" s="1362"/>
      <c r="G74"/>
    </row>
    <row r="75" spans="1:7" hidden="1" x14ac:dyDescent="0.2">
      <c r="A75" s="316"/>
      <c r="B75" s="370" t="s">
        <v>824</v>
      </c>
      <c r="C75" s="385"/>
      <c r="D75" s="379"/>
      <c r="E75" s="1362"/>
      <c r="F75" s="1362"/>
      <c r="G75"/>
    </row>
    <row r="76" spans="1:7" hidden="1" x14ac:dyDescent="0.2">
      <c r="A76" s="316"/>
      <c r="B76" s="370" t="s">
        <v>31</v>
      </c>
      <c r="C76" s="385"/>
      <c r="D76" s="379"/>
      <c r="E76" s="1362"/>
      <c r="F76" s="1362"/>
      <c r="G76"/>
    </row>
    <row r="77" spans="1:7" hidden="1" x14ac:dyDescent="0.2">
      <c r="A77" s="316"/>
      <c r="B77" s="370" t="s">
        <v>675</v>
      </c>
      <c r="C77" s="385"/>
      <c r="D77" s="379"/>
      <c r="E77" s="1362"/>
      <c r="F77" s="1362"/>
      <c r="G77"/>
    </row>
    <row r="78" spans="1:7" hidden="1" x14ac:dyDescent="0.2">
      <c r="A78" s="316"/>
      <c r="B78" s="370" t="s">
        <v>829</v>
      </c>
      <c r="C78" s="385"/>
      <c r="D78" s="379"/>
      <c r="E78" s="1362"/>
      <c r="F78" s="1362"/>
      <c r="G78"/>
    </row>
    <row r="79" spans="1:7" hidden="1" x14ac:dyDescent="0.2">
      <c r="A79" s="316"/>
      <c r="B79" s="370" t="s">
        <v>54</v>
      </c>
      <c r="C79" s="385"/>
      <c r="D79" s="379"/>
      <c r="E79" s="1362"/>
      <c r="F79" s="1362"/>
      <c r="G79"/>
    </row>
    <row r="80" spans="1:7" hidden="1" x14ac:dyDescent="0.2">
      <c r="A80" s="316"/>
      <c r="B80" s="370" t="s">
        <v>818</v>
      </c>
      <c r="C80" s="385"/>
      <c r="D80" s="379"/>
      <c r="E80" s="1362"/>
      <c r="F80" s="1362"/>
      <c r="G80"/>
    </row>
    <row r="81" spans="1:7" hidden="1" x14ac:dyDescent="0.2">
      <c r="A81" s="316"/>
      <c r="B81" s="370" t="s">
        <v>819</v>
      </c>
      <c r="C81" s="385"/>
      <c r="D81" s="379"/>
      <c r="E81" s="1362"/>
      <c r="F81" s="1362"/>
      <c r="G81"/>
    </row>
    <row r="82" spans="1:7" hidden="1" x14ac:dyDescent="0.2">
      <c r="A82" s="316"/>
      <c r="B82" s="370" t="s">
        <v>820</v>
      </c>
      <c r="C82" s="385"/>
      <c r="D82" s="379"/>
      <c r="E82" s="1362"/>
      <c r="F82" s="1362"/>
      <c r="G82"/>
    </row>
    <row r="83" spans="1:7" hidden="1" x14ac:dyDescent="0.2">
      <c r="A83" s="316"/>
      <c r="B83" s="370" t="s">
        <v>821</v>
      </c>
      <c r="C83" s="385"/>
      <c r="D83" s="379"/>
      <c r="E83" s="1362"/>
      <c r="F83" s="1362"/>
      <c r="G83"/>
    </row>
    <row r="84" spans="1:7" hidden="1" x14ac:dyDescent="0.2">
      <c r="A84" s="316"/>
      <c r="B84" s="370" t="s">
        <v>822</v>
      </c>
      <c r="C84" s="385"/>
      <c r="D84" s="379"/>
      <c r="E84" s="1362"/>
      <c r="F84" s="1362"/>
      <c r="G84"/>
    </row>
    <row r="85" spans="1:7" hidden="1" x14ac:dyDescent="0.2">
      <c r="A85" s="316"/>
      <c r="B85" s="370" t="s">
        <v>827</v>
      </c>
      <c r="C85" s="385"/>
      <c r="D85" s="379"/>
      <c r="E85" s="1362"/>
      <c r="F85" s="1362"/>
      <c r="G85"/>
    </row>
    <row r="86" spans="1:7" hidden="1" x14ac:dyDescent="0.2">
      <c r="A86" s="316"/>
      <c r="B86" s="370" t="s">
        <v>828</v>
      </c>
      <c r="C86" s="385"/>
      <c r="D86" s="379"/>
      <c r="E86" s="1362"/>
      <c r="F86" s="1362"/>
      <c r="G86"/>
    </row>
    <row r="87" spans="1:7" hidden="1" x14ac:dyDescent="0.2">
      <c r="A87" s="316"/>
      <c r="B87" s="370" t="s">
        <v>53</v>
      </c>
      <c r="C87" s="385"/>
      <c r="D87" s="379"/>
      <c r="E87" s="1362"/>
      <c r="F87" s="1362"/>
      <c r="G87"/>
    </row>
    <row r="88" spans="1:7" hidden="1" x14ac:dyDescent="0.2">
      <c r="A88" s="316"/>
      <c r="B88" s="370" t="s">
        <v>618</v>
      </c>
      <c r="C88" s="385" t="s">
        <v>761</v>
      </c>
      <c r="D88" s="379"/>
      <c r="E88" s="1362"/>
      <c r="F88" s="1362"/>
      <c r="G88"/>
    </row>
    <row r="89" spans="1:7" hidden="1" x14ac:dyDescent="0.2">
      <c r="A89" s="316"/>
      <c r="B89" s="370" t="s">
        <v>202</v>
      </c>
      <c r="C89" s="385" t="s">
        <v>359</v>
      </c>
      <c r="D89" s="379"/>
      <c r="E89" s="1362"/>
      <c r="F89" s="1362"/>
      <c r="G89"/>
    </row>
    <row r="90" spans="1:7" hidden="1" x14ac:dyDescent="0.2">
      <c r="A90" s="316"/>
      <c r="B90" s="370" t="s">
        <v>275</v>
      </c>
      <c r="C90" s="385" t="s">
        <v>317</v>
      </c>
      <c r="D90" s="379"/>
      <c r="E90" s="1362"/>
      <c r="F90" s="1362"/>
      <c r="G90"/>
    </row>
    <row r="91" spans="1:7" hidden="1" x14ac:dyDescent="0.2">
      <c r="A91" s="316"/>
      <c r="B91" s="370" t="s">
        <v>283</v>
      </c>
      <c r="C91" s="385" t="s">
        <v>282</v>
      </c>
      <c r="D91" s="379"/>
      <c r="E91" s="1362"/>
      <c r="F91" s="1362"/>
      <c r="G91"/>
    </row>
    <row r="92" spans="1:7" hidden="1" x14ac:dyDescent="0.2">
      <c r="A92" s="316"/>
      <c r="B92" s="370" t="s">
        <v>290</v>
      </c>
      <c r="C92" s="385" t="s">
        <v>289</v>
      </c>
      <c r="D92" s="379"/>
      <c r="E92" s="1362"/>
      <c r="F92" s="1362"/>
      <c r="G92"/>
    </row>
    <row r="93" spans="1:7" hidden="1" x14ac:dyDescent="0.2">
      <c r="A93" s="316"/>
      <c r="B93" s="370" t="s">
        <v>304</v>
      </c>
      <c r="C93" s="385" t="s">
        <v>616</v>
      </c>
      <c r="D93" s="379"/>
      <c r="E93" s="1387"/>
      <c r="F93" s="1388"/>
      <c r="G93"/>
    </row>
  </sheetData>
  <customSheetViews>
    <customSheetView guid="{4892E1C0-7A56-4F81-A857-987D77EC4462}" scale="90">
      <selection activeCell="J16" sqref="J16"/>
      <pageMargins left="0.7" right="0.7" top="0.75" bottom="0.75" header="0.3" footer="0.3"/>
      <pageSetup orientation="landscape" r:id="rId1"/>
      <headerFooter>
        <oddHeader>&amp;L&amp;G&amp;CShowAcronymGoesHere - PSM&amp;R&amp;P</oddHeader>
        <oddFooter>&amp;L&amp;D&amp;R&amp;Z&amp;F</oddFooter>
      </headerFooter>
    </customSheetView>
    <customSheetView guid="{C29C6423-4E3D-4B08-919E-993C7C45FC31}" scale="90">
      <selection activeCell="A87" sqref="A87"/>
      <pageMargins left="0.7" right="0.7" top="0.75" bottom="0.75" header="0.3" footer="0.3"/>
      <pageSetup orientation="landscape" r:id="rId2"/>
      <headerFooter>
        <oddHeader>&amp;L&amp;G&amp;CShowAcronymGoesHere - PSM&amp;R&amp;P</oddHeader>
        <oddFooter>&amp;L&amp;D&amp;R&amp;Z&amp;F</oddFooter>
      </headerFooter>
    </customSheetView>
  </customSheetViews>
  <mergeCells count="60">
    <mergeCell ref="C42:F42"/>
    <mergeCell ref="E93:F93"/>
    <mergeCell ref="E48:F48"/>
    <mergeCell ref="E78:F78"/>
    <mergeCell ref="E79:F79"/>
    <mergeCell ref="E72:F72"/>
    <mergeCell ref="E53:F53"/>
    <mergeCell ref="E49:F49"/>
    <mergeCell ref="E54:F54"/>
    <mergeCell ref="E52:F52"/>
    <mergeCell ref="E55:F55"/>
    <mergeCell ref="E56:F56"/>
    <mergeCell ref="E92:F92"/>
    <mergeCell ref="E91:F91"/>
    <mergeCell ref="E51:F51"/>
    <mergeCell ref="E66:F66"/>
    <mergeCell ref="A2:F2"/>
    <mergeCell ref="E68:F68"/>
    <mergeCell ref="E69:F69"/>
    <mergeCell ref="E70:F70"/>
    <mergeCell ref="A22:F22"/>
    <mergeCell ref="A23:F23"/>
    <mergeCell ref="A36:F36"/>
    <mergeCell ref="A37:F37"/>
    <mergeCell ref="A38:F38"/>
    <mergeCell ref="A28:F28"/>
    <mergeCell ref="A25:F25"/>
    <mergeCell ref="A26:F26"/>
    <mergeCell ref="A39:B39"/>
    <mergeCell ref="C39:F39"/>
    <mergeCell ref="A42:B42"/>
    <mergeCell ref="E47:F47"/>
    <mergeCell ref="E85:F85"/>
    <mergeCell ref="E80:F80"/>
    <mergeCell ref="E50:F50"/>
    <mergeCell ref="E67:F67"/>
    <mergeCell ref="E59:F59"/>
    <mergeCell ref="E57:F57"/>
    <mergeCell ref="E58:F58"/>
    <mergeCell ref="E60:F60"/>
    <mergeCell ref="E61:F61"/>
    <mergeCell ref="E62:F62"/>
    <mergeCell ref="E73:F73"/>
    <mergeCell ref="E74:F74"/>
    <mergeCell ref="E90:F90"/>
    <mergeCell ref="E63:F63"/>
    <mergeCell ref="E64:F64"/>
    <mergeCell ref="E65:F65"/>
    <mergeCell ref="E89:F89"/>
    <mergeCell ref="E71:F71"/>
    <mergeCell ref="E75:F75"/>
    <mergeCell ref="E88:F88"/>
    <mergeCell ref="E76:F76"/>
    <mergeCell ref="E77:F77"/>
    <mergeCell ref="E86:F86"/>
    <mergeCell ref="E87:F87"/>
    <mergeCell ref="E81:F81"/>
    <mergeCell ref="E82:F82"/>
    <mergeCell ref="E83:F83"/>
    <mergeCell ref="E84:F84"/>
  </mergeCells>
  <phoneticPr fontId="6" type="noConversion"/>
  <hyperlinks>
    <hyperlink ref="A1" location="TOC!A1" display="TOC Page"/>
  </hyperlinks>
  <pageMargins left="0.7" right="0.7" top="0.75" bottom="0.75" header="0.3" footer="0.3"/>
  <pageSetup orientation="landscape" r:id="rId3"/>
  <headerFooter>
    <oddHeader>&amp;L&amp;G&amp;CShowAcronymGoesHere - PSM&amp;R&amp;P</oddHeader>
    <oddFooter>&amp;L&amp;D&amp;R&amp;Z&amp;F</oddFooter>
  </headerFooter>
  <customProperties>
    <customPr name="DVSECTIONID" r:id="rId4"/>
  </customProperties>
  <drawing r:id="rId5"/>
  <legacyDrawing r:id="rId6"/>
  <legacyDrawingHF r:id="rId7"/>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X17"/>
  <sheetViews>
    <sheetView topLeftCell="F1" zoomScale="115" zoomScaleNormal="115" workbookViewId="0">
      <pane ySplit="1" topLeftCell="A14" activePane="bottomLeft" state="frozen"/>
      <selection pane="bottomLeft" activeCell="Y16" sqref="Y16"/>
    </sheetView>
  </sheetViews>
  <sheetFormatPr defaultRowHeight="12.75" x14ac:dyDescent="0.2"/>
  <cols>
    <col min="1" max="1" width="41.42578125" customWidth="1"/>
    <col min="2" max="2" width="11.5703125" customWidth="1"/>
    <col min="3" max="3" width="10.85546875" customWidth="1"/>
    <col min="11" max="11" width="11.42578125" customWidth="1"/>
    <col min="12" max="12" width="10.7109375" style="739" customWidth="1"/>
    <col min="13" max="13" width="10.28515625" bestFit="1" customWidth="1"/>
    <col min="14" max="14" width="30.7109375" customWidth="1"/>
    <col min="15" max="15" width="10.28515625" customWidth="1"/>
    <col min="16" max="16" width="12.140625" customWidth="1"/>
    <col min="17" max="17" width="13.140625" customWidth="1"/>
    <col min="18" max="18" width="9.7109375" hidden="1" customWidth="1"/>
    <col min="19" max="23" width="0" hidden="1" customWidth="1"/>
  </cols>
  <sheetData>
    <row r="1" spans="1:24" ht="14.25" customHeight="1" x14ac:dyDescent="0.2">
      <c r="A1" s="180" t="s">
        <v>639</v>
      </c>
      <c r="K1" s="739"/>
      <c r="L1"/>
    </row>
    <row r="2" spans="1:24" s="145" customFormat="1" ht="27" customHeight="1" x14ac:dyDescent="0.2">
      <c r="A2" s="1381" t="s">
        <v>87</v>
      </c>
      <c r="B2" s="1382"/>
      <c r="C2" s="1382"/>
      <c r="D2" s="1382"/>
      <c r="E2" s="1382"/>
      <c r="F2" s="1382"/>
      <c r="G2" s="1382"/>
      <c r="H2" s="1382"/>
      <c r="I2" s="1382"/>
      <c r="J2" s="1382"/>
      <c r="K2" s="1382"/>
      <c r="L2" s="1382"/>
      <c r="M2" s="1382"/>
      <c r="N2" s="1382"/>
      <c r="O2" s="1382"/>
      <c r="P2" s="146"/>
      <c r="Q2" s="146"/>
      <c r="R2" s="147"/>
      <c r="S2" s="148"/>
    </row>
    <row r="4" spans="1:24" s="753" customFormat="1" x14ac:dyDescent="0.2">
      <c r="A4" s="755" t="s">
        <v>640</v>
      </c>
      <c r="B4" s="756">
        <v>1</v>
      </c>
      <c r="C4" s="755"/>
      <c r="D4" s="757"/>
      <c r="E4" s="757"/>
      <c r="F4" s="758"/>
      <c r="G4" s="758"/>
      <c r="H4" s="758"/>
      <c r="I4" s="757"/>
      <c r="J4" s="757"/>
      <c r="K4" s="757"/>
      <c r="L4" s="759"/>
      <c r="M4" s="757"/>
      <c r="N4" s="757"/>
      <c r="O4" s="757"/>
      <c r="P4" s="757"/>
      <c r="Q4" s="757"/>
      <c r="R4" s="757"/>
      <c r="S4" s="757"/>
      <c r="T4" s="757"/>
      <c r="U4" s="757"/>
      <c r="V4" s="757"/>
      <c r="W4" s="757"/>
      <c r="X4" s="757"/>
    </row>
    <row r="5" spans="1:24" s="753" customFormat="1" x14ac:dyDescent="0.2">
      <c r="A5" s="755" t="s">
        <v>641</v>
      </c>
      <c r="B5" s="760" t="s">
        <v>2289</v>
      </c>
      <c r="C5" s="755"/>
      <c r="D5" s="757"/>
      <c r="E5" s="757"/>
      <c r="F5" s="758"/>
      <c r="G5" s="758"/>
      <c r="H5" s="758"/>
      <c r="I5" s="757"/>
      <c r="J5" s="757"/>
      <c r="K5" s="757"/>
      <c r="L5" s="759"/>
      <c r="M5" s="757"/>
      <c r="N5" s="757"/>
      <c r="O5" s="757"/>
      <c r="P5" s="757"/>
      <c r="Q5" s="757"/>
      <c r="R5" s="757"/>
      <c r="S5" s="757"/>
      <c r="T5" s="757"/>
      <c r="U5" s="757"/>
      <c r="V5" s="757"/>
      <c r="W5" s="757"/>
      <c r="X5" s="757"/>
    </row>
    <row r="6" spans="1:24" s="753" customFormat="1" x14ac:dyDescent="0.2">
      <c r="A6" s="755" t="s">
        <v>642</v>
      </c>
      <c r="B6" s="755" t="s">
        <v>643</v>
      </c>
      <c r="C6" s="755"/>
      <c r="D6" s="757"/>
      <c r="E6" s="757"/>
      <c r="F6" s="758"/>
      <c r="G6" s="758"/>
      <c r="H6" s="758"/>
      <c r="I6" s="757"/>
      <c r="J6" s="757"/>
      <c r="K6" s="757"/>
      <c r="L6" s="759"/>
      <c r="M6" s="757"/>
      <c r="N6" s="757"/>
      <c r="O6" s="757"/>
      <c r="P6" s="757"/>
      <c r="Q6" s="757"/>
      <c r="R6" s="757"/>
      <c r="S6" s="757"/>
      <c r="T6" s="757"/>
      <c r="U6" s="757"/>
      <c r="V6" s="757"/>
      <c r="W6" s="757"/>
      <c r="X6" s="757"/>
    </row>
    <row r="7" spans="1:24" s="753" customFormat="1" x14ac:dyDescent="0.2">
      <c r="A7" s="755" t="s">
        <v>644</v>
      </c>
      <c r="B7" s="755" t="s">
        <v>645</v>
      </c>
      <c r="C7" s="755"/>
      <c r="D7" s="757"/>
      <c r="E7" s="757"/>
      <c r="F7" s="758"/>
      <c r="G7" s="758"/>
      <c r="H7" s="758"/>
      <c r="I7" s="757"/>
      <c r="J7" s="757"/>
      <c r="K7" s="757"/>
      <c r="L7" s="759"/>
      <c r="M7" s="757"/>
      <c r="N7" s="757"/>
      <c r="O7" s="757"/>
      <c r="P7" s="757"/>
      <c r="Q7" s="757"/>
      <c r="R7" s="757"/>
      <c r="S7" s="757"/>
      <c r="T7" s="757"/>
      <c r="U7" s="757"/>
      <c r="V7" s="757"/>
      <c r="W7" s="757"/>
      <c r="X7" s="757"/>
    </row>
    <row r="8" spans="1:24" s="753" customFormat="1" x14ac:dyDescent="0.2">
      <c r="A8" s="755" t="s">
        <v>646</v>
      </c>
      <c r="B8" s="755" t="s">
        <v>647</v>
      </c>
      <c r="C8" s="755"/>
      <c r="D8" s="757"/>
      <c r="E8" s="757"/>
      <c r="F8" s="758"/>
      <c r="G8" s="758"/>
      <c r="H8" s="758"/>
      <c r="I8" s="757"/>
      <c r="J8" s="757"/>
      <c r="K8" s="757"/>
      <c r="L8" s="759"/>
      <c r="M8" s="757"/>
      <c r="N8" s="757"/>
      <c r="O8" s="757"/>
      <c r="P8" s="757"/>
      <c r="Q8" s="757"/>
      <c r="R8" s="757"/>
      <c r="S8" s="757"/>
      <c r="T8" s="757"/>
      <c r="U8" s="757"/>
      <c r="V8" s="757"/>
      <c r="W8" s="757"/>
      <c r="X8" s="757"/>
    </row>
    <row r="9" spans="1:24" s="753" customFormat="1" x14ac:dyDescent="0.2">
      <c r="A9" s="755" t="s">
        <v>648</v>
      </c>
      <c r="B9" s="755"/>
      <c r="C9" s="755"/>
      <c r="D9" s="757"/>
      <c r="E9" s="757"/>
      <c r="F9" s="758"/>
      <c r="G9" s="758"/>
      <c r="H9" s="758"/>
      <c r="I9" s="757"/>
      <c r="J9" s="757"/>
      <c r="K9" s="757"/>
      <c r="L9" s="759"/>
      <c r="M9" s="757"/>
      <c r="N9" s="757"/>
      <c r="O9" s="757"/>
      <c r="P9" s="757"/>
      <c r="Q9" s="757"/>
      <c r="R9" s="757"/>
      <c r="S9" s="757"/>
      <c r="T9" s="757"/>
      <c r="U9" s="757"/>
      <c r="V9" s="757"/>
      <c r="W9" s="757"/>
      <c r="X9" s="757"/>
    </row>
    <row r="10" spans="1:24" s="753" customFormat="1" x14ac:dyDescent="0.2">
      <c r="A10" s="755" t="s">
        <v>649</v>
      </c>
      <c r="B10" s="755"/>
      <c r="C10" s="755"/>
      <c r="D10" s="757"/>
      <c r="E10" s="757"/>
      <c r="F10" s="758"/>
      <c r="G10" s="758"/>
      <c r="H10" s="758"/>
      <c r="I10" s="757"/>
      <c r="J10" s="757"/>
      <c r="K10" s="757"/>
      <c r="L10" s="759"/>
      <c r="M10" s="757"/>
      <c r="N10" s="757"/>
      <c r="O10" s="757"/>
      <c r="P10" s="757"/>
      <c r="Q10" s="757"/>
      <c r="R10" s="757"/>
      <c r="S10" s="757"/>
      <c r="T10" s="757"/>
      <c r="U10" s="757"/>
      <c r="V10" s="757"/>
      <c r="W10" s="757"/>
      <c r="X10" s="757"/>
    </row>
    <row r="11" spans="1:24" s="753" customFormat="1" ht="16.5" x14ac:dyDescent="0.3">
      <c r="A11" s="754" t="s">
        <v>650</v>
      </c>
      <c r="B11" s="761"/>
      <c r="C11" s="761"/>
      <c r="D11" s="761"/>
      <c r="E11" s="761"/>
      <c r="F11" s="762"/>
      <c r="G11" s="762"/>
      <c r="H11" s="762"/>
      <c r="I11" s="761"/>
      <c r="J11" s="761"/>
      <c r="K11" s="761"/>
      <c r="L11" s="763"/>
      <c r="M11" s="761"/>
      <c r="N11" s="761"/>
      <c r="O11" s="761"/>
      <c r="P11" s="761"/>
      <c r="Q11" s="761"/>
      <c r="R11" s="761"/>
      <c r="S11" s="761"/>
      <c r="T11" s="761"/>
      <c r="U11" s="761"/>
      <c r="V11" s="761"/>
      <c r="W11" s="761"/>
      <c r="X11" s="761"/>
    </row>
    <row r="12" spans="1:24" s="753" customFormat="1" ht="16.5" x14ac:dyDescent="0.3">
      <c r="A12" s="761"/>
      <c r="B12" s="761"/>
      <c r="C12" s="761"/>
      <c r="D12" s="761"/>
      <c r="E12" s="761"/>
      <c r="F12" s="762"/>
      <c r="G12" s="762"/>
      <c r="H12" s="762"/>
      <c r="I12" s="761"/>
      <c r="J12" s="761"/>
      <c r="K12" s="761"/>
      <c r="L12" s="763"/>
      <c r="M12" s="761"/>
      <c r="N12" s="761"/>
      <c r="O12" s="761"/>
      <c r="P12" s="761"/>
      <c r="Q12" s="761"/>
      <c r="R12" s="761"/>
      <c r="S12" s="761"/>
      <c r="T12" s="761"/>
      <c r="U12" s="761"/>
      <c r="V12" s="761"/>
      <c r="W12" s="761"/>
      <c r="X12" s="761"/>
    </row>
    <row r="13" spans="1:24" s="753" customFormat="1" ht="25.5" x14ac:dyDescent="0.25">
      <c r="A13" s="764" t="s">
        <v>78</v>
      </c>
      <c r="B13" s="765" t="s">
        <v>651</v>
      </c>
      <c r="C13" s="765" t="s">
        <v>652</v>
      </c>
      <c r="D13" s="765" t="s">
        <v>653</v>
      </c>
      <c r="E13" s="766" t="s">
        <v>654</v>
      </c>
      <c r="F13" s="766" t="s">
        <v>654</v>
      </c>
      <c r="G13" s="766" t="s">
        <v>614</v>
      </c>
      <c r="H13" s="767" t="s">
        <v>655</v>
      </c>
      <c r="I13" s="768"/>
      <c r="J13" s="767" t="s">
        <v>656</v>
      </c>
      <c r="K13" s="769"/>
      <c r="L13" s="767"/>
      <c r="M13" s="767" t="s">
        <v>657</v>
      </c>
      <c r="N13" s="769"/>
      <c r="O13" s="767"/>
      <c r="P13" s="767" t="s">
        <v>658</v>
      </c>
      <c r="Q13" s="769"/>
    </row>
    <row r="14" spans="1:24" s="753" customFormat="1" ht="38.25" x14ac:dyDescent="0.25">
      <c r="A14" s="765"/>
      <c r="B14" s="765" t="s">
        <v>659</v>
      </c>
      <c r="C14" s="765" t="s">
        <v>660</v>
      </c>
      <c r="D14" s="765" t="s">
        <v>661</v>
      </c>
      <c r="E14" s="766" t="s">
        <v>662</v>
      </c>
      <c r="F14" s="766" t="s">
        <v>663</v>
      </c>
      <c r="G14" s="766"/>
      <c r="H14" s="767" t="s">
        <v>664</v>
      </c>
      <c r="I14" s="770" t="s">
        <v>665</v>
      </c>
      <c r="J14" s="765" t="s">
        <v>440</v>
      </c>
      <c r="K14" s="771" t="s">
        <v>666</v>
      </c>
      <c r="L14" s="770" t="s">
        <v>665</v>
      </c>
      <c r="M14" s="765" t="s">
        <v>440</v>
      </c>
      <c r="N14" s="771" t="s">
        <v>666</v>
      </c>
      <c r="O14" s="770" t="s">
        <v>665</v>
      </c>
      <c r="P14" s="765" t="s">
        <v>440</v>
      </c>
      <c r="Q14" s="771" t="s">
        <v>666</v>
      </c>
    </row>
    <row r="15" spans="1:24" s="753" customFormat="1" x14ac:dyDescent="0.25">
      <c r="A15" s="765"/>
      <c r="B15" s="765"/>
      <c r="C15" s="765"/>
      <c r="D15" s="765"/>
      <c r="E15" s="766"/>
      <c r="F15" s="766"/>
      <c r="G15" s="766"/>
      <c r="H15" s="767"/>
      <c r="I15" s="770"/>
      <c r="J15" s="765"/>
      <c r="K15" s="771"/>
      <c r="L15" s="772"/>
      <c r="M15" s="773"/>
      <c r="N15" s="774"/>
      <c r="O15" s="772"/>
      <c r="P15" s="773"/>
      <c r="Q15" s="774"/>
    </row>
    <row r="16" spans="1:24" s="738" customFormat="1" ht="45" x14ac:dyDescent="0.2">
      <c r="A16" s="775" t="s">
        <v>2633</v>
      </c>
      <c r="B16" s="776" t="s">
        <v>2295</v>
      </c>
      <c r="C16" s="777">
        <v>1</v>
      </c>
      <c r="D16" s="776" t="s">
        <v>198</v>
      </c>
      <c r="E16" s="776" t="s">
        <v>315</v>
      </c>
      <c r="F16" s="776" t="s">
        <v>2287</v>
      </c>
      <c r="G16" s="776" t="s">
        <v>91</v>
      </c>
      <c r="H16" s="778" t="s">
        <v>2288</v>
      </c>
      <c r="I16" s="779" t="s">
        <v>2290</v>
      </c>
      <c r="J16" s="776" t="s">
        <v>823</v>
      </c>
      <c r="K16" s="780" t="s">
        <v>2694</v>
      </c>
      <c r="L16" s="779" t="s">
        <v>530</v>
      </c>
      <c r="M16" s="776" t="s">
        <v>2286</v>
      </c>
      <c r="N16" s="780" t="s">
        <v>2634</v>
      </c>
      <c r="O16" s="782" t="s">
        <v>2290</v>
      </c>
      <c r="P16" s="776" t="s">
        <v>31</v>
      </c>
      <c r="Q16" s="781" t="s">
        <v>2586</v>
      </c>
    </row>
    <row r="17" spans="1:17" s="738" customFormat="1" ht="45" x14ac:dyDescent="0.2">
      <c r="A17" s="775" t="s">
        <v>2431</v>
      </c>
      <c r="B17" s="776" t="s">
        <v>2295</v>
      </c>
      <c r="C17" s="777">
        <v>1</v>
      </c>
      <c r="D17" s="776" t="s">
        <v>198</v>
      </c>
      <c r="E17" s="776" t="s">
        <v>315</v>
      </c>
      <c r="F17" s="776" t="s">
        <v>2287</v>
      </c>
      <c r="G17" s="776" t="s">
        <v>91</v>
      </c>
      <c r="H17" s="778" t="s">
        <v>2288</v>
      </c>
      <c r="I17" s="779" t="s">
        <v>2290</v>
      </c>
      <c r="J17" s="776" t="s">
        <v>823</v>
      </c>
      <c r="K17" s="780" t="s">
        <v>2694</v>
      </c>
      <c r="L17" s="779" t="s">
        <v>530</v>
      </c>
      <c r="M17" s="776" t="s">
        <v>2286</v>
      </c>
      <c r="N17" s="780" t="s">
        <v>2634</v>
      </c>
      <c r="O17" s="782" t="s">
        <v>2290</v>
      </c>
      <c r="P17" s="776" t="s">
        <v>31</v>
      </c>
      <c r="Q17" s="781" t="s">
        <v>2585</v>
      </c>
    </row>
  </sheetData>
  <customSheetViews>
    <customSheetView guid="{4892E1C0-7A56-4F81-A857-987D77EC4462}">
      <selection activeCell="E13" sqref="E13"/>
      <pageMargins left="0.25" right="0.25" top="1" bottom="1" header="0.5" footer="0.5"/>
      <pageSetup paperSize="5" orientation="landscape" r:id="rId1"/>
      <headerFooter alignWithMargins="0">
        <oddHeader>&amp;L&amp;G&amp;CShowAcronymGoesHere - PSM&amp;R&amp;P</oddHeader>
        <oddFooter>&amp;L&amp;D&amp;R&amp;Z&amp;F</oddFooter>
      </headerFooter>
    </customSheetView>
    <customSheetView guid="{C29C6423-4E3D-4B08-919E-993C7C45FC31}">
      <selection activeCell="E13" sqref="E13"/>
      <pageMargins left="0.25" right="0.25" top="1" bottom="1" header="0.5" footer="0.5"/>
      <pageSetup paperSize="5" orientation="landscape" r:id="rId2"/>
      <headerFooter alignWithMargins="0">
        <oddHeader>&amp;L&amp;G&amp;CShowAcronymGoesHere - PSM&amp;R&amp;P</oddHeader>
        <oddFooter>&amp;L&amp;D&amp;R&amp;Z&amp;F</oddFooter>
      </headerFooter>
    </customSheetView>
  </customSheetViews>
  <mergeCells count="1">
    <mergeCell ref="A2:O2"/>
  </mergeCells>
  <phoneticPr fontId="42" type="noConversion"/>
  <hyperlinks>
    <hyperlink ref="A1" location="TOC!A1" display="TOC Page"/>
  </hyperlinks>
  <pageMargins left="0.25" right="0.25" top="1" bottom="1" header="0.5" footer="0.5"/>
  <pageSetup paperSize="5" orientation="landscape" r:id="rId3"/>
  <headerFooter alignWithMargins="0">
    <oddHeader>&amp;L&amp;G&amp;CShowAcronymGoesHere - PSM&amp;R&amp;P</oddHeader>
    <oddFooter>&amp;L&amp;D&amp;R&amp;Z&amp;F</oddFooter>
  </headerFooter>
  <customProperties>
    <customPr name="DVSECTIONID" r:id="rId4"/>
  </customProperties>
  <legacyDrawingHF r:id="rId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I77"/>
  <sheetViews>
    <sheetView zoomScaleNormal="100" workbookViewId="0">
      <pane ySplit="1" topLeftCell="A2" activePane="bottomLeft" state="frozen"/>
      <selection activeCell="U16" sqref="U16"/>
      <selection pane="bottomLeft" activeCell="L28" sqref="L28"/>
    </sheetView>
  </sheetViews>
  <sheetFormatPr defaultRowHeight="12.75" x14ac:dyDescent="0.2"/>
  <cols>
    <col min="1" max="1" width="10.42578125" style="32" customWidth="1"/>
    <col min="2" max="2" width="20" style="32" customWidth="1"/>
    <col min="3" max="3" width="13.28515625" style="32" customWidth="1"/>
    <col min="4" max="4" width="9.140625" style="32"/>
    <col min="5" max="5" width="14.42578125" style="32" customWidth="1"/>
    <col min="6" max="6" width="38.7109375" style="32" customWidth="1"/>
    <col min="7" max="7" width="9.140625" style="32"/>
  </cols>
  <sheetData>
    <row r="1" spans="1:9" x14ac:dyDescent="0.2">
      <c r="A1" s="1420" t="s">
        <v>639</v>
      </c>
      <c r="B1" s="1420"/>
    </row>
    <row r="2" spans="1:9" s="35" customFormat="1" ht="21.75" customHeight="1" x14ac:dyDescent="0.2">
      <c r="A2" s="1421" t="s">
        <v>221</v>
      </c>
      <c r="B2" s="1422"/>
      <c r="C2" s="1422"/>
      <c r="D2" s="1422"/>
      <c r="E2" s="1422"/>
      <c r="F2" s="1422"/>
      <c r="G2" s="1422"/>
      <c r="H2" s="1422"/>
      <c r="I2" s="1422"/>
    </row>
    <row r="4" spans="1:9" s="566" customFormat="1" ht="26.25" customHeight="1" x14ac:dyDescent="0.2">
      <c r="A4" s="1419" t="s">
        <v>1825</v>
      </c>
      <c r="B4" s="1419"/>
      <c r="C4" s="1419"/>
      <c r="D4" s="1419"/>
      <c r="E4" s="1419"/>
      <c r="F4" s="1419"/>
      <c r="G4" s="1419"/>
      <c r="H4" s="1419"/>
      <c r="I4" s="1419"/>
    </row>
    <row r="5" spans="1:9" s="564" customFormat="1" x14ac:dyDescent="0.2">
      <c r="A5" s="565"/>
      <c r="B5" s="565"/>
      <c r="C5" s="565"/>
      <c r="D5" s="565"/>
      <c r="E5" s="565"/>
      <c r="F5" s="565"/>
      <c r="G5" s="565"/>
    </row>
    <row r="6" spans="1:9" s="510" customFormat="1" x14ac:dyDescent="0.2">
      <c r="A6" s="1405" t="s">
        <v>1746</v>
      </c>
      <c r="B6" s="1406"/>
      <c r="C6" s="1406"/>
      <c r="D6" s="1406"/>
      <c r="E6" s="1406"/>
      <c r="F6" s="1406"/>
      <c r="G6" s="1406"/>
      <c r="H6" s="1406"/>
      <c r="I6" s="1407"/>
    </row>
    <row r="7" spans="1:9" s="510" customFormat="1" x14ac:dyDescent="0.2">
      <c r="A7" s="1408"/>
      <c r="B7" s="1409"/>
      <c r="C7" s="1409"/>
      <c r="D7" s="1409"/>
      <c r="E7" s="1409"/>
      <c r="F7" s="1409"/>
      <c r="G7" s="1409"/>
      <c r="H7" s="1409"/>
      <c r="I7" s="1410"/>
    </row>
    <row r="8" spans="1:9" s="510" customFormat="1" x14ac:dyDescent="0.2">
      <c r="A8" s="1411" t="s">
        <v>2473</v>
      </c>
      <c r="B8" s="1412"/>
      <c r="C8" s="1412"/>
      <c r="D8" s="1412"/>
      <c r="E8" s="1412"/>
      <c r="F8" s="1412"/>
      <c r="G8" s="1412"/>
      <c r="H8" s="1412"/>
      <c r="I8" s="1413"/>
    </row>
    <row r="9" spans="1:9" s="510" customFormat="1" x14ac:dyDescent="0.2">
      <c r="A9" s="520"/>
      <c r="B9" s="520"/>
      <c r="C9" s="520"/>
      <c r="D9" s="520"/>
      <c r="E9" s="520"/>
      <c r="F9" s="520"/>
      <c r="G9" s="520"/>
    </row>
    <row r="10" spans="1:9" s="510" customFormat="1" x14ac:dyDescent="0.2">
      <c r="A10" s="33"/>
      <c r="B10" s="33"/>
      <c r="C10" s="33"/>
      <c r="D10" s="33"/>
      <c r="E10" s="33"/>
      <c r="F10" s="33"/>
      <c r="G10" s="33"/>
      <c r="H10" s="33"/>
      <c r="I10" s="33"/>
    </row>
    <row r="11" spans="1:9" s="510" customFormat="1" ht="27" customHeight="1" x14ac:dyDescent="0.2">
      <c r="A11" s="1331" t="s">
        <v>1747</v>
      </c>
      <c r="B11" s="1414"/>
      <c r="C11" s="1414"/>
      <c r="D11" s="1414"/>
      <c r="E11" s="1414"/>
      <c r="F11" s="1414"/>
      <c r="G11" s="1414"/>
      <c r="H11" s="1414"/>
      <c r="I11" s="1415"/>
    </row>
    <row r="12" spans="1:9" s="33" customFormat="1" x14ac:dyDescent="0.2">
      <c r="A12" s="1416" t="s">
        <v>51</v>
      </c>
      <c r="B12" s="1417"/>
      <c r="C12" s="1417"/>
      <c r="D12" s="1417"/>
      <c r="E12" s="1417"/>
      <c r="F12" s="1417"/>
      <c r="G12" s="1417"/>
      <c r="H12" s="1417"/>
      <c r="I12" s="1418"/>
    </row>
    <row r="13" spans="1:9" s="510" customFormat="1" x14ac:dyDescent="0.2">
      <c r="A13" s="520"/>
      <c r="B13" s="520"/>
      <c r="C13" s="520"/>
      <c r="D13" s="520"/>
      <c r="E13" s="520"/>
      <c r="F13" s="520"/>
      <c r="G13" s="520"/>
    </row>
    <row r="14" spans="1:9" s="510" customFormat="1" x14ac:dyDescent="0.2">
      <c r="A14" s="1331" t="s">
        <v>1752</v>
      </c>
      <c r="B14" s="1414"/>
      <c r="C14" s="1414"/>
      <c r="D14" s="1414"/>
      <c r="E14" s="1414"/>
      <c r="F14" s="1415"/>
      <c r="G14" s="520"/>
    </row>
    <row r="15" spans="1:9" s="510" customFormat="1" x14ac:dyDescent="0.2">
      <c r="A15" s="509"/>
      <c r="B15" s="509"/>
      <c r="C15" s="509"/>
      <c r="D15" s="509"/>
      <c r="E15" s="509"/>
      <c r="F15" s="509"/>
      <c r="G15" s="520"/>
    </row>
    <row r="16" spans="1:9" s="510" customFormat="1" x14ac:dyDescent="0.2">
      <c r="A16" s="523"/>
      <c r="B16" s="528" t="s">
        <v>1748</v>
      </c>
      <c r="C16" s="1395" t="s">
        <v>1786</v>
      </c>
      <c r="D16" s="1396"/>
      <c r="E16" s="1397"/>
      <c r="F16" s="516" t="s">
        <v>637</v>
      </c>
      <c r="G16" s="520"/>
    </row>
    <row r="17" spans="1:7" s="510" customFormat="1" x14ac:dyDescent="0.2">
      <c r="A17" s="523"/>
      <c r="B17" s="526" t="s">
        <v>604</v>
      </c>
      <c r="C17" s="1389" t="s">
        <v>1754</v>
      </c>
      <c r="D17" s="1402"/>
      <c r="E17" s="1403"/>
      <c r="F17" s="515" t="s">
        <v>562</v>
      </c>
      <c r="G17" s="520"/>
    </row>
    <row r="18" spans="1:7" s="510" customFormat="1" x14ac:dyDescent="0.2">
      <c r="A18" s="523"/>
      <c r="B18" s="526" t="s">
        <v>604</v>
      </c>
      <c r="C18" s="1389" t="s">
        <v>1753</v>
      </c>
      <c r="D18" s="1402"/>
      <c r="E18" s="1403"/>
      <c r="F18" s="515" t="s">
        <v>562</v>
      </c>
      <c r="G18" s="520"/>
    </row>
    <row r="19" spans="1:7" s="510" customFormat="1" x14ac:dyDescent="0.2">
      <c r="A19" s="523"/>
      <c r="B19" s="526" t="s">
        <v>604</v>
      </c>
      <c r="C19" s="1389" t="s">
        <v>1755</v>
      </c>
      <c r="D19" s="1390"/>
      <c r="E19" s="1391"/>
      <c r="F19" s="515" t="s">
        <v>562</v>
      </c>
      <c r="G19" s="520"/>
    </row>
    <row r="20" spans="1:7" s="510" customFormat="1" x14ac:dyDescent="0.2">
      <c r="A20" s="523"/>
      <c r="B20" s="526" t="s">
        <v>604</v>
      </c>
      <c r="C20" s="1389" t="s">
        <v>1756</v>
      </c>
      <c r="D20" s="1402"/>
      <c r="E20" s="1403"/>
      <c r="F20" s="518" t="s">
        <v>562</v>
      </c>
      <c r="G20" s="520"/>
    </row>
    <row r="21" spans="1:7" s="510" customFormat="1" x14ac:dyDescent="0.2">
      <c r="A21" s="523"/>
      <c r="B21" s="526" t="s">
        <v>604</v>
      </c>
      <c r="C21" s="1389" t="s">
        <v>1757</v>
      </c>
      <c r="D21" s="1402"/>
      <c r="E21" s="1403"/>
      <c r="F21" s="518" t="s">
        <v>562</v>
      </c>
      <c r="G21" s="520"/>
    </row>
    <row r="22" spans="1:7" s="510" customFormat="1" x14ac:dyDescent="0.2">
      <c r="A22" s="523"/>
      <c r="B22" s="214"/>
      <c r="C22" s="517"/>
      <c r="D22" s="517"/>
      <c r="E22" s="517"/>
      <c r="F22" s="514"/>
      <c r="G22" s="520"/>
    </row>
    <row r="23" spans="1:7" s="510" customFormat="1" x14ac:dyDescent="0.2">
      <c r="A23" s="1331" t="s">
        <v>1787</v>
      </c>
      <c r="B23" s="1414"/>
      <c r="C23" s="1414"/>
      <c r="D23" s="1414"/>
      <c r="E23" s="1414"/>
      <c r="F23" s="1415"/>
      <c r="G23" s="520"/>
    </row>
    <row r="24" spans="1:7" s="510" customFormat="1" x14ac:dyDescent="0.2">
      <c r="A24" s="509"/>
      <c r="B24" s="509"/>
      <c r="C24" s="509"/>
      <c r="D24" s="509"/>
      <c r="E24" s="509"/>
      <c r="F24" s="509"/>
      <c r="G24" s="520"/>
    </row>
    <row r="25" spans="1:7" s="510" customFormat="1" x14ac:dyDescent="0.2">
      <c r="A25" s="523"/>
      <c r="B25" s="528" t="s">
        <v>1748</v>
      </c>
      <c r="C25" s="1395" t="s">
        <v>1786</v>
      </c>
      <c r="D25" s="1396"/>
      <c r="E25" s="1397"/>
      <c r="F25" s="516" t="s">
        <v>637</v>
      </c>
      <c r="G25" s="520"/>
    </row>
    <row r="26" spans="1:7" s="510" customFormat="1" x14ac:dyDescent="0.2">
      <c r="A26" s="523"/>
      <c r="B26" s="526" t="s">
        <v>604</v>
      </c>
      <c r="C26" s="1389" t="s">
        <v>1758</v>
      </c>
      <c r="D26" s="1402"/>
      <c r="E26" s="1403"/>
      <c r="F26" s="515" t="s">
        <v>562</v>
      </c>
      <c r="G26" s="520"/>
    </row>
    <row r="27" spans="1:7" s="510" customFormat="1" x14ac:dyDescent="0.2">
      <c r="A27" s="523"/>
      <c r="B27" s="526"/>
      <c r="C27" s="1389" t="s">
        <v>1759</v>
      </c>
      <c r="D27" s="1402"/>
      <c r="E27" s="1403"/>
      <c r="F27" s="515"/>
      <c r="G27" s="520"/>
    </row>
    <row r="28" spans="1:7" s="510" customFormat="1" x14ac:dyDescent="0.2">
      <c r="A28" s="523"/>
      <c r="B28" s="526" t="s">
        <v>604</v>
      </c>
      <c r="C28" s="1389" t="s">
        <v>1760</v>
      </c>
      <c r="D28" s="1390"/>
      <c r="E28" s="1391"/>
      <c r="F28" s="521" t="s">
        <v>562</v>
      </c>
      <c r="G28" s="520"/>
    </row>
    <row r="29" spans="1:7" s="510" customFormat="1" x14ac:dyDescent="0.2">
      <c r="A29" s="523"/>
      <c r="B29" s="526"/>
      <c r="C29" s="1389" t="s">
        <v>1761</v>
      </c>
      <c r="D29" s="1402"/>
      <c r="E29" s="1403"/>
      <c r="F29" s="518"/>
      <c r="G29" s="520"/>
    </row>
    <row r="30" spans="1:7" s="510" customFormat="1" x14ac:dyDescent="0.2">
      <c r="A30" s="523"/>
      <c r="B30" s="67"/>
      <c r="C30" s="517"/>
      <c r="D30" s="517"/>
      <c r="E30" s="517"/>
      <c r="F30" s="512"/>
      <c r="G30" s="520"/>
    </row>
    <row r="31" spans="1:7" s="510" customFormat="1" ht="12.75" customHeight="1" x14ac:dyDescent="0.2">
      <c r="A31" s="1331" t="s">
        <v>1762</v>
      </c>
      <c r="B31" s="1332"/>
      <c r="C31" s="1332"/>
      <c r="D31" s="1332"/>
      <c r="E31" s="1332"/>
      <c r="F31" s="1333"/>
      <c r="G31" s="520"/>
    </row>
    <row r="32" spans="1:7" s="510" customFormat="1" x14ac:dyDescent="0.2">
      <c r="A32" s="509"/>
      <c r="B32" s="509"/>
      <c r="C32" s="509"/>
      <c r="D32" s="509"/>
      <c r="E32" s="509"/>
      <c r="F32" s="509"/>
      <c r="G32" s="520"/>
    </row>
    <row r="33" spans="1:9" s="510" customFormat="1" x14ac:dyDescent="0.2">
      <c r="A33" s="523"/>
      <c r="B33" s="527" t="s">
        <v>1764</v>
      </c>
      <c r="C33" s="1395" t="s">
        <v>666</v>
      </c>
      <c r="D33" s="1396"/>
      <c r="E33" s="1397"/>
      <c r="F33" s="516" t="s">
        <v>1763</v>
      </c>
      <c r="G33" s="520"/>
    </row>
    <row r="34" spans="1:9" s="510" customFormat="1" x14ac:dyDescent="0.2">
      <c r="A34" s="523"/>
      <c r="B34" s="532" t="s">
        <v>1765</v>
      </c>
      <c r="C34" s="1389" t="s">
        <v>1766</v>
      </c>
      <c r="D34" s="1390"/>
      <c r="E34" s="1391"/>
      <c r="F34" s="519">
        <v>50</v>
      </c>
      <c r="G34" s="520"/>
    </row>
    <row r="35" spans="1:9" s="510" customFormat="1" x14ac:dyDescent="0.2">
      <c r="A35" s="523"/>
      <c r="B35" s="532" t="s">
        <v>1767</v>
      </c>
      <c r="C35" s="1389" t="s">
        <v>1768</v>
      </c>
      <c r="D35" s="1390"/>
      <c r="E35" s="1391"/>
      <c r="F35" s="534">
        <v>1000</v>
      </c>
      <c r="G35" s="520"/>
    </row>
    <row r="36" spans="1:9" s="510" customFormat="1" ht="25.5" x14ac:dyDescent="0.2">
      <c r="A36" s="523"/>
      <c r="B36" s="532" t="s">
        <v>1769</v>
      </c>
      <c r="C36" s="1389" t="s">
        <v>1770</v>
      </c>
      <c r="D36" s="1390"/>
      <c r="E36" s="1391"/>
      <c r="F36" s="533" t="s">
        <v>96</v>
      </c>
      <c r="G36" s="520"/>
    </row>
    <row r="37" spans="1:9" s="510" customFormat="1" ht="12.75" customHeight="1" x14ac:dyDescent="0.2">
      <c r="A37" s="523"/>
      <c r="B37" s="532" t="s">
        <v>1771</v>
      </c>
      <c r="C37" s="1389" t="s">
        <v>1772</v>
      </c>
      <c r="D37" s="1390"/>
      <c r="E37" s="1391"/>
      <c r="F37" s="508" t="s">
        <v>1773</v>
      </c>
      <c r="G37" s="520"/>
    </row>
    <row r="38" spans="1:9" s="510" customFormat="1" x14ac:dyDescent="0.2">
      <c r="A38" s="523"/>
      <c r="B38" s="532" t="s">
        <v>1774</v>
      </c>
      <c r="C38" s="1389" t="s">
        <v>1768</v>
      </c>
      <c r="D38" s="1390"/>
      <c r="E38" s="1391"/>
      <c r="F38" s="508" t="s">
        <v>1775</v>
      </c>
      <c r="G38" s="520"/>
    </row>
    <row r="39" spans="1:9" s="510" customFormat="1" ht="12.75" customHeight="1" x14ac:dyDescent="0.2">
      <c r="A39" s="525"/>
      <c r="B39" s="532" t="s">
        <v>1788</v>
      </c>
      <c r="C39" s="1389" t="s">
        <v>1777</v>
      </c>
      <c r="D39" s="1390"/>
      <c r="E39" s="1391"/>
      <c r="F39" s="508" t="s">
        <v>1775</v>
      </c>
      <c r="G39" s="520"/>
    </row>
    <row r="40" spans="1:9" s="510" customFormat="1" x14ac:dyDescent="0.2">
      <c r="A40" s="523"/>
      <c r="B40" s="532" t="s">
        <v>1776</v>
      </c>
      <c r="C40" s="1392" t="s">
        <v>1768</v>
      </c>
      <c r="D40" s="1393"/>
      <c r="E40" s="1394"/>
      <c r="F40" s="508" t="s">
        <v>1775</v>
      </c>
      <c r="G40" s="520"/>
    </row>
    <row r="41" spans="1:9" s="510" customFormat="1" ht="25.5" x14ac:dyDescent="0.2">
      <c r="A41" s="523"/>
      <c r="B41" s="532" t="s">
        <v>1778</v>
      </c>
      <c r="C41" s="1389" t="s">
        <v>1770</v>
      </c>
      <c r="D41" s="1390"/>
      <c r="E41" s="1391"/>
      <c r="F41" s="508" t="s">
        <v>96</v>
      </c>
      <c r="G41" s="520"/>
    </row>
    <row r="42" spans="1:9" s="510" customFormat="1" x14ac:dyDescent="0.2">
      <c r="A42" s="520"/>
      <c r="B42" s="520"/>
      <c r="C42" s="520"/>
      <c r="D42" s="520"/>
      <c r="E42" s="520"/>
      <c r="F42" s="520"/>
      <c r="G42" s="520"/>
    </row>
    <row r="43" spans="1:9" s="520" customFormat="1" x14ac:dyDescent="0.2">
      <c r="A43" s="1425" t="s">
        <v>1751</v>
      </c>
      <c r="B43" s="1414"/>
      <c r="C43" s="1414"/>
      <c r="D43" s="1414"/>
      <c r="E43" s="1414"/>
      <c r="F43" s="1415"/>
    </row>
    <row r="44" spans="1:9" s="523" customFormat="1" x14ac:dyDescent="0.2">
      <c r="A44" s="509"/>
      <c r="B44" s="509"/>
      <c r="C44" s="509"/>
      <c r="D44" s="509"/>
      <c r="E44" s="509"/>
      <c r="F44" s="509"/>
      <c r="G44" s="509"/>
      <c r="H44" s="509"/>
      <c r="I44" s="509"/>
    </row>
    <row r="45" spans="1:9" s="17" customFormat="1" ht="12.75" customHeight="1" x14ac:dyDescent="0.2">
      <c r="B45" s="528" t="s">
        <v>1748</v>
      </c>
      <c r="C45" s="1395" t="s">
        <v>367</v>
      </c>
      <c r="D45" s="1396"/>
      <c r="E45" s="1397"/>
      <c r="F45" s="516" t="s">
        <v>637</v>
      </c>
    </row>
    <row r="46" spans="1:9" s="17" customFormat="1" ht="12.75" customHeight="1" x14ac:dyDescent="0.2">
      <c r="B46" s="526" t="s">
        <v>604</v>
      </c>
      <c r="C46" s="1404" t="s">
        <v>1086</v>
      </c>
      <c r="D46" s="1402"/>
      <c r="E46" s="1403"/>
      <c r="F46" s="515" t="s">
        <v>562</v>
      </c>
    </row>
    <row r="47" spans="1:9" s="17" customFormat="1" ht="12.75" customHeight="1" x14ac:dyDescent="0.2">
      <c r="B47" s="526" t="s">
        <v>604</v>
      </c>
      <c r="C47" s="1404" t="s">
        <v>1087</v>
      </c>
      <c r="D47" s="1402"/>
      <c r="E47" s="1403"/>
      <c r="F47" s="515" t="s">
        <v>562</v>
      </c>
    </row>
    <row r="48" spans="1:9" s="523" customFormat="1" ht="12.75" customHeight="1" x14ac:dyDescent="0.2">
      <c r="B48" s="526" t="s">
        <v>604</v>
      </c>
      <c r="C48" s="531" t="s">
        <v>637</v>
      </c>
      <c r="D48" s="529"/>
      <c r="E48" s="530"/>
      <c r="F48" s="515" t="s">
        <v>562</v>
      </c>
    </row>
    <row r="49" spans="1:6" s="17" customFormat="1" x14ac:dyDescent="0.2">
      <c r="B49" s="526" t="s">
        <v>604</v>
      </c>
      <c r="C49" s="1404" t="s">
        <v>437</v>
      </c>
      <c r="D49" s="1402"/>
      <c r="E49" s="1403"/>
      <c r="F49" s="511"/>
    </row>
    <row r="50" spans="1:6" s="17" customFormat="1" x14ac:dyDescent="0.2">
      <c r="B50" s="522"/>
      <c r="C50" s="1404" t="s">
        <v>360</v>
      </c>
      <c r="D50" s="1402"/>
      <c r="E50" s="1403"/>
      <c r="F50" s="511"/>
    </row>
    <row r="51" spans="1:6" s="523" customFormat="1" ht="20.25" customHeight="1" x14ac:dyDescent="0.2">
      <c r="A51" s="525"/>
      <c r="B51" s="526"/>
      <c r="C51" s="531" t="s">
        <v>690</v>
      </c>
      <c r="D51" s="529"/>
      <c r="E51" s="530"/>
      <c r="F51" s="518"/>
    </row>
    <row r="52" spans="1:6" s="523" customFormat="1" x14ac:dyDescent="0.2">
      <c r="B52" s="526" t="s">
        <v>604</v>
      </c>
      <c r="C52" s="531" t="s">
        <v>1749</v>
      </c>
      <c r="D52" s="529"/>
      <c r="E52" s="530"/>
      <c r="F52" s="518" t="s">
        <v>1789</v>
      </c>
    </row>
    <row r="53" spans="1:6" s="17" customFormat="1" x14ac:dyDescent="0.2">
      <c r="B53" s="522"/>
      <c r="C53" s="1404" t="s">
        <v>616</v>
      </c>
      <c r="D53" s="1402"/>
      <c r="E53" s="1403"/>
      <c r="F53" s="511"/>
    </row>
    <row r="54" spans="1:6" s="17" customFormat="1" x14ac:dyDescent="0.2">
      <c r="B54" s="522"/>
      <c r="C54" s="1426" t="s">
        <v>314</v>
      </c>
      <c r="D54" s="1427"/>
      <c r="E54" s="1428"/>
      <c r="F54" s="511"/>
    </row>
    <row r="55" spans="1:6" s="17" customFormat="1" ht="12.75" customHeight="1" x14ac:dyDescent="0.2">
      <c r="B55" s="526" t="s">
        <v>604</v>
      </c>
      <c r="C55" s="1404" t="s">
        <v>177</v>
      </c>
      <c r="D55" s="1402"/>
      <c r="E55" s="1403"/>
      <c r="F55" s="518" t="s">
        <v>562</v>
      </c>
    </row>
    <row r="56" spans="1:6" s="17" customFormat="1" x14ac:dyDescent="0.2">
      <c r="B56" s="522"/>
      <c r="C56" s="1404" t="s">
        <v>560</v>
      </c>
      <c r="D56" s="1402"/>
      <c r="E56" s="1403"/>
      <c r="F56" s="511"/>
    </row>
    <row r="57" spans="1:6" s="17" customFormat="1" ht="12.75" customHeight="1" x14ac:dyDescent="0.2">
      <c r="B57" s="522"/>
      <c r="C57" s="1404" t="s">
        <v>284</v>
      </c>
      <c r="D57" s="1402"/>
      <c r="E57" s="1403"/>
      <c r="F57" s="511"/>
    </row>
    <row r="58" spans="1:6" s="17" customFormat="1" x14ac:dyDescent="0.2">
      <c r="B58" s="522"/>
      <c r="C58" s="1404" t="s">
        <v>1085</v>
      </c>
      <c r="D58" s="1402"/>
      <c r="E58" s="1403"/>
      <c r="F58" s="511"/>
    </row>
    <row r="59" spans="1:6" s="17" customFormat="1" ht="12.75" customHeight="1" x14ac:dyDescent="0.2">
      <c r="B59" s="522"/>
      <c r="C59" s="1404" t="s">
        <v>1088</v>
      </c>
      <c r="D59" s="1402"/>
      <c r="E59" s="1403"/>
      <c r="F59" s="511"/>
    </row>
    <row r="60" spans="1:6" s="17" customFormat="1" ht="12.75" customHeight="1" x14ac:dyDescent="0.2">
      <c r="B60" s="522"/>
      <c r="C60" s="1404" t="s">
        <v>1089</v>
      </c>
      <c r="D60" s="1402"/>
      <c r="E60" s="1403"/>
      <c r="F60" s="511"/>
    </row>
    <row r="61" spans="1:6" s="523" customFormat="1" ht="12.75" customHeight="1" x14ac:dyDescent="0.2">
      <c r="B61" s="522"/>
      <c r="C61" s="531" t="s">
        <v>1750</v>
      </c>
      <c r="D61" s="529"/>
      <c r="E61" s="530"/>
      <c r="F61" s="511"/>
    </row>
    <row r="62" spans="1:6" s="17" customFormat="1" ht="12.75" customHeight="1" x14ac:dyDescent="0.2">
      <c r="B62" s="526" t="s">
        <v>604</v>
      </c>
      <c r="C62" s="1404" t="s">
        <v>561</v>
      </c>
      <c r="D62" s="1402"/>
      <c r="E62" s="1403"/>
      <c r="F62" s="515" t="s">
        <v>562</v>
      </c>
    </row>
    <row r="63" spans="1:6" s="17" customFormat="1" ht="12.75" customHeight="1" x14ac:dyDescent="0.2">
      <c r="B63" s="526" t="s">
        <v>604</v>
      </c>
      <c r="C63" s="1404" t="s">
        <v>563</v>
      </c>
      <c r="D63" s="1402"/>
      <c r="E63" s="1403"/>
      <c r="F63" s="515" t="s">
        <v>562</v>
      </c>
    </row>
    <row r="64" spans="1:6" s="523" customFormat="1" ht="12.75" customHeight="1" x14ac:dyDescent="0.2">
      <c r="B64" s="214"/>
      <c r="C64" s="517"/>
      <c r="D64" s="517"/>
      <c r="E64" s="517"/>
      <c r="F64" s="513"/>
    </row>
    <row r="65" spans="1:7" s="17" customFormat="1" ht="16.5" customHeight="1" x14ac:dyDescent="0.2">
      <c r="A65" s="1331" t="s">
        <v>1084</v>
      </c>
      <c r="B65" s="1332"/>
      <c r="C65" s="1332"/>
      <c r="D65" s="1332"/>
      <c r="E65" s="1332"/>
      <c r="F65" s="1332"/>
      <c r="G65" s="1333"/>
    </row>
    <row r="66" spans="1:7" s="17" customFormat="1" x14ac:dyDescent="0.2">
      <c r="A66" s="43" t="s">
        <v>564</v>
      </c>
      <c r="B66" s="1395" t="s">
        <v>367</v>
      </c>
      <c r="C66" s="1423"/>
      <c r="D66" s="1424"/>
      <c r="E66" s="1395" t="s">
        <v>637</v>
      </c>
      <c r="F66" s="1400"/>
      <c r="G66" s="1401"/>
    </row>
    <row r="67" spans="1:7" s="17" customFormat="1" x14ac:dyDescent="0.2">
      <c r="A67" s="663" t="s">
        <v>604</v>
      </c>
      <c r="B67" s="1387" t="s">
        <v>565</v>
      </c>
      <c r="C67" s="1399"/>
      <c r="D67" s="1388"/>
      <c r="E67" s="1398" t="s">
        <v>1790</v>
      </c>
      <c r="F67" s="1399"/>
      <c r="G67" s="1388"/>
    </row>
    <row r="68" spans="1:7" s="17" customFormat="1" x14ac:dyDescent="0.2">
      <c r="A68" s="663" t="s">
        <v>604</v>
      </c>
      <c r="B68" s="1387" t="s">
        <v>566</v>
      </c>
      <c r="C68" s="1399"/>
      <c r="D68" s="1388"/>
      <c r="E68" s="1398" t="s">
        <v>1779</v>
      </c>
      <c r="F68" s="1399"/>
      <c r="G68" s="1388"/>
    </row>
    <row r="69" spans="1:7" s="17" customFormat="1" x14ac:dyDescent="0.2">
      <c r="A69" s="176"/>
      <c r="B69" s="1387" t="s">
        <v>567</v>
      </c>
      <c r="C69" s="1399"/>
      <c r="D69" s="1388"/>
      <c r="E69" s="1387"/>
      <c r="F69" s="1399"/>
      <c r="G69" s="1388"/>
    </row>
    <row r="70" spans="1:7" s="17" customFormat="1" x14ac:dyDescent="0.2">
      <c r="A70" s="44"/>
      <c r="B70" s="34"/>
      <c r="C70" s="34"/>
      <c r="D70" s="34"/>
      <c r="E70" s="34"/>
      <c r="F70" s="34"/>
      <c r="G70" s="34"/>
    </row>
    <row r="71" spans="1:7" s="17" customFormat="1" x14ac:dyDescent="0.2">
      <c r="A71" s="1346"/>
      <c r="B71" s="1346"/>
      <c r="C71" s="1346"/>
      <c r="D71" s="1346"/>
      <c r="E71" s="1346"/>
      <c r="F71" s="1346"/>
      <c r="G71" s="1346"/>
    </row>
    <row r="72" spans="1:7" s="510" customFormat="1" ht="12.75" customHeight="1" x14ac:dyDescent="0.2">
      <c r="A72" s="1331" t="s">
        <v>1780</v>
      </c>
      <c r="B72" s="1332"/>
      <c r="C72" s="1332"/>
      <c r="D72" s="1332"/>
      <c r="E72" s="1332"/>
      <c r="F72" s="1333"/>
      <c r="G72" s="520"/>
    </row>
    <row r="73" spans="1:7" s="510" customFormat="1" x14ac:dyDescent="0.2">
      <c r="A73" s="509"/>
      <c r="B73" s="509"/>
      <c r="C73" s="509"/>
      <c r="D73" s="509"/>
      <c r="E73" s="509"/>
      <c r="F73" s="509"/>
      <c r="G73" s="520"/>
    </row>
    <row r="74" spans="1:7" s="510" customFormat="1" ht="44.25" customHeight="1" x14ac:dyDescent="0.2">
      <c r="A74" s="523"/>
      <c r="B74" s="528" t="s">
        <v>1086</v>
      </c>
      <c r="C74" s="1395" t="s">
        <v>1781</v>
      </c>
      <c r="D74" s="1396"/>
      <c r="E74" s="1397"/>
      <c r="F74" s="516" t="s">
        <v>1791</v>
      </c>
      <c r="G74" s="520"/>
    </row>
    <row r="75" spans="1:7" s="510" customFormat="1" ht="83.25" customHeight="1" x14ac:dyDescent="0.2">
      <c r="A75" s="523"/>
      <c r="B75" s="532" t="s">
        <v>1782</v>
      </c>
      <c r="C75" s="1389" t="s">
        <v>1783</v>
      </c>
      <c r="D75" s="1390"/>
      <c r="E75" s="1391"/>
      <c r="F75" s="533" t="s">
        <v>2242</v>
      </c>
      <c r="G75" s="520"/>
    </row>
    <row r="77" spans="1:7" x14ac:dyDescent="0.2">
      <c r="A77" s="1331" t="s">
        <v>1784</v>
      </c>
      <c r="B77" s="1332"/>
      <c r="C77" s="1332"/>
      <c r="D77" s="1332"/>
      <c r="E77" s="1332"/>
      <c r="F77" s="1333"/>
    </row>
  </sheetData>
  <customSheetViews>
    <customSheetView guid="{4892E1C0-7A56-4F81-A857-987D77EC4462}">
      <selection activeCell="J14" sqref="J14"/>
      <pageMargins left="0.7" right="0.7" top="0.75" bottom="0.75" header="0.3" footer="0.3"/>
      <pageSetup orientation="landscape" r:id="rId1"/>
      <headerFooter>
        <oddHeader>&amp;L&amp;G&amp;CShowAcronymGoesHere - PSM&amp;R&amp;P</oddHeader>
        <oddFooter>&amp;L&amp;D&amp;R&amp;Z&amp;F</oddFooter>
      </headerFooter>
    </customSheetView>
    <customSheetView guid="{C29C6423-4E3D-4B08-919E-993C7C45FC31}">
      <selection activeCell="K6" sqref="K6"/>
      <pageMargins left="0.7" right="0.7" top="0.75" bottom="0.75" header="0.3" footer="0.3"/>
      <pageSetup orientation="landscape" r:id="rId2"/>
      <headerFooter>
        <oddHeader>&amp;L&amp;G&amp;CShowAcronymGoesHere - PSM&amp;R&amp;P</oddHeader>
        <oddFooter>&amp;L&amp;D&amp;R&amp;Z&amp;F</oddFooter>
      </headerFooter>
    </customSheetView>
  </customSheetViews>
  <mergeCells count="60">
    <mergeCell ref="A4:I4"/>
    <mergeCell ref="A1:B1"/>
    <mergeCell ref="A2:I2"/>
    <mergeCell ref="B66:D66"/>
    <mergeCell ref="B67:D67"/>
    <mergeCell ref="C21:E21"/>
    <mergeCell ref="C45:E45"/>
    <mergeCell ref="A43:F43"/>
    <mergeCell ref="C54:E54"/>
    <mergeCell ref="C55:E55"/>
    <mergeCell ref="C56:E56"/>
    <mergeCell ref="C57:E57"/>
    <mergeCell ref="C46:E46"/>
    <mergeCell ref="C47:E47"/>
    <mergeCell ref="C49:E49"/>
    <mergeCell ref="C50:E50"/>
    <mergeCell ref="A6:I7"/>
    <mergeCell ref="A8:I8"/>
    <mergeCell ref="A11:I11"/>
    <mergeCell ref="A12:I12"/>
    <mergeCell ref="C53:E53"/>
    <mergeCell ref="A23:F23"/>
    <mergeCell ref="C33:E33"/>
    <mergeCell ref="C34:E34"/>
    <mergeCell ref="C35:E35"/>
    <mergeCell ref="A14:F14"/>
    <mergeCell ref="C16:E16"/>
    <mergeCell ref="C17:E17"/>
    <mergeCell ref="C18:E18"/>
    <mergeCell ref="C20:E20"/>
    <mergeCell ref="C19:E19"/>
    <mergeCell ref="C37:E37"/>
    <mergeCell ref="C58:E58"/>
    <mergeCell ref="C59:E59"/>
    <mergeCell ref="C60:E60"/>
    <mergeCell ref="C62:E62"/>
    <mergeCell ref="C63:E63"/>
    <mergeCell ref="C36:E36"/>
    <mergeCell ref="C25:E25"/>
    <mergeCell ref="C26:E26"/>
    <mergeCell ref="C27:E27"/>
    <mergeCell ref="C28:E28"/>
    <mergeCell ref="C29:E29"/>
    <mergeCell ref="A31:F31"/>
    <mergeCell ref="C38:E38"/>
    <mergeCell ref="C39:E39"/>
    <mergeCell ref="C40:E40"/>
    <mergeCell ref="C41:E41"/>
    <mergeCell ref="A77:F77"/>
    <mergeCell ref="A65:G65"/>
    <mergeCell ref="A72:F72"/>
    <mergeCell ref="C74:E74"/>
    <mergeCell ref="C75:E75"/>
    <mergeCell ref="A71:G71"/>
    <mergeCell ref="E68:G68"/>
    <mergeCell ref="B69:D69"/>
    <mergeCell ref="E69:G69"/>
    <mergeCell ref="B68:D68"/>
    <mergeCell ref="E66:G66"/>
    <mergeCell ref="E67:G67"/>
  </mergeCells>
  <phoneticPr fontId="6" type="noConversion"/>
  <hyperlinks>
    <hyperlink ref="A1" location="TOC!A1" display="TOC Page"/>
  </hyperlinks>
  <pageMargins left="0.7" right="0.7" top="0.75" bottom="0.75" header="0.3" footer="0.3"/>
  <pageSetup orientation="landscape" r:id="rId3"/>
  <headerFooter>
    <oddHeader>&amp;L&amp;G&amp;CShowAcronymGoesHere - PSM&amp;R&amp;P</oddHeader>
    <oddFooter>&amp;L&amp;D&amp;R&amp;Z&amp;F</oddFooter>
  </headerFooter>
  <customProperties>
    <customPr name="DVSECTIONID" r:id="rId4"/>
  </customProperties>
  <drawing r:id="rId5"/>
  <legacyDrawingHF r:id="rId6"/>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0" tint="-0.14999847407452621"/>
  </sheetPr>
  <dimension ref="A1:L144"/>
  <sheetViews>
    <sheetView zoomScaleNormal="100" workbookViewId="0">
      <pane ySplit="1" topLeftCell="A50" activePane="bottomLeft" state="frozen"/>
      <selection pane="bottomLeft" activeCell="A127" sqref="A127:L127"/>
    </sheetView>
  </sheetViews>
  <sheetFormatPr defaultColWidth="9.140625" defaultRowHeight="12.75" x14ac:dyDescent="0.2"/>
  <cols>
    <col min="1" max="1" width="9.140625" style="17"/>
    <col min="2" max="2" width="10.5703125" style="17" customWidth="1"/>
    <col min="3" max="16384" width="9.140625" style="17"/>
  </cols>
  <sheetData>
    <row r="1" spans="1:12" ht="14.25" customHeight="1" x14ac:dyDescent="0.2">
      <c r="A1" s="1217" t="s">
        <v>639</v>
      </c>
      <c r="B1" s="1217"/>
    </row>
    <row r="2" spans="1:12" s="95" customFormat="1" ht="21.75" customHeight="1" x14ac:dyDescent="0.2">
      <c r="A2" s="1381" t="s">
        <v>539</v>
      </c>
      <c r="B2" s="1382"/>
      <c r="C2" s="1382"/>
      <c r="D2" s="1382"/>
      <c r="E2" s="1382"/>
      <c r="F2" s="1382"/>
      <c r="G2" s="1382"/>
      <c r="H2" s="1382"/>
      <c r="I2" s="1382"/>
      <c r="J2" s="1382"/>
      <c r="K2" s="1382"/>
      <c r="L2" s="1449"/>
    </row>
    <row r="4" spans="1:12" ht="15.75" customHeight="1" x14ac:dyDescent="0.2">
      <c r="A4" s="1450" t="s">
        <v>775</v>
      </c>
      <c r="B4" s="1450"/>
      <c r="C4" s="1450"/>
      <c r="D4" s="1450"/>
      <c r="E4" s="1450"/>
      <c r="F4" s="1450"/>
      <c r="G4" s="1450"/>
      <c r="H4" s="1450"/>
    </row>
    <row r="6" spans="1:12" x14ac:dyDescent="0.2">
      <c r="A6" s="38" t="s">
        <v>603</v>
      </c>
      <c r="B6" s="38" t="s">
        <v>79</v>
      </c>
      <c r="C6" s="79"/>
      <c r="D6" s="1441" t="s">
        <v>340</v>
      </c>
      <c r="E6" s="1442"/>
      <c r="F6" s="1442"/>
      <c r="G6" s="1442"/>
      <c r="H6" s="1443"/>
    </row>
    <row r="7" spans="1:12" s="322" customFormat="1" x14ac:dyDescent="0.2">
      <c r="A7" s="316" t="s">
        <v>604</v>
      </c>
      <c r="B7" s="316" t="s">
        <v>604</v>
      </c>
      <c r="C7" s="93" t="s">
        <v>568</v>
      </c>
      <c r="D7" s="1426" t="s">
        <v>667</v>
      </c>
      <c r="E7" s="1427"/>
      <c r="F7" s="1427"/>
      <c r="G7" s="1427"/>
      <c r="H7" s="1428"/>
    </row>
    <row r="8" spans="1:12" s="322" customFormat="1" x14ac:dyDescent="0.2">
      <c r="A8" s="316" t="s">
        <v>604</v>
      </c>
      <c r="B8" s="316" t="s">
        <v>604</v>
      </c>
      <c r="C8" s="93" t="s">
        <v>569</v>
      </c>
      <c r="D8" s="1426" t="s">
        <v>668</v>
      </c>
      <c r="E8" s="1427"/>
      <c r="F8" s="1427"/>
      <c r="G8" s="1427"/>
      <c r="H8" s="1428"/>
    </row>
    <row r="9" spans="1:12" s="322" customFormat="1" x14ac:dyDescent="0.2">
      <c r="A9" s="316" t="s">
        <v>604</v>
      </c>
      <c r="B9" s="316" t="s">
        <v>604</v>
      </c>
      <c r="C9" s="324" t="s">
        <v>158</v>
      </c>
      <c r="D9" s="1392" t="s">
        <v>1698</v>
      </c>
      <c r="E9" s="1427"/>
      <c r="F9" s="1427"/>
      <c r="G9" s="1427"/>
      <c r="H9" s="1428"/>
    </row>
    <row r="10" spans="1:12" s="322" customFormat="1" x14ac:dyDescent="0.2">
      <c r="A10" s="323"/>
      <c r="B10" s="323"/>
      <c r="C10" s="324" t="s">
        <v>612</v>
      </c>
      <c r="D10" s="1426" t="s">
        <v>324</v>
      </c>
      <c r="E10" s="1427"/>
      <c r="F10" s="1427"/>
      <c r="G10" s="1427"/>
      <c r="H10" s="1428"/>
    </row>
    <row r="11" spans="1:12" s="322" customFormat="1" x14ac:dyDescent="0.2">
      <c r="A11" s="316" t="s">
        <v>604</v>
      </c>
      <c r="B11" s="316" t="s">
        <v>604</v>
      </c>
      <c r="C11" s="324" t="s">
        <v>163</v>
      </c>
      <c r="D11" s="1392" t="s">
        <v>1699</v>
      </c>
      <c r="E11" s="1427"/>
      <c r="F11" s="1427"/>
      <c r="G11" s="1427"/>
      <c r="H11" s="1428"/>
    </row>
    <row r="12" spans="1:12" s="322" customFormat="1" x14ac:dyDescent="0.2">
      <c r="A12" s="323"/>
      <c r="B12" s="323"/>
      <c r="C12" s="324" t="s">
        <v>160</v>
      </c>
      <c r="D12" s="1426" t="s">
        <v>325</v>
      </c>
      <c r="E12" s="1427"/>
      <c r="F12" s="1427"/>
      <c r="G12" s="1427"/>
      <c r="H12" s="1428"/>
    </row>
    <row r="13" spans="1:12" s="322" customFormat="1" x14ac:dyDescent="0.2">
      <c r="A13" s="323"/>
      <c r="B13" s="323"/>
      <c r="C13" s="324" t="s">
        <v>157</v>
      </c>
      <c r="D13" s="1426" t="s">
        <v>0</v>
      </c>
      <c r="E13" s="1427"/>
      <c r="F13" s="1427"/>
      <c r="G13" s="1427"/>
      <c r="H13" s="1428"/>
    </row>
    <row r="14" spans="1:12" s="322" customFormat="1" x14ac:dyDescent="0.2">
      <c r="A14" s="323"/>
      <c r="B14" s="323"/>
      <c r="C14" s="324" t="s">
        <v>156</v>
      </c>
      <c r="D14" s="1426" t="s">
        <v>1</v>
      </c>
      <c r="E14" s="1427"/>
      <c r="F14" s="1427"/>
      <c r="G14" s="1427"/>
      <c r="H14" s="1428"/>
    </row>
    <row r="15" spans="1:12" s="322" customFormat="1" x14ac:dyDescent="0.2">
      <c r="A15" s="323"/>
      <c r="B15" s="323"/>
      <c r="C15" s="324" t="s">
        <v>71</v>
      </c>
      <c r="D15" s="1426" t="s">
        <v>2</v>
      </c>
      <c r="E15" s="1427"/>
      <c r="F15" s="1427"/>
      <c r="G15" s="1427"/>
      <c r="H15" s="1428"/>
    </row>
    <row r="16" spans="1:12" s="322" customFormat="1" x14ac:dyDescent="0.2">
      <c r="A16" s="323"/>
      <c r="B16" s="323"/>
      <c r="C16" s="324" t="s">
        <v>72</v>
      </c>
      <c r="D16" s="1426" t="s">
        <v>3</v>
      </c>
      <c r="E16" s="1427"/>
      <c r="F16" s="1427"/>
      <c r="G16" s="1427"/>
      <c r="H16" s="1428"/>
    </row>
    <row r="17" spans="1:8" s="322" customFormat="1" x14ac:dyDescent="0.2">
      <c r="A17" s="323"/>
      <c r="B17" s="323"/>
      <c r="C17" s="324" t="s">
        <v>4</v>
      </c>
      <c r="D17" s="1426" t="s">
        <v>5</v>
      </c>
      <c r="E17" s="1427"/>
      <c r="F17" s="1427"/>
      <c r="G17" s="1427"/>
      <c r="H17" s="1428"/>
    </row>
    <row r="18" spans="1:8" s="322" customFormat="1" x14ac:dyDescent="0.2">
      <c r="A18" s="316" t="s">
        <v>604</v>
      </c>
      <c r="B18" s="316" t="s">
        <v>604</v>
      </c>
      <c r="C18" s="324" t="s">
        <v>615</v>
      </c>
      <c r="D18" s="1392" t="s">
        <v>1700</v>
      </c>
      <c r="E18" s="1427"/>
      <c r="F18" s="1427"/>
      <c r="G18" s="1427"/>
      <c r="H18" s="1428"/>
    </row>
    <row r="19" spans="1:8" s="322" customFormat="1" x14ac:dyDescent="0.2">
      <c r="A19" s="323"/>
      <c r="B19" s="323"/>
      <c r="C19" s="324" t="s">
        <v>171</v>
      </c>
      <c r="D19" s="1426" t="s">
        <v>6</v>
      </c>
      <c r="E19" s="1427"/>
      <c r="F19" s="1427"/>
      <c r="G19" s="1427"/>
      <c r="H19" s="1428"/>
    </row>
    <row r="20" spans="1:8" s="322" customFormat="1" x14ac:dyDescent="0.2">
      <c r="A20" s="323"/>
      <c r="B20" s="323"/>
      <c r="C20" s="324" t="s">
        <v>155</v>
      </c>
      <c r="D20" s="1426" t="s">
        <v>7</v>
      </c>
      <c r="E20" s="1427"/>
      <c r="F20" s="1427"/>
      <c r="G20" s="1427"/>
      <c r="H20" s="1428"/>
    </row>
    <row r="21" spans="1:8" s="322" customFormat="1" x14ac:dyDescent="0.2">
      <c r="A21" s="323"/>
      <c r="B21" s="323"/>
      <c r="C21" s="324" t="s">
        <v>73</v>
      </c>
      <c r="D21" s="1426" t="s">
        <v>8</v>
      </c>
      <c r="E21" s="1427"/>
      <c r="F21" s="1427"/>
      <c r="G21" s="1427"/>
      <c r="H21" s="1428"/>
    </row>
    <row r="22" spans="1:8" s="322" customFormat="1" x14ac:dyDescent="0.2">
      <c r="A22" s="323"/>
      <c r="B22" s="323"/>
      <c r="C22" s="324" t="s">
        <v>168</v>
      </c>
      <c r="D22" s="1426" t="s">
        <v>9</v>
      </c>
      <c r="E22" s="1427"/>
      <c r="F22" s="1427"/>
      <c r="G22" s="1427"/>
      <c r="H22" s="1428"/>
    </row>
    <row r="23" spans="1:8" s="322" customFormat="1" x14ac:dyDescent="0.2">
      <c r="A23" s="323"/>
      <c r="B23" s="323"/>
      <c r="C23" s="324" t="s">
        <v>166</v>
      </c>
      <c r="D23" s="1426" t="s">
        <v>669</v>
      </c>
      <c r="E23" s="1427"/>
      <c r="F23" s="1427"/>
      <c r="G23" s="1427"/>
      <c r="H23" s="1428"/>
    </row>
    <row r="24" spans="1:8" s="322" customFormat="1" x14ac:dyDescent="0.2">
      <c r="A24" s="323"/>
      <c r="B24" s="323"/>
      <c r="C24" s="324" t="s">
        <v>74</v>
      </c>
      <c r="D24" s="1426" t="s">
        <v>570</v>
      </c>
      <c r="E24" s="1427"/>
      <c r="F24" s="1427"/>
      <c r="G24" s="1427"/>
      <c r="H24" s="1428"/>
    </row>
    <row r="25" spans="1:8" s="322" customFormat="1" x14ac:dyDescent="0.2">
      <c r="A25" s="316" t="s">
        <v>604</v>
      </c>
      <c r="B25" s="316" t="s">
        <v>604</v>
      </c>
      <c r="C25" s="324" t="s">
        <v>75</v>
      </c>
      <c r="D25" s="1392" t="s">
        <v>1701</v>
      </c>
      <c r="E25" s="1427"/>
      <c r="F25" s="1427"/>
      <c r="G25" s="1427"/>
      <c r="H25" s="1428"/>
    </row>
    <row r="26" spans="1:8" s="322" customFormat="1" x14ac:dyDescent="0.2">
      <c r="A26" s="316" t="s">
        <v>604</v>
      </c>
      <c r="B26" s="316" t="s">
        <v>604</v>
      </c>
      <c r="C26" s="324" t="s">
        <v>613</v>
      </c>
      <c r="D26" s="1426" t="s">
        <v>450</v>
      </c>
      <c r="E26" s="1427"/>
      <c r="F26" s="1427"/>
      <c r="G26" s="1427"/>
      <c r="H26" s="1428"/>
    </row>
    <row r="27" spans="1:8" s="322" customFormat="1" x14ac:dyDescent="0.2">
      <c r="A27" s="323"/>
      <c r="B27" s="323"/>
      <c r="C27" s="324" t="s">
        <v>451</v>
      </c>
      <c r="D27" s="1426" t="s">
        <v>452</v>
      </c>
      <c r="E27" s="1427"/>
      <c r="F27" s="1427"/>
      <c r="G27" s="1427"/>
      <c r="H27" s="1428"/>
    </row>
    <row r="29" spans="1:8" s="454" customFormat="1" ht="15.75" x14ac:dyDescent="0.2">
      <c r="A29" s="461" t="s">
        <v>1683</v>
      </c>
    </row>
    <row r="30" spans="1:8" s="454" customFormat="1" x14ac:dyDescent="0.2">
      <c r="A30" s="462" t="s">
        <v>1416</v>
      </c>
      <c r="D30" s="444" t="s">
        <v>1691</v>
      </c>
    </row>
    <row r="31" spans="1:8" s="454" customFormat="1" x14ac:dyDescent="0.2">
      <c r="A31" s="462"/>
      <c r="D31" s="455"/>
    </row>
    <row r="32" spans="1:8" s="454" customFormat="1" x14ac:dyDescent="0.2">
      <c r="A32" s="306" t="s">
        <v>1684</v>
      </c>
      <c r="B32" s="455"/>
      <c r="C32" s="455"/>
      <c r="D32" s="455"/>
      <c r="E32" s="460" t="s">
        <v>96</v>
      </c>
      <c r="F32" s="455"/>
      <c r="G32" s="455"/>
      <c r="H32" s="455"/>
    </row>
    <row r="33" spans="1:12" s="484" customFormat="1" x14ac:dyDescent="0.2">
      <c r="A33" s="482" t="s">
        <v>1713</v>
      </c>
      <c r="B33" s="482"/>
      <c r="C33" s="482"/>
      <c r="D33" s="482"/>
      <c r="E33" s="482"/>
      <c r="F33" s="482"/>
      <c r="G33" s="482"/>
      <c r="H33" s="482"/>
    </row>
    <row r="34" spans="1:12" s="454" customFormat="1" x14ac:dyDescent="0.2">
      <c r="A34" s="455"/>
      <c r="B34" s="455"/>
      <c r="C34" s="455"/>
      <c r="D34" s="455"/>
      <c r="E34" s="455"/>
      <c r="F34" s="455"/>
      <c r="G34" s="455"/>
      <c r="H34" s="455"/>
    </row>
    <row r="35" spans="1:12" s="454" customFormat="1" x14ac:dyDescent="0.2">
      <c r="A35" s="460" t="s">
        <v>1686</v>
      </c>
      <c r="B35" s="455"/>
      <c r="C35" s="455"/>
      <c r="D35" s="455"/>
      <c r="E35" s="455"/>
      <c r="F35" s="455"/>
      <c r="G35" s="455"/>
      <c r="H35" s="455"/>
    </row>
    <row r="36" spans="1:12" s="454" customFormat="1" x14ac:dyDescent="0.2">
      <c r="A36" s="460" t="s">
        <v>1687</v>
      </c>
      <c r="B36" s="455"/>
      <c r="C36" s="455"/>
      <c r="D36" s="455"/>
      <c r="E36" s="455"/>
      <c r="F36" s="455"/>
      <c r="G36" s="455"/>
      <c r="H36" s="455"/>
    </row>
    <row r="37" spans="1:12" s="454" customFormat="1" x14ac:dyDescent="0.2">
      <c r="A37" s="455"/>
      <c r="B37" s="455"/>
      <c r="C37" s="455"/>
      <c r="D37" s="455"/>
      <c r="E37" s="455"/>
      <c r="F37" s="455"/>
      <c r="G37" s="455"/>
      <c r="H37" s="455"/>
    </row>
    <row r="38" spans="1:12" s="454" customFormat="1" x14ac:dyDescent="0.2">
      <c r="A38" s="306" t="s">
        <v>1688</v>
      </c>
      <c r="B38" s="455"/>
      <c r="C38" s="455"/>
      <c r="D38" s="455"/>
      <c r="E38" s="455"/>
      <c r="F38" s="455"/>
      <c r="G38" s="455"/>
      <c r="H38" s="455"/>
    </row>
    <row r="39" spans="1:12" s="454" customFormat="1" x14ac:dyDescent="0.2">
      <c r="A39" s="1438" t="s">
        <v>2252</v>
      </c>
      <c r="B39" s="1438"/>
      <c r="C39" s="1438"/>
      <c r="D39" s="1438"/>
      <c r="E39" s="1438"/>
      <c r="F39" s="1438"/>
      <c r="G39" s="1438"/>
      <c r="H39" s="1438"/>
      <c r="I39" s="1438"/>
      <c r="J39" s="1438"/>
      <c r="K39" s="1438"/>
      <c r="L39" s="1438"/>
    </row>
    <row r="40" spans="1:12" s="454" customFormat="1" x14ac:dyDescent="0.2">
      <c r="A40" s="1346"/>
      <c r="B40" s="1346"/>
      <c r="C40" s="1346"/>
      <c r="D40" s="1346"/>
      <c r="E40" s="1346"/>
      <c r="F40" s="1346"/>
      <c r="G40" s="1346"/>
      <c r="H40" s="1346"/>
      <c r="I40" s="1346"/>
      <c r="J40" s="1346"/>
      <c r="K40" s="1346"/>
      <c r="L40" s="1346"/>
    </row>
    <row r="41" spans="1:12" s="454" customFormat="1" x14ac:dyDescent="0.2">
      <c r="A41" s="306" t="s">
        <v>1689</v>
      </c>
    </row>
    <row r="42" spans="1:12" s="454" customFormat="1" x14ac:dyDescent="0.2">
      <c r="A42" s="1438" t="s">
        <v>2343</v>
      </c>
      <c r="B42" s="1438"/>
      <c r="C42" s="1438"/>
      <c r="D42" s="1438"/>
      <c r="E42" s="1438"/>
      <c r="F42" s="1438"/>
      <c r="G42" s="1438"/>
      <c r="H42" s="1438"/>
      <c r="I42" s="1438"/>
      <c r="J42" s="1438"/>
      <c r="K42" s="1438"/>
      <c r="L42" s="1438"/>
    </row>
    <row r="43" spans="1:12" s="454" customFormat="1" x14ac:dyDescent="0.2">
      <c r="A43" s="1346"/>
      <c r="B43" s="1346"/>
      <c r="C43" s="1346"/>
      <c r="D43" s="1346"/>
      <c r="E43" s="1346"/>
      <c r="F43" s="1346"/>
      <c r="G43" s="1346"/>
      <c r="H43" s="1346"/>
      <c r="I43" s="1346"/>
      <c r="J43" s="1346"/>
      <c r="K43" s="1346"/>
      <c r="L43" s="1346"/>
    </row>
    <row r="44" spans="1:12" s="454" customFormat="1" x14ac:dyDescent="0.2">
      <c r="A44" s="306" t="s">
        <v>1690</v>
      </c>
    </row>
    <row r="45" spans="1:12" s="454" customFormat="1" x14ac:dyDescent="0.2">
      <c r="A45" s="1438" t="s">
        <v>2344</v>
      </c>
      <c r="B45" s="1438"/>
      <c r="C45" s="1438"/>
      <c r="D45" s="1438"/>
      <c r="E45" s="1438"/>
      <c r="F45" s="1438"/>
      <c r="G45" s="1438"/>
      <c r="H45" s="1438"/>
      <c r="I45" s="1438"/>
      <c r="J45" s="1438"/>
      <c r="K45" s="1438"/>
      <c r="L45" s="1438"/>
    </row>
    <row r="46" spans="1:12" s="454" customFormat="1" x14ac:dyDescent="0.2">
      <c r="A46" s="1346"/>
      <c r="B46" s="1346"/>
      <c r="C46" s="1346"/>
      <c r="D46" s="1346"/>
      <c r="E46" s="1346"/>
      <c r="F46" s="1346"/>
      <c r="G46" s="1346"/>
      <c r="H46" s="1346"/>
      <c r="I46" s="1346"/>
      <c r="J46" s="1346"/>
      <c r="K46" s="1346"/>
      <c r="L46" s="1346"/>
    </row>
    <row r="47" spans="1:12" s="454" customFormat="1" x14ac:dyDescent="0.2"/>
    <row r="48" spans="1:12" s="454" customFormat="1" x14ac:dyDescent="0.2">
      <c r="A48" s="1429" t="s">
        <v>1692</v>
      </c>
      <c r="B48" s="1429"/>
      <c r="C48" s="1429"/>
      <c r="D48" s="1429"/>
      <c r="E48" s="1429"/>
      <c r="F48" s="1429"/>
      <c r="G48" s="1429"/>
      <c r="H48" s="1429"/>
    </row>
    <row r="49" spans="1:12" s="454" customFormat="1" x14ac:dyDescent="0.2">
      <c r="A49" s="1439" t="s">
        <v>2243</v>
      </c>
      <c r="B49" s="1439"/>
      <c r="C49" s="1439"/>
      <c r="D49" s="1439"/>
      <c r="E49" s="1439"/>
      <c r="F49" s="1439"/>
      <c r="G49" s="1439"/>
      <c r="H49" s="1439"/>
      <c r="I49" s="1439"/>
      <c r="J49" s="1439"/>
      <c r="K49" s="1439"/>
      <c r="L49" s="1439"/>
    </row>
    <row r="50" spans="1:12" s="454" customFormat="1" x14ac:dyDescent="0.2">
      <c r="A50" s="1432"/>
      <c r="B50" s="1432"/>
      <c r="C50" s="1432"/>
      <c r="D50" s="1432"/>
      <c r="E50" s="1432"/>
      <c r="F50" s="1432"/>
      <c r="G50" s="1432"/>
      <c r="H50" s="1432"/>
      <c r="I50" s="1432"/>
      <c r="J50" s="1432"/>
      <c r="K50" s="1432"/>
      <c r="L50" s="1432"/>
    </row>
    <row r="51" spans="1:12" s="454" customFormat="1" x14ac:dyDescent="0.2">
      <c r="A51" s="452"/>
      <c r="B51" s="452"/>
      <c r="C51" s="452"/>
      <c r="D51" s="452"/>
      <c r="E51" s="452"/>
      <c r="F51" s="452"/>
      <c r="G51" s="452"/>
      <c r="H51" s="452"/>
      <c r="I51" s="452"/>
      <c r="J51" s="452"/>
      <c r="K51" s="452"/>
      <c r="L51" s="452"/>
    </row>
    <row r="52" spans="1:12" ht="15.75" customHeight="1" x14ac:dyDescent="0.2">
      <c r="A52" s="1451" t="s">
        <v>867</v>
      </c>
      <c r="B52" s="1451"/>
      <c r="C52" s="1451"/>
      <c r="D52" s="1451"/>
      <c r="E52" s="1451"/>
      <c r="F52" s="1451"/>
      <c r="G52" s="1451"/>
      <c r="H52" s="1451"/>
    </row>
    <row r="54" spans="1:12" s="22" customFormat="1" ht="15" x14ac:dyDescent="0.2">
      <c r="A54" s="1435" t="s">
        <v>1570</v>
      </c>
      <c r="B54" s="1435"/>
      <c r="C54" s="1435"/>
      <c r="D54" s="1435"/>
      <c r="E54" s="1435"/>
      <c r="F54" s="1435"/>
      <c r="G54" s="1435"/>
      <c r="H54" s="1435"/>
      <c r="I54" s="1435"/>
      <c r="J54" s="1435"/>
      <c r="K54" s="1435"/>
      <c r="L54" s="84"/>
    </row>
    <row r="55" spans="1:12" ht="12.75" customHeight="1" x14ac:dyDescent="0.2">
      <c r="A55" s="1325" t="s">
        <v>587</v>
      </c>
      <c r="B55" s="1325"/>
      <c r="C55" s="1325"/>
      <c r="D55" s="1325"/>
      <c r="E55" s="1322" t="s">
        <v>1693</v>
      </c>
      <c r="F55" s="1323"/>
      <c r="G55" s="1323"/>
      <c r="H55" s="1324"/>
      <c r="I55" s="83"/>
      <c r="J55" s="83"/>
      <c r="K55" s="83"/>
      <c r="L55" s="83"/>
    </row>
    <row r="56" spans="1:12" x14ac:dyDescent="0.2">
      <c r="A56" s="1362" t="s">
        <v>588</v>
      </c>
      <c r="B56" s="1362"/>
      <c r="C56" s="1362"/>
      <c r="D56" s="1362"/>
      <c r="E56" s="1326">
        <v>443</v>
      </c>
      <c r="F56" s="1323"/>
      <c r="G56" s="1323"/>
      <c r="H56" s="1324"/>
      <c r="I56" s="83"/>
      <c r="J56" s="83"/>
      <c r="K56" s="83"/>
      <c r="L56" s="83"/>
    </row>
    <row r="57" spans="1:12" x14ac:dyDescent="0.2">
      <c r="A57" s="1362" t="s">
        <v>589</v>
      </c>
      <c r="B57" s="1362"/>
      <c r="C57" s="1362"/>
      <c r="D57" s="1362"/>
      <c r="E57" s="1322" t="s">
        <v>1</v>
      </c>
      <c r="F57" s="1323"/>
      <c r="G57" s="1323"/>
      <c r="H57" s="1324"/>
      <c r="I57" s="83"/>
      <c r="J57" s="83"/>
      <c r="K57" s="83"/>
      <c r="L57" s="83"/>
    </row>
    <row r="58" spans="1:12" ht="12.75" customHeight="1" x14ac:dyDescent="0.2">
      <c r="A58" s="1362" t="s">
        <v>590</v>
      </c>
      <c r="B58" s="1362"/>
      <c r="C58" s="1362"/>
      <c r="D58" s="1362"/>
      <c r="E58" s="1322" t="s">
        <v>2244</v>
      </c>
      <c r="F58" s="1323"/>
      <c r="G58" s="1323"/>
      <c r="H58" s="1324"/>
      <c r="I58" s="83"/>
      <c r="J58" s="83"/>
      <c r="K58" s="83"/>
      <c r="L58" s="83"/>
    </row>
    <row r="59" spans="1:12" ht="12.75" customHeight="1" x14ac:dyDescent="0.2">
      <c r="A59" s="1361" t="s">
        <v>1569</v>
      </c>
      <c r="B59" s="1361"/>
      <c r="C59" s="1361"/>
      <c r="D59" s="1361"/>
      <c r="E59" s="1326"/>
      <c r="F59" s="1323"/>
      <c r="G59" s="1323"/>
      <c r="H59" s="1324"/>
      <c r="I59" s="83"/>
      <c r="J59" s="83"/>
      <c r="K59" s="83"/>
      <c r="L59" s="83"/>
    </row>
    <row r="60" spans="1:12" ht="12.75" customHeight="1" x14ac:dyDescent="0.2">
      <c r="A60" s="1362" t="s">
        <v>591</v>
      </c>
      <c r="B60" s="1362"/>
      <c r="C60" s="1362"/>
      <c r="D60" s="1362"/>
      <c r="E60" s="1322" t="s">
        <v>2245</v>
      </c>
      <c r="F60" s="1323"/>
      <c r="G60" s="1323"/>
      <c r="H60" s="1324"/>
      <c r="I60" s="83"/>
      <c r="J60" s="83"/>
      <c r="K60" s="83"/>
      <c r="L60" s="83"/>
    </row>
    <row r="61" spans="1:12" x14ac:dyDescent="0.2">
      <c r="A61" s="83"/>
      <c r="B61" s="83"/>
      <c r="C61" s="83"/>
      <c r="D61" s="83"/>
      <c r="E61" s="83"/>
      <c r="F61" s="83"/>
      <c r="G61" s="83"/>
      <c r="H61" s="83"/>
      <c r="I61" s="83"/>
      <c r="J61" s="83"/>
      <c r="K61" s="83"/>
      <c r="L61" s="83"/>
    </row>
    <row r="62" spans="1:12" x14ac:dyDescent="0.2">
      <c r="A62" s="1367" t="s">
        <v>869</v>
      </c>
      <c r="B62" s="1367"/>
      <c r="C62" s="1367"/>
      <c r="D62" s="1367"/>
      <c r="E62" s="1367"/>
      <c r="F62" s="1367"/>
      <c r="G62" s="1367"/>
      <c r="H62" s="1367"/>
      <c r="I62" s="1367"/>
      <c r="J62" s="1367"/>
      <c r="K62" s="1367"/>
      <c r="L62" s="1367"/>
    </row>
    <row r="63" spans="1:12" x14ac:dyDescent="0.2">
      <c r="A63" s="158"/>
      <c r="B63" s="158"/>
      <c r="C63" s="158"/>
      <c r="D63" s="158"/>
      <c r="E63" s="158"/>
      <c r="F63" s="158"/>
      <c r="G63" s="158"/>
      <c r="H63" s="158"/>
      <c r="I63" s="158"/>
      <c r="J63" s="158"/>
      <c r="K63" s="158"/>
      <c r="L63" s="158"/>
    </row>
    <row r="64" spans="1:12" hidden="1" x14ac:dyDescent="0.2">
      <c r="A64" s="1444" t="s">
        <v>870</v>
      </c>
      <c r="B64" s="1444"/>
      <c r="C64" s="1444"/>
      <c r="D64" s="1444"/>
      <c r="E64" s="1444"/>
      <c r="F64" s="1444"/>
      <c r="G64" s="1444"/>
      <c r="H64" s="1444"/>
      <c r="I64" s="83"/>
      <c r="J64" s="83"/>
      <c r="K64" s="83"/>
      <c r="L64" s="83"/>
    </row>
    <row r="65" spans="1:12" s="22" customFormat="1" ht="19.5" hidden="1" customHeight="1" x14ac:dyDescent="0.2">
      <c r="A65" s="1440" t="s">
        <v>586</v>
      </c>
      <c r="B65" s="1440"/>
      <c r="C65" s="1440"/>
      <c r="D65" s="1440"/>
      <c r="E65" s="1440"/>
      <c r="F65" s="1440"/>
      <c r="G65" s="1440"/>
      <c r="H65" s="1440"/>
      <c r="I65" s="1440"/>
      <c r="J65" s="1440"/>
      <c r="K65" s="1440"/>
    </row>
    <row r="66" spans="1:12" ht="12.75" hidden="1" customHeight="1" x14ac:dyDescent="0.2">
      <c r="A66" s="1326" t="s">
        <v>396</v>
      </c>
      <c r="B66" s="1323"/>
      <c r="C66" s="1324"/>
      <c r="D66" s="1325" t="s">
        <v>585</v>
      </c>
      <c r="E66" s="1325"/>
      <c r="F66" s="1325"/>
      <c r="G66" s="1325"/>
      <c r="H66" s="1325"/>
      <c r="I66" s="83"/>
      <c r="J66" s="83"/>
      <c r="K66" s="83"/>
      <c r="L66" s="83"/>
    </row>
    <row r="67" spans="1:12" hidden="1" x14ac:dyDescent="0.2">
      <c r="A67" s="1362" t="s">
        <v>576</v>
      </c>
      <c r="B67" s="1362"/>
      <c r="C67" s="1362"/>
      <c r="D67" s="1362"/>
      <c r="E67" s="1362"/>
      <c r="F67" s="1362"/>
      <c r="G67" s="1362"/>
      <c r="H67" s="1362"/>
      <c r="I67" s="83"/>
      <c r="J67" s="83"/>
      <c r="K67" s="83"/>
      <c r="L67" s="83"/>
    </row>
    <row r="68" spans="1:12" ht="12.75" hidden="1" customHeight="1" x14ac:dyDescent="0.2">
      <c r="A68" s="1362" t="s">
        <v>577</v>
      </c>
      <c r="B68" s="1362"/>
      <c r="C68" s="1362"/>
      <c r="D68" s="1362" t="s">
        <v>584</v>
      </c>
      <c r="E68" s="1362"/>
      <c r="F68" s="1362"/>
      <c r="G68" s="1362"/>
      <c r="H68" s="1362"/>
      <c r="I68" s="83"/>
      <c r="J68" s="83"/>
      <c r="K68" s="83"/>
      <c r="L68" s="83"/>
    </row>
    <row r="69" spans="1:12" ht="12.75" hidden="1" customHeight="1" x14ac:dyDescent="0.2">
      <c r="A69" s="1362" t="s">
        <v>578</v>
      </c>
      <c r="B69" s="1362"/>
      <c r="C69" s="1362"/>
      <c r="D69" s="1362" t="s">
        <v>583</v>
      </c>
      <c r="E69" s="1362"/>
      <c r="F69" s="1362"/>
      <c r="G69" s="1362"/>
      <c r="H69" s="1362"/>
      <c r="I69" s="83"/>
      <c r="J69" s="83"/>
      <c r="K69" s="83"/>
      <c r="L69" s="83"/>
    </row>
    <row r="70" spans="1:12" hidden="1" x14ac:dyDescent="0.2">
      <c r="A70" s="1362" t="s">
        <v>579</v>
      </c>
      <c r="B70" s="1362"/>
      <c r="C70" s="1362"/>
      <c r="D70" s="1362"/>
      <c r="E70" s="1362"/>
      <c r="F70" s="1362"/>
      <c r="G70" s="1362"/>
      <c r="H70" s="1362"/>
      <c r="I70" s="83"/>
      <c r="J70" s="83"/>
      <c r="K70" s="83"/>
      <c r="L70" s="83"/>
    </row>
    <row r="71" spans="1:12" hidden="1" x14ac:dyDescent="0.2">
      <c r="A71" s="1362" t="s">
        <v>580</v>
      </c>
      <c r="B71" s="1362"/>
      <c r="C71" s="1362"/>
      <c r="D71" s="1362"/>
      <c r="E71" s="1362"/>
      <c r="F71" s="1362"/>
      <c r="G71" s="1362"/>
      <c r="H71" s="1362"/>
      <c r="I71" s="83"/>
      <c r="J71" s="83"/>
      <c r="K71" s="83"/>
      <c r="L71" s="83"/>
    </row>
    <row r="72" spans="1:12" ht="12.75" hidden="1" customHeight="1" x14ac:dyDescent="0.2">
      <c r="A72" s="1362" t="s">
        <v>581</v>
      </c>
      <c r="B72" s="1362"/>
      <c r="C72" s="1362"/>
      <c r="D72" s="1445" t="s">
        <v>582</v>
      </c>
      <c r="E72" s="1445"/>
      <c r="F72" s="1445"/>
      <c r="G72" s="1445"/>
      <c r="H72" s="1445"/>
      <c r="I72" s="83"/>
      <c r="J72" s="83"/>
      <c r="K72" s="83"/>
      <c r="L72" s="83"/>
    </row>
    <row r="73" spans="1:12" hidden="1" x14ac:dyDescent="0.2">
      <c r="A73" s="83"/>
      <c r="B73" s="83"/>
      <c r="C73" s="83"/>
      <c r="D73" s="83"/>
      <c r="E73" s="83"/>
      <c r="F73" s="83"/>
      <c r="G73" s="83"/>
      <c r="H73" s="83"/>
      <c r="I73" s="83"/>
      <c r="J73" s="83"/>
      <c r="K73" s="83"/>
      <c r="L73" s="83"/>
    </row>
    <row r="74" spans="1:12" s="22" customFormat="1" ht="15" hidden="1" x14ac:dyDescent="0.2">
      <c r="A74" s="1435" t="s">
        <v>868</v>
      </c>
      <c r="B74" s="1435"/>
      <c r="C74" s="1435"/>
      <c r="D74" s="1435"/>
      <c r="E74" s="1435"/>
      <c r="F74" s="1435"/>
      <c r="G74" s="1435"/>
      <c r="H74" s="1435"/>
      <c r="I74" s="1435"/>
      <c r="J74" s="1435"/>
      <c r="K74" s="1435"/>
    </row>
    <row r="75" spans="1:12" hidden="1" x14ac:dyDescent="0.2">
      <c r="A75" s="1362" t="s">
        <v>571</v>
      </c>
      <c r="B75" s="1362"/>
      <c r="C75" s="1362"/>
      <c r="D75" s="1387"/>
      <c r="E75" s="1399"/>
      <c r="F75" s="1399"/>
      <c r="G75" s="1399"/>
      <c r="H75" s="1388"/>
      <c r="I75" s="83"/>
      <c r="J75" s="83"/>
      <c r="K75" s="83"/>
    </row>
    <row r="76" spans="1:12" hidden="1" x14ac:dyDescent="0.2">
      <c r="A76" s="1362" t="s">
        <v>572</v>
      </c>
      <c r="B76" s="1362"/>
      <c r="C76" s="1362"/>
      <c r="D76" s="1387"/>
      <c r="E76" s="1399"/>
      <c r="F76" s="1399"/>
      <c r="G76" s="1399"/>
      <c r="H76" s="1388"/>
      <c r="I76" s="83"/>
      <c r="J76" s="83"/>
      <c r="K76" s="83"/>
    </row>
    <row r="77" spans="1:12" hidden="1" x14ac:dyDescent="0.2">
      <c r="A77" s="1362" t="s">
        <v>573</v>
      </c>
      <c r="B77" s="1362"/>
      <c r="C77" s="1362"/>
      <c r="D77" s="1387"/>
      <c r="E77" s="1399"/>
      <c r="F77" s="1399"/>
      <c r="G77" s="1399"/>
      <c r="H77" s="1388"/>
      <c r="I77" s="83"/>
      <c r="J77" s="83"/>
      <c r="K77" s="83"/>
    </row>
    <row r="78" spans="1:12" hidden="1" x14ac:dyDescent="0.2">
      <c r="A78" s="1362" t="s">
        <v>420</v>
      </c>
      <c r="B78" s="1362"/>
      <c r="C78" s="1362"/>
      <c r="D78" s="1387"/>
      <c r="E78" s="1399"/>
      <c r="F78" s="1399"/>
      <c r="G78" s="1399"/>
      <c r="H78" s="1388"/>
      <c r="I78" s="83"/>
      <c r="J78" s="83"/>
      <c r="K78" s="83"/>
    </row>
    <row r="79" spans="1:12" ht="12.75" hidden="1" customHeight="1" x14ac:dyDescent="0.2">
      <c r="A79" s="1362" t="s">
        <v>574</v>
      </c>
      <c r="B79" s="1362"/>
      <c r="C79" s="1362"/>
      <c r="D79" s="1387"/>
      <c r="E79" s="1399"/>
      <c r="F79" s="1399"/>
      <c r="G79" s="1399"/>
      <c r="H79" s="1388"/>
      <c r="I79" s="83"/>
      <c r="J79" s="83"/>
      <c r="K79" s="83"/>
    </row>
    <row r="80" spans="1:12" hidden="1" x14ac:dyDescent="0.2">
      <c r="A80" s="46"/>
      <c r="B80" s="46"/>
      <c r="C80" s="46"/>
      <c r="D80" s="46"/>
      <c r="E80" s="46"/>
      <c r="F80" s="46"/>
      <c r="G80" s="46"/>
      <c r="H80" s="46"/>
      <c r="I80" s="83"/>
      <c r="J80" s="83"/>
      <c r="K80" s="83"/>
    </row>
    <row r="81" spans="1:12" s="22" customFormat="1" ht="15" hidden="1" x14ac:dyDescent="0.2">
      <c r="A81" s="1435" t="s">
        <v>592</v>
      </c>
      <c r="B81" s="1435"/>
      <c r="C81" s="1435"/>
      <c r="D81" s="1435"/>
      <c r="E81" s="1435"/>
      <c r="F81" s="1435"/>
      <c r="G81" s="1435"/>
      <c r="H81" s="1435"/>
      <c r="I81" s="1435"/>
      <c r="J81" s="1435"/>
      <c r="K81" s="1435"/>
      <c r="L81" s="84"/>
    </row>
    <row r="82" spans="1:12" hidden="1" x14ac:dyDescent="0.2">
      <c r="A82" s="1326" t="s">
        <v>594</v>
      </c>
      <c r="B82" s="1323"/>
      <c r="C82" s="1324"/>
      <c r="D82" s="1325"/>
      <c r="E82" s="1325"/>
      <c r="F82" s="1325"/>
      <c r="G82" s="1325"/>
      <c r="H82" s="1325"/>
      <c r="I82" s="83"/>
      <c r="J82" s="83"/>
      <c r="K82" s="83"/>
      <c r="L82" s="83"/>
    </row>
    <row r="83" spans="1:12" hidden="1" x14ac:dyDescent="0.2">
      <c r="A83" s="1362" t="s">
        <v>595</v>
      </c>
      <c r="B83" s="1362"/>
      <c r="C83" s="1362"/>
      <c r="D83" s="1325"/>
      <c r="E83" s="1325"/>
      <c r="F83" s="1325"/>
      <c r="G83" s="1325"/>
      <c r="H83" s="1325"/>
      <c r="I83" s="83"/>
      <c r="J83" s="83"/>
      <c r="K83" s="83"/>
      <c r="L83" s="83"/>
    </row>
    <row r="84" spans="1:12" hidden="1" x14ac:dyDescent="0.2">
      <c r="A84" s="1362" t="s">
        <v>596</v>
      </c>
      <c r="B84" s="1362"/>
      <c r="C84" s="1362"/>
      <c r="D84" s="1362"/>
      <c r="E84" s="1362"/>
      <c r="F84" s="1362"/>
      <c r="G84" s="1362"/>
      <c r="H84" s="1362"/>
      <c r="I84" s="83"/>
      <c r="J84" s="83"/>
      <c r="K84" s="83"/>
      <c r="L84" s="83"/>
    </row>
    <row r="85" spans="1:12" hidden="1" x14ac:dyDescent="0.2">
      <c r="A85" s="1362" t="s">
        <v>597</v>
      </c>
      <c r="B85" s="1362"/>
      <c r="C85" s="1362"/>
      <c r="D85" s="1362"/>
      <c r="E85" s="1362"/>
      <c r="F85" s="1362"/>
      <c r="G85" s="1362"/>
      <c r="H85" s="1362"/>
      <c r="I85" s="83"/>
      <c r="J85" s="83"/>
      <c r="K85" s="83"/>
      <c r="L85" s="83"/>
    </row>
    <row r="86" spans="1:12" hidden="1" x14ac:dyDescent="0.2">
      <c r="A86" s="1362" t="s">
        <v>598</v>
      </c>
      <c r="B86" s="1362"/>
      <c r="C86" s="1362"/>
      <c r="D86" s="1362"/>
      <c r="E86" s="1362"/>
      <c r="F86" s="1362"/>
      <c r="G86" s="1362"/>
      <c r="H86" s="1362"/>
      <c r="I86" s="83"/>
      <c r="J86" s="83"/>
      <c r="K86" s="83"/>
      <c r="L86" s="83"/>
    </row>
    <row r="87" spans="1:12" hidden="1" x14ac:dyDescent="0.2">
      <c r="A87" s="1362" t="s">
        <v>599</v>
      </c>
      <c r="B87" s="1362"/>
      <c r="C87" s="1362"/>
      <c r="D87" s="1362"/>
      <c r="E87" s="1362"/>
      <c r="F87" s="1362"/>
      <c r="G87" s="1362"/>
      <c r="H87" s="1362"/>
      <c r="I87" s="83"/>
      <c r="J87" s="83"/>
      <c r="K87" s="83"/>
      <c r="L87" s="83"/>
    </row>
    <row r="88" spans="1:12" hidden="1" x14ac:dyDescent="0.2">
      <c r="A88" s="83"/>
      <c r="B88" s="83"/>
      <c r="C88" s="83"/>
      <c r="D88" s="83"/>
      <c r="E88" s="83"/>
      <c r="F88" s="83"/>
      <c r="G88" s="83"/>
      <c r="H88" s="83"/>
      <c r="I88" s="83"/>
      <c r="J88" s="83"/>
      <c r="K88" s="83"/>
      <c r="L88" s="83"/>
    </row>
    <row r="89" spans="1:12" s="22" customFormat="1" ht="15" hidden="1" x14ac:dyDescent="0.2">
      <c r="A89" s="1435" t="s">
        <v>593</v>
      </c>
      <c r="B89" s="1435"/>
      <c r="C89" s="1435"/>
      <c r="D89" s="1435"/>
      <c r="E89" s="1435"/>
      <c r="F89" s="1435"/>
      <c r="G89" s="1435"/>
      <c r="H89" s="1435"/>
      <c r="I89" s="1435"/>
      <c r="J89" s="1435"/>
      <c r="K89" s="1435"/>
      <c r="L89" s="84"/>
    </row>
    <row r="90" spans="1:12" hidden="1" x14ac:dyDescent="0.2">
      <c r="A90" s="1326" t="s">
        <v>453</v>
      </c>
      <c r="B90" s="1323"/>
      <c r="C90" s="1324"/>
      <c r="D90" s="1325"/>
      <c r="E90" s="1325"/>
      <c r="F90" s="1325"/>
      <c r="G90" s="1325"/>
      <c r="H90" s="1325"/>
      <c r="I90" s="83"/>
      <c r="J90" s="83"/>
      <c r="K90" s="83"/>
      <c r="L90" s="83"/>
    </row>
    <row r="91" spans="1:12" hidden="1" x14ac:dyDescent="0.2">
      <c r="A91" s="1362" t="s">
        <v>600</v>
      </c>
      <c r="B91" s="1362"/>
      <c r="C91" s="1362"/>
      <c r="D91" s="1325"/>
      <c r="E91" s="1325"/>
      <c r="F91" s="1325"/>
      <c r="G91" s="1325"/>
      <c r="H91" s="1325"/>
      <c r="I91" s="83"/>
      <c r="J91" s="83"/>
      <c r="K91" s="83"/>
      <c r="L91" s="83"/>
    </row>
    <row r="92" spans="1:12" hidden="1" x14ac:dyDescent="0.2">
      <c r="A92" s="1362" t="s">
        <v>581</v>
      </c>
      <c r="B92" s="1362"/>
      <c r="C92" s="1362"/>
      <c r="D92" s="1362"/>
      <c r="E92" s="1362"/>
      <c r="F92" s="1362"/>
      <c r="G92" s="1362"/>
      <c r="H92" s="1362"/>
      <c r="I92" s="83"/>
      <c r="J92" s="83"/>
      <c r="K92" s="83"/>
      <c r="L92" s="83"/>
    </row>
    <row r="93" spans="1:12" hidden="1" x14ac:dyDescent="0.2">
      <c r="A93" s="1362" t="s">
        <v>601</v>
      </c>
      <c r="B93" s="1362"/>
      <c r="C93" s="1362"/>
      <c r="D93" s="1362"/>
      <c r="E93" s="1362"/>
      <c r="F93" s="1362"/>
      <c r="G93" s="1362"/>
      <c r="H93" s="1362"/>
      <c r="I93" s="83"/>
      <c r="J93" s="83"/>
      <c r="K93" s="83"/>
      <c r="L93" s="83"/>
    </row>
    <row r="94" spans="1:12" hidden="1" x14ac:dyDescent="0.2"/>
    <row r="95" spans="1:12" ht="15.75" customHeight="1" x14ac:dyDescent="0.2">
      <c r="A95" s="1451" t="s">
        <v>866</v>
      </c>
      <c r="B95" s="1451"/>
      <c r="C95" s="1451"/>
      <c r="D95" s="1451"/>
      <c r="E95" s="1451"/>
      <c r="F95" s="1451"/>
      <c r="G95" s="1451"/>
      <c r="H95" s="1451"/>
      <c r="I95" s="21" t="s">
        <v>91</v>
      </c>
    </row>
    <row r="97" spans="1:8" hidden="1" x14ac:dyDescent="0.2">
      <c r="A97" s="165" t="s">
        <v>604</v>
      </c>
      <c r="B97" s="1437" t="s">
        <v>571</v>
      </c>
      <c r="C97" s="1437"/>
      <c r="D97" s="1437"/>
      <c r="E97" s="1437"/>
      <c r="F97" s="1437"/>
      <c r="G97" s="1437"/>
      <c r="H97" s="1437"/>
    </row>
    <row r="98" spans="1:8" ht="12.75" hidden="1" customHeight="1" x14ac:dyDescent="0.2">
      <c r="A98" s="61"/>
      <c r="B98" s="1452" t="s">
        <v>871</v>
      </c>
      <c r="C98" s="1452"/>
      <c r="D98" s="1452"/>
      <c r="E98" s="1452"/>
      <c r="F98" s="1452"/>
      <c r="G98" s="1452"/>
      <c r="H98" s="1452"/>
    </row>
    <row r="99" spans="1:8" hidden="1" x14ac:dyDescent="0.2">
      <c r="A99" s="61"/>
      <c r="B99" s="1452" t="s">
        <v>872</v>
      </c>
      <c r="C99" s="1452"/>
      <c r="D99" s="1452"/>
      <c r="E99" s="1452"/>
      <c r="F99" s="1452"/>
      <c r="G99" s="1452"/>
      <c r="H99" s="1452"/>
    </row>
    <row r="100" spans="1:8" hidden="1" x14ac:dyDescent="0.2">
      <c r="A100" s="170"/>
      <c r="B100" s="1453" t="s">
        <v>391</v>
      </c>
      <c r="C100" s="1453"/>
      <c r="D100" s="1453"/>
      <c r="E100" s="1453"/>
      <c r="F100" s="1453"/>
      <c r="G100" s="1453"/>
      <c r="H100" s="1453"/>
    </row>
    <row r="101" spans="1:8" hidden="1" x14ac:dyDescent="0.2">
      <c r="A101" s="171"/>
      <c r="B101" s="166"/>
      <c r="C101" s="167"/>
      <c r="D101" s="167"/>
      <c r="E101" s="167"/>
      <c r="F101" s="167"/>
      <c r="G101" s="167"/>
      <c r="H101" s="169"/>
    </row>
    <row r="102" spans="1:8" hidden="1" x14ac:dyDescent="0.2">
      <c r="A102" s="171"/>
      <c r="B102" s="166" t="s">
        <v>873</v>
      </c>
      <c r="C102" s="1430"/>
      <c r="D102" s="1430"/>
      <c r="E102" s="1430"/>
      <c r="F102" s="1430"/>
      <c r="G102" s="1430"/>
      <c r="H102" s="1431"/>
    </row>
    <row r="103" spans="1:8" hidden="1" x14ac:dyDescent="0.2">
      <c r="A103" s="171"/>
      <c r="B103" s="166" t="s">
        <v>397</v>
      </c>
      <c r="C103" s="1430"/>
      <c r="D103" s="1430"/>
      <c r="E103" s="1430"/>
      <c r="F103" s="1430"/>
      <c r="G103" s="1430"/>
      <c r="H103" s="1431"/>
    </row>
    <row r="104" spans="1:8" hidden="1" x14ac:dyDescent="0.2">
      <c r="A104" s="171"/>
      <c r="B104" s="166" t="s">
        <v>874</v>
      </c>
      <c r="C104" s="1430"/>
      <c r="D104" s="1430"/>
      <c r="E104" s="1430"/>
      <c r="F104" s="1430"/>
      <c r="G104" s="1430"/>
      <c r="H104" s="1431"/>
    </row>
    <row r="105" spans="1:8" hidden="1" x14ac:dyDescent="0.2">
      <c r="A105" s="171"/>
      <c r="B105" s="166" t="s">
        <v>875</v>
      </c>
      <c r="C105" s="1430"/>
      <c r="D105" s="1430"/>
      <c r="E105" s="1430"/>
      <c r="F105" s="1430"/>
      <c r="G105" s="1430"/>
      <c r="H105" s="1431"/>
    </row>
    <row r="106" spans="1:8" hidden="1" x14ac:dyDescent="0.2">
      <c r="A106" s="171"/>
      <c r="B106" s="166" t="s">
        <v>454</v>
      </c>
      <c r="C106" s="1430"/>
      <c r="D106" s="1430"/>
      <c r="E106" s="1430"/>
      <c r="F106" s="1430"/>
      <c r="G106" s="1430"/>
      <c r="H106" s="1431"/>
    </row>
    <row r="107" spans="1:8" hidden="1" x14ac:dyDescent="0.2">
      <c r="A107" s="171"/>
      <c r="B107" s="166"/>
      <c r="C107" s="167"/>
      <c r="D107" s="167"/>
      <c r="E107" s="167"/>
      <c r="F107" s="167"/>
      <c r="G107" s="167"/>
      <c r="H107" s="169"/>
    </row>
    <row r="108" spans="1:8" ht="12.75" hidden="1" customHeight="1" x14ac:dyDescent="0.2">
      <c r="A108" s="171"/>
      <c r="B108" s="1433" t="s">
        <v>881</v>
      </c>
      <c r="C108" s="1430"/>
      <c r="D108" s="1430"/>
      <c r="E108" s="1430" t="s">
        <v>877</v>
      </c>
      <c r="F108" s="1430"/>
      <c r="G108" s="1430"/>
      <c r="H108" s="169"/>
    </row>
    <row r="109" spans="1:8" hidden="1" x14ac:dyDescent="0.2">
      <c r="A109" s="171"/>
      <c r="B109" s="166"/>
      <c r="C109" s="167"/>
      <c r="D109" s="167"/>
      <c r="E109" s="167"/>
      <c r="F109" s="167"/>
      <c r="G109" s="167"/>
      <c r="H109" s="169"/>
    </row>
    <row r="110" spans="1:8" ht="25.5" hidden="1" customHeight="1" x14ac:dyDescent="0.2">
      <c r="A110" s="171"/>
      <c r="B110" s="1433" t="s">
        <v>876</v>
      </c>
      <c r="C110" s="1430"/>
      <c r="D110" s="1430"/>
      <c r="E110" s="1430" t="s">
        <v>878</v>
      </c>
      <c r="F110" s="1430"/>
      <c r="G110" s="1430"/>
      <c r="H110" s="1431"/>
    </row>
    <row r="111" spans="1:8" hidden="1" x14ac:dyDescent="0.2">
      <c r="A111" s="171"/>
      <c r="B111" s="166"/>
      <c r="C111" s="167"/>
      <c r="D111" s="167"/>
      <c r="E111" s="167"/>
      <c r="F111" s="167"/>
      <c r="G111" s="167"/>
      <c r="H111" s="169"/>
    </row>
    <row r="112" spans="1:8" hidden="1" x14ac:dyDescent="0.2">
      <c r="A112" s="171"/>
      <c r="B112" s="1433" t="s">
        <v>879</v>
      </c>
      <c r="C112" s="1430"/>
      <c r="D112" s="1430"/>
      <c r="E112" s="167"/>
      <c r="F112" s="167"/>
      <c r="G112" s="167"/>
      <c r="H112" s="169"/>
    </row>
    <row r="113" spans="1:12" hidden="1" x14ac:dyDescent="0.2">
      <c r="A113" s="172"/>
      <c r="B113" s="168"/>
      <c r="C113" s="163"/>
      <c r="D113" s="163"/>
      <c r="E113" s="163"/>
      <c r="F113" s="163"/>
      <c r="G113" s="163"/>
      <c r="H113" s="164"/>
    </row>
    <row r="114" spans="1:12" hidden="1" x14ac:dyDescent="0.2"/>
    <row r="115" spans="1:12" s="22" customFormat="1" ht="15" hidden="1" customHeight="1" x14ac:dyDescent="0.2">
      <c r="A115" s="1436" t="s">
        <v>575</v>
      </c>
      <c r="B115" s="1436"/>
      <c r="C115" s="1436"/>
      <c r="D115" s="1436"/>
      <c r="E115" s="77"/>
      <c r="F115" s="46"/>
      <c r="G115" s="46"/>
      <c r="H115" s="46"/>
      <c r="I115" s="46"/>
      <c r="J115" s="46"/>
      <c r="K115" s="46"/>
      <c r="L115" s="46"/>
    </row>
    <row r="116" spans="1:12" hidden="1" x14ac:dyDescent="0.2">
      <c r="A116" s="92" t="s">
        <v>604</v>
      </c>
      <c r="B116" s="1313"/>
      <c r="C116" s="1313"/>
      <c r="D116" s="1313"/>
      <c r="E116" s="1313"/>
      <c r="F116" s="1313"/>
      <c r="G116" s="1313"/>
      <c r="H116" s="1313"/>
    </row>
    <row r="117" spans="1:12" hidden="1" x14ac:dyDescent="0.2">
      <c r="A117" s="56"/>
      <c r="B117" s="1434" t="s">
        <v>455</v>
      </c>
      <c r="C117" s="1434"/>
      <c r="D117" s="1434"/>
      <c r="E117" s="1434"/>
      <c r="F117" s="1434"/>
      <c r="G117" s="1434"/>
      <c r="H117" s="1434"/>
    </row>
    <row r="118" spans="1:12" hidden="1" x14ac:dyDescent="0.2">
      <c r="A118" s="56"/>
      <c r="B118" s="1434" t="s">
        <v>456</v>
      </c>
      <c r="C118" s="1434"/>
      <c r="D118" s="1434"/>
      <c r="E118" s="1434"/>
      <c r="F118" s="1434"/>
      <c r="G118" s="1434"/>
      <c r="H118" s="1434"/>
    </row>
    <row r="119" spans="1:12" hidden="1" x14ac:dyDescent="0.2">
      <c r="A119" s="56"/>
      <c r="B119" s="1434" t="s">
        <v>880</v>
      </c>
      <c r="C119" s="1434"/>
      <c r="D119" s="1434"/>
      <c r="E119" s="1434"/>
      <c r="F119" s="1434"/>
      <c r="G119" s="1434"/>
      <c r="H119" s="1434"/>
    </row>
    <row r="120" spans="1:12" hidden="1" x14ac:dyDescent="0.2">
      <c r="A120" s="83"/>
    </row>
    <row r="121" spans="1:12" hidden="1" x14ac:dyDescent="0.2">
      <c r="A121" s="1429" t="s">
        <v>1529</v>
      </c>
      <c r="B121" s="1429"/>
      <c r="C121" s="1429"/>
      <c r="D121" s="1429"/>
      <c r="E121" s="1429"/>
      <c r="F121" s="1429"/>
      <c r="G121" s="1429"/>
      <c r="H121" s="1429"/>
    </row>
    <row r="122" spans="1:12" hidden="1" x14ac:dyDescent="0.2">
      <c r="A122" s="1432"/>
      <c r="B122" s="1432"/>
      <c r="C122" s="1432"/>
      <c r="D122" s="1432"/>
      <c r="E122" s="1432"/>
      <c r="F122" s="1432"/>
      <c r="G122" s="1432"/>
      <c r="H122" s="1432"/>
      <c r="I122" s="1432"/>
      <c r="J122" s="1432"/>
      <c r="K122" s="1432"/>
      <c r="L122" s="1432"/>
    </row>
    <row r="123" spans="1:12" hidden="1" x14ac:dyDescent="0.2"/>
    <row r="124" spans="1:12" ht="15.75" customHeight="1" x14ac:dyDescent="0.2">
      <c r="A124" s="1451" t="s">
        <v>2246</v>
      </c>
      <c r="B124" s="1451"/>
      <c r="C124" s="1451"/>
      <c r="D124" s="1451"/>
      <c r="E124" s="1451"/>
      <c r="F124" s="1451"/>
      <c r="G124" s="1451"/>
      <c r="H124" s="1451"/>
    </row>
    <row r="125" spans="1:12" x14ac:dyDescent="0.2">
      <c r="A125" s="1457" t="s">
        <v>2247</v>
      </c>
      <c r="B125" s="1458"/>
      <c r="C125" s="1458"/>
      <c r="D125" s="1458"/>
      <c r="E125" s="1458"/>
      <c r="F125" s="1458"/>
      <c r="G125" s="1458"/>
      <c r="H125" s="1458"/>
      <c r="I125" s="1458"/>
      <c r="J125" s="1458"/>
      <c r="K125" s="1458"/>
      <c r="L125" s="1458"/>
    </row>
    <row r="126" spans="1:12" ht="41.45" customHeight="1" x14ac:dyDescent="0.2">
      <c r="A126" s="1455" t="s">
        <v>2635</v>
      </c>
      <c r="B126" s="1456"/>
      <c r="C126" s="1456"/>
      <c r="D126" s="1456"/>
      <c r="E126" s="1456"/>
      <c r="F126" s="1456"/>
      <c r="G126" s="1456"/>
      <c r="H126" s="1456"/>
      <c r="I126" s="1456"/>
      <c r="J126" s="1456"/>
      <c r="K126" s="1456"/>
      <c r="L126" s="1456"/>
    </row>
    <row r="127" spans="1:12" x14ac:dyDescent="0.2">
      <c r="A127" s="1438" t="s">
        <v>2248</v>
      </c>
      <c r="B127" s="1459"/>
      <c r="C127" s="1459"/>
      <c r="D127" s="1459"/>
      <c r="E127" s="1459"/>
      <c r="F127" s="1459"/>
      <c r="G127" s="1459"/>
      <c r="H127" s="1459"/>
      <c r="I127" s="1459"/>
      <c r="J127" s="1459"/>
      <c r="K127" s="1459"/>
      <c r="L127" s="1459"/>
    </row>
    <row r="128" spans="1:12" x14ac:dyDescent="0.2">
      <c r="A128" s="1460" t="s">
        <v>2249</v>
      </c>
      <c r="B128" s="1461"/>
      <c r="C128" s="1461"/>
      <c r="D128" s="1461"/>
      <c r="E128" s="1461"/>
      <c r="F128" s="1461"/>
      <c r="G128" s="1461"/>
      <c r="H128" s="1461"/>
      <c r="I128" s="1461"/>
      <c r="J128" s="1461"/>
      <c r="K128" s="1461"/>
      <c r="L128" s="1461"/>
    </row>
    <row r="129" spans="1:12" s="679" customFormat="1" x14ac:dyDescent="0.2">
      <c r="A129" s="669"/>
      <c r="B129" s="668"/>
      <c r="C129" s="668"/>
      <c r="D129" s="668"/>
      <c r="E129" s="668"/>
      <c r="F129" s="668"/>
      <c r="G129" s="668"/>
      <c r="H129" s="668"/>
      <c r="I129" s="668"/>
      <c r="J129" s="668"/>
      <c r="K129" s="668"/>
      <c r="L129" s="668"/>
    </row>
    <row r="130" spans="1:12" ht="15.75" customHeight="1" x14ac:dyDescent="0.2">
      <c r="A130" s="1451" t="s">
        <v>883</v>
      </c>
      <c r="B130" s="1451"/>
      <c r="C130" s="1451"/>
      <c r="D130" s="1451"/>
      <c r="E130" s="1451"/>
      <c r="F130" s="1451"/>
      <c r="G130" s="1451"/>
      <c r="H130" s="1451"/>
    </row>
    <row r="132" spans="1:12" ht="25.5" x14ac:dyDescent="0.2">
      <c r="A132" s="43" t="s">
        <v>341</v>
      </c>
      <c r="B132" s="43" t="s">
        <v>342</v>
      </c>
      <c r="C132" s="43" t="s">
        <v>343</v>
      </c>
      <c r="D132" s="43" t="s">
        <v>602</v>
      </c>
      <c r="E132" s="1447" t="s">
        <v>637</v>
      </c>
      <c r="F132" s="1447"/>
      <c r="G132" s="1447"/>
      <c r="H132" s="1447"/>
      <c r="I132" s="1447"/>
      <c r="J132" s="1447"/>
      <c r="K132" s="1447"/>
    </row>
    <row r="133" spans="1:12" x14ac:dyDescent="0.2">
      <c r="A133" s="173">
        <v>1</v>
      </c>
      <c r="B133" s="175" t="s">
        <v>344</v>
      </c>
      <c r="C133" s="175" t="s">
        <v>345</v>
      </c>
      <c r="D133" s="175" t="s">
        <v>344</v>
      </c>
      <c r="E133" s="1448" t="s">
        <v>887</v>
      </c>
      <c r="F133" s="1448"/>
      <c r="G133" s="1448"/>
      <c r="H133" s="1448"/>
      <c r="I133" s="1448"/>
      <c r="J133" s="1448"/>
      <c r="K133" s="1448"/>
    </row>
    <row r="134" spans="1:12" x14ac:dyDescent="0.2">
      <c r="A134" s="173">
        <v>2</v>
      </c>
      <c r="B134" s="174"/>
      <c r="C134" s="174"/>
      <c r="D134" s="174"/>
      <c r="E134" s="1446"/>
      <c r="F134" s="1446"/>
      <c r="G134" s="1446"/>
      <c r="H134" s="1446"/>
      <c r="I134" s="1446"/>
      <c r="J134" s="1446"/>
      <c r="K134" s="1446"/>
    </row>
    <row r="135" spans="1:12" x14ac:dyDescent="0.2">
      <c r="A135" s="173">
        <v>3</v>
      </c>
      <c r="B135" s="174"/>
      <c r="C135" s="174"/>
      <c r="D135" s="174"/>
      <c r="E135" s="1446"/>
      <c r="F135" s="1446"/>
      <c r="G135" s="1446"/>
      <c r="H135" s="1446"/>
      <c r="I135" s="1446"/>
      <c r="J135" s="1446"/>
      <c r="K135" s="1446"/>
    </row>
    <row r="136" spans="1:12" x14ac:dyDescent="0.2">
      <c r="A136" s="173">
        <v>4</v>
      </c>
      <c r="B136" s="174"/>
      <c r="C136" s="174"/>
      <c r="D136" s="174"/>
      <c r="E136" s="1446"/>
      <c r="F136" s="1446"/>
      <c r="G136" s="1446"/>
      <c r="H136" s="1446"/>
      <c r="I136" s="1446"/>
      <c r="J136" s="1446"/>
      <c r="K136" s="1446"/>
    </row>
    <row r="137" spans="1:12" x14ac:dyDescent="0.2">
      <c r="A137" s="173">
        <v>5</v>
      </c>
      <c r="B137" s="174"/>
      <c r="C137" s="174"/>
      <c r="D137" s="174"/>
      <c r="E137" s="1446"/>
      <c r="F137" s="1446"/>
      <c r="G137" s="1446"/>
      <c r="H137" s="1446"/>
      <c r="I137" s="1446"/>
      <c r="J137" s="1446"/>
      <c r="K137" s="1446"/>
    </row>
    <row r="138" spans="1:12" x14ac:dyDescent="0.2">
      <c r="A138" s="173">
        <v>6</v>
      </c>
      <c r="B138" s="174"/>
      <c r="C138" s="174"/>
      <c r="D138" s="174"/>
      <c r="E138" s="1446"/>
      <c r="F138" s="1446"/>
      <c r="G138" s="1446"/>
      <c r="H138" s="1446"/>
      <c r="I138" s="1446"/>
      <c r="J138" s="1446"/>
      <c r="K138" s="1446"/>
    </row>
    <row r="139" spans="1:12" s="22" customFormat="1" ht="31.5" customHeight="1" x14ac:dyDescent="0.2">
      <c r="A139" s="1454" t="s">
        <v>888</v>
      </c>
      <c r="B139" s="1454"/>
      <c r="C139" s="1454"/>
      <c r="D139" s="1454"/>
      <c r="E139" s="1454"/>
      <c r="F139" s="1454"/>
      <c r="G139" s="1454"/>
      <c r="H139" s="1454"/>
      <c r="I139" s="1454"/>
      <c r="J139" s="1454"/>
      <c r="K139" s="1454"/>
      <c r="L139" s="34"/>
    </row>
    <row r="140" spans="1:12" x14ac:dyDescent="0.2">
      <c r="B140" s="83"/>
      <c r="C140" s="83"/>
      <c r="D140" s="83"/>
      <c r="E140" s="83"/>
      <c r="F140" s="83"/>
      <c r="G140" s="83"/>
      <c r="H140" s="83"/>
      <c r="I140" s="83"/>
      <c r="J140" s="83"/>
      <c r="K140" s="83"/>
    </row>
    <row r="141" spans="1:12" x14ac:dyDescent="0.2">
      <c r="A141" s="1429" t="s">
        <v>1528</v>
      </c>
      <c r="B141" s="1429"/>
      <c r="C141" s="1429"/>
      <c r="D141" s="1429"/>
      <c r="E141" s="1429"/>
      <c r="F141" s="1429"/>
      <c r="G141" s="1429"/>
      <c r="H141" s="1429"/>
      <c r="I141" s="1429"/>
      <c r="J141" s="1429"/>
      <c r="K141" s="1429"/>
    </row>
    <row r="142" spans="1:12" s="22" customFormat="1" ht="15" customHeight="1" x14ac:dyDescent="0.2">
      <c r="A142" s="1346" t="s">
        <v>884</v>
      </c>
      <c r="B142" s="1346"/>
      <c r="C142" s="1346"/>
      <c r="D142" s="1346"/>
      <c r="E142" s="1346"/>
      <c r="F142" s="1346"/>
      <c r="G142" s="1346"/>
      <c r="H142" s="1346"/>
      <c r="I142" s="1346"/>
      <c r="J142" s="1346"/>
      <c r="K142" s="1346"/>
      <c r="L142" s="1346"/>
    </row>
    <row r="143" spans="1:12" s="22" customFormat="1" ht="15" customHeight="1" x14ac:dyDescent="0.2">
      <c r="A143" s="1346" t="s">
        <v>885</v>
      </c>
      <c r="B143" s="1346"/>
      <c r="C143" s="1346"/>
      <c r="D143" s="1346"/>
      <c r="E143" s="1346"/>
      <c r="F143" s="1346"/>
      <c r="G143" s="1346"/>
      <c r="H143" s="1346"/>
      <c r="I143" s="1346"/>
      <c r="J143" s="1346"/>
      <c r="K143" s="1346"/>
      <c r="L143" s="1346"/>
    </row>
    <row r="144" spans="1:12" s="22" customFormat="1" ht="15" customHeight="1" x14ac:dyDescent="0.2">
      <c r="A144" s="1346" t="s">
        <v>886</v>
      </c>
      <c r="B144" s="1346"/>
      <c r="C144" s="1346"/>
      <c r="D144" s="1346"/>
      <c r="E144" s="1346"/>
      <c r="F144" s="1346"/>
      <c r="G144" s="1346"/>
      <c r="H144" s="1346"/>
      <c r="I144" s="1346"/>
      <c r="J144" s="1346"/>
      <c r="K144" s="1346"/>
      <c r="L144" s="1346"/>
    </row>
  </sheetData>
  <customSheetViews>
    <customSheetView guid="{4892E1C0-7A56-4F81-A857-987D77EC4462}" topLeftCell="C1">
      <selection activeCell="K107" sqref="K107"/>
      <rowBreaks count="1" manualBreakCount="1">
        <brk id="97" max="16383" man="1"/>
      </rowBreaks>
      <pageMargins left="0.7" right="0.7" top="0.75" bottom="0.75" header="0.3" footer="0.3"/>
      <pageSetup orientation="landscape" r:id="rId1"/>
      <headerFooter>
        <oddHeader>&amp;L&amp;G&amp;CShowAcronymGoesHere - PSM&amp;R&amp;P</oddHeader>
        <oddFooter>&amp;L&amp;D&amp;R&amp;Z&amp;F</oddFooter>
      </headerFooter>
    </customSheetView>
    <customSheetView guid="{C29C6423-4E3D-4B08-919E-993C7C45FC31}" topLeftCell="C1">
      <selection activeCell="K107" sqref="K107"/>
      <rowBreaks count="1" manualBreakCount="1">
        <brk id="97" max="16383" man="1"/>
      </rowBreaks>
      <pageMargins left="0.7" right="0.7" top="0.75" bottom="0.75" header="0.3" footer="0.3"/>
      <pageSetup orientation="landscape" r:id="rId2"/>
      <headerFooter>
        <oddHeader>&amp;L&amp;G&amp;CShowAcronymGoesHere - PSM&amp;R&amp;P</oddHeader>
        <oddFooter>&amp;L&amp;D&amp;R&amp;Z&amp;F</oddFooter>
      </headerFooter>
    </customSheetView>
  </customSheetViews>
  <mergeCells count="138">
    <mergeCell ref="A74:K74"/>
    <mergeCell ref="D75:H75"/>
    <mergeCell ref="A71:C71"/>
    <mergeCell ref="A75:C75"/>
    <mergeCell ref="A85:C85"/>
    <mergeCell ref="A83:C83"/>
    <mergeCell ref="D87:H87"/>
    <mergeCell ref="A143:L143"/>
    <mergeCell ref="A144:L144"/>
    <mergeCell ref="D82:H82"/>
    <mergeCell ref="D83:H83"/>
    <mergeCell ref="D84:H84"/>
    <mergeCell ref="D85:H85"/>
    <mergeCell ref="D86:H86"/>
    <mergeCell ref="D79:H79"/>
    <mergeCell ref="D90:H90"/>
    <mergeCell ref="A142:L142"/>
    <mergeCell ref="A141:K141"/>
    <mergeCell ref="A139:K139"/>
    <mergeCell ref="A126:L126"/>
    <mergeCell ref="A125:L125"/>
    <mergeCell ref="A127:L127"/>
    <mergeCell ref="A128:L128"/>
    <mergeCell ref="A89:K89"/>
    <mergeCell ref="A1:B1"/>
    <mergeCell ref="E138:K138"/>
    <mergeCell ref="E132:K132"/>
    <mergeCell ref="E133:K133"/>
    <mergeCell ref="E134:K134"/>
    <mergeCell ref="E135:K135"/>
    <mergeCell ref="E136:K136"/>
    <mergeCell ref="E137:K137"/>
    <mergeCell ref="D91:H91"/>
    <mergeCell ref="D92:H92"/>
    <mergeCell ref="A2:L2"/>
    <mergeCell ref="A4:H4"/>
    <mergeCell ref="A52:H52"/>
    <mergeCell ref="A95:H95"/>
    <mergeCell ref="A124:H124"/>
    <mergeCell ref="A130:H130"/>
    <mergeCell ref="D93:H93"/>
    <mergeCell ref="D66:H66"/>
    <mergeCell ref="D67:H67"/>
    <mergeCell ref="A92:C92"/>
    <mergeCell ref="A93:C93"/>
    <mergeCell ref="B98:H98"/>
    <mergeCell ref="B99:H99"/>
    <mergeCell ref="B100:H100"/>
    <mergeCell ref="A68:C68"/>
    <mergeCell ref="D68:H68"/>
    <mergeCell ref="D72:H72"/>
    <mergeCell ref="A69:C69"/>
    <mergeCell ref="A62:L62"/>
    <mergeCell ref="A55:D55"/>
    <mergeCell ref="A56:D56"/>
    <mergeCell ref="A57:D57"/>
    <mergeCell ref="A58:D58"/>
    <mergeCell ref="A59:D59"/>
    <mergeCell ref="A60:D60"/>
    <mergeCell ref="E55:H55"/>
    <mergeCell ref="E56:H56"/>
    <mergeCell ref="E57:H57"/>
    <mergeCell ref="E58:H58"/>
    <mergeCell ref="E59:H59"/>
    <mergeCell ref="E60:H60"/>
    <mergeCell ref="D6:H6"/>
    <mergeCell ref="D7:H7"/>
    <mergeCell ref="D8:H8"/>
    <mergeCell ref="D18:H18"/>
    <mergeCell ref="D19:H19"/>
    <mergeCell ref="D11:H11"/>
    <mergeCell ref="D17:H17"/>
    <mergeCell ref="D9:H9"/>
    <mergeCell ref="D76:H76"/>
    <mergeCell ref="D12:H12"/>
    <mergeCell ref="D15:H15"/>
    <mergeCell ref="D13:H13"/>
    <mergeCell ref="D14:H14"/>
    <mergeCell ref="D27:H27"/>
    <mergeCell ref="D69:H69"/>
    <mergeCell ref="D70:H70"/>
    <mergeCell ref="D71:H71"/>
    <mergeCell ref="D20:H20"/>
    <mergeCell ref="A64:H64"/>
    <mergeCell ref="D21:H21"/>
    <mergeCell ref="D23:H23"/>
    <mergeCell ref="A76:C76"/>
    <mergeCell ref="D24:H24"/>
    <mergeCell ref="D10:H10"/>
    <mergeCell ref="D16:H16"/>
    <mergeCell ref="D26:H26"/>
    <mergeCell ref="D22:H22"/>
    <mergeCell ref="D25:H25"/>
    <mergeCell ref="A87:C87"/>
    <mergeCell ref="A84:C84"/>
    <mergeCell ref="D77:H77"/>
    <mergeCell ref="D78:H78"/>
    <mergeCell ref="A86:C86"/>
    <mergeCell ref="A70:C70"/>
    <mergeCell ref="A54:K54"/>
    <mergeCell ref="A72:C72"/>
    <mergeCell ref="A39:L39"/>
    <mergeCell ref="A40:L40"/>
    <mergeCell ref="A42:L42"/>
    <mergeCell ref="A43:L43"/>
    <mergeCell ref="A45:L45"/>
    <mergeCell ref="A46:L46"/>
    <mergeCell ref="A48:H48"/>
    <mergeCell ref="A49:L49"/>
    <mergeCell ref="A50:L50"/>
    <mergeCell ref="A66:C66"/>
    <mergeCell ref="A67:C67"/>
    <mergeCell ref="A65:K65"/>
    <mergeCell ref="A90:C90"/>
    <mergeCell ref="A91:C91"/>
    <mergeCell ref="A81:K81"/>
    <mergeCell ref="A82:C82"/>
    <mergeCell ref="A79:C79"/>
    <mergeCell ref="B119:H119"/>
    <mergeCell ref="A115:D115"/>
    <mergeCell ref="B116:H116"/>
    <mergeCell ref="A77:C77"/>
    <mergeCell ref="A78:C78"/>
    <mergeCell ref="C103:H103"/>
    <mergeCell ref="C104:H104"/>
    <mergeCell ref="C105:H105"/>
    <mergeCell ref="C106:H106"/>
    <mergeCell ref="B97:H97"/>
    <mergeCell ref="A121:H121"/>
    <mergeCell ref="C102:H102"/>
    <mergeCell ref="A122:L122"/>
    <mergeCell ref="B110:D110"/>
    <mergeCell ref="B108:D108"/>
    <mergeCell ref="E108:G108"/>
    <mergeCell ref="E110:H110"/>
    <mergeCell ref="B112:D112"/>
    <mergeCell ref="B118:H118"/>
    <mergeCell ref="B117:H117"/>
  </mergeCells>
  <phoneticPr fontId="6" type="noConversion"/>
  <hyperlinks>
    <hyperlink ref="D72" r:id="rId3"/>
    <hyperlink ref="A1" location="TOC!A1" display="TOC Page"/>
    <hyperlink ref="D30" r:id="rId4"/>
  </hyperlinks>
  <pageMargins left="0.7" right="0.7" top="0.75" bottom="0.75" header="0.3" footer="0.3"/>
  <pageSetup orientation="landscape" r:id="rId5"/>
  <headerFooter>
    <oddHeader>&amp;L&amp;G&amp;CShowAcronymGoesHere - PSM&amp;R&amp;P</oddHeader>
    <oddFooter>&amp;L&amp;D&amp;R&amp;Z&amp;F</oddFooter>
  </headerFooter>
  <customProperties>
    <customPr name="DVSECTIONID" r:id="rId6"/>
  </customProperties>
  <legacyDrawingHF r:id="rId7"/>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M75"/>
  <sheetViews>
    <sheetView zoomScaleNormal="100" workbookViewId="0">
      <pane ySplit="1" topLeftCell="A2" activePane="bottomLeft" state="frozen"/>
      <selection activeCell="U16" sqref="U16"/>
      <selection pane="bottomLeft" activeCell="A49" sqref="A49:C49"/>
    </sheetView>
  </sheetViews>
  <sheetFormatPr defaultRowHeight="12.75" x14ac:dyDescent="0.2"/>
  <cols>
    <col min="1" max="2" width="9.7109375" style="42" customWidth="1"/>
    <col min="3" max="3" width="8.5703125" style="42" customWidth="1"/>
    <col min="4" max="7" width="9.7109375" style="42" customWidth="1"/>
    <col min="8" max="8" width="11.140625" style="42" customWidth="1"/>
    <col min="9" max="10" width="9.7109375" style="42" customWidth="1"/>
    <col min="11" max="11" width="11.28515625" style="42" customWidth="1"/>
    <col min="12" max="12" width="9.7109375" style="42" customWidth="1"/>
    <col min="13" max="13" width="9.140625" style="42"/>
  </cols>
  <sheetData>
    <row r="1" spans="1:13" ht="14.25" customHeight="1" x14ac:dyDescent="0.2">
      <c r="A1" s="181" t="s">
        <v>639</v>
      </c>
      <c r="B1" s="39"/>
      <c r="C1" s="39"/>
      <c r="D1" s="39"/>
      <c r="E1" s="39"/>
      <c r="F1" s="39"/>
      <c r="G1" s="39"/>
      <c r="H1" s="39"/>
      <c r="I1" s="39"/>
      <c r="J1" s="39"/>
      <c r="K1" s="39"/>
      <c r="L1" s="39"/>
      <c r="M1" s="39"/>
    </row>
    <row r="2" spans="1:13" s="14" customFormat="1" ht="20.25" customHeight="1" x14ac:dyDescent="0.2">
      <c r="A2" s="1467" t="s">
        <v>149</v>
      </c>
      <c r="B2" s="1468"/>
      <c r="C2" s="1468"/>
      <c r="D2" s="1468"/>
      <c r="E2" s="1468"/>
      <c r="F2" s="1468"/>
      <c r="G2" s="1468"/>
      <c r="H2" s="1468"/>
      <c r="I2" s="1468"/>
      <c r="J2" s="1468"/>
      <c r="K2" s="1468"/>
      <c r="L2" s="1469"/>
      <c r="M2" s="37"/>
    </row>
    <row r="3" spans="1:13" x14ac:dyDescent="0.2">
      <c r="A3" s="74"/>
      <c r="B3" s="74"/>
      <c r="C3" s="74"/>
      <c r="D3" s="74"/>
      <c r="E3" s="74"/>
      <c r="F3" s="74"/>
      <c r="G3" s="74"/>
      <c r="H3" s="74"/>
      <c r="I3" s="74"/>
      <c r="J3" s="74"/>
      <c r="K3" s="74"/>
      <c r="L3" s="74"/>
      <c r="M3" s="74"/>
    </row>
    <row r="4" spans="1:13" ht="48" customHeight="1" x14ac:dyDescent="0.2">
      <c r="A4" s="1395" t="s">
        <v>310</v>
      </c>
      <c r="B4" s="1397"/>
      <c r="C4" s="1447" t="s">
        <v>846</v>
      </c>
      <c r="D4" s="1447"/>
      <c r="E4" s="1447"/>
      <c r="F4" s="1447" t="s">
        <v>847</v>
      </c>
      <c r="G4" s="1447"/>
      <c r="H4" s="1447"/>
      <c r="I4" s="1447" t="s">
        <v>848</v>
      </c>
      <c r="J4" s="1447"/>
      <c r="K4" s="1447"/>
    </row>
    <row r="5" spans="1:13" x14ac:dyDescent="0.2">
      <c r="A5" s="1426" t="s">
        <v>243</v>
      </c>
      <c r="B5" s="1478"/>
      <c r="C5" s="1475" t="s">
        <v>604</v>
      </c>
      <c r="D5" s="1476"/>
      <c r="E5" s="1477"/>
      <c r="F5" s="1362"/>
      <c r="G5" s="1362"/>
      <c r="H5" s="1362"/>
      <c r="I5" s="1362"/>
      <c r="J5" s="1362"/>
      <c r="K5" s="1362"/>
    </row>
    <row r="6" spans="1:13" x14ac:dyDescent="0.2">
      <c r="A6" s="1426" t="s">
        <v>244</v>
      </c>
      <c r="B6" s="1478"/>
      <c r="C6" s="1362"/>
      <c r="D6" s="1362"/>
      <c r="E6" s="1362"/>
      <c r="F6" s="1362"/>
      <c r="G6" s="1362"/>
      <c r="H6" s="1362"/>
      <c r="I6" s="1362"/>
      <c r="J6" s="1362"/>
      <c r="K6" s="1362"/>
    </row>
    <row r="7" spans="1:13" x14ac:dyDescent="0.2">
      <c r="A7" s="31"/>
    </row>
    <row r="8" spans="1:13" ht="18.75" hidden="1" customHeight="1" thickBot="1" x14ac:dyDescent="0.25">
      <c r="A8" s="1507" t="s">
        <v>835</v>
      </c>
      <c r="B8" s="1508"/>
    </row>
    <row r="9" spans="1:13" s="17" customFormat="1" hidden="1" x14ac:dyDescent="0.2">
      <c r="A9" s="1488" t="s">
        <v>1672</v>
      </c>
      <c r="B9" s="1489"/>
      <c r="C9" s="1489"/>
      <c r="D9" s="1479" t="s">
        <v>1673</v>
      </c>
      <c r="E9" s="1480"/>
      <c r="F9" s="1480"/>
      <c r="G9" s="1480"/>
      <c r="H9" s="1479" t="s">
        <v>1705</v>
      </c>
      <c r="I9" s="1480"/>
      <c r="J9" s="1480"/>
      <c r="K9" s="1481"/>
    </row>
    <row r="10" spans="1:13" s="440" customFormat="1" hidden="1" x14ac:dyDescent="0.2">
      <c r="A10" s="1490" t="s">
        <v>1676</v>
      </c>
      <c r="B10" s="1491"/>
      <c r="C10" s="1491"/>
      <c r="D10" s="1482" t="s">
        <v>1674</v>
      </c>
      <c r="E10" s="1483"/>
      <c r="F10" s="1483"/>
      <c r="G10" s="1483"/>
      <c r="H10" s="1482" t="s">
        <v>1706</v>
      </c>
      <c r="I10" s="1483"/>
      <c r="J10" s="1483"/>
      <c r="K10" s="1486"/>
    </row>
    <row r="11" spans="1:13" s="440" customFormat="1" ht="13.5" hidden="1" thickBot="1" x14ac:dyDescent="0.25">
      <c r="A11" s="1492" t="s">
        <v>284</v>
      </c>
      <c r="B11" s="1493"/>
      <c r="C11" s="1493"/>
      <c r="D11" s="1484" t="s">
        <v>1675</v>
      </c>
      <c r="E11" s="1485"/>
      <c r="F11" s="1485"/>
      <c r="G11" s="1485"/>
      <c r="H11" s="1484" t="s">
        <v>1707</v>
      </c>
      <c r="I11" s="1485"/>
      <c r="J11" s="1485"/>
      <c r="K11" s="1487"/>
    </row>
    <row r="12" spans="1:13" s="17" customFormat="1" hidden="1" x14ac:dyDescent="0.2">
      <c r="A12" s="1517" t="s">
        <v>311</v>
      </c>
      <c r="B12" s="1518"/>
      <c r="C12" s="1518"/>
      <c r="D12" s="1472"/>
      <c r="E12" s="1472"/>
      <c r="F12" s="1472"/>
      <c r="G12" s="1472"/>
      <c r="H12" s="1472"/>
      <c r="I12" s="1472"/>
      <c r="J12" s="1472"/>
      <c r="K12" s="1473"/>
      <c r="L12" s="83"/>
    </row>
    <row r="13" spans="1:13" s="17" customFormat="1" hidden="1" x14ac:dyDescent="0.2">
      <c r="A13" s="1510" t="s">
        <v>211</v>
      </c>
      <c r="B13" s="1511"/>
      <c r="C13" s="1511"/>
      <c r="D13" s="1325"/>
      <c r="E13" s="1325"/>
      <c r="F13" s="1325"/>
      <c r="G13" s="1325"/>
      <c r="H13" s="1325"/>
      <c r="I13" s="1325"/>
      <c r="J13" s="1325"/>
      <c r="K13" s="1474"/>
      <c r="L13" s="83"/>
    </row>
    <row r="14" spans="1:13" s="585" customFormat="1" hidden="1" x14ac:dyDescent="0.2">
      <c r="A14" s="1526" t="s">
        <v>1863</v>
      </c>
      <c r="B14" s="1511"/>
      <c r="C14" s="1511"/>
      <c r="D14" s="1325"/>
      <c r="E14" s="1325"/>
      <c r="F14" s="1325"/>
      <c r="G14" s="1325"/>
      <c r="H14" s="1325"/>
      <c r="I14" s="1325"/>
      <c r="J14" s="1325"/>
      <c r="K14" s="1474"/>
      <c r="L14" s="586"/>
    </row>
    <row r="15" spans="1:13" s="535" customFormat="1" ht="26.25" hidden="1" customHeight="1" x14ac:dyDescent="0.2">
      <c r="A15" s="1521" t="s">
        <v>1864</v>
      </c>
      <c r="B15" s="1522"/>
      <c r="C15" s="1523"/>
      <c r="D15" s="1326"/>
      <c r="E15" s="1524"/>
      <c r="F15" s="1524"/>
      <c r="G15" s="1524"/>
      <c r="H15" s="1524"/>
      <c r="I15" s="1524"/>
      <c r="J15" s="1524"/>
      <c r="K15" s="1525"/>
      <c r="L15" s="536"/>
    </row>
    <row r="16" spans="1:13" s="17" customFormat="1" hidden="1" x14ac:dyDescent="0.2">
      <c r="A16" s="1510" t="s">
        <v>1496</v>
      </c>
      <c r="B16" s="1511"/>
      <c r="C16" s="1511"/>
      <c r="D16" s="1325" t="s">
        <v>1497</v>
      </c>
      <c r="E16" s="1325"/>
      <c r="F16" s="1325"/>
      <c r="G16" s="1325"/>
      <c r="H16" s="1325"/>
      <c r="I16" s="1325"/>
      <c r="J16" s="1325"/>
      <c r="K16" s="1474"/>
      <c r="L16" s="83"/>
    </row>
    <row r="17" spans="1:12" s="585" customFormat="1" ht="13.5" hidden="1" thickBot="1" x14ac:dyDescent="0.25">
      <c r="A17" s="1512" t="s">
        <v>836</v>
      </c>
      <c r="B17" s="1513"/>
      <c r="C17" s="1513"/>
      <c r="D17" s="1514"/>
      <c r="E17" s="1514"/>
      <c r="F17" s="1514"/>
      <c r="G17" s="1514"/>
      <c r="H17" s="1514"/>
      <c r="I17" s="1514"/>
      <c r="J17" s="1514"/>
      <c r="K17" s="1515"/>
      <c r="L17" s="586"/>
    </row>
    <row r="18" spans="1:12" s="17" customFormat="1" hidden="1" x14ac:dyDescent="0.2">
      <c r="A18" s="46"/>
      <c r="B18" s="46"/>
      <c r="C18" s="46"/>
      <c r="D18" s="46"/>
      <c r="E18" s="46"/>
      <c r="F18" s="46"/>
      <c r="G18" s="46"/>
      <c r="H18" s="46"/>
      <c r="I18" s="83"/>
      <c r="J18" s="83"/>
      <c r="K18" s="83"/>
      <c r="L18" s="83"/>
    </row>
    <row r="19" spans="1:12" s="585" customFormat="1" ht="13.5" hidden="1" thickBot="1" x14ac:dyDescent="0.25">
      <c r="A19" s="1354" t="s">
        <v>1865</v>
      </c>
      <c r="B19" s="1506"/>
      <c r="C19" s="1506"/>
      <c r="D19" s="1506"/>
      <c r="E19" s="583"/>
      <c r="F19" s="583"/>
      <c r="G19" s="583"/>
      <c r="H19" s="583"/>
      <c r="I19" s="586"/>
      <c r="J19" s="586"/>
      <c r="K19" s="586"/>
      <c r="L19" s="586"/>
    </row>
    <row r="20" spans="1:12" s="17" customFormat="1" ht="38.25" hidden="1" customHeight="1" x14ac:dyDescent="0.2">
      <c r="A20" s="1519" t="s">
        <v>78</v>
      </c>
      <c r="B20" s="1520"/>
      <c r="C20" s="1520"/>
      <c r="D20" s="1462" t="s">
        <v>1527</v>
      </c>
      <c r="E20" s="1516"/>
      <c r="F20" s="1462" t="s">
        <v>1867</v>
      </c>
      <c r="G20" s="1463"/>
      <c r="H20" s="1516"/>
      <c r="I20" s="1462" t="s">
        <v>1866</v>
      </c>
      <c r="J20" s="1463"/>
      <c r="K20" s="1464"/>
      <c r="L20" s="83"/>
    </row>
    <row r="21" spans="1:12" s="17" customFormat="1" hidden="1" x14ac:dyDescent="0.2">
      <c r="A21" s="1495" t="s">
        <v>243</v>
      </c>
      <c r="B21" s="1362"/>
      <c r="C21" s="1362"/>
      <c r="D21" s="1387"/>
      <c r="E21" s="1478"/>
      <c r="F21" s="1387"/>
      <c r="G21" s="1465"/>
      <c r="H21" s="1478"/>
      <c r="I21" s="1387"/>
      <c r="J21" s="1465"/>
      <c r="K21" s="1466"/>
      <c r="L21" s="83"/>
    </row>
    <row r="22" spans="1:12" s="17" customFormat="1" hidden="1" x14ac:dyDescent="0.2">
      <c r="A22" s="1495" t="s">
        <v>244</v>
      </c>
      <c r="B22" s="1362"/>
      <c r="C22" s="1362"/>
      <c r="D22" s="1387"/>
      <c r="E22" s="1478"/>
      <c r="F22" s="1387"/>
      <c r="G22" s="1465"/>
      <c r="H22" s="1478"/>
      <c r="I22" s="1387"/>
      <c r="J22" s="1465"/>
      <c r="K22" s="1466"/>
      <c r="L22" s="83"/>
    </row>
    <row r="23" spans="1:12" s="17" customFormat="1" ht="13.5" hidden="1" thickBot="1" x14ac:dyDescent="0.25">
      <c r="A23" s="1470" t="s">
        <v>391</v>
      </c>
      <c r="B23" s="1471"/>
      <c r="C23" s="1471"/>
      <c r="D23" s="1503"/>
      <c r="E23" s="1509"/>
      <c r="F23" s="1503"/>
      <c r="G23" s="1504"/>
      <c r="H23" s="1509"/>
      <c r="I23" s="1503"/>
      <c r="J23" s="1504"/>
      <c r="K23" s="1505"/>
      <c r="L23" s="83"/>
    </row>
    <row r="24" spans="1:12" s="17" customFormat="1" hidden="1" x14ac:dyDescent="0.2">
      <c r="A24" s="46"/>
      <c r="B24" s="46"/>
      <c r="C24" s="46"/>
      <c r="D24" s="137"/>
      <c r="E24" s="137"/>
      <c r="F24" s="137"/>
      <c r="G24" s="137"/>
      <c r="H24" s="137"/>
      <c r="I24" s="137"/>
      <c r="J24" s="137"/>
      <c r="K24" s="137"/>
      <c r="L24" s="83"/>
    </row>
    <row r="25" spans="1:12" s="17" customFormat="1" ht="18" hidden="1" x14ac:dyDescent="0.2">
      <c r="A25" s="611" t="s">
        <v>1898</v>
      </c>
      <c r="B25" s="584"/>
      <c r="C25" s="158"/>
      <c r="D25" s="158"/>
      <c r="E25" s="158"/>
      <c r="F25" s="158"/>
      <c r="G25" s="158"/>
      <c r="H25" s="158"/>
      <c r="I25" s="158"/>
      <c r="J25" s="158"/>
      <c r="K25" s="83"/>
      <c r="L25" s="83"/>
    </row>
    <row r="26" spans="1:12" s="343" customFormat="1" ht="29.25" hidden="1" customHeight="1" x14ac:dyDescent="0.2">
      <c r="A26" s="1498" t="s">
        <v>1576</v>
      </c>
      <c r="B26" s="1499"/>
      <c r="C26" s="1499"/>
      <c r="D26" s="1499"/>
      <c r="E26" s="1499"/>
      <c r="F26" s="1499"/>
      <c r="G26" s="1499"/>
      <c r="H26" s="1499"/>
      <c r="I26" s="1499"/>
      <c r="J26" s="1499"/>
      <c r="K26" s="1499"/>
    </row>
    <row r="27" spans="1:12" s="17" customFormat="1" hidden="1" x14ac:dyDescent="0.2">
      <c r="A27" s="1362" t="s">
        <v>312</v>
      </c>
      <c r="B27" s="1362"/>
      <c r="C27" s="1362"/>
      <c r="D27" s="1325"/>
      <c r="E27" s="1325"/>
      <c r="F27" s="1325"/>
      <c r="G27" s="1325"/>
      <c r="H27" s="1325"/>
      <c r="I27" s="1325"/>
      <c r="J27" s="1325"/>
      <c r="K27" s="1325"/>
      <c r="L27" s="83"/>
    </row>
    <row r="28" spans="1:12" s="17" customFormat="1" hidden="1" x14ac:dyDescent="0.2">
      <c r="A28" s="1362" t="s">
        <v>313</v>
      </c>
      <c r="B28" s="1362"/>
      <c r="C28" s="1362"/>
      <c r="D28" s="1325"/>
      <c r="E28" s="1325"/>
      <c r="F28" s="1325"/>
      <c r="G28" s="1325"/>
      <c r="H28" s="1325"/>
      <c r="I28" s="1325"/>
      <c r="J28" s="1325"/>
      <c r="K28" s="1325"/>
      <c r="L28" s="83"/>
    </row>
    <row r="29" spans="1:12" s="17" customFormat="1" hidden="1" x14ac:dyDescent="0.2">
      <c r="A29" s="1362" t="s">
        <v>836</v>
      </c>
      <c r="B29" s="1362"/>
      <c r="C29" s="1362"/>
      <c r="D29" s="1325"/>
      <c r="E29" s="1325"/>
      <c r="F29" s="1325"/>
      <c r="G29" s="1325"/>
      <c r="H29" s="1325"/>
      <c r="I29" s="1325"/>
      <c r="J29" s="1325"/>
      <c r="K29" s="1325"/>
      <c r="L29" s="83"/>
    </row>
    <row r="30" spans="1:12" s="67" customFormat="1" hidden="1" x14ac:dyDescent="0.2">
      <c r="A30" s="46"/>
      <c r="B30" s="46"/>
      <c r="C30" s="41"/>
      <c r="D30" s="41"/>
      <c r="E30" s="41"/>
      <c r="F30" s="41"/>
      <c r="G30" s="41"/>
      <c r="H30" s="41"/>
      <c r="I30" s="41"/>
      <c r="J30" s="41"/>
      <c r="K30" s="41"/>
      <c r="L30" s="41"/>
    </row>
    <row r="31" spans="1:12" s="67" customFormat="1" hidden="1" x14ac:dyDescent="0.2">
      <c r="A31" s="1354" t="s">
        <v>1665</v>
      </c>
      <c r="B31" s="1354"/>
      <c r="C31" s="1354"/>
      <c r="D31" s="1354"/>
      <c r="E31" s="1354"/>
      <c r="F31" s="1354"/>
      <c r="G31" s="1354"/>
      <c r="H31" s="1354"/>
      <c r="I31" s="1354"/>
      <c r="J31" s="1354"/>
      <c r="K31" s="1354"/>
      <c r="L31" s="434"/>
    </row>
    <row r="32" spans="1:12" s="67" customFormat="1" ht="96.75" hidden="1" customHeight="1" x14ac:dyDescent="0.2">
      <c r="A32" s="1383" t="s">
        <v>1664</v>
      </c>
      <c r="B32" s="1366"/>
      <c r="C32" s="1366"/>
      <c r="D32" s="1366"/>
      <c r="E32" s="1366"/>
      <c r="F32" s="1366"/>
      <c r="G32" s="1366"/>
      <c r="H32" s="1366"/>
      <c r="I32" s="1366"/>
      <c r="J32" s="1366"/>
      <c r="K32" s="1366"/>
      <c r="L32" s="434"/>
    </row>
    <row r="33" spans="1:12" s="67" customFormat="1" hidden="1" x14ac:dyDescent="0.2">
      <c r="A33" s="1366"/>
      <c r="B33" s="1366"/>
      <c r="C33" s="1366"/>
      <c r="D33" s="1366"/>
      <c r="E33" s="1366"/>
      <c r="F33" s="1366"/>
      <c r="G33" s="1366"/>
      <c r="H33" s="1366"/>
      <c r="I33" s="1366"/>
      <c r="J33" s="1366"/>
      <c r="K33" s="1366"/>
      <c r="L33" s="434"/>
    </row>
    <row r="34" spans="1:12" s="67" customFormat="1" hidden="1" x14ac:dyDescent="0.2">
      <c r="A34" s="433"/>
      <c r="B34" s="433"/>
      <c r="C34" s="434"/>
      <c r="D34" s="434"/>
      <c r="E34" s="434"/>
      <c r="F34" s="434"/>
      <c r="G34" s="434"/>
      <c r="H34" s="434"/>
      <c r="I34" s="434"/>
      <c r="J34" s="434"/>
      <c r="K34" s="434"/>
      <c r="L34" s="434"/>
    </row>
    <row r="35" spans="1:12" s="17" customFormat="1" ht="18" hidden="1" x14ac:dyDescent="0.2">
      <c r="A35" s="612" t="s">
        <v>837</v>
      </c>
      <c r="B35" s="158"/>
      <c r="C35" s="158"/>
      <c r="D35" s="158"/>
      <c r="E35" s="158"/>
      <c r="F35" s="158"/>
      <c r="G35" s="158"/>
      <c r="H35" s="158"/>
      <c r="I35" s="158"/>
      <c r="J35" s="158"/>
      <c r="K35" s="83"/>
      <c r="L35" s="83"/>
    </row>
    <row r="36" spans="1:12" s="17" customFormat="1" hidden="1" x14ac:dyDescent="0.2">
      <c r="A36" s="1362" t="s">
        <v>838</v>
      </c>
      <c r="B36" s="1362"/>
      <c r="C36" s="1362"/>
      <c r="D36" s="1325"/>
      <c r="E36" s="1325"/>
      <c r="F36" s="1325"/>
      <c r="G36" s="1325"/>
      <c r="H36" s="1325"/>
      <c r="I36" s="1325"/>
      <c r="J36" s="1325"/>
      <c r="K36" s="1325"/>
      <c r="L36" s="83"/>
    </row>
    <row r="37" spans="1:12" s="17" customFormat="1" hidden="1" x14ac:dyDescent="0.2">
      <c r="A37" s="1362" t="s">
        <v>836</v>
      </c>
      <c r="B37" s="1362"/>
      <c r="C37" s="1362"/>
      <c r="D37" s="1325"/>
      <c r="E37" s="1325"/>
      <c r="F37" s="1325"/>
      <c r="G37" s="1325"/>
      <c r="H37" s="1325"/>
      <c r="I37" s="1325"/>
      <c r="J37" s="1325"/>
      <c r="K37" s="1325"/>
      <c r="L37" s="83"/>
    </row>
    <row r="38" spans="1:12" s="17" customFormat="1" hidden="1" x14ac:dyDescent="0.2">
      <c r="A38" s="159"/>
      <c r="B38" s="83"/>
      <c r="C38" s="83"/>
      <c r="D38" s="83"/>
      <c r="E38" s="83"/>
      <c r="F38" s="83"/>
      <c r="G38" s="83"/>
      <c r="H38" s="83"/>
      <c r="I38" s="83"/>
      <c r="J38" s="83"/>
      <c r="K38" s="83"/>
      <c r="L38" s="83"/>
    </row>
    <row r="39" spans="1:12" s="17" customFormat="1" ht="18" hidden="1" x14ac:dyDescent="0.2">
      <c r="A39" s="612" t="s">
        <v>839</v>
      </c>
      <c r="B39" s="158"/>
      <c r="C39" s="158"/>
      <c r="D39" s="158"/>
      <c r="E39" s="158"/>
      <c r="F39" s="158"/>
      <c r="G39" s="158"/>
      <c r="H39" s="158"/>
      <c r="I39" s="158"/>
      <c r="J39" s="158"/>
      <c r="K39" s="83"/>
      <c r="L39" s="83"/>
    </row>
    <row r="40" spans="1:12" s="17" customFormat="1" hidden="1" x14ac:dyDescent="0.2">
      <c r="A40" s="1362" t="s">
        <v>838</v>
      </c>
      <c r="B40" s="1362"/>
      <c r="C40" s="1362"/>
      <c r="D40" s="1325"/>
      <c r="E40" s="1325"/>
      <c r="F40" s="1325"/>
      <c r="G40" s="1325"/>
      <c r="H40" s="1325"/>
      <c r="I40" s="1325"/>
      <c r="J40" s="1325"/>
      <c r="K40" s="1325"/>
      <c r="L40" s="83"/>
    </row>
    <row r="41" spans="1:12" s="17" customFormat="1" hidden="1" x14ac:dyDescent="0.2">
      <c r="A41" s="1362" t="s">
        <v>836</v>
      </c>
      <c r="B41" s="1362"/>
      <c r="C41" s="1362"/>
      <c r="D41" s="1325"/>
      <c r="E41" s="1325"/>
      <c r="F41" s="1325"/>
      <c r="G41" s="1325"/>
      <c r="H41" s="1325"/>
      <c r="I41" s="1325"/>
      <c r="J41" s="1325"/>
      <c r="K41" s="1325"/>
      <c r="L41" s="83"/>
    </row>
    <row r="42" spans="1:12" s="17" customFormat="1" hidden="1" x14ac:dyDescent="0.2">
      <c r="A42" s="1497"/>
      <c r="B42" s="1336"/>
      <c r="C42" s="1336"/>
      <c r="D42" s="1336"/>
      <c r="E42" s="1336"/>
      <c r="F42" s="1336"/>
      <c r="G42" s="1336"/>
      <c r="H42" s="1336"/>
      <c r="I42" s="1336"/>
      <c r="J42" s="1336"/>
      <c r="K42" s="1336"/>
      <c r="L42" s="1336"/>
    </row>
    <row r="43" spans="1:12" s="17" customFormat="1" ht="18" hidden="1" x14ac:dyDescent="0.2">
      <c r="A43" s="612" t="s">
        <v>840</v>
      </c>
      <c r="B43" s="158"/>
      <c r="C43" s="158"/>
      <c r="D43" s="158"/>
      <c r="E43" s="158"/>
      <c r="F43" s="158"/>
      <c r="G43" s="158"/>
      <c r="H43" s="158"/>
      <c r="I43" s="158"/>
      <c r="J43" s="158"/>
      <c r="K43" s="83"/>
      <c r="L43" s="83"/>
    </row>
    <row r="44" spans="1:12" s="17" customFormat="1" hidden="1" x14ac:dyDescent="0.2">
      <c r="A44" s="1362" t="s">
        <v>838</v>
      </c>
      <c r="B44" s="1362"/>
      <c r="C44" s="1362"/>
      <c r="D44" s="1325"/>
      <c r="E44" s="1325"/>
      <c r="F44" s="1325"/>
      <c r="G44" s="1325"/>
      <c r="H44" s="1325"/>
      <c r="I44" s="1325"/>
      <c r="J44" s="1325"/>
      <c r="K44" s="1325"/>
      <c r="L44" s="83"/>
    </row>
    <row r="45" spans="1:12" s="17" customFormat="1" hidden="1" x14ac:dyDescent="0.2">
      <c r="A45" s="1362" t="s">
        <v>836</v>
      </c>
      <c r="B45" s="1362"/>
      <c r="C45" s="1362"/>
      <c r="D45" s="1325"/>
      <c r="E45" s="1325"/>
      <c r="F45" s="1325"/>
      <c r="G45" s="1325"/>
      <c r="H45" s="1325"/>
      <c r="I45" s="1325"/>
      <c r="J45" s="1325"/>
      <c r="K45" s="1325"/>
      <c r="L45" s="83"/>
    </row>
    <row r="46" spans="1:12" s="17" customFormat="1" hidden="1" x14ac:dyDescent="0.2">
      <c r="A46" s="159"/>
      <c r="B46" s="83"/>
      <c r="C46" s="83"/>
      <c r="D46" s="83"/>
      <c r="E46" s="83"/>
      <c r="F46" s="83"/>
      <c r="G46" s="83"/>
      <c r="H46" s="83"/>
      <c r="I46" s="83"/>
      <c r="J46" s="83"/>
      <c r="K46" s="83"/>
      <c r="L46" s="83"/>
    </row>
    <row r="47" spans="1:12" s="17" customFormat="1" ht="18" x14ac:dyDescent="0.2">
      <c r="A47" s="612" t="s">
        <v>716</v>
      </c>
      <c r="B47" s="158"/>
      <c r="C47" s="158"/>
      <c r="D47" s="158"/>
      <c r="E47" s="158"/>
      <c r="F47" s="158"/>
      <c r="G47" s="158"/>
      <c r="H47" s="158"/>
      <c r="I47" s="158"/>
      <c r="J47" s="158"/>
      <c r="K47" s="83"/>
      <c r="L47" s="83"/>
    </row>
    <row r="48" spans="1:12" s="17" customFormat="1" x14ac:dyDescent="0.2">
      <c r="A48" s="95" t="s">
        <v>844</v>
      </c>
      <c r="B48" s="158"/>
      <c r="C48" s="158"/>
      <c r="D48" s="158"/>
      <c r="E48" s="158"/>
      <c r="F48" s="158"/>
      <c r="G48" s="158"/>
      <c r="H48" s="158"/>
      <c r="I48" s="158"/>
      <c r="J48" s="158"/>
      <c r="K48" s="83"/>
      <c r="L48" s="83"/>
    </row>
    <row r="49" spans="1:13" s="17" customFormat="1" x14ac:dyDescent="0.2">
      <c r="A49" s="1362" t="s">
        <v>841</v>
      </c>
      <c r="B49" s="1362"/>
      <c r="C49" s="1362"/>
      <c r="D49" s="1325"/>
      <c r="E49" s="1325"/>
      <c r="F49" s="1325"/>
      <c r="G49" s="1325"/>
      <c r="H49" s="1325"/>
      <c r="I49" s="1325"/>
      <c r="J49" s="1325"/>
      <c r="K49" s="1325"/>
      <c r="L49" s="83"/>
    </row>
    <row r="50" spans="1:13" s="17" customFormat="1" x14ac:dyDescent="0.2">
      <c r="A50" s="1362" t="s">
        <v>842</v>
      </c>
      <c r="B50" s="1362"/>
      <c r="C50" s="1362"/>
      <c r="D50" s="1325"/>
      <c r="E50" s="1325"/>
      <c r="F50" s="1325"/>
      <c r="G50" s="1325"/>
      <c r="H50" s="1325"/>
      <c r="I50" s="1325"/>
      <c r="J50" s="1325"/>
      <c r="K50" s="1325"/>
      <c r="L50" s="83"/>
    </row>
    <row r="51" spans="1:13" s="17" customFormat="1" x14ac:dyDescent="0.2">
      <c r="A51" s="1362" t="s">
        <v>57</v>
      </c>
      <c r="B51" s="1362"/>
      <c r="C51" s="1362"/>
      <c r="D51" s="1325" t="s">
        <v>845</v>
      </c>
      <c r="E51" s="1325"/>
      <c r="F51" s="1325"/>
      <c r="G51" s="1325"/>
      <c r="H51" s="1325"/>
      <c r="I51" s="1325"/>
      <c r="J51" s="1325"/>
      <c r="K51" s="1325"/>
      <c r="L51" s="83"/>
    </row>
    <row r="52" spans="1:13" s="17" customFormat="1" x14ac:dyDescent="0.2">
      <c r="A52" s="1362" t="s">
        <v>843</v>
      </c>
      <c r="B52" s="1362"/>
      <c r="C52" s="1362"/>
      <c r="D52" s="1325">
        <v>55062</v>
      </c>
      <c r="E52" s="1325"/>
      <c r="F52" s="1325"/>
      <c r="G52" s="1325"/>
      <c r="H52" s="1325"/>
      <c r="I52" s="1325"/>
      <c r="J52" s="1325"/>
      <c r="K52" s="1325"/>
      <c r="L52" s="83"/>
    </row>
    <row r="53" spans="1:13" s="17" customFormat="1" x14ac:dyDescent="0.2">
      <c r="A53" s="1362" t="s">
        <v>836</v>
      </c>
      <c r="B53" s="1362"/>
      <c r="C53" s="1362"/>
      <c r="D53" s="1500" t="s">
        <v>2250</v>
      </c>
      <c r="E53" s="1325"/>
      <c r="F53" s="1325"/>
      <c r="G53" s="1325"/>
      <c r="H53" s="1325"/>
      <c r="I53" s="1325"/>
      <c r="J53" s="1325"/>
      <c r="K53" s="1325"/>
      <c r="L53" s="83"/>
    </row>
    <row r="54" spans="1:13" s="17" customFormat="1" x14ac:dyDescent="0.2">
      <c r="A54" s="1494"/>
      <c r="B54" s="1346"/>
      <c r="C54" s="1346"/>
      <c r="D54" s="1346"/>
      <c r="E54" s="1346"/>
      <c r="F54" s="1346"/>
      <c r="G54" s="1346"/>
      <c r="H54" s="1346"/>
      <c r="I54" s="1346"/>
      <c r="J54" s="1346"/>
      <c r="K54" s="1346"/>
      <c r="L54" s="1346"/>
    </row>
    <row r="55" spans="1:13" s="17" customFormat="1" x14ac:dyDescent="0.2">
      <c r="A55" s="28"/>
    </row>
    <row r="56" spans="1:13" s="17" customFormat="1" x14ac:dyDescent="0.2">
      <c r="A56" s="1494"/>
      <c r="B56" s="1346"/>
      <c r="C56" s="1346"/>
      <c r="D56" s="1346"/>
      <c r="E56" s="1346"/>
      <c r="F56" s="1346"/>
      <c r="G56" s="1346"/>
      <c r="H56" s="1346"/>
      <c r="I56" s="1346"/>
      <c r="J56" s="1346"/>
      <c r="K56" s="1346"/>
      <c r="L56" s="1346"/>
    </row>
    <row r="57" spans="1:13" x14ac:dyDescent="0.2">
      <c r="A57" s="1494"/>
      <c r="B57" s="1496"/>
      <c r="C57" s="1496"/>
      <c r="D57" s="1496"/>
      <c r="E57" s="1496"/>
      <c r="F57" s="1496"/>
      <c r="G57" s="1496"/>
      <c r="H57" s="1496"/>
      <c r="I57" s="1496"/>
      <c r="J57" s="1496"/>
      <c r="K57" s="1496"/>
      <c r="L57" s="1496"/>
      <c r="M57" s="40"/>
    </row>
    <row r="58" spans="1:13" x14ac:dyDescent="0.2">
      <c r="A58" s="1494"/>
      <c r="B58" s="1496"/>
      <c r="C58" s="1496"/>
      <c r="D58" s="1496"/>
      <c r="E58" s="1496"/>
      <c r="F58" s="1496"/>
      <c r="G58" s="1496"/>
      <c r="H58" s="1496"/>
      <c r="I58" s="1496"/>
      <c r="J58" s="1496"/>
      <c r="K58" s="1496"/>
      <c r="L58" s="1496"/>
      <c r="M58" s="40"/>
    </row>
    <row r="59" spans="1:13" x14ac:dyDescent="0.2">
      <c r="A59" s="1494"/>
      <c r="B59" s="1496"/>
      <c r="C59" s="1496"/>
      <c r="D59" s="1496"/>
      <c r="E59" s="1496"/>
      <c r="F59" s="1496"/>
      <c r="G59" s="1496"/>
      <c r="H59" s="1496"/>
      <c r="I59" s="1496"/>
      <c r="J59" s="1496"/>
      <c r="K59" s="1496"/>
      <c r="L59" s="1496"/>
      <c r="M59" s="40"/>
    </row>
    <row r="60" spans="1:13" x14ac:dyDescent="0.2">
      <c r="A60" s="1494"/>
      <c r="B60" s="1496"/>
      <c r="C60" s="1496"/>
      <c r="D60" s="1496"/>
      <c r="E60" s="1496"/>
      <c r="F60" s="1496"/>
      <c r="G60" s="1496"/>
      <c r="H60" s="1496"/>
      <c r="I60" s="1496"/>
      <c r="J60" s="1496"/>
      <c r="K60" s="1496"/>
      <c r="L60" s="1496"/>
      <c r="M60" s="40"/>
    </row>
    <row r="61" spans="1:13" x14ac:dyDescent="0.2">
      <c r="A61" s="1494"/>
      <c r="B61" s="1496"/>
      <c r="C61" s="1496"/>
      <c r="D61" s="1496"/>
      <c r="E61" s="1496"/>
      <c r="F61" s="1496"/>
      <c r="G61" s="1496"/>
      <c r="H61" s="1496"/>
      <c r="I61" s="1496"/>
      <c r="J61" s="1496"/>
      <c r="K61" s="1496"/>
      <c r="L61" s="1496"/>
      <c r="M61" s="40"/>
    </row>
    <row r="62" spans="1:13" x14ac:dyDescent="0.2">
      <c r="A62" s="1494"/>
      <c r="B62" s="1496"/>
      <c r="C62" s="1496"/>
      <c r="D62" s="1496"/>
      <c r="E62" s="1496"/>
      <c r="F62" s="1496"/>
      <c r="G62" s="1496"/>
      <c r="H62" s="1496"/>
      <c r="I62" s="1496"/>
      <c r="J62" s="1496"/>
      <c r="K62" s="1496"/>
      <c r="L62" s="1496"/>
      <c r="M62" s="40"/>
    </row>
    <row r="63" spans="1:13" x14ac:dyDescent="0.2">
      <c r="A63" s="1494"/>
      <c r="B63" s="1496"/>
      <c r="C63" s="1496"/>
      <c r="D63" s="1496"/>
      <c r="E63" s="1496"/>
      <c r="F63" s="1496"/>
      <c r="G63" s="1496"/>
      <c r="H63" s="1496"/>
      <c r="I63" s="1496"/>
      <c r="J63" s="1496"/>
      <c r="K63" s="1496"/>
      <c r="L63" s="1496"/>
      <c r="M63" s="40"/>
    </row>
    <row r="64" spans="1:13" x14ac:dyDescent="0.2">
      <c r="A64" s="1494"/>
      <c r="B64" s="1496"/>
      <c r="C64" s="1496"/>
      <c r="D64" s="1496"/>
      <c r="E64" s="1496"/>
      <c r="F64" s="1496"/>
      <c r="G64" s="1496"/>
      <c r="H64" s="1496"/>
      <c r="I64" s="1496"/>
      <c r="J64" s="1496"/>
      <c r="K64" s="1496"/>
      <c r="L64" s="1496"/>
      <c r="M64" s="40"/>
    </row>
    <row r="65" spans="1:13" x14ac:dyDescent="0.2">
      <c r="A65" s="1494"/>
      <c r="B65" s="1496"/>
      <c r="C65" s="1496"/>
      <c r="D65" s="1496"/>
      <c r="E65" s="1496"/>
      <c r="F65" s="1496"/>
      <c r="G65" s="1496"/>
      <c r="H65" s="1496"/>
      <c r="I65" s="1496"/>
      <c r="J65" s="1496"/>
      <c r="K65" s="1496"/>
      <c r="L65" s="1496"/>
      <c r="M65" s="40"/>
    </row>
    <row r="66" spans="1:13" x14ac:dyDescent="0.2">
      <c r="A66" s="1494"/>
      <c r="B66" s="1496"/>
      <c r="C66" s="1496"/>
      <c r="D66" s="1496"/>
      <c r="E66" s="1496"/>
      <c r="F66" s="1496"/>
      <c r="G66" s="1496"/>
      <c r="H66" s="1496"/>
      <c r="I66" s="1496"/>
      <c r="J66" s="1496"/>
      <c r="K66" s="1496"/>
      <c r="L66" s="1496"/>
      <c r="M66" s="40"/>
    </row>
    <row r="67" spans="1:13" x14ac:dyDescent="0.2">
      <c r="A67" s="1494"/>
      <c r="B67" s="1496"/>
      <c r="C67" s="1496"/>
      <c r="D67" s="1496"/>
      <c r="E67" s="1496"/>
      <c r="F67" s="1496"/>
      <c r="G67" s="1496"/>
      <c r="H67" s="1496"/>
      <c r="I67" s="1496"/>
      <c r="J67" s="1496"/>
      <c r="K67" s="1496"/>
      <c r="L67" s="1496"/>
      <c r="M67" s="40"/>
    </row>
    <row r="68" spans="1:13" x14ac:dyDescent="0.2">
      <c r="A68" s="1494"/>
      <c r="B68" s="1496"/>
      <c r="C68" s="1496"/>
      <c r="D68" s="1496"/>
      <c r="E68" s="1496"/>
      <c r="F68" s="1496"/>
      <c r="G68" s="1496"/>
      <c r="H68" s="1496"/>
      <c r="I68" s="1496"/>
      <c r="J68" s="1496"/>
      <c r="K68" s="1496"/>
      <c r="L68" s="1496"/>
      <c r="M68" s="40"/>
    </row>
    <row r="69" spans="1:13" x14ac:dyDescent="0.2">
      <c r="A69" s="1494"/>
      <c r="B69" s="1496"/>
      <c r="C69" s="1496"/>
      <c r="D69" s="1496"/>
      <c r="E69" s="1496"/>
      <c r="F69" s="1496"/>
      <c r="G69" s="1496"/>
      <c r="H69" s="1496"/>
      <c r="I69" s="1496"/>
      <c r="J69" s="1496"/>
      <c r="K69" s="1496"/>
      <c r="L69" s="1496"/>
      <c r="M69" s="40"/>
    </row>
    <row r="70" spans="1:13" x14ac:dyDescent="0.2">
      <c r="A70" s="1494"/>
      <c r="B70" s="1496"/>
      <c r="C70" s="1496"/>
      <c r="D70" s="1496"/>
      <c r="E70" s="1496"/>
      <c r="F70" s="1496"/>
      <c r="G70" s="1496"/>
      <c r="H70" s="1496"/>
      <c r="I70" s="1496"/>
      <c r="J70" s="1496"/>
      <c r="K70" s="1496"/>
      <c r="L70" s="1496"/>
      <c r="M70" s="40"/>
    </row>
    <row r="71" spans="1:13" x14ac:dyDescent="0.2">
      <c r="A71" s="75"/>
      <c r="B71" s="40"/>
      <c r="C71" s="40"/>
      <c r="D71" s="40"/>
      <c r="E71" s="40"/>
      <c r="F71" s="40"/>
      <c r="G71" s="40"/>
      <c r="H71" s="40"/>
      <c r="I71" s="40"/>
      <c r="J71" s="40"/>
      <c r="K71" s="40"/>
      <c r="L71" s="40"/>
      <c r="M71" s="40"/>
    </row>
    <row r="72" spans="1:13" x14ac:dyDescent="0.2">
      <c r="A72" s="1501"/>
      <c r="B72" s="1502"/>
      <c r="C72" s="40"/>
      <c r="D72" s="40"/>
      <c r="E72" s="40"/>
      <c r="F72" s="40"/>
      <c r="G72" s="40"/>
      <c r="H72" s="40"/>
      <c r="I72" s="40"/>
      <c r="J72" s="40"/>
      <c r="K72" s="40"/>
      <c r="L72" s="40"/>
      <c r="M72" s="40"/>
    </row>
    <row r="73" spans="1:13" x14ac:dyDescent="0.2">
      <c r="A73" s="1494"/>
      <c r="B73" s="1496"/>
      <c r="C73" s="1496"/>
      <c r="D73" s="1496"/>
      <c r="E73" s="1496"/>
      <c r="F73" s="1496"/>
      <c r="G73" s="1496"/>
      <c r="H73" s="1496"/>
      <c r="I73" s="1496"/>
      <c r="J73" s="1496"/>
      <c r="K73" s="1496"/>
      <c r="L73" s="1496"/>
      <c r="M73" s="40"/>
    </row>
    <row r="74" spans="1:13" x14ac:dyDescent="0.2">
      <c r="A74" s="1494"/>
      <c r="B74" s="1496"/>
      <c r="C74" s="1496"/>
      <c r="D74" s="1496"/>
      <c r="E74" s="1496"/>
      <c r="F74" s="1496"/>
      <c r="G74" s="1496"/>
      <c r="H74" s="1496"/>
      <c r="I74" s="1496"/>
      <c r="J74" s="1496"/>
      <c r="K74" s="1496"/>
      <c r="L74" s="1496"/>
      <c r="M74" s="40"/>
    </row>
    <row r="75" spans="1:13" x14ac:dyDescent="0.2">
      <c r="A75" s="18" t="s">
        <v>203</v>
      </c>
    </row>
  </sheetData>
  <customSheetViews>
    <customSheetView guid="{4892E1C0-7A56-4F81-A857-987D77EC4462}">
      <selection activeCell="L9" sqref="L9"/>
      <rowBreaks count="1" manualBreakCount="1">
        <brk id="39" max="16383" man="1"/>
      </rowBreaks>
      <pageMargins left="0.5" right="0.5" top="0.75" bottom="0.75" header="0.3" footer="0.3"/>
      <pageSetup orientation="landscape" r:id="rId1"/>
      <headerFooter>
        <oddHeader>&amp;L&amp;G&amp;CShowAcronymGoesHere - PSM&amp;R&amp;P</oddHeader>
        <oddFooter>&amp;L&amp;D&amp;R&amp;Z&amp;F</oddFooter>
      </headerFooter>
    </customSheetView>
    <customSheetView guid="{C29C6423-4E3D-4B08-919E-993C7C45FC31}">
      <selection activeCell="L9" sqref="L9"/>
      <rowBreaks count="1" manualBreakCount="1">
        <brk id="39" max="16383" man="1"/>
      </rowBreaks>
      <pageMargins left="0.5" right="0.5" top="0.75" bottom="0.75" header="0.3" footer="0.3"/>
      <pageSetup orientation="landscape" r:id="rId2"/>
      <headerFooter>
        <oddHeader>&amp;L&amp;G&amp;CShowAcronymGoesHere - PSM&amp;R&amp;P</oddHeader>
        <oddFooter>&amp;L&amp;D&amp;R&amp;Z&amp;F</oddFooter>
      </headerFooter>
    </customSheetView>
  </customSheetViews>
  <mergeCells count="104">
    <mergeCell ref="I22:K22"/>
    <mergeCell ref="I23:K23"/>
    <mergeCell ref="A19:D19"/>
    <mergeCell ref="A8:B8"/>
    <mergeCell ref="D22:E22"/>
    <mergeCell ref="D23:E23"/>
    <mergeCell ref="F21:H21"/>
    <mergeCell ref="F22:H22"/>
    <mergeCell ref="F23:H23"/>
    <mergeCell ref="A16:C16"/>
    <mergeCell ref="D16:K16"/>
    <mergeCell ref="A17:C17"/>
    <mergeCell ref="D17:K17"/>
    <mergeCell ref="D20:E20"/>
    <mergeCell ref="D21:E21"/>
    <mergeCell ref="A12:C12"/>
    <mergeCell ref="A13:C13"/>
    <mergeCell ref="A21:C21"/>
    <mergeCell ref="A20:C20"/>
    <mergeCell ref="A15:C15"/>
    <mergeCell ref="D15:K15"/>
    <mergeCell ref="A14:C14"/>
    <mergeCell ref="D14:K14"/>
    <mergeCell ref="F20:H20"/>
    <mergeCell ref="D53:K53"/>
    <mergeCell ref="A51:C51"/>
    <mergeCell ref="D51:K51"/>
    <mergeCell ref="A58:L58"/>
    <mergeCell ref="A59:L59"/>
    <mergeCell ref="A57:L57"/>
    <mergeCell ref="A73:L73"/>
    <mergeCell ref="A74:L74"/>
    <mergeCell ref="A68:L68"/>
    <mergeCell ref="A69:L69"/>
    <mergeCell ref="A70:L70"/>
    <mergeCell ref="A72:B72"/>
    <mergeCell ref="A9:C9"/>
    <mergeCell ref="A10:C10"/>
    <mergeCell ref="A11:C11"/>
    <mergeCell ref="A56:L56"/>
    <mergeCell ref="A22:C22"/>
    <mergeCell ref="A67:L67"/>
    <mergeCell ref="A60:L60"/>
    <mergeCell ref="A61:L61"/>
    <mergeCell ref="A62:L62"/>
    <mergeCell ref="A63:L63"/>
    <mergeCell ref="A65:L65"/>
    <mergeCell ref="A27:C27"/>
    <mergeCell ref="D28:K28"/>
    <mergeCell ref="A29:C29"/>
    <mergeCell ref="A66:L66"/>
    <mergeCell ref="A54:L54"/>
    <mergeCell ref="A42:L42"/>
    <mergeCell ref="A64:L64"/>
    <mergeCell ref="D37:K37"/>
    <mergeCell ref="D29:K29"/>
    <mergeCell ref="A28:C28"/>
    <mergeCell ref="D27:K27"/>
    <mergeCell ref="A26:K26"/>
    <mergeCell ref="A53:C53"/>
    <mergeCell ref="I20:K20"/>
    <mergeCell ref="I21:K21"/>
    <mergeCell ref="A2:L2"/>
    <mergeCell ref="A23:C23"/>
    <mergeCell ref="D12:K12"/>
    <mergeCell ref="D13:K13"/>
    <mergeCell ref="A4:B4"/>
    <mergeCell ref="I4:K4"/>
    <mergeCell ref="I5:K5"/>
    <mergeCell ref="I6:K6"/>
    <mergeCell ref="C4:E4"/>
    <mergeCell ref="C5:E5"/>
    <mergeCell ref="C6:E6"/>
    <mergeCell ref="F4:H4"/>
    <mergeCell ref="F5:H5"/>
    <mergeCell ref="F6:H6"/>
    <mergeCell ref="A5:B5"/>
    <mergeCell ref="A6:B6"/>
    <mergeCell ref="D9:G9"/>
    <mergeCell ref="H9:K9"/>
    <mergeCell ref="D10:G10"/>
    <mergeCell ref="D11:G11"/>
    <mergeCell ref="H10:K10"/>
    <mergeCell ref="H11:K11"/>
    <mergeCell ref="A31:K31"/>
    <mergeCell ref="A32:K32"/>
    <mergeCell ref="A33:K33"/>
    <mergeCell ref="A52:C52"/>
    <mergeCell ref="D52:K52"/>
    <mergeCell ref="A36:C36"/>
    <mergeCell ref="D36:K36"/>
    <mergeCell ref="A37:C37"/>
    <mergeCell ref="A40:C40"/>
    <mergeCell ref="A50:C50"/>
    <mergeCell ref="D49:K49"/>
    <mergeCell ref="A49:C49"/>
    <mergeCell ref="D40:K40"/>
    <mergeCell ref="A41:C41"/>
    <mergeCell ref="D41:K41"/>
    <mergeCell ref="D50:K50"/>
    <mergeCell ref="A44:C44"/>
    <mergeCell ref="D44:K44"/>
    <mergeCell ref="A45:C45"/>
    <mergeCell ref="D45:K45"/>
  </mergeCells>
  <phoneticPr fontId="6" type="noConversion"/>
  <hyperlinks>
    <hyperlink ref="A1" location="TOC!A1" display="TOC Page"/>
    <hyperlink ref="D10" r:id="rId3"/>
    <hyperlink ref="H10" r:id="rId4"/>
    <hyperlink ref="D53" r:id="rId5"/>
  </hyperlinks>
  <pageMargins left="0.5" right="0.5" top="0.75" bottom="0.75" header="0.3" footer="0.3"/>
  <pageSetup orientation="landscape" r:id="rId6"/>
  <headerFooter>
    <oddHeader>&amp;L&amp;G&amp;CShowAcronymGoesHere - PSM&amp;R&amp;P</oddHeader>
    <oddFooter>&amp;L&amp;D&amp;R&amp;Z&amp;F</oddFooter>
  </headerFooter>
  <customProperties>
    <customPr name="DVSECTIONID" r:id="rId7"/>
  </customProperties>
  <legacyDrawingHF r:id="rId8"/>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K59"/>
  <sheetViews>
    <sheetView zoomScaleNormal="100" workbookViewId="0">
      <pane ySplit="1" topLeftCell="A2" activePane="bottomLeft" state="frozen"/>
      <selection activeCell="U16" sqref="U16"/>
      <selection pane="bottomLeft" activeCell="A17" sqref="A17:C17"/>
    </sheetView>
  </sheetViews>
  <sheetFormatPr defaultRowHeight="12.75" x14ac:dyDescent="0.2"/>
  <cols>
    <col min="3" max="3" width="16.140625" customWidth="1"/>
    <col min="4" max="4" width="12.7109375" customWidth="1"/>
    <col min="5" max="5" width="18" customWidth="1"/>
    <col min="6" max="6" width="19.28515625" customWidth="1"/>
    <col min="7" max="7" width="18.140625" customWidth="1"/>
    <col min="8" max="8" width="19" customWidth="1"/>
    <col min="9" max="9" width="18" customWidth="1"/>
    <col min="10" max="10" width="19.5703125" customWidth="1"/>
    <col min="11" max="11" width="20.28515625" customWidth="1"/>
  </cols>
  <sheetData>
    <row r="1" spans="1:10" x14ac:dyDescent="0.2">
      <c r="A1" s="1420" t="s">
        <v>639</v>
      </c>
      <c r="B1" s="1420"/>
    </row>
    <row r="2" spans="1:10" ht="20.25" customHeight="1" x14ac:dyDescent="0.2">
      <c r="A2" s="1467" t="s">
        <v>212</v>
      </c>
      <c r="B2" s="1468"/>
      <c r="C2" s="1468"/>
      <c r="D2" s="1468"/>
      <c r="E2" s="1468"/>
      <c r="F2" s="1468"/>
      <c r="G2" s="1468"/>
      <c r="H2" s="1468"/>
      <c r="I2" s="1468"/>
    </row>
    <row r="4" spans="1:10" ht="15" x14ac:dyDescent="0.2">
      <c r="A4" s="1535" t="s">
        <v>1061</v>
      </c>
      <c r="B4" s="1536"/>
      <c r="C4" s="1536"/>
      <c r="D4" s="1536"/>
    </row>
    <row r="5" spans="1:10" s="39" customFormat="1" ht="12.75" customHeight="1" x14ac:dyDescent="0.2">
      <c r="A5" s="1537" t="s">
        <v>1069</v>
      </c>
      <c r="B5" s="1537"/>
      <c r="C5" s="1537"/>
      <c r="D5" s="1537"/>
      <c r="E5" s="1537"/>
      <c r="F5" s="1537"/>
      <c r="G5" s="1537"/>
      <c r="H5" s="1537"/>
      <c r="I5" s="1537"/>
    </row>
    <row r="6" spans="1:10" s="39" customFormat="1" ht="12.75" customHeight="1" x14ac:dyDescent="0.2">
      <c r="A6" s="1537" t="s">
        <v>1070</v>
      </c>
      <c r="B6" s="1537"/>
      <c r="C6" s="1537"/>
      <c r="D6" s="1537"/>
      <c r="E6" s="1537"/>
      <c r="F6" s="1537"/>
      <c r="G6" s="1537"/>
      <c r="H6" s="1537"/>
      <c r="I6" s="1537"/>
    </row>
    <row r="7" spans="1:10" s="39" customFormat="1" ht="14.25" customHeight="1" x14ac:dyDescent="0.2">
      <c r="A7" s="1537" t="s">
        <v>1071</v>
      </c>
      <c r="B7" s="1537"/>
      <c r="C7" s="1537"/>
      <c r="D7" s="1537"/>
      <c r="E7" s="1537"/>
      <c r="F7" s="1537"/>
      <c r="G7" s="1537"/>
      <c r="H7" s="1537"/>
      <c r="I7" s="1537"/>
    </row>
    <row r="8" spans="1:10" s="39" customFormat="1" ht="12.75" customHeight="1" x14ac:dyDescent="0.2">
      <c r="A8" s="1537" t="s">
        <v>1072</v>
      </c>
      <c r="B8" s="1537"/>
      <c r="C8" s="1537"/>
      <c r="D8" s="1537"/>
      <c r="E8" s="1537"/>
      <c r="F8" s="1537"/>
      <c r="G8" s="1537"/>
      <c r="H8" s="1537"/>
      <c r="I8" s="1537"/>
    </row>
    <row r="9" spans="1:10" s="39" customFormat="1" ht="12.75" customHeight="1" x14ac:dyDescent="0.2">
      <c r="A9" s="1537" t="s">
        <v>1073</v>
      </c>
      <c r="B9" s="1537"/>
      <c r="C9" s="1537"/>
      <c r="D9" s="1537"/>
      <c r="E9" s="1537"/>
      <c r="F9" s="1537"/>
      <c r="G9" s="1537"/>
      <c r="H9" s="1537"/>
      <c r="I9" s="1537"/>
    </row>
    <row r="10" spans="1:10" s="214" customFormat="1" ht="26.25" customHeight="1" x14ac:dyDescent="0.2">
      <c r="A10" s="1359" t="s">
        <v>1074</v>
      </c>
      <c r="B10" s="1359"/>
      <c r="C10" s="1359"/>
      <c r="D10" s="1359"/>
      <c r="E10" s="1359"/>
      <c r="F10" s="1359"/>
      <c r="G10" s="1359"/>
      <c r="H10" s="1359"/>
      <c r="I10" s="1359"/>
    </row>
    <row r="11" spans="1:10" s="214" customFormat="1" x14ac:dyDescent="0.2">
      <c r="A11" s="188"/>
      <c r="B11" s="188"/>
      <c r="C11" s="188"/>
      <c r="D11" s="188"/>
      <c r="E11" s="188"/>
      <c r="F11" s="188"/>
      <c r="G11" s="188"/>
      <c r="H11" s="188"/>
      <c r="I11" s="188"/>
    </row>
    <row r="12" spans="1:10" s="214" customFormat="1" x14ac:dyDescent="0.2">
      <c r="A12" s="1538" t="s">
        <v>1077</v>
      </c>
      <c r="B12" s="1538"/>
      <c r="C12" s="1538"/>
      <c r="D12" s="1539"/>
      <c r="E12" s="1539"/>
      <c r="F12" s="1539"/>
      <c r="G12" s="1539"/>
      <c r="H12" s="1539"/>
      <c r="I12" s="1539"/>
    </row>
    <row r="13" spans="1:10" s="39" customFormat="1" x14ac:dyDescent="0.2">
      <c r="A13" s="213"/>
      <c r="B13" s="213"/>
      <c r="C13" s="213"/>
      <c r="D13" s="213"/>
      <c r="E13" s="213"/>
      <c r="F13" s="213"/>
      <c r="G13" s="213"/>
      <c r="H13" s="213"/>
      <c r="I13" s="213"/>
    </row>
    <row r="14" spans="1:10" s="215" customFormat="1" ht="54" customHeight="1" x14ac:dyDescent="0.2">
      <c r="A14" s="1540" t="s">
        <v>398</v>
      </c>
      <c r="B14" s="1541"/>
      <c r="C14" s="1541"/>
      <c r="D14" s="675" t="s">
        <v>400</v>
      </c>
      <c r="E14" s="672" t="s">
        <v>2281</v>
      </c>
      <c r="F14" s="672" t="s">
        <v>2282</v>
      </c>
      <c r="G14" s="672" t="s">
        <v>2283</v>
      </c>
      <c r="H14" s="672" t="s">
        <v>2284</v>
      </c>
      <c r="I14" s="800" t="s">
        <v>2296</v>
      </c>
      <c r="J14" s="672" t="s">
        <v>2334</v>
      </c>
    </row>
    <row r="15" spans="1:10" s="215" customFormat="1" ht="15" customHeight="1" x14ac:dyDescent="0.2">
      <c r="A15" s="1529" t="s">
        <v>1078</v>
      </c>
      <c r="B15" s="1530"/>
      <c r="C15" s="1531"/>
      <c r="D15" s="675" t="s">
        <v>91</v>
      </c>
      <c r="E15" s="672">
        <v>1</v>
      </c>
      <c r="F15" s="672">
        <v>2</v>
      </c>
      <c r="G15" s="672">
        <v>3</v>
      </c>
      <c r="H15" s="672">
        <v>4</v>
      </c>
      <c r="I15" s="800">
        <v>5</v>
      </c>
      <c r="J15" s="722">
        <v>6</v>
      </c>
    </row>
    <row r="16" spans="1:10" s="216" customFormat="1" ht="24" customHeight="1" x14ac:dyDescent="0.2">
      <c r="A16" s="1527" t="s">
        <v>1485</v>
      </c>
      <c r="B16" s="1528"/>
      <c r="C16" s="1528"/>
      <c r="D16" s="204" t="s">
        <v>1083</v>
      </c>
      <c r="E16" s="204" t="s">
        <v>45</v>
      </c>
      <c r="F16" s="204" t="s">
        <v>45</v>
      </c>
      <c r="G16" s="204" t="s">
        <v>45</v>
      </c>
      <c r="H16" s="204" t="s">
        <v>45</v>
      </c>
      <c r="I16" s="329" t="s">
        <v>45</v>
      </c>
      <c r="J16" s="204" t="s">
        <v>2251</v>
      </c>
    </row>
    <row r="17" spans="1:11" s="216" customFormat="1" ht="63" customHeight="1" x14ac:dyDescent="0.2">
      <c r="A17" s="1527" t="s">
        <v>1079</v>
      </c>
      <c r="B17" s="1528"/>
      <c r="C17" s="1528"/>
      <c r="D17" s="204" t="s">
        <v>2308</v>
      </c>
      <c r="E17" s="329" t="s">
        <v>2695</v>
      </c>
      <c r="F17" s="329" t="s">
        <v>2695</v>
      </c>
      <c r="G17" s="329" t="s">
        <v>2474</v>
      </c>
      <c r="H17" s="329" t="s">
        <v>2474</v>
      </c>
      <c r="I17" s="329" t="s">
        <v>2696</v>
      </c>
      <c r="J17" s="204" t="s">
        <v>2413</v>
      </c>
      <c r="K17" s="1006" t="s">
        <v>2541</v>
      </c>
    </row>
    <row r="18" spans="1:11" s="216" customFormat="1" ht="12.75" customHeight="1" x14ac:dyDescent="0.2">
      <c r="A18" s="1527" t="s">
        <v>46</v>
      </c>
      <c r="B18" s="1528"/>
      <c r="C18" s="1528"/>
      <c r="D18" s="204">
        <v>360</v>
      </c>
      <c r="E18" s="204">
        <v>360</v>
      </c>
      <c r="F18" s="204">
        <v>360</v>
      </c>
      <c r="G18" s="204">
        <v>360</v>
      </c>
      <c r="H18" s="204">
        <v>360</v>
      </c>
      <c r="I18" s="204">
        <v>360</v>
      </c>
      <c r="J18" s="204">
        <v>360</v>
      </c>
    </row>
    <row r="19" spans="1:11" s="216" customFormat="1" ht="12.75" customHeight="1" x14ac:dyDescent="0.2">
      <c r="A19" s="1532" t="s">
        <v>1080</v>
      </c>
      <c r="B19" s="1533"/>
      <c r="C19" s="1534"/>
      <c r="D19" s="677"/>
      <c r="E19" s="204" t="s">
        <v>2058</v>
      </c>
      <c r="F19" s="204" t="s">
        <v>2058</v>
      </c>
      <c r="G19" s="204" t="s">
        <v>2058</v>
      </c>
      <c r="H19" s="204" t="s">
        <v>2058</v>
      </c>
      <c r="I19" s="329" t="s">
        <v>2058</v>
      </c>
      <c r="J19" s="204" t="s">
        <v>2253</v>
      </c>
    </row>
    <row r="20" spans="1:11" s="216" customFormat="1" ht="12.75" customHeight="1" x14ac:dyDescent="0.2">
      <c r="A20" s="1527" t="s">
        <v>50</v>
      </c>
      <c r="B20" s="1528"/>
      <c r="C20" s="1528"/>
      <c r="D20" s="674"/>
      <c r="E20" s="204" t="s">
        <v>96</v>
      </c>
      <c r="F20" s="204" t="s">
        <v>97</v>
      </c>
      <c r="G20" s="204" t="s">
        <v>97</v>
      </c>
      <c r="H20" s="204" t="s">
        <v>97</v>
      </c>
      <c r="I20" s="329" t="s">
        <v>97</v>
      </c>
      <c r="J20" s="204" t="s">
        <v>96</v>
      </c>
    </row>
    <row r="21" spans="1:11" s="216" customFormat="1" ht="12" x14ac:dyDescent="0.2">
      <c r="A21" s="1527" t="s">
        <v>47</v>
      </c>
      <c r="B21" s="1528"/>
      <c r="C21" s="1528"/>
      <c r="D21" s="345"/>
      <c r="E21" s="345" t="s">
        <v>1526</v>
      </c>
      <c r="F21" s="326" t="s">
        <v>1819</v>
      </c>
      <c r="G21" s="326" t="s">
        <v>2254</v>
      </c>
      <c r="H21" s="326" t="s">
        <v>2254</v>
      </c>
      <c r="I21" s="326" t="s">
        <v>1819</v>
      </c>
      <c r="J21" s="204">
        <v>0</v>
      </c>
    </row>
    <row r="22" spans="1:11" s="216" customFormat="1" ht="12.75" customHeight="1" x14ac:dyDescent="0.2">
      <c r="A22" s="1527" t="s">
        <v>48</v>
      </c>
      <c r="B22" s="1528"/>
      <c r="C22" s="1528"/>
      <c r="D22" s="674"/>
      <c r="E22" s="204"/>
      <c r="F22" s="204"/>
      <c r="G22" s="204"/>
      <c r="H22" s="204"/>
      <c r="I22" s="329"/>
      <c r="J22" s="204"/>
    </row>
    <row r="23" spans="1:11" s="216" customFormat="1" ht="12.75" customHeight="1" x14ac:dyDescent="0.2">
      <c r="A23" s="1532" t="s">
        <v>1794</v>
      </c>
      <c r="B23" s="1465"/>
      <c r="C23" s="1478"/>
      <c r="D23" s="674"/>
      <c r="E23" s="204"/>
      <c r="F23" s="204"/>
      <c r="G23" s="204"/>
      <c r="H23" s="204"/>
      <c r="I23" s="329"/>
      <c r="J23" s="204"/>
    </row>
    <row r="24" spans="1:11" s="216" customFormat="1" ht="12.75" customHeight="1" x14ac:dyDescent="0.2">
      <c r="A24" s="1527" t="s">
        <v>49</v>
      </c>
      <c r="B24" s="1528"/>
      <c r="C24" s="1528"/>
      <c r="D24" s="674"/>
      <c r="E24" s="204"/>
      <c r="F24" s="204"/>
      <c r="G24" s="204"/>
      <c r="H24" s="204"/>
      <c r="I24" s="329"/>
      <c r="J24" s="204"/>
    </row>
    <row r="25" spans="1:11" s="216" customFormat="1" ht="12.75" customHeight="1" x14ac:dyDescent="0.2">
      <c r="A25" s="1545" t="s">
        <v>1081</v>
      </c>
      <c r="B25" s="1545"/>
      <c r="C25" s="1545"/>
      <c r="D25" s="678"/>
      <c r="E25" s="217"/>
      <c r="F25" s="217"/>
      <c r="G25" s="217"/>
      <c r="H25" s="217"/>
      <c r="I25" s="217"/>
      <c r="J25" s="217"/>
    </row>
    <row r="26" spans="1:11" s="216" customFormat="1" ht="12.75" customHeight="1" x14ac:dyDescent="0.2">
      <c r="A26" s="1542" t="s">
        <v>1082</v>
      </c>
      <c r="B26" s="1543"/>
      <c r="C26" s="1544"/>
      <c r="D26" s="671"/>
      <c r="E26" s="204"/>
      <c r="F26" s="204"/>
      <c r="G26" s="204"/>
      <c r="H26" s="204"/>
      <c r="I26" s="329"/>
      <c r="J26" s="204"/>
    </row>
    <row r="27" spans="1:11" s="216" customFormat="1" ht="12.75" customHeight="1" x14ac:dyDescent="0.2">
      <c r="A27" s="1542" t="s">
        <v>675</v>
      </c>
      <c r="B27" s="1543"/>
      <c r="C27" s="1544"/>
      <c r="D27" s="671"/>
      <c r="E27" s="204"/>
      <c r="F27" s="204"/>
      <c r="G27" s="204"/>
      <c r="H27" s="204"/>
      <c r="I27" s="329"/>
      <c r="J27" s="204"/>
    </row>
    <row r="28" spans="1:11" s="216" customFormat="1" ht="12.75" customHeight="1" x14ac:dyDescent="0.2">
      <c r="A28" s="1528" t="s">
        <v>51</v>
      </c>
      <c r="B28" s="1528"/>
      <c r="C28" s="1528"/>
      <c r="D28" s="674"/>
      <c r="E28" s="329" t="s">
        <v>2255</v>
      </c>
      <c r="F28" s="329" t="s">
        <v>2255</v>
      </c>
      <c r="G28" s="329" t="s">
        <v>155</v>
      </c>
      <c r="H28" s="329" t="s">
        <v>155</v>
      </c>
      <c r="I28" s="329"/>
      <c r="J28" s="204" t="s">
        <v>2255</v>
      </c>
    </row>
    <row r="29" spans="1:11" s="216" customFormat="1" ht="12" x14ac:dyDescent="0.2">
      <c r="A29" s="1528" t="s">
        <v>52</v>
      </c>
      <c r="B29" s="1528"/>
      <c r="C29" s="1528"/>
      <c r="D29" s="674"/>
      <c r="E29" s="204"/>
      <c r="F29" s="204"/>
      <c r="G29" s="204"/>
      <c r="H29" s="204"/>
      <c r="I29" s="329"/>
      <c r="J29" s="204"/>
    </row>
    <row r="30" spans="1:11" s="216" customFormat="1" ht="12" x14ac:dyDescent="0.2">
      <c r="A30" s="1528" t="s">
        <v>53</v>
      </c>
      <c r="B30" s="1528"/>
      <c r="C30" s="1528"/>
      <c r="D30" s="674"/>
      <c r="E30" s="204"/>
      <c r="F30" s="204"/>
      <c r="G30" s="204"/>
      <c r="H30" s="204"/>
      <c r="I30" s="329"/>
      <c r="J30" s="204"/>
    </row>
    <row r="31" spans="1:11" s="216" customFormat="1" ht="12.75" customHeight="1" x14ac:dyDescent="0.2">
      <c r="A31" s="1528" t="s">
        <v>54</v>
      </c>
      <c r="B31" s="1528"/>
      <c r="C31" s="1528"/>
      <c r="D31" s="674"/>
      <c r="E31" s="204"/>
      <c r="F31" s="204"/>
      <c r="G31" s="204"/>
      <c r="H31" s="204"/>
      <c r="I31" s="329"/>
      <c r="J31" s="204"/>
    </row>
    <row r="32" spans="1:11" s="216" customFormat="1" ht="12" x14ac:dyDescent="0.2">
      <c r="A32" s="1528" t="s">
        <v>55</v>
      </c>
      <c r="B32" s="1528"/>
      <c r="C32" s="1528"/>
      <c r="D32" s="674"/>
      <c r="E32" s="204"/>
      <c r="F32" s="204"/>
      <c r="G32" s="204"/>
      <c r="H32" s="204"/>
      <c r="I32" s="909">
        <v>0</v>
      </c>
      <c r="J32" s="204"/>
    </row>
    <row r="33" spans="1:10" s="216" customFormat="1" ht="12" x14ac:dyDescent="0.2">
      <c r="A33" s="1528" t="s">
        <v>200</v>
      </c>
      <c r="B33" s="1528"/>
      <c r="C33" s="1528"/>
      <c r="D33" s="674"/>
      <c r="E33" s="204"/>
      <c r="F33" s="204"/>
      <c r="G33" s="204"/>
      <c r="H33" s="204"/>
      <c r="I33" s="329"/>
      <c r="J33" s="204"/>
    </row>
    <row r="34" spans="1:10" s="216" customFormat="1" ht="139.5" customHeight="1" x14ac:dyDescent="0.2">
      <c r="A34" s="1528" t="s">
        <v>882</v>
      </c>
      <c r="B34" s="1528"/>
      <c r="C34" s="1528"/>
      <c r="D34" s="674"/>
      <c r="E34" s="867" t="s">
        <v>2385</v>
      </c>
      <c r="F34" s="867" t="s">
        <v>2385</v>
      </c>
      <c r="G34" s="867" t="s">
        <v>2385</v>
      </c>
      <c r="H34" s="867" t="s">
        <v>2385</v>
      </c>
      <c r="I34" s="867"/>
      <c r="J34" s="867"/>
    </row>
    <row r="35" spans="1:10" s="216" customFormat="1" ht="12" x14ac:dyDescent="0.2">
      <c r="A35" s="1528" t="s">
        <v>56</v>
      </c>
      <c r="B35" s="1528"/>
      <c r="C35" s="1528"/>
      <c r="D35" s="674"/>
      <c r="E35" s="674"/>
      <c r="F35" s="674"/>
      <c r="G35" s="674"/>
      <c r="H35" s="674"/>
      <c r="I35" s="751"/>
      <c r="J35" s="204"/>
    </row>
    <row r="36" spans="1:10" ht="14.25" x14ac:dyDescent="0.2">
      <c r="A36" s="19"/>
    </row>
    <row r="37" spans="1:10" s="17" customFormat="1" ht="15" x14ac:dyDescent="0.2">
      <c r="A37" s="1546" t="s">
        <v>1075</v>
      </c>
      <c r="B37" s="1536"/>
      <c r="C37" s="1536"/>
      <c r="D37" s="1536"/>
      <c r="E37" s="1536"/>
      <c r="F37" s="670" t="s">
        <v>91</v>
      </c>
      <c r="G37" s="34"/>
      <c r="H37" s="34"/>
      <c r="I37" s="34"/>
    </row>
    <row r="38" spans="1:10" s="17" customFormat="1" x14ac:dyDescent="0.2">
      <c r="A38" s="44"/>
      <c r="B38" s="34"/>
      <c r="C38" s="34"/>
      <c r="D38" s="34"/>
      <c r="E38" s="34"/>
      <c r="F38" s="34"/>
      <c r="G38" s="34"/>
      <c r="H38" s="34"/>
      <c r="I38" s="34"/>
    </row>
    <row r="39" spans="1:10" s="17" customFormat="1" x14ac:dyDescent="0.2">
      <c r="A39" s="1355" t="s">
        <v>216</v>
      </c>
      <c r="B39" s="1346"/>
      <c r="C39" s="1346"/>
      <c r="D39" s="1346"/>
      <c r="E39" s="34"/>
      <c r="F39" s="34"/>
      <c r="G39" s="34"/>
      <c r="H39" s="34"/>
      <c r="I39" s="34"/>
    </row>
    <row r="40" spans="1:10" s="17" customFormat="1" x14ac:dyDescent="0.2">
      <c r="A40" s="43" t="s">
        <v>604</v>
      </c>
      <c r="B40" s="1447" t="s">
        <v>78</v>
      </c>
      <c r="C40" s="1547"/>
      <c r="D40" s="1547"/>
      <c r="E40" s="1547"/>
      <c r="F40" s="1547"/>
      <c r="G40" s="34"/>
      <c r="H40" s="34"/>
      <c r="I40" s="34"/>
    </row>
    <row r="41" spans="1:10" s="17" customFormat="1" x14ac:dyDescent="0.2">
      <c r="A41" s="56"/>
      <c r="B41" s="1434" t="s">
        <v>206</v>
      </c>
      <c r="C41" s="1434"/>
      <c r="D41" s="1434"/>
      <c r="E41" s="1434"/>
      <c r="F41" s="1434"/>
      <c r="G41" s="34"/>
      <c r="H41" s="34"/>
      <c r="I41" s="34"/>
    </row>
    <row r="42" spans="1:10" s="17" customFormat="1" x14ac:dyDescent="0.2">
      <c r="A42" s="56"/>
      <c r="B42" s="1434" t="s">
        <v>207</v>
      </c>
      <c r="C42" s="1434"/>
      <c r="D42" s="1434"/>
      <c r="E42" s="1434"/>
      <c r="F42" s="1434"/>
      <c r="G42" s="34"/>
      <c r="H42" s="34"/>
      <c r="I42" s="34"/>
    </row>
    <row r="43" spans="1:10" s="17" customFormat="1" x14ac:dyDescent="0.2">
      <c r="A43" s="44"/>
      <c r="B43" s="34"/>
      <c r="C43" s="34"/>
      <c r="D43" s="34"/>
      <c r="E43" s="34"/>
      <c r="F43" s="34"/>
      <c r="G43" s="34"/>
      <c r="H43" s="34"/>
      <c r="I43" s="34"/>
    </row>
    <row r="44" spans="1:10" s="17" customFormat="1" x14ac:dyDescent="0.2">
      <c r="A44" s="1355" t="s">
        <v>217</v>
      </c>
      <c r="B44" s="1346"/>
      <c r="C44" s="1346"/>
      <c r="D44" s="1346"/>
      <c r="E44" s="1346"/>
      <c r="F44" s="34"/>
      <c r="G44" s="34"/>
      <c r="H44" s="34"/>
      <c r="I44" s="34"/>
    </row>
    <row r="45" spans="1:10" s="17" customFormat="1" x14ac:dyDescent="0.2">
      <c r="A45" s="43" t="s">
        <v>604</v>
      </c>
      <c r="B45" s="1447" t="s">
        <v>78</v>
      </c>
      <c r="C45" s="1547"/>
      <c r="D45" s="1547"/>
      <c r="E45" s="1547"/>
      <c r="F45" s="1547"/>
      <c r="G45" s="34"/>
      <c r="H45" s="34"/>
      <c r="I45" s="34"/>
    </row>
    <row r="46" spans="1:10" s="17" customFormat="1" x14ac:dyDescent="0.2">
      <c r="A46" s="56"/>
      <c r="B46" s="1426" t="s">
        <v>105</v>
      </c>
      <c r="C46" s="1427"/>
      <c r="D46" s="1427"/>
      <c r="E46" s="1427"/>
      <c r="F46" s="1428"/>
      <c r="G46" s="34"/>
      <c r="H46" s="34"/>
      <c r="I46" s="34"/>
    </row>
    <row r="47" spans="1:10" s="17" customFormat="1" x14ac:dyDescent="0.2">
      <c r="A47" s="56"/>
      <c r="B47" s="1426" t="s">
        <v>106</v>
      </c>
      <c r="C47" s="1427"/>
      <c r="D47" s="1427"/>
      <c r="E47" s="1427"/>
      <c r="F47" s="1428"/>
      <c r="G47" s="34"/>
      <c r="H47" s="34"/>
      <c r="I47" s="34"/>
    </row>
    <row r="48" spans="1:10" s="17" customFormat="1" x14ac:dyDescent="0.2">
      <c r="A48" s="176"/>
      <c r="B48" s="1426" t="s">
        <v>107</v>
      </c>
      <c r="C48" s="1427"/>
      <c r="D48" s="1427"/>
      <c r="E48" s="1427"/>
      <c r="F48" s="1428"/>
      <c r="G48" s="34"/>
      <c r="H48" s="34"/>
      <c r="I48" s="34"/>
    </row>
    <row r="49" spans="1:9" s="17" customFormat="1" x14ac:dyDescent="0.2">
      <c r="A49" s="176"/>
      <c r="B49" s="1426" t="s">
        <v>219</v>
      </c>
      <c r="C49" s="1427"/>
      <c r="D49" s="1427"/>
      <c r="E49" s="1427"/>
      <c r="F49" s="1428"/>
      <c r="G49" s="34"/>
      <c r="H49" s="34"/>
      <c r="I49" s="34"/>
    </row>
    <row r="50" spans="1:9" s="17" customFormat="1" x14ac:dyDescent="0.2">
      <c r="A50" s="76"/>
      <c r="B50" s="64"/>
      <c r="C50" s="64"/>
      <c r="D50" s="64"/>
      <c r="E50" s="64"/>
      <c r="F50" s="64"/>
      <c r="G50" s="34"/>
      <c r="H50" s="34"/>
      <c r="I50" s="34"/>
    </row>
    <row r="51" spans="1:9" s="17" customFormat="1" x14ac:dyDescent="0.2">
      <c r="A51" s="1355" t="s">
        <v>218</v>
      </c>
      <c r="B51" s="1346"/>
      <c r="C51" s="1346"/>
      <c r="D51" s="1346"/>
      <c r="E51" s="34"/>
      <c r="F51" s="34"/>
      <c r="G51" s="34"/>
      <c r="H51" s="34"/>
      <c r="I51" s="34"/>
    </row>
    <row r="52" spans="1:9" s="17" customFormat="1" x14ac:dyDescent="0.2">
      <c r="A52" s="43" t="s">
        <v>604</v>
      </c>
      <c r="B52" s="1447" t="s">
        <v>78</v>
      </c>
      <c r="C52" s="1547"/>
      <c r="D52" s="1547"/>
      <c r="E52" s="1547"/>
      <c r="F52" s="1547"/>
      <c r="G52" s="34"/>
      <c r="H52" s="34"/>
      <c r="I52" s="34"/>
    </row>
    <row r="53" spans="1:9" s="17" customFormat="1" x14ac:dyDescent="0.2">
      <c r="A53" s="56"/>
      <c r="B53" s="1426" t="s">
        <v>108</v>
      </c>
      <c r="C53" s="1427"/>
      <c r="D53" s="1427"/>
      <c r="E53" s="1427"/>
      <c r="F53" s="1428"/>
      <c r="G53" s="34"/>
      <c r="H53" s="34"/>
      <c r="I53" s="34"/>
    </row>
    <row r="54" spans="1:9" s="17" customFormat="1" x14ac:dyDescent="0.2">
      <c r="A54" s="56"/>
      <c r="B54" s="1426" t="s">
        <v>109</v>
      </c>
      <c r="C54" s="1427"/>
      <c r="D54" s="1427"/>
      <c r="E54" s="1427"/>
      <c r="F54" s="1428"/>
      <c r="G54" s="34"/>
      <c r="H54" s="34"/>
      <c r="I54" s="34"/>
    </row>
    <row r="55" spans="1:9" s="17" customFormat="1" x14ac:dyDescent="0.2">
      <c r="A55" s="56"/>
      <c r="B55" s="1426" t="s">
        <v>110</v>
      </c>
      <c r="C55" s="1427"/>
      <c r="D55" s="1427"/>
      <c r="E55" s="1427"/>
      <c r="F55" s="1428"/>
      <c r="G55" s="34"/>
      <c r="H55" s="34"/>
      <c r="I55" s="34"/>
    </row>
    <row r="56" spans="1:9" ht="15" x14ac:dyDescent="0.2">
      <c r="A56" s="62"/>
      <c r="B56" s="32"/>
      <c r="C56" s="32"/>
      <c r="D56" s="32"/>
      <c r="E56" s="32"/>
      <c r="F56" s="32"/>
      <c r="G56" s="32"/>
      <c r="H56" s="32"/>
      <c r="I56" s="32"/>
    </row>
    <row r="57" spans="1:9" ht="17.25" customHeight="1" x14ac:dyDescent="0.2">
      <c r="A57" s="1546" t="s">
        <v>1076</v>
      </c>
      <c r="B57" s="1536"/>
      <c r="C57" s="1536"/>
      <c r="D57" s="1536"/>
      <c r="E57" s="1536"/>
      <c r="F57" s="32"/>
      <c r="G57" s="32"/>
      <c r="H57" s="32"/>
      <c r="I57" s="32"/>
    </row>
    <row r="58" spans="1:9" s="17" customFormat="1" x14ac:dyDescent="0.2">
      <c r="A58" s="1292" t="s">
        <v>1552</v>
      </c>
      <c r="B58" s="1292"/>
      <c r="C58" s="1292"/>
      <c r="D58" s="1292"/>
      <c r="E58" s="1292"/>
      <c r="F58" s="1292"/>
      <c r="G58" s="1292"/>
      <c r="H58" s="1292"/>
      <c r="I58" s="1292"/>
    </row>
    <row r="59" spans="1:9" s="70" customFormat="1" ht="15" x14ac:dyDescent="0.2">
      <c r="A59" s="66"/>
      <c r="C59" s="1436"/>
      <c r="D59" s="1496"/>
      <c r="E59" s="1496"/>
      <c r="F59" s="1496"/>
      <c r="G59" s="1496"/>
      <c r="H59" s="1496"/>
      <c r="I59" s="1496"/>
    </row>
  </sheetData>
  <customSheetViews>
    <customSheetView guid="{4892E1C0-7A56-4F81-A857-987D77EC4462}">
      <selection activeCell="P4" sqref="P4"/>
      <pageMargins left="0.7" right="0.7" top="0.75" bottom="0.75" header="0.3" footer="0.3"/>
      <pageSetup paperSize="5" orientation="landscape" r:id="rId1"/>
      <headerFooter>
        <oddHeader>&amp;L&amp;G&amp;CShowAcronymGoesHere - PSM&amp;R&amp;P</oddHeader>
        <oddFooter>&amp;L&amp;D&amp;R&amp;Z&amp;F</oddFooter>
      </headerFooter>
    </customSheetView>
    <customSheetView guid="{C29C6423-4E3D-4B08-919E-993C7C45FC31}">
      <selection activeCell="A6" sqref="A6"/>
      <pageMargins left="0.7" right="0.7" top="0.75" bottom="0.75" header="0.3" footer="0.3"/>
      <pageSetup paperSize="5" orientation="landscape" r:id="rId2"/>
      <headerFooter>
        <oddHeader>&amp;L&amp;G&amp;CShowAcronymGoesHere - PSM&amp;R&amp;P</oddHeader>
        <oddFooter>&amp;L&amp;D&amp;R&amp;Z&amp;F</oddFooter>
      </headerFooter>
    </customSheetView>
  </customSheetViews>
  <mergeCells count="52">
    <mergeCell ref="C59:I59"/>
    <mergeCell ref="B54:F54"/>
    <mergeCell ref="B55:F55"/>
    <mergeCell ref="A57:E57"/>
    <mergeCell ref="A37:E37"/>
    <mergeCell ref="B42:F42"/>
    <mergeCell ref="B53:F53"/>
    <mergeCell ref="B45:F45"/>
    <mergeCell ref="B52:F52"/>
    <mergeCell ref="B46:F46"/>
    <mergeCell ref="A58:I58"/>
    <mergeCell ref="A44:E44"/>
    <mergeCell ref="A39:D39"/>
    <mergeCell ref="B40:F40"/>
    <mergeCell ref="B41:F41"/>
    <mergeCell ref="B48:F48"/>
    <mergeCell ref="A23:C23"/>
    <mergeCell ref="A34:C34"/>
    <mergeCell ref="A26:C26"/>
    <mergeCell ref="A25:C25"/>
    <mergeCell ref="A28:C28"/>
    <mergeCell ref="A29:C29"/>
    <mergeCell ref="A30:C30"/>
    <mergeCell ref="A31:C31"/>
    <mergeCell ref="A27:C27"/>
    <mergeCell ref="A24:C24"/>
    <mergeCell ref="B49:F49"/>
    <mergeCell ref="A51:D51"/>
    <mergeCell ref="A33:C33"/>
    <mergeCell ref="A35:C35"/>
    <mergeCell ref="A32:C32"/>
    <mergeCell ref="B47:F47"/>
    <mergeCell ref="A1:B1"/>
    <mergeCell ref="A4:D4"/>
    <mergeCell ref="A16:C16"/>
    <mergeCell ref="A17:C17"/>
    <mergeCell ref="A18:C18"/>
    <mergeCell ref="A2:I2"/>
    <mergeCell ref="A5:I5"/>
    <mergeCell ref="A6:I6"/>
    <mergeCell ref="A7:I7"/>
    <mergeCell ref="A8:I8"/>
    <mergeCell ref="A9:I9"/>
    <mergeCell ref="A10:I10"/>
    <mergeCell ref="A12:C12"/>
    <mergeCell ref="D12:I12"/>
    <mergeCell ref="A14:C14"/>
    <mergeCell ref="A21:C21"/>
    <mergeCell ref="A15:C15"/>
    <mergeCell ref="A19:C19"/>
    <mergeCell ref="A22:C22"/>
    <mergeCell ref="A20:C20"/>
  </mergeCells>
  <phoneticPr fontId="6" type="noConversion"/>
  <hyperlinks>
    <hyperlink ref="A1" location="TOC!A1" display="TOC Page"/>
    <hyperlink ref="A58:I58" r:id="rId3" display="Email Broadcast Request Form"/>
  </hyperlinks>
  <pageMargins left="0.7" right="0.7" top="0.75" bottom="0.75" header="0.3" footer="0.3"/>
  <pageSetup orientation="landscape" r:id="rId4"/>
  <headerFooter>
    <oddHeader>&amp;L&amp;G&amp;CShowAcronymGoesHere - PSM&amp;R&amp;P</oddHeader>
    <oddFooter>&amp;L&amp;D&amp;R&amp;Z&amp;F</oddFooter>
  </headerFooter>
  <customProperties>
    <customPr name="DVSECTIONID" r:id="rId5"/>
  </customProperties>
  <legacyDrawingHF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V117"/>
  <sheetViews>
    <sheetView zoomScale="115" zoomScaleNormal="115" zoomScaleSheetLayoutView="100" workbookViewId="0">
      <pane ySplit="1" topLeftCell="A5" activePane="bottomLeft" state="frozen"/>
      <selection sqref="A1:B1"/>
      <selection pane="bottomLeft" activeCell="E18" sqref="E18:Q18"/>
    </sheetView>
  </sheetViews>
  <sheetFormatPr defaultColWidth="5.7109375" defaultRowHeight="14.25" x14ac:dyDescent="0.2"/>
  <cols>
    <col min="1" max="1" width="14.140625" style="41" customWidth="1"/>
    <col min="2" max="2" width="14" style="41" customWidth="1"/>
    <col min="3" max="3" width="5.7109375" style="41" customWidth="1"/>
    <col min="4" max="4" width="12.140625" style="41" customWidth="1"/>
    <col min="5" max="8" width="5.7109375" style="41"/>
    <col min="9" max="9" width="10.7109375" style="41" customWidth="1"/>
    <col min="10" max="16" width="5.7109375" style="41"/>
    <col min="17" max="17" width="5.7109375" style="41" customWidth="1"/>
    <col min="18" max="18" width="18.42578125" style="89" customWidth="1"/>
    <col min="19" max="21" width="5.7109375" style="89"/>
    <col min="22" max="22" width="13.28515625" style="89" customWidth="1"/>
    <col min="23" max="16384" width="5.7109375" style="89"/>
  </cols>
  <sheetData>
    <row r="1" spans="1:22" x14ac:dyDescent="0.2">
      <c r="A1" s="1217" t="s">
        <v>639</v>
      </c>
      <c r="B1" s="1217"/>
    </row>
    <row r="2" spans="1:22" s="35" customFormat="1" ht="21.75" customHeight="1" x14ac:dyDescent="0.2">
      <c r="A2" s="1230" t="s">
        <v>457</v>
      </c>
      <c r="B2" s="1231"/>
      <c r="C2" s="1231"/>
      <c r="D2" s="1231"/>
      <c r="E2" s="1231"/>
      <c r="F2" s="1231"/>
      <c r="G2" s="1231"/>
      <c r="H2" s="1231"/>
      <c r="I2" s="1231"/>
      <c r="J2" s="1231"/>
      <c r="K2" s="1231"/>
      <c r="L2" s="1231"/>
      <c r="M2" s="1231"/>
      <c r="N2" s="1231"/>
      <c r="O2" s="1231"/>
      <c r="P2" s="1231"/>
      <c r="Q2" s="1231"/>
      <c r="R2" s="1231"/>
      <c r="S2" s="1231"/>
      <c r="T2" s="1231"/>
      <c r="U2" s="1231"/>
      <c r="V2" s="1231"/>
    </row>
    <row r="4" spans="1:22" ht="15" customHeight="1" x14ac:dyDescent="0.2">
      <c r="A4" s="1233" t="s">
        <v>1670</v>
      </c>
      <c r="B4" s="1234"/>
      <c r="C4" s="1234"/>
      <c r="D4" s="1234"/>
      <c r="E4" s="1234"/>
      <c r="F4" s="1234"/>
      <c r="G4" s="1234"/>
      <c r="H4" s="1234"/>
      <c r="I4" s="1234"/>
      <c r="J4" s="1234"/>
      <c r="K4" s="1234"/>
      <c r="L4" s="1234"/>
      <c r="M4" s="1234"/>
      <c r="N4" s="1234"/>
      <c r="O4" s="1234"/>
      <c r="P4" s="1234"/>
      <c r="Q4" s="1259"/>
      <c r="R4" s="1239"/>
      <c r="S4" s="1228"/>
      <c r="T4" s="1228"/>
      <c r="U4" s="1228"/>
    </row>
    <row r="5" spans="1:22" ht="15" customHeight="1" x14ac:dyDescent="0.2">
      <c r="A5" s="1250" t="s">
        <v>1671</v>
      </c>
      <c r="B5" s="1251"/>
      <c r="C5" s="1251"/>
      <c r="D5" s="1251"/>
      <c r="E5" s="1251"/>
      <c r="F5" s="1251"/>
      <c r="G5" s="1251"/>
      <c r="H5" s="1251"/>
      <c r="I5" s="1251"/>
      <c r="J5" s="1251"/>
      <c r="K5" s="1251"/>
      <c r="L5" s="1251"/>
      <c r="M5" s="1251"/>
      <c r="N5" s="1251"/>
      <c r="O5" s="1251"/>
      <c r="P5" s="1251"/>
      <c r="Q5" s="1252"/>
      <c r="R5" s="1239"/>
      <c r="S5" s="1228"/>
      <c r="T5" s="1228"/>
      <c r="U5" s="1228"/>
    </row>
    <row r="6" spans="1:22" x14ac:dyDescent="0.2">
      <c r="A6" s="1232" t="s">
        <v>316</v>
      </c>
      <c r="B6" s="1232"/>
      <c r="C6" s="1232"/>
      <c r="D6" s="1232"/>
      <c r="E6" s="1270" t="s">
        <v>2569</v>
      </c>
      <c r="F6" s="1271"/>
      <c r="G6" s="1271"/>
      <c r="H6" s="1271"/>
      <c r="I6" s="1271"/>
      <c r="J6" s="1271"/>
      <c r="K6" s="1271"/>
      <c r="L6" s="1271"/>
      <c r="M6" s="1271"/>
      <c r="N6" s="1271"/>
      <c r="O6" s="1271"/>
      <c r="P6" s="1271"/>
      <c r="Q6" s="1272"/>
      <c r="R6" s="3"/>
      <c r="S6" s="3"/>
      <c r="T6" s="3"/>
    </row>
    <row r="7" spans="1:22" ht="15" customHeight="1" x14ac:dyDescent="0.2">
      <c r="A7" s="1232" t="s">
        <v>689</v>
      </c>
      <c r="B7" s="1232"/>
      <c r="C7" s="1232"/>
      <c r="D7" s="1232"/>
      <c r="E7" s="1214" t="s">
        <v>1900</v>
      </c>
      <c r="F7" s="1273"/>
      <c r="G7" s="1273"/>
      <c r="H7" s="1273"/>
      <c r="I7" s="1273"/>
      <c r="J7" s="1273"/>
      <c r="K7" s="1273"/>
      <c r="L7" s="1273"/>
      <c r="M7" s="1273"/>
      <c r="N7" s="1273"/>
      <c r="O7" s="1273"/>
      <c r="P7" s="1273"/>
      <c r="Q7" s="1215"/>
      <c r="R7" s="3"/>
      <c r="S7" s="3"/>
      <c r="T7" s="3"/>
    </row>
    <row r="8" spans="1:22" ht="15" customHeight="1" x14ac:dyDescent="0.2">
      <c r="A8" s="1232" t="s">
        <v>247</v>
      </c>
      <c r="B8" s="1232"/>
      <c r="C8" s="1232"/>
      <c r="D8" s="1232"/>
      <c r="E8" s="1214" t="s">
        <v>2570</v>
      </c>
      <c r="F8" s="1218"/>
      <c r="G8" s="1218"/>
      <c r="H8" s="1218"/>
      <c r="I8" s="1218"/>
      <c r="J8" s="1218"/>
      <c r="K8" s="1218"/>
      <c r="L8" s="1218"/>
      <c r="M8" s="1218"/>
      <c r="N8" s="1218"/>
      <c r="O8" s="1218"/>
      <c r="P8" s="1218"/>
      <c r="Q8" s="1219"/>
      <c r="R8" s="3"/>
      <c r="S8" s="3"/>
      <c r="T8" s="3"/>
    </row>
    <row r="9" spans="1:22" ht="15" customHeight="1" x14ac:dyDescent="0.2">
      <c r="A9" s="1232" t="s">
        <v>248</v>
      </c>
      <c r="B9" s="1232"/>
      <c r="C9" s="1232"/>
      <c r="D9" s="1232"/>
      <c r="E9" s="1214" t="s">
        <v>2571</v>
      </c>
      <c r="F9" s="1218"/>
      <c r="G9" s="1218"/>
      <c r="H9" s="1218"/>
      <c r="I9" s="1218"/>
      <c r="J9" s="1218"/>
      <c r="K9" s="1218"/>
      <c r="L9" s="1218"/>
      <c r="M9" s="1218"/>
      <c r="N9" s="1218"/>
      <c r="O9" s="1218"/>
      <c r="P9" s="1218"/>
      <c r="Q9" s="1219"/>
      <c r="R9" s="3"/>
      <c r="S9" s="3"/>
      <c r="T9" s="3"/>
    </row>
    <row r="10" spans="1:22" ht="15" customHeight="1" x14ac:dyDescent="0.2">
      <c r="A10" s="1232" t="s">
        <v>249</v>
      </c>
      <c r="B10" s="1232"/>
      <c r="C10" s="1232"/>
      <c r="D10" s="1232"/>
      <c r="E10" s="1214" t="s">
        <v>2572</v>
      </c>
      <c r="F10" s="1218"/>
      <c r="G10" s="1218"/>
      <c r="H10" s="1218"/>
      <c r="I10" s="1219"/>
      <c r="J10" s="1225" t="s">
        <v>250</v>
      </c>
      <c r="K10" s="1225"/>
      <c r="L10" s="1225"/>
      <c r="M10" s="1214" t="s">
        <v>2573</v>
      </c>
      <c r="N10" s="1218"/>
      <c r="O10" s="1218"/>
      <c r="P10" s="1218"/>
      <c r="Q10" s="1219"/>
      <c r="R10" s="3"/>
      <c r="S10" s="3"/>
      <c r="T10" s="3"/>
    </row>
    <row r="11" spans="1:22" ht="15" customHeight="1" x14ac:dyDescent="0.2">
      <c r="A11" s="1232" t="s">
        <v>251</v>
      </c>
      <c r="B11" s="1232"/>
      <c r="C11" s="1232"/>
      <c r="D11" s="1232"/>
      <c r="E11" s="1224">
        <v>75201</v>
      </c>
      <c r="F11" s="1218"/>
      <c r="G11" s="1218"/>
      <c r="H11" s="1218"/>
      <c r="I11" s="1219"/>
      <c r="J11" s="1225" t="s">
        <v>635</v>
      </c>
      <c r="K11" s="1225"/>
      <c r="L11" s="1225"/>
      <c r="M11" s="1214" t="s">
        <v>2574</v>
      </c>
      <c r="N11" s="1218"/>
      <c r="O11" s="1218"/>
      <c r="P11" s="1218"/>
      <c r="Q11" s="1219"/>
      <c r="R11" s="3"/>
      <c r="S11" s="3"/>
      <c r="T11" s="3"/>
    </row>
    <row r="12" spans="1:22" ht="15" customHeight="1" x14ac:dyDescent="0.2">
      <c r="A12" s="1249" t="s">
        <v>1901</v>
      </c>
      <c r="B12" s="1232"/>
      <c r="C12" s="1232"/>
      <c r="D12" s="1232"/>
      <c r="E12" s="1211" t="s">
        <v>2575</v>
      </c>
      <c r="F12" s="1185"/>
      <c r="G12" s="1185"/>
      <c r="H12" s="1185"/>
      <c r="I12" s="1185"/>
      <c r="J12" s="1185"/>
      <c r="K12" s="1185"/>
      <c r="L12" s="1185"/>
      <c r="M12" s="1185"/>
      <c r="N12" s="1185"/>
      <c r="O12" s="1185"/>
      <c r="P12" s="1185"/>
      <c r="Q12" s="1185"/>
      <c r="R12" s="3"/>
      <c r="S12" s="3"/>
      <c r="T12" s="3"/>
    </row>
    <row r="13" spans="1:22" ht="15" customHeight="1" x14ac:dyDescent="0.2">
      <c r="A13" s="1232" t="s">
        <v>1452</v>
      </c>
      <c r="B13" s="1232"/>
      <c r="C13" s="1232"/>
      <c r="D13" s="1232"/>
      <c r="E13" s="1211" t="s">
        <v>2335</v>
      </c>
      <c r="F13" s="1185"/>
      <c r="G13" s="1185"/>
      <c r="H13" s="1185"/>
      <c r="I13" s="1185"/>
      <c r="J13" s="1185"/>
      <c r="K13" s="1185"/>
      <c r="L13" s="1185"/>
      <c r="M13" s="1185"/>
      <c r="N13" s="1185"/>
      <c r="O13" s="1185"/>
      <c r="P13" s="1185"/>
      <c r="Q13" s="1185"/>
      <c r="R13" s="3"/>
      <c r="S13" s="3"/>
      <c r="T13" s="3"/>
    </row>
    <row r="14" spans="1:22" ht="15" customHeight="1" x14ac:dyDescent="0.2">
      <c r="A14" s="1232" t="s">
        <v>237</v>
      </c>
      <c r="B14" s="1232"/>
      <c r="C14" s="1232"/>
      <c r="D14" s="1232"/>
      <c r="E14" s="1216" t="s">
        <v>2576</v>
      </c>
      <c r="F14" s="1248"/>
      <c r="G14" s="1248"/>
      <c r="H14" s="1248"/>
      <c r="I14" s="1248"/>
      <c r="J14" s="1248"/>
      <c r="K14" s="1248"/>
      <c r="L14" s="1248"/>
      <c r="M14" s="1248"/>
      <c r="N14" s="1248"/>
      <c r="O14" s="1248"/>
      <c r="P14" s="1248"/>
      <c r="Q14" s="1248"/>
      <c r="R14" s="3"/>
      <c r="S14" s="3"/>
      <c r="T14" s="3"/>
    </row>
    <row r="15" spans="1:22" ht="15" customHeight="1" x14ac:dyDescent="0.2">
      <c r="A15" s="1249" t="s">
        <v>245</v>
      </c>
      <c r="B15" s="1232"/>
      <c r="C15" s="1232"/>
      <c r="D15" s="1232"/>
      <c r="E15" s="1226" t="s">
        <v>2576</v>
      </c>
      <c r="F15" s="1227"/>
      <c r="G15" s="1227"/>
      <c r="H15" s="1227"/>
      <c r="I15" s="1227"/>
      <c r="J15" s="1227"/>
      <c r="K15" s="1227"/>
      <c r="L15" s="1227"/>
      <c r="M15" s="1227"/>
      <c r="N15" s="1227"/>
      <c r="O15" s="1227"/>
      <c r="P15" s="1227"/>
      <c r="Q15" s="1227"/>
      <c r="R15" s="3"/>
      <c r="S15" s="3"/>
      <c r="T15" s="3"/>
    </row>
    <row r="16" spans="1:22" ht="15" customHeight="1" x14ac:dyDescent="0.2">
      <c r="A16" s="1232" t="s">
        <v>684</v>
      </c>
      <c r="B16" s="1232"/>
      <c r="C16" s="1232"/>
      <c r="D16" s="1232"/>
      <c r="E16" s="1240">
        <v>1725</v>
      </c>
      <c r="F16" s="1213"/>
      <c r="G16" s="1213"/>
      <c r="H16" s="1213"/>
      <c r="I16" s="1213"/>
      <c r="J16" s="1213"/>
      <c r="K16" s="1213"/>
      <c r="L16" s="1213"/>
      <c r="M16" s="1213"/>
      <c r="N16" s="1213"/>
      <c r="O16" s="1213"/>
      <c r="P16" s="1213"/>
      <c r="Q16" s="1213"/>
      <c r="R16" s="3"/>
      <c r="S16" s="3"/>
      <c r="T16" s="3"/>
    </row>
    <row r="17" spans="1:22" ht="15" customHeight="1" x14ac:dyDescent="0.2">
      <c r="A17" s="1232" t="s">
        <v>685</v>
      </c>
      <c r="B17" s="1232"/>
      <c r="C17" s="1232"/>
      <c r="D17" s="1232"/>
      <c r="E17" s="1213">
        <v>46</v>
      </c>
      <c r="F17" s="1213"/>
      <c r="G17" s="1213"/>
      <c r="H17" s="1213"/>
      <c r="I17" s="1213"/>
      <c r="J17" s="1213"/>
      <c r="K17" s="1213"/>
      <c r="L17" s="1213"/>
      <c r="M17" s="1213"/>
      <c r="N17" s="1213"/>
      <c r="O17" s="1213"/>
      <c r="P17" s="1213"/>
      <c r="Q17" s="1213"/>
      <c r="R17" s="3"/>
      <c r="S17" s="3"/>
      <c r="T17" s="3"/>
    </row>
    <row r="18" spans="1:22" ht="15" customHeight="1" x14ac:dyDescent="0.2">
      <c r="A18" s="1232" t="s">
        <v>233</v>
      </c>
      <c r="B18" s="1232"/>
      <c r="C18" s="1232"/>
      <c r="D18" s="1232"/>
      <c r="E18" s="1226" t="s">
        <v>2577</v>
      </c>
      <c r="F18" s="1227"/>
      <c r="G18" s="1227"/>
      <c r="H18" s="1227"/>
      <c r="I18" s="1227"/>
      <c r="J18" s="1227"/>
      <c r="K18" s="1227"/>
      <c r="L18" s="1227"/>
      <c r="M18" s="1227"/>
      <c r="N18" s="1227"/>
      <c r="O18" s="1227"/>
      <c r="P18" s="1227"/>
      <c r="Q18" s="1227"/>
      <c r="R18" s="3"/>
      <c r="S18" s="3"/>
      <c r="T18" s="3"/>
    </row>
    <row r="19" spans="1:22" ht="15" customHeight="1" x14ac:dyDescent="0.2">
      <c r="A19" s="1232" t="s">
        <v>238</v>
      </c>
      <c r="B19" s="1232"/>
      <c r="C19" s="1232"/>
      <c r="D19" s="1232"/>
      <c r="E19" s="1185" t="s">
        <v>2421</v>
      </c>
      <c r="F19" s="1185"/>
      <c r="G19" s="1185"/>
      <c r="H19" s="1185"/>
      <c r="I19" s="1185"/>
      <c r="J19" s="1185"/>
      <c r="K19" s="1185"/>
      <c r="L19" s="1185"/>
      <c r="M19" s="1185"/>
      <c r="N19" s="1185"/>
      <c r="O19" s="1185"/>
      <c r="P19" s="1185"/>
      <c r="Q19" s="1185"/>
      <c r="R19" s="3"/>
      <c r="S19" s="3"/>
      <c r="T19" s="3"/>
    </row>
    <row r="20" spans="1:22" ht="15" customHeight="1" x14ac:dyDescent="0.2">
      <c r="A20" s="1249" t="s">
        <v>1667</v>
      </c>
      <c r="B20" s="1232"/>
      <c r="C20" s="1232"/>
      <c r="D20" s="1232"/>
      <c r="E20" s="1185" t="s">
        <v>1902</v>
      </c>
      <c r="F20" s="1213"/>
      <c r="G20" s="1213"/>
      <c r="H20" s="1213"/>
      <c r="I20" s="1213"/>
      <c r="J20" s="1213"/>
      <c r="K20" s="1213"/>
      <c r="L20" s="1213"/>
      <c r="M20" s="1213"/>
      <c r="N20" s="1213"/>
      <c r="O20" s="1213"/>
      <c r="P20" s="1213"/>
      <c r="Q20" s="1213"/>
      <c r="R20" s="3"/>
      <c r="S20" s="3"/>
      <c r="T20" s="3"/>
    </row>
    <row r="21" spans="1:22" ht="15" customHeight="1" x14ac:dyDescent="0.2">
      <c r="A21" s="572"/>
      <c r="B21" s="573"/>
      <c r="C21" s="573"/>
      <c r="D21" s="573"/>
      <c r="E21" s="574"/>
      <c r="F21" s="290"/>
      <c r="G21" s="290"/>
      <c r="H21" s="290"/>
      <c r="I21" s="290"/>
      <c r="J21" s="290"/>
      <c r="K21" s="290"/>
      <c r="L21" s="290"/>
      <c r="M21" s="290"/>
      <c r="N21" s="290"/>
      <c r="O21" s="290"/>
      <c r="P21" s="290"/>
      <c r="Q21" s="575"/>
      <c r="R21" s="3"/>
      <c r="S21" s="3"/>
      <c r="T21" s="3"/>
    </row>
    <row r="22" spans="1:22" ht="15" customHeight="1" x14ac:dyDescent="0.2">
      <c r="A22" s="1233" t="s">
        <v>1830</v>
      </c>
      <c r="B22" s="1234"/>
      <c r="C22" s="1234"/>
      <c r="D22" s="1234"/>
      <c r="E22" s="1235"/>
      <c r="F22" s="1235"/>
      <c r="G22" s="1235"/>
      <c r="H22" s="1235"/>
      <c r="I22" s="1235"/>
      <c r="J22" s="1235"/>
      <c r="K22" s="1235"/>
      <c r="L22" s="1235"/>
      <c r="M22" s="1235"/>
      <c r="N22" s="1235"/>
      <c r="O22" s="1235"/>
      <c r="P22" s="1235"/>
      <c r="Q22" s="1236"/>
      <c r="R22" s="3"/>
      <c r="S22" s="3"/>
      <c r="T22" s="3"/>
    </row>
    <row r="23" spans="1:22" ht="15" customHeight="1" x14ac:dyDescent="0.2">
      <c r="A23" s="1237"/>
      <c r="B23" s="1237"/>
      <c r="C23" s="1237"/>
      <c r="D23" s="1237"/>
      <c r="E23" s="1245"/>
      <c r="F23" s="1246"/>
      <c r="G23" s="1246"/>
      <c r="H23" s="1246"/>
      <c r="I23" s="1246"/>
      <c r="J23" s="1246"/>
      <c r="K23" s="1246"/>
      <c r="L23" s="1246"/>
      <c r="M23" s="1246"/>
      <c r="N23" s="1246"/>
      <c r="O23" s="1246"/>
      <c r="P23" s="1246"/>
      <c r="Q23" s="1247"/>
    </row>
    <row r="24" spans="1:22" ht="15" hidden="1" customHeight="1" x14ac:dyDescent="0.2">
      <c r="A24" s="1223"/>
      <c r="B24" s="1223"/>
      <c r="C24" s="1223"/>
      <c r="D24" s="1223"/>
      <c r="E24" s="1241"/>
      <c r="F24" s="1242"/>
      <c r="G24" s="1242"/>
      <c r="H24" s="1242"/>
      <c r="I24" s="1242"/>
      <c r="J24" s="1242"/>
      <c r="K24" s="1242"/>
      <c r="L24" s="1242"/>
      <c r="M24" s="1242"/>
      <c r="N24" s="1242"/>
      <c r="O24" s="1242"/>
      <c r="P24" s="1242"/>
      <c r="Q24" s="1243"/>
      <c r="R24" s="3"/>
      <c r="S24" s="3"/>
      <c r="T24" s="3"/>
    </row>
    <row r="25" spans="1:22" ht="15" customHeight="1" x14ac:dyDescent="0.2">
      <c r="A25" s="576"/>
      <c r="B25" s="569"/>
      <c r="C25" s="569"/>
      <c r="D25" s="569"/>
      <c r="E25" s="577"/>
      <c r="F25" s="569"/>
      <c r="G25" s="569"/>
      <c r="H25" s="569"/>
      <c r="I25" s="569"/>
      <c r="J25" s="569"/>
      <c r="K25" s="569"/>
      <c r="L25" s="569"/>
      <c r="M25" s="569"/>
      <c r="N25" s="569"/>
      <c r="O25" s="569"/>
      <c r="P25" s="569"/>
      <c r="Q25" s="570"/>
      <c r="R25" s="3"/>
      <c r="S25" s="3"/>
      <c r="T25" s="3"/>
    </row>
    <row r="26" spans="1:22" ht="15" customHeight="1" x14ac:dyDescent="0.2">
      <c r="A26" s="1233" t="s">
        <v>1831</v>
      </c>
      <c r="B26" s="1234"/>
      <c r="C26" s="1234"/>
      <c r="D26" s="1234"/>
      <c r="E26" s="1234"/>
      <c r="F26" s="1234"/>
      <c r="G26" s="1234"/>
      <c r="H26" s="1234"/>
      <c r="I26" s="1234"/>
      <c r="J26" s="1234"/>
      <c r="K26" s="1234"/>
      <c r="L26" s="1234"/>
      <c r="M26" s="1234"/>
      <c r="N26" s="1234"/>
      <c r="O26" s="1234"/>
      <c r="P26" s="1234"/>
      <c r="Q26" s="1259"/>
      <c r="R26" s="3"/>
      <c r="S26" s="3"/>
      <c r="T26" s="3"/>
    </row>
    <row r="27" spans="1:22" ht="15" customHeight="1" x14ac:dyDescent="0.2">
      <c r="A27" s="1232" t="s">
        <v>774</v>
      </c>
      <c r="B27" s="1232"/>
      <c r="C27" s="1232"/>
      <c r="D27" s="1232"/>
      <c r="E27" s="1260" t="s">
        <v>1909</v>
      </c>
      <c r="F27" s="1218"/>
      <c r="G27" s="1218"/>
      <c r="H27" s="1218"/>
      <c r="I27" s="1218"/>
      <c r="J27" s="1218"/>
      <c r="K27" s="1218"/>
      <c r="L27" s="1218"/>
      <c r="M27" s="1218"/>
      <c r="N27" s="1218"/>
      <c r="O27" s="1218"/>
      <c r="P27" s="1218"/>
      <c r="Q27" s="1219"/>
      <c r="R27" s="3"/>
      <c r="S27" s="3"/>
      <c r="T27" s="3"/>
    </row>
    <row r="28" spans="1:22" x14ac:dyDescent="0.2">
      <c r="A28" s="1256" t="s">
        <v>1832</v>
      </c>
      <c r="B28" s="1257"/>
      <c r="C28" s="1257"/>
      <c r="D28" s="1258"/>
      <c r="E28" s="1245" t="s">
        <v>2422</v>
      </c>
      <c r="F28" s="1246"/>
      <c r="G28" s="1246"/>
      <c r="H28" s="1246"/>
      <c r="I28" s="1246"/>
      <c r="J28" s="1246"/>
      <c r="K28" s="1246"/>
      <c r="L28" s="1246"/>
      <c r="M28" s="1246"/>
      <c r="N28" s="1246"/>
      <c r="O28" s="1246"/>
      <c r="P28" s="1246"/>
      <c r="Q28" s="1247"/>
      <c r="R28" s="3"/>
      <c r="S28" s="3"/>
      <c r="T28" s="3"/>
    </row>
    <row r="29" spans="1:22" ht="16.149999999999999" customHeight="1" x14ac:dyDescent="0.2">
      <c r="A29" s="106"/>
      <c r="B29" s="107"/>
      <c r="C29" s="107"/>
      <c r="D29" s="107"/>
      <c r="E29" s="110"/>
      <c r="F29" s="110"/>
      <c r="G29" s="110"/>
      <c r="H29" s="110"/>
      <c r="I29" s="110"/>
      <c r="J29" s="110"/>
      <c r="K29" s="110"/>
      <c r="L29" s="110"/>
      <c r="M29" s="110"/>
      <c r="N29" s="110"/>
      <c r="O29" s="110"/>
      <c r="P29" s="110"/>
      <c r="Q29" s="111"/>
      <c r="R29" s="3"/>
      <c r="S29" s="3"/>
      <c r="T29" s="3"/>
    </row>
    <row r="30" spans="1:22" ht="15" customHeight="1" x14ac:dyDescent="0.2">
      <c r="A30" s="1233" t="s">
        <v>1453</v>
      </c>
      <c r="B30" s="1262"/>
      <c r="C30" s="1262"/>
      <c r="D30" s="1262"/>
      <c r="E30" s="1262"/>
      <c r="F30" s="1262"/>
      <c r="G30" s="1262"/>
      <c r="H30" s="1262"/>
      <c r="I30" s="1262"/>
      <c r="J30" s="1262"/>
      <c r="K30" s="1262"/>
      <c r="L30" s="1262"/>
      <c r="M30" s="1262"/>
      <c r="N30" s="1262"/>
      <c r="O30" s="1262"/>
      <c r="P30" s="1262"/>
      <c r="Q30" s="1263"/>
      <c r="R30" s="3"/>
      <c r="S30" s="3"/>
      <c r="T30" s="3"/>
    </row>
    <row r="31" spans="1:22" x14ac:dyDescent="0.2">
      <c r="A31" s="1244" t="s">
        <v>683</v>
      </c>
      <c r="B31" s="1244"/>
      <c r="C31" s="1244"/>
      <c r="D31" s="1244"/>
      <c r="E31" s="1244" t="s">
        <v>437</v>
      </c>
      <c r="F31" s="1244"/>
      <c r="G31" s="1244"/>
      <c r="H31" s="1244"/>
      <c r="I31" s="616" t="s">
        <v>2372</v>
      </c>
      <c r="J31" s="1244" t="s">
        <v>236</v>
      </c>
      <c r="K31" s="1244"/>
      <c r="L31" s="1244"/>
      <c r="M31" s="1244" t="s">
        <v>420</v>
      </c>
      <c r="N31" s="1244"/>
      <c r="O31" s="1244"/>
      <c r="P31" s="1244"/>
      <c r="Q31" s="1244"/>
      <c r="R31" s="1244"/>
      <c r="S31" s="1244" t="s">
        <v>1903</v>
      </c>
      <c r="T31" s="1244"/>
      <c r="U31" s="1244"/>
      <c r="V31" s="528" t="s">
        <v>2371</v>
      </c>
    </row>
    <row r="32" spans="1:22" x14ac:dyDescent="0.2">
      <c r="A32" s="1261" t="s">
        <v>1553</v>
      </c>
      <c r="B32" s="1261"/>
      <c r="C32" s="1261"/>
      <c r="D32" s="1261"/>
      <c r="E32" s="1238" t="s">
        <v>1904</v>
      </c>
      <c r="F32" s="1238"/>
      <c r="G32" s="1238"/>
      <c r="H32" s="1238"/>
      <c r="I32" s="617" t="s">
        <v>2516</v>
      </c>
      <c r="J32" s="1238" t="s">
        <v>1905</v>
      </c>
      <c r="K32" s="1238"/>
      <c r="L32" s="1238"/>
      <c r="M32" s="1254" t="s">
        <v>1906</v>
      </c>
      <c r="N32" s="1255"/>
      <c r="O32" s="1255"/>
      <c r="P32" s="1255"/>
      <c r="Q32" s="1255"/>
      <c r="R32" s="1255"/>
      <c r="S32" s="1238" t="s">
        <v>1907</v>
      </c>
      <c r="T32" s="1238"/>
      <c r="U32" s="1238"/>
      <c r="V32" s="864"/>
    </row>
    <row r="33" spans="1:22" x14ac:dyDescent="0.2">
      <c r="A33" s="1261" t="s">
        <v>1554</v>
      </c>
      <c r="B33" s="1261"/>
      <c r="C33" s="1261"/>
      <c r="D33" s="1261"/>
      <c r="E33" s="1238" t="s">
        <v>2348</v>
      </c>
      <c r="F33" s="1238"/>
      <c r="G33" s="1238"/>
      <c r="H33" s="1238"/>
      <c r="I33" s="860"/>
      <c r="J33" s="1238" t="s">
        <v>2349</v>
      </c>
      <c r="K33" s="1238"/>
      <c r="L33" s="1238"/>
      <c r="M33" s="1254" t="s">
        <v>2350</v>
      </c>
      <c r="N33" s="1255"/>
      <c r="O33" s="1255"/>
      <c r="P33" s="1255"/>
      <c r="Q33" s="1255"/>
      <c r="R33" s="1255"/>
      <c r="S33" s="1238" t="s">
        <v>2351</v>
      </c>
      <c r="T33" s="1238"/>
      <c r="U33" s="1238"/>
      <c r="V33" s="864"/>
    </row>
    <row r="34" spans="1:22" x14ac:dyDescent="0.2">
      <c r="A34" s="1261" t="s">
        <v>1555</v>
      </c>
      <c r="B34" s="1261"/>
      <c r="C34" s="1261"/>
      <c r="D34" s="1261"/>
      <c r="E34" s="1238" t="s">
        <v>2336</v>
      </c>
      <c r="F34" s="1238"/>
      <c r="G34" s="1238"/>
      <c r="H34" s="1238"/>
      <c r="I34" s="829" t="s">
        <v>1908</v>
      </c>
      <c r="J34" s="1238" t="s">
        <v>2337</v>
      </c>
      <c r="K34" s="1238"/>
      <c r="L34" s="1238"/>
      <c r="M34" s="1254" t="s">
        <v>2338</v>
      </c>
      <c r="N34" s="1254"/>
      <c r="O34" s="1254"/>
      <c r="P34" s="1254"/>
      <c r="Q34" s="1254"/>
      <c r="R34" s="1254"/>
      <c r="S34" s="1238" t="s">
        <v>2370</v>
      </c>
      <c r="T34" s="1238"/>
      <c r="U34" s="1238"/>
      <c r="V34" s="865" t="s">
        <v>2373</v>
      </c>
    </row>
    <row r="35" spans="1:22" x14ac:dyDescent="0.2">
      <c r="A35" s="1261" t="s">
        <v>1557</v>
      </c>
      <c r="B35" s="1261"/>
      <c r="C35" s="1261"/>
      <c r="D35" s="1261"/>
      <c r="E35" s="1238" t="s">
        <v>2425</v>
      </c>
      <c r="F35" s="1238"/>
      <c r="G35" s="1238"/>
      <c r="H35" s="1238"/>
      <c r="I35" s="617"/>
      <c r="J35" s="1238" t="s">
        <v>2426</v>
      </c>
      <c r="K35" s="1238"/>
      <c r="L35" s="1238"/>
      <c r="M35" s="1254" t="s">
        <v>2424</v>
      </c>
      <c r="N35" s="1254"/>
      <c r="O35" s="1254"/>
      <c r="P35" s="1254"/>
      <c r="Q35" s="1254"/>
      <c r="R35" s="1254"/>
      <c r="S35" s="1238" t="s">
        <v>2427</v>
      </c>
      <c r="T35" s="1238"/>
      <c r="U35" s="1238"/>
      <c r="V35" s="864"/>
    </row>
    <row r="36" spans="1:22" x14ac:dyDescent="0.2">
      <c r="A36" s="1253" t="s">
        <v>2328</v>
      </c>
      <c r="B36" s="1253"/>
      <c r="C36" s="1253"/>
      <c r="D36" s="1253"/>
      <c r="E36" s="1253" t="s">
        <v>2714</v>
      </c>
      <c r="F36" s="1253"/>
      <c r="G36" s="1253"/>
      <c r="H36" s="1253"/>
      <c r="I36" s="1073"/>
      <c r="J36" s="1253" t="s">
        <v>2776</v>
      </c>
      <c r="K36" s="1253"/>
      <c r="L36" s="1253"/>
      <c r="M36" s="1265" t="s">
        <v>2713</v>
      </c>
      <c r="N36" s="1265"/>
      <c r="O36" s="1265"/>
      <c r="P36" s="1265"/>
      <c r="Q36" s="1265"/>
      <c r="R36" s="1265"/>
      <c r="S36" s="1253"/>
      <c r="T36" s="1253"/>
      <c r="U36" s="1253"/>
      <c r="V36" s="864"/>
    </row>
    <row r="37" spans="1:22" x14ac:dyDescent="0.2">
      <c r="A37" s="1253" t="s">
        <v>1556</v>
      </c>
      <c r="B37" s="1253"/>
      <c r="C37" s="1253"/>
      <c r="D37" s="1253"/>
      <c r="E37" s="1253" t="s">
        <v>2775</v>
      </c>
      <c r="F37" s="1253"/>
      <c r="G37" s="1253"/>
      <c r="H37" s="1253"/>
      <c r="I37" s="1149"/>
      <c r="J37" s="1264" t="s">
        <v>2773</v>
      </c>
      <c r="K37" s="1253"/>
      <c r="L37" s="1253"/>
      <c r="M37" s="1265" t="s">
        <v>2774</v>
      </c>
      <c r="N37" s="1265"/>
      <c r="O37" s="1265"/>
      <c r="P37" s="1265"/>
      <c r="Q37" s="1265"/>
      <c r="R37" s="1265"/>
      <c r="S37" s="1253"/>
      <c r="T37" s="1253"/>
      <c r="U37" s="1253"/>
      <c r="V37" s="864"/>
    </row>
    <row r="38" spans="1:22" x14ac:dyDescent="0.2">
      <c r="A38" s="1253" t="s">
        <v>2352</v>
      </c>
      <c r="B38" s="1253"/>
      <c r="C38" s="1253"/>
      <c r="D38" s="1253"/>
      <c r="E38" s="1264" t="s">
        <v>2489</v>
      </c>
      <c r="F38" s="1253"/>
      <c r="G38" s="1253"/>
      <c r="H38" s="1253"/>
      <c r="I38" s="1173"/>
      <c r="J38" s="1253" t="s">
        <v>2491</v>
      </c>
      <c r="K38" s="1253"/>
      <c r="L38" s="1253"/>
      <c r="M38" s="1265" t="s">
        <v>2490</v>
      </c>
      <c r="N38" s="1265"/>
      <c r="O38" s="1265"/>
      <c r="P38" s="1265"/>
      <c r="Q38" s="1265"/>
      <c r="R38" s="1265"/>
      <c r="S38" s="1253" t="s">
        <v>2492</v>
      </c>
      <c r="T38" s="1253"/>
      <c r="U38" s="1253"/>
      <c r="V38" s="864"/>
    </row>
    <row r="39" spans="1:22" x14ac:dyDescent="0.2">
      <c r="A39" s="277"/>
      <c r="B39" s="277"/>
      <c r="C39" s="277"/>
      <c r="D39" s="287"/>
      <c r="E39" s="287"/>
      <c r="F39" s="287"/>
      <c r="G39" s="287"/>
      <c r="H39" s="288"/>
      <c r="I39" s="288"/>
      <c r="J39" s="288"/>
      <c r="K39" s="289"/>
      <c r="L39" s="289"/>
      <c r="M39" s="289"/>
      <c r="N39" s="289"/>
      <c r="O39" s="289"/>
      <c r="P39" s="289"/>
      <c r="Q39" s="289"/>
      <c r="R39" s="3"/>
      <c r="S39" s="3"/>
      <c r="T39" s="3"/>
    </row>
    <row r="40" spans="1:22" x14ac:dyDescent="0.2">
      <c r="A40" s="1228" t="s">
        <v>1489</v>
      </c>
      <c r="B40" s="1228"/>
      <c r="C40" s="1229" t="s">
        <v>1551</v>
      </c>
      <c r="D40" s="1229"/>
      <c r="E40" s="1229"/>
      <c r="F40" s="1229"/>
      <c r="G40" s="1229"/>
      <c r="H40" s="1229"/>
      <c r="I40" s="1229"/>
      <c r="J40" s="1229"/>
      <c r="K40" s="1229"/>
      <c r="L40" s="1229"/>
      <c r="M40" s="1229"/>
      <c r="N40" s="1229"/>
      <c r="O40" s="1229"/>
      <c r="P40" s="1229"/>
      <c r="Q40" s="1229"/>
      <c r="R40" s="3"/>
      <c r="S40" s="3"/>
      <c r="T40" s="3"/>
    </row>
    <row r="41" spans="1:22" x14ac:dyDescent="0.2">
      <c r="A41" s="290"/>
      <c r="B41" s="290"/>
      <c r="C41" s="290"/>
      <c r="D41" s="291"/>
      <c r="E41" s="291"/>
      <c r="F41" s="291"/>
      <c r="G41" s="291"/>
      <c r="H41" s="278"/>
      <c r="I41" s="278"/>
      <c r="J41" s="278"/>
      <c r="K41" s="292"/>
      <c r="L41" s="292"/>
      <c r="M41" s="292"/>
      <c r="N41" s="292"/>
      <c r="O41" s="292"/>
      <c r="P41" s="292"/>
      <c r="Q41" s="292"/>
      <c r="R41" s="3"/>
      <c r="S41" s="3"/>
      <c r="T41" s="3"/>
    </row>
    <row r="42" spans="1:22" ht="15" customHeight="1" x14ac:dyDescent="0.2">
      <c r="A42" s="1233" t="s">
        <v>686</v>
      </c>
      <c r="B42" s="1234"/>
      <c r="C42" s="1234"/>
      <c r="D42" s="1234"/>
      <c r="E42" s="1234"/>
      <c r="F42" s="1234"/>
      <c r="G42" s="1234"/>
      <c r="H42" s="1234"/>
      <c r="I42" s="1234"/>
      <c r="J42" s="1234"/>
      <c r="K42" s="1234"/>
      <c r="L42" s="1234"/>
      <c r="M42" s="1234"/>
      <c r="N42" s="1234"/>
      <c r="O42" s="1234"/>
      <c r="P42" s="1234"/>
      <c r="Q42" s="1259"/>
      <c r="R42" s="3"/>
      <c r="S42" s="3"/>
      <c r="T42" s="3"/>
    </row>
    <row r="43" spans="1:22" ht="15" customHeight="1" x14ac:dyDescent="0.2">
      <c r="A43" s="1266" t="s">
        <v>1711</v>
      </c>
      <c r="B43" s="1267"/>
      <c r="C43" s="1267"/>
      <c r="D43" s="1267"/>
      <c r="E43" s="1267"/>
      <c r="F43" s="1267"/>
      <c r="G43" s="1267"/>
      <c r="H43" s="1267"/>
      <c r="I43" s="1267"/>
      <c r="J43" s="1267"/>
      <c r="K43" s="1267"/>
      <c r="L43" s="1267"/>
      <c r="M43" s="1267"/>
      <c r="N43" s="1267"/>
      <c r="O43" s="1267"/>
      <c r="P43" s="1267"/>
      <c r="Q43" s="1268"/>
      <c r="R43" s="3"/>
      <c r="S43" s="3"/>
      <c r="T43" s="3"/>
    </row>
    <row r="44" spans="1:22" x14ac:dyDescent="0.2">
      <c r="A44" s="112" t="s">
        <v>604</v>
      </c>
      <c r="B44" s="1221" t="s">
        <v>384</v>
      </c>
      <c r="C44" s="1221"/>
      <c r="D44" s="1221"/>
      <c r="E44" s="1221"/>
      <c r="F44" s="1221"/>
      <c r="G44" s="1221"/>
      <c r="H44" s="1221"/>
      <c r="I44" s="1221"/>
      <c r="J44" s="1221"/>
      <c r="K44" s="1221"/>
      <c r="L44" s="1221"/>
      <c r="M44" s="1221"/>
      <c r="N44" s="1221"/>
      <c r="O44" s="1221"/>
      <c r="P44" s="1221"/>
      <c r="Q44" s="1222"/>
      <c r="R44" s="3"/>
      <c r="S44" s="3"/>
      <c r="T44" s="3"/>
    </row>
    <row r="45" spans="1:22" x14ac:dyDescent="0.2">
      <c r="A45" s="315"/>
      <c r="B45" s="1213" t="s">
        <v>1454</v>
      </c>
      <c r="C45" s="1213"/>
      <c r="D45" s="1213"/>
      <c r="E45" s="1213"/>
      <c r="F45" s="1213"/>
      <c r="G45" s="1213"/>
      <c r="H45" s="1213"/>
      <c r="I45" s="1213"/>
      <c r="J45" s="1213"/>
      <c r="K45" s="1213"/>
      <c r="L45" s="1213"/>
      <c r="M45" s="1213"/>
      <c r="N45" s="1213"/>
      <c r="O45" s="1213"/>
      <c r="P45" s="1213"/>
      <c r="Q45" s="1213"/>
      <c r="R45" s="3"/>
      <c r="S45" s="3"/>
      <c r="T45" s="3"/>
    </row>
    <row r="46" spans="1:22" x14ac:dyDescent="0.2">
      <c r="A46" s="315"/>
      <c r="B46" s="1185" t="s">
        <v>1804</v>
      </c>
      <c r="C46" s="1213"/>
      <c r="D46" s="1213"/>
      <c r="E46" s="1213"/>
      <c r="F46" s="1213"/>
      <c r="G46" s="1213"/>
      <c r="H46" s="1213"/>
      <c r="I46" s="1213"/>
      <c r="J46" s="1213"/>
      <c r="K46" s="1213"/>
      <c r="L46" s="1213"/>
      <c r="M46" s="1213"/>
      <c r="N46" s="1213"/>
      <c r="O46" s="1213"/>
      <c r="P46" s="1213"/>
      <c r="Q46" s="1213"/>
      <c r="R46" s="3"/>
      <c r="S46" s="3"/>
      <c r="T46" s="3"/>
    </row>
    <row r="47" spans="1:22" x14ac:dyDescent="0.2">
      <c r="A47" s="315"/>
      <c r="B47" s="1185" t="s">
        <v>1805</v>
      </c>
      <c r="C47" s="1213"/>
      <c r="D47" s="1213"/>
      <c r="E47" s="1213"/>
      <c r="F47" s="1213"/>
      <c r="G47" s="1213"/>
      <c r="H47" s="1213"/>
      <c r="I47" s="1213"/>
      <c r="J47" s="1213"/>
      <c r="K47" s="1213"/>
      <c r="L47" s="1213"/>
      <c r="M47" s="1213"/>
      <c r="N47" s="1213"/>
      <c r="O47" s="1213"/>
      <c r="P47" s="1213"/>
      <c r="Q47" s="1213"/>
      <c r="R47" s="3"/>
      <c r="S47" s="3"/>
      <c r="T47" s="3"/>
    </row>
    <row r="48" spans="1:22" x14ac:dyDescent="0.2">
      <c r="A48" s="315"/>
      <c r="B48" s="1213" t="s">
        <v>687</v>
      </c>
      <c r="C48" s="1213"/>
      <c r="D48" s="1213"/>
      <c r="E48" s="1213"/>
      <c r="F48" s="1213"/>
      <c r="G48" s="1213"/>
      <c r="H48" s="1213"/>
      <c r="I48" s="1213"/>
      <c r="J48" s="1213"/>
      <c r="K48" s="1213"/>
      <c r="L48" s="1213"/>
      <c r="M48" s="1213"/>
      <c r="N48" s="1213"/>
      <c r="O48" s="1213"/>
      <c r="P48" s="1213"/>
      <c r="Q48" s="1213"/>
      <c r="R48" s="3"/>
      <c r="S48" s="3"/>
      <c r="T48" s="3"/>
    </row>
    <row r="49" spans="1:20" x14ac:dyDescent="0.2">
      <c r="A49" s="315" t="s">
        <v>1860</v>
      </c>
      <c r="B49" s="1185" t="s">
        <v>2518</v>
      </c>
      <c r="C49" s="1213"/>
      <c r="D49" s="1213"/>
      <c r="E49" s="1213"/>
      <c r="F49" s="1213"/>
      <c r="G49" s="1213"/>
      <c r="H49" s="1213"/>
      <c r="I49" s="1213"/>
      <c r="J49" s="1213"/>
      <c r="K49" s="1213"/>
      <c r="L49" s="1213"/>
      <c r="M49" s="1213"/>
      <c r="N49" s="1213"/>
      <c r="O49" s="1213"/>
      <c r="P49" s="1213"/>
      <c r="Q49" s="1213"/>
      <c r="R49" s="3"/>
      <c r="S49" s="3"/>
      <c r="T49" s="3"/>
    </row>
    <row r="50" spans="1:20" x14ac:dyDescent="0.2">
      <c r="A50" s="108"/>
      <c r="B50" s="109"/>
      <c r="C50" s="109"/>
      <c r="D50" s="109"/>
      <c r="E50" s="109"/>
      <c r="F50" s="109"/>
      <c r="G50" s="109"/>
      <c r="H50" s="109"/>
      <c r="I50" s="109"/>
      <c r="J50" s="109"/>
      <c r="K50" s="109"/>
      <c r="L50" s="109"/>
      <c r="M50" s="109"/>
      <c r="N50" s="109"/>
      <c r="O50" s="109"/>
      <c r="P50" s="109"/>
      <c r="Q50" s="109"/>
      <c r="R50" s="3"/>
      <c r="S50" s="3"/>
      <c r="T50" s="3"/>
    </row>
    <row r="51" spans="1:20" ht="15" customHeight="1" x14ac:dyDescent="0.2">
      <c r="A51" s="1233" t="s">
        <v>94</v>
      </c>
      <c r="B51" s="1234"/>
      <c r="C51" s="1234"/>
      <c r="D51" s="1234"/>
      <c r="E51" s="1234"/>
      <c r="F51" s="1234"/>
      <c r="G51" s="1234"/>
      <c r="H51" s="1234"/>
      <c r="I51" s="1234"/>
      <c r="J51" s="1234"/>
      <c r="K51" s="1234"/>
      <c r="L51" s="1234"/>
      <c r="M51" s="1234"/>
      <c r="N51" s="1234"/>
      <c r="O51" s="1234"/>
      <c r="P51" s="1234"/>
      <c r="Q51" s="1259"/>
      <c r="R51" s="3"/>
      <c r="S51" s="3"/>
      <c r="T51" s="3"/>
    </row>
    <row r="52" spans="1:20" s="19" customFormat="1" x14ac:dyDescent="0.2">
      <c r="A52" s="1232" t="s">
        <v>92</v>
      </c>
      <c r="B52" s="1232"/>
      <c r="C52" s="1232"/>
      <c r="D52" s="1232"/>
      <c r="E52" s="1232"/>
      <c r="F52" s="1232"/>
      <c r="G52" s="1185" t="s">
        <v>2578</v>
      </c>
      <c r="H52" s="1213"/>
      <c r="I52" s="1213"/>
      <c r="J52" s="1213"/>
      <c r="K52" s="1213"/>
      <c r="L52" s="1213"/>
      <c r="M52" s="1213"/>
      <c r="N52" s="1213"/>
      <c r="O52" s="1213"/>
      <c r="P52" s="1213"/>
      <c r="Q52" s="1213"/>
    </row>
    <row r="53" spans="1:20" s="19" customFormat="1" x14ac:dyDescent="0.2">
      <c r="A53" s="1232" t="s">
        <v>93</v>
      </c>
      <c r="B53" s="1232"/>
      <c r="C53" s="1232"/>
      <c r="D53" s="1232"/>
      <c r="E53" s="1232"/>
      <c r="F53" s="1232"/>
      <c r="G53" s="1226" t="s">
        <v>2429</v>
      </c>
      <c r="H53" s="1227"/>
      <c r="I53" s="1227"/>
      <c r="J53" s="1227"/>
      <c r="K53" s="1227"/>
      <c r="L53" s="1227"/>
      <c r="M53" s="1227"/>
      <c r="N53" s="1227"/>
      <c r="O53" s="1227"/>
      <c r="P53" s="1227"/>
      <c r="Q53" s="1227"/>
    </row>
    <row r="54" spans="1:20" s="19" customFormat="1" x14ac:dyDescent="0.2">
      <c r="A54" s="1232" t="s">
        <v>696</v>
      </c>
      <c r="B54" s="1232"/>
      <c r="C54" s="1232"/>
      <c r="D54" s="1232"/>
      <c r="E54" s="1232"/>
      <c r="F54" s="1232"/>
      <c r="G54" s="1226" t="s">
        <v>2579</v>
      </c>
      <c r="H54" s="1227"/>
      <c r="I54" s="1227"/>
      <c r="J54" s="1227"/>
      <c r="K54" s="1227"/>
      <c r="L54" s="1227"/>
      <c r="M54" s="1227"/>
      <c r="N54" s="1227"/>
      <c r="O54" s="1227"/>
      <c r="P54" s="1227"/>
      <c r="Q54" s="1227"/>
    </row>
    <row r="55" spans="1:20" s="19" customFormat="1" x14ac:dyDescent="0.2">
      <c r="A55" s="1232" t="s">
        <v>697</v>
      </c>
      <c r="B55" s="1232"/>
      <c r="C55" s="1232"/>
      <c r="D55" s="1232"/>
      <c r="E55" s="1232"/>
      <c r="F55" s="1232"/>
      <c r="G55" s="1227"/>
      <c r="H55" s="1227"/>
      <c r="I55" s="1227"/>
      <c r="J55" s="1227"/>
      <c r="K55" s="1227"/>
      <c r="L55" s="1227"/>
      <c r="M55" s="1227"/>
      <c r="N55" s="1227"/>
      <c r="O55" s="1227"/>
      <c r="P55" s="1227"/>
      <c r="Q55" s="1227"/>
    </row>
    <row r="56" spans="1:20" s="19" customFormat="1" x14ac:dyDescent="0.2">
      <c r="A56" s="1232" t="s">
        <v>694</v>
      </c>
      <c r="B56" s="1232"/>
      <c r="C56" s="1232"/>
      <c r="D56" s="1232"/>
      <c r="E56" s="1232"/>
      <c r="F56" s="1232"/>
      <c r="G56" s="1227">
        <v>360</v>
      </c>
      <c r="H56" s="1227"/>
      <c r="I56" s="1227"/>
      <c r="J56" s="1227"/>
      <c r="K56" s="1227"/>
      <c r="L56" s="1227"/>
      <c r="M56" s="1227"/>
      <c r="N56" s="1227"/>
      <c r="O56" s="1227"/>
      <c r="P56" s="1227"/>
      <c r="Q56" s="1227"/>
    </row>
    <row r="57" spans="1:20" s="19" customFormat="1" x14ac:dyDescent="0.2">
      <c r="A57" s="1249" t="s">
        <v>1806</v>
      </c>
      <c r="B57" s="1232"/>
      <c r="C57" s="1232"/>
      <c r="D57" s="1232"/>
      <c r="E57" s="1232"/>
      <c r="F57" s="1232"/>
      <c r="G57" s="1227">
        <v>2360</v>
      </c>
      <c r="H57" s="1227"/>
      <c r="I57" s="1227"/>
      <c r="J57" s="1227"/>
      <c r="K57" s="1227"/>
      <c r="L57" s="1227"/>
      <c r="M57" s="1227"/>
      <c r="N57" s="1227"/>
      <c r="O57" s="1227"/>
      <c r="P57" s="1227"/>
      <c r="Q57" s="1227"/>
    </row>
    <row r="58" spans="1:20" s="19" customFormat="1" ht="17.25" customHeight="1" x14ac:dyDescent="0.2">
      <c r="A58" s="1249" t="s">
        <v>1807</v>
      </c>
      <c r="B58" s="1232"/>
      <c r="C58" s="1232"/>
      <c r="D58" s="1232"/>
      <c r="E58" s="1232"/>
      <c r="F58" s="1232"/>
      <c r="G58" s="1213">
        <v>36076932</v>
      </c>
      <c r="H58" s="1213"/>
      <c r="I58" s="1213"/>
      <c r="J58" s="1213"/>
      <c r="K58" s="1213"/>
      <c r="L58" s="1213"/>
      <c r="M58" s="1213"/>
      <c r="N58" s="1213"/>
      <c r="O58" s="1213"/>
      <c r="P58" s="1213"/>
      <c r="Q58" s="1213"/>
    </row>
    <row r="59" spans="1:20" s="19" customFormat="1" x14ac:dyDescent="0.2">
      <c r="A59" s="1249" t="s">
        <v>1840</v>
      </c>
      <c r="B59" s="1232"/>
      <c r="C59" s="1232"/>
      <c r="D59" s="1232"/>
      <c r="E59" s="1232"/>
      <c r="F59" s="1232"/>
      <c r="G59" s="1185" t="s">
        <v>1841</v>
      </c>
      <c r="H59" s="1213"/>
      <c r="I59" s="1213"/>
      <c r="J59" s="1213"/>
      <c r="K59" s="1213"/>
      <c r="L59" s="1213"/>
      <c r="M59" s="1213"/>
      <c r="N59" s="1213"/>
      <c r="O59" s="1213"/>
      <c r="P59" s="1213"/>
      <c r="Q59" s="1213"/>
    </row>
    <row r="60" spans="1:20" s="19" customFormat="1" x14ac:dyDescent="0.2">
      <c r="A60" s="114"/>
      <c r="B60" s="114"/>
      <c r="C60" s="114"/>
      <c r="D60" s="114"/>
      <c r="E60" s="114"/>
      <c r="F60" s="114"/>
      <c r="G60" s="115"/>
      <c r="H60" s="115"/>
      <c r="I60" s="115"/>
      <c r="J60" s="115"/>
      <c r="K60" s="115"/>
      <c r="L60" s="115"/>
      <c r="M60" s="115"/>
      <c r="N60" s="115"/>
      <c r="O60" s="115"/>
      <c r="P60" s="115"/>
      <c r="Q60" s="115"/>
    </row>
    <row r="61" spans="1:20" ht="15" customHeight="1" x14ac:dyDescent="0.2">
      <c r="A61" s="1233" t="s">
        <v>1910</v>
      </c>
      <c r="B61" s="1234"/>
      <c r="C61" s="1234"/>
      <c r="D61" s="1234"/>
      <c r="E61" s="1234"/>
      <c r="F61" s="1234"/>
      <c r="G61" s="1234"/>
      <c r="H61" s="1234"/>
      <c r="I61" s="1234"/>
      <c r="J61" s="1234"/>
      <c r="K61" s="1234"/>
      <c r="L61" s="1234"/>
      <c r="M61" s="1234"/>
      <c r="N61" s="1234"/>
      <c r="O61" s="1234"/>
      <c r="P61" s="1234"/>
      <c r="Q61" s="1259"/>
      <c r="R61" s="3"/>
      <c r="S61" s="3"/>
      <c r="T61" s="3"/>
    </row>
    <row r="62" spans="1:20" ht="15" hidden="1" customHeight="1" x14ac:dyDescent="0.2">
      <c r="A62" s="1223" t="s">
        <v>239</v>
      </c>
      <c r="B62" s="1223"/>
      <c r="C62" s="1223"/>
      <c r="D62" s="1223"/>
      <c r="E62" s="1214"/>
      <c r="F62" s="1218"/>
      <c r="G62" s="1218"/>
      <c r="H62" s="1218"/>
      <c r="I62" s="1218"/>
      <c r="J62" s="1218"/>
      <c r="K62" s="1218"/>
      <c r="L62" s="1218"/>
      <c r="M62" s="1218"/>
      <c r="N62" s="1218"/>
      <c r="O62" s="1218"/>
      <c r="P62" s="1218"/>
      <c r="Q62" s="1219"/>
    </row>
    <row r="63" spans="1:20" ht="15" hidden="1" customHeight="1" x14ac:dyDescent="0.2">
      <c r="A63" s="1223" t="s">
        <v>246</v>
      </c>
      <c r="B63" s="1223"/>
      <c r="C63" s="1223"/>
      <c r="D63" s="1223"/>
      <c r="E63" s="1241"/>
      <c r="F63" s="1242"/>
      <c r="G63" s="1242"/>
      <c r="H63" s="1242"/>
      <c r="I63" s="1242"/>
      <c r="J63" s="1242"/>
      <c r="K63" s="1242"/>
      <c r="L63" s="1242"/>
      <c r="M63" s="1242"/>
      <c r="N63" s="1242"/>
      <c r="O63" s="1242"/>
      <c r="P63" s="1242"/>
      <c r="Q63" s="1243"/>
      <c r="R63" s="3"/>
      <c r="S63" s="3"/>
      <c r="T63" s="3"/>
    </row>
    <row r="64" spans="1:20" ht="15" hidden="1" customHeight="1" x14ac:dyDescent="0.2">
      <c r="A64" s="97"/>
      <c r="B64" s="97"/>
      <c r="C64" s="97"/>
      <c r="D64" s="97"/>
      <c r="E64" s="90"/>
      <c r="F64" s="90"/>
      <c r="G64" s="90"/>
      <c r="H64" s="90"/>
      <c r="I64" s="90"/>
      <c r="J64" s="90"/>
      <c r="K64" s="90"/>
      <c r="L64" s="90"/>
      <c r="M64" s="90"/>
      <c r="N64" s="90"/>
      <c r="O64" s="90"/>
      <c r="P64" s="90"/>
      <c r="Q64" s="90"/>
      <c r="R64" s="3"/>
      <c r="S64" s="3"/>
      <c r="T64" s="3"/>
    </row>
    <row r="65" spans="1:20" ht="15" hidden="1" customHeight="1" x14ac:dyDescent="0.2">
      <c r="A65" s="1274" t="s">
        <v>241</v>
      </c>
      <c r="B65" s="1274"/>
      <c r="C65" s="1274"/>
      <c r="D65" s="1274"/>
      <c r="E65" s="1220" t="s">
        <v>701</v>
      </c>
      <c r="F65" s="1220"/>
      <c r="G65" s="1220"/>
      <c r="H65" s="1220" t="s">
        <v>1455</v>
      </c>
      <c r="I65" s="1220"/>
      <c r="J65" s="1220"/>
      <c r="K65" s="1220" t="s">
        <v>1456</v>
      </c>
      <c r="L65" s="1220"/>
      <c r="M65" s="1220"/>
      <c r="N65" s="1220" t="s">
        <v>1457</v>
      </c>
      <c r="O65" s="1220"/>
      <c r="P65" s="1220"/>
      <c r="Q65" s="9"/>
      <c r="R65" s="3"/>
      <c r="S65" s="3"/>
      <c r="T65" s="3"/>
    </row>
    <row r="66" spans="1:20" ht="15" hidden="1" customHeight="1" x14ac:dyDescent="0.2">
      <c r="A66" s="1213" t="s">
        <v>1458</v>
      </c>
      <c r="B66" s="1213"/>
      <c r="C66" s="1213"/>
      <c r="D66" s="1213"/>
      <c r="E66" s="1212" t="str">
        <f>(G52)</f>
        <v>AAST19</v>
      </c>
      <c r="F66" s="1212"/>
      <c r="G66" s="1212"/>
      <c r="H66" s="1212"/>
      <c r="I66" s="1212"/>
      <c r="J66" s="1212"/>
      <c r="K66" s="1212"/>
      <c r="L66" s="1212"/>
      <c r="M66" s="1212"/>
      <c r="N66" s="1212"/>
      <c r="O66" s="1212"/>
      <c r="P66" s="1212"/>
      <c r="Q66" s="12"/>
      <c r="R66" s="3"/>
      <c r="S66" s="3"/>
      <c r="T66" s="3"/>
    </row>
    <row r="67" spans="1:20" ht="15" hidden="1" customHeight="1" x14ac:dyDescent="0.2">
      <c r="A67" s="1213" t="s">
        <v>698</v>
      </c>
      <c r="B67" s="1213"/>
      <c r="C67" s="1213"/>
      <c r="D67" s="1213"/>
      <c r="E67" s="1212" t="str">
        <f>E18</f>
        <v>19I10</v>
      </c>
      <c r="F67" s="1212"/>
      <c r="G67" s="1212"/>
      <c r="H67" s="1212"/>
      <c r="I67" s="1212"/>
      <c r="J67" s="1212"/>
      <c r="K67" s="1212"/>
      <c r="L67" s="1212"/>
      <c r="M67" s="1212"/>
      <c r="N67" s="1212"/>
      <c r="O67" s="1212"/>
      <c r="P67" s="1212"/>
      <c r="Q67" s="12"/>
      <c r="R67" s="3"/>
      <c r="S67" s="3"/>
      <c r="T67" s="3"/>
    </row>
    <row r="68" spans="1:20" ht="15" hidden="1" customHeight="1" x14ac:dyDescent="0.2">
      <c r="A68" s="1213" t="s">
        <v>699</v>
      </c>
      <c r="B68" s="1213"/>
      <c r="C68" s="1213"/>
      <c r="D68" s="1213"/>
      <c r="E68" s="1212">
        <f>G56</f>
        <v>360</v>
      </c>
      <c r="F68" s="1212"/>
      <c r="G68" s="1212"/>
      <c r="H68" s="1212"/>
      <c r="I68" s="1212"/>
      <c r="J68" s="1212"/>
      <c r="K68" s="1212"/>
      <c r="L68" s="1212"/>
      <c r="M68" s="1212"/>
      <c r="N68" s="1212"/>
      <c r="O68" s="1212"/>
      <c r="P68" s="1212"/>
      <c r="Q68" s="12"/>
      <c r="R68" s="3"/>
      <c r="S68" s="3"/>
      <c r="T68" s="3"/>
    </row>
    <row r="69" spans="1:20" ht="15" hidden="1" customHeight="1" x14ac:dyDescent="0.2">
      <c r="A69" s="1213" t="s">
        <v>700</v>
      </c>
      <c r="B69" s="1213"/>
      <c r="C69" s="1213"/>
      <c r="D69" s="1213"/>
      <c r="E69" s="1212"/>
      <c r="F69" s="1212"/>
      <c r="G69" s="1212"/>
      <c r="H69" s="1212"/>
      <c r="I69" s="1212"/>
      <c r="J69" s="1212"/>
      <c r="K69" s="1212"/>
      <c r="L69" s="1212"/>
      <c r="M69" s="1212"/>
      <c r="N69" s="1212"/>
      <c r="O69" s="1212"/>
      <c r="P69" s="1212"/>
      <c r="Q69" s="12"/>
      <c r="R69" s="3"/>
      <c r="S69" s="3"/>
      <c r="T69" s="3"/>
    </row>
    <row r="70" spans="1:20" ht="15" hidden="1" customHeight="1" x14ac:dyDescent="0.2">
      <c r="A70" s="90"/>
      <c r="B70" s="97"/>
      <c r="C70" s="97"/>
      <c r="D70" s="97"/>
      <c r="E70" s="90"/>
      <c r="F70" s="90"/>
      <c r="G70" s="90"/>
      <c r="H70" s="90"/>
      <c r="I70" s="90"/>
      <c r="J70" s="90"/>
      <c r="K70" s="90"/>
      <c r="L70" s="90"/>
      <c r="M70" s="90"/>
      <c r="N70" s="90"/>
      <c r="O70" s="90"/>
      <c r="P70" s="90"/>
      <c r="Q70" s="90"/>
      <c r="R70" s="3"/>
      <c r="S70" s="3"/>
      <c r="T70" s="3"/>
    </row>
    <row r="71" spans="1:20" ht="15" hidden="1" customHeight="1" x14ac:dyDescent="0.2">
      <c r="A71" s="121" t="s">
        <v>1531</v>
      </c>
      <c r="B71" s="97"/>
      <c r="C71" s="97"/>
      <c r="D71" s="97"/>
      <c r="E71" s="90"/>
      <c r="F71" s="90"/>
      <c r="G71" s="90"/>
      <c r="H71" s="90"/>
      <c r="I71" s="90"/>
      <c r="J71" s="90"/>
      <c r="K71" s="90"/>
      <c r="L71" s="90"/>
      <c r="M71" s="90"/>
      <c r="N71" s="90"/>
      <c r="O71" s="90"/>
      <c r="P71" s="90"/>
      <c r="Q71" s="90"/>
      <c r="R71" s="3"/>
      <c r="S71" s="3"/>
      <c r="T71" s="3"/>
    </row>
    <row r="72" spans="1:20" ht="15" hidden="1" customHeight="1" x14ac:dyDescent="0.2">
      <c r="A72" s="90" t="s">
        <v>702</v>
      </c>
      <c r="B72" s="97"/>
      <c r="C72" s="97"/>
      <c r="D72" s="97"/>
      <c r="E72" s="90"/>
      <c r="F72" s="90"/>
      <c r="G72" s="90"/>
      <c r="H72" s="90"/>
      <c r="I72" s="90"/>
      <c r="J72" s="90"/>
      <c r="K72" s="90"/>
      <c r="L72" s="90"/>
      <c r="M72" s="90"/>
      <c r="N72" s="90"/>
      <c r="O72" s="90"/>
      <c r="P72" s="90"/>
      <c r="Q72" s="90"/>
      <c r="R72" s="3"/>
      <c r="S72" s="3"/>
      <c r="T72" s="3"/>
    </row>
    <row r="73" spans="1:20" ht="15" hidden="1" customHeight="1" x14ac:dyDescent="0.2">
      <c r="A73" s="90" t="s">
        <v>703</v>
      </c>
      <c r="B73" s="97"/>
      <c r="C73" s="97"/>
      <c r="D73" s="97"/>
      <c r="E73" s="90"/>
      <c r="F73" s="90"/>
      <c r="G73" s="90"/>
      <c r="H73" s="90"/>
      <c r="I73" s="90"/>
      <c r="J73" s="90"/>
      <c r="K73" s="90"/>
      <c r="L73" s="90"/>
      <c r="M73" s="90"/>
      <c r="N73" s="90"/>
      <c r="O73" s="90"/>
      <c r="P73" s="90"/>
      <c r="Q73" s="90"/>
      <c r="R73" s="3"/>
      <c r="S73" s="3"/>
      <c r="T73" s="3"/>
    </row>
    <row r="74" spans="1:20" ht="15" hidden="1" customHeight="1" x14ac:dyDescent="0.2">
      <c r="A74" s="90" t="s">
        <v>704</v>
      </c>
      <c r="B74" s="97"/>
      <c r="C74" s="97"/>
      <c r="D74" s="97"/>
      <c r="E74" s="90"/>
      <c r="F74" s="90"/>
      <c r="G74" s="90"/>
      <c r="H74" s="90"/>
      <c r="I74" s="90"/>
      <c r="J74" s="90"/>
      <c r="K74" s="90"/>
      <c r="L74" s="90"/>
      <c r="M74" s="90"/>
      <c r="N74" s="90"/>
      <c r="O74" s="90"/>
      <c r="P74" s="90"/>
      <c r="Q74" s="90"/>
      <c r="R74" s="3"/>
      <c r="S74" s="3"/>
      <c r="T74" s="3"/>
    </row>
    <row r="75" spans="1:20" ht="15" hidden="1" customHeight="1" x14ac:dyDescent="0.2">
      <c r="A75" s="90" t="s">
        <v>705</v>
      </c>
      <c r="B75" s="97"/>
      <c r="C75" s="97"/>
      <c r="D75" s="97"/>
      <c r="E75" s="90"/>
      <c r="F75" s="90"/>
      <c r="G75" s="90"/>
      <c r="H75" s="90"/>
      <c r="I75" s="90"/>
      <c r="J75" s="90"/>
      <c r="K75" s="90"/>
      <c r="L75" s="90"/>
      <c r="M75" s="90"/>
      <c r="N75" s="90"/>
      <c r="O75" s="90"/>
      <c r="P75" s="90"/>
      <c r="Q75" s="90"/>
      <c r="R75" s="3"/>
      <c r="S75" s="3"/>
      <c r="T75" s="3"/>
    </row>
    <row r="76" spans="1:20" ht="15" customHeight="1" x14ac:dyDescent="0.2">
      <c r="A76" s="90"/>
      <c r="B76" s="97"/>
      <c r="C76" s="97"/>
      <c r="D76" s="97"/>
      <c r="E76" s="90"/>
      <c r="F76" s="90"/>
      <c r="G76" s="90"/>
      <c r="H76" s="90"/>
      <c r="I76" s="90"/>
      <c r="J76" s="90"/>
      <c r="K76" s="90"/>
      <c r="L76" s="90"/>
      <c r="M76" s="90"/>
      <c r="N76" s="90"/>
      <c r="O76" s="90"/>
      <c r="P76" s="90"/>
      <c r="Q76" s="90"/>
      <c r="R76" s="3"/>
      <c r="S76" s="3"/>
      <c r="T76" s="3"/>
    </row>
    <row r="77" spans="1:20" ht="15" customHeight="1" x14ac:dyDescent="0.2">
      <c r="A77" s="1280" t="s">
        <v>2330</v>
      </c>
      <c r="B77" s="1280"/>
      <c r="C77" s="1280"/>
      <c r="D77" s="1280"/>
      <c r="E77" s="1280"/>
      <c r="F77" s="1280"/>
      <c r="G77" s="1280"/>
      <c r="H77" s="1280"/>
      <c r="I77" s="1280"/>
      <c r="J77" s="1280"/>
      <c r="K77" s="1280"/>
      <c r="L77" s="1280"/>
      <c r="M77" s="1280"/>
      <c r="N77" s="1280"/>
      <c r="O77" s="1280"/>
      <c r="P77" s="1280"/>
      <c r="Q77" s="1280"/>
      <c r="R77" s="1280"/>
      <c r="S77" s="3"/>
      <c r="T77" s="3"/>
    </row>
    <row r="78" spans="1:20" s="19" customFormat="1" x14ac:dyDescent="0.2">
      <c r="A78" s="1214" t="s">
        <v>243</v>
      </c>
      <c r="B78" s="1215"/>
      <c r="C78" s="1211" t="s">
        <v>2691</v>
      </c>
      <c r="D78" s="1185"/>
      <c r="E78" s="1185"/>
      <c r="F78" s="1185"/>
      <c r="G78" s="1185"/>
      <c r="H78" s="1185"/>
      <c r="I78" s="1185"/>
      <c r="J78" s="1185"/>
      <c r="K78" s="1185"/>
      <c r="L78" s="1185"/>
      <c r="M78" s="1185"/>
      <c r="N78" s="1185"/>
      <c r="O78" s="1185"/>
      <c r="P78" s="1185"/>
      <c r="Q78" s="1185"/>
      <c r="R78" s="1185"/>
    </row>
    <row r="79" spans="1:20" s="19" customFormat="1" x14ac:dyDescent="0.2">
      <c r="A79" s="1214" t="s">
        <v>2339</v>
      </c>
      <c r="B79" s="1215"/>
      <c r="C79" s="1211" t="s">
        <v>2581</v>
      </c>
      <c r="D79" s="1185"/>
      <c r="E79" s="1185"/>
      <c r="F79" s="1185"/>
      <c r="G79" s="1185"/>
      <c r="H79" s="1185"/>
      <c r="I79" s="1185"/>
      <c r="J79" s="1185"/>
      <c r="K79" s="1185"/>
      <c r="L79" s="1185"/>
      <c r="M79" s="1185"/>
      <c r="N79" s="1185"/>
      <c r="O79" s="1185"/>
      <c r="P79" s="1185"/>
      <c r="Q79" s="1185"/>
      <c r="R79" s="1185"/>
    </row>
    <row r="80" spans="1:20" s="19" customFormat="1" x14ac:dyDescent="0.2">
      <c r="A80" s="1214" t="s">
        <v>2285</v>
      </c>
      <c r="B80" s="1215"/>
      <c r="C80" s="1211" t="s">
        <v>2692</v>
      </c>
      <c r="D80" s="1211"/>
      <c r="E80" s="1211"/>
      <c r="F80" s="1211"/>
      <c r="G80" s="1211"/>
      <c r="H80" s="1211"/>
      <c r="I80" s="1211"/>
      <c r="J80" s="1211"/>
      <c r="K80" s="1211"/>
      <c r="L80" s="1211"/>
      <c r="M80" s="1211"/>
      <c r="N80" s="1211"/>
      <c r="O80" s="1211"/>
      <c r="P80" s="1211"/>
      <c r="Q80" s="1211"/>
      <c r="R80" s="1211"/>
    </row>
    <row r="81" spans="1:20" s="19" customFormat="1" x14ac:dyDescent="0.2">
      <c r="A81" s="1214" t="s">
        <v>2297</v>
      </c>
      <c r="B81" s="1215"/>
      <c r="C81" s="1211" t="s">
        <v>2693</v>
      </c>
      <c r="D81" s="1211"/>
      <c r="E81" s="1211"/>
      <c r="F81" s="1211"/>
      <c r="G81" s="1211"/>
      <c r="H81" s="1211"/>
      <c r="I81" s="1211"/>
      <c r="J81" s="1211"/>
      <c r="K81" s="1211"/>
      <c r="L81" s="1211"/>
      <c r="M81" s="1211"/>
      <c r="N81" s="1211"/>
      <c r="O81" s="1211"/>
      <c r="P81" s="1211"/>
      <c r="Q81" s="1211"/>
      <c r="R81" s="1211"/>
    </row>
    <row r="82" spans="1:20" s="19" customFormat="1" x14ac:dyDescent="0.2">
      <c r="A82" s="1214" t="s">
        <v>2396</v>
      </c>
      <c r="B82" s="1215"/>
      <c r="C82" s="1211" t="s">
        <v>2719</v>
      </c>
      <c r="D82" s="1211"/>
      <c r="E82" s="1211"/>
      <c r="F82" s="1211"/>
      <c r="G82" s="1211"/>
      <c r="H82" s="1211"/>
      <c r="I82" s="1211"/>
      <c r="J82" s="1211"/>
      <c r="K82" s="1211"/>
      <c r="L82" s="1211"/>
      <c r="M82" s="1211"/>
      <c r="N82" s="1211"/>
      <c r="O82" s="1211"/>
      <c r="P82" s="1211"/>
      <c r="Q82" s="1211"/>
      <c r="R82" s="1211"/>
    </row>
    <row r="83" spans="1:20" s="19" customFormat="1" x14ac:dyDescent="0.2">
      <c r="A83" s="1214" t="s">
        <v>2509</v>
      </c>
      <c r="B83" s="1215"/>
      <c r="C83" s="1211" t="s">
        <v>2718</v>
      </c>
      <c r="D83" s="1211"/>
      <c r="E83" s="1211"/>
      <c r="F83" s="1211"/>
      <c r="G83" s="1211"/>
      <c r="H83" s="1211"/>
      <c r="I83" s="1211"/>
      <c r="J83" s="1211"/>
      <c r="K83" s="1211"/>
      <c r="L83" s="1211"/>
      <c r="M83" s="1211"/>
      <c r="N83" s="1211"/>
      <c r="O83" s="1211"/>
      <c r="P83" s="1211"/>
      <c r="Q83" s="1211"/>
      <c r="R83" s="1211"/>
    </row>
    <row r="84" spans="1:20" s="19" customFormat="1" x14ac:dyDescent="0.2">
      <c r="A84" s="1214"/>
      <c r="B84" s="1215"/>
      <c r="C84" s="1285" t="s">
        <v>2398</v>
      </c>
      <c r="D84" s="1285"/>
      <c r="E84" s="1285"/>
      <c r="F84" s="1285"/>
      <c r="G84" s="1285"/>
      <c r="H84" s="1285"/>
      <c r="I84" s="1285"/>
      <c r="J84" s="1285"/>
      <c r="K84" s="1285"/>
      <c r="L84" s="1285"/>
      <c r="M84" s="1285"/>
      <c r="N84" s="1285"/>
      <c r="O84" s="1285"/>
      <c r="P84" s="1285"/>
      <c r="Q84" s="1285"/>
      <c r="R84" s="1285"/>
    </row>
    <row r="85" spans="1:20" s="19" customFormat="1" x14ac:dyDescent="0.2">
      <c r="A85" s="1214" t="s">
        <v>695</v>
      </c>
      <c r="B85" s="1215"/>
      <c r="C85" s="1211" t="s">
        <v>2580</v>
      </c>
      <c r="D85" s="1211"/>
      <c r="E85" s="1211"/>
      <c r="F85" s="1211"/>
      <c r="G85" s="1211"/>
      <c r="H85" s="1211"/>
      <c r="I85" s="1211"/>
      <c r="J85" s="1211"/>
      <c r="K85" s="1211"/>
      <c r="L85" s="1211"/>
      <c r="M85" s="1211"/>
      <c r="N85" s="1211"/>
      <c r="O85" s="1211"/>
      <c r="P85" s="1211"/>
      <c r="Q85" s="1211"/>
      <c r="R85" s="1211"/>
    </row>
    <row r="86" spans="1:20" s="19" customFormat="1" x14ac:dyDescent="0.2">
      <c r="A86" s="1278"/>
      <c r="B86" s="1279"/>
      <c r="C86" s="1279"/>
      <c r="D86" s="1279"/>
      <c r="E86" s="1279"/>
      <c r="F86" s="1279"/>
      <c r="G86" s="1279"/>
      <c r="H86" s="1279"/>
      <c r="I86" s="1279"/>
      <c r="J86" s="1279"/>
      <c r="K86" s="1279"/>
      <c r="L86" s="1279"/>
      <c r="M86" s="1279"/>
      <c r="N86" s="1279"/>
      <c r="O86" s="1279"/>
      <c r="P86" s="1279"/>
      <c r="Q86" s="1279"/>
      <c r="R86" s="1279"/>
    </row>
    <row r="87" spans="1:20" ht="15" customHeight="1" x14ac:dyDescent="0.2">
      <c r="A87" s="1280" t="s">
        <v>688</v>
      </c>
      <c r="B87" s="1280"/>
      <c r="C87" s="1280"/>
      <c r="D87" s="1280"/>
      <c r="E87" s="1280"/>
      <c r="F87" s="1280"/>
      <c r="G87" s="1280"/>
      <c r="H87" s="1280"/>
      <c r="I87" s="1280"/>
      <c r="J87" s="1280"/>
      <c r="K87" s="1280"/>
      <c r="L87" s="1280"/>
      <c r="M87" s="1280"/>
      <c r="N87" s="1280"/>
      <c r="O87" s="1280"/>
      <c r="P87" s="1280"/>
      <c r="Q87" s="1280"/>
      <c r="R87" s="1280"/>
      <c r="S87" s="3"/>
      <c r="T87" s="3"/>
    </row>
    <row r="88" spans="1:20" ht="15" customHeight="1" x14ac:dyDescent="0.2">
      <c r="A88" s="1185" t="s">
        <v>437</v>
      </c>
      <c r="B88" s="1185"/>
      <c r="C88" s="1210" t="s">
        <v>2813</v>
      </c>
      <c r="D88" s="1210"/>
      <c r="E88" s="1210"/>
      <c r="F88" s="1210"/>
      <c r="G88" s="1210"/>
      <c r="H88" s="1210"/>
      <c r="I88" s="1210"/>
      <c r="J88" s="1185" t="s">
        <v>437</v>
      </c>
      <c r="K88" s="1185"/>
      <c r="L88" s="1286" t="s">
        <v>2494</v>
      </c>
      <c r="M88" s="1286"/>
      <c r="N88" s="1286"/>
      <c r="O88" s="1286"/>
      <c r="P88" s="1286"/>
      <c r="Q88" s="1286"/>
      <c r="R88" s="1286"/>
      <c r="S88" s="3"/>
      <c r="T88" s="3"/>
    </row>
    <row r="89" spans="1:20" ht="15" customHeight="1" x14ac:dyDescent="0.2">
      <c r="A89" s="1185" t="s">
        <v>616</v>
      </c>
      <c r="B89" s="1185"/>
      <c r="C89" s="1210" t="s">
        <v>2428</v>
      </c>
      <c r="D89" s="1210"/>
      <c r="E89" s="1210"/>
      <c r="F89" s="1210"/>
      <c r="G89" s="1210"/>
      <c r="H89" s="1210"/>
      <c r="I89" s="1210"/>
      <c r="J89" s="1185" t="s">
        <v>616</v>
      </c>
      <c r="K89" s="1185"/>
      <c r="L89" s="1216" t="s">
        <v>2495</v>
      </c>
      <c r="M89" s="1216"/>
      <c r="N89" s="1216"/>
      <c r="O89" s="1216"/>
      <c r="P89" s="1216"/>
      <c r="Q89" s="1216"/>
      <c r="R89" s="1216"/>
      <c r="S89" s="3"/>
      <c r="T89" s="3"/>
    </row>
    <row r="90" spans="1:20" ht="15" customHeight="1" x14ac:dyDescent="0.2">
      <c r="A90" s="1185" t="s">
        <v>360</v>
      </c>
      <c r="B90" s="1185"/>
      <c r="C90" s="1210" t="s">
        <v>1900</v>
      </c>
      <c r="D90" s="1210"/>
      <c r="E90" s="1210"/>
      <c r="F90" s="1210"/>
      <c r="G90" s="1210"/>
      <c r="H90" s="1210"/>
      <c r="I90" s="1210"/>
      <c r="J90" s="1185" t="s">
        <v>360</v>
      </c>
      <c r="K90" s="1185"/>
      <c r="L90" s="1216" t="s">
        <v>2481</v>
      </c>
      <c r="M90" s="1216"/>
      <c r="N90" s="1216"/>
      <c r="O90" s="1216"/>
      <c r="P90" s="1216"/>
      <c r="Q90" s="1216"/>
      <c r="R90" s="1216"/>
      <c r="S90" s="3"/>
      <c r="T90" s="3"/>
    </row>
    <row r="91" spans="1:20" ht="15" customHeight="1" x14ac:dyDescent="0.2">
      <c r="A91" s="1185" t="s">
        <v>690</v>
      </c>
      <c r="B91" s="1185"/>
      <c r="C91" s="1210" t="s">
        <v>1911</v>
      </c>
      <c r="D91" s="1210"/>
      <c r="E91" s="1210"/>
      <c r="F91" s="1210"/>
      <c r="G91" s="1210"/>
      <c r="H91" s="1210"/>
      <c r="I91" s="1210"/>
      <c r="J91" s="1185" t="s">
        <v>690</v>
      </c>
      <c r="K91" s="1185"/>
      <c r="L91" s="1216" t="s">
        <v>2500</v>
      </c>
      <c r="M91" s="1216"/>
      <c r="N91" s="1216"/>
      <c r="O91" s="1216"/>
      <c r="P91" s="1216"/>
      <c r="Q91" s="1216"/>
      <c r="R91" s="1216"/>
      <c r="S91" s="3"/>
      <c r="T91" s="3"/>
    </row>
    <row r="92" spans="1:20" ht="15" customHeight="1" x14ac:dyDescent="0.2">
      <c r="A92" s="1185" t="s">
        <v>692</v>
      </c>
      <c r="B92" s="1185"/>
      <c r="C92" s="1210" t="s">
        <v>1912</v>
      </c>
      <c r="D92" s="1210"/>
      <c r="E92" s="1210"/>
      <c r="F92" s="1210"/>
      <c r="G92" s="1210"/>
      <c r="H92" s="1210"/>
      <c r="I92" s="1210"/>
      <c r="J92" s="1185" t="s">
        <v>692</v>
      </c>
      <c r="K92" s="1185"/>
      <c r="L92" s="1216" t="s">
        <v>2499</v>
      </c>
      <c r="M92" s="1216"/>
      <c r="N92" s="1216"/>
      <c r="O92" s="1216"/>
      <c r="P92" s="1216"/>
      <c r="Q92" s="1216"/>
      <c r="R92" s="1216"/>
      <c r="S92" s="3"/>
      <c r="T92" s="3"/>
    </row>
    <row r="93" spans="1:20" ht="15" customHeight="1" x14ac:dyDescent="0.2">
      <c r="A93" s="1185" t="s">
        <v>236</v>
      </c>
      <c r="B93" s="1185"/>
      <c r="C93" s="1210" t="s">
        <v>1913</v>
      </c>
      <c r="D93" s="1210"/>
      <c r="E93" s="1210"/>
      <c r="F93" s="1210"/>
      <c r="G93" s="1210"/>
      <c r="H93" s="1210"/>
      <c r="I93" s="1210"/>
      <c r="J93" s="1185" t="s">
        <v>236</v>
      </c>
      <c r="K93" s="1185"/>
      <c r="L93" s="1216" t="s">
        <v>2496</v>
      </c>
      <c r="M93" s="1216"/>
      <c r="N93" s="1216"/>
      <c r="O93" s="1216"/>
      <c r="P93" s="1216"/>
      <c r="Q93" s="1216"/>
      <c r="R93" s="1216"/>
      <c r="S93" s="3"/>
      <c r="T93" s="3"/>
    </row>
    <row r="94" spans="1:20" ht="15" customHeight="1" x14ac:dyDescent="0.2">
      <c r="A94" s="1185" t="s">
        <v>235</v>
      </c>
      <c r="B94" s="1185"/>
      <c r="C94" s="1210" t="s">
        <v>1914</v>
      </c>
      <c r="D94" s="1210"/>
      <c r="E94" s="1210"/>
      <c r="F94" s="1210"/>
      <c r="G94" s="1210"/>
      <c r="H94" s="1210"/>
      <c r="I94" s="1210"/>
      <c r="J94" s="1185" t="s">
        <v>235</v>
      </c>
      <c r="K94" s="1185"/>
      <c r="L94" s="1216" t="s">
        <v>2497</v>
      </c>
      <c r="M94" s="1216"/>
      <c r="N94" s="1216"/>
      <c r="O94" s="1216"/>
      <c r="P94" s="1216"/>
      <c r="Q94" s="1216"/>
      <c r="R94" s="1216"/>
      <c r="S94" s="3"/>
      <c r="T94" s="3"/>
    </row>
    <row r="95" spans="1:20" ht="15" customHeight="1" x14ac:dyDescent="0.2">
      <c r="A95" s="1185" t="s">
        <v>1903</v>
      </c>
      <c r="B95" s="1185"/>
      <c r="C95" s="1185" t="s">
        <v>2340</v>
      </c>
      <c r="D95" s="1185"/>
      <c r="E95" s="1185"/>
      <c r="F95" s="1185"/>
      <c r="G95" s="1185"/>
      <c r="H95" s="1185"/>
      <c r="I95" s="1185"/>
      <c r="J95" s="1185" t="s">
        <v>2504</v>
      </c>
      <c r="K95" s="1185"/>
      <c r="L95" s="1287" t="s">
        <v>2505</v>
      </c>
      <c r="M95" s="1287"/>
      <c r="N95" s="1287"/>
      <c r="O95" s="1287"/>
      <c r="P95" s="1287"/>
      <c r="Q95" s="1287"/>
      <c r="R95" s="1287"/>
      <c r="S95" s="3"/>
      <c r="T95" s="3"/>
    </row>
    <row r="96" spans="1:20" ht="15" customHeight="1" x14ac:dyDescent="0.2">
      <c r="A96" s="1185" t="s">
        <v>420</v>
      </c>
      <c r="B96" s="1185"/>
      <c r="C96" s="1209" t="s">
        <v>2814</v>
      </c>
      <c r="D96" s="1210"/>
      <c r="E96" s="1210"/>
      <c r="F96" s="1210"/>
      <c r="G96" s="1210"/>
      <c r="H96" s="1210"/>
      <c r="I96" s="1210"/>
      <c r="J96" s="1185" t="s">
        <v>420</v>
      </c>
      <c r="K96" s="1185"/>
      <c r="L96" s="1288" t="s">
        <v>2498</v>
      </c>
      <c r="M96" s="1216"/>
      <c r="N96" s="1216"/>
      <c r="O96" s="1216"/>
      <c r="P96" s="1216"/>
      <c r="Q96" s="1216"/>
      <c r="R96" s="1216"/>
      <c r="S96" s="3"/>
      <c r="T96" s="3"/>
    </row>
    <row r="97" spans="1:20" ht="15" hidden="1" customHeight="1" x14ac:dyDescent="0.2">
      <c r="A97" s="1185" t="s">
        <v>437</v>
      </c>
      <c r="B97" s="1185"/>
      <c r="C97" s="1185"/>
      <c r="D97" s="1185"/>
      <c r="E97" s="1185"/>
      <c r="F97" s="1185"/>
      <c r="G97" s="1185"/>
      <c r="H97" s="1185"/>
      <c r="I97" s="1185"/>
      <c r="J97" s="1185" t="s">
        <v>437</v>
      </c>
      <c r="K97" s="1185"/>
      <c r="L97" s="1185"/>
      <c r="M97" s="1185"/>
      <c r="N97" s="1185"/>
      <c r="O97" s="1185"/>
      <c r="P97" s="1185"/>
      <c r="Q97" s="1185"/>
      <c r="R97" s="1185"/>
      <c r="S97" s="3"/>
      <c r="T97" s="3"/>
    </row>
    <row r="98" spans="1:20" ht="15" hidden="1" customHeight="1" x14ac:dyDescent="0.2">
      <c r="A98" s="1185" t="s">
        <v>616</v>
      </c>
      <c r="B98" s="1185"/>
      <c r="C98" s="1185"/>
      <c r="D98" s="1185"/>
      <c r="E98" s="1185"/>
      <c r="F98" s="1185"/>
      <c r="G98" s="1185"/>
      <c r="H98" s="1185"/>
      <c r="I98" s="1185"/>
      <c r="J98" s="1185" t="s">
        <v>616</v>
      </c>
      <c r="K98" s="1185"/>
      <c r="L98" s="1185"/>
      <c r="M98" s="1185"/>
      <c r="N98" s="1185"/>
      <c r="O98" s="1185"/>
      <c r="P98" s="1185"/>
      <c r="Q98" s="1185"/>
      <c r="R98" s="1185"/>
      <c r="S98" s="3"/>
      <c r="T98" s="3"/>
    </row>
    <row r="99" spans="1:20" ht="15" hidden="1" customHeight="1" x14ac:dyDescent="0.2">
      <c r="A99" s="1185" t="s">
        <v>360</v>
      </c>
      <c r="B99" s="1185"/>
      <c r="C99" s="1185"/>
      <c r="D99" s="1185"/>
      <c r="E99" s="1185"/>
      <c r="F99" s="1185"/>
      <c r="G99" s="1185"/>
      <c r="H99" s="1185"/>
      <c r="I99" s="1185"/>
      <c r="J99" s="1185" t="s">
        <v>360</v>
      </c>
      <c r="K99" s="1185"/>
      <c r="L99" s="1185"/>
      <c r="M99" s="1185"/>
      <c r="N99" s="1185"/>
      <c r="O99" s="1185"/>
      <c r="P99" s="1185"/>
      <c r="Q99" s="1185"/>
      <c r="R99" s="1185"/>
      <c r="S99" s="3"/>
      <c r="T99" s="3"/>
    </row>
    <row r="100" spans="1:20" ht="15" hidden="1" customHeight="1" x14ac:dyDescent="0.2">
      <c r="A100" s="1185" t="s">
        <v>690</v>
      </c>
      <c r="B100" s="1185"/>
      <c r="C100" s="1185"/>
      <c r="D100" s="1185"/>
      <c r="E100" s="1185"/>
      <c r="F100" s="1185"/>
      <c r="G100" s="1185"/>
      <c r="H100" s="1185"/>
      <c r="I100" s="1185"/>
      <c r="J100" s="1185" t="s">
        <v>690</v>
      </c>
      <c r="K100" s="1185"/>
      <c r="L100" s="1185"/>
      <c r="M100" s="1185"/>
      <c r="N100" s="1185"/>
      <c r="O100" s="1185"/>
      <c r="P100" s="1185"/>
      <c r="Q100" s="1185"/>
      <c r="R100" s="1185"/>
      <c r="S100" s="3"/>
      <c r="T100" s="3"/>
    </row>
    <row r="101" spans="1:20" ht="15" hidden="1" customHeight="1" x14ac:dyDescent="0.2">
      <c r="A101" s="1185" t="s">
        <v>691</v>
      </c>
      <c r="B101" s="1185"/>
      <c r="C101" s="1185"/>
      <c r="D101" s="1185"/>
      <c r="E101" s="1185"/>
      <c r="F101" s="1185"/>
      <c r="G101" s="1185"/>
      <c r="H101" s="1185"/>
      <c r="I101" s="1185"/>
      <c r="J101" s="1185" t="s">
        <v>691</v>
      </c>
      <c r="K101" s="1185"/>
      <c r="L101" s="1185"/>
      <c r="M101" s="1185"/>
      <c r="N101" s="1185"/>
      <c r="O101" s="1185"/>
      <c r="P101" s="1185"/>
      <c r="Q101" s="1185"/>
      <c r="R101" s="1185"/>
      <c r="S101" s="3"/>
      <c r="T101" s="3"/>
    </row>
    <row r="102" spans="1:20" ht="15" hidden="1" customHeight="1" x14ac:dyDescent="0.2">
      <c r="A102" s="1185" t="s">
        <v>236</v>
      </c>
      <c r="B102" s="1185"/>
      <c r="C102" s="1185"/>
      <c r="D102" s="1185"/>
      <c r="E102" s="1185"/>
      <c r="F102" s="1185"/>
      <c r="G102" s="1185"/>
      <c r="H102" s="1185"/>
      <c r="I102" s="1185"/>
      <c r="J102" s="1185" t="s">
        <v>236</v>
      </c>
      <c r="K102" s="1185"/>
      <c r="L102" s="1185"/>
      <c r="M102" s="1185"/>
      <c r="N102" s="1185"/>
      <c r="O102" s="1185"/>
      <c r="P102" s="1185"/>
      <c r="Q102" s="1185"/>
      <c r="R102" s="1185"/>
      <c r="S102" s="3"/>
      <c r="T102" s="3"/>
    </row>
    <row r="103" spans="1:20" ht="15" hidden="1" customHeight="1" x14ac:dyDescent="0.2">
      <c r="A103" s="1185" t="s">
        <v>235</v>
      </c>
      <c r="B103" s="1185"/>
      <c r="C103" s="1185"/>
      <c r="D103" s="1185"/>
      <c r="E103" s="1185"/>
      <c r="F103" s="1185"/>
      <c r="G103" s="1185"/>
      <c r="H103" s="1185"/>
      <c r="I103" s="1185"/>
      <c r="J103" s="1185" t="s">
        <v>235</v>
      </c>
      <c r="K103" s="1185"/>
      <c r="L103" s="1185"/>
      <c r="M103" s="1185"/>
      <c r="N103" s="1185"/>
      <c r="O103" s="1185"/>
      <c r="P103" s="1185"/>
      <c r="Q103" s="1185"/>
      <c r="R103" s="1185"/>
      <c r="S103" s="3"/>
      <c r="T103" s="3"/>
    </row>
    <row r="104" spans="1:20" ht="15" hidden="1" customHeight="1" x14ac:dyDescent="0.2">
      <c r="A104" s="1185" t="s">
        <v>420</v>
      </c>
      <c r="B104" s="1185"/>
      <c r="C104" s="1185"/>
      <c r="D104" s="1185"/>
      <c r="E104" s="1185"/>
      <c r="F104" s="1185"/>
      <c r="G104" s="1185"/>
      <c r="H104" s="1185"/>
      <c r="I104" s="1185"/>
      <c r="J104" s="1185" t="s">
        <v>420</v>
      </c>
      <c r="K104" s="1185"/>
      <c r="L104" s="1185"/>
      <c r="M104" s="1185"/>
      <c r="N104" s="1185"/>
      <c r="O104" s="1185"/>
      <c r="P104" s="1185"/>
      <c r="Q104" s="1185"/>
      <c r="R104" s="1185"/>
      <c r="S104" s="3"/>
      <c r="T104" s="3"/>
    </row>
    <row r="105" spans="1:20" ht="15" customHeight="1" x14ac:dyDescent="0.2">
      <c r="A105" s="1280" t="s">
        <v>2436</v>
      </c>
      <c r="B105" s="1280"/>
      <c r="C105" s="1280"/>
      <c r="D105" s="1280"/>
      <c r="E105" s="1280"/>
      <c r="F105" s="1280"/>
      <c r="G105" s="1280"/>
      <c r="H105" s="1280"/>
      <c r="I105" s="1280"/>
      <c r="J105" s="1280"/>
      <c r="K105" s="1280"/>
      <c r="L105" s="1280"/>
      <c r="M105" s="1280"/>
      <c r="N105" s="1280"/>
      <c r="O105" s="1280"/>
      <c r="P105" s="1280"/>
      <c r="Q105" s="1280"/>
      <c r="R105" s="1280"/>
      <c r="S105" s="3"/>
      <c r="T105" s="3"/>
    </row>
    <row r="106" spans="1:20" ht="15" customHeight="1" x14ac:dyDescent="0.2">
      <c r="A106" s="1185" t="s">
        <v>437</v>
      </c>
      <c r="B106" s="1185"/>
      <c r="C106" s="1210" t="s">
        <v>2438</v>
      </c>
      <c r="D106" s="1210"/>
      <c r="E106" s="1210"/>
      <c r="F106" s="1210"/>
      <c r="G106" s="1210"/>
      <c r="H106" s="1210"/>
      <c r="I106" s="1210"/>
      <c r="J106" s="1185" t="s">
        <v>437</v>
      </c>
      <c r="K106" s="1185"/>
      <c r="L106" s="1261" t="s">
        <v>2441</v>
      </c>
      <c r="M106" s="1261"/>
      <c r="N106" s="1261"/>
      <c r="O106" s="1261"/>
      <c r="P106" s="1261"/>
      <c r="Q106" s="1261"/>
      <c r="R106" s="1261"/>
      <c r="S106" s="3"/>
      <c r="T106" s="3"/>
    </row>
    <row r="107" spans="1:20" ht="15" customHeight="1" x14ac:dyDescent="0.2">
      <c r="A107" s="1185" t="s">
        <v>616</v>
      </c>
      <c r="B107" s="1185"/>
      <c r="C107" s="1210" t="s">
        <v>2439</v>
      </c>
      <c r="D107" s="1210"/>
      <c r="E107" s="1210"/>
      <c r="F107" s="1210"/>
      <c r="G107" s="1210"/>
      <c r="H107" s="1210"/>
      <c r="I107" s="1210"/>
      <c r="J107" s="1185" t="s">
        <v>616</v>
      </c>
      <c r="K107" s="1185"/>
      <c r="L107" s="1210" t="s">
        <v>2439</v>
      </c>
      <c r="M107" s="1210"/>
      <c r="N107" s="1210"/>
      <c r="O107" s="1210"/>
      <c r="P107" s="1210"/>
      <c r="Q107" s="1210"/>
      <c r="R107" s="1210"/>
      <c r="S107" s="3"/>
      <c r="T107" s="3"/>
    </row>
    <row r="108" spans="1:20" ht="15" customHeight="1" x14ac:dyDescent="0.2">
      <c r="A108" s="1185" t="s">
        <v>420</v>
      </c>
      <c r="B108" s="1185"/>
      <c r="C108" s="1209" t="s">
        <v>2437</v>
      </c>
      <c r="D108" s="1210"/>
      <c r="E108" s="1210"/>
      <c r="F108" s="1210"/>
      <c r="G108" s="1210"/>
      <c r="H108" s="1210"/>
      <c r="I108" s="1210"/>
      <c r="J108" s="1185" t="s">
        <v>420</v>
      </c>
      <c r="K108" s="1185"/>
      <c r="L108" s="1211" t="s">
        <v>2440</v>
      </c>
      <c r="M108" s="1185"/>
      <c r="N108" s="1185"/>
      <c r="O108" s="1185"/>
      <c r="P108" s="1185"/>
      <c r="Q108" s="1185"/>
      <c r="R108" s="1185"/>
      <c r="S108" s="3"/>
      <c r="T108" s="3"/>
    </row>
    <row r="109" spans="1:20" s="94" customFormat="1" ht="15" customHeight="1" x14ac:dyDescent="0.2">
      <c r="A109" s="113" t="s">
        <v>693</v>
      </c>
      <c r="B109" s="294"/>
      <c r="C109" s="295"/>
      <c r="D109" s="295"/>
      <c r="E109" s="295"/>
      <c r="F109" s="295"/>
      <c r="G109" s="295"/>
      <c r="H109" s="295"/>
      <c r="I109" s="295"/>
      <c r="J109" s="295"/>
      <c r="K109" s="295"/>
      <c r="L109" s="295"/>
      <c r="M109" s="295"/>
      <c r="N109" s="295"/>
      <c r="O109" s="295"/>
      <c r="P109" s="295"/>
      <c r="Q109" s="295"/>
      <c r="R109" s="2"/>
      <c r="S109" s="2"/>
      <c r="T109" s="2"/>
    </row>
    <row r="110" spans="1:20" ht="15" customHeight="1" x14ac:dyDescent="0.2">
      <c r="A110" s="1208" t="s">
        <v>2423</v>
      </c>
      <c r="B110" s="1208"/>
      <c r="C110" s="1185" t="s">
        <v>2815</v>
      </c>
      <c r="D110" s="1185"/>
      <c r="E110" s="1185"/>
      <c r="F110" s="1185"/>
      <c r="G110" s="1185"/>
      <c r="H110" s="1185"/>
      <c r="I110" s="1185"/>
      <c r="J110" s="1185"/>
      <c r="K110" s="1185"/>
      <c r="L110" s="1185"/>
      <c r="M110" s="1185"/>
      <c r="N110" s="1185"/>
      <c r="O110" s="1185"/>
      <c r="P110" s="1185"/>
      <c r="Q110" s="1185"/>
      <c r="R110" s="1185"/>
      <c r="S110" s="3"/>
      <c r="T110" s="3"/>
    </row>
    <row r="111" spans="1:20" ht="15" customHeight="1" x14ac:dyDescent="0.2">
      <c r="A111" s="7"/>
      <c r="B111" s="7"/>
      <c r="C111" s="7"/>
      <c r="D111" s="7"/>
      <c r="E111" s="7"/>
      <c r="F111" s="7"/>
      <c r="G111" s="7"/>
      <c r="H111" s="7"/>
      <c r="I111" s="7"/>
      <c r="J111" s="7"/>
      <c r="K111" s="7"/>
      <c r="L111" s="7"/>
      <c r="M111" s="7"/>
      <c r="N111" s="7"/>
      <c r="O111" s="7"/>
      <c r="P111" s="7"/>
      <c r="Q111" s="7"/>
      <c r="R111" s="3"/>
      <c r="S111" s="3"/>
      <c r="T111" s="3"/>
    </row>
    <row r="112" spans="1:20" ht="15" customHeight="1" x14ac:dyDescent="0.2">
      <c r="A112" s="1207" t="s">
        <v>77</v>
      </c>
      <c r="B112" s="1207"/>
      <c r="C112" s="1207"/>
      <c r="D112" s="1207"/>
      <c r="E112" s="1207"/>
      <c r="F112" s="1207"/>
      <c r="G112" s="1207"/>
      <c r="H112" s="1207"/>
      <c r="I112" s="1207"/>
      <c r="J112" s="1207"/>
      <c r="K112" s="1207"/>
      <c r="L112" s="1207"/>
      <c r="M112" s="1207"/>
      <c r="N112" s="1207"/>
      <c r="O112" s="1207"/>
      <c r="P112" s="1207"/>
      <c r="Q112" s="1207"/>
      <c r="R112" s="1207"/>
      <c r="S112" s="1207"/>
      <c r="T112" s="3"/>
    </row>
    <row r="113" spans="1:20" x14ac:dyDescent="0.2">
      <c r="A113" s="1192" t="s">
        <v>78</v>
      </c>
      <c r="B113" s="1193"/>
      <c r="C113" s="1194"/>
      <c r="D113" s="1202" t="s">
        <v>927</v>
      </c>
      <c r="E113" s="1202"/>
      <c r="F113" s="1202"/>
      <c r="G113" s="1202"/>
      <c r="H113" s="1202" t="s">
        <v>242</v>
      </c>
      <c r="I113" s="1202"/>
      <c r="J113" s="1202"/>
      <c r="K113" s="1202"/>
      <c r="L113" s="1282" t="s">
        <v>79</v>
      </c>
      <c r="M113" s="1283"/>
      <c r="N113" s="1283"/>
      <c r="O113" s="1284"/>
      <c r="P113" s="1203" t="s">
        <v>929</v>
      </c>
      <c r="Q113" s="1204"/>
      <c r="R113" s="1203" t="s">
        <v>930</v>
      </c>
      <c r="S113" s="1204"/>
      <c r="T113" s="3"/>
    </row>
    <row r="114" spans="1:20" x14ac:dyDescent="0.2">
      <c r="A114" s="1195"/>
      <c r="B114" s="1196"/>
      <c r="C114" s="1197"/>
      <c r="D114" s="1201" t="s">
        <v>341</v>
      </c>
      <c r="E114" s="1191"/>
      <c r="F114" s="1201" t="s">
        <v>928</v>
      </c>
      <c r="G114" s="1191"/>
      <c r="H114" s="1201" t="s">
        <v>341</v>
      </c>
      <c r="I114" s="1191"/>
      <c r="J114" s="1201" t="s">
        <v>928</v>
      </c>
      <c r="K114" s="1191"/>
      <c r="L114" s="1201" t="s">
        <v>341</v>
      </c>
      <c r="M114" s="1191"/>
      <c r="N114" s="1201" t="s">
        <v>928</v>
      </c>
      <c r="O114" s="1191"/>
      <c r="P114" s="1205"/>
      <c r="Q114" s="1206"/>
      <c r="R114" s="1205"/>
      <c r="S114" s="1206"/>
      <c r="T114" s="3"/>
    </row>
    <row r="115" spans="1:20" x14ac:dyDescent="0.2">
      <c r="A115" s="1198" t="s">
        <v>243</v>
      </c>
      <c r="B115" s="1198"/>
      <c r="C115" s="1198"/>
      <c r="D115" s="1190">
        <v>1</v>
      </c>
      <c r="E115" s="1191"/>
      <c r="F115" s="1188">
        <f>SUM(D115/P117)</f>
        <v>1</v>
      </c>
      <c r="G115" s="1189"/>
      <c r="H115" s="1190"/>
      <c r="I115" s="1191"/>
      <c r="J115" s="1188">
        <f>SUM(H115/P117)</f>
        <v>0</v>
      </c>
      <c r="K115" s="1189"/>
      <c r="L115" s="1190"/>
      <c r="M115" s="1191"/>
      <c r="N115" s="1188">
        <f>SUM(L115/P117)</f>
        <v>0</v>
      </c>
      <c r="O115" s="1189"/>
      <c r="P115" s="1199">
        <f>SUM(D115,H115,L115)</f>
        <v>1</v>
      </c>
      <c r="Q115" s="1200"/>
      <c r="R115" s="1186">
        <f>SUM(F115,J115,N115)</f>
        <v>1</v>
      </c>
      <c r="S115" s="1187"/>
      <c r="T115" s="3"/>
    </row>
    <row r="116" spans="1:20" x14ac:dyDescent="0.2">
      <c r="A116" s="1198" t="s">
        <v>244</v>
      </c>
      <c r="B116" s="1198"/>
      <c r="C116" s="1198"/>
      <c r="D116" s="1190"/>
      <c r="E116" s="1191"/>
      <c r="F116" s="1188">
        <f>SUM(D116/P117)</f>
        <v>0</v>
      </c>
      <c r="G116" s="1189"/>
      <c r="H116" s="1190"/>
      <c r="I116" s="1191"/>
      <c r="J116" s="1188">
        <f>SUM(H116/P117)</f>
        <v>0</v>
      </c>
      <c r="K116" s="1189"/>
      <c r="L116" s="1190"/>
      <c r="M116" s="1191"/>
      <c r="N116" s="1188">
        <f>SUM(L116/P117)</f>
        <v>0</v>
      </c>
      <c r="O116" s="1189"/>
      <c r="P116" s="1199">
        <f>SUM(D116,H116,L116)</f>
        <v>0</v>
      </c>
      <c r="Q116" s="1200"/>
      <c r="R116" s="1186">
        <f>SUM(F116,J116,N116)</f>
        <v>0</v>
      </c>
      <c r="S116" s="1187"/>
      <c r="T116" s="3"/>
    </row>
    <row r="117" spans="1:20" x14ac:dyDescent="0.2">
      <c r="A117" s="1275" t="s">
        <v>80</v>
      </c>
      <c r="B117" s="1276"/>
      <c r="C117" s="1277"/>
      <c r="D117" s="1212">
        <f>SUM(D115:E116)</f>
        <v>1</v>
      </c>
      <c r="E117" s="1212"/>
      <c r="F117" s="1212"/>
      <c r="G117" s="1212"/>
      <c r="H117" s="1212">
        <f>SUM(H115:I116)</f>
        <v>0</v>
      </c>
      <c r="I117" s="1212"/>
      <c r="J117" s="1212"/>
      <c r="K117" s="1212"/>
      <c r="L117" s="1212">
        <f>SUM(L115:M116)</f>
        <v>0</v>
      </c>
      <c r="M117" s="1212"/>
      <c r="N117" s="1212"/>
      <c r="O117" s="1212"/>
      <c r="P117" s="1281">
        <f>SUM(P115:Q116)</f>
        <v>1</v>
      </c>
      <c r="Q117" s="1281"/>
      <c r="R117" s="1269">
        <f>SUM(R115:S116)</f>
        <v>1</v>
      </c>
      <c r="S117" s="1269"/>
      <c r="T117" s="3"/>
    </row>
  </sheetData>
  <customSheetViews>
    <customSheetView guid="{4892E1C0-7A56-4F81-A857-987D77EC4462}" topLeftCell="B37">
      <selection activeCell="B42" sqref="B42:Q42"/>
      <rowBreaks count="1" manualBreakCount="1">
        <brk id="111" max="16383" man="1"/>
      </rowBreaks>
      <pageMargins left="0.5" right="0.5" top="0.75" bottom="0.75" header="0.5" footer="0.5"/>
      <pageSetup orientation="landscape" r:id="rId1"/>
      <headerFooter alignWithMargins="0"/>
    </customSheetView>
    <customSheetView guid="{C29C6423-4E3D-4B08-919E-993C7C45FC31}" topLeftCell="B37">
      <selection activeCell="B42" sqref="B42:Q42"/>
      <rowBreaks count="1" manualBreakCount="1">
        <brk id="111" max="16383" man="1"/>
      </rowBreaks>
      <pageMargins left="0.5" right="0.5" top="0.75" bottom="0.75" header="0.5" footer="0.5"/>
      <pageSetup orientation="landscape" r:id="rId2"/>
      <headerFooter alignWithMargins="0"/>
    </customSheetView>
  </customSheetViews>
  <mergeCells count="287">
    <mergeCell ref="J91:K91"/>
    <mergeCell ref="J92:K92"/>
    <mergeCell ref="J93:K93"/>
    <mergeCell ref="C97:I97"/>
    <mergeCell ref="L102:R102"/>
    <mergeCell ref="G57:Q57"/>
    <mergeCell ref="L95:R95"/>
    <mergeCell ref="L97:R97"/>
    <mergeCell ref="L98:R98"/>
    <mergeCell ref="L99:R99"/>
    <mergeCell ref="C95:I95"/>
    <mergeCell ref="C93:I93"/>
    <mergeCell ref="C94:I94"/>
    <mergeCell ref="J95:K95"/>
    <mergeCell ref="C91:I91"/>
    <mergeCell ref="N68:P68"/>
    <mergeCell ref="A87:R87"/>
    <mergeCell ref="L96:R96"/>
    <mergeCell ref="A95:B95"/>
    <mergeCell ref="A99:B99"/>
    <mergeCell ref="A97:B97"/>
    <mergeCell ref="A92:B92"/>
    <mergeCell ref="A98:B98"/>
    <mergeCell ref="C98:I98"/>
    <mergeCell ref="N66:P66"/>
    <mergeCell ref="C82:R82"/>
    <mergeCell ref="A80:B80"/>
    <mergeCell ref="C80:R80"/>
    <mergeCell ref="A82:B82"/>
    <mergeCell ref="A61:Q61"/>
    <mergeCell ref="E65:G65"/>
    <mergeCell ref="A81:B81"/>
    <mergeCell ref="C81:R81"/>
    <mergeCell ref="A63:D63"/>
    <mergeCell ref="A66:D66"/>
    <mergeCell ref="H66:J66"/>
    <mergeCell ref="K66:M66"/>
    <mergeCell ref="C79:R79"/>
    <mergeCell ref="C78:R78"/>
    <mergeCell ref="E66:G66"/>
    <mergeCell ref="A67:D67"/>
    <mergeCell ref="A68:D68"/>
    <mergeCell ref="C88:I88"/>
    <mergeCell ref="A88:B88"/>
    <mergeCell ref="A84:B84"/>
    <mergeCell ref="C84:R84"/>
    <mergeCell ref="L88:R88"/>
    <mergeCell ref="A53:F53"/>
    <mergeCell ref="G52:Q52"/>
    <mergeCell ref="A52:F52"/>
    <mergeCell ref="E36:H36"/>
    <mergeCell ref="A37:D37"/>
    <mergeCell ref="E37:H37"/>
    <mergeCell ref="A57:F57"/>
    <mergeCell ref="A54:F54"/>
    <mergeCell ref="A55:F55"/>
    <mergeCell ref="G54:Q54"/>
    <mergeCell ref="A36:D36"/>
    <mergeCell ref="A56:F56"/>
    <mergeCell ref="G56:Q56"/>
    <mergeCell ref="G58:Q58"/>
    <mergeCell ref="K68:M68"/>
    <mergeCell ref="A59:F59"/>
    <mergeCell ref="H69:J69"/>
    <mergeCell ref="K67:M67"/>
    <mergeCell ref="E63:Q63"/>
    <mergeCell ref="L117:O117"/>
    <mergeCell ref="P117:Q117"/>
    <mergeCell ref="J114:K114"/>
    <mergeCell ref="H114:I114"/>
    <mergeCell ref="D113:G113"/>
    <mergeCell ref="L113:O113"/>
    <mergeCell ref="D114:E114"/>
    <mergeCell ref="A93:B93"/>
    <mergeCell ref="A94:B94"/>
    <mergeCell ref="L103:R103"/>
    <mergeCell ref="L104:R104"/>
    <mergeCell ref="C110:R110"/>
    <mergeCell ref="L93:R93"/>
    <mergeCell ref="L94:R94"/>
    <mergeCell ref="C104:I104"/>
    <mergeCell ref="J104:K104"/>
    <mergeCell ref="A105:R105"/>
    <mergeCell ref="C106:I106"/>
    <mergeCell ref="J106:K106"/>
    <mergeCell ref="L106:R106"/>
    <mergeCell ref="A107:B107"/>
    <mergeCell ref="C107:I107"/>
    <mergeCell ref="J107:K107"/>
    <mergeCell ref="L107:R107"/>
    <mergeCell ref="A51:Q51"/>
    <mergeCell ref="A65:D65"/>
    <mergeCell ref="A58:F58"/>
    <mergeCell ref="G53:Q53"/>
    <mergeCell ref="S32:U32"/>
    <mergeCell ref="M34:R34"/>
    <mergeCell ref="D117:G117"/>
    <mergeCell ref="D115:E115"/>
    <mergeCell ref="D116:E116"/>
    <mergeCell ref="A115:C115"/>
    <mergeCell ref="H116:I116"/>
    <mergeCell ref="F115:G115"/>
    <mergeCell ref="H115:I115"/>
    <mergeCell ref="F116:G116"/>
    <mergeCell ref="A117:C117"/>
    <mergeCell ref="H117:K117"/>
    <mergeCell ref="A86:R86"/>
    <mergeCell ref="A83:B83"/>
    <mergeCell ref="C83:R83"/>
    <mergeCell ref="H68:J68"/>
    <mergeCell ref="A77:R77"/>
    <mergeCell ref="E67:G67"/>
    <mergeCell ref="H67:J67"/>
    <mergeCell ref="N69:P69"/>
    <mergeCell ref="E34:H34"/>
    <mergeCell ref="E35:H35"/>
    <mergeCell ref="A34:D34"/>
    <mergeCell ref="J34:L34"/>
    <mergeCell ref="J33:L33"/>
    <mergeCell ref="M33:R33"/>
    <mergeCell ref="R117:S117"/>
    <mergeCell ref="A4:Q4"/>
    <mergeCell ref="A6:D6"/>
    <mergeCell ref="A7:D7"/>
    <mergeCell ref="E6:Q6"/>
    <mergeCell ref="E7:Q7"/>
    <mergeCell ref="A12:D12"/>
    <mergeCell ref="E12:Q12"/>
    <mergeCell ref="A8:D8"/>
    <mergeCell ref="E8:Q8"/>
    <mergeCell ref="A10:D10"/>
    <mergeCell ref="G59:Q59"/>
    <mergeCell ref="K69:M69"/>
    <mergeCell ref="E69:G69"/>
    <mergeCell ref="H65:J65"/>
    <mergeCell ref="K65:M65"/>
    <mergeCell ref="A20:D20"/>
    <mergeCell ref="G55:Q55"/>
    <mergeCell ref="A43:Q43"/>
    <mergeCell ref="A38:D38"/>
    <mergeCell ref="E38:H38"/>
    <mergeCell ref="J38:L38"/>
    <mergeCell ref="M38:R38"/>
    <mergeCell ref="A35:D35"/>
    <mergeCell ref="A42:Q42"/>
    <mergeCell ref="J36:L36"/>
    <mergeCell ref="M36:R36"/>
    <mergeCell ref="S38:U38"/>
    <mergeCell ref="M32:R32"/>
    <mergeCell ref="S34:U34"/>
    <mergeCell ref="J35:L35"/>
    <mergeCell ref="M35:R35"/>
    <mergeCell ref="J32:L32"/>
    <mergeCell ref="A28:D28"/>
    <mergeCell ref="A26:Q26"/>
    <mergeCell ref="A27:D27"/>
    <mergeCell ref="M31:R31"/>
    <mergeCell ref="E27:Q27"/>
    <mergeCell ref="E28:Q28"/>
    <mergeCell ref="A31:D31"/>
    <mergeCell ref="E31:H31"/>
    <mergeCell ref="A32:D32"/>
    <mergeCell ref="E32:H32"/>
    <mergeCell ref="A30:Q30"/>
    <mergeCell ref="S35:U35"/>
    <mergeCell ref="S36:U36"/>
    <mergeCell ref="J37:L37"/>
    <mergeCell ref="M37:R37"/>
    <mergeCell ref="S37:U37"/>
    <mergeCell ref="A33:D33"/>
    <mergeCell ref="E33:H33"/>
    <mergeCell ref="R4:U4"/>
    <mergeCell ref="A16:D16"/>
    <mergeCell ref="E16:Q16"/>
    <mergeCell ref="E18:Q18"/>
    <mergeCell ref="E19:Q19"/>
    <mergeCell ref="R5:U5"/>
    <mergeCell ref="E24:Q24"/>
    <mergeCell ref="J31:L31"/>
    <mergeCell ref="A19:D19"/>
    <mergeCell ref="E23:Q23"/>
    <mergeCell ref="A24:D24"/>
    <mergeCell ref="S31:U31"/>
    <mergeCell ref="E10:I10"/>
    <mergeCell ref="M10:Q10"/>
    <mergeCell ref="A9:D9"/>
    <mergeCell ref="A14:D14"/>
    <mergeCell ref="A17:D17"/>
    <mergeCell ref="A18:D18"/>
    <mergeCell ref="E17:Q17"/>
    <mergeCell ref="E14:Q14"/>
    <mergeCell ref="A15:D15"/>
    <mergeCell ref="A5:Q5"/>
    <mergeCell ref="A13:D13"/>
    <mergeCell ref="E13:Q13"/>
    <mergeCell ref="A1:B1"/>
    <mergeCell ref="E62:Q62"/>
    <mergeCell ref="N65:P65"/>
    <mergeCell ref="B45:Q45"/>
    <mergeCell ref="B46:Q46"/>
    <mergeCell ref="B47:Q47"/>
    <mergeCell ref="B48:Q48"/>
    <mergeCell ref="B49:Q49"/>
    <mergeCell ref="B44:Q44"/>
    <mergeCell ref="A62:D62"/>
    <mergeCell ref="E9:Q9"/>
    <mergeCell ref="E11:I11"/>
    <mergeCell ref="J11:L11"/>
    <mergeCell ref="M11:Q11"/>
    <mergeCell ref="J10:L10"/>
    <mergeCell ref="E15:Q15"/>
    <mergeCell ref="A40:B40"/>
    <mergeCell ref="C40:Q40"/>
    <mergeCell ref="A2:V2"/>
    <mergeCell ref="A11:D11"/>
    <mergeCell ref="E20:Q20"/>
    <mergeCell ref="A22:Q22"/>
    <mergeCell ref="A23:D23"/>
    <mergeCell ref="S33:U33"/>
    <mergeCell ref="C96:I96"/>
    <mergeCell ref="N67:P67"/>
    <mergeCell ref="J89:K89"/>
    <mergeCell ref="A69:D69"/>
    <mergeCell ref="A79:B79"/>
    <mergeCell ref="E68:G68"/>
    <mergeCell ref="A78:B78"/>
    <mergeCell ref="J94:K94"/>
    <mergeCell ref="C92:I92"/>
    <mergeCell ref="J96:K96"/>
    <mergeCell ref="A96:B96"/>
    <mergeCell ref="A85:B85"/>
    <mergeCell ref="C85:R85"/>
    <mergeCell ref="A89:B89"/>
    <mergeCell ref="C89:I89"/>
    <mergeCell ref="L89:R89"/>
    <mergeCell ref="A91:B91"/>
    <mergeCell ref="A90:B90"/>
    <mergeCell ref="C90:I90"/>
    <mergeCell ref="J90:K90"/>
    <mergeCell ref="L90:R90"/>
    <mergeCell ref="L91:R91"/>
    <mergeCell ref="L92:R92"/>
    <mergeCell ref="J88:K88"/>
    <mergeCell ref="L114:M114"/>
    <mergeCell ref="H113:K113"/>
    <mergeCell ref="C99:I99"/>
    <mergeCell ref="J99:K99"/>
    <mergeCell ref="C100:I100"/>
    <mergeCell ref="J100:K100"/>
    <mergeCell ref="F114:G114"/>
    <mergeCell ref="R113:S114"/>
    <mergeCell ref="N114:O114"/>
    <mergeCell ref="P113:Q114"/>
    <mergeCell ref="A112:S112"/>
    <mergeCell ref="A110:B110"/>
    <mergeCell ref="A103:B103"/>
    <mergeCell ref="C103:I103"/>
    <mergeCell ref="J103:K103"/>
    <mergeCell ref="A108:B108"/>
    <mergeCell ref="C108:I108"/>
    <mergeCell ref="J108:K108"/>
    <mergeCell ref="L108:R108"/>
    <mergeCell ref="A106:B106"/>
    <mergeCell ref="J97:K97"/>
    <mergeCell ref="A102:B102"/>
    <mergeCell ref="R115:S115"/>
    <mergeCell ref="R116:S116"/>
    <mergeCell ref="J98:K98"/>
    <mergeCell ref="C101:I101"/>
    <mergeCell ref="J101:K101"/>
    <mergeCell ref="C102:I102"/>
    <mergeCell ref="J102:K102"/>
    <mergeCell ref="N116:O116"/>
    <mergeCell ref="N115:O115"/>
    <mergeCell ref="J116:K116"/>
    <mergeCell ref="J115:K115"/>
    <mergeCell ref="L115:M115"/>
    <mergeCell ref="L100:R100"/>
    <mergeCell ref="L101:R101"/>
    <mergeCell ref="A101:B101"/>
    <mergeCell ref="A100:B100"/>
    <mergeCell ref="A104:B104"/>
    <mergeCell ref="A113:C114"/>
    <mergeCell ref="A116:C116"/>
    <mergeCell ref="P115:Q115"/>
    <mergeCell ref="P116:Q116"/>
    <mergeCell ref="L116:M116"/>
  </mergeCells>
  <phoneticPr fontId="6" type="noConversion"/>
  <hyperlinks>
    <hyperlink ref="A1" location="TOC!A1" display="TOC Page"/>
    <hyperlink ref="E13" r:id="rId3"/>
    <hyperlink ref="M32" r:id="rId4"/>
    <hyperlink ref="E27" r:id="rId5"/>
    <hyperlink ref="C96" r:id="rId6"/>
    <hyperlink ref="M34" r:id="rId7"/>
    <hyperlink ref="M33" r:id="rId8"/>
    <hyperlink ref="C85" r:id="rId9"/>
    <hyperlink ref="M35" r:id="rId10"/>
    <hyperlink ref="C108" r:id="rId11"/>
    <hyperlink ref="L108" r:id="rId12"/>
    <hyperlink ref="M38" r:id="rId13"/>
    <hyperlink ref="L96" r:id="rId14"/>
    <hyperlink ref="E12" r:id="rId15"/>
    <hyperlink ref="C79" r:id="rId16" location="gid=652968164"/>
    <hyperlink ref="C78" r:id="rId17"/>
    <hyperlink ref="C80" r:id="rId18"/>
    <hyperlink ref="C81" r:id="rId19"/>
    <hyperlink ref="M36" r:id="rId20"/>
    <hyperlink ref="C83" r:id="rId21"/>
    <hyperlink ref="C82" r:id="rId22"/>
    <hyperlink ref="M37" r:id="rId23"/>
  </hyperlinks>
  <pageMargins left="0.5" right="0.5" top="0.75" bottom="0.75" header="0.5" footer="0.5"/>
  <pageSetup orientation="landscape" r:id="rId24"/>
  <headerFooter alignWithMargins="0"/>
  <customProperties>
    <customPr name="DVSECTIONID" r:id="rId25"/>
  </customProperties>
  <legacyDrawing r:id="rId26"/>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J247"/>
  <sheetViews>
    <sheetView zoomScaleNormal="100" workbookViewId="0">
      <pane ySplit="1" topLeftCell="A9" activePane="bottomLeft" state="frozen"/>
      <selection activeCell="U16" sqref="U16"/>
      <selection pane="bottomLeft" activeCell="B43" sqref="B43:J43"/>
    </sheetView>
  </sheetViews>
  <sheetFormatPr defaultRowHeight="12.75" x14ac:dyDescent="0.2"/>
  <cols>
    <col min="2" max="3" width="9.140625" customWidth="1"/>
    <col min="4" max="4" width="11" customWidth="1"/>
    <col min="5" max="5" width="6.28515625" customWidth="1"/>
    <col min="6" max="8" width="11.28515625" customWidth="1"/>
    <col min="9" max="9" width="9" customWidth="1"/>
    <col min="10" max="10" width="35" customWidth="1"/>
  </cols>
  <sheetData>
    <row r="1" spans="1:10" x14ac:dyDescent="0.2">
      <c r="A1" s="1420" t="s">
        <v>639</v>
      </c>
      <c r="B1" s="1420"/>
    </row>
    <row r="2" spans="1:10" s="15" customFormat="1" ht="20.25" customHeight="1" x14ac:dyDescent="0.2">
      <c r="A2" s="1467" t="s">
        <v>209</v>
      </c>
      <c r="B2" s="1578"/>
      <c r="C2" s="1578"/>
      <c r="D2" s="1578"/>
      <c r="E2" s="1578"/>
      <c r="F2" s="1578"/>
      <c r="G2" s="1578"/>
      <c r="H2" s="1578"/>
      <c r="I2" s="1578"/>
      <c r="J2" s="1578"/>
    </row>
    <row r="4" spans="1:10" ht="15" x14ac:dyDescent="0.2">
      <c r="A4" s="1560" t="s">
        <v>1279</v>
      </c>
      <c r="B4" s="1560"/>
      <c r="C4" s="1560"/>
      <c r="D4" s="1560"/>
      <c r="E4" s="1560"/>
      <c r="F4" s="1560"/>
      <c r="G4" s="1560"/>
      <c r="H4" s="1560"/>
      <c r="I4" s="1560"/>
      <c r="J4" s="1560"/>
    </row>
    <row r="5" spans="1:10" s="17" customFormat="1" x14ac:dyDescent="0.2"/>
    <row r="6" spans="1:10" s="81" customFormat="1" x14ac:dyDescent="0.2">
      <c r="A6" s="1548" t="s">
        <v>1278</v>
      </c>
      <c r="B6" s="1537"/>
      <c r="C6" s="1537"/>
      <c r="D6" s="1537"/>
      <c r="E6" s="1537"/>
    </row>
    <row r="7" spans="1:10" s="17" customFormat="1" ht="18" customHeight="1" x14ac:dyDescent="0.2">
      <c r="A7" s="86" t="s">
        <v>1280</v>
      </c>
    </row>
    <row r="8" spans="1:10" s="17" customFormat="1" x14ac:dyDescent="0.2">
      <c r="A8" s="31"/>
    </row>
    <row r="9" spans="1:10" s="81" customFormat="1" ht="15.75" customHeight="1" x14ac:dyDescent="0.2">
      <c r="A9" s="1552" t="s">
        <v>61</v>
      </c>
      <c r="B9" s="1552"/>
      <c r="C9" s="1552"/>
      <c r="D9" s="1552"/>
      <c r="E9" s="1552"/>
      <c r="F9" s="1552"/>
      <c r="G9" s="1552"/>
      <c r="H9" s="1552"/>
      <c r="I9" s="1552"/>
      <c r="J9" s="1552"/>
    </row>
    <row r="10" spans="1:10" s="81" customFormat="1" ht="15.75" customHeight="1" x14ac:dyDescent="0.2">
      <c r="A10" s="1552" t="s">
        <v>62</v>
      </c>
      <c r="B10" s="1552"/>
      <c r="C10" s="1552"/>
      <c r="D10" s="1552"/>
      <c r="E10" s="1552"/>
      <c r="F10" s="1552"/>
      <c r="G10" s="1552"/>
      <c r="H10" s="1552"/>
      <c r="I10" s="1552"/>
      <c r="J10" s="1552"/>
    </row>
    <row r="11" spans="1:10" s="81" customFormat="1" ht="15.75" customHeight="1" x14ac:dyDescent="0.2">
      <c r="A11" s="1552" t="s">
        <v>63</v>
      </c>
      <c r="B11" s="1552"/>
      <c r="C11" s="1552"/>
      <c r="D11" s="1553" t="s">
        <v>2256</v>
      </c>
      <c r="E11" s="1553"/>
      <c r="F11" s="1553"/>
      <c r="G11" s="1553"/>
      <c r="H11" s="1553"/>
      <c r="I11" s="1553"/>
      <c r="J11" s="1553"/>
    </row>
    <row r="12" spans="1:10" s="81" customFormat="1" ht="15.75" customHeight="1" x14ac:dyDescent="0.2">
      <c r="A12" s="1552" t="s">
        <v>64</v>
      </c>
      <c r="B12" s="1552"/>
      <c r="C12" s="1552"/>
      <c r="D12" s="1446"/>
      <c r="E12" s="1446"/>
      <c r="F12" s="1446"/>
      <c r="G12" s="1446"/>
      <c r="H12" s="1446"/>
      <c r="I12" s="1446"/>
      <c r="J12" s="1446"/>
    </row>
    <row r="13" spans="1:10" s="17" customFormat="1" ht="12.75" customHeight="1" x14ac:dyDescent="0.2">
      <c r="A13" s="34"/>
      <c r="B13" s="64"/>
      <c r="C13" s="41"/>
      <c r="D13" s="46"/>
      <c r="E13" s="46"/>
      <c r="F13" s="1366"/>
      <c r="G13" s="1366"/>
      <c r="H13" s="1366"/>
      <c r="I13" s="1366"/>
      <c r="J13" s="1366"/>
    </row>
    <row r="14" spans="1:10" s="81" customFormat="1" x14ac:dyDescent="0.2">
      <c r="A14" s="1548" t="s">
        <v>1281</v>
      </c>
      <c r="B14" s="1537"/>
      <c r="C14" s="1537"/>
      <c r="D14" s="1537"/>
      <c r="E14" s="1537"/>
      <c r="J14" s="688" t="s">
        <v>91</v>
      </c>
    </row>
    <row r="15" spans="1:10" s="17" customFormat="1" hidden="1" x14ac:dyDescent="0.2">
      <c r="A15" s="86" t="s">
        <v>1282</v>
      </c>
    </row>
    <row r="16" spans="1:10" s="17" customFormat="1" hidden="1" x14ac:dyDescent="0.2">
      <c r="A16" s="86" t="s">
        <v>1283</v>
      </c>
    </row>
    <row r="17" spans="1:10" s="17" customFormat="1" hidden="1" x14ac:dyDescent="0.2">
      <c r="A17" s="31"/>
    </row>
    <row r="18" spans="1:10" s="17" customFormat="1" hidden="1" x14ac:dyDescent="0.2">
      <c r="A18" s="1434" t="s">
        <v>61</v>
      </c>
      <c r="B18" s="1434"/>
      <c r="C18" s="1434"/>
      <c r="D18" s="1434"/>
      <c r="E18" s="1434"/>
      <c r="F18" s="1434"/>
      <c r="G18" s="1434"/>
      <c r="H18" s="1434"/>
      <c r="I18" s="1434"/>
      <c r="J18" s="1434"/>
    </row>
    <row r="19" spans="1:10" s="17" customFormat="1" hidden="1" x14ac:dyDescent="0.2">
      <c r="A19" s="1434" t="s">
        <v>62</v>
      </c>
      <c r="B19" s="1434"/>
      <c r="C19" s="1434"/>
      <c r="D19" s="1434"/>
      <c r="E19" s="1434"/>
      <c r="F19" s="1434"/>
      <c r="G19" s="1434"/>
      <c r="H19" s="1434"/>
      <c r="I19" s="1434"/>
      <c r="J19" s="1434"/>
    </row>
    <row r="20" spans="1:10" s="17" customFormat="1" hidden="1" x14ac:dyDescent="0.2">
      <c r="A20" s="1434" t="s">
        <v>63</v>
      </c>
      <c r="B20" s="1434"/>
      <c r="C20" s="1434"/>
      <c r="D20" s="1434"/>
      <c r="E20" s="1434"/>
      <c r="F20" s="1434"/>
      <c r="G20" s="1434"/>
      <c r="H20" s="1434"/>
      <c r="I20" s="1434"/>
      <c r="J20" s="1434"/>
    </row>
    <row r="21" spans="1:10" s="17" customFormat="1" hidden="1" x14ac:dyDescent="0.2">
      <c r="A21" s="1434" t="s">
        <v>64</v>
      </c>
      <c r="B21" s="1434"/>
      <c r="C21" s="1434"/>
      <c r="D21" s="1362"/>
      <c r="E21" s="1362"/>
      <c r="F21" s="1362"/>
      <c r="G21" s="1362"/>
      <c r="H21" s="1362"/>
      <c r="I21" s="1362"/>
      <c r="J21" s="1362"/>
    </row>
    <row r="22" spans="1:10" s="17" customFormat="1" ht="12.75" customHeight="1" x14ac:dyDescent="0.2">
      <c r="A22" s="34"/>
      <c r="B22" s="64"/>
      <c r="C22" s="41"/>
      <c r="D22" s="46"/>
      <c r="E22" s="46"/>
      <c r="F22" s="1366"/>
      <c r="G22" s="1366"/>
      <c r="H22" s="1366"/>
      <c r="I22" s="1366"/>
      <c r="J22" s="1366"/>
    </row>
    <row r="23" spans="1:10" s="17" customFormat="1" x14ac:dyDescent="0.2">
      <c r="A23" s="1373" t="s">
        <v>1284</v>
      </c>
      <c r="B23" s="1355"/>
      <c r="C23" s="1355"/>
      <c r="D23" s="1355"/>
      <c r="E23" s="1355"/>
      <c r="J23" s="688" t="s">
        <v>91</v>
      </c>
    </row>
    <row r="24" spans="1:10" s="17" customFormat="1" x14ac:dyDescent="0.2">
      <c r="A24" s="136"/>
      <c r="B24" s="44"/>
      <c r="C24" s="44"/>
      <c r="D24" s="44"/>
      <c r="E24" s="44"/>
    </row>
    <row r="25" spans="1:10" s="17" customFormat="1" ht="12.75" hidden="1" customHeight="1" x14ac:dyDescent="0.2">
      <c r="A25" s="242" t="s">
        <v>604</v>
      </c>
      <c r="B25" s="248" t="s">
        <v>300</v>
      </c>
      <c r="C25" s="249"/>
      <c r="D25" s="1385" t="s">
        <v>1286</v>
      </c>
      <c r="E25" s="1385"/>
      <c r="F25" s="1385"/>
      <c r="G25" s="1385"/>
      <c r="H25" s="1385"/>
      <c r="I25" s="1385"/>
      <c r="J25" s="1385"/>
    </row>
    <row r="26" spans="1:10" s="17" customFormat="1" ht="12.75" hidden="1" customHeight="1" x14ac:dyDescent="0.2">
      <c r="A26" s="246"/>
      <c r="B26" s="1398" t="s">
        <v>65</v>
      </c>
      <c r="C26" s="1388"/>
      <c r="D26" s="1362"/>
      <c r="E26" s="1362"/>
      <c r="F26" s="1362"/>
      <c r="G26" s="1362"/>
      <c r="H26" s="1362"/>
      <c r="I26" s="1362"/>
      <c r="J26" s="1362"/>
    </row>
    <row r="27" spans="1:10" s="17" customFormat="1" ht="12.75" hidden="1" customHeight="1" x14ac:dyDescent="0.2">
      <c r="A27" s="246"/>
      <c r="B27" s="1387" t="s">
        <v>1285</v>
      </c>
      <c r="C27" s="1388"/>
      <c r="D27" s="1362"/>
      <c r="E27" s="1362"/>
      <c r="F27" s="1362"/>
      <c r="G27" s="1362"/>
      <c r="H27" s="1362"/>
      <c r="I27" s="1362"/>
      <c r="J27" s="1362"/>
    </row>
    <row r="28" spans="1:10" s="17" customFormat="1" hidden="1" x14ac:dyDescent="0.2"/>
    <row r="29" spans="1:10" s="17" customFormat="1" x14ac:dyDescent="0.2">
      <c r="A29" s="1373" t="s">
        <v>1709</v>
      </c>
      <c r="B29" s="1355"/>
      <c r="C29" s="1355"/>
      <c r="D29" s="1355"/>
      <c r="E29" s="1355"/>
    </row>
    <row r="30" spans="1:10" s="17" customFormat="1" x14ac:dyDescent="0.2">
      <c r="A30" s="136"/>
      <c r="B30" s="44"/>
      <c r="C30" s="44"/>
      <c r="D30" s="44"/>
      <c r="E30" s="44"/>
    </row>
    <row r="31" spans="1:10" s="17" customFormat="1" x14ac:dyDescent="0.2">
      <c r="A31" s="1434" t="s">
        <v>1297</v>
      </c>
      <c r="B31" s="1434"/>
      <c r="C31" s="1434"/>
      <c r="D31" s="1603" t="s">
        <v>91</v>
      </c>
      <c r="E31" s="1604"/>
      <c r="F31" s="1604"/>
      <c r="G31" s="1604"/>
      <c r="H31" s="1604"/>
      <c r="I31" s="1604"/>
      <c r="J31" s="1604"/>
    </row>
    <row r="32" spans="1:10" s="67" customFormat="1" ht="12.75" customHeight="1" x14ac:dyDescent="0.2">
      <c r="A32" s="64"/>
      <c r="B32" s="64"/>
      <c r="C32" s="64"/>
      <c r="D32" s="46"/>
      <c r="E32" s="46"/>
      <c r="F32" s="46"/>
      <c r="G32" s="46"/>
      <c r="H32" s="46"/>
      <c r="I32" s="46"/>
      <c r="J32" s="46"/>
    </row>
    <row r="33" spans="1:10" s="17" customFormat="1" ht="12.75" customHeight="1" x14ac:dyDescent="0.2">
      <c r="A33" s="242" t="s">
        <v>604</v>
      </c>
      <c r="B33" s="1549" t="s">
        <v>300</v>
      </c>
      <c r="C33" s="1550"/>
      <c r="D33" s="1550"/>
      <c r="E33" s="1550"/>
      <c r="F33" s="1550"/>
      <c r="G33" s="1550"/>
      <c r="H33" s="1550"/>
      <c r="I33" s="1550"/>
      <c r="J33" s="1551"/>
    </row>
    <row r="34" spans="1:10" s="17" customFormat="1" ht="12.75" customHeight="1" x14ac:dyDescent="0.2">
      <c r="A34" s="263"/>
      <c r="B34" s="1557" t="s">
        <v>65</v>
      </c>
      <c r="C34" s="1558"/>
      <c r="D34" s="1558"/>
      <c r="E34" s="1558"/>
      <c r="F34" s="1558"/>
      <c r="G34" s="1558"/>
      <c r="H34" s="1558"/>
      <c r="I34" s="1558"/>
      <c r="J34" s="1559"/>
    </row>
    <row r="35" spans="1:10" s="17" customFormat="1" ht="12.75" customHeight="1" x14ac:dyDescent="0.2">
      <c r="A35" s="252"/>
      <c r="B35" s="1387" t="s">
        <v>1288</v>
      </c>
      <c r="C35" s="1399"/>
      <c r="D35" s="1388"/>
      <c r="E35" s="1387"/>
      <c r="F35" s="1399"/>
      <c r="G35" s="1399"/>
      <c r="H35" s="1399"/>
      <c r="I35" s="1399"/>
      <c r="J35" s="1388"/>
    </row>
    <row r="36" spans="1:10" s="17" customFormat="1" ht="12.75" customHeight="1" x14ac:dyDescent="0.2">
      <c r="A36" s="262"/>
      <c r="B36" s="1554" t="s">
        <v>1289</v>
      </c>
      <c r="C36" s="1555"/>
      <c r="D36" s="1556"/>
      <c r="E36" s="1600"/>
      <c r="F36" s="1601"/>
      <c r="G36" s="1601"/>
      <c r="H36" s="1601"/>
      <c r="I36" s="1601"/>
      <c r="J36" s="1602"/>
    </row>
    <row r="37" spans="1:10" s="17" customFormat="1" ht="12.75" customHeight="1" x14ac:dyDescent="0.2">
      <c r="A37" s="262"/>
      <c r="B37" s="1588" t="s">
        <v>1291</v>
      </c>
      <c r="C37" s="1589"/>
      <c r="D37" s="1590"/>
      <c r="E37" s="1588"/>
      <c r="F37" s="1589"/>
      <c r="G37" s="1589"/>
      <c r="H37" s="1589"/>
      <c r="I37" s="1589"/>
      <c r="J37" s="1590"/>
    </row>
    <row r="38" spans="1:10" s="17" customFormat="1" ht="12.75" customHeight="1" x14ac:dyDescent="0.2">
      <c r="A38" s="261"/>
      <c r="B38" s="1387" t="s">
        <v>1290</v>
      </c>
      <c r="C38" s="1399"/>
      <c r="D38" s="1388"/>
      <c r="E38" s="1387"/>
      <c r="F38" s="1399"/>
      <c r="G38" s="1399"/>
      <c r="H38" s="1399"/>
      <c r="I38" s="1399"/>
      <c r="J38" s="1388"/>
    </row>
    <row r="39" spans="1:10" s="17" customFormat="1" ht="12.75" customHeight="1" x14ac:dyDescent="0.2">
      <c r="A39" s="261"/>
      <c r="B39" s="1387" t="s">
        <v>1292</v>
      </c>
      <c r="C39" s="1399"/>
      <c r="D39" s="1388"/>
      <c r="E39" s="1387"/>
      <c r="F39" s="1399"/>
      <c r="G39" s="1399"/>
      <c r="H39" s="1399"/>
      <c r="I39" s="1399"/>
      <c r="J39" s="1388"/>
    </row>
    <row r="40" spans="1:10" s="17" customFormat="1" ht="12.75" customHeight="1" x14ac:dyDescent="0.2">
      <c r="A40" s="689" t="s">
        <v>604</v>
      </c>
      <c r="B40" s="1557" t="s">
        <v>1285</v>
      </c>
      <c r="C40" s="1558"/>
      <c r="D40" s="1558"/>
      <c r="E40" s="1558"/>
      <c r="F40" s="1558"/>
      <c r="G40" s="1558"/>
      <c r="H40" s="1558"/>
      <c r="I40" s="1558"/>
      <c r="J40" s="1559"/>
    </row>
    <row r="41" spans="1:10" s="17" customFormat="1" ht="12.75" customHeight="1" x14ac:dyDescent="0.2">
      <c r="A41" s="252"/>
      <c r="B41" s="1387" t="s">
        <v>1288</v>
      </c>
      <c r="C41" s="1399"/>
      <c r="D41" s="1388"/>
      <c r="E41" s="1398" t="s">
        <v>2813</v>
      </c>
      <c r="F41" s="1594"/>
      <c r="G41" s="1594"/>
      <c r="H41" s="1594"/>
      <c r="I41" s="1594"/>
      <c r="J41" s="1595"/>
    </row>
    <row r="42" spans="1:10" s="17" customFormat="1" ht="12.75" customHeight="1" x14ac:dyDescent="0.2">
      <c r="A42" s="262"/>
      <c r="B42" s="1554" t="s">
        <v>1293</v>
      </c>
      <c r="C42" s="1555"/>
      <c r="D42" s="1556"/>
      <c r="E42" s="1591" t="s">
        <v>2816</v>
      </c>
      <c r="F42" s="1592"/>
      <c r="G42" s="1592"/>
      <c r="H42" s="1592"/>
      <c r="I42" s="1592"/>
      <c r="J42" s="1593"/>
    </row>
    <row r="43" spans="1:10" s="17" customFormat="1" ht="12.75" customHeight="1" x14ac:dyDescent="0.2">
      <c r="A43" s="263"/>
      <c r="B43" s="1557" t="s">
        <v>1287</v>
      </c>
      <c r="C43" s="1558"/>
      <c r="D43" s="1558"/>
      <c r="E43" s="1558"/>
      <c r="F43" s="1558"/>
      <c r="G43" s="1558"/>
      <c r="H43" s="1558"/>
      <c r="I43" s="1558"/>
      <c r="J43" s="1559"/>
    </row>
    <row r="44" spans="1:10" s="17" customFormat="1" ht="12.75" customHeight="1" x14ac:dyDescent="0.2">
      <c r="A44" s="252"/>
      <c r="B44" s="1387" t="s">
        <v>1294</v>
      </c>
      <c r="C44" s="1399"/>
      <c r="D44" s="1388"/>
      <c r="E44" s="1387"/>
      <c r="F44" s="1399"/>
      <c r="G44" s="1399"/>
      <c r="H44" s="1399"/>
      <c r="I44" s="1399"/>
      <c r="J44" s="1388"/>
    </row>
    <row r="45" spans="1:10" s="17" customFormat="1" ht="12.75" customHeight="1" x14ac:dyDescent="0.2">
      <c r="A45" s="261"/>
      <c r="B45" s="1387" t="s">
        <v>1295</v>
      </c>
      <c r="C45" s="1399"/>
      <c r="D45" s="1388"/>
      <c r="E45" s="1387"/>
      <c r="F45" s="1399"/>
      <c r="G45" s="1399"/>
      <c r="H45" s="1399"/>
      <c r="I45" s="1399"/>
      <c r="J45" s="1388"/>
    </row>
    <row r="46" spans="1:10" s="17" customFormat="1" ht="12.75" customHeight="1" x14ac:dyDescent="0.2">
      <c r="A46" s="260"/>
      <c r="B46" s="1387" t="s">
        <v>1296</v>
      </c>
      <c r="C46" s="1399"/>
      <c r="D46" s="1388"/>
      <c r="E46" s="1387"/>
      <c r="F46" s="1399"/>
      <c r="G46" s="1399"/>
      <c r="H46" s="1399"/>
      <c r="I46" s="1399"/>
      <c r="J46" s="1388"/>
    </row>
    <row r="47" spans="1:10" s="67" customFormat="1" ht="12.75" customHeight="1" x14ac:dyDescent="0.2">
      <c r="A47" s="64"/>
      <c r="B47" s="64"/>
      <c r="C47" s="64"/>
      <c r="D47" s="46"/>
      <c r="E47" s="46"/>
      <c r="F47" s="46"/>
      <c r="G47" s="46"/>
      <c r="H47" s="46"/>
      <c r="I47" s="46"/>
      <c r="J47" s="46"/>
    </row>
    <row r="48" spans="1:10" s="17" customFormat="1" x14ac:dyDescent="0.2">
      <c r="A48" s="136" t="s">
        <v>1530</v>
      </c>
      <c r="B48" s="44"/>
      <c r="C48" s="44"/>
      <c r="D48" s="44"/>
      <c r="E48" s="44"/>
    </row>
    <row r="49" spans="1:10" s="17" customFormat="1" x14ac:dyDescent="0.2">
      <c r="A49" s="1565"/>
      <c r="B49" s="1565"/>
      <c r="C49" s="1565"/>
      <c r="D49" s="1565"/>
      <c r="E49" s="1565"/>
      <c r="F49" s="1565"/>
      <c r="G49" s="1565"/>
      <c r="H49" s="1565"/>
      <c r="I49" s="1565"/>
      <c r="J49" s="1565"/>
    </row>
    <row r="50" spans="1:10" s="17" customFormat="1" x14ac:dyDescent="0.2">
      <c r="A50" s="1373" t="s">
        <v>1298</v>
      </c>
      <c r="B50" s="1346"/>
      <c r="C50" s="1346"/>
      <c r="D50" s="1346"/>
      <c r="E50" s="1346"/>
      <c r="F50" s="1346"/>
      <c r="J50" s="688" t="s">
        <v>91</v>
      </c>
    </row>
    <row r="51" spans="1:10" s="17" customFormat="1" ht="15" x14ac:dyDescent="0.2">
      <c r="A51" s="22"/>
    </row>
    <row r="52" spans="1:10" s="17" customFormat="1" ht="15.75" hidden="1" customHeight="1" x14ac:dyDescent="0.2">
      <c r="A52" s="1569" t="s">
        <v>636</v>
      </c>
      <c r="B52" s="1570"/>
      <c r="C52" s="1549" t="s">
        <v>144</v>
      </c>
      <c r="D52" s="1550"/>
      <c r="E52" s="1550"/>
      <c r="F52" s="1550"/>
      <c r="G52" s="1550"/>
      <c r="H52" s="1550"/>
      <c r="I52" s="1550"/>
      <c r="J52" s="1551"/>
    </row>
    <row r="53" spans="1:10" s="17" customFormat="1" ht="15.75" hidden="1" customHeight="1" x14ac:dyDescent="0.2">
      <c r="A53" s="1434" t="s">
        <v>401</v>
      </c>
      <c r="B53" s="1434"/>
      <c r="C53" s="1387"/>
      <c r="D53" s="1399"/>
      <c r="E53" s="1399"/>
      <c r="F53" s="1399"/>
      <c r="G53" s="1399"/>
      <c r="H53" s="1399"/>
      <c r="I53" s="1399"/>
      <c r="J53" s="1388"/>
    </row>
    <row r="54" spans="1:10" s="17" customFormat="1" ht="15.75" hidden="1" customHeight="1" x14ac:dyDescent="0.2">
      <c r="A54" s="1434" t="s">
        <v>402</v>
      </c>
      <c r="B54" s="1434"/>
      <c r="C54" s="1387"/>
      <c r="D54" s="1399"/>
      <c r="E54" s="1399"/>
      <c r="F54" s="1399"/>
      <c r="G54" s="1399"/>
      <c r="H54" s="1399"/>
      <c r="I54" s="1399"/>
      <c r="J54" s="1388"/>
    </row>
    <row r="55" spans="1:10" s="17" customFormat="1" ht="15.75" hidden="1" customHeight="1" x14ac:dyDescent="0.2">
      <c r="A55" s="1434" t="s">
        <v>403</v>
      </c>
      <c r="B55" s="1434"/>
      <c r="C55" s="1387"/>
      <c r="D55" s="1399"/>
      <c r="E55" s="1399"/>
      <c r="F55" s="1399"/>
      <c r="G55" s="1399"/>
      <c r="H55" s="1399"/>
      <c r="I55" s="1399"/>
      <c r="J55" s="1388"/>
    </row>
    <row r="56" spans="1:10" s="17" customFormat="1" ht="15.75" hidden="1" customHeight="1" x14ac:dyDescent="0.2">
      <c r="A56" s="1434" t="s">
        <v>404</v>
      </c>
      <c r="B56" s="1434"/>
      <c r="C56" s="1387"/>
      <c r="D56" s="1399"/>
      <c r="E56" s="1399"/>
      <c r="F56" s="1399"/>
      <c r="G56" s="1399"/>
      <c r="H56" s="1399"/>
      <c r="I56" s="1399"/>
      <c r="J56" s="1388"/>
    </row>
    <row r="57" spans="1:10" s="17" customFormat="1" ht="15.75" hidden="1" customHeight="1" x14ac:dyDescent="0.2">
      <c r="A57" s="1434" t="s">
        <v>405</v>
      </c>
      <c r="B57" s="1434"/>
      <c r="C57" s="1387"/>
      <c r="D57" s="1399"/>
      <c r="E57" s="1399"/>
      <c r="F57" s="1399"/>
      <c r="G57" s="1399"/>
      <c r="H57" s="1399"/>
      <c r="I57" s="1399"/>
      <c r="J57" s="1388"/>
    </row>
    <row r="58" spans="1:10" s="440" customFormat="1" ht="15.75" hidden="1" customHeight="1" x14ac:dyDescent="0.2">
      <c r="A58" s="1605" t="s">
        <v>1549</v>
      </c>
      <c r="B58" s="1434"/>
      <c r="C58" s="1387"/>
      <c r="D58" s="1399"/>
      <c r="E58" s="1399"/>
      <c r="F58" s="1399"/>
      <c r="G58" s="1399"/>
      <c r="H58" s="1399"/>
      <c r="I58" s="1399"/>
      <c r="J58" s="1388"/>
    </row>
    <row r="59" spans="1:10" s="440" customFormat="1" ht="15.75" hidden="1" customHeight="1" x14ac:dyDescent="0.2">
      <c r="A59" s="1605" t="s">
        <v>1550</v>
      </c>
      <c r="B59" s="1434"/>
      <c r="C59" s="1387"/>
      <c r="D59" s="1399"/>
      <c r="E59" s="1399"/>
      <c r="F59" s="1399"/>
      <c r="G59" s="1399"/>
      <c r="H59" s="1399"/>
      <c r="I59" s="1399"/>
      <c r="J59" s="1388"/>
    </row>
    <row r="60" spans="1:10" s="17" customFormat="1" ht="15.75" hidden="1" x14ac:dyDescent="0.25">
      <c r="A60" s="24"/>
    </row>
    <row r="61" spans="1:10" s="17" customFormat="1" hidden="1" x14ac:dyDescent="0.2">
      <c r="A61" s="86" t="s">
        <v>1299</v>
      </c>
    </row>
    <row r="62" spans="1:10" s="17" customFormat="1" hidden="1" x14ac:dyDescent="0.2">
      <c r="A62" s="1346" t="s">
        <v>1488</v>
      </c>
      <c r="B62" s="1346"/>
      <c r="C62" s="1346"/>
      <c r="D62" s="1346"/>
      <c r="E62" s="1346"/>
      <c r="F62" s="1346"/>
      <c r="G62" s="1346"/>
      <c r="H62" s="1346"/>
      <c r="I62" s="1346"/>
      <c r="J62" s="1346"/>
    </row>
    <row r="63" spans="1:10" s="17" customFormat="1" hidden="1" x14ac:dyDescent="0.2">
      <c r="A63" s="34"/>
      <c r="B63" s="34"/>
      <c r="C63" s="34"/>
      <c r="D63" s="34"/>
      <c r="E63" s="34"/>
      <c r="F63" s="34"/>
      <c r="G63" s="34"/>
      <c r="H63" s="34"/>
      <c r="I63" s="34"/>
      <c r="J63" s="34"/>
    </row>
    <row r="64" spans="1:10" s="17" customFormat="1" x14ac:dyDescent="0.2">
      <c r="A64" s="1429" t="s">
        <v>1489</v>
      </c>
      <c r="B64" s="1429"/>
      <c r="C64" s="1346" t="s">
        <v>1490</v>
      </c>
      <c r="D64" s="1346"/>
      <c r="E64" s="1346"/>
      <c r="F64" s="1346"/>
      <c r="G64" s="1346"/>
      <c r="H64" s="1346"/>
      <c r="I64" s="1346"/>
      <c r="J64" s="1346"/>
    </row>
    <row r="65" spans="1:10" s="17" customFormat="1" x14ac:dyDescent="0.2">
      <c r="A65" s="34"/>
      <c r="B65" s="34"/>
      <c r="C65" s="34"/>
      <c r="D65" s="34"/>
      <c r="E65" s="34"/>
      <c r="F65" s="34"/>
      <c r="G65" s="34"/>
      <c r="H65" s="34"/>
      <c r="I65" s="34"/>
      <c r="J65" s="34"/>
    </row>
    <row r="66" spans="1:10" s="17" customFormat="1" ht="15" x14ac:dyDescent="0.25">
      <c r="A66" s="1571" t="s">
        <v>1510</v>
      </c>
      <c r="B66" s="1571"/>
      <c r="C66" s="1571"/>
      <c r="D66" s="1571"/>
      <c r="E66" s="1571"/>
      <c r="F66" s="1571"/>
      <c r="G66" s="1571"/>
      <c r="H66" s="1571"/>
      <c r="I66" s="1571"/>
      <c r="J66" s="1571"/>
    </row>
    <row r="67" spans="1:10" s="17" customFormat="1" ht="15.75" x14ac:dyDescent="0.25">
      <c r="A67" s="240"/>
    </row>
    <row r="68" spans="1:10" s="17" customFormat="1" ht="26.25" customHeight="1" x14ac:dyDescent="0.2">
      <c r="A68" s="1572" t="s">
        <v>1300</v>
      </c>
      <c r="B68" s="1573"/>
      <c r="C68" s="1573"/>
      <c r="D68" s="1574"/>
      <c r="E68" s="275" t="s">
        <v>406</v>
      </c>
      <c r="F68" s="275" t="s">
        <v>603</v>
      </c>
      <c r="G68" s="275" t="s">
        <v>407</v>
      </c>
      <c r="H68" s="275" t="s">
        <v>408</v>
      </c>
      <c r="I68" s="275" t="s">
        <v>60</v>
      </c>
      <c r="J68" s="276" t="s">
        <v>637</v>
      </c>
    </row>
    <row r="69" spans="1:10" s="17" customFormat="1" ht="17.25" customHeight="1" x14ac:dyDescent="0.2">
      <c r="A69" s="1562" t="s">
        <v>411</v>
      </c>
      <c r="B69" s="1563"/>
      <c r="C69" s="1563"/>
      <c r="D69" s="1564"/>
      <c r="E69" s="267">
        <v>1023</v>
      </c>
      <c r="F69" s="267" t="s">
        <v>96</v>
      </c>
      <c r="G69" s="267" t="s">
        <v>97</v>
      </c>
      <c r="H69" s="267" t="s">
        <v>96</v>
      </c>
      <c r="I69" s="267" t="s">
        <v>96</v>
      </c>
      <c r="J69" s="238" t="s">
        <v>1302</v>
      </c>
    </row>
    <row r="70" spans="1:10" s="17" customFormat="1" ht="24" x14ac:dyDescent="0.2">
      <c r="A70" s="1562" t="s">
        <v>1313</v>
      </c>
      <c r="B70" s="1563"/>
      <c r="C70" s="1563"/>
      <c r="D70" s="1564"/>
      <c r="E70" s="267">
        <v>1085</v>
      </c>
      <c r="F70" s="267"/>
      <c r="G70" s="267"/>
      <c r="H70" s="267"/>
      <c r="I70" s="267" t="s">
        <v>96</v>
      </c>
      <c r="J70" s="238" t="s">
        <v>1423</v>
      </c>
    </row>
    <row r="71" spans="1:10" s="215" customFormat="1" ht="12" x14ac:dyDescent="0.2">
      <c r="A71" s="1583" t="s">
        <v>410</v>
      </c>
      <c r="B71" s="1583"/>
      <c r="C71" s="1583"/>
      <c r="D71" s="1583"/>
      <c r="E71" s="267">
        <v>1045</v>
      </c>
      <c r="F71" s="267"/>
      <c r="G71" s="267"/>
      <c r="H71" s="267"/>
      <c r="I71" s="267" t="s">
        <v>96</v>
      </c>
      <c r="J71" s="238" t="s">
        <v>1493</v>
      </c>
    </row>
    <row r="72" spans="1:10" s="17" customFormat="1" ht="17.25" customHeight="1" x14ac:dyDescent="0.2">
      <c r="A72" s="1562" t="s">
        <v>1361</v>
      </c>
      <c r="B72" s="1563"/>
      <c r="C72" s="1563"/>
      <c r="D72" s="1564"/>
      <c r="E72" s="267">
        <v>1007</v>
      </c>
      <c r="F72" s="267" t="s">
        <v>96</v>
      </c>
      <c r="G72" s="267" t="s">
        <v>96</v>
      </c>
      <c r="H72" s="267" t="s">
        <v>96</v>
      </c>
      <c r="I72" s="267" t="s">
        <v>96</v>
      </c>
      <c r="J72" s="238" t="s">
        <v>1302</v>
      </c>
    </row>
    <row r="73" spans="1:10" s="17" customFormat="1" ht="69.75" customHeight="1" x14ac:dyDescent="0.2">
      <c r="A73" s="1566" t="s">
        <v>2697</v>
      </c>
      <c r="B73" s="1567"/>
      <c r="C73" s="1567"/>
      <c r="D73" s="1568"/>
      <c r="E73" s="725">
        <v>1004</v>
      </c>
      <c r="F73" s="725" t="s">
        <v>96</v>
      </c>
      <c r="G73" s="725"/>
      <c r="H73" s="725" t="s">
        <v>96</v>
      </c>
      <c r="I73" s="725" t="s">
        <v>96</v>
      </c>
      <c r="J73" s="868"/>
    </row>
    <row r="74" spans="1:10" s="17" customFormat="1" ht="17.25" customHeight="1" x14ac:dyDescent="0.2">
      <c r="A74" s="1562" t="s">
        <v>412</v>
      </c>
      <c r="B74" s="1563"/>
      <c r="C74" s="1563"/>
      <c r="D74" s="1564"/>
      <c r="E74" s="267">
        <v>1014</v>
      </c>
      <c r="F74" s="267"/>
      <c r="G74" s="267" t="s">
        <v>96</v>
      </c>
      <c r="H74" s="267"/>
      <c r="I74" s="267" t="s">
        <v>96</v>
      </c>
      <c r="J74" s="238"/>
    </row>
    <row r="75" spans="1:10" s="17" customFormat="1" ht="17.25" customHeight="1" x14ac:dyDescent="0.2">
      <c r="A75" s="1562" t="s">
        <v>1397</v>
      </c>
      <c r="B75" s="1563"/>
      <c r="C75" s="1563"/>
      <c r="D75" s="1564"/>
      <c r="E75" s="269">
        <v>1207</v>
      </c>
      <c r="F75" s="267"/>
      <c r="G75" s="267"/>
      <c r="H75" s="267" t="s">
        <v>96</v>
      </c>
      <c r="I75" s="267" t="s">
        <v>96</v>
      </c>
      <c r="J75" s="238" t="s">
        <v>1311</v>
      </c>
    </row>
    <row r="76" spans="1:10" s="17" customFormat="1" ht="17.25" customHeight="1" x14ac:dyDescent="0.2">
      <c r="A76" s="1562" t="s">
        <v>483</v>
      </c>
      <c r="B76" s="1563"/>
      <c r="C76" s="1563"/>
      <c r="D76" s="1564"/>
      <c r="E76" s="267">
        <v>1027</v>
      </c>
      <c r="F76" s="267" t="s">
        <v>96</v>
      </c>
      <c r="G76" s="267"/>
      <c r="H76" s="267" t="s">
        <v>96</v>
      </c>
      <c r="I76" s="267" t="s">
        <v>96</v>
      </c>
      <c r="J76" s="238" t="s">
        <v>1302</v>
      </c>
    </row>
    <row r="77" spans="1:10" s="17" customFormat="1" ht="17.25" customHeight="1" x14ac:dyDescent="0.2">
      <c r="A77" s="1562" t="s">
        <v>1424</v>
      </c>
      <c r="B77" s="1563"/>
      <c r="C77" s="1563"/>
      <c r="D77" s="1564"/>
      <c r="E77" s="267">
        <v>1013</v>
      </c>
      <c r="F77" s="267" t="s">
        <v>96</v>
      </c>
      <c r="G77" s="267" t="s">
        <v>96</v>
      </c>
      <c r="H77" s="267" t="s">
        <v>96</v>
      </c>
      <c r="I77" s="267" t="s">
        <v>96</v>
      </c>
      <c r="J77" s="238" t="s">
        <v>1302</v>
      </c>
    </row>
    <row r="78" spans="1:10" s="17" customFormat="1" ht="17.25" customHeight="1" x14ac:dyDescent="0.2">
      <c r="A78" s="1562" t="s">
        <v>1363</v>
      </c>
      <c r="B78" s="1563"/>
      <c r="C78" s="1563"/>
      <c r="D78" s="1564"/>
      <c r="E78" s="267">
        <v>1112</v>
      </c>
      <c r="F78" s="267" t="s">
        <v>96</v>
      </c>
      <c r="G78" s="267" t="s">
        <v>96</v>
      </c>
      <c r="H78" s="267" t="s">
        <v>96</v>
      </c>
      <c r="I78" s="267" t="s">
        <v>96</v>
      </c>
      <c r="J78" s="238" t="s">
        <v>1302</v>
      </c>
    </row>
    <row r="79" spans="1:10" s="17" customFormat="1" ht="17.25" customHeight="1" x14ac:dyDescent="0.2">
      <c r="A79" s="1562" t="s">
        <v>1362</v>
      </c>
      <c r="B79" s="1563"/>
      <c r="C79" s="1563"/>
      <c r="D79" s="1564"/>
      <c r="E79" s="267">
        <v>1111</v>
      </c>
      <c r="F79" s="267" t="s">
        <v>96</v>
      </c>
      <c r="G79" s="267" t="s">
        <v>96</v>
      </c>
      <c r="H79" s="267" t="s">
        <v>96</v>
      </c>
      <c r="I79" s="267" t="s">
        <v>96</v>
      </c>
      <c r="J79" s="238" t="s">
        <v>1302</v>
      </c>
    </row>
    <row r="80" spans="1:10" s="17" customFormat="1" ht="17.25" customHeight="1" x14ac:dyDescent="0.2">
      <c r="A80" s="1562" t="s">
        <v>1425</v>
      </c>
      <c r="B80" s="1563"/>
      <c r="C80" s="1563"/>
      <c r="D80" s="1564"/>
      <c r="E80" s="267">
        <v>1025</v>
      </c>
      <c r="F80" s="267" t="s">
        <v>96</v>
      </c>
      <c r="G80" s="267"/>
      <c r="H80" s="267" t="s">
        <v>96</v>
      </c>
      <c r="I80" s="267" t="s">
        <v>96</v>
      </c>
      <c r="J80" s="238" t="s">
        <v>1302</v>
      </c>
    </row>
    <row r="81" spans="1:10" s="17" customFormat="1" ht="17.25" customHeight="1" x14ac:dyDescent="0.2">
      <c r="A81" s="1562" t="s">
        <v>1420</v>
      </c>
      <c r="B81" s="1563"/>
      <c r="C81" s="1563"/>
      <c r="D81" s="1564"/>
      <c r="E81" s="267">
        <v>1002</v>
      </c>
      <c r="F81" s="725" t="s">
        <v>96</v>
      </c>
      <c r="G81" s="725"/>
      <c r="H81" s="725" t="s">
        <v>96</v>
      </c>
      <c r="I81" s="725" t="s">
        <v>96</v>
      </c>
      <c r="J81" s="238"/>
    </row>
    <row r="82" spans="1:10" s="17" customFormat="1" ht="17.25" customHeight="1" x14ac:dyDescent="0.2">
      <c r="A82" s="1562" t="s">
        <v>1301</v>
      </c>
      <c r="B82" s="1563"/>
      <c r="C82" s="1563"/>
      <c r="D82" s="1564"/>
      <c r="E82" s="267">
        <v>1000</v>
      </c>
      <c r="F82" s="267" t="s">
        <v>96</v>
      </c>
      <c r="G82" s="267" t="s">
        <v>96</v>
      </c>
      <c r="H82" s="267" t="s">
        <v>96</v>
      </c>
      <c r="I82" s="267" t="s">
        <v>96</v>
      </c>
      <c r="J82" s="238" t="s">
        <v>1302</v>
      </c>
    </row>
    <row r="83" spans="1:10" s="17" customFormat="1" ht="17.25" customHeight="1" x14ac:dyDescent="0.2">
      <c r="A83" s="1562" t="s">
        <v>1006</v>
      </c>
      <c r="B83" s="1563"/>
      <c r="C83" s="1563"/>
      <c r="D83" s="1564"/>
      <c r="E83" s="267">
        <v>1001</v>
      </c>
      <c r="F83" s="267" t="s">
        <v>96</v>
      </c>
      <c r="G83" s="267"/>
      <c r="H83" s="267" t="s">
        <v>96</v>
      </c>
      <c r="I83" s="267" t="s">
        <v>96</v>
      </c>
      <c r="J83" s="238" t="s">
        <v>1302</v>
      </c>
    </row>
    <row r="84" spans="1:10" s="17" customFormat="1" ht="25.5" customHeight="1" x14ac:dyDescent="0.2">
      <c r="A84" s="1562" t="s">
        <v>1360</v>
      </c>
      <c r="B84" s="1563"/>
      <c r="C84" s="1563"/>
      <c r="D84" s="1564"/>
      <c r="E84" s="267">
        <v>10051</v>
      </c>
      <c r="F84" s="267" t="s">
        <v>96</v>
      </c>
      <c r="G84" s="267" t="s">
        <v>96</v>
      </c>
      <c r="H84" s="267" t="s">
        <v>96</v>
      </c>
      <c r="I84" s="267" t="s">
        <v>96</v>
      </c>
      <c r="J84" s="238" t="s">
        <v>1302</v>
      </c>
    </row>
    <row r="85" spans="1:10" s="215" customFormat="1" ht="17.25" customHeight="1" x14ac:dyDescent="0.2">
      <c r="A85" s="1562" t="s">
        <v>1409</v>
      </c>
      <c r="B85" s="1563"/>
      <c r="C85" s="1563"/>
      <c r="D85" s="1564"/>
      <c r="E85" s="267">
        <v>1003</v>
      </c>
      <c r="F85" s="267" t="s">
        <v>96</v>
      </c>
      <c r="G85" s="267"/>
      <c r="H85" s="267" t="s">
        <v>96</v>
      </c>
      <c r="I85" s="267" t="s">
        <v>96</v>
      </c>
      <c r="J85" s="238" t="s">
        <v>1422</v>
      </c>
    </row>
    <row r="86" spans="1:10" ht="17.25" customHeight="1" x14ac:dyDescent="0.2">
      <c r="A86" s="1562" t="s">
        <v>1364</v>
      </c>
      <c r="B86" s="1563"/>
      <c r="C86" s="1563"/>
      <c r="D86" s="1564"/>
      <c r="E86" s="267">
        <v>1088</v>
      </c>
      <c r="F86" s="267" t="s">
        <v>96</v>
      </c>
      <c r="G86" s="267" t="s">
        <v>96</v>
      </c>
      <c r="H86" s="267" t="s">
        <v>96</v>
      </c>
      <c r="I86" s="267" t="s">
        <v>96</v>
      </c>
      <c r="J86" s="238" t="s">
        <v>1302</v>
      </c>
    </row>
    <row r="87" spans="1:10" s="17" customFormat="1" ht="15.75" x14ac:dyDescent="0.25">
      <c r="A87" s="240"/>
    </row>
    <row r="88" spans="1:10" s="17" customFormat="1" ht="15" x14ac:dyDescent="0.25">
      <c r="A88" s="274" t="s">
        <v>1511</v>
      </c>
      <c r="B88" s="34"/>
      <c r="C88" s="34"/>
      <c r="D88" s="34"/>
      <c r="E88" s="34"/>
      <c r="F88" s="34"/>
      <c r="G88" s="34"/>
    </row>
    <row r="89" spans="1:10" s="17" customFormat="1" x14ac:dyDescent="0.2">
      <c r="A89" s="136" t="s">
        <v>1416</v>
      </c>
      <c r="B89" s="34"/>
      <c r="D89" s="1292" t="s">
        <v>1415</v>
      </c>
      <c r="E89" s="1292"/>
      <c r="F89" s="1292"/>
      <c r="G89" s="1292"/>
      <c r="H89" s="1292"/>
      <c r="I89" s="1292"/>
      <c r="J89" s="1292"/>
    </row>
    <row r="90" spans="1:10" s="17" customFormat="1" ht="15" x14ac:dyDescent="0.2">
      <c r="B90" s="23"/>
    </row>
    <row r="91" spans="1:10" s="215" customFormat="1" ht="24" x14ac:dyDescent="0.2">
      <c r="A91" s="1579" t="s">
        <v>1300</v>
      </c>
      <c r="B91" s="1579"/>
      <c r="C91" s="1579"/>
      <c r="D91" s="1579"/>
      <c r="E91" s="275" t="s">
        <v>406</v>
      </c>
      <c r="F91" s="275" t="s">
        <v>603</v>
      </c>
      <c r="G91" s="275" t="s">
        <v>407</v>
      </c>
      <c r="H91" s="275" t="s">
        <v>408</v>
      </c>
      <c r="I91" s="275" t="s">
        <v>60</v>
      </c>
      <c r="J91" s="276" t="s">
        <v>637</v>
      </c>
    </row>
    <row r="92" spans="1:10" s="215" customFormat="1" ht="12" hidden="1" x14ac:dyDescent="0.2">
      <c r="A92" s="1561" t="s">
        <v>1303</v>
      </c>
      <c r="B92" s="1561"/>
      <c r="C92" s="1561"/>
      <c r="D92" s="1561"/>
      <c r="E92" s="851">
        <v>1336</v>
      </c>
      <c r="F92" s="851"/>
      <c r="G92" s="851"/>
      <c r="H92" s="851"/>
      <c r="I92" s="851"/>
      <c r="J92" s="852" t="s">
        <v>1308</v>
      </c>
    </row>
    <row r="93" spans="1:10" s="215" customFormat="1" ht="12" hidden="1" x14ac:dyDescent="0.2">
      <c r="A93" s="1585" t="s">
        <v>1305</v>
      </c>
      <c r="B93" s="1585"/>
      <c r="C93" s="1585"/>
      <c r="D93" s="1585"/>
      <c r="E93" s="851">
        <v>1334</v>
      </c>
      <c r="F93" s="851"/>
      <c r="G93" s="851"/>
      <c r="H93" s="851"/>
      <c r="I93" s="851"/>
      <c r="J93" s="852" t="s">
        <v>1308</v>
      </c>
    </row>
    <row r="94" spans="1:10" s="215" customFormat="1" ht="12" hidden="1" x14ac:dyDescent="0.2">
      <c r="A94" s="1561" t="s">
        <v>1325</v>
      </c>
      <c r="B94" s="1561"/>
      <c r="C94" s="1561"/>
      <c r="D94" s="1561"/>
      <c r="E94" s="851">
        <v>1293</v>
      </c>
      <c r="F94" s="851"/>
      <c r="G94" s="851"/>
      <c r="H94" s="851"/>
      <c r="I94" s="851"/>
      <c r="J94" s="852"/>
    </row>
    <row r="95" spans="1:10" s="215" customFormat="1" ht="12" hidden="1" x14ac:dyDescent="0.2">
      <c r="A95" s="1561" t="s">
        <v>1353</v>
      </c>
      <c r="B95" s="1561"/>
      <c r="C95" s="1561"/>
      <c r="D95" s="1561"/>
      <c r="E95" s="851">
        <v>1256</v>
      </c>
      <c r="F95" s="851"/>
      <c r="G95" s="851"/>
      <c r="H95" s="851"/>
      <c r="I95" s="851"/>
      <c r="J95" s="852"/>
    </row>
    <row r="96" spans="1:10" s="215" customFormat="1" ht="12" hidden="1" x14ac:dyDescent="0.2">
      <c r="A96" s="1561" t="s">
        <v>1350</v>
      </c>
      <c r="B96" s="1561"/>
      <c r="C96" s="1561"/>
      <c r="D96" s="1561"/>
      <c r="E96" s="851">
        <v>1177</v>
      </c>
      <c r="F96" s="851"/>
      <c r="G96" s="851"/>
      <c r="H96" s="851"/>
      <c r="I96" s="851"/>
      <c r="J96" s="852"/>
    </row>
    <row r="97" spans="1:10" s="215" customFormat="1" ht="12" hidden="1" x14ac:dyDescent="0.2">
      <c r="A97" s="1561" t="s">
        <v>1332</v>
      </c>
      <c r="B97" s="1561"/>
      <c r="C97" s="1561"/>
      <c r="D97" s="1561"/>
      <c r="E97" s="851">
        <v>1039</v>
      </c>
      <c r="F97" s="851"/>
      <c r="G97" s="851"/>
      <c r="H97" s="851"/>
      <c r="I97" s="851"/>
      <c r="J97" s="852"/>
    </row>
    <row r="98" spans="1:10" s="215" customFormat="1" ht="12" hidden="1" x14ac:dyDescent="0.2">
      <c r="A98" s="1561" t="s">
        <v>1331</v>
      </c>
      <c r="B98" s="1561"/>
      <c r="C98" s="1561"/>
      <c r="D98" s="1561"/>
      <c r="E98" s="851">
        <v>1030</v>
      </c>
      <c r="F98" s="851"/>
      <c r="G98" s="851"/>
      <c r="H98" s="851"/>
      <c r="I98" s="851"/>
      <c r="J98" s="852"/>
    </row>
    <row r="99" spans="1:10" s="215" customFormat="1" ht="12" hidden="1" x14ac:dyDescent="0.2">
      <c r="A99" s="1561" t="s">
        <v>1354</v>
      </c>
      <c r="B99" s="1561"/>
      <c r="C99" s="1561"/>
      <c r="D99" s="1561"/>
      <c r="E99" s="851">
        <v>1277</v>
      </c>
      <c r="F99" s="851"/>
      <c r="G99" s="851"/>
      <c r="H99" s="851"/>
      <c r="I99" s="851"/>
      <c r="J99" s="852"/>
    </row>
    <row r="100" spans="1:10" s="215" customFormat="1" ht="12" hidden="1" x14ac:dyDescent="0.2">
      <c r="A100" s="1561" t="s">
        <v>1328</v>
      </c>
      <c r="B100" s="1561"/>
      <c r="C100" s="1561"/>
      <c r="D100" s="1561"/>
      <c r="E100" s="851">
        <v>1167</v>
      </c>
      <c r="F100" s="851"/>
      <c r="G100" s="851"/>
      <c r="H100" s="851"/>
      <c r="I100" s="851"/>
      <c r="J100" s="852"/>
    </row>
    <row r="101" spans="1:10" s="215" customFormat="1" ht="12" hidden="1" x14ac:dyDescent="0.2">
      <c r="A101" s="1561" t="s">
        <v>1312</v>
      </c>
      <c r="B101" s="1561"/>
      <c r="C101" s="1561"/>
      <c r="D101" s="1561"/>
      <c r="E101" s="851">
        <v>1019</v>
      </c>
      <c r="F101" s="851"/>
      <c r="G101" s="851"/>
      <c r="H101" s="851"/>
      <c r="I101" s="851" t="s">
        <v>96</v>
      </c>
      <c r="J101" s="852" t="s">
        <v>1495</v>
      </c>
    </row>
    <row r="102" spans="1:10" s="215" customFormat="1" ht="12" hidden="1" x14ac:dyDescent="0.2">
      <c r="A102" s="1561" t="s">
        <v>1327</v>
      </c>
      <c r="B102" s="1561"/>
      <c r="C102" s="1561"/>
      <c r="D102" s="1561"/>
      <c r="E102" s="851">
        <v>1021</v>
      </c>
      <c r="F102" s="851"/>
      <c r="G102" s="851"/>
      <c r="H102" s="851"/>
      <c r="I102" s="851"/>
      <c r="J102" s="852"/>
    </row>
    <row r="103" spans="1:10" s="215" customFormat="1" ht="12" hidden="1" x14ac:dyDescent="0.2">
      <c r="A103" s="1561" t="s">
        <v>1336</v>
      </c>
      <c r="B103" s="1561"/>
      <c r="C103" s="1561"/>
      <c r="D103" s="1561"/>
      <c r="E103" s="851">
        <v>1060</v>
      </c>
      <c r="F103" s="851"/>
      <c r="G103" s="851"/>
      <c r="H103" s="851"/>
      <c r="I103" s="851"/>
      <c r="J103" s="852"/>
    </row>
    <row r="104" spans="1:10" s="215" customFormat="1" ht="12" hidden="1" x14ac:dyDescent="0.2">
      <c r="A104" s="1561" t="s">
        <v>413</v>
      </c>
      <c r="B104" s="1561"/>
      <c r="C104" s="1561"/>
      <c r="D104" s="1561"/>
      <c r="E104" s="851">
        <v>1033</v>
      </c>
      <c r="F104" s="851"/>
      <c r="G104" s="851"/>
      <c r="H104" s="851"/>
      <c r="I104" s="851"/>
      <c r="J104" s="852"/>
    </row>
    <row r="105" spans="1:10" s="215" customFormat="1" ht="12" hidden="1" x14ac:dyDescent="0.2">
      <c r="A105" s="1561" t="s">
        <v>1339</v>
      </c>
      <c r="B105" s="1561"/>
      <c r="C105" s="1561"/>
      <c r="D105" s="1561"/>
      <c r="E105" s="851">
        <v>1106</v>
      </c>
      <c r="F105" s="851"/>
      <c r="G105" s="851"/>
      <c r="H105" s="851"/>
      <c r="I105" s="851"/>
      <c r="J105" s="852"/>
    </row>
    <row r="106" spans="1:10" s="215" customFormat="1" ht="12" hidden="1" x14ac:dyDescent="0.2">
      <c r="A106" s="1561" t="s">
        <v>1338</v>
      </c>
      <c r="B106" s="1561"/>
      <c r="C106" s="1561"/>
      <c r="D106" s="1561"/>
      <c r="E106" s="851">
        <v>1053</v>
      </c>
      <c r="F106" s="851"/>
      <c r="G106" s="851"/>
      <c r="H106" s="851"/>
      <c r="I106" s="851"/>
      <c r="J106" s="852"/>
    </row>
    <row r="107" spans="1:10" s="215" customFormat="1" ht="12" hidden="1" x14ac:dyDescent="0.2">
      <c r="A107" s="1561" t="s">
        <v>1326</v>
      </c>
      <c r="B107" s="1561"/>
      <c r="C107" s="1561"/>
      <c r="D107" s="1561"/>
      <c r="E107" s="851">
        <v>1290</v>
      </c>
      <c r="F107" s="851"/>
      <c r="G107" s="851"/>
      <c r="H107" s="851"/>
      <c r="I107" s="851"/>
      <c r="J107" s="852"/>
    </row>
    <row r="108" spans="1:10" s="215" customFormat="1" ht="72" hidden="1" x14ac:dyDescent="0.2">
      <c r="A108" s="1561" t="s">
        <v>1410</v>
      </c>
      <c r="B108" s="1561"/>
      <c r="C108" s="1561"/>
      <c r="D108" s="1561"/>
      <c r="E108" s="851">
        <v>1010</v>
      </c>
      <c r="F108" s="851"/>
      <c r="G108" s="851"/>
      <c r="H108" s="851"/>
      <c r="I108" s="851"/>
      <c r="J108" s="852" t="s">
        <v>1834</v>
      </c>
    </row>
    <row r="109" spans="1:10" s="578" customFormat="1" ht="192" hidden="1" x14ac:dyDescent="0.2">
      <c r="A109" s="1575" t="s">
        <v>1835</v>
      </c>
      <c r="B109" s="1576"/>
      <c r="C109" s="1576"/>
      <c r="D109" s="1577"/>
      <c r="E109" s="851">
        <v>10102</v>
      </c>
      <c r="F109" s="851"/>
      <c r="G109" s="851"/>
      <c r="H109" s="851"/>
      <c r="I109" s="851"/>
      <c r="J109" s="852" t="s">
        <v>1836</v>
      </c>
    </row>
    <row r="110" spans="1:10" s="578" customFormat="1" ht="132" hidden="1" x14ac:dyDescent="0.2">
      <c r="A110" s="1575" t="s">
        <v>1837</v>
      </c>
      <c r="B110" s="1576"/>
      <c r="C110" s="1576"/>
      <c r="D110" s="1577"/>
      <c r="E110" s="853" t="s">
        <v>1838</v>
      </c>
      <c r="F110" s="851"/>
      <c r="G110" s="851"/>
      <c r="H110" s="851"/>
      <c r="I110" s="851"/>
      <c r="J110" s="852" t="s">
        <v>1839</v>
      </c>
    </row>
    <row r="111" spans="1:10" s="215" customFormat="1" ht="12" hidden="1" x14ac:dyDescent="0.2">
      <c r="A111" s="1561" t="s">
        <v>1352</v>
      </c>
      <c r="B111" s="1561"/>
      <c r="C111" s="1561"/>
      <c r="D111" s="1561"/>
      <c r="E111" s="851">
        <v>1299</v>
      </c>
      <c r="F111" s="851"/>
      <c r="G111" s="851"/>
      <c r="H111" s="851"/>
      <c r="I111" s="851"/>
      <c r="J111" s="852" t="s">
        <v>1308</v>
      </c>
    </row>
    <row r="112" spans="1:10" s="215" customFormat="1" ht="12" hidden="1" x14ac:dyDescent="0.2">
      <c r="A112" s="1561" t="s">
        <v>1359</v>
      </c>
      <c r="B112" s="1561"/>
      <c r="C112" s="1561"/>
      <c r="D112" s="1561"/>
      <c r="E112" s="851">
        <v>1316</v>
      </c>
      <c r="F112" s="851"/>
      <c r="G112" s="851"/>
      <c r="H112" s="851"/>
      <c r="I112" s="851"/>
      <c r="J112" s="852" t="s">
        <v>1308</v>
      </c>
    </row>
    <row r="113" spans="1:10" s="215" customFormat="1" ht="12" hidden="1" x14ac:dyDescent="0.2">
      <c r="A113" s="1561" t="s">
        <v>481</v>
      </c>
      <c r="B113" s="1561"/>
      <c r="C113" s="1561"/>
      <c r="D113" s="1561"/>
      <c r="E113" s="851">
        <v>1323</v>
      </c>
      <c r="F113" s="851"/>
      <c r="G113" s="851"/>
      <c r="H113" s="851"/>
      <c r="I113" s="851"/>
      <c r="J113" s="852" t="s">
        <v>1308</v>
      </c>
    </row>
    <row r="114" spans="1:10" s="215" customFormat="1" ht="12" hidden="1" x14ac:dyDescent="0.2">
      <c r="A114" s="1561" t="s">
        <v>1358</v>
      </c>
      <c r="B114" s="1561"/>
      <c r="C114" s="1561"/>
      <c r="D114" s="1561"/>
      <c r="E114" s="851">
        <v>1224</v>
      </c>
      <c r="F114" s="851"/>
      <c r="G114" s="851"/>
      <c r="H114" s="851"/>
      <c r="I114" s="851"/>
      <c r="J114" s="852" t="s">
        <v>1308</v>
      </c>
    </row>
    <row r="115" spans="1:10" s="215" customFormat="1" ht="12" x14ac:dyDescent="0.2">
      <c r="A115" s="1561" t="s">
        <v>1357</v>
      </c>
      <c r="B115" s="1561"/>
      <c r="C115" s="1561"/>
      <c r="D115" s="1561"/>
      <c r="E115" s="851">
        <v>1175</v>
      </c>
      <c r="F115" s="851"/>
      <c r="G115" s="851"/>
      <c r="H115" s="851"/>
      <c r="I115" s="851"/>
      <c r="J115" s="852" t="s">
        <v>1308</v>
      </c>
    </row>
    <row r="116" spans="1:10" s="215" customFormat="1" ht="12" hidden="1" x14ac:dyDescent="0.2">
      <c r="A116" s="1561" t="s">
        <v>1307</v>
      </c>
      <c r="B116" s="1561"/>
      <c r="C116" s="1561"/>
      <c r="D116" s="1561"/>
      <c r="E116" s="851">
        <v>1227</v>
      </c>
      <c r="F116" s="851"/>
      <c r="G116" s="851"/>
      <c r="H116" s="851"/>
      <c r="I116" s="851"/>
      <c r="J116" s="852" t="s">
        <v>1308</v>
      </c>
    </row>
    <row r="117" spans="1:10" s="215" customFormat="1" ht="12" hidden="1" x14ac:dyDescent="0.2">
      <c r="A117" s="1561" t="s">
        <v>1337</v>
      </c>
      <c r="B117" s="1561"/>
      <c r="C117" s="1561"/>
      <c r="D117" s="1561"/>
      <c r="E117" s="851">
        <v>1038</v>
      </c>
      <c r="F117" s="851"/>
      <c r="G117" s="851"/>
      <c r="H117" s="851"/>
      <c r="I117" s="851"/>
      <c r="J117" s="852"/>
    </row>
    <row r="118" spans="1:10" s="215" customFormat="1" ht="12" hidden="1" x14ac:dyDescent="0.2">
      <c r="A118" s="1561" t="s">
        <v>1304</v>
      </c>
      <c r="B118" s="1561"/>
      <c r="C118" s="1561"/>
      <c r="D118" s="1561"/>
      <c r="E118" s="851">
        <v>1333</v>
      </c>
      <c r="F118" s="851"/>
      <c r="G118" s="851"/>
      <c r="H118" s="851"/>
      <c r="I118" s="851"/>
      <c r="J118" s="852" t="s">
        <v>1308</v>
      </c>
    </row>
    <row r="119" spans="1:10" s="215" customFormat="1" ht="12" hidden="1" x14ac:dyDescent="0.2">
      <c r="A119" s="1561" t="s">
        <v>1342</v>
      </c>
      <c r="B119" s="1561"/>
      <c r="C119" s="1561"/>
      <c r="D119" s="1561"/>
      <c r="E119" s="851">
        <v>1090</v>
      </c>
      <c r="F119" s="851"/>
      <c r="G119" s="851"/>
      <c r="H119" s="851"/>
      <c r="I119" s="851"/>
      <c r="J119" s="852"/>
    </row>
    <row r="120" spans="1:10" s="215" customFormat="1" ht="24" hidden="1" x14ac:dyDescent="0.2">
      <c r="A120" s="1561" t="s">
        <v>1430</v>
      </c>
      <c r="B120" s="1561"/>
      <c r="C120" s="1561"/>
      <c r="D120" s="1561"/>
      <c r="E120" s="851">
        <v>1031</v>
      </c>
      <c r="F120" s="851"/>
      <c r="G120" s="851"/>
      <c r="H120" s="851"/>
      <c r="I120" s="851"/>
      <c r="J120" s="852" t="s">
        <v>1492</v>
      </c>
    </row>
    <row r="121" spans="1:10" s="215" customFormat="1" ht="12" hidden="1" x14ac:dyDescent="0.2">
      <c r="A121" s="1561" t="s">
        <v>409</v>
      </c>
      <c r="B121" s="1561"/>
      <c r="C121" s="1561"/>
      <c r="D121" s="1561"/>
      <c r="E121" s="851">
        <v>1020</v>
      </c>
      <c r="F121" s="851"/>
      <c r="G121" s="851"/>
      <c r="H121" s="851"/>
      <c r="I121" s="851"/>
      <c r="J121" s="852"/>
    </row>
    <row r="122" spans="1:10" s="215" customFormat="1" ht="12" hidden="1" x14ac:dyDescent="0.2">
      <c r="A122" s="1561" t="s">
        <v>1334</v>
      </c>
      <c r="B122" s="1561"/>
      <c r="C122" s="1561"/>
      <c r="D122" s="1561"/>
      <c r="E122" s="851">
        <v>1158</v>
      </c>
      <c r="F122" s="851"/>
      <c r="G122" s="851"/>
      <c r="H122" s="851"/>
      <c r="I122" s="851"/>
      <c r="J122" s="852"/>
    </row>
    <row r="123" spans="1:10" s="215" customFormat="1" ht="12" hidden="1" x14ac:dyDescent="0.2">
      <c r="A123" s="1561" t="s">
        <v>1340</v>
      </c>
      <c r="B123" s="1561"/>
      <c r="C123" s="1561"/>
      <c r="D123" s="1561"/>
      <c r="E123" s="851">
        <v>1078</v>
      </c>
      <c r="F123" s="851"/>
      <c r="G123" s="851"/>
      <c r="H123" s="851"/>
      <c r="I123" s="851"/>
      <c r="J123" s="852"/>
    </row>
    <row r="124" spans="1:10" s="215" customFormat="1" ht="12" hidden="1" x14ac:dyDescent="0.2">
      <c r="A124" s="1561" t="s">
        <v>1341</v>
      </c>
      <c r="B124" s="1561"/>
      <c r="C124" s="1561"/>
      <c r="D124" s="1561"/>
      <c r="E124" s="851">
        <v>1198</v>
      </c>
      <c r="F124" s="851"/>
      <c r="G124" s="851"/>
      <c r="H124" s="851"/>
      <c r="I124" s="851"/>
      <c r="J124" s="852"/>
    </row>
    <row r="125" spans="1:10" s="215" customFormat="1" ht="12" hidden="1" x14ac:dyDescent="0.2">
      <c r="A125" s="1561" t="s">
        <v>1335</v>
      </c>
      <c r="B125" s="1561"/>
      <c r="C125" s="1561"/>
      <c r="D125" s="1561"/>
      <c r="E125" s="851">
        <v>1288</v>
      </c>
      <c r="F125" s="851"/>
      <c r="G125" s="851"/>
      <c r="H125" s="851"/>
      <c r="I125" s="851"/>
      <c r="J125" s="852"/>
    </row>
    <row r="126" spans="1:10" s="215" customFormat="1" ht="12" hidden="1" x14ac:dyDescent="0.2">
      <c r="A126" s="1561" t="s">
        <v>1333</v>
      </c>
      <c r="B126" s="1561"/>
      <c r="C126" s="1561"/>
      <c r="D126" s="1561"/>
      <c r="E126" s="851">
        <v>1153</v>
      </c>
      <c r="F126" s="851"/>
      <c r="G126" s="851"/>
      <c r="H126" s="851"/>
      <c r="I126" s="851"/>
      <c r="J126" s="852"/>
    </row>
    <row r="127" spans="1:10" s="215" customFormat="1" ht="12" hidden="1" x14ac:dyDescent="0.2">
      <c r="A127" s="1561" t="s">
        <v>1349</v>
      </c>
      <c r="B127" s="1561"/>
      <c r="C127" s="1561"/>
      <c r="D127" s="1561"/>
      <c r="E127" s="851">
        <v>1127</v>
      </c>
      <c r="F127" s="851"/>
      <c r="G127" s="851"/>
      <c r="H127" s="851"/>
      <c r="I127" s="851"/>
      <c r="J127" s="852"/>
    </row>
    <row r="128" spans="1:10" s="215" customFormat="1" ht="12" hidden="1" x14ac:dyDescent="0.2">
      <c r="A128" s="1561" t="s">
        <v>1411</v>
      </c>
      <c r="B128" s="1561"/>
      <c r="C128" s="1561"/>
      <c r="D128" s="1561"/>
      <c r="E128" s="851">
        <v>1026</v>
      </c>
      <c r="F128" s="851"/>
      <c r="G128" s="851"/>
      <c r="H128" s="851"/>
      <c r="I128" s="851"/>
      <c r="J128" s="852"/>
    </row>
    <row r="129" spans="1:10" s="215" customFormat="1" ht="12" hidden="1" x14ac:dyDescent="0.2">
      <c r="A129" s="1585" t="s">
        <v>1306</v>
      </c>
      <c r="B129" s="1585"/>
      <c r="C129" s="1585"/>
      <c r="D129" s="1585"/>
      <c r="E129" s="851">
        <v>1335</v>
      </c>
      <c r="F129" s="851"/>
      <c r="G129" s="851"/>
      <c r="H129" s="851"/>
      <c r="I129" s="851"/>
      <c r="J129" s="852"/>
    </row>
    <row r="130" spans="1:10" s="215" customFormat="1" ht="12" hidden="1" x14ac:dyDescent="0.2">
      <c r="A130" s="1561" t="s">
        <v>1344</v>
      </c>
      <c r="B130" s="1561"/>
      <c r="C130" s="1561"/>
      <c r="D130" s="1561"/>
      <c r="E130" s="851">
        <v>1120</v>
      </c>
      <c r="F130" s="851"/>
      <c r="G130" s="851"/>
      <c r="H130" s="851"/>
      <c r="I130" s="851"/>
      <c r="J130" s="852"/>
    </row>
    <row r="131" spans="1:10" s="215" customFormat="1" ht="12" hidden="1" x14ac:dyDescent="0.2">
      <c r="A131" s="1561" t="s">
        <v>1319</v>
      </c>
      <c r="B131" s="1561"/>
      <c r="C131" s="1561"/>
      <c r="D131" s="1561"/>
      <c r="E131" s="851">
        <v>1113</v>
      </c>
      <c r="F131" s="851"/>
      <c r="G131" s="851"/>
      <c r="H131" s="851"/>
      <c r="I131" s="851"/>
      <c r="J131" s="852"/>
    </row>
    <row r="132" spans="1:10" s="215" customFormat="1" ht="12" hidden="1" x14ac:dyDescent="0.2">
      <c r="A132" s="1561" t="s">
        <v>1320</v>
      </c>
      <c r="B132" s="1561"/>
      <c r="C132" s="1561"/>
      <c r="D132" s="1561"/>
      <c r="E132" s="851">
        <v>1304</v>
      </c>
      <c r="F132" s="851"/>
      <c r="G132" s="851"/>
      <c r="H132" s="851"/>
      <c r="I132" s="851"/>
      <c r="J132" s="852"/>
    </row>
    <row r="133" spans="1:10" s="215" customFormat="1" ht="12" hidden="1" x14ac:dyDescent="0.2">
      <c r="A133" s="1561" t="s">
        <v>1421</v>
      </c>
      <c r="B133" s="1561"/>
      <c r="C133" s="1561"/>
      <c r="D133" s="1561"/>
      <c r="E133" s="851">
        <v>1096</v>
      </c>
      <c r="F133" s="851"/>
      <c r="G133" s="851"/>
      <c r="H133" s="851"/>
      <c r="I133" s="851"/>
      <c r="J133" s="852"/>
    </row>
    <row r="134" spans="1:10" s="215" customFormat="1" ht="12" hidden="1" x14ac:dyDescent="0.2">
      <c r="A134" s="1561" t="s">
        <v>1318</v>
      </c>
      <c r="B134" s="1561"/>
      <c r="C134" s="1561"/>
      <c r="D134" s="1561"/>
      <c r="E134" s="851">
        <v>1260</v>
      </c>
      <c r="F134" s="851"/>
      <c r="G134" s="851"/>
      <c r="H134" s="851"/>
      <c r="I134" s="851"/>
      <c r="J134" s="852"/>
    </row>
    <row r="135" spans="1:10" s="215" customFormat="1" ht="12" hidden="1" x14ac:dyDescent="0.2">
      <c r="A135" s="1561" t="s">
        <v>1343</v>
      </c>
      <c r="B135" s="1561"/>
      <c r="C135" s="1561"/>
      <c r="D135" s="1561"/>
      <c r="E135" s="851">
        <v>1232</v>
      </c>
      <c r="F135" s="851"/>
      <c r="G135" s="851"/>
      <c r="H135" s="851"/>
      <c r="I135" s="851"/>
      <c r="J135" s="852"/>
    </row>
    <row r="136" spans="1:10" s="215" customFormat="1" ht="12" x14ac:dyDescent="0.2">
      <c r="A136" s="1583" t="s">
        <v>1315</v>
      </c>
      <c r="B136" s="1583"/>
      <c r="C136" s="1583"/>
      <c r="D136" s="1583"/>
      <c r="E136" s="267">
        <v>1147</v>
      </c>
      <c r="F136" s="725" t="s">
        <v>96</v>
      </c>
      <c r="G136" s="725"/>
      <c r="H136" s="725" t="s">
        <v>96</v>
      </c>
      <c r="I136" s="725" t="s">
        <v>96</v>
      </c>
      <c r="J136" s="238"/>
    </row>
    <row r="137" spans="1:10" s="215" customFormat="1" ht="12" hidden="1" x14ac:dyDescent="0.2">
      <c r="A137" s="1561" t="s">
        <v>1314</v>
      </c>
      <c r="B137" s="1561"/>
      <c r="C137" s="1561"/>
      <c r="D137" s="1561"/>
      <c r="E137" s="851">
        <v>1118</v>
      </c>
      <c r="F137" s="851"/>
      <c r="G137" s="851"/>
      <c r="H137" s="851"/>
      <c r="I137" s="851"/>
      <c r="J137" s="852"/>
    </row>
    <row r="138" spans="1:10" s="215" customFormat="1" ht="12" hidden="1" x14ac:dyDescent="0.2">
      <c r="A138" s="1561" t="s">
        <v>479</v>
      </c>
      <c r="B138" s="1561"/>
      <c r="C138" s="1561"/>
      <c r="D138" s="1561"/>
      <c r="E138" s="851">
        <v>1225</v>
      </c>
      <c r="F138" s="851"/>
      <c r="G138" s="851"/>
      <c r="H138" s="851"/>
      <c r="I138" s="851"/>
      <c r="J138" s="852"/>
    </row>
    <row r="139" spans="1:10" s="215" customFormat="1" ht="12" hidden="1" x14ac:dyDescent="0.2">
      <c r="A139" s="1561" t="s">
        <v>1348</v>
      </c>
      <c r="B139" s="1561"/>
      <c r="C139" s="1561"/>
      <c r="D139" s="1561"/>
      <c r="E139" s="851">
        <v>1302</v>
      </c>
      <c r="F139" s="851"/>
      <c r="G139" s="851"/>
      <c r="H139" s="851"/>
      <c r="I139" s="851"/>
      <c r="J139" s="852"/>
    </row>
    <row r="140" spans="1:10" s="215" customFormat="1" ht="12" hidden="1" x14ac:dyDescent="0.2">
      <c r="A140" s="1561" t="s">
        <v>1346</v>
      </c>
      <c r="B140" s="1561"/>
      <c r="C140" s="1561"/>
      <c r="D140" s="1561"/>
      <c r="E140" s="851">
        <v>1284</v>
      </c>
      <c r="F140" s="851"/>
      <c r="G140" s="851"/>
      <c r="H140" s="851"/>
      <c r="I140" s="851"/>
      <c r="J140" s="852"/>
    </row>
    <row r="141" spans="1:10" s="215" customFormat="1" ht="12" hidden="1" x14ac:dyDescent="0.2">
      <c r="A141" s="1561" t="s">
        <v>1347</v>
      </c>
      <c r="B141" s="1561"/>
      <c r="C141" s="1561"/>
      <c r="D141" s="1561"/>
      <c r="E141" s="851">
        <v>1285</v>
      </c>
      <c r="F141" s="851"/>
      <c r="G141" s="851"/>
      <c r="H141" s="851"/>
      <c r="I141" s="851"/>
      <c r="J141" s="852"/>
    </row>
    <row r="142" spans="1:10" s="215" customFormat="1" ht="12" hidden="1" x14ac:dyDescent="0.2">
      <c r="A142" s="1561" t="s">
        <v>1317</v>
      </c>
      <c r="B142" s="1561"/>
      <c r="C142" s="1561"/>
      <c r="D142" s="1561"/>
      <c r="E142" s="851">
        <v>1221</v>
      </c>
      <c r="F142" s="851"/>
      <c r="G142" s="851"/>
      <c r="H142" s="851"/>
      <c r="I142" s="851"/>
      <c r="J142" s="852"/>
    </row>
    <row r="143" spans="1:10" s="215" customFormat="1" ht="12" hidden="1" x14ac:dyDescent="0.2">
      <c r="A143" s="1561" t="s">
        <v>1316</v>
      </c>
      <c r="B143" s="1561"/>
      <c r="C143" s="1561"/>
      <c r="D143" s="1561"/>
      <c r="E143" s="851">
        <v>1174</v>
      </c>
      <c r="F143" s="851"/>
      <c r="G143" s="851"/>
      <c r="H143" s="851"/>
      <c r="I143" s="851"/>
      <c r="J143" s="852"/>
    </row>
    <row r="144" spans="1:10" s="215" customFormat="1" ht="12" hidden="1" x14ac:dyDescent="0.2">
      <c r="A144" s="1561" t="s">
        <v>1329</v>
      </c>
      <c r="B144" s="1561"/>
      <c r="C144" s="1561"/>
      <c r="D144" s="1561"/>
      <c r="E144" s="851">
        <v>1087</v>
      </c>
      <c r="F144" s="851"/>
      <c r="G144" s="851"/>
      <c r="H144" s="851"/>
      <c r="I144" s="851"/>
      <c r="J144" s="852"/>
    </row>
    <row r="145" spans="1:10" s="215" customFormat="1" ht="12" hidden="1" x14ac:dyDescent="0.2">
      <c r="A145" s="1561" t="s">
        <v>1322</v>
      </c>
      <c r="B145" s="1561"/>
      <c r="C145" s="1561"/>
      <c r="D145" s="1561"/>
      <c r="E145" s="851">
        <v>1276</v>
      </c>
      <c r="F145" s="851"/>
      <c r="G145" s="851"/>
      <c r="H145" s="851"/>
      <c r="I145" s="851"/>
      <c r="J145" s="852"/>
    </row>
    <row r="146" spans="1:10" s="215" customFormat="1" ht="12" hidden="1" x14ac:dyDescent="0.2">
      <c r="A146" s="1561" t="s">
        <v>1321</v>
      </c>
      <c r="B146" s="1561"/>
      <c r="C146" s="1561"/>
      <c r="D146" s="1561"/>
      <c r="E146" s="851">
        <v>1211</v>
      </c>
      <c r="F146" s="851"/>
      <c r="G146" s="851"/>
      <c r="H146" s="851"/>
      <c r="I146" s="851"/>
      <c r="J146" s="852"/>
    </row>
    <row r="147" spans="1:10" s="215" customFormat="1" ht="12" hidden="1" x14ac:dyDescent="0.2">
      <c r="A147" s="1561" t="s">
        <v>1309</v>
      </c>
      <c r="B147" s="1561"/>
      <c r="C147" s="1561"/>
      <c r="D147" s="1561"/>
      <c r="E147" s="851">
        <v>1305</v>
      </c>
      <c r="F147" s="851"/>
      <c r="G147" s="854"/>
      <c r="H147" s="854"/>
      <c r="I147" s="851"/>
      <c r="J147" s="852"/>
    </row>
    <row r="148" spans="1:10" s="17" customFormat="1" hidden="1" x14ac:dyDescent="0.2">
      <c r="A148" s="1561" t="s">
        <v>1412</v>
      </c>
      <c r="B148" s="1561"/>
      <c r="C148" s="1561"/>
      <c r="D148" s="1561"/>
      <c r="E148" s="851">
        <v>1029</v>
      </c>
      <c r="F148" s="851"/>
      <c r="G148" s="851"/>
      <c r="H148" s="851"/>
      <c r="I148" s="851"/>
      <c r="J148" s="852"/>
    </row>
    <row r="149" spans="1:10" s="215" customFormat="1" ht="12" hidden="1" x14ac:dyDescent="0.2">
      <c r="A149" s="1561" t="s">
        <v>1330</v>
      </c>
      <c r="B149" s="1561"/>
      <c r="C149" s="1561"/>
      <c r="D149" s="1561"/>
      <c r="E149" s="851">
        <v>1105</v>
      </c>
      <c r="F149" s="851"/>
      <c r="G149" s="851"/>
      <c r="H149" s="851"/>
      <c r="I149" s="851"/>
      <c r="J149" s="852"/>
    </row>
    <row r="150" spans="1:10" s="215" customFormat="1" ht="12" hidden="1" x14ac:dyDescent="0.2">
      <c r="A150" s="1561" t="s">
        <v>1351</v>
      </c>
      <c r="B150" s="1561"/>
      <c r="C150" s="1561"/>
      <c r="D150" s="1561"/>
      <c r="E150" s="851">
        <v>1184</v>
      </c>
      <c r="F150" s="851"/>
      <c r="G150" s="851"/>
      <c r="H150" s="851"/>
      <c r="I150" s="851"/>
      <c r="J150" s="852"/>
    </row>
    <row r="151" spans="1:10" s="215" customFormat="1" ht="12" hidden="1" x14ac:dyDescent="0.2">
      <c r="A151" s="1561" t="s">
        <v>1324</v>
      </c>
      <c r="B151" s="1561"/>
      <c r="C151" s="1561"/>
      <c r="D151" s="1561"/>
      <c r="E151" s="851">
        <v>1292</v>
      </c>
      <c r="F151" s="851"/>
      <c r="G151" s="851"/>
      <c r="H151" s="851"/>
      <c r="I151" s="851"/>
      <c r="J151" s="852"/>
    </row>
    <row r="152" spans="1:10" s="215" customFormat="1" ht="12" hidden="1" x14ac:dyDescent="0.2">
      <c r="A152" s="1561" t="s">
        <v>1323</v>
      </c>
      <c r="B152" s="1561"/>
      <c r="C152" s="1561"/>
      <c r="D152" s="1561"/>
      <c r="E152" s="851">
        <v>1291</v>
      </c>
      <c r="F152" s="851"/>
      <c r="G152" s="851"/>
      <c r="H152" s="851"/>
      <c r="I152" s="851"/>
      <c r="J152" s="852"/>
    </row>
    <row r="153" spans="1:10" s="472" customFormat="1" ht="12" hidden="1" x14ac:dyDescent="0.2">
      <c r="A153" s="1597" t="s">
        <v>1712</v>
      </c>
      <c r="B153" s="1598"/>
      <c r="C153" s="1598"/>
      <c r="D153" s="1599"/>
      <c r="E153" s="851">
        <v>1422</v>
      </c>
      <c r="F153" s="851"/>
      <c r="G153" s="851"/>
      <c r="H153" s="851"/>
      <c r="I153" s="851"/>
      <c r="J153" s="852"/>
    </row>
    <row r="154" spans="1:10" s="215" customFormat="1" ht="12" hidden="1" x14ac:dyDescent="0.2">
      <c r="A154" s="1561" t="s">
        <v>1345</v>
      </c>
      <c r="B154" s="1561"/>
      <c r="C154" s="1561"/>
      <c r="D154" s="1561"/>
      <c r="E154" s="851">
        <v>1121</v>
      </c>
      <c r="F154" s="851"/>
      <c r="G154" s="851"/>
      <c r="H154" s="851"/>
      <c r="I154" s="851"/>
      <c r="J154" s="852"/>
    </row>
    <row r="155" spans="1:10" s="17" customFormat="1" ht="15" x14ac:dyDescent="0.2">
      <c r="A155" s="1584"/>
      <c r="B155" s="1584"/>
      <c r="C155" s="1584"/>
      <c r="D155" s="23"/>
      <c r="E155" s="1456"/>
      <c r="F155" s="1456"/>
    </row>
    <row r="156" spans="1:10" s="17" customFormat="1" ht="15" x14ac:dyDescent="0.25">
      <c r="A156" s="274" t="s">
        <v>1512</v>
      </c>
      <c r="B156" s="34"/>
      <c r="C156" s="34"/>
      <c r="D156" s="34"/>
      <c r="E156" s="34"/>
      <c r="F156" s="34"/>
      <c r="G156" s="34"/>
    </row>
    <row r="157" spans="1:10" s="17" customFormat="1" x14ac:dyDescent="0.2">
      <c r="A157" s="136" t="s">
        <v>1416</v>
      </c>
      <c r="B157" s="34"/>
      <c r="D157" s="1292" t="s">
        <v>1417</v>
      </c>
      <c r="E157" s="1292"/>
      <c r="F157" s="1292"/>
      <c r="G157" s="1292"/>
      <c r="H157" s="1292"/>
      <c r="I157" s="1292"/>
      <c r="J157" s="1292"/>
    </row>
    <row r="158" spans="1:10" s="17" customFormat="1" ht="15" x14ac:dyDescent="0.2">
      <c r="A158" s="1584"/>
      <c r="B158" s="1584"/>
      <c r="C158" s="1584"/>
      <c r="D158" s="23"/>
      <c r="E158" s="1456"/>
      <c r="F158" s="1456"/>
    </row>
    <row r="159" spans="1:10" s="215" customFormat="1" ht="26.25" customHeight="1" x14ac:dyDescent="0.2">
      <c r="A159" s="1579" t="s">
        <v>1300</v>
      </c>
      <c r="B159" s="1579"/>
      <c r="C159" s="1579"/>
      <c r="D159" s="1579"/>
      <c r="E159" s="275" t="s">
        <v>406</v>
      </c>
      <c r="F159" s="275" t="s">
        <v>603</v>
      </c>
      <c r="G159" s="275" t="s">
        <v>407</v>
      </c>
      <c r="H159" s="275" t="s">
        <v>408</v>
      </c>
      <c r="I159" s="275" t="s">
        <v>60</v>
      </c>
      <c r="J159" s="276" t="s">
        <v>637</v>
      </c>
    </row>
    <row r="160" spans="1:10" s="215" customFormat="1" ht="17.25" hidden="1" customHeight="1" x14ac:dyDescent="0.2">
      <c r="A160" s="1583" t="s">
        <v>1379</v>
      </c>
      <c r="B160" s="1583"/>
      <c r="C160" s="1583"/>
      <c r="D160" s="1583"/>
      <c r="E160" s="267">
        <v>1363</v>
      </c>
      <c r="F160" s="267"/>
      <c r="G160" s="267"/>
      <c r="H160" s="267"/>
      <c r="I160" s="267"/>
      <c r="J160" s="238"/>
    </row>
    <row r="161" spans="1:10" s="215" customFormat="1" ht="17.25" hidden="1" customHeight="1" x14ac:dyDescent="0.2">
      <c r="A161" s="1583" t="s">
        <v>1432</v>
      </c>
      <c r="B161" s="1583"/>
      <c r="C161" s="1583"/>
      <c r="D161" s="1583"/>
      <c r="E161" s="267">
        <v>1015</v>
      </c>
      <c r="F161" s="267"/>
      <c r="G161" s="267"/>
      <c r="H161" s="267"/>
      <c r="I161" s="267"/>
      <c r="J161" s="238"/>
    </row>
    <row r="162" spans="1:10" s="215" customFormat="1" ht="17.25" hidden="1" customHeight="1" x14ac:dyDescent="0.2">
      <c r="A162" s="1583" t="s">
        <v>1431</v>
      </c>
      <c r="B162" s="1583"/>
      <c r="C162" s="1583"/>
      <c r="D162" s="1583"/>
      <c r="E162" s="267">
        <v>1016</v>
      </c>
      <c r="F162" s="267"/>
      <c r="G162" s="267"/>
      <c r="H162" s="267"/>
      <c r="I162" s="267"/>
      <c r="J162" s="268"/>
    </row>
    <row r="163" spans="1:10" s="215" customFormat="1" ht="17.25" hidden="1" customHeight="1" x14ac:dyDescent="0.2">
      <c r="A163" s="1583" t="s">
        <v>1374</v>
      </c>
      <c r="B163" s="1583"/>
      <c r="C163" s="1583"/>
      <c r="D163" s="1583"/>
      <c r="E163" s="267">
        <v>1137</v>
      </c>
      <c r="F163" s="267"/>
      <c r="G163" s="267"/>
      <c r="H163" s="267"/>
      <c r="I163" s="267"/>
      <c r="J163" s="238"/>
    </row>
    <row r="164" spans="1:10" s="215" customFormat="1" ht="17.25" hidden="1" customHeight="1" x14ac:dyDescent="0.2">
      <c r="A164" s="1583" t="s">
        <v>1367</v>
      </c>
      <c r="B164" s="1583"/>
      <c r="C164" s="1583"/>
      <c r="D164" s="1583"/>
      <c r="E164" s="267">
        <v>1022</v>
      </c>
      <c r="F164" s="267"/>
      <c r="G164" s="267"/>
      <c r="H164" s="267"/>
      <c r="I164" s="267"/>
      <c r="J164" s="268"/>
    </row>
    <row r="165" spans="1:10" s="215" customFormat="1" ht="17.25" hidden="1" customHeight="1" x14ac:dyDescent="0.2">
      <c r="A165" s="1583" t="s">
        <v>1376</v>
      </c>
      <c r="B165" s="1583"/>
      <c r="C165" s="1583"/>
      <c r="D165" s="1583"/>
      <c r="E165" s="267">
        <v>1171</v>
      </c>
      <c r="F165" s="267"/>
      <c r="G165" s="267"/>
      <c r="H165" s="267"/>
      <c r="I165" s="267"/>
      <c r="J165" s="238"/>
    </row>
    <row r="166" spans="1:10" s="215" customFormat="1" ht="17.25" hidden="1" customHeight="1" x14ac:dyDescent="0.2">
      <c r="A166" s="1583" t="s">
        <v>1377</v>
      </c>
      <c r="B166" s="1583"/>
      <c r="C166" s="1583"/>
      <c r="D166" s="1583"/>
      <c r="E166" s="267" t="s">
        <v>1694</v>
      </c>
      <c r="F166" s="267"/>
      <c r="G166" s="267"/>
      <c r="H166" s="267"/>
      <c r="I166" s="267"/>
      <c r="J166" s="268"/>
    </row>
    <row r="167" spans="1:10" s="215" customFormat="1" ht="17.25" hidden="1" customHeight="1" x14ac:dyDescent="0.2">
      <c r="A167" s="1583" t="s">
        <v>1375</v>
      </c>
      <c r="B167" s="1583"/>
      <c r="C167" s="1583"/>
      <c r="D167" s="1583"/>
      <c r="E167" s="267">
        <v>1101</v>
      </c>
      <c r="F167" s="267"/>
      <c r="G167" s="267"/>
      <c r="H167" s="267"/>
      <c r="I167" s="267"/>
      <c r="J167" s="238"/>
    </row>
    <row r="168" spans="1:10" s="215" customFormat="1" ht="17.25" hidden="1" customHeight="1" x14ac:dyDescent="0.2">
      <c r="A168" s="1583" t="s">
        <v>1433</v>
      </c>
      <c r="B168" s="1583"/>
      <c r="C168" s="1583"/>
      <c r="D168" s="1583"/>
      <c r="E168" s="267">
        <v>1024</v>
      </c>
      <c r="F168" s="267"/>
      <c r="G168" s="267"/>
      <c r="H168" s="267"/>
      <c r="I168" s="267"/>
      <c r="J168" s="268"/>
    </row>
    <row r="169" spans="1:10" s="215" customFormat="1" ht="17.25" hidden="1" customHeight="1" x14ac:dyDescent="0.2">
      <c r="A169" s="1583" t="s">
        <v>1434</v>
      </c>
      <c r="B169" s="1583"/>
      <c r="C169" s="1583"/>
      <c r="D169" s="1583"/>
      <c r="E169" s="267">
        <v>1044</v>
      </c>
      <c r="F169" s="267"/>
      <c r="G169" s="267"/>
      <c r="H169" s="267"/>
      <c r="I169" s="267"/>
      <c r="J169" s="238"/>
    </row>
    <row r="170" spans="1:10" s="215" customFormat="1" ht="12" hidden="1" x14ac:dyDescent="0.2">
      <c r="A170" s="1583" t="s">
        <v>1435</v>
      </c>
      <c r="B170" s="1583"/>
      <c r="C170" s="1583"/>
      <c r="D170" s="1583"/>
      <c r="E170" s="267">
        <v>1151</v>
      </c>
      <c r="F170" s="267"/>
      <c r="G170" s="267"/>
      <c r="H170" s="267"/>
      <c r="I170" s="267"/>
      <c r="J170" s="238" t="s">
        <v>1491</v>
      </c>
    </row>
    <row r="171" spans="1:10" s="215" customFormat="1" ht="17.25" hidden="1" customHeight="1" x14ac:dyDescent="0.2">
      <c r="A171" s="1583" t="s">
        <v>1372</v>
      </c>
      <c r="B171" s="1583"/>
      <c r="C171" s="1583"/>
      <c r="D171" s="1583"/>
      <c r="E171" s="267">
        <v>1141</v>
      </c>
      <c r="F171" s="267"/>
      <c r="G171" s="267"/>
      <c r="H171" s="267"/>
      <c r="I171" s="267"/>
      <c r="J171" s="238"/>
    </row>
    <row r="172" spans="1:10" s="215" customFormat="1" ht="26.25" hidden="1" customHeight="1" x14ac:dyDescent="0.2">
      <c r="A172" s="1583" t="s">
        <v>1378</v>
      </c>
      <c r="B172" s="1583"/>
      <c r="C172" s="1583"/>
      <c r="D172" s="1583"/>
      <c r="E172" s="267">
        <v>1355</v>
      </c>
      <c r="F172" s="267"/>
      <c r="G172" s="267"/>
      <c r="H172" s="267"/>
      <c r="I172" s="267"/>
      <c r="J172" s="238"/>
    </row>
    <row r="173" spans="1:10" s="215" customFormat="1" ht="24.75" hidden="1" customHeight="1" x14ac:dyDescent="0.2">
      <c r="A173" s="1583" t="s">
        <v>1368</v>
      </c>
      <c r="B173" s="1583"/>
      <c r="C173" s="1583"/>
      <c r="D173" s="1583"/>
      <c r="E173" s="267">
        <v>1063</v>
      </c>
      <c r="F173" s="267"/>
      <c r="G173" s="267"/>
      <c r="H173" s="267"/>
      <c r="I173" s="267"/>
      <c r="J173" s="238"/>
    </row>
    <row r="174" spans="1:10" s="215" customFormat="1" ht="48" hidden="1" x14ac:dyDescent="0.2">
      <c r="A174" s="1583" t="s">
        <v>1437</v>
      </c>
      <c r="B174" s="1583"/>
      <c r="C174" s="1583"/>
      <c r="D174" s="1583"/>
      <c r="E174" s="267" t="s">
        <v>1366</v>
      </c>
      <c r="F174" s="267"/>
      <c r="G174" s="267"/>
      <c r="H174" s="267"/>
      <c r="I174" s="267"/>
      <c r="J174" s="238" t="s">
        <v>1436</v>
      </c>
    </row>
    <row r="175" spans="1:10" s="215" customFormat="1" ht="17.25" hidden="1" customHeight="1" x14ac:dyDescent="0.2">
      <c r="A175" s="1583" t="s">
        <v>1373</v>
      </c>
      <c r="B175" s="1583"/>
      <c r="C175" s="1583"/>
      <c r="D175" s="1583"/>
      <c r="E175" s="267">
        <v>1116</v>
      </c>
      <c r="F175" s="267"/>
      <c r="G175" s="267"/>
      <c r="H175" s="267"/>
      <c r="I175" s="267"/>
      <c r="J175" s="238"/>
    </row>
    <row r="176" spans="1:10" s="215" customFormat="1" ht="17.25" hidden="1" customHeight="1" x14ac:dyDescent="0.2">
      <c r="A176" s="1583" t="s">
        <v>1365</v>
      </c>
      <c r="B176" s="1583"/>
      <c r="C176" s="1583"/>
      <c r="D176" s="1583"/>
      <c r="E176" s="267">
        <v>1176</v>
      </c>
      <c r="F176" s="267"/>
      <c r="G176" s="267"/>
      <c r="H176" s="267"/>
      <c r="I176" s="267"/>
      <c r="J176" s="238"/>
    </row>
    <row r="177" spans="1:10" s="17" customFormat="1" x14ac:dyDescent="0.2">
      <c r="A177" s="1584"/>
      <c r="B177" s="1584"/>
      <c r="C177" s="1584"/>
      <c r="E177" s="1456"/>
      <c r="F177" s="1456"/>
    </row>
    <row r="178" spans="1:10" s="17" customFormat="1" ht="15" x14ac:dyDescent="0.25">
      <c r="A178" s="1571" t="s">
        <v>1513</v>
      </c>
      <c r="B178" s="1571"/>
      <c r="C178" s="1571"/>
      <c r="D178" s="1571"/>
      <c r="E178" s="1571"/>
      <c r="F178" s="1571"/>
      <c r="G178" s="1571"/>
      <c r="H178" s="1571"/>
      <c r="I178" s="1571"/>
      <c r="J178" s="1571"/>
    </row>
    <row r="179" spans="1:10" s="17" customFormat="1" x14ac:dyDescent="0.2">
      <c r="A179" s="136" t="s">
        <v>1416</v>
      </c>
      <c r="B179" s="34"/>
      <c r="D179" s="1587" t="s">
        <v>1415</v>
      </c>
      <c r="E179" s="1587"/>
      <c r="F179" s="1587"/>
      <c r="G179" s="1587"/>
      <c r="H179" s="1587"/>
      <c r="I179" s="1587"/>
      <c r="J179" s="1587"/>
    </row>
    <row r="180" spans="1:10" s="17" customFormat="1" x14ac:dyDescent="0.2">
      <c r="A180" s="1584"/>
      <c r="B180" s="1584"/>
      <c r="C180" s="1584"/>
      <c r="E180" s="1456"/>
      <c r="F180" s="1456"/>
    </row>
    <row r="181" spans="1:10" s="215" customFormat="1" ht="24" x14ac:dyDescent="0.2">
      <c r="A181" s="1579" t="s">
        <v>1300</v>
      </c>
      <c r="B181" s="1579"/>
      <c r="C181" s="1579"/>
      <c r="D181" s="1579"/>
      <c r="E181" s="275" t="s">
        <v>406</v>
      </c>
      <c r="F181" s="275" t="s">
        <v>603</v>
      </c>
      <c r="G181" s="275" t="s">
        <v>407</v>
      </c>
      <c r="H181" s="275" t="s">
        <v>408</v>
      </c>
      <c r="I181" s="275" t="s">
        <v>60</v>
      </c>
      <c r="J181" s="276" t="s">
        <v>637</v>
      </c>
    </row>
    <row r="182" spans="1:10" s="17" customFormat="1" x14ac:dyDescent="0.2">
      <c r="A182" s="1583" t="s">
        <v>1380</v>
      </c>
      <c r="B182" s="1583"/>
      <c r="C182" s="1583"/>
      <c r="D182" s="1583"/>
      <c r="E182" s="267">
        <v>1035</v>
      </c>
      <c r="F182" s="267"/>
      <c r="G182" s="267" t="s">
        <v>96</v>
      </c>
      <c r="H182" s="267"/>
      <c r="I182" s="267" t="s">
        <v>96</v>
      </c>
      <c r="J182" s="238"/>
    </row>
    <row r="183" spans="1:10" s="17" customFormat="1" x14ac:dyDescent="0.2">
      <c r="A183" s="1583" t="s">
        <v>1381</v>
      </c>
      <c r="B183" s="1583"/>
      <c r="C183" s="1583"/>
      <c r="D183" s="1583"/>
      <c r="E183" s="267">
        <v>1037</v>
      </c>
      <c r="F183" s="267"/>
      <c r="G183" s="267" t="s">
        <v>96</v>
      </c>
      <c r="H183" s="267"/>
      <c r="I183" s="267" t="s">
        <v>96</v>
      </c>
      <c r="J183" s="238"/>
    </row>
    <row r="184" spans="1:10" s="17" customFormat="1" hidden="1" x14ac:dyDescent="0.2">
      <c r="A184" s="1596" t="s">
        <v>486</v>
      </c>
      <c r="B184" s="1596"/>
      <c r="C184" s="1596"/>
      <c r="D184" s="1596"/>
      <c r="E184" s="723">
        <v>1046</v>
      </c>
      <c r="F184" s="723"/>
      <c r="G184" s="723"/>
      <c r="H184" s="723"/>
      <c r="I184" s="267" t="s">
        <v>96</v>
      </c>
      <c r="J184" s="724"/>
    </row>
    <row r="185" spans="1:10" s="17" customFormat="1" x14ac:dyDescent="0.2">
      <c r="A185" s="1583" t="s">
        <v>484</v>
      </c>
      <c r="B185" s="1583"/>
      <c r="C185" s="1583"/>
      <c r="D185" s="1583"/>
      <c r="E185" s="267">
        <v>1034</v>
      </c>
      <c r="F185" s="267"/>
      <c r="G185" s="267" t="s">
        <v>96</v>
      </c>
      <c r="H185" s="267"/>
      <c r="I185" s="267" t="s">
        <v>96</v>
      </c>
      <c r="J185" s="238"/>
    </row>
    <row r="186" spans="1:10" s="17" customFormat="1" x14ac:dyDescent="0.2">
      <c r="A186" s="1583" t="s">
        <v>485</v>
      </c>
      <c r="B186" s="1583"/>
      <c r="C186" s="1583"/>
      <c r="D186" s="1583"/>
      <c r="E186" s="267">
        <v>1036</v>
      </c>
      <c r="F186" s="267"/>
      <c r="G186" s="267" t="s">
        <v>96</v>
      </c>
      <c r="H186" s="267"/>
      <c r="I186" s="267" t="s">
        <v>96</v>
      </c>
      <c r="J186" s="238"/>
    </row>
    <row r="187" spans="1:10" s="17" customFormat="1" hidden="1" x14ac:dyDescent="0.2">
      <c r="A187" s="1596" t="s">
        <v>487</v>
      </c>
      <c r="B187" s="1596"/>
      <c r="C187" s="1596"/>
      <c r="D187" s="1596"/>
      <c r="E187" s="723">
        <v>1057</v>
      </c>
      <c r="F187" s="723"/>
      <c r="G187" s="267" t="s">
        <v>96</v>
      </c>
      <c r="H187" s="723"/>
      <c r="I187" s="267" t="s">
        <v>96</v>
      </c>
      <c r="J187" s="724"/>
    </row>
    <row r="188" spans="1:10" s="17" customFormat="1" x14ac:dyDescent="0.2">
      <c r="A188" s="1583" t="s">
        <v>1382</v>
      </c>
      <c r="B188" s="1583"/>
      <c r="C188" s="1583"/>
      <c r="D188" s="1583"/>
      <c r="E188" s="267">
        <v>1166</v>
      </c>
      <c r="F188" s="267"/>
      <c r="G188" s="267" t="s">
        <v>96</v>
      </c>
      <c r="H188" s="267"/>
      <c r="I188" s="267" t="s">
        <v>96</v>
      </c>
      <c r="J188" s="238"/>
    </row>
    <row r="189" spans="1:10" s="17" customFormat="1" hidden="1" x14ac:dyDescent="0.2">
      <c r="A189" s="1561" t="s">
        <v>1385</v>
      </c>
      <c r="B189" s="1561"/>
      <c r="C189" s="1561"/>
      <c r="D189" s="1561"/>
      <c r="E189" s="851">
        <v>1195</v>
      </c>
      <c r="F189" s="851"/>
      <c r="G189" s="851"/>
      <c r="H189" s="851"/>
      <c r="I189" s="851"/>
      <c r="J189" s="863"/>
    </row>
    <row r="190" spans="1:10" s="17" customFormat="1" hidden="1" x14ac:dyDescent="0.2">
      <c r="A190" s="1561" t="s">
        <v>488</v>
      </c>
      <c r="B190" s="1561"/>
      <c r="C190" s="1561"/>
      <c r="D190" s="1561"/>
      <c r="E190" s="851">
        <v>1047</v>
      </c>
      <c r="F190" s="851"/>
      <c r="G190" s="851"/>
      <c r="H190" s="851"/>
      <c r="I190" s="851"/>
      <c r="J190" s="863"/>
    </row>
    <row r="191" spans="1:10" s="17" customFormat="1" hidden="1" x14ac:dyDescent="0.2">
      <c r="A191" s="1561" t="s">
        <v>489</v>
      </c>
      <c r="B191" s="1561"/>
      <c r="C191" s="1561"/>
      <c r="D191" s="1561"/>
      <c r="E191" s="851">
        <v>1048</v>
      </c>
      <c r="F191" s="851"/>
      <c r="G191" s="851"/>
      <c r="H191" s="851"/>
      <c r="I191" s="851"/>
      <c r="J191" s="863"/>
    </row>
    <row r="192" spans="1:10" s="17" customFormat="1" hidden="1" x14ac:dyDescent="0.2">
      <c r="A192" s="1561" t="s">
        <v>1383</v>
      </c>
      <c r="B192" s="1561"/>
      <c r="C192" s="1561"/>
      <c r="D192" s="1561"/>
      <c r="E192" s="851">
        <v>1049</v>
      </c>
      <c r="F192" s="851"/>
      <c r="G192" s="851"/>
      <c r="H192" s="851"/>
      <c r="I192" s="851"/>
      <c r="J192" s="863"/>
    </row>
    <row r="193" spans="1:10" s="17" customFormat="1" hidden="1" x14ac:dyDescent="0.2">
      <c r="A193" s="1561" t="s">
        <v>1384</v>
      </c>
      <c r="B193" s="1561"/>
      <c r="C193" s="1561"/>
      <c r="D193" s="1561"/>
      <c r="E193" s="851">
        <v>1050</v>
      </c>
      <c r="F193" s="851"/>
      <c r="G193" s="851"/>
      <c r="H193" s="851"/>
      <c r="I193" s="851"/>
      <c r="J193" s="863"/>
    </row>
    <row r="194" spans="1:10" s="17" customFormat="1" hidden="1" x14ac:dyDescent="0.2">
      <c r="A194" s="1561" t="s">
        <v>1386</v>
      </c>
      <c r="B194" s="1561"/>
      <c r="C194" s="1561"/>
      <c r="D194" s="1561"/>
      <c r="E194" s="851">
        <v>1300</v>
      </c>
      <c r="F194" s="851"/>
      <c r="G194" s="851"/>
      <c r="H194" s="851"/>
      <c r="I194" s="851"/>
      <c r="J194" s="863"/>
    </row>
    <row r="195" spans="1:10" s="17" customFormat="1" hidden="1" x14ac:dyDescent="0.2">
      <c r="A195" s="1561" t="s">
        <v>1387</v>
      </c>
      <c r="B195" s="1561"/>
      <c r="C195" s="1561"/>
      <c r="D195" s="1561"/>
      <c r="E195" s="851">
        <v>1296</v>
      </c>
      <c r="F195" s="851"/>
      <c r="G195" s="851"/>
      <c r="H195" s="851"/>
      <c r="I195" s="851"/>
      <c r="J195" s="863"/>
    </row>
    <row r="196" spans="1:10" s="17" customFormat="1" hidden="1" x14ac:dyDescent="0.2">
      <c r="A196" s="1561" t="s">
        <v>1388</v>
      </c>
      <c r="B196" s="1561"/>
      <c r="C196" s="1561"/>
      <c r="D196" s="1561"/>
      <c r="E196" s="851">
        <v>1077</v>
      </c>
      <c r="F196" s="851"/>
      <c r="G196" s="851"/>
      <c r="H196" s="851"/>
      <c r="I196" s="851"/>
      <c r="J196" s="863"/>
    </row>
    <row r="197" spans="1:10" s="17" customFormat="1" hidden="1" x14ac:dyDescent="0.2">
      <c r="A197" s="1561" t="s">
        <v>490</v>
      </c>
      <c r="B197" s="1561"/>
      <c r="C197" s="1561"/>
      <c r="D197" s="1561"/>
      <c r="E197" s="851">
        <v>1083</v>
      </c>
      <c r="F197" s="851"/>
      <c r="G197" s="851"/>
      <c r="H197" s="851"/>
      <c r="I197" s="851"/>
      <c r="J197" s="863"/>
    </row>
    <row r="198" spans="1:10" s="17" customFormat="1" hidden="1" x14ac:dyDescent="0.2">
      <c r="A198" s="1561" t="s">
        <v>491</v>
      </c>
      <c r="B198" s="1561"/>
      <c r="C198" s="1561"/>
      <c r="D198" s="1561"/>
      <c r="E198" s="851">
        <v>1095</v>
      </c>
      <c r="F198" s="851"/>
      <c r="G198" s="851"/>
      <c r="H198" s="851"/>
      <c r="I198" s="851"/>
      <c r="J198" s="863"/>
    </row>
    <row r="199" spans="1:10" s="17" customFormat="1" hidden="1" x14ac:dyDescent="0.2">
      <c r="A199" s="1561" t="s">
        <v>1389</v>
      </c>
      <c r="B199" s="1561"/>
      <c r="C199" s="1561"/>
      <c r="D199" s="1561"/>
      <c r="E199" s="851">
        <v>1246</v>
      </c>
      <c r="F199" s="851"/>
      <c r="G199" s="851"/>
      <c r="H199" s="851"/>
      <c r="I199" s="851"/>
      <c r="J199" s="863"/>
    </row>
    <row r="200" spans="1:10" s="17" customFormat="1" x14ac:dyDescent="0.2">
      <c r="A200" s="1584"/>
      <c r="B200" s="1584"/>
      <c r="C200" s="1584"/>
      <c r="E200" s="1456"/>
      <c r="F200" s="1456"/>
    </row>
    <row r="201" spans="1:10" s="17" customFormat="1" ht="15" x14ac:dyDescent="0.25">
      <c r="A201" s="274" t="s">
        <v>1514</v>
      </c>
      <c r="B201" s="34"/>
      <c r="C201" s="34"/>
      <c r="D201" s="34"/>
      <c r="E201" s="34"/>
      <c r="F201" s="34"/>
      <c r="G201" s="34"/>
    </row>
    <row r="202" spans="1:10" s="17" customFormat="1" x14ac:dyDescent="0.2">
      <c r="A202" s="136" t="s">
        <v>1416</v>
      </c>
      <c r="B202" s="34"/>
      <c r="D202" s="1292" t="s">
        <v>1418</v>
      </c>
      <c r="E202" s="1292"/>
      <c r="F202" s="1292"/>
      <c r="G202" s="1292"/>
      <c r="H202" s="1292"/>
      <c r="I202" s="1292"/>
      <c r="J202" s="1292"/>
    </row>
    <row r="203" spans="1:10" s="17" customFormat="1" x14ac:dyDescent="0.2">
      <c r="A203" s="136"/>
      <c r="B203" s="34"/>
      <c r="D203" s="102"/>
      <c r="E203" s="102"/>
      <c r="F203" s="102"/>
      <c r="G203" s="102"/>
      <c r="H203" s="102"/>
      <c r="I203" s="102"/>
      <c r="J203" s="102"/>
    </row>
    <row r="204" spans="1:10" s="215" customFormat="1" ht="26.25" customHeight="1" x14ac:dyDescent="0.2">
      <c r="A204" s="1579" t="s">
        <v>1300</v>
      </c>
      <c r="B204" s="1579"/>
      <c r="C204" s="1579"/>
      <c r="D204" s="1579"/>
      <c r="E204" s="275" t="s">
        <v>406</v>
      </c>
      <c r="F204" s="275" t="s">
        <v>603</v>
      </c>
      <c r="G204" s="275" t="s">
        <v>407</v>
      </c>
      <c r="H204" s="275" t="s">
        <v>408</v>
      </c>
      <c r="I204" s="275" t="s">
        <v>60</v>
      </c>
      <c r="J204" s="276" t="s">
        <v>637</v>
      </c>
    </row>
    <row r="205" spans="1:10" ht="17.25" hidden="1" customHeight="1" x14ac:dyDescent="0.2">
      <c r="A205" s="1583" t="s">
        <v>1390</v>
      </c>
      <c r="B205" s="1583"/>
      <c r="C205" s="1583"/>
      <c r="D205" s="1583"/>
      <c r="E205" s="267">
        <v>1298</v>
      </c>
      <c r="F205" s="267"/>
      <c r="G205" s="267"/>
      <c r="H205" s="267"/>
      <c r="I205" s="267"/>
      <c r="J205" s="238"/>
    </row>
    <row r="206" spans="1:10" ht="17.25" hidden="1" customHeight="1" x14ac:dyDescent="0.2">
      <c r="A206" s="1583" t="s">
        <v>1391</v>
      </c>
      <c r="B206" s="1583"/>
      <c r="C206" s="1583"/>
      <c r="D206" s="1583"/>
      <c r="E206" s="267">
        <v>1308</v>
      </c>
      <c r="F206" s="267"/>
      <c r="G206" s="267"/>
      <c r="H206" s="267"/>
      <c r="I206" s="267"/>
      <c r="J206" s="238"/>
    </row>
    <row r="207" spans="1:10" ht="17.25" hidden="1" customHeight="1" x14ac:dyDescent="0.2">
      <c r="A207" s="1583" t="s">
        <v>1392</v>
      </c>
      <c r="B207" s="1583"/>
      <c r="C207" s="1583"/>
      <c r="D207" s="1583"/>
      <c r="E207" s="267">
        <v>1107</v>
      </c>
      <c r="F207" s="267"/>
      <c r="G207" s="267"/>
      <c r="H207" s="267"/>
      <c r="I207" s="267"/>
      <c r="J207" s="238"/>
    </row>
    <row r="208" spans="1:10" ht="17.25" hidden="1" customHeight="1" x14ac:dyDescent="0.2">
      <c r="A208" s="1583" t="s">
        <v>1393</v>
      </c>
      <c r="B208" s="1583"/>
      <c r="C208" s="1583"/>
      <c r="D208" s="1583"/>
      <c r="E208" s="267">
        <v>1108</v>
      </c>
      <c r="F208" s="267"/>
      <c r="G208" s="267"/>
      <c r="H208" s="267"/>
      <c r="I208" s="267"/>
      <c r="J208" s="238"/>
    </row>
    <row r="209" spans="1:10" ht="17.25" hidden="1" customHeight="1" x14ac:dyDescent="0.2">
      <c r="A209" s="1583" t="s">
        <v>1394</v>
      </c>
      <c r="B209" s="1583"/>
      <c r="C209" s="1583"/>
      <c r="D209" s="1583"/>
      <c r="E209" s="267">
        <v>1188</v>
      </c>
      <c r="F209" s="267"/>
      <c r="G209" s="267"/>
      <c r="H209" s="267"/>
      <c r="I209" s="267"/>
      <c r="J209" s="238"/>
    </row>
    <row r="210" spans="1:10" ht="17.25" hidden="1" customHeight="1" x14ac:dyDescent="0.2">
      <c r="A210" s="1583" t="s">
        <v>482</v>
      </c>
      <c r="B210" s="1583"/>
      <c r="C210" s="1583"/>
      <c r="D210" s="1583"/>
      <c r="E210" s="267">
        <v>1340</v>
      </c>
      <c r="F210" s="267"/>
      <c r="G210" s="267"/>
      <c r="H210" s="267"/>
      <c r="I210" s="267"/>
      <c r="J210" s="238"/>
    </row>
    <row r="211" spans="1:10" s="15" customFormat="1" ht="17.25" hidden="1" customHeight="1" x14ac:dyDescent="0.2">
      <c r="A211" s="1586" t="s">
        <v>1395</v>
      </c>
      <c r="B211" s="1586"/>
      <c r="C211" s="1586"/>
      <c r="D211" s="1586"/>
      <c r="E211" s="269">
        <v>1130</v>
      </c>
      <c r="F211" s="269"/>
      <c r="G211" s="269"/>
      <c r="H211" s="269"/>
      <c r="I211" s="269"/>
      <c r="J211" s="266"/>
    </row>
    <row r="212" spans="1:10" s="15" customFormat="1" ht="17.25" hidden="1" customHeight="1" x14ac:dyDescent="0.2">
      <c r="A212" s="1586" t="s">
        <v>1396</v>
      </c>
      <c r="B212" s="1586"/>
      <c r="C212" s="1586"/>
      <c r="D212" s="1586"/>
      <c r="E212" s="269">
        <v>1208</v>
      </c>
      <c r="F212" s="269"/>
      <c r="G212" s="269"/>
      <c r="H212" s="269"/>
      <c r="I212" s="269"/>
      <c r="J212" s="266"/>
    </row>
    <row r="213" spans="1:10" s="15" customFormat="1" ht="17.25" customHeight="1" x14ac:dyDescent="0.2">
      <c r="A213" s="1586" t="s">
        <v>1397</v>
      </c>
      <c r="B213" s="1586"/>
      <c r="C213" s="1586"/>
      <c r="D213" s="1586"/>
      <c r="E213" s="269">
        <v>1207</v>
      </c>
      <c r="F213" s="269" t="s">
        <v>96</v>
      </c>
      <c r="G213" s="269" t="s">
        <v>96</v>
      </c>
      <c r="H213" s="269" t="s">
        <v>96</v>
      </c>
      <c r="I213" s="269" t="s">
        <v>96</v>
      </c>
      <c r="J213" s="266"/>
    </row>
    <row r="214" spans="1:10" ht="25.5" customHeight="1" x14ac:dyDescent="0.2">
      <c r="A214" s="256"/>
      <c r="B214" s="256"/>
      <c r="C214" s="256"/>
      <c r="D214" s="264"/>
      <c r="E214" s="265"/>
      <c r="F214" s="265"/>
      <c r="G214" s="264"/>
      <c r="H214" s="264"/>
      <c r="I214" s="264"/>
      <c r="J214" s="264"/>
    </row>
    <row r="215" spans="1:10" s="17" customFormat="1" ht="15" x14ac:dyDescent="0.25">
      <c r="A215" s="274" t="s">
        <v>1827</v>
      </c>
      <c r="B215" s="34"/>
      <c r="C215" s="34"/>
      <c r="D215" s="34"/>
      <c r="E215" s="34"/>
      <c r="F215" s="34"/>
      <c r="G215" s="34"/>
    </row>
    <row r="216" spans="1:10" s="17" customFormat="1" x14ac:dyDescent="0.2">
      <c r="A216" s="136" t="s">
        <v>1416</v>
      </c>
      <c r="B216" s="34"/>
      <c r="D216" s="1292" t="s">
        <v>1419</v>
      </c>
      <c r="E216" s="1292"/>
      <c r="F216" s="1292"/>
      <c r="G216" s="1292"/>
      <c r="H216" s="1292"/>
      <c r="I216" s="1292"/>
      <c r="J216" s="1292"/>
    </row>
    <row r="217" spans="1:10" s="17" customFormat="1" x14ac:dyDescent="0.2">
      <c r="A217" s="136"/>
      <c r="B217" s="34"/>
      <c r="D217" s="102"/>
      <c r="E217" s="102"/>
      <c r="F217" s="102"/>
      <c r="G217" s="102"/>
      <c r="H217" s="102"/>
      <c r="I217" s="102"/>
      <c r="J217" s="102"/>
    </row>
    <row r="218" spans="1:10" s="215" customFormat="1" ht="26.25" customHeight="1" x14ac:dyDescent="0.2">
      <c r="A218" s="1579" t="s">
        <v>1300</v>
      </c>
      <c r="B218" s="1579"/>
      <c r="C218" s="1579"/>
      <c r="D218" s="1579"/>
      <c r="E218" s="275" t="s">
        <v>406</v>
      </c>
      <c r="F218" s="275" t="s">
        <v>603</v>
      </c>
      <c r="G218" s="275" t="s">
        <v>407</v>
      </c>
      <c r="H218" s="275" t="s">
        <v>408</v>
      </c>
      <c r="I218" s="275" t="s">
        <v>1487</v>
      </c>
      <c r="J218" s="276" t="s">
        <v>637</v>
      </c>
    </row>
    <row r="219" spans="1:10" ht="17.25" hidden="1" customHeight="1" x14ac:dyDescent="0.2">
      <c r="A219" s="1583" t="s">
        <v>1405</v>
      </c>
      <c r="B219" s="1583"/>
      <c r="C219" s="1583"/>
      <c r="D219" s="1583"/>
      <c r="E219" s="267">
        <v>1089</v>
      </c>
      <c r="F219" s="267" t="s">
        <v>91</v>
      </c>
      <c r="G219" s="267" t="s">
        <v>91</v>
      </c>
      <c r="H219" s="267" t="s">
        <v>96</v>
      </c>
      <c r="I219" s="267" t="s">
        <v>96</v>
      </c>
      <c r="J219" s="238" t="s">
        <v>1311</v>
      </c>
    </row>
    <row r="220" spans="1:10" ht="17.25" hidden="1" customHeight="1" x14ac:dyDescent="0.2">
      <c r="A220" s="1583" t="s">
        <v>1439</v>
      </c>
      <c r="B220" s="1583"/>
      <c r="C220" s="1583"/>
      <c r="D220" s="1583"/>
      <c r="E220" s="267">
        <v>1122</v>
      </c>
      <c r="F220" s="267" t="s">
        <v>91</v>
      </c>
      <c r="G220" s="267" t="s">
        <v>91</v>
      </c>
      <c r="H220" s="267"/>
      <c r="I220" s="267"/>
      <c r="J220" s="238"/>
    </row>
    <row r="221" spans="1:10" ht="17.25" hidden="1" customHeight="1" x14ac:dyDescent="0.2">
      <c r="A221" s="1583" t="s">
        <v>1440</v>
      </c>
      <c r="B221" s="1583"/>
      <c r="C221" s="1583"/>
      <c r="D221" s="1583"/>
      <c r="E221" s="267">
        <v>1123</v>
      </c>
      <c r="F221" s="267" t="s">
        <v>91</v>
      </c>
      <c r="G221" s="267" t="s">
        <v>91</v>
      </c>
      <c r="H221" s="267"/>
      <c r="I221" s="267"/>
      <c r="J221" s="238"/>
    </row>
    <row r="222" spans="1:10" ht="17.25" hidden="1" customHeight="1" x14ac:dyDescent="0.2">
      <c r="A222" s="1583" t="s">
        <v>1441</v>
      </c>
      <c r="B222" s="1583"/>
      <c r="C222" s="1583"/>
      <c r="D222" s="1583"/>
      <c r="E222" s="267">
        <v>1124</v>
      </c>
      <c r="F222" s="267" t="s">
        <v>91</v>
      </c>
      <c r="G222" s="267" t="s">
        <v>91</v>
      </c>
      <c r="H222" s="267"/>
      <c r="I222" s="267"/>
      <c r="J222" s="238"/>
    </row>
    <row r="223" spans="1:10" ht="17.25" hidden="1" customHeight="1" x14ac:dyDescent="0.2">
      <c r="A223" s="1583" t="s">
        <v>1442</v>
      </c>
      <c r="B223" s="1583"/>
      <c r="C223" s="1583"/>
      <c r="D223" s="1583"/>
      <c r="E223" s="267">
        <v>1168</v>
      </c>
      <c r="F223" s="267" t="s">
        <v>91</v>
      </c>
      <c r="G223" s="267" t="s">
        <v>91</v>
      </c>
      <c r="H223" s="267"/>
      <c r="I223" s="267"/>
      <c r="J223" s="238"/>
    </row>
    <row r="224" spans="1:10" ht="17.25" hidden="1" customHeight="1" x14ac:dyDescent="0.2">
      <c r="A224" s="1583" t="s">
        <v>1443</v>
      </c>
      <c r="B224" s="1583"/>
      <c r="C224" s="1583"/>
      <c r="D224" s="1583"/>
      <c r="E224" s="267">
        <v>1215</v>
      </c>
      <c r="F224" s="267" t="s">
        <v>91</v>
      </c>
      <c r="G224" s="267" t="s">
        <v>91</v>
      </c>
      <c r="H224" s="267"/>
      <c r="I224" s="267"/>
      <c r="J224" s="238"/>
    </row>
    <row r="225" spans="1:10" x14ac:dyDescent="0.2">
      <c r="A225" s="1584"/>
      <c r="B225" s="1584"/>
      <c r="C225" s="1584"/>
    </row>
    <row r="226" spans="1:10" s="17" customFormat="1" ht="15" x14ac:dyDescent="0.25">
      <c r="A226" s="274" t="s">
        <v>1515</v>
      </c>
      <c r="B226" s="34"/>
      <c r="C226" s="34"/>
      <c r="D226" s="34"/>
      <c r="E226" s="34"/>
      <c r="F226" s="34"/>
      <c r="G226" s="34"/>
    </row>
    <row r="227" spans="1:10" s="17" customFormat="1" x14ac:dyDescent="0.2">
      <c r="A227" s="136"/>
      <c r="B227" s="34"/>
      <c r="D227" s="102"/>
      <c r="E227" s="102"/>
      <c r="F227" s="102"/>
      <c r="G227" s="102"/>
      <c r="H227" s="102"/>
      <c r="I227" s="102"/>
      <c r="J227" s="102"/>
    </row>
    <row r="228" spans="1:10" s="15" customFormat="1" ht="24" customHeight="1" x14ac:dyDescent="0.2">
      <c r="A228" s="1572" t="s">
        <v>1300</v>
      </c>
      <c r="B228" s="1573"/>
      <c r="C228" s="1573"/>
      <c r="D228" s="1574"/>
      <c r="E228" s="275" t="s">
        <v>406</v>
      </c>
      <c r="F228" s="275" t="s">
        <v>603</v>
      </c>
      <c r="G228" s="275" t="s">
        <v>407</v>
      </c>
      <c r="H228" s="275" t="s">
        <v>408</v>
      </c>
      <c r="I228" s="275" t="s">
        <v>60</v>
      </c>
      <c r="J228" s="276" t="s">
        <v>637</v>
      </c>
    </row>
    <row r="229" spans="1:10" s="215" customFormat="1" ht="17.25" customHeight="1" x14ac:dyDescent="0.2">
      <c r="A229" s="1562" t="s">
        <v>1427</v>
      </c>
      <c r="B229" s="1563"/>
      <c r="C229" s="1563"/>
      <c r="D229" s="1564"/>
      <c r="E229" s="267">
        <v>1061</v>
      </c>
      <c r="F229" s="267"/>
      <c r="G229" s="267"/>
      <c r="H229" s="267"/>
      <c r="I229" s="267"/>
      <c r="J229" s="266" t="s">
        <v>1355</v>
      </c>
    </row>
    <row r="230" spans="1:10" s="215" customFormat="1" ht="24.75" customHeight="1" x14ac:dyDescent="0.2">
      <c r="A230" s="1580" t="s">
        <v>1407</v>
      </c>
      <c r="B230" s="1581"/>
      <c r="C230" s="1581"/>
      <c r="D230" s="1582"/>
      <c r="E230" s="269">
        <v>1358</v>
      </c>
      <c r="F230" s="269"/>
      <c r="G230" s="269"/>
      <c r="H230" s="269"/>
      <c r="I230" s="269"/>
      <c r="J230" s="266" t="s">
        <v>1355</v>
      </c>
    </row>
    <row r="231" spans="1:10" s="215" customFormat="1" ht="17.25" customHeight="1" x14ac:dyDescent="0.2">
      <c r="A231" s="1580" t="s">
        <v>1406</v>
      </c>
      <c r="B231" s="1581"/>
      <c r="C231" s="1581"/>
      <c r="D231" s="1582"/>
      <c r="E231" s="269">
        <v>1357</v>
      </c>
      <c r="F231" s="269"/>
      <c r="G231" s="269"/>
      <c r="H231" s="269"/>
      <c r="I231" s="269"/>
      <c r="J231" s="266" t="s">
        <v>1355</v>
      </c>
    </row>
    <row r="232" spans="1:10" s="215" customFormat="1" ht="17.25" customHeight="1" x14ac:dyDescent="0.2">
      <c r="A232" s="1580" t="s">
        <v>1398</v>
      </c>
      <c r="B232" s="1581"/>
      <c r="C232" s="1581"/>
      <c r="D232" s="1582"/>
      <c r="E232" s="269">
        <v>1235</v>
      </c>
      <c r="F232" s="269"/>
      <c r="G232" s="269"/>
      <c r="H232" s="269"/>
      <c r="I232" s="269"/>
      <c r="J232" s="266" t="s">
        <v>1355</v>
      </c>
    </row>
    <row r="233" spans="1:10" s="215" customFormat="1" ht="17.25" customHeight="1" x14ac:dyDescent="0.2">
      <c r="A233" s="1580" t="s">
        <v>1400</v>
      </c>
      <c r="B233" s="1581"/>
      <c r="C233" s="1581"/>
      <c r="D233" s="1582"/>
      <c r="E233" s="269">
        <v>1052</v>
      </c>
      <c r="F233" s="269"/>
      <c r="G233" s="269"/>
      <c r="H233" s="269"/>
      <c r="I233" s="269"/>
      <c r="J233" s="266" t="s">
        <v>1355</v>
      </c>
    </row>
    <row r="234" spans="1:10" s="15" customFormat="1" ht="17.25" customHeight="1" x14ac:dyDescent="0.2">
      <c r="A234" s="1580" t="s">
        <v>1399</v>
      </c>
      <c r="B234" s="1581"/>
      <c r="C234" s="1581"/>
      <c r="D234" s="1582"/>
      <c r="E234" s="269">
        <v>1185</v>
      </c>
      <c r="F234" s="269"/>
      <c r="G234" s="269"/>
      <c r="H234" s="269"/>
      <c r="I234" s="269"/>
      <c r="J234" s="266" t="s">
        <v>1355</v>
      </c>
    </row>
    <row r="235" spans="1:10" s="15" customFormat="1" ht="17.25" customHeight="1" x14ac:dyDescent="0.2">
      <c r="A235" s="1562" t="s">
        <v>1428</v>
      </c>
      <c r="B235" s="1563"/>
      <c r="C235" s="1563"/>
      <c r="D235" s="1564"/>
      <c r="E235" s="267">
        <v>1041</v>
      </c>
      <c r="F235" s="267"/>
      <c r="G235" s="267"/>
      <c r="H235" s="267"/>
      <c r="I235" s="267"/>
      <c r="J235" s="266" t="s">
        <v>1355</v>
      </c>
    </row>
    <row r="236" spans="1:10" s="15" customFormat="1" ht="17.25" customHeight="1" x14ac:dyDescent="0.2">
      <c r="A236" s="1562" t="s">
        <v>1429</v>
      </c>
      <c r="B236" s="1563"/>
      <c r="C236" s="1563"/>
      <c r="D236" s="1564"/>
      <c r="E236" s="267">
        <v>1042</v>
      </c>
      <c r="F236" s="267"/>
      <c r="G236" s="267"/>
      <c r="H236" s="267"/>
      <c r="I236" s="267"/>
      <c r="J236" s="266" t="s">
        <v>1355</v>
      </c>
    </row>
    <row r="237" spans="1:10" s="17" customFormat="1" ht="36" x14ac:dyDescent="0.2">
      <c r="A237" s="1583" t="s">
        <v>1310</v>
      </c>
      <c r="B237" s="1583"/>
      <c r="C237" s="1583"/>
      <c r="D237" s="1583"/>
      <c r="E237" s="267">
        <v>1055</v>
      </c>
      <c r="F237" s="267"/>
      <c r="G237" s="267" t="s">
        <v>96</v>
      </c>
      <c r="H237" s="267" t="s">
        <v>96</v>
      </c>
      <c r="I237" s="267"/>
      <c r="J237" s="238" t="s">
        <v>1494</v>
      </c>
    </row>
    <row r="238" spans="1:10" s="15" customFormat="1" ht="17.25" customHeight="1" x14ac:dyDescent="0.2">
      <c r="A238" s="1562" t="s">
        <v>1356</v>
      </c>
      <c r="B238" s="1563"/>
      <c r="C238" s="1563"/>
      <c r="D238" s="1564"/>
      <c r="E238" s="267">
        <v>1339</v>
      </c>
      <c r="F238" s="267"/>
      <c r="G238" s="267"/>
      <c r="H238" s="267"/>
      <c r="I238" s="267"/>
      <c r="J238" s="266" t="s">
        <v>1355</v>
      </c>
    </row>
    <row r="239" spans="1:10" s="15" customFormat="1" ht="17.25" customHeight="1" x14ac:dyDescent="0.2">
      <c r="A239" s="1580" t="s">
        <v>1371</v>
      </c>
      <c r="B239" s="1581"/>
      <c r="C239" s="1581"/>
      <c r="D239" s="1582"/>
      <c r="E239" s="269">
        <v>1051</v>
      </c>
      <c r="F239" s="267"/>
      <c r="G239" s="267"/>
      <c r="H239" s="267"/>
      <c r="I239" s="267"/>
      <c r="J239" s="266" t="s">
        <v>1355</v>
      </c>
    </row>
    <row r="240" spans="1:10" s="15" customFormat="1" ht="17.25" customHeight="1" x14ac:dyDescent="0.2">
      <c r="A240" s="1562" t="s">
        <v>1426</v>
      </c>
      <c r="B240" s="1563"/>
      <c r="C240" s="1563"/>
      <c r="D240" s="1564"/>
      <c r="E240" s="267">
        <v>1058</v>
      </c>
      <c r="F240" s="267"/>
      <c r="G240" s="267"/>
      <c r="H240" s="267"/>
      <c r="I240" s="267"/>
      <c r="J240" s="266" t="s">
        <v>1355</v>
      </c>
    </row>
    <row r="241" spans="1:10" s="15" customFormat="1" ht="17.25" customHeight="1" x14ac:dyDescent="0.2">
      <c r="A241" s="1580" t="s">
        <v>1370</v>
      </c>
      <c r="B241" s="1581"/>
      <c r="C241" s="1581"/>
      <c r="D241" s="1582"/>
      <c r="E241" s="269">
        <v>1165</v>
      </c>
      <c r="F241" s="267"/>
      <c r="G241" s="267"/>
      <c r="H241" s="267"/>
      <c r="I241" s="267"/>
      <c r="J241" s="266" t="s">
        <v>1355</v>
      </c>
    </row>
    <row r="242" spans="1:10" s="15" customFormat="1" ht="17.25" customHeight="1" x14ac:dyDescent="0.2">
      <c r="A242" s="1580" t="s">
        <v>1369</v>
      </c>
      <c r="B242" s="1581"/>
      <c r="C242" s="1581"/>
      <c r="D242" s="1582"/>
      <c r="E242" s="269">
        <v>1006</v>
      </c>
      <c r="F242" s="267"/>
      <c r="G242" s="267"/>
      <c r="H242" s="267"/>
      <c r="I242" s="267"/>
      <c r="J242" s="266" t="s">
        <v>1355</v>
      </c>
    </row>
    <row r="243" spans="1:10" s="215" customFormat="1" ht="17.25" customHeight="1" x14ac:dyDescent="0.2">
      <c r="A243" s="1580" t="s">
        <v>1403</v>
      </c>
      <c r="B243" s="1581"/>
      <c r="C243" s="1581"/>
      <c r="D243" s="1582"/>
      <c r="E243" s="269">
        <v>1181</v>
      </c>
      <c r="F243" s="269"/>
      <c r="G243" s="269"/>
      <c r="H243" s="269"/>
      <c r="I243" s="269"/>
      <c r="J243" s="266" t="s">
        <v>1355</v>
      </c>
    </row>
    <row r="244" spans="1:10" s="215" customFormat="1" ht="17.25" customHeight="1" x14ac:dyDescent="0.2">
      <c r="A244" s="1580" t="s">
        <v>1401</v>
      </c>
      <c r="B244" s="1581"/>
      <c r="C244" s="1581"/>
      <c r="D244" s="1582"/>
      <c r="E244" s="269">
        <v>1054</v>
      </c>
      <c r="F244" s="269"/>
      <c r="G244" s="269"/>
      <c r="H244" s="269"/>
      <c r="I244" s="269"/>
      <c r="J244" s="266" t="s">
        <v>1355</v>
      </c>
    </row>
    <row r="245" spans="1:10" s="215" customFormat="1" ht="17.25" customHeight="1" x14ac:dyDescent="0.2">
      <c r="A245" s="1580" t="s">
        <v>1402</v>
      </c>
      <c r="B245" s="1581"/>
      <c r="C245" s="1581"/>
      <c r="D245" s="1582"/>
      <c r="E245" s="269">
        <v>1028</v>
      </c>
      <c r="F245" s="269"/>
      <c r="G245" s="269"/>
      <c r="H245" s="269"/>
      <c r="I245" s="269"/>
      <c r="J245" s="266" t="s">
        <v>1355</v>
      </c>
    </row>
    <row r="246" spans="1:10" s="215" customFormat="1" ht="17.25" customHeight="1" x14ac:dyDescent="0.2">
      <c r="A246" s="1580" t="s">
        <v>1404</v>
      </c>
      <c r="B246" s="1581"/>
      <c r="C246" s="1581"/>
      <c r="D246" s="1582"/>
      <c r="E246" s="269">
        <v>1043</v>
      </c>
      <c r="F246" s="269"/>
      <c r="G246" s="269"/>
      <c r="H246" s="269"/>
      <c r="I246" s="269"/>
      <c r="J246" s="266" t="s">
        <v>1355</v>
      </c>
    </row>
    <row r="247" spans="1:10" s="215" customFormat="1" ht="17.25" customHeight="1" x14ac:dyDescent="0.2">
      <c r="A247" s="1580" t="s">
        <v>1438</v>
      </c>
      <c r="B247" s="1581"/>
      <c r="C247" s="1581"/>
      <c r="D247" s="1582"/>
      <c r="E247" s="269">
        <v>1056</v>
      </c>
      <c r="F247" s="267"/>
      <c r="G247" s="267"/>
      <c r="H247" s="267"/>
      <c r="I247" s="267"/>
      <c r="J247" s="266" t="s">
        <v>1355</v>
      </c>
    </row>
  </sheetData>
  <customSheetViews>
    <customSheetView guid="{4892E1C0-7A56-4F81-A857-987D77EC4462}" hiddenRows="1" topLeftCell="C1">
      <selection activeCell="B6" sqref="B6:F6"/>
      <rowBreaks count="4" manualBreakCount="4">
        <brk id="27" max="16383" man="1"/>
        <brk id="259" max="16383" man="1"/>
        <brk id="320" max="16383" man="1"/>
        <brk id="374" max="16383" man="1"/>
      </rowBreaks>
      <pageMargins left="0.7" right="0.7" top="0.75" bottom="0.75" header="0.3" footer="0.3"/>
      <pageSetup orientation="landscape" r:id="rId1"/>
      <headerFooter>
        <oddHeader>&amp;L&amp;G&amp;CShowAcronymGoesHere - PSM&amp;R&amp;P</oddHeader>
        <oddFooter>&amp;L&amp;D&amp;R&amp;Z&amp;F</oddFooter>
      </headerFooter>
    </customSheetView>
    <customSheetView guid="{C29C6423-4E3D-4B08-919E-993C7C45FC31}" hiddenRows="1" topLeftCell="C1">
      <selection activeCell="B6" sqref="B6:F6"/>
      <rowBreaks count="4" manualBreakCount="4">
        <brk id="27" max="16383" man="1"/>
        <brk id="259" max="16383" man="1"/>
        <brk id="320" max="16383" man="1"/>
        <brk id="374" max="16383" man="1"/>
      </rowBreaks>
      <pageMargins left="0.7" right="0.7" top="0.75" bottom="0.75" header="0.3" footer="0.3"/>
      <pageSetup orientation="landscape" r:id="rId2"/>
      <headerFooter>
        <oddHeader>&amp;L&amp;G&amp;CShowAcronymGoesHere - PSM&amp;R&amp;P</oddHeader>
        <oddFooter>&amp;L&amp;D&amp;R&amp;Z&amp;F</oddFooter>
      </headerFooter>
    </customSheetView>
  </customSheetViews>
  <mergeCells count="252">
    <mergeCell ref="A224:D224"/>
    <mergeCell ref="A207:D207"/>
    <mergeCell ref="E177:F177"/>
    <mergeCell ref="A242:D242"/>
    <mergeCell ref="A231:D231"/>
    <mergeCell ref="A240:D240"/>
    <mergeCell ref="A232:D232"/>
    <mergeCell ref="A228:D228"/>
    <mergeCell ref="A233:D233"/>
    <mergeCell ref="A236:D236"/>
    <mergeCell ref="A238:D238"/>
    <mergeCell ref="A239:D239"/>
    <mergeCell ref="A241:D241"/>
    <mergeCell ref="A235:D235"/>
    <mergeCell ref="A229:D229"/>
    <mergeCell ref="A234:D234"/>
    <mergeCell ref="A210:D210"/>
    <mergeCell ref="A222:D222"/>
    <mergeCell ref="A211:D211"/>
    <mergeCell ref="A225:C225"/>
    <mergeCell ref="A204:D204"/>
    <mergeCell ref="A205:D205"/>
    <mergeCell ref="A206:D206"/>
    <mergeCell ref="A191:D191"/>
    <mergeCell ref="A192:D192"/>
    <mergeCell ref="A193:D193"/>
    <mergeCell ref="E200:F200"/>
    <mergeCell ref="A218:D218"/>
    <mergeCell ref="A219:D219"/>
    <mergeCell ref="A220:D220"/>
    <mergeCell ref="A189:D189"/>
    <mergeCell ref="A194:D194"/>
    <mergeCell ref="A195:D195"/>
    <mergeCell ref="A196:D196"/>
    <mergeCell ref="A197:D197"/>
    <mergeCell ref="A198:D198"/>
    <mergeCell ref="A213:D213"/>
    <mergeCell ref="A199:D199"/>
    <mergeCell ref="A53:B53"/>
    <mergeCell ref="A54:B54"/>
    <mergeCell ref="C54:J54"/>
    <mergeCell ref="E180:F180"/>
    <mergeCell ref="A58:B58"/>
    <mergeCell ref="C58:J58"/>
    <mergeCell ref="A59:B59"/>
    <mergeCell ref="C59:J59"/>
    <mergeCell ref="A146:D146"/>
    <mergeCell ref="A131:D131"/>
    <mergeCell ref="A115:D115"/>
    <mergeCell ref="A119:D119"/>
    <mergeCell ref="A145:D145"/>
    <mergeCell ref="A173:D173"/>
    <mergeCell ref="A164:D164"/>
    <mergeCell ref="A165:D165"/>
    <mergeCell ref="A166:D166"/>
    <mergeCell ref="A167:D167"/>
    <mergeCell ref="A168:D168"/>
    <mergeCell ref="A169:D169"/>
    <mergeCell ref="A175:D175"/>
    <mergeCell ref="A129:D129"/>
    <mergeCell ref="A163:D163"/>
    <mergeCell ref="A159:D159"/>
    <mergeCell ref="D21:J21"/>
    <mergeCell ref="A14:E14"/>
    <mergeCell ref="A18:C18"/>
    <mergeCell ref="A19:C19"/>
    <mergeCell ref="A21:C21"/>
    <mergeCell ref="E36:J36"/>
    <mergeCell ref="B27:C27"/>
    <mergeCell ref="A31:C31"/>
    <mergeCell ref="E35:J35"/>
    <mergeCell ref="D31:J31"/>
    <mergeCell ref="E37:J37"/>
    <mergeCell ref="E38:J38"/>
    <mergeCell ref="E39:J39"/>
    <mergeCell ref="B37:D37"/>
    <mergeCell ref="E42:J42"/>
    <mergeCell ref="B40:J40"/>
    <mergeCell ref="E41:J41"/>
    <mergeCell ref="A184:D184"/>
    <mergeCell ref="A187:D187"/>
    <mergeCell ref="E158:F158"/>
    <mergeCell ref="A147:D147"/>
    <mergeCell ref="A149:D149"/>
    <mergeCell ref="A150:D150"/>
    <mergeCell ref="A151:D151"/>
    <mergeCell ref="A158:C158"/>
    <mergeCell ref="A152:D152"/>
    <mergeCell ref="A154:D154"/>
    <mergeCell ref="A155:C155"/>
    <mergeCell ref="E155:F155"/>
    <mergeCell ref="D157:J157"/>
    <mergeCell ref="A153:D153"/>
    <mergeCell ref="A178:J178"/>
    <mergeCell ref="A113:D113"/>
    <mergeCell ref="A130:D130"/>
    <mergeCell ref="A223:D223"/>
    <mergeCell ref="A208:D208"/>
    <mergeCell ref="A209:D209"/>
    <mergeCell ref="A243:D243"/>
    <mergeCell ref="A133:D133"/>
    <mergeCell ref="A135:D135"/>
    <mergeCell ref="A136:D136"/>
    <mergeCell ref="A137:D137"/>
    <mergeCell ref="A180:C180"/>
    <mergeCell ref="A181:D181"/>
    <mergeCell ref="A182:D182"/>
    <mergeCell ref="A185:D185"/>
    <mergeCell ref="A183:D183"/>
    <mergeCell ref="A230:D230"/>
    <mergeCell ref="A186:D186"/>
    <mergeCell ref="A170:D170"/>
    <mergeCell ref="A212:D212"/>
    <mergeCell ref="D179:J179"/>
    <mergeCell ref="D202:J202"/>
    <mergeCell ref="A188:D188"/>
    <mergeCell ref="A200:C200"/>
    <mergeCell ref="A190:D190"/>
    <mergeCell ref="D216:J216"/>
    <mergeCell ref="A221:D221"/>
    <mergeCell ref="E46:J46"/>
    <mergeCell ref="C52:J52"/>
    <mergeCell ref="A74:D74"/>
    <mergeCell ref="B42:D42"/>
    <mergeCell ref="A121:D121"/>
    <mergeCell ref="A122:D122"/>
    <mergeCell ref="A134:D134"/>
    <mergeCell ref="A247:D247"/>
    <mergeCell ref="A71:D71"/>
    <mergeCell ref="A237:D237"/>
    <mergeCell ref="A93:D93"/>
    <mergeCell ref="A94:D94"/>
    <mergeCell ref="A95:D95"/>
    <mergeCell ref="A96:D96"/>
    <mergeCell ref="A98:D98"/>
    <mergeCell ref="A97:D97"/>
    <mergeCell ref="A104:D104"/>
    <mergeCell ref="A78:D78"/>
    <mergeCell ref="A79:D79"/>
    <mergeCell ref="A80:D80"/>
    <mergeCell ref="A81:D81"/>
    <mergeCell ref="A103:D103"/>
    <mergeCell ref="A92:D92"/>
    <mergeCell ref="A160:D160"/>
    <mergeCell ref="A246:D246"/>
    <mergeCell ref="A244:D244"/>
    <mergeCell ref="A85:D85"/>
    <mergeCell ref="A99:D99"/>
    <mergeCell ref="A117:D117"/>
    <mergeCell ref="A118:D118"/>
    <mergeCell ref="A127:D127"/>
    <mergeCell ref="A116:D116"/>
    <mergeCell ref="A245:D245"/>
    <mergeCell ref="A126:D126"/>
    <mergeCell ref="A120:D120"/>
    <mergeCell ref="A123:D123"/>
    <mergeCell ref="A124:D124"/>
    <mergeCell ref="A128:D128"/>
    <mergeCell ref="A125:D125"/>
    <mergeCell ref="A142:D142"/>
    <mergeCell ref="A161:D161"/>
    <mergeCell ref="A162:D162"/>
    <mergeCell ref="A174:D174"/>
    <mergeCell ref="A177:C177"/>
    <mergeCell ref="A148:D148"/>
    <mergeCell ref="A171:D171"/>
    <mergeCell ref="A172:D172"/>
    <mergeCell ref="A176:D176"/>
    <mergeCell ref="A1:B1"/>
    <mergeCell ref="D12:J12"/>
    <mergeCell ref="A2:J2"/>
    <mergeCell ref="D18:J18"/>
    <mergeCell ref="D19:J19"/>
    <mergeCell ref="D20:J20"/>
    <mergeCell ref="A105:D105"/>
    <mergeCell ref="A106:D106"/>
    <mergeCell ref="A107:D107"/>
    <mergeCell ref="A100:D100"/>
    <mergeCell ref="A101:D101"/>
    <mergeCell ref="A102:D102"/>
    <mergeCell ref="D89:J89"/>
    <mergeCell ref="B41:D41"/>
    <mergeCell ref="E44:J44"/>
    <mergeCell ref="E45:J45"/>
    <mergeCell ref="A62:J62"/>
    <mergeCell ref="A91:D91"/>
    <mergeCell ref="A75:D75"/>
    <mergeCell ref="A76:D76"/>
    <mergeCell ref="A77:D77"/>
    <mergeCell ref="A56:B56"/>
    <mergeCell ref="A55:B55"/>
    <mergeCell ref="C55:J55"/>
    <mergeCell ref="A66:J66"/>
    <mergeCell ref="A68:D68"/>
    <mergeCell ref="A69:D69"/>
    <mergeCell ref="C56:J56"/>
    <mergeCell ref="A82:D82"/>
    <mergeCell ref="A83:D83"/>
    <mergeCell ref="A111:D111"/>
    <mergeCell ref="A112:D112"/>
    <mergeCell ref="A114:D114"/>
    <mergeCell ref="A84:D84"/>
    <mergeCell ref="A109:D109"/>
    <mergeCell ref="A110:D110"/>
    <mergeCell ref="A4:J4"/>
    <mergeCell ref="A9:C9"/>
    <mergeCell ref="B46:D46"/>
    <mergeCell ref="B44:D44"/>
    <mergeCell ref="A57:B57"/>
    <mergeCell ref="A108:D108"/>
    <mergeCell ref="A144:D144"/>
    <mergeCell ref="A138:D138"/>
    <mergeCell ref="A139:D139"/>
    <mergeCell ref="A140:D140"/>
    <mergeCell ref="A141:D141"/>
    <mergeCell ref="A86:D86"/>
    <mergeCell ref="A143:D143"/>
    <mergeCell ref="A132:D132"/>
    <mergeCell ref="A49:J49"/>
    <mergeCell ref="B34:J34"/>
    <mergeCell ref="A64:B64"/>
    <mergeCell ref="C64:J64"/>
    <mergeCell ref="A70:D70"/>
    <mergeCell ref="A72:D72"/>
    <mergeCell ref="A73:D73"/>
    <mergeCell ref="A50:F50"/>
    <mergeCell ref="A52:B52"/>
    <mergeCell ref="C53:J53"/>
    <mergeCell ref="A6:E6"/>
    <mergeCell ref="D26:J26"/>
    <mergeCell ref="B33:J33"/>
    <mergeCell ref="F22:J22"/>
    <mergeCell ref="B39:D39"/>
    <mergeCell ref="C57:J57"/>
    <mergeCell ref="A10:C10"/>
    <mergeCell ref="A11:C11"/>
    <mergeCell ref="D9:J9"/>
    <mergeCell ref="D10:J10"/>
    <mergeCell ref="D11:J11"/>
    <mergeCell ref="A12:C12"/>
    <mergeCell ref="B35:D35"/>
    <mergeCell ref="B36:D36"/>
    <mergeCell ref="A23:E23"/>
    <mergeCell ref="B38:D38"/>
    <mergeCell ref="D25:J25"/>
    <mergeCell ref="A29:E29"/>
    <mergeCell ref="D27:J27"/>
    <mergeCell ref="B26:C26"/>
    <mergeCell ref="F13:J13"/>
    <mergeCell ref="A20:C20"/>
    <mergeCell ref="B45:D45"/>
    <mergeCell ref="B43:J43"/>
  </mergeCells>
  <phoneticPr fontId="6" type="noConversion"/>
  <hyperlinks>
    <hyperlink ref="A1" location="TOC!A1" display="TOC Page"/>
    <hyperlink ref="D89" r:id="rId3"/>
    <hyperlink ref="D157" r:id="rId4"/>
    <hyperlink ref="D179" r:id="rId5"/>
    <hyperlink ref="D202" r:id="rId6"/>
    <hyperlink ref="D216" r:id="rId7"/>
    <hyperlink ref="E42" r:id="rId8"/>
  </hyperlinks>
  <pageMargins left="0.7" right="0.7" top="0.75" bottom="0.75" header="0.3" footer="0.3"/>
  <pageSetup orientation="landscape" r:id="rId9"/>
  <headerFooter>
    <oddHeader>&amp;L&amp;G&amp;CShowAcronymGoesHere - PSM&amp;R&amp;P</oddHeader>
    <oddFooter>&amp;L&amp;D&amp;R&amp;Z&amp;F</oddFooter>
  </headerFooter>
  <customProperties>
    <customPr name="DVSECTIONID" r:id="rId10"/>
  </customProperties>
  <legacyDrawingHF r:id="rId1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theme="0" tint="-0.14999847407452621"/>
  </sheetPr>
  <dimension ref="A1:N150"/>
  <sheetViews>
    <sheetView zoomScaleNormal="100" workbookViewId="0">
      <pane ySplit="1" topLeftCell="A31" activePane="bottomLeft" state="frozen"/>
      <selection pane="bottomLeft" activeCell="S59" sqref="S59"/>
    </sheetView>
  </sheetViews>
  <sheetFormatPr defaultColWidth="9.140625" defaultRowHeight="12.75" x14ac:dyDescent="0.2"/>
  <cols>
    <col min="1" max="2" width="9.140625" style="17"/>
    <col min="3" max="3" width="9.140625" style="17" customWidth="1"/>
    <col min="4" max="4" width="9.140625" style="17"/>
    <col min="5" max="5" width="6.5703125" style="17" customWidth="1"/>
    <col min="6" max="6" width="10.7109375" style="17" customWidth="1"/>
    <col min="7" max="7" width="8.28515625" style="17" customWidth="1"/>
    <col min="8" max="9" width="9.140625" style="17"/>
    <col min="10" max="10" width="8.140625" style="17" customWidth="1"/>
    <col min="11" max="12" width="9.140625" style="17"/>
    <col min="13" max="13" width="8" style="17" customWidth="1"/>
    <col min="14" max="16384" width="9.140625" style="17"/>
  </cols>
  <sheetData>
    <row r="1" spans="1:13" x14ac:dyDescent="0.2">
      <c r="A1" s="1420" t="s">
        <v>639</v>
      </c>
      <c r="B1" s="1420"/>
    </row>
    <row r="2" spans="1:13" s="35" customFormat="1" ht="21.75" customHeight="1" x14ac:dyDescent="0.2">
      <c r="A2" s="1230" t="s">
        <v>1005</v>
      </c>
      <c r="B2" s="1231"/>
      <c r="C2" s="1231"/>
      <c r="D2" s="1231"/>
      <c r="E2" s="1231"/>
      <c r="F2" s="1231"/>
      <c r="G2" s="1231"/>
      <c r="H2" s="1231"/>
      <c r="I2" s="1231"/>
      <c r="J2" s="1231"/>
      <c r="K2" s="1231"/>
      <c r="L2" s="1231"/>
      <c r="M2" s="1231"/>
    </row>
    <row r="3" spans="1:13" ht="12.75" customHeight="1" x14ac:dyDescent="0.2">
      <c r="B3" s="29"/>
    </row>
    <row r="4" spans="1:13" ht="15" x14ac:dyDescent="0.2">
      <c r="A4" s="1560" t="s">
        <v>141</v>
      </c>
      <c r="B4" s="1560"/>
      <c r="C4" s="1560"/>
    </row>
    <row r="5" spans="1:13" ht="12.75" customHeight="1" x14ac:dyDescent="0.2">
      <c r="B5" s="29"/>
    </row>
    <row r="6" spans="1:13" ht="15" x14ac:dyDescent="0.25">
      <c r="A6" s="1647" t="s">
        <v>967</v>
      </c>
      <c r="B6" s="1536"/>
      <c r="C6" s="1536"/>
      <c r="D6" s="1536"/>
      <c r="E6" s="1536"/>
      <c r="F6" s="1536"/>
      <c r="G6" s="1536"/>
      <c r="H6" s="1536"/>
    </row>
    <row r="7" spans="1:13" ht="12.75" customHeight="1" x14ac:dyDescent="0.2">
      <c r="A7" s="38" t="s">
        <v>338</v>
      </c>
      <c r="B7" s="38" t="s">
        <v>339</v>
      </c>
      <c r="C7" s="38" t="s">
        <v>79</v>
      </c>
      <c r="D7" s="1360" t="s">
        <v>319</v>
      </c>
      <c r="E7" s="1360"/>
      <c r="F7" s="1360"/>
      <c r="G7" s="1360"/>
      <c r="H7" s="1360"/>
      <c r="I7" s="1360"/>
      <c r="J7" s="1360"/>
    </row>
    <row r="8" spans="1:13" x14ac:dyDescent="0.2">
      <c r="A8" s="56" t="s">
        <v>604</v>
      </c>
      <c r="B8" s="56" t="s">
        <v>604</v>
      </c>
      <c r="C8" s="56" t="s">
        <v>604</v>
      </c>
      <c r="D8" s="1434" t="s">
        <v>320</v>
      </c>
      <c r="E8" s="1434"/>
      <c r="F8" s="1434"/>
      <c r="G8" s="1434"/>
      <c r="H8" s="1434"/>
      <c r="I8" s="1434"/>
      <c r="J8" s="1434"/>
    </row>
    <row r="9" spans="1:13" ht="12.75" customHeight="1" x14ac:dyDescent="0.2">
      <c r="A9" s="56" t="s">
        <v>604</v>
      </c>
      <c r="B9" s="56" t="s">
        <v>604</v>
      </c>
      <c r="C9" s="56" t="s">
        <v>604</v>
      </c>
      <c r="D9" s="1434" t="s">
        <v>321</v>
      </c>
      <c r="E9" s="1434"/>
      <c r="F9" s="1434"/>
      <c r="G9" s="1434"/>
      <c r="H9" s="1434"/>
      <c r="I9" s="1434"/>
      <c r="J9" s="1434"/>
    </row>
    <row r="10" spans="1:13" ht="12.75" customHeight="1" x14ac:dyDescent="0.2">
      <c r="A10" s="56" t="s">
        <v>604</v>
      </c>
      <c r="B10" s="56"/>
      <c r="C10" s="56"/>
      <c r="D10" s="1434" t="s">
        <v>18</v>
      </c>
      <c r="E10" s="1434"/>
      <c r="F10" s="1434"/>
      <c r="G10" s="1434"/>
      <c r="H10" s="1434"/>
      <c r="I10" s="1434"/>
      <c r="J10" s="1434"/>
    </row>
    <row r="11" spans="1:13" ht="12.75" customHeight="1" x14ac:dyDescent="0.2">
      <c r="A11" s="56"/>
      <c r="B11" s="56"/>
      <c r="C11" s="56"/>
      <c r="D11" s="1434" t="s">
        <v>19</v>
      </c>
      <c r="E11" s="1434"/>
      <c r="F11" s="1434"/>
      <c r="G11" s="1434"/>
      <c r="H11" s="1434"/>
      <c r="I11" s="1434"/>
      <c r="J11" s="1434"/>
    </row>
    <row r="12" spans="1:13" ht="12.75" customHeight="1" x14ac:dyDescent="0.2">
      <c r="A12" s="56"/>
      <c r="B12" s="56"/>
      <c r="C12" s="56"/>
      <c r="D12" s="1434" t="s">
        <v>20</v>
      </c>
      <c r="E12" s="1434"/>
      <c r="F12" s="1434"/>
      <c r="G12" s="1434"/>
      <c r="H12" s="1434"/>
      <c r="I12" s="1434"/>
      <c r="J12" s="1434"/>
    </row>
    <row r="13" spans="1:13" ht="12.75" customHeight="1" x14ac:dyDescent="0.2">
      <c r="A13" s="56" t="s">
        <v>604</v>
      </c>
      <c r="B13" s="56"/>
      <c r="C13" s="56"/>
      <c r="D13" s="1434" t="s">
        <v>21</v>
      </c>
      <c r="E13" s="1434"/>
      <c r="F13" s="1434"/>
      <c r="G13" s="1434"/>
      <c r="H13" s="1434"/>
      <c r="I13" s="1434"/>
      <c r="J13" s="1434"/>
    </row>
    <row r="14" spans="1:13" ht="12.75" customHeight="1" x14ac:dyDescent="0.2">
      <c r="A14" s="56" t="s">
        <v>604</v>
      </c>
      <c r="B14" s="56"/>
      <c r="C14" s="56"/>
      <c r="D14" s="1434" t="s">
        <v>22</v>
      </c>
      <c r="E14" s="1434"/>
      <c r="F14" s="1434"/>
      <c r="G14" s="1434"/>
      <c r="H14" s="1434"/>
      <c r="I14" s="1434"/>
      <c r="J14" s="1434"/>
    </row>
    <row r="15" spans="1:13" ht="12.75" customHeight="1" x14ac:dyDescent="0.2">
      <c r="A15" s="56"/>
      <c r="B15" s="56"/>
      <c r="C15" s="56"/>
      <c r="D15" s="1434" t="s">
        <v>23</v>
      </c>
      <c r="E15" s="1434"/>
      <c r="F15" s="1434"/>
      <c r="G15" s="1434"/>
      <c r="H15" s="1434"/>
      <c r="I15" s="1434"/>
      <c r="J15" s="1434"/>
    </row>
    <row r="16" spans="1:13" x14ac:dyDescent="0.2">
      <c r="A16" s="56" t="s">
        <v>604</v>
      </c>
      <c r="B16" s="56" t="s">
        <v>604</v>
      </c>
      <c r="C16" s="56" t="s">
        <v>604</v>
      </c>
      <c r="D16" s="1434" t="s">
        <v>24</v>
      </c>
      <c r="E16" s="1434"/>
      <c r="F16" s="1434"/>
      <c r="G16" s="1434"/>
      <c r="H16" s="1434"/>
      <c r="I16" s="1434"/>
      <c r="J16" s="1434"/>
    </row>
    <row r="17" spans="1:10" x14ac:dyDescent="0.2">
      <c r="A17" s="1644"/>
      <c r="B17" s="1644"/>
      <c r="C17" s="1644"/>
      <c r="D17" s="1645"/>
      <c r="E17" s="1645"/>
      <c r="F17" s="1645"/>
      <c r="G17" s="1645"/>
      <c r="H17" s="1645"/>
    </row>
    <row r="18" spans="1:10" ht="15" x14ac:dyDescent="0.25">
      <c r="A18" s="1647" t="s">
        <v>968</v>
      </c>
      <c r="B18" s="1536"/>
      <c r="C18" s="1536"/>
      <c r="D18" s="1536"/>
      <c r="E18" s="1536"/>
      <c r="F18" s="1536"/>
    </row>
    <row r="19" spans="1:10" ht="12.75" customHeight="1" x14ac:dyDescent="0.2">
      <c r="A19" s="38" t="s">
        <v>604</v>
      </c>
      <c r="B19" s="1360" t="s">
        <v>318</v>
      </c>
      <c r="C19" s="1360"/>
      <c r="D19" s="1360"/>
      <c r="E19" s="1360"/>
      <c r="F19" s="1360"/>
      <c r="G19" s="1360"/>
      <c r="H19" s="1360"/>
      <c r="I19" s="1360"/>
      <c r="J19" s="1360"/>
    </row>
    <row r="20" spans="1:10" ht="12.75" customHeight="1" x14ac:dyDescent="0.2">
      <c r="A20" s="61" t="s">
        <v>604</v>
      </c>
      <c r="B20" s="1434" t="s">
        <v>25</v>
      </c>
      <c r="C20" s="1434"/>
      <c r="D20" s="1434"/>
      <c r="E20" s="1434"/>
      <c r="F20" s="1434"/>
      <c r="G20" s="1434"/>
      <c r="H20" s="1434"/>
      <c r="I20" s="1434"/>
      <c r="J20" s="1434"/>
    </row>
    <row r="21" spans="1:10" ht="12.75" customHeight="1" x14ac:dyDescent="0.2">
      <c r="A21" s="61" t="s">
        <v>604</v>
      </c>
      <c r="B21" s="1434" t="s">
        <v>26</v>
      </c>
      <c r="C21" s="1434"/>
      <c r="D21" s="1434"/>
      <c r="E21" s="1434"/>
      <c r="F21" s="1434"/>
      <c r="G21" s="1434"/>
      <c r="H21" s="1434"/>
      <c r="I21" s="1434"/>
      <c r="J21" s="1434"/>
    </row>
    <row r="22" spans="1:10" x14ac:dyDescent="0.2">
      <c r="A22" s="56"/>
      <c r="B22" s="1434" t="s">
        <v>391</v>
      </c>
      <c r="C22" s="1434"/>
      <c r="D22" s="1434"/>
      <c r="E22" s="1434"/>
      <c r="F22" s="1434"/>
      <c r="G22" s="1434"/>
      <c r="H22" s="1434"/>
      <c r="I22" s="1434"/>
      <c r="J22" s="1434"/>
    </row>
    <row r="23" spans="1:10" ht="15.75" x14ac:dyDescent="0.25">
      <c r="B23" s="24"/>
    </row>
    <row r="24" spans="1:10" ht="15" x14ac:dyDescent="0.2">
      <c r="A24" s="1535" t="s">
        <v>969</v>
      </c>
      <c r="B24" s="1536"/>
      <c r="C24" s="1536"/>
      <c r="D24" s="1536"/>
      <c r="E24" s="1536"/>
      <c r="F24" s="1536"/>
      <c r="G24" s="1536"/>
      <c r="H24" s="1536"/>
      <c r="I24" s="1536"/>
    </row>
    <row r="25" spans="1:10" ht="38.25" customHeight="1" x14ac:dyDescent="0.2">
      <c r="A25" s="43" t="s">
        <v>27</v>
      </c>
      <c r="B25" s="43" t="s">
        <v>467</v>
      </c>
      <c r="C25" s="43" t="s">
        <v>468</v>
      </c>
      <c r="D25" s="1395" t="s">
        <v>28</v>
      </c>
      <c r="E25" s="1400"/>
      <c r="F25" s="1401"/>
      <c r="G25" s="1447" t="s">
        <v>970</v>
      </c>
      <c r="H25" s="1447"/>
      <c r="I25" s="1447"/>
    </row>
    <row r="26" spans="1:10" x14ac:dyDescent="0.2">
      <c r="A26" s="56">
        <v>1</v>
      </c>
      <c r="B26" s="56"/>
      <c r="C26" s="56" t="s">
        <v>604</v>
      </c>
      <c r="D26" s="1426" t="s">
        <v>29</v>
      </c>
      <c r="E26" s="1427"/>
      <c r="F26" s="1428"/>
      <c r="G26" s="1646" t="s">
        <v>982</v>
      </c>
      <c r="H26" s="1646"/>
      <c r="I26" s="1646"/>
    </row>
    <row r="27" spans="1:10" x14ac:dyDescent="0.2">
      <c r="A27" s="56">
        <v>2</v>
      </c>
      <c r="B27" s="56"/>
      <c r="C27" s="56" t="s">
        <v>604</v>
      </c>
      <c r="D27" s="1426" t="s">
        <v>973</v>
      </c>
      <c r="E27" s="1427"/>
      <c r="F27" s="1428"/>
      <c r="G27" s="1646" t="s">
        <v>200</v>
      </c>
      <c r="H27" s="1646"/>
      <c r="I27" s="1646"/>
    </row>
    <row r="28" spans="1:10" x14ac:dyDescent="0.2">
      <c r="A28" s="56">
        <v>3</v>
      </c>
      <c r="B28" s="56" t="s">
        <v>604</v>
      </c>
      <c r="C28" s="56"/>
      <c r="D28" s="1426" t="s">
        <v>607</v>
      </c>
      <c r="E28" s="1427"/>
      <c r="F28" s="1428"/>
      <c r="G28" s="1646" t="s">
        <v>264</v>
      </c>
      <c r="H28" s="1646"/>
      <c r="I28" s="1646"/>
    </row>
    <row r="29" spans="1:10" x14ac:dyDescent="0.2">
      <c r="A29" s="56">
        <v>4</v>
      </c>
      <c r="B29" s="56" t="s">
        <v>604</v>
      </c>
      <c r="C29" s="56"/>
      <c r="D29" s="1426" t="s">
        <v>606</v>
      </c>
      <c r="E29" s="1427"/>
      <c r="F29" s="1428"/>
      <c r="G29" s="1646" t="s">
        <v>205</v>
      </c>
      <c r="H29" s="1646"/>
      <c r="I29" s="1646"/>
    </row>
    <row r="30" spans="1:10" x14ac:dyDescent="0.2">
      <c r="A30" s="56">
        <v>5</v>
      </c>
      <c r="B30" s="56" t="s">
        <v>604</v>
      </c>
      <c r="C30" s="56"/>
      <c r="D30" s="1426" t="s">
        <v>360</v>
      </c>
      <c r="E30" s="1427"/>
      <c r="F30" s="1428"/>
      <c r="G30" s="1646" t="s">
        <v>268</v>
      </c>
      <c r="H30" s="1646"/>
      <c r="I30" s="1646"/>
    </row>
    <row r="31" spans="1:10" x14ac:dyDescent="0.2">
      <c r="A31" s="56">
        <v>6</v>
      </c>
      <c r="B31" s="56"/>
      <c r="C31" s="56" t="s">
        <v>604</v>
      </c>
      <c r="D31" s="1426" t="s">
        <v>974</v>
      </c>
      <c r="E31" s="1427"/>
      <c r="F31" s="1428"/>
      <c r="G31" s="1646" t="s">
        <v>823</v>
      </c>
      <c r="H31" s="1646"/>
      <c r="I31" s="1646"/>
    </row>
    <row r="32" spans="1:10" x14ac:dyDescent="0.2">
      <c r="A32" s="56">
        <v>7</v>
      </c>
      <c r="B32" s="56" t="s">
        <v>604</v>
      </c>
      <c r="C32" s="56"/>
      <c r="D32" s="1426" t="s">
        <v>975</v>
      </c>
      <c r="E32" s="1427"/>
      <c r="F32" s="1428"/>
      <c r="G32" s="1646" t="s">
        <v>178</v>
      </c>
      <c r="H32" s="1646"/>
      <c r="I32" s="1646"/>
    </row>
    <row r="33" spans="1:14" x14ac:dyDescent="0.2">
      <c r="A33" s="56">
        <v>8</v>
      </c>
      <c r="B33" s="56" t="s">
        <v>604</v>
      </c>
      <c r="C33" s="56"/>
      <c r="D33" s="1426" t="s">
        <v>976</v>
      </c>
      <c r="E33" s="1427"/>
      <c r="F33" s="1428"/>
      <c r="G33" s="1646" t="s">
        <v>197</v>
      </c>
      <c r="H33" s="1646"/>
      <c r="I33" s="1646"/>
    </row>
    <row r="34" spans="1:14" x14ac:dyDescent="0.2">
      <c r="A34" s="56">
        <v>9</v>
      </c>
      <c r="B34" s="56"/>
      <c r="C34" s="56" t="s">
        <v>604</v>
      </c>
      <c r="D34" s="1426" t="s">
        <v>977</v>
      </c>
      <c r="E34" s="1427"/>
      <c r="F34" s="1428"/>
      <c r="G34" s="1646" t="s">
        <v>181</v>
      </c>
      <c r="H34" s="1646"/>
      <c r="I34" s="1646"/>
    </row>
    <row r="35" spans="1:14" x14ac:dyDescent="0.2">
      <c r="A35" s="56">
        <v>10</v>
      </c>
      <c r="B35" s="56"/>
      <c r="C35" s="56"/>
      <c r="D35" s="1426" t="s">
        <v>978</v>
      </c>
      <c r="E35" s="1427"/>
      <c r="F35" s="1428"/>
      <c r="G35" s="1646" t="s">
        <v>971</v>
      </c>
      <c r="H35" s="1646"/>
      <c r="I35" s="1646"/>
    </row>
    <row r="36" spans="1:14" x14ac:dyDescent="0.2">
      <c r="A36" s="56">
        <v>11</v>
      </c>
      <c r="B36" s="56"/>
      <c r="C36" s="56"/>
      <c r="D36" s="1426" t="s">
        <v>980</v>
      </c>
      <c r="E36" s="1427"/>
      <c r="F36" s="1428"/>
      <c r="G36" s="1651" t="s">
        <v>675</v>
      </c>
      <c r="H36" s="1652"/>
      <c r="I36" s="1653"/>
    </row>
    <row r="37" spans="1:14" x14ac:dyDescent="0.2">
      <c r="A37" s="56">
        <v>12</v>
      </c>
      <c r="B37" s="56"/>
      <c r="C37" s="56"/>
      <c r="D37" s="1426" t="s">
        <v>30</v>
      </c>
      <c r="E37" s="1427"/>
      <c r="F37" s="1428"/>
      <c r="G37" s="1646"/>
      <c r="H37" s="1646"/>
      <c r="I37" s="1646"/>
    </row>
    <row r="38" spans="1:14" x14ac:dyDescent="0.2">
      <c r="A38" s="56">
        <v>13</v>
      </c>
      <c r="B38" s="56"/>
      <c r="C38" s="56"/>
      <c r="D38" s="1426" t="s">
        <v>981</v>
      </c>
      <c r="E38" s="1427"/>
      <c r="F38" s="1428"/>
      <c r="G38" s="1651"/>
      <c r="H38" s="1652"/>
      <c r="I38" s="1653"/>
    </row>
    <row r="39" spans="1:14" x14ac:dyDescent="0.2">
      <c r="A39" s="56">
        <v>14</v>
      </c>
      <c r="B39" s="56"/>
      <c r="C39" s="56"/>
      <c r="D39" s="1426" t="s">
        <v>674</v>
      </c>
      <c r="E39" s="1427"/>
      <c r="F39" s="1428"/>
      <c r="G39" s="1646"/>
      <c r="H39" s="1646"/>
      <c r="I39" s="1646"/>
    </row>
    <row r="40" spans="1:14" x14ac:dyDescent="0.2">
      <c r="A40" s="56">
        <v>15</v>
      </c>
      <c r="B40" s="56"/>
      <c r="C40" s="56"/>
      <c r="D40" s="1426" t="s">
        <v>215</v>
      </c>
      <c r="E40" s="1427"/>
      <c r="F40" s="1428"/>
      <c r="G40" s="1646" t="s">
        <v>972</v>
      </c>
      <c r="H40" s="1646"/>
      <c r="I40" s="1646"/>
    </row>
    <row r="41" spans="1:14" x14ac:dyDescent="0.2">
      <c r="A41" s="56">
        <v>16</v>
      </c>
      <c r="B41" s="56"/>
      <c r="C41" s="56"/>
      <c r="D41" s="1426" t="s">
        <v>979</v>
      </c>
      <c r="E41" s="1427"/>
      <c r="F41" s="1428"/>
      <c r="G41" s="1646" t="s">
        <v>41</v>
      </c>
      <c r="H41" s="1646"/>
      <c r="I41" s="1646"/>
    </row>
    <row r="42" spans="1:14" ht="15" x14ac:dyDescent="0.2">
      <c r="B42" s="25"/>
    </row>
    <row r="43" spans="1:14" ht="14.25" customHeight="1" x14ac:dyDescent="0.2">
      <c r="A43" s="1655" t="s">
        <v>1008</v>
      </c>
      <c r="B43" s="1655"/>
      <c r="C43" s="1655"/>
      <c r="D43" s="1655"/>
      <c r="E43" s="1655"/>
      <c r="F43" s="1655"/>
      <c r="G43" s="1655"/>
      <c r="H43" s="1655"/>
      <c r="I43" s="1655"/>
      <c r="J43" s="1655"/>
      <c r="K43" s="1655"/>
      <c r="L43" s="1655"/>
      <c r="M43" s="1655"/>
    </row>
    <row r="44" spans="1:14" ht="14.25" customHeight="1" x14ac:dyDescent="0.2">
      <c r="A44" s="1655"/>
      <c r="B44" s="1655"/>
      <c r="C44" s="1655"/>
      <c r="D44" s="1655"/>
      <c r="E44" s="1655"/>
      <c r="F44" s="1655"/>
      <c r="G44" s="1655"/>
      <c r="H44" s="1655"/>
      <c r="I44" s="1655"/>
      <c r="J44" s="1655"/>
      <c r="K44" s="1655"/>
      <c r="L44" s="1655"/>
      <c r="M44" s="1655"/>
    </row>
    <row r="45" spans="1:14" ht="15" x14ac:dyDescent="0.2">
      <c r="B45" s="25"/>
    </row>
    <row r="46" spans="1:14" s="85" customFormat="1" ht="18" x14ac:dyDescent="0.2">
      <c r="A46" s="1654" t="s">
        <v>60</v>
      </c>
      <c r="B46" s="1654"/>
      <c r="C46" s="1654"/>
      <c r="D46" s="1654"/>
      <c r="E46" s="1654"/>
      <c r="F46" s="1654"/>
      <c r="G46" s="1654"/>
      <c r="H46" s="1654"/>
      <c r="I46" s="1654"/>
      <c r="J46" s="1654"/>
      <c r="K46" s="1654"/>
      <c r="L46" s="1654"/>
      <c r="M46" s="1654"/>
    </row>
    <row r="47" spans="1:14" s="85" customFormat="1" ht="55.5" customHeight="1" x14ac:dyDescent="0.2">
      <c r="A47" s="1665" t="s">
        <v>1828</v>
      </c>
      <c r="B47" s="1666"/>
      <c r="C47" s="1666"/>
      <c r="D47" s="1666"/>
      <c r="E47" s="1666"/>
      <c r="F47" s="1666"/>
      <c r="G47" s="1666"/>
      <c r="H47" s="1666"/>
      <c r="I47" s="1666"/>
      <c r="J47" s="1666"/>
      <c r="K47" s="1666"/>
      <c r="L47" s="1666"/>
      <c r="M47" s="1666"/>
      <c r="N47" s="1666"/>
    </row>
    <row r="48" spans="1:14" s="34" customFormat="1" ht="12.75" customHeight="1" x14ac:dyDescent="0.2">
      <c r="A48" s="1656" t="s">
        <v>991</v>
      </c>
      <c r="B48" s="1657"/>
      <c r="C48" s="1657"/>
      <c r="D48" s="1657"/>
      <c r="E48" s="1657"/>
      <c r="F48" s="1648" t="s">
        <v>2260</v>
      </c>
      <c r="G48" s="1663"/>
      <c r="H48" s="1664"/>
      <c r="I48" s="1648" t="s">
        <v>2257</v>
      </c>
      <c r="J48" s="1649"/>
      <c r="K48" s="1650"/>
      <c r="L48" s="1648" t="s">
        <v>2510</v>
      </c>
      <c r="M48" s="1663"/>
      <c r="N48" s="1664"/>
    </row>
    <row r="49" spans="1:14" s="34" customFormat="1" ht="12.75" customHeight="1" x14ac:dyDescent="0.2">
      <c r="A49" s="1658" t="s">
        <v>992</v>
      </c>
      <c r="B49" s="1659"/>
      <c r="C49" s="1659"/>
      <c r="D49" s="1659"/>
      <c r="E49" s="1659"/>
      <c r="F49" s="1635" t="s">
        <v>2261</v>
      </c>
      <c r="G49" s="1661"/>
      <c r="H49" s="1662"/>
      <c r="I49" s="1635" t="s">
        <v>2817</v>
      </c>
      <c r="J49" s="1636"/>
      <c r="K49" s="1637"/>
      <c r="L49" s="1635" t="s">
        <v>2511</v>
      </c>
      <c r="M49" s="1661"/>
      <c r="N49" s="1662"/>
    </row>
    <row r="50" spans="1:14" s="567" customFormat="1" ht="12.75" customHeight="1" x14ac:dyDescent="0.2">
      <c r="A50" s="571" t="s">
        <v>993</v>
      </c>
      <c r="B50" s="568"/>
      <c r="C50" s="568"/>
      <c r="D50" s="568"/>
      <c r="E50" s="568"/>
      <c r="F50" s="1671" t="s">
        <v>1906</v>
      </c>
      <c r="G50" s="1672"/>
      <c r="H50" s="1673"/>
      <c r="I50" s="1670" t="s">
        <v>2816</v>
      </c>
      <c r="J50" s="1636"/>
      <c r="K50" s="1637"/>
      <c r="L50" s="1671" t="s">
        <v>2512</v>
      </c>
      <c r="M50" s="1674"/>
      <c r="N50" s="1675"/>
    </row>
    <row r="51" spans="1:14" s="34" customFormat="1" ht="13.15" customHeight="1" x14ac:dyDescent="0.2">
      <c r="A51" s="1660" t="s">
        <v>853</v>
      </c>
      <c r="B51" s="1659"/>
      <c r="C51" s="1659"/>
      <c r="D51" s="1659"/>
      <c r="E51" s="1659"/>
      <c r="F51" s="1635" t="s">
        <v>2262</v>
      </c>
      <c r="G51" s="1661"/>
      <c r="H51" s="1662"/>
      <c r="I51" s="1635" t="s">
        <v>2258</v>
      </c>
      <c r="J51" s="1636"/>
      <c r="K51" s="1637"/>
      <c r="L51" s="1635" t="s">
        <v>2513</v>
      </c>
      <c r="M51" s="1661"/>
      <c r="N51" s="1662"/>
    </row>
    <row r="52" spans="1:14" s="34" customFormat="1" ht="12.75" customHeight="1" x14ac:dyDescent="0.2">
      <c r="A52" s="1632" t="s">
        <v>983</v>
      </c>
      <c r="B52" s="1632"/>
      <c r="C52" s="1632"/>
      <c r="D52" s="1632"/>
      <c r="E52" s="1632"/>
      <c r="F52" s="1626" t="s">
        <v>604</v>
      </c>
      <c r="G52" s="1627"/>
      <c r="H52" s="1628"/>
      <c r="I52" s="1641" t="s">
        <v>604</v>
      </c>
      <c r="J52" s="1642"/>
      <c r="K52" s="1643"/>
      <c r="L52" s="1667" t="s">
        <v>604</v>
      </c>
      <c r="M52" s="1668"/>
      <c r="N52" s="1669"/>
    </row>
    <row r="53" spans="1:14" s="34" customFormat="1" x14ac:dyDescent="0.2">
      <c r="A53" s="1632" t="s">
        <v>209</v>
      </c>
      <c r="B53" s="1632"/>
      <c r="C53" s="1632"/>
      <c r="D53" s="1632"/>
      <c r="E53" s="1632"/>
      <c r="F53" s="1626" t="s">
        <v>604</v>
      </c>
      <c r="G53" s="1627"/>
      <c r="H53" s="1628"/>
      <c r="I53" s="1605"/>
      <c r="J53" s="1605"/>
      <c r="K53" s="1605"/>
      <c r="L53" s="1604"/>
      <c r="M53" s="1604"/>
      <c r="N53" s="1604"/>
    </row>
    <row r="54" spans="1:14" s="34" customFormat="1" ht="12.75" customHeight="1" x14ac:dyDescent="0.2">
      <c r="A54" s="1632" t="s">
        <v>1003</v>
      </c>
      <c r="B54" s="1632"/>
      <c r="C54" s="1632"/>
      <c r="D54" s="1632"/>
      <c r="E54" s="1632"/>
      <c r="F54" s="1626" t="s">
        <v>604</v>
      </c>
      <c r="G54" s="1627"/>
      <c r="H54" s="1628"/>
      <c r="I54" s="1605" t="s">
        <v>604</v>
      </c>
      <c r="J54" s="1605"/>
      <c r="K54" s="1605"/>
      <c r="L54" s="1604"/>
      <c r="M54" s="1604"/>
      <c r="N54" s="1604"/>
    </row>
    <row r="55" spans="1:14" s="34" customFormat="1" ht="12.75" customHeight="1" x14ac:dyDescent="0.2">
      <c r="A55" s="1632" t="s">
        <v>1004</v>
      </c>
      <c r="B55" s="1632"/>
      <c r="C55" s="1632"/>
      <c r="D55" s="1632"/>
      <c r="E55" s="1632"/>
      <c r="F55" s="1626" t="s">
        <v>604</v>
      </c>
      <c r="G55" s="1627"/>
      <c r="H55" s="1628"/>
      <c r="I55" s="1605" t="s">
        <v>604</v>
      </c>
      <c r="J55" s="1605"/>
      <c r="K55" s="1605"/>
      <c r="L55" s="1604"/>
      <c r="M55" s="1604"/>
      <c r="N55" s="1604"/>
    </row>
    <row r="56" spans="1:14" s="34" customFormat="1" ht="12.75" customHeight="1" x14ac:dyDescent="0.2">
      <c r="A56" s="1210" t="s">
        <v>1677</v>
      </c>
      <c r="B56" s="1632"/>
      <c r="C56" s="1632"/>
      <c r="D56" s="1632"/>
      <c r="E56" s="1632"/>
      <c r="F56" s="1626" t="s">
        <v>604</v>
      </c>
      <c r="G56" s="1627"/>
      <c r="H56" s="1628"/>
      <c r="I56" s="1605"/>
      <c r="J56" s="1605"/>
      <c r="K56" s="1605"/>
      <c r="L56" s="1604"/>
      <c r="M56" s="1604"/>
      <c r="N56" s="1604"/>
    </row>
    <row r="57" spans="1:14" s="34" customFormat="1" ht="12.75" customHeight="1" x14ac:dyDescent="0.2">
      <c r="A57" s="1632" t="s">
        <v>984</v>
      </c>
      <c r="B57" s="1632"/>
      <c r="C57" s="1632"/>
      <c r="D57" s="1632"/>
      <c r="E57" s="1632"/>
      <c r="F57" s="1626" t="s">
        <v>604</v>
      </c>
      <c r="G57" s="1627"/>
      <c r="H57" s="1628"/>
      <c r="I57" s="1605"/>
      <c r="J57" s="1605"/>
      <c r="K57" s="1605"/>
      <c r="L57" s="1604"/>
      <c r="M57" s="1604"/>
      <c r="N57" s="1604"/>
    </row>
    <row r="58" spans="1:14" s="34" customFormat="1" ht="12.75" customHeight="1" x14ac:dyDescent="0.2">
      <c r="A58" s="1632" t="s">
        <v>985</v>
      </c>
      <c r="B58" s="1632"/>
      <c r="C58" s="1632"/>
      <c r="D58" s="1632"/>
      <c r="E58" s="1632"/>
      <c r="F58" s="1626" t="s">
        <v>604</v>
      </c>
      <c r="G58" s="1627"/>
      <c r="H58" s="1628"/>
      <c r="I58" s="1605"/>
      <c r="J58" s="1605"/>
      <c r="K58" s="1605"/>
      <c r="L58" s="1604"/>
      <c r="M58" s="1604"/>
      <c r="N58" s="1604"/>
    </row>
    <row r="59" spans="1:14" s="34" customFormat="1" ht="12.75" customHeight="1" x14ac:dyDescent="0.2">
      <c r="A59" s="1632" t="s">
        <v>986</v>
      </c>
      <c r="B59" s="1632"/>
      <c r="C59" s="1632"/>
      <c r="D59" s="1632"/>
      <c r="E59" s="1632"/>
      <c r="F59" s="1626" t="s">
        <v>604</v>
      </c>
      <c r="G59" s="1627"/>
      <c r="H59" s="1628"/>
      <c r="I59" s="1605" t="s">
        <v>604</v>
      </c>
      <c r="J59" s="1605"/>
      <c r="K59" s="1605"/>
      <c r="L59" s="1603" t="s">
        <v>604</v>
      </c>
      <c r="M59" s="1604"/>
      <c r="N59" s="1604"/>
    </row>
    <row r="60" spans="1:14" s="34" customFormat="1" ht="12.75" customHeight="1" x14ac:dyDescent="0.2">
      <c r="A60" s="1632" t="s">
        <v>987</v>
      </c>
      <c r="B60" s="1632"/>
      <c r="C60" s="1632"/>
      <c r="D60" s="1632"/>
      <c r="E60" s="1632"/>
      <c r="F60" s="1626" t="s">
        <v>604</v>
      </c>
      <c r="G60" s="1627"/>
      <c r="H60" s="1628"/>
      <c r="I60" s="1605"/>
      <c r="J60" s="1605"/>
      <c r="K60" s="1605"/>
      <c r="L60" s="1604"/>
      <c r="M60" s="1604"/>
      <c r="N60" s="1604"/>
    </row>
    <row r="61" spans="1:14" s="34" customFormat="1" ht="12.75" customHeight="1" x14ac:dyDescent="0.2">
      <c r="A61" s="1632" t="s">
        <v>1000</v>
      </c>
      <c r="B61" s="1632"/>
      <c r="C61" s="1632"/>
      <c r="D61" s="1632"/>
      <c r="E61" s="1632"/>
      <c r="F61" s="1626" t="s">
        <v>604</v>
      </c>
      <c r="G61" s="1627"/>
      <c r="H61" s="1628"/>
      <c r="I61" s="1605"/>
      <c r="J61" s="1605"/>
      <c r="K61" s="1605"/>
      <c r="L61" s="1604"/>
      <c r="M61" s="1604"/>
      <c r="N61" s="1604"/>
    </row>
    <row r="62" spans="1:14" s="34" customFormat="1" ht="12.75" customHeight="1" x14ac:dyDescent="0.2">
      <c r="A62" s="1632" t="s">
        <v>1001</v>
      </c>
      <c r="B62" s="1632"/>
      <c r="C62" s="1632"/>
      <c r="D62" s="1632"/>
      <c r="E62" s="1632"/>
      <c r="F62" s="1626" t="s">
        <v>604</v>
      </c>
      <c r="G62" s="1627"/>
      <c r="H62" s="1628"/>
      <c r="I62" s="1605"/>
      <c r="J62" s="1605"/>
      <c r="K62" s="1605"/>
      <c r="L62" s="1604"/>
      <c r="M62" s="1604"/>
      <c r="N62" s="1604"/>
    </row>
    <row r="63" spans="1:14" s="34" customFormat="1" ht="12.75" customHeight="1" x14ac:dyDescent="0.2">
      <c r="A63" s="1632" t="s">
        <v>1002</v>
      </c>
      <c r="B63" s="1632"/>
      <c r="C63" s="1632"/>
      <c r="D63" s="1632"/>
      <c r="E63" s="1632"/>
      <c r="F63" s="1626" t="s">
        <v>604</v>
      </c>
      <c r="G63" s="1627"/>
      <c r="H63" s="1628"/>
      <c r="I63" s="1605"/>
      <c r="J63" s="1605"/>
      <c r="K63" s="1605"/>
      <c r="L63" s="1604"/>
      <c r="M63" s="1604"/>
      <c r="N63" s="1604"/>
    </row>
    <row r="64" spans="1:14" s="34" customFormat="1" ht="12.75" customHeight="1" x14ac:dyDescent="0.2">
      <c r="A64" s="1632" t="s">
        <v>141</v>
      </c>
      <c r="B64" s="1632"/>
      <c r="C64" s="1632"/>
      <c r="D64" s="1632"/>
      <c r="E64" s="1632"/>
      <c r="F64" s="1626" t="s">
        <v>604</v>
      </c>
      <c r="G64" s="1627"/>
      <c r="H64" s="1628"/>
      <c r="I64" s="1605" t="s">
        <v>604</v>
      </c>
      <c r="J64" s="1605"/>
      <c r="K64" s="1605"/>
      <c r="L64" s="1603" t="s">
        <v>604</v>
      </c>
      <c r="M64" s="1603"/>
      <c r="N64" s="1603"/>
    </row>
    <row r="65" spans="1:14" s="34" customFormat="1" x14ac:dyDescent="0.2">
      <c r="A65" s="1632" t="s">
        <v>994</v>
      </c>
      <c r="B65" s="1632"/>
      <c r="C65" s="1632"/>
      <c r="D65" s="1632"/>
      <c r="E65" s="1632"/>
      <c r="F65" s="1626" t="s">
        <v>604</v>
      </c>
      <c r="G65" s="1627"/>
      <c r="H65" s="1628"/>
      <c r="I65" s="1605" t="s">
        <v>604</v>
      </c>
      <c r="J65" s="1605"/>
      <c r="K65" s="1605"/>
      <c r="L65" s="1603" t="s">
        <v>604</v>
      </c>
      <c r="M65" s="1603"/>
      <c r="N65" s="1603"/>
    </row>
    <row r="66" spans="1:14" s="34" customFormat="1" ht="12.75" customHeight="1" x14ac:dyDescent="0.2">
      <c r="A66" s="1632" t="s">
        <v>995</v>
      </c>
      <c r="B66" s="1632"/>
      <c r="C66" s="1632"/>
      <c r="D66" s="1632"/>
      <c r="E66" s="1632"/>
      <c r="F66" s="1626" t="s">
        <v>604</v>
      </c>
      <c r="G66" s="1627"/>
      <c r="H66" s="1628"/>
      <c r="I66" s="1605" t="s">
        <v>604</v>
      </c>
      <c r="J66" s="1605"/>
      <c r="K66" s="1605"/>
      <c r="L66" s="1603" t="s">
        <v>604</v>
      </c>
      <c r="M66" s="1603"/>
      <c r="N66" s="1603"/>
    </row>
    <row r="67" spans="1:14" s="34" customFormat="1" ht="12.75" customHeight="1" x14ac:dyDescent="0.2">
      <c r="A67" s="1632" t="s">
        <v>996</v>
      </c>
      <c r="B67" s="1632"/>
      <c r="C67" s="1632"/>
      <c r="D67" s="1632"/>
      <c r="E67" s="1632"/>
      <c r="F67" s="1626" t="s">
        <v>604</v>
      </c>
      <c r="G67" s="1627"/>
      <c r="H67" s="1628"/>
      <c r="I67" s="1605" t="s">
        <v>604</v>
      </c>
      <c r="J67" s="1605"/>
      <c r="K67" s="1605"/>
      <c r="L67" s="1603" t="s">
        <v>604</v>
      </c>
      <c r="M67" s="1603"/>
      <c r="N67" s="1603"/>
    </row>
    <row r="68" spans="1:14" s="34" customFormat="1" ht="12.75" customHeight="1" x14ac:dyDescent="0.2">
      <c r="A68" s="1632" t="s">
        <v>997</v>
      </c>
      <c r="B68" s="1632"/>
      <c r="C68" s="1632"/>
      <c r="D68" s="1632"/>
      <c r="E68" s="1632"/>
      <c r="F68" s="1626" t="s">
        <v>604</v>
      </c>
      <c r="G68" s="1627"/>
      <c r="H68" s="1628"/>
      <c r="I68" s="1605"/>
      <c r="J68" s="1605"/>
      <c r="K68" s="1605"/>
      <c r="L68" s="1604"/>
      <c r="M68" s="1604"/>
      <c r="N68" s="1604"/>
    </row>
    <row r="69" spans="1:14" s="34" customFormat="1" ht="12.75" customHeight="1" x14ac:dyDescent="0.2">
      <c r="A69" s="1632" t="s">
        <v>998</v>
      </c>
      <c r="B69" s="1632"/>
      <c r="C69" s="1632"/>
      <c r="D69" s="1632"/>
      <c r="E69" s="1632"/>
      <c r="F69" s="1626" t="s">
        <v>604</v>
      </c>
      <c r="G69" s="1627"/>
      <c r="H69" s="1628"/>
      <c r="I69" s="1605"/>
      <c r="J69" s="1605"/>
      <c r="K69" s="1605"/>
      <c r="L69" s="1604"/>
      <c r="M69" s="1604"/>
      <c r="N69" s="1604"/>
    </row>
    <row r="70" spans="1:14" s="34" customFormat="1" ht="12.75" customHeight="1" x14ac:dyDescent="0.2">
      <c r="A70" s="1632" t="s">
        <v>999</v>
      </c>
      <c r="B70" s="1632"/>
      <c r="C70" s="1632"/>
      <c r="D70" s="1632"/>
      <c r="E70" s="1632"/>
      <c r="F70" s="1626" t="s">
        <v>604</v>
      </c>
      <c r="G70" s="1627"/>
      <c r="H70" s="1628"/>
      <c r="I70" s="1605" t="s">
        <v>604</v>
      </c>
      <c r="J70" s="1605"/>
      <c r="K70" s="1605"/>
      <c r="L70" s="1603" t="s">
        <v>604</v>
      </c>
      <c r="M70" s="1604"/>
      <c r="N70" s="1604"/>
    </row>
    <row r="71" spans="1:14" s="34" customFormat="1" ht="12.75" customHeight="1" x14ac:dyDescent="0.2">
      <c r="A71" s="1632" t="s">
        <v>988</v>
      </c>
      <c r="B71" s="1632"/>
      <c r="C71" s="1632"/>
      <c r="D71" s="1632"/>
      <c r="E71" s="1632"/>
      <c r="F71" s="1626" t="s">
        <v>604</v>
      </c>
      <c r="G71" s="1627"/>
      <c r="H71" s="1628"/>
      <c r="I71" s="1605"/>
      <c r="J71" s="1605"/>
      <c r="K71" s="1605"/>
      <c r="L71" s="1604"/>
      <c r="M71" s="1604"/>
      <c r="N71" s="1604"/>
    </row>
    <row r="72" spans="1:14" s="34" customFormat="1" ht="12.75" customHeight="1" x14ac:dyDescent="0.2">
      <c r="A72" s="1632" t="s">
        <v>221</v>
      </c>
      <c r="B72" s="1632"/>
      <c r="C72" s="1632"/>
      <c r="D72" s="1632"/>
      <c r="E72" s="1632"/>
      <c r="F72" s="1626" t="s">
        <v>604</v>
      </c>
      <c r="G72" s="1627"/>
      <c r="H72" s="1628"/>
      <c r="I72" s="1605"/>
      <c r="J72" s="1605"/>
      <c r="K72" s="1605"/>
      <c r="L72" s="1604"/>
      <c r="M72" s="1604"/>
      <c r="N72" s="1604"/>
    </row>
    <row r="73" spans="1:14" s="34" customFormat="1" ht="12.75" customHeight="1" x14ac:dyDescent="0.2">
      <c r="A73" s="1632" t="s">
        <v>87</v>
      </c>
      <c r="B73" s="1632"/>
      <c r="C73" s="1632"/>
      <c r="D73" s="1632"/>
      <c r="E73" s="1632"/>
      <c r="F73" s="1626" t="s">
        <v>604</v>
      </c>
      <c r="G73" s="1627"/>
      <c r="H73" s="1628"/>
      <c r="I73" s="1626" t="s">
        <v>2259</v>
      </c>
      <c r="J73" s="1633"/>
      <c r="K73" s="1634"/>
      <c r="L73" s="1638" t="s">
        <v>1695</v>
      </c>
      <c r="M73" s="1639"/>
      <c r="N73" s="1640"/>
    </row>
    <row r="74" spans="1:14" s="34" customFormat="1" ht="12.75" customHeight="1" x14ac:dyDescent="0.2">
      <c r="A74" s="1632" t="s">
        <v>98</v>
      </c>
      <c r="B74" s="1632"/>
      <c r="C74" s="1632"/>
      <c r="D74" s="1632"/>
      <c r="E74" s="1632"/>
      <c r="F74" s="1626" t="s">
        <v>604</v>
      </c>
      <c r="G74" s="1627"/>
      <c r="H74" s="1628"/>
      <c r="I74" s="1605"/>
      <c r="J74" s="1605"/>
      <c r="K74" s="1605"/>
      <c r="L74" s="1604"/>
      <c r="M74" s="1604"/>
      <c r="N74" s="1604"/>
    </row>
    <row r="75" spans="1:14" s="34" customFormat="1" ht="25.5" customHeight="1" x14ac:dyDescent="0.2">
      <c r="A75" s="1632" t="s">
        <v>989</v>
      </c>
      <c r="B75" s="1632"/>
      <c r="C75" s="1632"/>
      <c r="D75" s="1632"/>
      <c r="E75" s="1632"/>
      <c r="F75" s="1626" t="s">
        <v>91</v>
      </c>
      <c r="G75" s="1627"/>
      <c r="H75" s="1628"/>
      <c r="I75" s="1605"/>
      <c r="J75" s="1605"/>
      <c r="K75" s="1605"/>
      <c r="L75" s="1604"/>
      <c r="M75" s="1604"/>
      <c r="N75" s="1604"/>
    </row>
    <row r="76" spans="1:14" s="34" customFormat="1" ht="12.75" customHeight="1" x14ac:dyDescent="0.2">
      <c r="A76" s="1632" t="s">
        <v>990</v>
      </c>
      <c r="B76" s="1632"/>
      <c r="C76" s="1632"/>
      <c r="D76" s="1632"/>
      <c r="E76" s="1632"/>
      <c r="F76" s="1629" t="s">
        <v>604</v>
      </c>
      <c r="G76" s="1630"/>
      <c r="H76" s="1630"/>
      <c r="I76" s="1605"/>
      <c r="J76" s="1605"/>
      <c r="K76" s="1605"/>
      <c r="L76" s="1604"/>
      <c r="M76" s="1604"/>
      <c r="N76" s="1604"/>
    </row>
    <row r="77" spans="1:14" s="34" customFormat="1" ht="12.75" customHeight="1" x14ac:dyDescent="0.2">
      <c r="A77" s="1632" t="s">
        <v>480</v>
      </c>
      <c r="B77" s="1632"/>
      <c r="C77" s="1632"/>
      <c r="D77" s="1632"/>
      <c r="E77" s="1632"/>
      <c r="F77" s="1629" t="s">
        <v>604</v>
      </c>
      <c r="G77" s="1630"/>
      <c r="H77" s="1630"/>
      <c r="I77" s="1605"/>
      <c r="J77" s="1605"/>
      <c r="K77" s="1605"/>
      <c r="L77" s="1604"/>
      <c r="M77" s="1604"/>
      <c r="N77" s="1604"/>
    </row>
    <row r="78" spans="1:14" s="34" customFormat="1" ht="15.75" x14ac:dyDescent="0.2">
      <c r="B78" s="65"/>
    </row>
    <row r="79" spans="1:14" s="34" customFormat="1" ht="18.75" customHeight="1" x14ac:dyDescent="0.2">
      <c r="A79" s="1631" t="s">
        <v>1007</v>
      </c>
      <c r="B79" s="1631"/>
      <c r="C79" s="1631"/>
      <c r="D79" s="1631"/>
      <c r="E79" s="1631"/>
      <c r="F79" s="1631"/>
    </row>
    <row r="80" spans="1:14" s="34" customFormat="1" ht="18" customHeight="1" x14ac:dyDescent="0.2">
      <c r="A80" s="1366"/>
      <c r="B80" s="1366"/>
      <c r="C80" s="1366"/>
      <c r="D80" s="1366"/>
      <c r="E80" s="1366"/>
      <c r="F80" s="1366"/>
      <c r="G80" s="1366"/>
      <c r="H80" s="1366"/>
      <c r="I80" s="1366"/>
      <c r="J80" s="1366"/>
      <c r="K80" s="1366"/>
      <c r="L80" s="1366"/>
      <c r="M80" s="1366"/>
    </row>
    <row r="81" spans="1:14" s="34" customFormat="1" ht="18" customHeight="1" x14ac:dyDescent="0.2">
      <c r="A81" s="46"/>
      <c r="B81" s="46"/>
      <c r="C81" s="46"/>
      <c r="D81" s="46"/>
      <c r="E81" s="46"/>
      <c r="F81" s="46"/>
      <c r="G81" s="46"/>
      <c r="H81" s="46"/>
      <c r="I81" s="46"/>
      <c r="J81" s="46"/>
      <c r="K81" s="46"/>
      <c r="L81" s="46"/>
      <c r="M81" s="46"/>
    </row>
    <row r="82" spans="1:14" s="1034" customFormat="1" ht="33" customHeight="1" x14ac:dyDescent="0.2">
      <c r="A82" s="1611" t="s">
        <v>2636</v>
      </c>
      <c r="B82" s="1611"/>
      <c r="C82" s="1611"/>
      <c r="D82" s="1611"/>
      <c r="E82" s="1611"/>
      <c r="F82" s="1611"/>
      <c r="G82" s="1611"/>
      <c r="H82" s="1611"/>
      <c r="I82" s="1611"/>
      <c r="J82" s="1611"/>
      <c r="K82" s="1611"/>
      <c r="L82" s="1611"/>
      <c r="M82" s="1611"/>
      <c r="N82" s="1611"/>
    </row>
    <row r="83" spans="1:14" s="1034" customFormat="1" ht="36" customHeight="1" x14ac:dyDescent="0.2">
      <c r="A83" s="1620" t="s">
        <v>2637</v>
      </c>
      <c r="B83" s="1620"/>
      <c r="C83" s="1620"/>
      <c r="D83" s="1620"/>
      <c r="E83" s="1620"/>
      <c r="F83" s="1620"/>
      <c r="G83" s="1620"/>
      <c r="H83" s="1620"/>
      <c r="I83" s="1620"/>
      <c r="J83" s="1620"/>
      <c r="K83" s="1620"/>
      <c r="L83" s="1620"/>
      <c r="M83" s="1620"/>
      <c r="N83" s="1620"/>
    </row>
    <row r="84" spans="1:14" s="1034" customFormat="1" x14ac:dyDescent="0.2">
      <c r="A84" s="479"/>
      <c r="B84" s="479"/>
      <c r="C84" s="479"/>
      <c r="D84" s="479"/>
      <c r="E84" s="479"/>
      <c r="F84" s="479"/>
    </row>
    <row r="85" spans="1:14" s="1034" customFormat="1" ht="16.5" customHeight="1" x14ac:dyDescent="0.2">
      <c r="A85" s="1621" t="s">
        <v>2638</v>
      </c>
      <c r="B85" s="1623"/>
      <c r="C85" s="1623"/>
      <c r="D85" s="1623"/>
      <c r="E85" s="1623"/>
      <c r="F85" s="1623"/>
      <c r="G85" s="1623"/>
      <c r="H85" s="1623"/>
      <c r="I85" s="1623"/>
      <c r="J85" s="1623"/>
      <c r="K85" s="1623"/>
      <c r="L85" s="1623"/>
      <c r="M85" s="1623"/>
      <c r="N85" s="1622"/>
    </row>
    <row r="86" spans="1:14" s="1034" customFormat="1" x14ac:dyDescent="0.2">
      <c r="A86" s="1048"/>
      <c r="B86" s="1049"/>
      <c r="C86" s="479"/>
      <c r="D86" s="479"/>
      <c r="E86" s="479"/>
      <c r="F86" s="479"/>
    </row>
    <row r="87" spans="1:14" s="1034" customFormat="1" ht="18.75" customHeight="1" x14ac:dyDescent="0.25">
      <c r="A87" s="1050"/>
      <c r="B87" s="1611" t="s">
        <v>2639</v>
      </c>
      <c r="C87" s="1611"/>
      <c r="D87" s="1611"/>
      <c r="E87" s="1611"/>
      <c r="F87" s="1611"/>
      <c r="G87" s="1611"/>
      <c r="H87" s="1611"/>
      <c r="I87" s="1611"/>
      <c r="J87" s="1611"/>
      <c r="K87" s="1611"/>
      <c r="L87" s="1611"/>
      <c r="M87" s="1611"/>
      <c r="N87" s="1611"/>
    </row>
    <row r="88" spans="1:14" s="1034" customFormat="1" ht="34.5" customHeight="1" x14ac:dyDescent="0.2">
      <c r="A88" s="1049"/>
      <c r="B88" s="1611" t="s">
        <v>2640</v>
      </c>
      <c r="C88" s="1611"/>
      <c r="D88" s="1611"/>
      <c r="E88" s="1611"/>
      <c r="F88" s="1611"/>
      <c r="G88" s="1611"/>
      <c r="H88" s="1611"/>
      <c r="I88" s="1611"/>
      <c r="J88" s="1611"/>
      <c r="K88" s="1611"/>
      <c r="L88" s="1611"/>
      <c r="M88" s="1611"/>
      <c r="N88" s="1611"/>
    </row>
    <row r="89" spans="1:14" s="1043" customFormat="1" x14ac:dyDescent="0.2"/>
    <row r="90" spans="1:14" s="1034" customFormat="1" ht="18.75" customHeight="1" x14ac:dyDescent="0.25">
      <c r="A90" s="1050" t="s">
        <v>604</v>
      </c>
      <c r="B90" s="1611" t="s">
        <v>2641</v>
      </c>
      <c r="C90" s="1611"/>
      <c r="D90" s="1611"/>
      <c r="E90" s="1611"/>
      <c r="F90" s="1611"/>
      <c r="G90" s="1611"/>
      <c r="H90" s="1611"/>
      <c r="I90" s="1611"/>
      <c r="J90" s="1611"/>
      <c r="K90" s="1611"/>
      <c r="L90" s="1611"/>
      <c r="M90" s="1611"/>
      <c r="N90" s="1611"/>
    </row>
    <row r="91" spans="1:14" s="1034" customFormat="1" ht="45" customHeight="1" x14ac:dyDescent="0.2">
      <c r="A91" s="1049"/>
      <c r="B91" s="1616" t="s">
        <v>2642</v>
      </c>
      <c r="C91" s="1618"/>
      <c r="D91" s="1619" t="s">
        <v>2643</v>
      </c>
      <c r="E91" s="1620"/>
      <c r="F91" s="1620"/>
      <c r="G91" s="1620"/>
      <c r="H91" s="1620"/>
      <c r="I91" s="1620"/>
      <c r="J91" s="1620"/>
      <c r="K91" s="1620"/>
      <c r="L91" s="1620"/>
      <c r="M91" s="1620"/>
      <c r="N91" s="1620"/>
    </row>
    <row r="92" spans="1:14" s="1034" customFormat="1" x14ac:dyDescent="0.2">
      <c r="A92" s="1049"/>
      <c r="B92" s="1051"/>
      <c r="C92" s="479"/>
      <c r="D92" s="479"/>
      <c r="E92" s="479"/>
      <c r="F92" s="479"/>
    </row>
    <row r="93" spans="1:14" s="1034" customFormat="1" ht="30.75" customHeight="1" x14ac:dyDescent="0.2">
      <c r="A93" s="1049"/>
      <c r="B93" s="1611" t="s">
        <v>2644</v>
      </c>
      <c r="C93" s="1611"/>
      <c r="D93" s="1611"/>
      <c r="E93" s="1611"/>
      <c r="F93" s="1611"/>
      <c r="G93" s="1611"/>
      <c r="H93" s="1611"/>
      <c r="I93" s="1611"/>
      <c r="J93" s="1611"/>
      <c r="K93" s="1611"/>
      <c r="L93" s="1611"/>
      <c r="M93" s="1611"/>
      <c r="N93" s="1611"/>
    </row>
    <row r="94" spans="1:14" s="1034" customFormat="1" x14ac:dyDescent="0.2">
      <c r="A94" s="479"/>
      <c r="B94" s="479"/>
      <c r="C94" s="479"/>
      <c r="D94" s="479"/>
      <c r="E94" s="479"/>
      <c r="F94" s="479"/>
    </row>
    <row r="95" spans="1:14" s="1034" customFormat="1" ht="18" customHeight="1" x14ac:dyDescent="0.2">
      <c r="A95" s="1621" t="s">
        <v>2645</v>
      </c>
      <c r="B95" s="1623"/>
      <c r="C95" s="1623"/>
      <c r="D95" s="1623"/>
      <c r="E95" s="1623"/>
      <c r="F95" s="1623"/>
      <c r="G95" s="1623"/>
      <c r="H95" s="1623"/>
      <c r="I95" s="1623"/>
      <c r="J95" s="1623"/>
      <c r="K95" s="1623"/>
      <c r="L95" s="1623"/>
      <c r="M95" s="1623"/>
      <c r="N95" s="1622"/>
    </row>
    <row r="96" spans="1:14" s="1034" customFormat="1" x14ac:dyDescent="0.2">
      <c r="A96" s="1048"/>
      <c r="B96" s="1049"/>
      <c r="C96" s="479"/>
      <c r="D96" s="479"/>
      <c r="E96" s="479"/>
      <c r="F96" s="479"/>
    </row>
    <row r="97" spans="1:14" s="1034" customFormat="1" ht="29.25" customHeight="1" x14ac:dyDescent="0.25">
      <c r="A97" s="1050" t="s">
        <v>604</v>
      </c>
      <c r="B97" s="1611" t="s">
        <v>2646</v>
      </c>
      <c r="C97" s="1611"/>
      <c r="D97" s="1611"/>
      <c r="E97" s="1611"/>
      <c r="F97" s="1611"/>
      <c r="G97" s="1611"/>
      <c r="H97" s="1611"/>
      <c r="I97" s="1611"/>
      <c r="J97" s="1611"/>
      <c r="K97" s="1611"/>
      <c r="L97" s="1611"/>
      <c r="M97" s="1611"/>
      <c r="N97" s="1611"/>
    </row>
    <row r="98" spans="1:14" s="1034" customFormat="1" ht="18.75" customHeight="1" x14ac:dyDescent="0.2">
      <c r="A98" s="1049"/>
      <c r="B98" s="1621" t="s">
        <v>2647</v>
      </c>
      <c r="C98" s="1622"/>
      <c r="D98" s="1619" t="s">
        <v>2672</v>
      </c>
      <c r="E98" s="1620"/>
      <c r="F98" s="1620"/>
      <c r="G98" s="1620"/>
      <c r="H98" s="1620"/>
      <c r="I98" s="1620"/>
      <c r="J98" s="1620"/>
      <c r="K98" s="1620"/>
      <c r="L98" s="1620"/>
      <c r="M98" s="1620"/>
      <c r="N98" s="1620"/>
    </row>
    <row r="99" spans="1:14" s="1034" customFormat="1" ht="18.75" customHeight="1" x14ac:dyDescent="0.2">
      <c r="A99" s="1049"/>
      <c r="B99" s="1621" t="s">
        <v>2648</v>
      </c>
      <c r="C99" s="1622"/>
      <c r="D99" s="1619" t="s">
        <v>2673</v>
      </c>
      <c r="E99" s="1620"/>
      <c r="F99" s="1620"/>
      <c r="G99" s="1620"/>
      <c r="H99" s="1620"/>
      <c r="I99" s="1620"/>
      <c r="J99" s="1620"/>
      <c r="K99" s="1620"/>
      <c r="L99" s="1620"/>
      <c r="M99" s="1620"/>
      <c r="N99" s="1620"/>
    </row>
    <row r="100" spans="1:14" s="1034" customFormat="1" x14ac:dyDescent="0.2">
      <c r="A100" s="1049"/>
      <c r="B100" s="1051"/>
      <c r="C100" s="479"/>
      <c r="D100" s="479"/>
      <c r="E100" s="479"/>
      <c r="F100" s="479"/>
    </row>
    <row r="101" spans="1:14" s="1034" customFormat="1" ht="18.75" customHeight="1" x14ac:dyDescent="0.2">
      <c r="A101" s="1052"/>
      <c r="B101" s="1611" t="s">
        <v>2649</v>
      </c>
      <c r="C101" s="1611"/>
      <c r="D101" s="1611"/>
      <c r="E101" s="1611"/>
      <c r="F101" s="1611"/>
      <c r="G101" s="1611"/>
      <c r="H101" s="1611"/>
      <c r="I101" s="1611"/>
      <c r="J101" s="1611"/>
      <c r="K101" s="1611"/>
      <c r="L101" s="1611"/>
      <c r="M101" s="1611"/>
      <c r="N101" s="1611"/>
    </row>
    <row r="102" spans="1:14" s="1034" customFormat="1" x14ac:dyDescent="0.2">
      <c r="A102" s="479"/>
      <c r="B102" s="479"/>
      <c r="C102" s="479"/>
      <c r="D102" s="479"/>
      <c r="E102" s="479"/>
      <c r="F102" s="479"/>
    </row>
    <row r="103" spans="1:14" s="1034" customFormat="1" ht="17.25" customHeight="1" x14ac:dyDescent="0.2">
      <c r="A103" s="1621" t="s">
        <v>2650</v>
      </c>
      <c r="B103" s="1623"/>
      <c r="C103" s="1623"/>
      <c r="D103" s="1623"/>
      <c r="E103" s="1623"/>
      <c r="F103" s="1623"/>
      <c r="G103" s="1623"/>
      <c r="H103" s="1623"/>
      <c r="I103" s="1623"/>
      <c r="J103" s="1623"/>
      <c r="K103" s="1623"/>
      <c r="L103" s="1623"/>
      <c r="M103" s="1623"/>
      <c r="N103" s="1622"/>
    </row>
    <row r="104" spans="1:14" s="1034" customFormat="1" x14ac:dyDescent="0.2">
      <c r="A104" s="1048"/>
      <c r="B104" s="1049"/>
      <c r="C104" s="479"/>
      <c r="D104" s="479"/>
      <c r="E104" s="479"/>
      <c r="F104" s="479"/>
    </row>
    <row r="105" spans="1:14" s="1034" customFormat="1" ht="15.75" customHeight="1" x14ac:dyDescent="0.25">
      <c r="A105" s="1050" t="s">
        <v>604</v>
      </c>
      <c r="B105" s="1611" t="s">
        <v>2651</v>
      </c>
      <c r="C105" s="1611"/>
      <c r="D105" s="1611"/>
      <c r="E105" s="1611"/>
      <c r="F105" s="1611"/>
      <c r="G105" s="1611"/>
      <c r="H105" s="1611"/>
      <c r="I105" s="1611"/>
      <c r="J105" s="1611"/>
      <c r="K105" s="1611"/>
      <c r="L105" s="1611"/>
      <c r="M105" s="1611"/>
      <c r="N105" s="1611"/>
    </row>
    <row r="106" spans="1:14" s="1034" customFormat="1" ht="12.75" customHeight="1" x14ac:dyDescent="0.2">
      <c r="A106" s="1049"/>
      <c r="B106" s="1616" t="s">
        <v>2652</v>
      </c>
      <c r="C106" s="1617"/>
      <c r="D106" s="1618"/>
      <c r="E106" s="1624" t="s">
        <v>2698</v>
      </c>
      <c r="F106" s="1625"/>
      <c r="G106" s="1625"/>
      <c r="H106" s="1625"/>
      <c r="I106" s="1625"/>
      <c r="J106" s="1625"/>
      <c r="K106" s="1625"/>
      <c r="L106" s="1625"/>
      <c r="M106" s="1625"/>
      <c r="N106" s="1625"/>
    </row>
    <row r="107" spans="1:14" s="1034" customFormat="1" x14ac:dyDescent="0.2">
      <c r="A107" s="1049"/>
      <c r="B107" s="1051"/>
      <c r="C107" s="479"/>
      <c r="D107" s="479"/>
      <c r="E107" s="479"/>
      <c r="F107" s="479"/>
    </row>
    <row r="108" spans="1:14" s="1034" customFormat="1" ht="12.75" customHeight="1" x14ac:dyDescent="0.2">
      <c r="A108" s="1052"/>
      <c r="B108" s="1611" t="s">
        <v>2653</v>
      </c>
      <c r="C108" s="1611"/>
      <c r="D108" s="1611"/>
      <c r="E108" s="1611"/>
      <c r="F108" s="1611"/>
      <c r="G108" s="1611"/>
      <c r="H108" s="1611"/>
      <c r="I108" s="1611"/>
      <c r="J108" s="1611"/>
      <c r="K108" s="1611"/>
      <c r="L108" s="1611"/>
      <c r="M108" s="1611"/>
      <c r="N108" s="1611"/>
    </row>
    <row r="109" spans="1:14" s="1034" customFormat="1" ht="17.25" customHeight="1" x14ac:dyDescent="0.2">
      <c r="A109" s="1049"/>
      <c r="B109" s="1611" t="s">
        <v>2654</v>
      </c>
      <c r="C109" s="1611"/>
      <c r="D109" s="1611"/>
      <c r="E109" s="1611"/>
      <c r="F109" s="1611"/>
      <c r="G109" s="1611"/>
      <c r="H109" s="1611"/>
      <c r="I109" s="1611"/>
      <c r="J109" s="1611"/>
      <c r="K109" s="1611"/>
      <c r="L109" s="1611"/>
      <c r="M109" s="1611"/>
      <c r="N109" s="1611"/>
    </row>
    <row r="110" spans="1:14" s="1034" customFormat="1" ht="18.75" customHeight="1" x14ac:dyDescent="0.2">
      <c r="A110" s="1049"/>
      <c r="B110" s="1611" t="s">
        <v>2655</v>
      </c>
      <c r="C110" s="1611"/>
      <c r="D110" s="1611"/>
      <c r="E110" s="1611"/>
      <c r="F110" s="1611"/>
      <c r="G110" s="1611"/>
      <c r="H110" s="1611"/>
      <c r="I110" s="1611"/>
      <c r="J110" s="1611"/>
      <c r="K110" s="1611"/>
      <c r="L110" s="1611"/>
      <c r="M110" s="1611"/>
      <c r="N110" s="1611"/>
    </row>
    <row r="111" spans="1:14" s="1034" customFormat="1" x14ac:dyDescent="0.2">
      <c r="A111" s="1049"/>
      <c r="B111" s="1051"/>
      <c r="C111" s="479"/>
      <c r="D111" s="479"/>
      <c r="E111" s="479"/>
      <c r="F111" s="479"/>
    </row>
    <row r="112" spans="1:14" s="1034" customFormat="1" ht="15.75" customHeight="1" x14ac:dyDescent="0.2">
      <c r="A112" s="1052"/>
      <c r="B112" s="1611" t="s">
        <v>2656</v>
      </c>
      <c r="C112" s="1611"/>
      <c r="D112" s="1611"/>
      <c r="E112" s="1611"/>
      <c r="F112" s="1611"/>
      <c r="G112" s="1611"/>
      <c r="H112" s="1611"/>
      <c r="I112" s="1611"/>
      <c r="J112" s="1611"/>
      <c r="K112" s="1611"/>
      <c r="L112" s="1611"/>
      <c r="M112" s="1611"/>
      <c r="N112" s="1611"/>
    </row>
    <row r="113" spans="1:14" s="1034" customFormat="1" x14ac:dyDescent="0.2">
      <c r="A113" s="479"/>
      <c r="B113" s="479"/>
      <c r="C113" s="479"/>
      <c r="D113" s="479"/>
      <c r="E113" s="479"/>
      <c r="F113" s="479"/>
    </row>
    <row r="114" spans="1:14" s="1034" customFormat="1" ht="17.25" customHeight="1" x14ac:dyDescent="0.2">
      <c r="A114" s="1615" t="s">
        <v>2657</v>
      </c>
      <c r="B114" s="1615"/>
      <c r="C114" s="1615"/>
      <c r="D114" s="1615"/>
      <c r="E114" s="1615"/>
      <c r="F114" s="1615"/>
      <c r="G114" s="1615"/>
      <c r="H114" s="1615"/>
      <c r="I114" s="1615"/>
      <c r="J114" s="1615"/>
      <c r="K114" s="1615"/>
      <c r="L114" s="1615"/>
      <c r="M114" s="1615"/>
      <c r="N114" s="1615"/>
    </row>
    <row r="115" spans="1:14" s="1034" customFormat="1" x14ac:dyDescent="0.2">
      <c r="A115" s="1048"/>
      <c r="B115" s="1049"/>
      <c r="C115" s="479"/>
      <c r="D115" s="479"/>
      <c r="E115" s="479"/>
      <c r="F115" s="479"/>
    </row>
    <row r="116" spans="1:14" s="1034" customFormat="1" ht="15.75" customHeight="1" x14ac:dyDescent="0.25">
      <c r="A116" s="1050" t="s">
        <v>604</v>
      </c>
      <c r="B116" s="1611" t="s">
        <v>2658</v>
      </c>
      <c r="C116" s="1611"/>
      <c r="D116" s="1611"/>
      <c r="E116" s="1611"/>
      <c r="F116" s="1611"/>
      <c r="G116" s="1611"/>
      <c r="H116" s="1611"/>
      <c r="I116" s="1611"/>
      <c r="J116" s="1611"/>
      <c r="K116" s="1611"/>
      <c r="L116" s="1611"/>
      <c r="M116" s="1611"/>
      <c r="N116" s="1611"/>
    </row>
    <row r="117" spans="1:14" s="1034" customFormat="1" ht="12.75" customHeight="1" x14ac:dyDescent="0.2">
      <c r="A117" s="1049"/>
      <c r="B117" s="1616" t="s">
        <v>2659</v>
      </c>
      <c r="C117" s="1617"/>
      <c r="D117" s="1618"/>
      <c r="E117" s="1619" t="s">
        <v>1950</v>
      </c>
      <c r="F117" s="1620"/>
      <c r="G117" s="1620"/>
      <c r="H117" s="1620"/>
      <c r="I117" s="1620"/>
      <c r="J117" s="1620"/>
      <c r="K117" s="1620"/>
      <c r="L117" s="1620"/>
      <c r="M117" s="1620"/>
      <c r="N117" s="1620"/>
    </row>
    <row r="118" spans="1:14" s="1034" customFormat="1" x14ac:dyDescent="0.2">
      <c r="A118" s="1049"/>
      <c r="B118" s="1051"/>
      <c r="C118" s="479"/>
      <c r="D118" s="479"/>
      <c r="E118" s="479"/>
      <c r="F118" s="479"/>
    </row>
    <row r="119" spans="1:14" s="1034" customFormat="1" ht="12.75" customHeight="1" x14ac:dyDescent="0.2">
      <c r="A119" s="1052"/>
      <c r="B119" s="1611" t="s">
        <v>2660</v>
      </c>
      <c r="C119" s="1611"/>
      <c r="D119" s="1611"/>
      <c r="E119" s="1611"/>
      <c r="F119" s="1611"/>
      <c r="G119" s="1611"/>
      <c r="H119" s="1611"/>
      <c r="I119" s="1611"/>
      <c r="J119" s="1611"/>
      <c r="K119" s="1611"/>
      <c r="L119" s="1611"/>
      <c r="M119" s="1611"/>
      <c r="N119" s="1611"/>
    </row>
    <row r="120" spans="1:14" s="1034" customFormat="1" ht="12.75" customHeight="1" x14ac:dyDescent="0.2">
      <c r="A120" s="1049"/>
      <c r="B120" s="1611" t="s">
        <v>2654</v>
      </c>
      <c r="C120" s="1611"/>
      <c r="D120" s="1611"/>
      <c r="E120" s="1611"/>
      <c r="F120" s="1611"/>
      <c r="G120" s="1611"/>
      <c r="H120" s="1611"/>
      <c r="I120" s="1611"/>
      <c r="J120" s="1611"/>
      <c r="K120" s="1611"/>
      <c r="L120" s="1611"/>
      <c r="M120" s="1611"/>
      <c r="N120" s="1611"/>
    </row>
    <row r="121" spans="1:14" s="1034" customFormat="1" x14ac:dyDescent="0.2">
      <c r="A121" s="1049"/>
      <c r="B121" s="1051"/>
      <c r="C121" s="479"/>
      <c r="D121" s="479"/>
      <c r="E121" s="479"/>
      <c r="F121" s="479"/>
    </row>
    <row r="122" spans="1:14" s="1034" customFormat="1" ht="18.75" customHeight="1" x14ac:dyDescent="0.2">
      <c r="A122" s="1049"/>
      <c r="B122" s="1611" t="s">
        <v>2655</v>
      </c>
      <c r="C122" s="1611"/>
      <c r="D122" s="1611"/>
      <c r="E122" s="1611"/>
      <c r="F122" s="1611"/>
      <c r="G122" s="1611"/>
      <c r="H122" s="1611"/>
      <c r="I122" s="1611"/>
      <c r="J122" s="1611"/>
      <c r="K122" s="1611"/>
      <c r="L122" s="1611"/>
      <c r="M122" s="1611"/>
      <c r="N122" s="1611"/>
    </row>
    <row r="123" spans="1:14" s="1034" customFormat="1" ht="18.75" customHeight="1" x14ac:dyDescent="0.2">
      <c r="A123" s="1052"/>
      <c r="B123" s="1611" t="s">
        <v>2661</v>
      </c>
      <c r="C123" s="1611"/>
      <c r="D123" s="1611"/>
      <c r="E123" s="1611"/>
      <c r="F123" s="1611"/>
      <c r="G123" s="1611"/>
      <c r="H123" s="1611"/>
      <c r="I123" s="1611"/>
      <c r="J123" s="1611"/>
      <c r="K123" s="1611"/>
      <c r="L123" s="1611"/>
      <c r="M123" s="1611"/>
      <c r="N123" s="1611"/>
    </row>
    <row r="124" spans="1:14" s="1034" customFormat="1" x14ac:dyDescent="0.2">
      <c r="A124" s="479"/>
      <c r="B124" s="479"/>
      <c r="C124" s="479"/>
      <c r="D124" s="479"/>
      <c r="E124" s="479"/>
      <c r="F124" s="479"/>
    </row>
    <row r="125" spans="1:14" s="1034" customFormat="1" ht="16.5" customHeight="1" x14ac:dyDescent="0.2">
      <c r="A125" s="1615" t="s">
        <v>2662</v>
      </c>
      <c r="B125" s="1615"/>
      <c r="C125" s="1615"/>
      <c r="D125" s="1615"/>
      <c r="E125" s="1615"/>
      <c r="F125" s="1615"/>
      <c r="G125" s="1615"/>
      <c r="H125" s="1615"/>
      <c r="I125" s="1615"/>
      <c r="J125" s="1615"/>
      <c r="K125" s="1615"/>
      <c r="L125" s="1615"/>
      <c r="M125" s="1615"/>
      <c r="N125" s="1615"/>
    </row>
    <row r="126" spans="1:14" s="1034" customFormat="1" x14ac:dyDescent="0.2">
      <c r="A126" s="1048"/>
      <c r="B126" s="1049"/>
      <c r="C126" s="479"/>
      <c r="D126" s="479"/>
      <c r="E126" s="479"/>
      <c r="F126" s="479"/>
    </row>
    <row r="127" spans="1:14" s="1034" customFormat="1" ht="15.75" customHeight="1" x14ac:dyDescent="0.25">
      <c r="A127" s="1050" t="s">
        <v>604</v>
      </c>
      <c r="B127" s="1611" t="s">
        <v>2663</v>
      </c>
      <c r="C127" s="1611"/>
      <c r="D127" s="1611"/>
      <c r="E127" s="1611"/>
      <c r="F127" s="1611"/>
      <c r="G127" s="1611"/>
      <c r="H127" s="1611"/>
      <c r="I127" s="1611"/>
      <c r="J127" s="1611"/>
      <c r="K127" s="1611"/>
      <c r="L127" s="1611"/>
      <c r="M127" s="1611"/>
      <c r="N127" s="1611"/>
    </row>
    <row r="128" spans="1:14" s="1034" customFormat="1" ht="15" customHeight="1" x14ac:dyDescent="0.2">
      <c r="A128" s="1049"/>
      <c r="B128" s="1616" t="s">
        <v>2664</v>
      </c>
      <c r="C128" s="1617"/>
      <c r="D128" s="1618"/>
      <c r="E128" s="1619" t="s">
        <v>2674</v>
      </c>
      <c r="F128" s="1620"/>
      <c r="G128" s="1620"/>
      <c r="H128" s="1620"/>
      <c r="I128" s="1620"/>
      <c r="J128" s="1620"/>
      <c r="K128" s="1620"/>
      <c r="L128" s="1620"/>
      <c r="M128" s="1620"/>
      <c r="N128" s="1620"/>
    </row>
    <row r="129" spans="1:14" s="1034" customFormat="1" x14ac:dyDescent="0.2">
      <c r="A129" s="1049"/>
      <c r="B129" s="1051"/>
      <c r="C129" s="479"/>
      <c r="D129" s="479"/>
      <c r="E129" s="479"/>
      <c r="F129" s="479"/>
    </row>
    <row r="130" spans="1:14" s="1034" customFormat="1" ht="18" customHeight="1" x14ac:dyDescent="0.2">
      <c r="A130" s="1052"/>
      <c r="B130" s="1611" t="s">
        <v>2665</v>
      </c>
      <c r="C130" s="1611"/>
      <c r="D130" s="1611"/>
      <c r="E130" s="1611"/>
      <c r="F130" s="1611"/>
      <c r="G130" s="1611"/>
      <c r="H130" s="1611"/>
      <c r="I130" s="1611"/>
      <c r="J130" s="1611"/>
      <c r="K130" s="1611"/>
      <c r="L130" s="1611"/>
      <c r="M130" s="1611"/>
      <c r="N130" s="1611"/>
    </row>
    <row r="131" spans="1:14" s="1034" customFormat="1" ht="12.75" customHeight="1" x14ac:dyDescent="0.2">
      <c r="A131" s="1049"/>
      <c r="B131" s="1611" t="s">
        <v>2654</v>
      </c>
      <c r="C131" s="1611"/>
      <c r="D131" s="1611"/>
      <c r="E131" s="1611"/>
      <c r="F131" s="1611"/>
      <c r="G131" s="1611"/>
      <c r="H131" s="1611"/>
      <c r="I131" s="1611"/>
      <c r="J131" s="1611"/>
      <c r="K131" s="1611"/>
      <c r="L131" s="1611"/>
      <c r="M131" s="1611"/>
      <c r="N131" s="1611"/>
    </row>
    <row r="132" spans="1:14" s="1034" customFormat="1" x14ac:dyDescent="0.2">
      <c r="A132" s="1049"/>
      <c r="B132" s="1051"/>
      <c r="C132" s="479"/>
      <c r="D132" s="479"/>
      <c r="E132" s="479"/>
      <c r="F132" s="479"/>
    </row>
    <row r="133" spans="1:14" s="1034" customFormat="1" ht="18.75" customHeight="1" x14ac:dyDescent="0.2">
      <c r="A133" s="1049"/>
      <c r="B133" s="1611" t="s">
        <v>2655</v>
      </c>
      <c r="C133" s="1611"/>
      <c r="D133" s="1611"/>
      <c r="E133" s="1611"/>
      <c r="F133" s="1611"/>
      <c r="G133" s="1611"/>
      <c r="H133" s="1611"/>
      <c r="I133" s="1611"/>
      <c r="J133" s="1611"/>
      <c r="K133" s="1611"/>
      <c r="L133" s="1611"/>
      <c r="M133" s="1611"/>
      <c r="N133" s="1611"/>
    </row>
    <row r="134" spans="1:14" s="1034" customFormat="1" ht="18.75" customHeight="1" x14ac:dyDescent="0.2">
      <c r="A134" s="1052"/>
      <c r="B134" s="1611" t="s">
        <v>2666</v>
      </c>
      <c r="C134" s="1611"/>
      <c r="D134" s="1611"/>
      <c r="E134" s="1611"/>
      <c r="F134" s="1611"/>
      <c r="G134" s="1611"/>
      <c r="H134" s="1611"/>
      <c r="I134" s="1611"/>
      <c r="J134" s="1611"/>
      <c r="K134" s="1611"/>
      <c r="L134" s="1611"/>
      <c r="M134" s="1611"/>
      <c r="N134" s="1611"/>
    </row>
    <row r="135" spans="1:14" s="1034" customFormat="1" x14ac:dyDescent="0.2">
      <c r="A135" s="479"/>
      <c r="B135" s="479"/>
      <c r="C135" s="479"/>
      <c r="D135" s="479"/>
      <c r="E135" s="479"/>
      <c r="F135" s="479"/>
    </row>
    <row r="136" spans="1:14" s="1034" customFormat="1" ht="18" customHeight="1" x14ac:dyDescent="0.2">
      <c r="A136" s="1314" t="s">
        <v>1012</v>
      </c>
      <c r="B136" s="1314"/>
      <c r="C136" s="1314"/>
      <c r="D136" s="1314"/>
      <c r="E136" s="1314"/>
      <c r="F136" s="1314"/>
      <c r="G136" s="1314"/>
      <c r="H136" s="1314"/>
      <c r="I136" s="1314"/>
      <c r="J136" s="1314"/>
      <c r="K136" s="1314"/>
      <c r="L136" s="1314"/>
      <c r="M136" s="1314"/>
    </row>
    <row r="137" spans="1:14" s="1034" customFormat="1" ht="18" customHeight="1" x14ac:dyDescent="0.2">
      <c r="A137" s="237" t="s">
        <v>76</v>
      </c>
      <c r="B137" s="1612" t="s">
        <v>1013</v>
      </c>
      <c r="C137" s="1613"/>
      <c r="D137" s="1613"/>
      <c r="E137" s="1613"/>
      <c r="F137" s="1613"/>
      <c r="G137" s="1613"/>
      <c r="H137" s="1613"/>
      <c r="I137" s="1613"/>
      <c r="J137" s="1613"/>
      <c r="K137" s="1613"/>
      <c r="L137" s="1613"/>
      <c r="M137" s="1614"/>
    </row>
    <row r="138" spans="1:14" s="1034" customFormat="1" ht="18" customHeight="1" x14ac:dyDescent="0.2">
      <c r="A138" s="1053">
        <v>43696</v>
      </c>
      <c r="B138" s="1606" t="s">
        <v>2667</v>
      </c>
      <c r="C138" s="1607"/>
      <c r="D138" s="1607"/>
      <c r="E138" s="1607"/>
      <c r="F138" s="1607"/>
      <c r="G138" s="1607"/>
      <c r="H138" s="1607"/>
      <c r="I138" s="1607"/>
      <c r="J138" s="1607"/>
      <c r="K138" s="1607"/>
      <c r="L138" s="1607"/>
      <c r="M138" s="1608"/>
    </row>
    <row r="139" spans="1:14" s="1034" customFormat="1" ht="18" customHeight="1" x14ac:dyDescent="0.2">
      <c r="A139" s="1053">
        <v>43700</v>
      </c>
      <c r="B139" s="1606" t="s">
        <v>2668</v>
      </c>
      <c r="C139" s="1607"/>
      <c r="D139" s="1607"/>
      <c r="E139" s="1607"/>
      <c r="F139" s="1607"/>
      <c r="G139" s="1607"/>
      <c r="H139" s="1607"/>
      <c r="I139" s="1607"/>
      <c r="J139" s="1607"/>
      <c r="K139" s="1607"/>
      <c r="L139" s="1607"/>
      <c r="M139" s="1608"/>
    </row>
    <row r="140" spans="1:14" s="1034" customFormat="1" ht="18" customHeight="1" x14ac:dyDescent="0.2">
      <c r="A140" s="1053">
        <v>43725</v>
      </c>
      <c r="B140" s="1606" t="s">
        <v>2669</v>
      </c>
      <c r="C140" s="1607"/>
      <c r="D140" s="1607"/>
      <c r="E140" s="1607"/>
      <c r="F140" s="1607"/>
      <c r="G140" s="1607"/>
      <c r="H140" s="1607"/>
      <c r="I140" s="1607"/>
      <c r="J140" s="1607"/>
      <c r="K140" s="1607"/>
      <c r="L140" s="1607"/>
      <c r="M140" s="1608"/>
    </row>
    <row r="141" spans="1:14" s="1034" customFormat="1" ht="18" customHeight="1" x14ac:dyDescent="0.2">
      <c r="A141" s="1053">
        <v>43726</v>
      </c>
      <c r="B141" s="1606" t="s">
        <v>2670</v>
      </c>
      <c r="C141" s="1607"/>
      <c r="D141" s="1607"/>
      <c r="E141" s="1607"/>
      <c r="F141" s="1607"/>
      <c r="G141" s="1607"/>
      <c r="H141" s="1607"/>
      <c r="I141" s="1607"/>
      <c r="J141" s="1607"/>
      <c r="K141" s="1607"/>
      <c r="L141" s="1607"/>
      <c r="M141" s="1608"/>
    </row>
    <row r="142" spans="1:14" s="1034" customFormat="1" ht="18" customHeight="1" x14ac:dyDescent="0.2">
      <c r="A142" s="1036"/>
      <c r="B142" s="1036"/>
      <c r="C142" s="1036"/>
      <c r="D142" s="1036"/>
      <c r="E142" s="1036"/>
      <c r="F142" s="1036"/>
      <c r="G142" s="1036"/>
      <c r="H142" s="1036"/>
      <c r="I142" s="1036"/>
      <c r="J142" s="1036"/>
      <c r="K142" s="1036"/>
      <c r="L142" s="1036"/>
      <c r="M142" s="1036"/>
    </row>
    <row r="143" spans="1:14" s="1034" customFormat="1" ht="16.5" customHeight="1" x14ac:dyDescent="0.2">
      <c r="A143" s="1546" t="s">
        <v>986</v>
      </c>
      <c r="B143" s="1546"/>
      <c r="C143" s="1546"/>
      <c r="D143" s="1546"/>
      <c r="E143" s="1546"/>
      <c r="F143" s="1546"/>
      <c r="G143" s="1546"/>
    </row>
    <row r="144" spans="1:14" s="1034" customFormat="1" ht="12.75" customHeight="1" x14ac:dyDescent="0.2">
      <c r="A144" s="1349" t="s">
        <v>1009</v>
      </c>
      <c r="B144" s="1349"/>
      <c r="C144" s="1349"/>
      <c r="D144" s="1349"/>
      <c r="E144" s="1349"/>
      <c r="F144" s="1349"/>
      <c r="G144" s="1349"/>
      <c r="H144" s="1349"/>
      <c r="I144" s="1349"/>
      <c r="J144" s="1349"/>
      <c r="K144" s="1349"/>
      <c r="L144" s="1349"/>
      <c r="M144" s="1349"/>
    </row>
    <row r="145" spans="1:13" s="1034" customFormat="1" ht="12.75" customHeight="1" x14ac:dyDescent="0.2">
      <c r="A145" s="1609" t="s">
        <v>1010</v>
      </c>
      <c r="B145" s="1609"/>
      <c r="C145" s="1609"/>
      <c r="D145" s="1609"/>
      <c r="E145" s="1609"/>
      <c r="F145" s="1609"/>
      <c r="G145" s="1609"/>
      <c r="H145" s="1609"/>
      <c r="I145" s="1609"/>
      <c r="J145" s="1609"/>
      <c r="K145" s="1609"/>
      <c r="L145" s="1609"/>
      <c r="M145" s="1609"/>
    </row>
    <row r="146" spans="1:13" s="1034" customFormat="1" ht="12.75" customHeight="1" x14ac:dyDescent="0.2">
      <c r="A146" s="1037" t="s">
        <v>604</v>
      </c>
      <c r="B146" s="1395" t="s">
        <v>557</v>
      </c>
      <c r="C146" s="1396"/>
      <c r="D146" s="1397"/>
      <c r="E146" s="1395" t="s">
        <v>558</v>
      </c>
      <c r="F146" s="1396"/>
      <c r="G146" s="1396"/>
      <c r="H146" s="1396"/>
      <c r="I146" s="1396"/>
      <c r="J146" s="1396"/>
      <c r="K146" s="1397"/>
    </row>
    <row r="147" spans="1:13" s="1034" customFormat="1" ht="27" customHeight="1" x14ac:dyDescent="0.2">
      <c r="A147" s="1039"/>
      <c r="B147" s="1392" t="s">
        <v>2671</v>
      </c>
      <c r="C147" s="1393"/>
      <c r="D147" s="1394"/>
      <c r="E147" s="1392" t="s">
        <v>559</v>
      </c>
      <c r="F147" s="1393"/>
      <c r="G147" s="1393"/>
      <c r="H147" s="1393"/>
      <c r="I147" s="1393"/>
      <c r="J147" s="1393"/>
      <c r="K147" s="1394"/>
    </row>
    <row r="148" spans="1:13" s="1034" customFormat="1" ht="15.75" x14ac:dyDescent="0.2">
      <c r="B148" s="1038"/>
    </row>
    <row r="149" spans="1:13" s="1034" customFormat="1" ht="12.75" customHeight="1" x14ac:dyDescent="0.2">
      <c r="A149" s="1610" t="s">
        <v>1011</v>
      </c>
      <c r="B149" s="1610"/>
      <c r="C149" s="1610"/>
      <c r="D149" s="1610"/>
      <c r="E149" s="1610"/>
      <c r="F149" s="1610"/>
    </row>
    <row r="150" spans="1:13" s="1034" customFormat="1" ht="18" customHeight="1" x14ac:dyDescent="0.2">
      <c r="A150" s="1383"/>
      <c r="B150" s="1383"/>
      <c r="C150" s="1383"/>
      <c r="D150" s="1383"/>
      <c r="E150" s="1383"/>
      <c r="F150" s="1383"/>
      <c r="G150" s="1383"/>
      <c r="H150" s="1383"/>
      <c r="I150" s="1383"/>
      <c r="J150" s="1383"/>
      <c r="K150" s="1383"/>
      <c r="L150" s="1383"/>
      <c r="M150" s="1383"/>
    </row>
  </sheetData>
  <customSheetViews>
    <customSheetView guid="{4892E1C0-7A56-4F81-A857-987D77EC4462}">
      <selection activeCell="J14" sqref="J14"/>
      <pageMargins left="0.7" right="0.7" top="0.75" bottom="0.75" header="0.3" footer="0.3"/>
      <pageSetup orientation="landscape" r:id="rId1"/>
      <headerFooter>
        <oddHeader>&amp;L&amp;G&amp;CShowAcronymGoesHere - PSM&amp;R&amp;P</oddHeader>
        <oddFooter>&amp;L&amp;D&amp;R&amp;Z&amp;F</oddFooter>
      </headerFooter>
    </customSheetView>
    <customSheetView guid="{C29C6423-4E3D-4B08-919E-993C7C45FC31}">
      <selection activeCell="J14" sqref="J14"/>
      <pageMargins left="0.7" right="0.7" top="0.75" bottom="0.75" header="0.3" footer="0.3"/>
      <pageSetup orientation="landscape" r:id="rId2"/>
      <headerFooter>
        <oddHeader>&amp;L&amp;G&amp;CShowAcronymGoesHere - PSM&amp;R&amp;P</oddHeader>
        <oddFooter>&amp;L&amp;D&amp;R&amp;Z&amp;F</oddFooter>
      </headerFooter>
    </customSheetView>
  </customSheetViews>
  <mergeCells count="235">
    <mergeCell ref="A54:E54"/>
    <mergeCell ref="A66:E66"/>
    <mergeCell ref="A55:E55"/>
    <mergeCell ref="A56:E56"/>
    <mergeCell ref="A57:E57"/>
    <mergeCell ref="A58:E58"/>
    <mergeCell ref="A63:E63"/>
    <mergeCell ref="F61:H61"/>
    <mergeCell ref="F62:H62"/>
    <mergeCell ref="F63:H63"/>
    <mergeCell ref="A60:E60"/>
    <mergeCell ref="F65:H65"/>
    <mergeCell ref="F66:H66"/>
    <mergeCell ref="F54:H54"/>
    <mergeCell ref="F55:H55"/>
    <mergeCell ref="F56:H56"/>
    <mergeCell ref="F57:H57"/>
    <mergeCell ref="F58:H58"/>
    <mergeCell ref="F59:H59"/>
    <mergeCell ref="A46:M46"/>
    <mergeCell ref="D31:F31"/>
    <mergeCell ref="A43:M43"/>
    <mergeCell ref="A44:M44"/>
    <mergeCell ref="A48:E48"/>
    <mergeCell ref="A49:E49"/>
    <mergeCell ref="A51:E51"/>
    <mergeCell ref="A52:E52"/>
    <mergeCell ref="A53:E53"/>
    <mergeCell ref="F49:H49"/>
    <mergeCell ref="L48:N48"/>
    <mergeCell ref="L49:N49"/>
    <mergeCell ref="L51:N51"/>
    <mergeCell ref="A47:N47"/>
    <mergeCell ref="F52:H52"/>
    <mergeCell ref="F53:H53"/>
    <mergeCell ref="L52:N52"/>
    <mergeCell ref="L53:N53"/>
    <mergeCell ref="F51:H51"/>
    <mergeCell ref="I51:K51"/>
    <mergeCell ref="I50:K50"/>
    <mergeCell ref="F50:H50"/>
    <mergeCell ref="L50:N50"/>
    <mergeCell ref="F48:H48"/>
    <mergeCell ref="D29:F29"/>
    <mergeCell ref="G39:I39"/>
    <mergeCell ref="G40:I40"/>
    <mergeCell ref="D39:F39"/>
    <mergeCell ref="D33:F33"/>
    <mergeCell ref="G35:I35"/>
    <mergeCell ref="G37:I37"/>
    <mergeCell ref="D37:F37"/>
    <mergeCell ref="G41:I41"/>
    <mergeCell ref="G38:I38"/>
    <mergeCell ref="D38:F38"/>
    <mergeCell ref="D32:F32"/>
    <mergeCell ref="D40:F40"/>
    <mergeCell ref="D41:F41"/>
    <mergeCell ref="D34:F34"/>
    <mergeCell ref="G36:I36"/>
    <mergeCell ref="D36:F36"/>
    <mergeCell ref="D30:F30"/>
    <mergeCell ref="B20:J20"/>
    <mergeCell ref="B21:J21"/>
    <mergeCell ref="D25:F25"/>
    <mergeCell ref="D26:F26"/>
    <mergeCell ref="D7:J7"/>
    <mergeCell ref="D8:J8"/>
    <mergeCell ref="D9:J9"/>
    <mergeCell ref="D10:J10"/>
    <mergeCell ref="D11:J11"/>
    <mergeCell ref="D12:J12"/>
    <mergeCell ref="D13:J13"/>
    <mergeCell ref="D14:J14"/>
    <mergeCell ref="D15:J15"/>
    <mergeCell ref="B22:J22"/>
    <mergeCell ref="A74:E74"/>
    <mergeCell ref="A1:B1"/>
    <mergeCell ref="A17:H17"/>
    <mergeCell ref="D35:F35"/>
    <mergeCell ref="G25:I25"/>
    <mergeCell ref="G26:I26"/>
    <mergeCell ref="G27:I27"/>
    <mergeCell ref="G28:I28"/>
    <mergeCell ref="G29:I29"/>
    <mergeCell ref="G30:I30"/>
    <mergeCell ref="G31:I31"/>
    <mergeCell ref="A18:F18"/>
    <mergeCell ref="A24:I24"/>
    <mergeCell ref="G32:I32"/>
    <mergeCell ref="G33:I33"/>
    <mergeCell ref="G34:I34"/>
    <mergeCell ref="D27:F27"/>
    <mergeCell ref="A2:M2"/>
    <mergeCell ref="D28:F28"/>
    <mergeCell ref="A6:H6"/>
    <mergeCell ref="A4:C4"/>
    <mergeCell ref="D16:J16"/>
    <mergeCell ref="B19:J19"/>
    <mergeCell ref="I48:K48"/>
    <mergeCell ref="I49:K49"/>
    <mergeCell ref="L70:N70"/>
    <mergeCell ref="L71:N71"/>
    <mergeCell ref="L72:N72"/>
    <mergeCell ref="L73:N73"/>
    <mergeCell ref="L74:N74"/>
    <mergeCell ref="I57:K57"/>
    <mergeCell ref="I58:K58"/>
    <mergeCell ref="I59:K59"/>
    <mergeCell ref="I60:K60"/>
    <mergeCell ref="I52:K52"/>
    <mergeCell ref="I53:K53"/>
    <mergeCell ref="I54:K54"/>
    <mergeCell ref="L56:N56"/>
    <mergeCell ref="L57:N57"/>
    <mergeCell ref="L61:N61"/>
    <mergeCell ref="L62:N62"/>
    <mergeCell ref="L63:N63"/>
    <mergeCell ref="I55:K55"/>
    <mergeCell ref="I56:K56"/>
    <mergeCell ref="L54:N54"/>
    <mergeCell ref="L55:N55"/>
    <mergeCell ref="F67:H67"/>
    <mergeCell ref="A68:E68"/>
    <mergeCell ref="A69:E69"/>
    <mergeCell ref="F73:H73"/>
    <mergeCell ref="F71:H71"/>
    <mergeCell ref="F72:H72"/>
    <mergeCell ref="I65:K65"/>
    <mergeCell ref="I66:K66"/>
    <mergeCell ref="I67:K67"/>
    <mergeCell ref="I68:K68"/>
    <mergeCell ref="I69:K69"/>
    <mergeCell ref="I70:K70"/>
    <mergeCell ref="I72:K72"/>
    <mergeCell ref="I73:K73"/>
    <mergeCell ref="I71:K71"/>
    <mergeCell ref="F68:H68"/>
    <mergeCell ref="F69:H69"/>
    <mergeCell ref="A67:E67"/>
    <mergeCell ref="A72:E72"/>
    <mergeCell ref="A73:E73"/>
    <mergeCell ref="F70:H70"/>
    <mergeCell ref="A95:N95"/>
    <mergeCell ref="L64:N64"/>
    <mergeCell ref="L65:N65"/>
    <mergeCell ref="L66:N66"/>
    <mergeCell ref="L67:N67"/>
    <mergeCell ref="L68:N68"/>
    <mergeCell ref="L69:N69"/>
    <mergeCell ref="L58:N58"/>
    <mergeCell ref="L59:N59"/>
    <mergeCell ref="L60:N60"/>
    <mergeCell ref="A59:E59"/>
    <mergeCell ref="I61:K61"/>
    <mergeCell ref="I62:K62"/>
    <mergeCell ref="I63:K63"/>
    <mergeCell ref="F64:H64"/>
    <mergeCell ref="A64:E64"/>
    <mergeCell ref="A65:E65"/>
    <mergeCell ref="I64:K64"/>
    <mergeCell ref="F60:H60"/>
    <mergeCell ref="A61:E61"/>
    <mergeCell ref="A62:E62"/>
    <mergeCell ref="I75:K75"/>
    <mergeCell ref="A70:E70"/>
    <mergeCell ref="A71:E71"/>
    <mergeCell ref="B91:C91"/>
    <mergeCell ref="D91:N91"/>
    <mergeCell ref="B93:N93"/>
    <mergeCell ref="F74:H74"/>
    <mergeCell ref="F75:H75"/>
    <mergeCell ref="I77:K77"/>
    <mergeCell ref="F76:H76"/>
    <mergeCell ref="F77:H77"/>
    <mergeCell ref="I74:K74"/>
    <mergeCell ref="L76:N76"/>
    <mergeCell ref="A79:F79"/>
    <mergeCell ref="A80:M80"/>
    <mergeCell ref="L75:N75"/>
    <mergeCell ref="A75:E75"/>
    <mergeCell ref="I76:K76"/>
    <mergeCell ref="L77:N77"/>
    <mergeCell ref="A76:E76"/>
    <mergeCell ref="A77:E77"/>
    <mergeCell ref="A82:N82"/>
    <mergeCell ref="A83:N83"/>
    <mergeCell ref="A85:N85"/>
    <mergeCell ref="B87:N87"/>
    <mergeCell ref="B88:N88"/>
    <mergeCell ref="B90:N90"/>
    <mergeCell ref="B97:N97"/>
    <mergeCell ref="B98:C98"/>
    <mergeCell ref="D98:N98"/>
    <mergeCell ref="B99:C99"/>
    <mergeCell ref="D99:N99"/>
    <mergeCell ref="B101:N101"/>
    <mergeCell ref="A103:N103"/>
    <mergeCell ref="B105:N105"/>
    <mergeCell ref="B106:D106"/>
    <mergeCell ref="E106:N106"/>
    <mergeCell ref="B108:N108"/>
    <mergeCell ref="B109:N109"/>
    <mergeCell ref="B110:N110"/>
    <mergeCell ref="B112:N112"/>
    <mergeCell ref="A114:N114"/>
    <mergeCell ref="B116:N116"/>
    <mergeCell ref="B117:D117"/>
    <mergeCell ref="E117:N117"/>
    <mergeCell ref="B119:N119"/>
    <mergeCell ref="B133:N133"/>
    <mergeCell ref="B134:N134"/>
    <mergeCell ref="A136:M136"/>
    <mergeCell ref="B137:M137"/>
    <mergeCell ref="B138:M138"/>
    <mergeCell ref="B139:M139"/>
    <mergeCell ref="B140:M140"/>
    <mergeCell ref="B120:N120"/>
    <mergeCell ref="B122:N122"/>
    <mergeCell ref="B123:N123"/>
    <mergeCell ref="A125:N125"/>
    <mergeCell ref="B127:N127"/>
    <mergeCell ref="B128:D128"/>
    <mergeCell ref="E128:N128"/>
    <mergeCell ref="B130:N130"/>
    <mergeCell ref="B131:N131"/>
    <mergeCell ref="A150:M150"/>
    <mergeCell ref="B141:M141"/>
    <mergeCell ref="A143:G143"/>
    <mergeCell ref="A144:M144"/>
    <mergeCell ref="A145:M145"/>
    <mergeCell ref="B146:D146"/>
    <mergeCell ref="E146:K146"/>
    <mergeCell ref="B147:D147"/>
    <mergeCell ref="E147:K147"/>
    <mergeCell ref="A149:F149"/>
  </mergeCells>
  <phoneticPr fontId="6" type="noConversion"/>
  <hyperlinks>
    <hyperlink ref="A1" location="TOC!A1" display="TOC Page"/>
    <hyperlink ref="I50" r:id="rId3"/>
    <hyperlink ref="F50" r:id="rId4"/>
    <hyperlink ref="L50" r:id="rId5"/>
  </hyperlinks>
  <pageMargins left="0.7" right="0.7" top="0.75" bottom="0.75" header="0.3" footer="0.3"/>
  <pageSetup orientation="landscape" r:id="rId6"/>
  <headerFooter>
    <oddHeader>&amp;L&amp;G&amp;CShowAcronymGoesHere - PSM&amp;R&amp;P</oddHeader>
    <oddFooter>&amp;L&amp;D&amp;R&amp;Z&amp;F</oddFooter>
  </headerFooter>
  <customProperties>
    <customPr name="DVSECTIONID" r:id="rId7"/>
  </customProperties>
  <legacyDrawingHF r:id="rId8"/>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M145"/>
  <sheetViews>
    <sheetView zoomScaleNormal="100" workbookViewId="0">
      <pane ySplit="1" topLeftCell="A2" activePane="bottomLeft" state="frozen"/>
      <selection activeCell="U16" sqref="U16"/>
      <selection pane="bottomLeft" sqref="A1:B1"/>
    </sheetView>
  </sheetViews>
  <sheetFormatPr defaultColWidth="9.140625" defaultRowHeight="12.75" x14ac:dyDescent="0.2"/>
  <cols>
    <col min="1" max="5" width="9.140625" style="17"/>
    <col min="6" max="6" width="10.85546875" style="17" customWidth="1"/>
    <col min="7" max="12" width="9.140625" style="17"/>
    <col min="13" max="13" width="8.140625" style="17" customWidth="1"/>
    <col min="14" max="16384" width="9.140625" style="17"/>
  </cols>
  <sheetData>
    <row r="1" spans="1:13" x14ac:dyDescent="0.2">
      <c r="A1" s="1420" t="s">
        <v>639</v>
      </c>
      <c r="B1" s="1420"/>
    </row>
    <row r="2" spans="1:13" s="35" customFormat="1" ht="21.75" customHeight="1" x14ac:dyDescent="0.2">
      <c r="A2" s="1230" t="s">
        <v>902</v>
      </c>
      <c r="B2" s="1723"/>
      <c r="C2" s="1723"/>
      <c r="D2" s="1723"/>
      <c r="E2" s="1231"/>
      <c r="F2" s="1231"/>
      <c r="G2" s="1231"/>
      <c r="H2" s="1231"/>
      <c r="I2" s="1231"/>
      <c r="J2" s="1231"/>
      <c r="K2" s="1231"/>
      <c r="L2" s="1231"/>
      <c r="M2" s="1231"/>
    </row>
    <row r="4" spans="1:13" ht="15.75" customHeight="1" x14ac:dyDescent="0.2">
      <c r="A4" s="1539" t="s">
        <v>903</v>
      </c>
      <c r="B4" s="1539"/>
      <c r="C4" s="1539"/>
      <c r="D4" s="1539" t="s">
        <v>240</v>
      </c>
      <c r="E4" s="1539"/>
      <c r="F4" s="1539"/>
      <c r="G4" s="1539"/>
      <c r="H4" s="1539"/>
      <c r="I4" s="1539"/>
      <c r="J4" s="1539"/>
      <c r="K4" s="1539"/>
      <c r="L4" s="1539"/>
    </row>
    <row r="6" spans="1:13" ht="19.5" customHeight="1" x14ac:dyDescent="0.2">
      <c r="A6" s="1712" t="s">
        <v>901</v>
      </c>
      <c r="B6" s="1346"/>
      <c r="C6" s="1346"/>
    </row>
    <row r="7" spans="1:13" ht="16.5" customHeight="1" x14ac:dyDescent="0.2">
      <c r="A7" s="1724" t="s">
        <v>925</v>
      </c>
      <c r="B7" s="1724"/>
      <c r="C7" s="1724"/>
      <c r="D7" s="1724"/>
    </row>
    <row r="8" spans="1:13" ht="12.75" customHeight="1" x14ac:dyDescent="0.2">
      <c r="A8" s="43" t="s">
        <v>604</v>
      </c>
      <c r="B8" s="1725" t="s">
        <v>78</v>
      </c>
      <c r="C8" s="1725"/>
      <c r="D8" s="1725"/>
      <c r="E8" s="1725"/>
      <c r="F8" s="1725"/>
      <c r="G8" s="1725"/>
      <c r="H8" s="1725"/>
      <c r="I8" s="1725"/>
    </row>
    <row r="9" spans="1:13" ht="12.75" customHeight="1" x14ac:dyDescent="0.2">
      <c r="A9" s="56"/>
      <c r="B9" s="1434" t="s">
        <v>385</v>
      </c>
      <c r="C9" s="1434"/>
      <c r="D9" s="1434"/>
      <c r="E9" s="1434"/>
      <c r="F9" s="1434"/>
      <c r="G9" s="1434"/>
      <c r="H9" s="1434"/>
      <c r="I9" s="1434"/>
    </row>
    <row r="10" spans="1:13" ht="12.75" customHeight="1" x14ac:dyDescent="0.2">
      <c r="A10" s="56"/>
      <c r="B10" s="1434" t="s">
        <v>673</v>
      </c>
      <c r="C10" s="1434"/>
      <c r="D10" s="1434"/>
      <c r="E10" s="1434"/>
      <c r="F10" s="1434"/>
      <c r="G10" s="1434"/>
      <c r="H10" s="1434"/>
      <c r="I10" s="1434"/>
    </row>
    <row r="11" spans="1:13" ht="12.75" customHeight="1" x14ac:dyDescent="0.2">
      <c r="A11" s="56"/>
      <c r="B11" s="1434" t="s">
        <v>386</v>
      </c>
      <c r="C11" s="1434"/>
      <c r="D11" s="1434"/>
      <c r="E11" s="1434"/>
      <c r="F11" s="1434"/>
      <c r="G11" s="1434"/>
      <c r="H11" s="1434"/>
      <c r="I11" s="1434"/>
    </row>
    <row r="12" spans="1:13" ht="12.75" customHeight="1" x14ac:dyDescent="0.2">
      <c r="A12" s="56"/>
      <c r="B12" s="1434" t="s">
        <v>387</v>
      </c>
      <c r="C12" s="1434"/>
      <c r="D12" s="1434"/>
      <c r="E12" s="1434"/>
      <c r="F12" s="1434"/>
      <c r="G12" s="1434"/>
      <c r="H12" s="1434"/>
      <c r="I12" s="1434"/>
    </row>
    <row r="13" spans="1:13" ht="12.75" customHeight="1" x14ac:dyDescent="0.2">
      <c r="A13" s="56"/>
      <c r="B13" s="1434" t="s">
        <v>388</v>
      </c>
      <c r="C13" s="1434"/>
      <c r="D13" s="1434"/>
      <c r="E13" s="1434"/>
      <c r="F13" s="1434"/>
      <c r="G13" s="1434"/>
      <c r="H13" s="1434"/>
      <c r="I13" s="1434"/>
    </row>
    <row r="14" spans="1:13" ht="12.75" customHeight="1" x14ac:dyDescent="0.2">
      <c r="A14" s="56"/>
      <c r="B14" s="1434" t="s">
        <v>926</v>
      </c>
      <c r="C14" s="1434"/>
      <c r="D14" s="1434"/>
      <c r="E14" s="1434"/>
      <c r="F14" s="1434"/>
      <c r="G14" s="1434"/>
      <c r="H14" s="1434"/>
      <c r="I14" s="1434"/>
    </row>
    <row r="15" spans="1:13" ht="12.75" customHeight="1" x14ac:dyDescent="0.2">
      <c r="A15" s="56"/>
      <c r="B15" s="1434" t="s">
        <v>389</v>
      </c>
      <c r="C15" s="1434"/>
      <c r="D15" s="1434"/>
      <c r="E15" s="1434"/>
      <c r="F15" s="1434"/>
      <c r="G15" s="1434"/>
      <c r="H15" s="1434"/>
      <c r="I15" s="1434"/>
    </row>
    <row r="16" spans="1:13" ht="12.75" customHeight="1" x14ac:dyDescent="0.2">
      <c r="A16" s="56"/>
      <c r="B16" s="1434" t="s">
        <v>390</v>
      </c>
      <c r="C16" s="1434"/>
      <c r="D16" s="1434"/>
      <c r="E16" s="1434"/>
      <c r="F16" s="1434"/>
      <c r="G16" s="1434"/>
      <c r="H16" s="1434"/>
      <c r="I16" s="1434"/>
    </row>
    <row r="17" spans="1:12" x14ac:dyDescent="0.2">
      <c r="A17" s="56"/>
      <c r="B17" s="1434" t="s">
        <v>391</v>
      </c>
      <c r="C17" s="1434"/>
      <c r="D17" s="1434"/>
      <c r="E17" s="1434"/>
      <c r="F17" s="1434"/>
      <c r="G17" s="1434"/>
      <c r="H17" s="1434"/>
      <c r="I17" s="1434"/>
    </row>
    <row r="18" spans="1:12" s="41" customFormat="1" x14ac:dyDescent="0.2"/>
    <row r="19" spans="1:12" s="83" customFormat="1" x14ac:dyDescent="0.2">
      <c r="A19" s="1687" t="s">
        <v>904</v>
      </c>
      <c r="B19" s="1687"/>
      <c r="C19" s="1687"/>
      <c r="D19" s="1687"/>
      <c r="E19" s="1687"/>
      <c r="F19" s="1687"/>
      <c r="G19" s="1687"/>
      <c r="H19" s="1687"/>
    </row>
    <row r="20" spans="1:12" s="83" customFormat="1" ht="15" customHeight="1" x14ac:dyDescent="0.2">
      <c r="A20" s="1726"/>
      <c r="B20" s="1726"/>
      <c r="C20" s="1726"/>
      <c r="D20" s="1726"/>
      <c r="E20" s="1726"/>
      <c r="F20" s="1726"/>
      <c r="G20" s="1726"/>
      <c r="H20" s="1726"/>
      <c r="I20" s="1726"/>
      <c r="J20" s="1726"/>
      <c r="K20" s="1726"/>
      <c r="L20" s="1726"/>
    </row>
    <row r="21" spans="1:12" s="83" customFormat="1" x14ac:dyDescent="0.2"/>
    <row r="22" spans="1:12" s="83" customFormat="1" ht="16.5" customHeight="1" x14ac:dyDescent="0.2">
      <c r="A22" s="1687" t="s">
        <v>905</v>
      </c>
      <c r="B22" s="1687"/>
      <c r="C22" s="1687"/>
      <c r="D22" s="1687"/>
      <c r="E22" s="1687"/>
      <c r="F22" s="1687"/>
      <c r="G22" s="1687"/>
      <c r="H22" s="1687"/>
      <c r="I22" s="183"/>
    </row>
    <row r="23" spans="1:12" s="83" customFormat="1" ht="16.5" customHeight="1" x14ac:dyDescent="0.2">
      <c r="A23" s="1676"/>
      <c r="B23" s="1676"/>
      <c r="C23" s="1676"/>
      <c r="D23" s="1676"/>
      <c r="E23" s="1676"/>
      <c r="F23" s="1676"/>
      <c r="G23" s="1676"/>
      <c r="H23" s="1676"/>
      <c r="I23" s="1676"/>
      <c r="J23" s="1676"/>
      <c r="K23" s="1676"/>
      <c r="L23" s="1676"/>
    </row>
    <row r="24" spans="1:12" s="83" customFormat="1" x14ac:dyDescent="0.2"/>
    <row r="25" spans="1:12" s="83" customFormat="1" x14ac:dyDescent="0.2">
      <c r="A25" s="1687" t="s">
        <v>941</v>
      </c>
      <c r="B25" s="1687"/>
      <c r="C25" s="1687"/>
      <c r="D25" s="1687"/>
      <c r="E25" s="1687"/>
      <c r="F25" s="1687"/>
      <c r="G25" s="1687"/>
      <c r="H25" s="1687"/>
      <c r="I25" s="1687"/>
      <c r="J25" s="1687"/>
      <c r="K25" s="1687"/>
      <c r="L25" s="1687"/>
    </row>
    <row r="26" spans="1:12" s="83" customFormat="1" x14ac:dyDescent="0.2">
      <c r="A26" s="1676"/>
      <c r="B26" s="1676"/>
      <c r="C26" s="1676"/>
      <c r="D26" s="1676"/>
      <c r="E26" s="1676"/>
      <c r="F26" s="1676"/>
      <c r="G26" s="1676"/>
      <c r="H26" s="1676"/>
      <c r="I26" s="1676"/>
      <c r="J26" s="1676"/>
      <c r="K26" s="1676"/>
      <c r="L26" s="1676"/>
    </row>
    <row r="27" spans="1:12" s="83" customFormat="1" x14ac:dyDescent="0.2"/>
    <row r="28" spans="1:12" s="83" customFormat="1" x14ac:dyDescent="0.2">
      <c r="A28" s="1687" t="s">
        <v>942</v>
      </c>
      <c r="B28" s="1687"/>
      <c r="C28" s="1687"/>
      <c r="D28" s="1687"/>
      <c r="E28" s="1687"/>
      <c r="F28" s="1687"/>
      <c r="G28" s="1687"/>
      <c r="H28" s="1687"/>
      <c r="I28" s="1687"/>
      <c r="J28" s="1687"/>
      <c r="K28" s="1687"/>
      <c r="L28" s="1687"/>
    </row>
    <row r="29" spans="1:12" s="83" customFormat="1" ht="16.5" customHeight="1" x14ac:dyDescent="0.2">
      <c r="A29" s="1676"/>
      <c r="B29" s="1676"/>
      <c r="C29" s="1676"/>
      <c r="D29" s="1676"/>
      <c r="E29" s="1676"/>
      <c r="F29" s="1676"/>
      <c r="G29" s="1676"/>
      <c r="H29" s="1676"/>
      <c r="I29" s="1676"/>
      <c r="J29" s="1676"/>
      <c r="K29" s="1676"/>
      <c r="L29" s="1676"/>
    </row>
    <row r="30" spans="1:12" s="83" customFormat="1" ht="16.5" customHeight="1" x14ac:dyDescent="0.2">
      <c r="A30" s="47"/>
      <c r="B30" s="47"/>
      <c r="C30" s="47"/>
      <c r="D30" s="47"/>
      <c r="E30" s="47"/>
      <c r="F30" s="47"/>
      <c r="G30" s="47"/>
      <c r="H30" s="47"/>
      <c r="I30" s="47"/>
      <c r="J30" s="47"/>
      <c r="K30" s="47"/>
      <c r="L30" s="47"/>
    </row>
    <row r="31" spans="1:12" s="83" customFormat="1" x14ac:dyDescent="0.2">
      <c r="A31" s="1687" t="s">
        <v>963</v>
      </c>
      <c r="B31" s="1687"/>
      <c r="C31" s="1687"/>
      <c r="D31" s="1687"/>
      <c r="E31" s="1687"/>
      <c r="F31" s="1687"/>
      <c r="G31" s="1687"/>
      <c r="H31" s="1687"/>
      <c r="I31" s="1687"/>
      <c r="J31" s="1687"/>
      <c r="K31" s="1687"/>
      <c r="L31" s="1687"/>
    </row>
    <row r="32" spans="1:12" s="83" customFormat="1" ht="16.5" customHeight="1" x14ac:dyDescent="0.2">
      <c r="A32" s="1676"/>
      <c r="B32" s="1676"/>
      <c r="C32" s="1676"/>
      <c r="D32" s="1676"/>
      <c r="E32" s="1676"/>
      <c r="F32" s="1676"/>
      <c r="G32" s="1676"/>
      <c r="H32" s="1676"/>
      <c r="I32" s="1676"/>
      <c r="J32" s="1676"/>
      <c r="K32" s="1676"/>
      <c r="L32" s="1676"/>
    </row>
    <row r="33" spans="1:12" s="83" customFormat="1" ht="16.5" customHeight="1" x14ac:dyDescent="0.2">
      <c r="A33" s="47"/>
      <c r="B33" s="47"/>
      <c r="C33" s="47"/>
      <c r="D33" s="47"/>
      <c r="E33" s="47"/>
      <c r="F33" s="47"/>
      <c r="G33" s="47"/>
      <c r="H33" s="47"/>
      <c r="I33" s="47"/>
      <c r="J33" s="47"/>
      <c r="K33" s="47"/>
      <c r="L33" s="47"/>
    </row>
    <row r="34" spans="1:12" s="83" customFormat="1" x14ac:dyDescent="0.2">
      <c r="A34" s="1687" t="s">
        <v>951</v>
      </c>
      <c r="B34" s="1687"/>
      <c r="C34" s="1687"/>
      <c r="D34" s="1687"/>
      <c r="E34" s="1687"/>
      <c r="F34" s="1687"/>
      <c r="G34" s="1687"/>
      <c r="H34" s="1687"/>
      <c r="I34" s="1687"/>
      <c r="J34" s="1687"/>
      <c r="K34" s="1687"/>
      <c r="L34" s="1687"/>
    </row>
    <row r="35" spans="1:12" s="83" customFormat="1" ht="16.5" customHeight="1" x14ac:dyDescent="0.2">
      <c r="A35" s="1676"/>
      <c r="B35" s="1676"/>
      <c r="C35" s="1676"/>
      <c r="D35" s="1676"/>
      <c r="E35" s="1676"/>
      <c r="F35" s="1676"/>
      <c r="G35" s="1676"/>
      <c r="H35" s="1676"/>
      <c r="I35" s="1676"/>
      <c r="J35" s="1676"/>
      <c r="K35" s="1676"/>
      <c r="L35" s="1676"/>
    </row>
    <row r="36" spans="1:12" s="83" customFormat="1" x14ac:dyDescent="0.2"/>
    <row r="37" spans="1:12" ht="16.5" customHeight="1" x14ac:dyDescent="0.25">
      <c r="A37" s="1677" t="s">
        <v>906</v>
      </c>
      <c r="B37" s="1677"/>
      <c r="C37" s="1677"/>
      <c r="D37" s="1677"/>
      <c r="E37" s="1571"/>
      <c r="F37" s="1571"/>
      <c r="G37" s="1571"/>
    </row>
    <row r="38" spans="1:12" ht="12.75" hidden="1" customHeight="1" x14ac:dyDescent="0.2">
      <c r="A38" s="53"/>
      <c r="B38" s="52"/>
      <c r="C38" s="1679"/>
      <c r="D38" s="1295"/>
      <c r="E38" s="1295"/>
    </row>
    <row r="39" spans="1:12" x14ac:dyDescent="0.2">
      <c r="A39" s="45" t="s">
        <v>604</v>
      </c>
      <c r="B39" s="1683"/>
      <c r="C39" s="1684"/>
      <c r="D39" s="1702"/>
      <c r="E39" s="1703"/>
      <c r="F39" s="1703"/>
      <c r="G39" s="1703"/>
      <c r="H39" s="1703"/>
      <c r="I39" s="1703"/>
      <c r="J39" s="1703"/>
      <c r="K39" s="1703"/>
      <c r="L39" s="1704"/>
    </row>
    <row r="40" spans="1:12" ht="12.75" customHeight="1" x14ac:dyDescent="0.2">
      <c r="A40" s="1693"/>
      <c r="B40" s="1685" t="s">
        <v>394</v>
      </c>
      <c r="C40" s="1686"/>
      <c r="D40" s="1685" t="s">
        <v>395</v>
      </c>
      <c r="E40" s="1705"/>
      <c r="F40" s="1705"/>
      <c r="G40" s="1705"/>
      <c r="H40" s="1705"/>
      <c r="I40" s="1705"/>
      <c r="J40" s="1705"/>
      <c r="K40" s="1705"/>
      <c r="L40" s="1686"/>
    </row>
    <row r="41" spans="1:12" ht="16.5" customHeight="1" x14ac:dyDescent="0.2">
      <c r="A41" s="1693"/>
      <c r="B41" s="1688"/>
      <c r="C41" s="1689"/>
      <c r="D41" s="1690"/>
      <c r="E41" s="1691"/>
      <c r="F41" s="1691"/>
      <c r="G41" s="1691"/>
      <c r="H41" s="1691"/>
      <c r="I41" s="1691"/>
      <c r="J41" s="1691"/>
      <c r="K41" s="1691"/>
      <c r="L41" s="1692"/>
    </row>
    <row r="42" spans="1:12" ht="16.5" customHeight="1" x14ac:dyDescent="0.2">
      <c r="A42" s="1693"/>
      <c r="B42" s="1678" t="s">
        <v>949</v>
      </c>
      <c r="C42" s="1359"/>
      <c r="D42" s="1717" t="s">
        <v>396</v>
      </c>
      <c r="E42" s="1718"/>
      <c r="F42" s="1718"/>
      <c r="G42" s="1718"/>
      <c r="H42" s="1718"/>
      <c r="I42" s="1718"/>
      <c r="J42" s="1718"/>
      <c r="K42" s="1718"/>
      <c r="L42" s="1719"/>
    </row>
    <row r="43" spans="1:12" x14ac:dyDescent="0.2">
      <c r="A43" s="1693"/>
      <c r="B43" s="1678"/>
      <c r="C43" s="1359"/>
      <c r="D43" s="1695" t="s">
        <v>397</v>
      </c>
      <c r="E43" s="1696"/>
      <c r="F43" s="1696"/>
      <c r="G43" s="1696"/>
      <c r="H43" s="1696"/>
      <c r="I43" s="1696"/>
      <c r="J43" s="1696"/>
      <c r="K43" s="1696"/>
      <c r="L43" s="1697"/>
    </row>
    <row r="44" spans="1:12" x14ac:dyDescent="0.2">
      <c r="A44" s="1693"/>
      <c r="B44" s="1678"/>
      <c r="C44" s="1359"/>
      <c r="D44" s="1433"/>
      <c r="E44" s="1430"/>
      <c r="F44" s="1430"/>
      <c r="G44" s="1430"/>
      <c r="H44" s="1430"/>
      <c r="I44" s="1430"/>
      <c r="J44" s="1430"/>
      <c r="K44" s="1430"/>
      <c r="L44" s="1431"/>
    </row>
    <row r="45" spans="1:12" ht="51.75" customHeight="1" x14ac:dyDescent="0.2">
      <c r="A45" s="1693"/>
      <c r="B45" s="1678"/>
      <c r="C45" s="1359"/>
      <c r="D45" s="1698"/>
      <c r="E45" s="1699"/>
      <c r="F45" s="1699"/>
      <c r="G45" s="1699"/>
      <c r="H45" s="1699"/>
      <c r="I45" s="1699"/>
      <c r="J45" s="1699"/>
      <c r="K45" s="1699"/>
      <c r="L45" s="1700"/>
    </row>
    <row r="46" spans="1:12" ht="17.25" customHeight="1" x14ac:dyDescent="0.2">
      <c r="A46" s="1693"/>
      <c r="B46" s="1678"/>
      <c r="C46" s="1359"/>
      <c r="D46" s="1680" t="s">
        <v>910</v>
      </c>
      <c r="E46" s="1681"/>
      <c r="F46" s="1682"/>
      <c r="G46" s="1681"/>
      <c r="H46" s="1681"/>
      <c r="I46" s="1681"/>
      <c r="J46" s="1681"/>
      <c r="K46" s="1681"/>
      <c r="L46" s="1701"/>
    </row>
    <row r="47" spans="1:12" ht="27.75" customHeight="1" x14ac:dyDescent="0.2">
      <c r="A47" s="1693"/>
      <c r="B47" s="1678"/>
      <c r="C47" s="1359"/>
      <c r="D47" s="1680" t="s">
        <v>911</v>
      </c>
      <c r="E47" s="1681"/>
      <c r="F47" s="1682"/>
      <c r="G47" s="1710" t="s">
        <v>950</v>
      </c>
      <c r="H47" s="1710"/>
      <c r="I47" s="1710"/>
      <c r="J47" s="1710"/>
      <c r="K47" s="1710"/>
      <c r="L47" s="1711"/>
    </row>
    <row r="48" spans="1:12" ht="29.25" customHeight="1" x14ac:dyDescent="0.2">
      <c r="A48" s="1693"/>
      <c r="B48" s="1678"/>
      <c r="C48" s="1359"/>
      <c r="D48" s="1714" t="s">
        <v>909</v>
      </c>
      <c r="E48" s="1715"/>
      <c r="F48" s="1715"/>
      <c r="G48" s="1715"/>
      <c r="H48" s="1715"/>
      <c r="I48" s="1715"/>
      <c r="J48" s="1715"/>
      <c r="K48" s="1715"/>
      <c r="L48" s="1716"/>
    </row>
    <row r="49" spans="1:13" ht="12.75" customHeight="1" x14ac:dyDescent="0.2">
      <c r="A49" s="1693"/>
      <c r="B49" s="1685" t="s">
        <v>352</v>
      </c>
      <c r="C49" s="1686"/>
      <c r="D49" s="1685" t="s">
        <v>908</v>
      </c>
      <c r="E49" s="1705"/>
      <c r="F49" s="1705"/>
      <c r="G49" s="1705"/>
      <c r="H49" s="1705"/>
      <c r="I49" s="1705"/>
      <c r="J49" s="1705"/>
      <c r="K49" s="1705"/>
      <c r="L49" s="1686"/>
    </row>
    <row r="50" spans="1:13" ht="14.25" customHeight="1" x14ac:dyDescent="0.2">
      <c r="A50" s="1693"/>
      <c r="B50" s="1688"/>
      <c r="C50" s="1689"/>
      <c r="D50" s="1690"/>
      <c r="E50" s="1691"/>
      <c r="F50" s="1691"/>
      <c r="G50" s="1691"/>
      <c r="H50" s="1691"/>
      <c r="I50" s="1691"/>
      <c r="J50" s="1691"/>
      <c r="K50" s="1691"/>
      <c r="L50" s="1692"/>
    </row>
    <row r="51" spans="1:13" s="83" customFormat="1" x14ac:dyDescent="0.2"/>
    <row r="52" spans="1:13" s="83" customFormat="1" ht="12.75" customHeight="1" x14ac:dyDescent="0.2">
      <c r="A52" s="1336" t="s">
        <v>952</v>
      </c>
      <c r="B52" s="1336"/>
      <c r="C52" s="1336"/>
      <c r="D52" s="1336"/>
      <c r="E52" s="1336"/>
      <c r="F52" s="1336"/>
      <c r="G52" s="1336"/>
      <c r="H52" s="1336"/>
      <c r="I52" s="1336"/>
      <c r="J52" s="1336"/>
      <c r="K52" s="1336"/>
      <c r="L52" s="1336"/>
      <c r="M52" s="187"/>
    </row>
    <row r="53" spans="1:13" s="83" customFormat="1" ht="28.5" customHeight="1" x14ac:dyDescent="0.2">
      <c r="A53" s="1694" t="s">
        <v>907</v>
      </c>
      <c r="B53" s="1694"/>
      <c r="C53" s="1694"/>
      <c r="D53" s="1694"/>
      <c r="E53" s="1694"/>
      <c r="F53" s="1694"/>
      <c r="G53" s="1694"/>
      <c r="H53" s="1694"/>
      <c r="I53" s="1694"/>
      <c r="J53" s="1694"/>
      <c r="K53" s="1694"/>
      <c r="L53" s="1694"/>
      <c r="M53" s="184"/>
    </row>
    <row r="54" spans="1:13" s="83" customFormat="1" x14ac:dyDescent="0.2">
      <c r="A54" s="1336"/>
      <c r="B54" s="1336"/>
      <c r="C54" s="1336"/>
      <c r="D54" s="1336"/>
      <c r="E54" s="1336"/>
      <c r="F54" s="1336"/>
      <c r="G54" s="1336"/>
      <c r="H54" s="1336"/>
      <c r="I54" s="1336"/>
      <c r="J54" s="1336"/>
      <c r="K54" s="1336"/>
      <c r="L54" s="1336"/>
      <c r="M54" s="158"/>
    </row>
    <row r="55" spans="1:13" s="83" customFormat="1" x14ac:dyDescent="0.2">
      <c r="A55" s="1336"/>
      <c r="B55" s="1336"/>
      <c r="C55" s="1336"/>
      <c r="D55" s="1336"/>
      <c r="E55" s="1336"/>
      <c r="F55" s="1336"/>
      <c r="G55" s="1336"/>
      <c r="H55" s="1336"/>
      <c r="I55" s="1336"/>
      <c r="J55" s="1336"/>
      <c r="K55" s="1336"/>
      <c r="L55" s="1336"/>
      <c r="M55" s="158"/>
    </row>
    <row r="56" spans="1:13" ht="19.5" customHeight="1" x14ac:dyDescent="0.2">
      <c r="A56" s="1712" t="s">
        <v>912</v>
      </c>
      <c r="B56" s="1346"/>
      <c r="C56" s="1346"/>
    </row>
    <row r="57" spans="1:13" x14ac:dyDescent="0.2">
      <c r="A57" s="1707" t="s">
        <v>913</v>
      </c>
      <c r="B57" s="1707"/>
      <c r="C57" s="1707"/>
      <c r="D57" s="1713"/>
      <c r="E57" s="1713"/>
      <c r="F57" s="1713"/>
      <c r="G57" s="1713"/>
      <c r="H57" s="1713"/>
      <c r="I57" s="1713"/>
      <c r="J57" s="1713"/>
      <c r="K57" s="1713"/>
      <c r="L57" s="1713"/>
    </row>
    <row r="58" spans="1:13" x14ac:dyDescent="0.2">
      <c r="A58" s="186"/>
      <c r="B58" s="186"/>
      <c r="C58" s="186"/>
      <c r="D58" s="178"/>
      <c r="E58" s="178"/>
      <c r="F58" s="178"/>
      <c r="G58" s="178"/>
      <c r="H58" s="178"/>
      <c r="I58" s="178"/>
      <c r="J58" s="178"/>
      <c r="K58" s="178"/>
      <c r="L58" s="178"/>
    </row>
    <row r="59" spans="1:13" ht="16.5" customHeight="1" x14ac:dyDescent="0.2">
      <c r="A59" s="1707" t="s">
        <v>939</v>
      </c>
      <c r="B59" s="1707"/>
      <c r="C59" s="1707"/>
      <c r="D59" s="1707"/>
      <c r="E59" s="1707"/>
      <c r="F59" s="1707"/>
      <c r="G59" s="1707"/>
      <c r="H59" s="1707"/>
      <c r="I59" s="1707"/>
      <c r="J59" s="1707"/>
      <c r="K59" s="1707"/>
      <c r="L59" s="1707"/>
    </row>
    <row r="60" spans="1:13" x14ac:dyDescent="0.2">
      <c r="A60" s="1707"/>
      <c r="B60" s="1707"/>
      <c r="C60" s="1707"/>
      <c r="D60" s="1707"/>
      <c r="E60" s="1707"/>
      <c r="F60" s="1707"/>
      <c r="G60" s="1707"/>
      <c r="H60" s="1707"/>
      <c r="I60" s="1707"/>
      <c r="J60" s="1707"/>
      <c r="K60" s="1707"/>
      <c r="L60" s="1707"/>
    </row>
    <row r="61" spans="1:13" x14ac:dyDescent="0.2">
      <c r="A61" s="186"/>
      <c r="B61" s="186"/>
      <c r="C61" s="186"/>
      <c r="D61" s="186"/>
      <c r="E61" s="186"/>
      <c r="F61" s="186"/>
      <c r="G61" s="186"/>
      <c r="H61" s="186"/>
      <c r="I61" s="186"/>
      <c r="J61" s="186"/>
      <c r="K61" s="186"/>
      <c r="L61" s="186"/>
    </row>
    <row r="62" spans="1:13" ht="26.25" customHeight="1" x14ac:dyDescent="0.2">
      <c r="A62" s="1707" t="s">
        <v>940</v>
      </c>
      <c r="B62" s="1707"/>
      <c r="C62" s="1707"/>
      <c r="D62" s="1707"/>
      <c r="E62" s="1707"/>
      <c r="F62" s="1707"/>
      <c r="G62" s="1707"/>
      <c r="H62" s="1707"/>
      <c r="I62" s="1707"/>
      <c r="J62" s="1707"/>
      <c r="K62" s="1707"/>
      <c r="L62" s="1707"/>
    </row>
    <row r="63" spans="1:13" x14ac:dyDescent="0.2">
      <c r="A63" s="1707"/>
      <c r="B63" s="1707"/>
      <c r="C63" s="1707"/>
      <c r="D63" s="1707"/>
      <c r="E63" s="1707"/>
      <c r="F63" s="1707"/>
      <c r="G63" s="1707"/>
      <c r="H63" s="1707"/>
      <c r="I63" s="1707"/>
      <c r="J63" s="1707"/>
      <c r="K63" s="1707"/>
      <c r="L63" s="1707"/>
    </row>
    <row r="64" spans="1:13" x14ac:dyDescent="0.2">
      <c r="B64" s="177"/>
      <c r="C64" s="185"/>
      <c r="D64" s="83"/>
      <c r="E64" s="83"/>
      <c r="F64" s="83"/>
      <c r="G64" s="83"/>
      <c r="H64" s="83"/>
      <c r="I64" s="41"/>
    </row>
    <row r="65" spans="1:13" ht="16.5" customHeight="1" x14ac:dyDescent="0.2">
      <c r="A65" s="1708" t="s">
        <v>914</v>
      </c>
      <c r="B65" s="1708"/>
      <c r="C65" s="1708"/>
      <c r="D65" s="1708"/>
      <c r="E65" s="1708"/>
      <c r="F65" s="1708"/>
      <c r="G65" s="1708"/>
      <c r="H65" s="1708"/>
      <c r="I65" s="41"/>
    </row>
    <row r="66" spans="1:13" s="81" customFormat="1" ht="16.5" customHeight="1" x14ac:dyDescent="0.2">
      <c r="A66" s="1706" t="s">
        <v>915</v>
      </c>
      <c r="B66" s="1706"/>
      <c r="C66" s="1706"/>
      <c r="D66" s="1706"/>
      <c r="E66" s="1706"/>
      <c r="F66" s="1706"/>
      <c r="G66" s="1709"/>
      <c r="H66" s="1709"/>
      <c r="I66" s="1709"/>
      <c r="J66" s="1709"/>
      <c r="K66" s="1709"/>
      <c r="L66" s="1709"/>
    </row>
    <row r="67" spans="1:13" s="81" customFormat="1" ht="16.5" customHeight="1" x14ac:dyDescent="0.2">
      <c r="A67" s="1706" t="s">
        <v>916</v>
      </c>
      <c r="B67" s="1706"/>
      <c r="C67" s="1706"/>
      <c r="D67" s="1706"/>
      <c r="E67" s="1706"/>
      <c r="F67" s="1706"/>
      <c r="G67" s="1709"/>
      <c r="H67" s="1709"/>
      <c r="I67" s="1709"/>
      <c r="J67" s="1709"/>
      <c r="K67" s="1709"/>
      <c r="L67" s="1709"/>
    </row>
    <row r="68" spans="1:13" s="83" customFormat="1" ht="13.5" customHeight="1" x14ac:dyDescent="0.2">
      <c r="B68" s="57"/>
      <c r="C68" s="87"/>
      <c r="D68" s="46"/>
      <c r="E68" s="47"/>
      <c r="F68" s="47"/>
      <c r="G68" s="47"/>
      <c r="H68" s="47"/>
      <c r="I68" s="47"/>
    </row>
    <row r="69" spans="1:13" x14ac:dyDescent="0.2">
      <c r="A69" s="1631" t="s">
        <v>922</v>
      </c>
      <c r="B69" s="1631"/>
      <c r="C69" s="1631"/>
      <c r="D69" s="1631"/>
      <c r="E69" s="1631"/>
      <c r="F69" s="1631"/>
      <c r="G69" s="1631"/>
      <c r="H69" s="1631"/>
      <c r="I69" s="1631"/>
      <c r="J69" s="1631"/>
      <c r="K69" s="1631"/>
      <c r="L69" s="1631"/>
      <c r="M69" s="91"/>
    </row>
    <row r="70" spans="1:13" s="67" customFormat="1" x14ac:dyDescent="0.2">
      <c r="A70" s="1631"/>
      <c r="B70" s="1631"/>
      <c r="C70" s="1631"/>
      <c r="D70" s="1631"/>
      <c r="E70" s="1631"/>
      <c r="F70" s="1631"/>
      <c r="G70" s="1631"/>
      <c r="H70" s="1631"/>
      <c r="I70" s="1631"/>
      <c r="J70" s="1631"/>
      <c r="K70" s="1631"/>
      <c r="L70" s="1631"/>
    </row>
    <row r="71" spans="1:13" ht="14.25" customHeight="1" x14ac:dyDescent="0.2">
      <c r="B71" s="48"/>
      <c r="C71" s="46"/>
      <c r="D71" s="46"/>
      <c r="E71" s="9"/>
      <c r="F71" s="9"/>
      <c r="G71" s="9"/>
      <c r="H71" s="9"/>
      <c r="I71" s="13"/>
      <c r="J71" s="13"/>
      <c r="K71" s="13"/>
    </row>
    <row r="72" spans="1:13" x14ac:dyDescent="0.2">
      <c r="A72" s="1631" t="s">
        <v>954</v>
      </c>
      <c r="B72" s="1631"/>
      <c r="C72" s="1631"/>
      <c r="D72" s="1631"/>
      <c r="E72" s="1631"/>
      <c r="F72" s="1631"/>
      <c r="G72" s="1631"/>
      <c r="H72" s="1631"/>
      <c r="I72" s="1631"/>
      <c r="J72" s="1631"/>
      <c r="K72" s="1631"/>
      <c r="L72" s="1631"/>
      <c r="M72" s="91"/>
    </row>
    <row r="73" spans="1:13" s="67" customFormat="1" x14ac:dyDescent="0.2">
      <c r="A73" s="1631"/>
      <c r="B73" s="1631"/>
      <c r="C73" s="1631"/>
      <c r="D73" s="1631"/>
      <c r="E73" s="1631"/>
      <c r="F73" s="1631"/>
      <c r="G73" s="1631"/>
      <c r="H73" s="1631"/>
      <c r="I73" s="1631"/>
      <c r="J73" s="1631"/>
      <c r="K73" s="1631"/>
      <c r="L73" s="1631"/>
    </row>
    <row r="74" spans="1:13" s="83" customFormat="1" ht="14.25" customHeight="1" x14ac:dyDescent="0.2">
      <c r="B74" s="50"/>
      <c r="C74" s="46"/>
      <c r="D74" s="46"/>
      <c r="E74" s="9"/>
      <c r="F74" s="9"/>
      <c r="G74" s="9"/>
      <c r="H74" s="9"/>
      <c r="I74" s="9"/>
      <c r="J74" s="9"/>
      <c r="K74" s="9"/>
    </row>
    <row r="75" spans="1:13" x14ac:dyDescent="0.2">
      <c r="A75" s="1631" t="s">
        <v>962</v>
      </c>
      <c r="B75" s="1631"/>
      <c r="C75" s="1631"/>
      <c r="D75" s="1631"/>
      <c r="E75" s="1631"/>
      <c r="F75" s="1631"/>
      <c r="G75" s="1631"/>
      <c r="H75" s="1631"/>
      <c r="I75" s="1631"/>
      <c r="J75" s="1631"/>
      <c r="K75" s="1631"/>
      <c r="L75" s="1631"/>
      <c r="M75" s="91"/>
    </row>
    <row r="76" spans="1:13" s="67" customFormat="1" x14ac:dyDescent="0.2">
      <c r="A76" s="1631"/>
      <c r="B76" s="1631"/>
      <c r="C76" s="1631"/>
      <c r="D76" s="1631"/>
      <c r="E76" s="1631"/>
      <c r="F76" s="1631"/>
      <c r="G76" s="1631"/>
      <c r="H76" s="1631"/>
      <c r="I76" s="1631"/>
      <c r="J76" s="1631"/>
      <c r="K76" s="1631"/>
      <c r="L76" s="1631"/>
    </row>
    <row r="77" spans="1:13" s="83" customFormat="1" ht="14.25" customHeight="1" x14ac:dyDescent="0.2">
      <c r="B77" s="50"/>
      <c r="C77" s="46"/>
      <c r="D77" s="46"/>
      <c r="E77" s="9"/>
      <c r="F77" s="9"/>
      <c r="G77" s="9"/>
      <c r="H77" s="9"/>
      <c r="I77" s="9"/>
      <c r="J77" s="9"/>
      <c r="K77" s="9"/>
    </row>
    <row r="78" spans="1:13" x14ac:dyDescent="0.2">
      <c r="A78" s="1631" t="s">
        <v>961</v>
      </c>
      <c r="B78" s="1631"/>
      <c r="C78" s="1631"/>
      <c r="D78" s="1631"/>
      <c r="E78" s="1631"/>
      <c r="F78" s="1631"/>
      <c r="G78" s="1631"/>
      <c r="H78" s="1631"/>
      <c r="I78" s="1631"/>
      <c r="J78" s="1631"/>
      <c r="K78" s="1631"/>
      <c r="L78" s="1631"/>
      <c r="M78" s="91"/>
    </row>
    <row r="79" spans="1:13" s="67" customFormat="1" x14ac:dyDescent="0.2">
      <c r="A79" s="1631"/>
      <c r="B79" s="1631"/>
      <c r="C79" s="1631"/>
      <c r="D79" s="1631"/>
      <c r="E79" s="1631"/>
      <c r="F79" s="1631"/>
      <c r="G79" s="1631"/>
      <c r="H79" s="1631"/>
      <c r="I79" s="1631"/>
      <c r="J79" s="1631"/>
      <c r="K79" s="1631"/>
      <c r="L79" s="1631"/>
    </row>
    <row r="80" spans="1:13" s="83" customFormat="1" ht="14.25" customHeight="1" x14ac:dyDescent="0.2">
      <c r="B80" s="50"/>
      <c r="C80" s="46"/>
      <c r="D80" s="46"/>
      <c r="E80" s="9"/>
      <c r="F80" s="9"/>
      <c r="G80" s="9"/>
      <c r="H80" s="9"/>
      <c r="I80" s="9"/>
      <c r="J80" s="9"/>
      <c r="K80" s="9"/>
    </row>
    <row r="81" spans="1:13" x14ac:dyDescent="0.2">
      <c r="A81" s="1631" t="s">
        <v>955</v>
      </c>
      <c r="B81" s="1631"/>
      <c r="C81" s="1631"/>
      <c r="D81" s="1631"/>
      <c r="E81" s="1631"/>
      <c r="F81" s="1631"/>
      <c r="G81" s="1631"/>
      <c r="H81" s="1631"/>
      <c r="I81" s="1631"/>
      <c r="J81" s="1631"/>
      <c r="K81" s="1631"/>
      <c r="L81" s="1631"/>
      <c r="M81" s="91"/>
    </row>
    <row r="82" spans="1:13" s="67" customFormat="1" x14ac:dyDescent="0.2">
      <c r="A82" s="1631"/>
      <c r="B82" s="1631"/>
      <c r="C82" s="1631"/>
      <c r="D82" s="1631"/>
      <c r="E82" s="1631"/>
      <c r="F82" s="1631"/>
      <c r="G82" s="1631"/>
      <c r="H82" s="1631"/>
      <c r="I82" s="1631"/>
      <c r="J82" s="1631"/>
      <c r="K82" s="1631"/>
      <c r="L82" s="1631"/>
    </row>
    <row r="83" spans="1:13" s="83" customFormat="1" ht="14.25" customHeight="1" x14ac:dyDescent="0.2">
      <c r="B83" s="50"/>
      <c r="C83" s="46"/>
      <c r="D83" s="46"/>
      <c r="E83" s="9"/>
      <c r="F83" s="9"/>
      <c r="G83" s="9"/>
      <c r="H83" s="9"/>
      <c r="I83" s="9"/>
      <c r="J83" s="9"/>
      <c r="K83" s="9"/>
    </row>
    <row r="84" spans="1:13" ht="16.5" customHeight="1" x14ac:dyDescent="0.25">
      <c r="A84" s="1677" t="s">
        <v>917</v>
      </c>
      <c r="B84" s="1677"/>
      <c r="C84" s="1677"/>
      <c r="D84" s="1677"/>
      <c r="E84" s="1571"/>
      <c r="F84" s="1571"/>
      <c r="G84" s="1571"/>
    </row>
    <row r="85" spans="1:13" ht="27.75" customHeight="1" x14ac:dyDescent="0.2">
      <c r="A85" s="1631" t="s">
        <v>953</v>
      </c>
      <c r="B85" s="1631"/>
      <c r="C85" s="1631"/>
      <c r="D85" s="1631"/>
      <c r="E85" s="1631"/>
      <c r="F85" s="1631"/>
      <c r="G85" s="1631"/>
      <c r="H85" s="1631"/>
      <c r="I85" s="1631"/>
      <c r="J85" s="1631"/>
      <c r="K85" s="1631"/>
      <c r="L85" s="1631"/>
      <c r="M85" s="91"/>
    </row>
    <row r="86" spans="1:13" s="67" customFormat="1" x14ac:dyDescent="0.2">
      <c r="A86" s="1631"/>
      <c r="B86" s="1631"/>
      <c r="C86" s="1631"/>
      <c r="D86" s="1631"/>
      <c r="E86" s="1631"/>
      <c r="F86" s="1631"/>
      <c r="G86" s="1631"/>
      <c r="H86" s="1631"/>
      <c r="I86" s="1631"/>
      <c r="J86" s="1631"/>
      <c r="K86" s="1631"/>
      <c r="L86" s="1631"/>
    </row>
    <row r="87" spans="1:13" s="67" customFormat="1" x14ac:dyDescent="0.2">
      <c r="A87" s="91"/>
      <c r="B87" s="91"/>
      <c r="C87" s="91"/>
      <c r="D87" s="91"/>
      <c r="E87" s="91"/>
      <c r="F87" s="91"/>
      <c r="G87" s="91"/>
      <c r="H87" s="91"/>
      <c r="I87" s="91"/>
      <c r="J87" s="91"/>
      <c r="K87" s="91"/>
      <c r="L87" s="91"/>
    </row>
    <row r="88" spans="1:13" x14ac:dyDescent="0.2">
      <c r="A88" s="1631" t="s">
        <v>956</v>
      </c>
      <c r="B88" s="1631"/>
      <c r="C88" s="1631"/>
      <c r="D88" s="1631"/>
      <c r="E88" s="1631"/>
      <c r="F88" s="1631"/>
      <c r="G88" s="1631"/>
      <c r="H88" s="1631"/>
      <c r="I88" s="1631"/>
      <c r="J88" s="1631"/>
      <c r="K88" s="1631"/>
      <c r="L88" s="1631"/>
      <c r="M88" s="91"/>
    </row>
    <row r="89" spans="1:13" s="67" customFormat="1" x14ac:dyDescent="0.2">
      <c r="A89" s="1631"/>
      <c r="B89" s="1631"/>
      <c r="C89" s="1631"/>
      <c r="D89" s="1631"/>
      <c r="E89" s="1631"/>
      <c r="F89" s="1631"/>
      <c r="G89" s="1631"/>
      <c r="H89" s="1631"/>
      <c r="I89" s="1631"/>
      <c r="J89" s="1631"/>
      <c r="K89" s="1631"/>
      <c r="L89" s="1631"/>
    </row>
    <row r="90" spans="1:13" s="83" customFormat="1" ht="14.25" customHeight="1" x14ac:dyDescent="0.2">
      <c r="B90" s="50"/>
      <c r="C90" s="46"/>
      <c r="D90" s="46"/>
      <c r="E90" s="9"/>
      <c r="F90" s="9"/>
      <c r="G90" s="9"/>
      <c r="H90" s="9"/>
      <c r="I90" s="9"/>
      <c r="J90" s="9"/>
      <c r="K90" s="9"/>
    </row>
    <row r="91" spans="1:13" x14ac:dyDescent="0.2">
      <c r="A91" s="1631" t="s">
        <v>959</v>
      </c>
      <c r="B91" s="1631"/>
      <c r="C91" s="1631"/>
      <c r="D91" s="1631"/>
      <c r="E91" s="1631"/>
      <c r="F91" s="1631"/>
      <c r="G91" s="1631"/>
      <c r="H91" s="1631"/>
      <c r="I91" s="1631"/>
      <c r="J91" s="1631"/>
      <c r="K91" s="1631"/>
      <c r="L91" s="1631"/>
      <c r="M91" s="91"/>
    </row>
    <row r="92" spans="1:13" s="67" customFormat="1" x14ac:dyDescent="0.2">
      <c r="A92" s="1631"/>
      <c r="B92" s="1631"/>
      <c r="C92" s="1631"/>
      <c r="D92" s="1631"/>
      <c r="E92" s="1631"/>
      <c r="F92" s="1631"/>
      <c r="G92" s="1631"/>
      <c r="H92" s="1631"/>
      <c r="I92" s="1631"/>
      <c r="J92" s="1631"/>
      <c r="K92" s="1631"/>
      <c r="L92" s="1631"/>
    </row>
    <row r="93" spans="1:13" s="83" customFormat="1" ht="14.25" customHeight="1" x14ac:dyDescent="0.2">
      <c r="B93" s="50"/>
      <c r="C93" s="46"/>
      <c r="D93" s="46"/>
      <c r="E93" s="9"/>
      <c r="F93" s="9"/>
      <c r="G93" s="9"/>
      <c r="H93" s="9"/>
      <c r="I93" s="9"/>
      <c r="J93" s="9"/>
      <c r="K93" s="9"/>
    </row>
    <row r="94" spans="1:13" x14ac:dyDescent="0.2">
      <c r="A94" s="1631" t="s">
        <v>957</v>
      </c>
      <c r="B94" s="1631"/>
      <c r="C94" s="1631"/>
      <c r="D94" s="1631"/>
      <c r="E94" s="1631"/>
      <c r="F94" s="1631"/>
      <c r="G94" s="1631"/>
      <c r="H94" s="1631"/>
      <c r="I94" s="1631"/>
      <c r="J94" s="1631"/>
      <c r="K94" s="1631"/>
      <c r="L94" s="1631"/>
      <c r="M94" s="91"/>
    </row>
    <row r="95" spans="1:13" s="67" customFormat="1" x14ac:dyDescent="0.2">
      <c r="A95" s="1631"/>
      <c r="B95" s="1631"/>
      <c r="C95" s="1631"/>
      <c r="D95" s="1631"/>
      <c r="E95" s="1631"/>
      <c r="F95" s="1631"/>
      <c r="G95" s="1631"/>
      <c r="H95" s="1631"/>
      <c r="I95" s="1631"/>
      <c r="J95" s="1631"/>
      <c r="K95" s="1631"/>
      <c r="L95" s="1631"/>
    </row>
    <row r="96" spans="1:13" s="83" customFormat="1" ht="14.25" customHeight="1" x14ac:dyDescent="0.2">
      <c r="B96" s="50"/>
      <c r="C96" s="46"/>
      <c r="D96" s="46"/>
      <c r="E96" s="9"/>
      <c r="F96" s="9"/>
      <c r="G96" s="9"/>
      <c r="H96" s="9"/>
      <c r="I96" s="9"/>
      <c r="J96" s="9"/>
      <c r="K96" s="9"/>
    </row>
    <row r="97" spans="1:13" x14ac:dyDescent="0.2">
      <c r="A97" s="1631" t="s">
        <v>958</v>
      </c>
      <c r="B97" s="1631"/>
      <c r="C97" s="1631"/>
      <c r="D97" s="1631"/>
      <c r="E97" s="1631"/>
      <c r="F97" s="1631"/>
      <c r="G97" s="1631"/>
      <c r="H97" s="1631"/>
      <c r="I97" s="1631"/>
      <c r="J97" s="1631"/>
      <c r="K97" s="1631"/>
      <c r="L97" s="1631"/>
      <c r="M97" s="91"/>
    </row>
    <row r="98" spans="1:13" s="67" customFormat="1" x14ac:dyDescent="0.2">
      <c r="A98" s="1631"/>
      <c r="B98" s="1631"/>
      <c r="C98" s="1631"/>
      <c r="D98" s="1631"/>
      <c r="E98" s="1631"/>
      <c r="F98" s="1631"/>
      <c r="G98" s="1631"/>
      <c r="H98" s="1631"/>
      <c r="I98" s="1631"/>
      <c r="J98" s="1631"/>
      <c r="K98" s="1631"/>
      <c r="L98" s="1631"/>
    </row>
    <row r="99" spans="1:13" s="83" customFormat="1" ht="14.25" customHeight="1" x14ac:dyDescent="0.2">
      <c r="B99" s="50"/>
      <c r="C99" s="46"/>
      <c r="D99" s="46"/>
      <c r="E99" s="9"/>
      <c r="F99" s="9"/>
      <c r="G99" s="9"/>
      <c r="H99" s="9"/>
      <c r="I99" s="9"/>
      <c r="J99" s="9"/>
      <c r="K99" s="9"/>
    </row>
    <row r="100" spans="1:13" x14ac:dyDescent="0.2">
      <c r="A100" s="1631" t="s">
        <v>960</v>
      </c>
      <c r="B100" s="1631"/>
      <c r="C100" s="1631"/>
      <c r="D100" s="1631"/>
      <c r="E100" s="1631"/>
      <c r="F100" s="1631"/>
      <c r="G100" s="1631"/>
      <c r="H100" s="1631"/>
      <c r="I100" s="1631"/>
      <c r="J100" s="1631"/>
      <c r="K100" s="1631"/>
      <c r="L100" s="1631"/>
      <c r="M100" s="91"/>
    </row>
    <row r="101" spans="1:13" s="67" customFormat="1" x14ac:dyDescent="0.2">
      <c r="A101" s="1631"/>
      <c r="B101" s="1631"/>
      <c r="C101" s="1631"/>
      <c r="D101" s="1631"/>
      <c r="E101" s="1631"/>
      <c r="F101" s="1631"/>
      <c r="G101" s="1631"/>
      <c r="H101" s="1631"/>
      <c r="I101" s="1631"/>
      <c r="J101" s="1631"/>
      <c r="K101" s="1631"/>
      <c r="L101" s="1631"/>
    </row>
    <row r="102" spans="1:13" s="83" customFormat="1" ht="14.25" customHeight="1" x14ac:dyDescent="0.2">
      <c r="B102" s="50"/>
      <c r="C102" s="46"/>
      <c r="D102" s="46"/>
      <c r="E102" s="9"/>
      <c r="F102" s="9"/>
      <c r="G102" s="9"/>
      <c r="H102" s="9"/>
      <c r="I102" s="9"/>
      <c r="J102" s="9"/>
      <c r="K102" s="9"/>
    </row>
    <row r="103" spans="1:13" s="83" customFormat="1" ht="14.25" customHeight="1" x14ac:dyDescent="0.2">
      <c r="A103" s="50"/>
      <c r="B103" s="48"/>
      <c r="C103" s="48"/>
      <c r="D103" s="48"/>
      <c r="E103" s="48"/>
      <c r="F103" s="48"/>
      <c r="G103" s="48"/>
      <c r="H103" s="48"/>
      <c r="I103" s="48"/>
      <c r="J103" s="48"/>
    </row>
    <row r="104" spans="1:13" ht="15" x14ac:dyDescent="0.25">
      <c r="A104" s="1647" t="s">
        <v>918</v>
      </c>
      <c r="B104" s="1571"/>
      <c r="C104" s="1571"/>
      <c r="D104" s="1571"/>
      <c r="E104" s="1571"/>
      <c r="F104" s="1571"/>
    </row>
    <row r="105" spans="1:13" x14ac:dyDescent="0.2">
      <c r="A105" s="1721" t="s">
        <v>945</v>
      </c>
      <c r="B105" s="1721"/>
      <c r="C105" s="1721"/>
      <c r="D105" s="1721"/>
      <c r="E105" s="1721"/>
      <c r="F105" s="1721"/>
      <c r="G105" s="1721"/>
      <c r="H105" s="1721"/>
      <c r="I105" s="1721"/>
      <c r="J105" s="1721"/>
    </row>
    <row r="106" spans="1:13" x14ac:dyDescent="0.2">
      <c r="A106" s="43" t="s">
        <v>604</v>
      </c>
      <c r="B106" s="1447"/>
      <c r="C106" s="1722"/>
      <c r="D106" s="1722"/>
      <c r="E106" s="1722"/>
      <c r="F106" s="1722"/>
      <c r="G106" s="1722"/>
      <c r="H106" s="1295"/>
      <c r="I106" s="1295"/>
    </row>
    <row r="107" spans="1:13" ht="12.75" customHeight="1" x14ac:dyDescent="0.2">
      <c r="A107" s="176"/>
      <c r="B107" s="1552" t="s">
        <v>944</v>
      </c>
      <c r="C107" s="1295"/>
      <c r="D107" s="1295"/>
      <c r="E107" s="1295"/>
      <c r="F107" s="1295"/>
      <c r="G107" s="1295"/>
      <c r="H107" s="1295"/>
      <c r="I107" s="1295"/>
    </row>
    <row r="108" spans="1:13" ht="12.75" customHeight="1" x14ac:dyDescent="0.2">
      <c r="A108" s="176"/>
      <c r="B108" s="1552" t="s">
        <v>360</v>
      </c>
      <c r="C108" s="1295"/>
      <c r="D108" s="1295"/>
      <c r="E108" s="1295"/>
      <c r="F108" s="1295"/>
      <c r="G108" s="1295"/>
      <c r="H108" s="1295"/>
      <c r="I108" s="1295"/>
    </row>
    <row r="109" spans="1:13" ht="14.25" x14ac:dyDescent="0.2">
      <c r="A109" s="189"/>
      <c r="B109" s="190"/>
      <c r="C109" s="190"/>
      <c r="D109" s="190"/>
      <c r="E109" s="190"/>
      <c r="F109" s="190"/>
    </row>
    <row r="110" spans="1:13" ht="17.25" customHeight="1" x14ac:dyDescent="0.2">
      <c r="A110" s="1721" t="s">
        <v>943</v>
      </c>
      <c r="B110" s="1721"/>
      <c r="C110" s="1721"/>
      <c r="D110" s="1721"/>
      <c r="E110" s="1721"/>
      <c r="F110" s="1721"/>
      <c r="G110" s="1721"/>
      <c r="H110" s="1721"/>
      <c r="I110" s="1721"/>
      <c r="J110" s="1721"/>
    </row>
    <row r="111" spans="1:13" x14ac:dyDescent="0.2">
      <c r="A111" s="43" t="s">
        <v>604</v>
      </c>
      <c r="B111" s="1447"/>
      <c r="C111" s="1722"/>
      <c r="D111" s="1722"/>
      <c r="E111" s="1722"/>
      <c r="F111" s="1722"/>
      <c r="G111" s="1722"/>
      <c r="H111" s="1295"/>
      <c r="I111" s="1295"/>
    </row>
    <row r="112" spans="1:13" ht="15" customHeight="1" x14ac:dyDescent="0.2">
      <c r="A112" s="176"/>
      <c r="B112" s="1552" t="s">
        <v>353</v>
      </c>
      <c r="C112" s="1295"/>
      <c r="D112" s="1295"/>
      <c r="E112" s="1295"/>
      <c r="F112" s="1295"/>
      <c r="G112" s="1295"/>
      <c r="H112" s="1295"/>
      <c r="I112" s="1295"/>
    </row>
    <row r="113" spans="1:13" ht="14.25" customHeight="1" x14ac:dyDescent="0.2">
      <c r="A113" s="176"/>
      <c r="B113" s="1552" t="s">
        <v>920</v>
      </c>
      <c r="C113" s="1295"/>
      <c r="D113" s="1295"/>
      <c r="E113" s="1295"/>
      <c r="F113" s="1295"/>
      <c r="G113" s="1295"/>
      <c r="H113" s="1295"/>
      <c r="I113" s="1295"/>
    </row>
    <row r="114" spans="1:13" ht="13.5" customHeight="1" x14ac:dyDescent="0.2">
      <c r="A114" s="176"/>
      <c r="B114" s="1552" t="s">
        <v>354</v>
      </c>
      <c r="C114" s="1295"/>
      <c r="D114" s="1295"/>
      <c r="E114" s="1295"/>
      <c r="F114" s="1295"/>
      <c r="G114" s="1295"/>
      <c r="H114" s="1295"/>
      <c r="I114" s="1295"/>
    </row>
    <row r="115" spans="1:13" ht="15" customHeight="1" x14ac:dyDescent="0.2">
      <c r="A115" s="176"/>
      <c r="B115" s="1552" t="s">
        <v>921</v>
      </c>
      <c r="C115" s="1295"/>
      <c r="D115" s="1295"/>
      <c r="E115" s="1295"/>
      <c r="F115" s="1295"/>
      <c r="G115" s="1295"/>
      <c r="H115" s="1295"/>
      <c r="I115" s="1295"/>
    </row>
    <row r="116" spans="1:13" ht="15" customHeight="1" x14ac:dyDescent="0.2">
      <c r="A116" s="46"/>
      <c r="B116" s="188"/>
      <c r="C116" s="13"/>
      <c r="D116" s="13"/>
      <c r="E116" s="13"/>
      <c r="F116" s="13"/>
      <c r="G116" s="13"/>
      <c r="H116" s="13"/>
      <c r="I116" s="13"/>
    </row>
    <row r="117" spans="1:13" s="81" customFormat="1" ht="16.5" customHeight="1" x14ac:dyDescent="0.2">
      <c r="A117" s="1706" t="s">
        <v>946</v>
      </c>
      <c r="B117" s="1706"/>
      <c r="C117" s="1706"/>
      <c r="D117" s="1706"/>
      <c r="E117" s="1706"/>
      <c r="F117" s="1706"/>
      <c r="G117" s="1709"/>
      <c r="H117" s="1709"/>
      <c r="I117" s="1709"/>
      <c r="J117" s="1709"/>
      <c r="K117" s="1709"/>
      <c r="L117" s="1709"/>
    </row>
    <row r="118" spans="1:13" ht="15" customHeight="1" x14ac:dyDescent="0.2">
      <c r="A118" s="1366"/>
      <c r="B118" s="1366"/>
      <c r="C118" s="1366"/>
      <c r="D118" s="1366"/>
      <c r="E118" s="1366"/>
      <c r="F118" s="1366"/>
      <c r="G118" s="1366"/>
      <c r="H118" s="1366"/>
      <c r="I118" s="1366"/>
      <c r="J118" s="1366"/>
      <c r="K118" s="1366"/>
      <c r="L118" s="1366"/>
    </row>
    <row r="119" spans="1:13" ht="15" customHeight="1" x14ac:dyDescent="0.2">
      <c r="A119" s="46"/>
      <c r="B119" s="188"/>
      <c r="C119" s="13"/>
      <c r="D119" s="13"/>
      <c r="E119" s="13"/>
      <c r="F119" s="13"/>
      <c r="G119" s="13"/>
      <c r="H119" s="13"/>
      <c r="I119" s="13"/>
    </row>
    <row r="120" spans="1:13" x14ac:dyDescent="0.2">
      <c r="A120" s="1631" t="s">
        <v>931</v>
      </c>
      <c r="B120" s="1631"/>
      <c r="C120" s="1631"/>
      <c r="D120" s="1631"/>
      <c r="E120" s="1631"/>
      <c r="F120" s="1631"/>
      <c r="G120" s="1631"/>
      <c r="H120" s="1631"/>
      <c r="I120" s="1631"/>
      <c r="J120" s="1631"/>
      <c r="K120" s="1631"/>
      <c r="L120" s="1631"/>
      <c r="M120" s="91"/>
    </row>
    <row r="121" spans="1:13" s="67" customFormat="1" x14ac:dyDescent="0.2">
      <c r="A121" s="1631"/>
      <c r="B121" s="1631"/>
      <c r="C121" s="1631"/>
      <c r="D121" s="1631"/>
      <c r="E121" s="1631"/>
      <c r="F121" s="1631"/>
      <c r="G121" s="1631"/>
      <c r="H121" s="1631"/>
      <c r="I121" s="1631"/>
      <c r="J121" s="1631"/>
      <c r="K121" s="1631"/>
      <c r="L121" s="1631"/>
    </row>
    <row r="122" spans="1:13" s="67" customFormat="1" x14ac:dyDescent="0.2">
      <c r="A122" s="91"/>
      <c r="B122" s="91"/>
      <c r="C122" s="91"/>
      <c r="D122" s="91"/>
      <c r="E122" s="91"/>
      <c r="F122" s="91"/>
      <c r="G122" s="91"/>
      <c r="H122" s="91"/>
      <c r="I122" s="91"/>
      <c r="J122" s="91"/>
      <c r="K122" s="91"/>
      <c r="L122" s="91"/>
    </row>
    <row r="123" spans="1:13" s="67" customFormat="1" ht="12.75" customHeight="1" x14ac:dyDescent="0.2">
      <c r="A123" s="1631" t="s">
        <v>933</v>
      </c>
      <c r="B123" s="1631"/>
      <c r="C123" s="1631"/>
      <c r="D123" s="1631"/>
      <c r="E123" s="1631"/>
      <c r="F123" s="1631"/>
      <c r="G123" s="1631"/>
      <c r="H123" s="1631"/>
      <c r="I123" s="1631"/>
      <c r="J123" s="1631"/>
      <c r="K123" s="1631"/>
      <c r="L123" s="1631"/>
    </row>
    <row r="124" spans="1:13" x14ac:dyDescent="0.2">
      <c r="A124" s="43" t="s">
        <v>604</v>
      </c>
      <c r="B124" s="1447"/>
      <c r="C124" s="1722"/>
      <c r="D124" s="1722"/>
      <c r="E124" s="1722"/>
      <c r="F124" s="1722"/>
      <c r="G124" s="1722"/>
      <c r="H124" s="1295"/>
      <c r="I124" s="1295"/>
    </row>
    <row r="125" spans="1:13" s="67" customFormat="1" ht="12.75" customHeight="1" x14ac:dyDescent="0.2">
      <c r="A125" s="221"/>
      <c r="B125" s="1632" t="s">
        <v>1102</v>
      </c>
      <c r="C125" s="1632"/>
      <c r="D125" s="1632"/>
      <c r="E125" s="1632"/>
      <c r="F125" s="1632"/>
      <c r="G125" s="1632"/>
      <c r="H125" s="1632"/>
      <c r="I125" s="1632"/>
      <c r="J125" s="91"/>
      <c r="K125" s="91"/>
      <c r="L125" s="91"/>
    </row>
    <row r="126" spans="1:13" s="67" customFormat="1" ht="12.75" customHeight="1" x14ac:dyDescent="0.2">
      <c r="A126" s="221"/>
      <c r="B126" s="1632" t="s">
        <v>1103</v>
      </c>
      <c r="C126" s="1632"/>
      <c r="D126" s="1632"/>
      <c r="E126" s="1632"/>
      <c r="F126" s="1632"/>
      <c r="G126" s="1632"/>
      <c r="H126" s="1632"/>
      <c r="I126" s="1632"/>
      <c r="J126" s="91"/>
      <c r="K126" s="91"/>
      <c r="L126" s="91"/>
    </row>
    <row r="127" spans="1:13" s="67" customFormat="1" ht="12.75" customHeight="1" x14ac:dyDescent="0.2">
      <c r="A127" s="221"/>
      <c r="B127" s="1632" t="s">
        <v>1105</v>
      </c>
      <c r="C127" s="1632"/>
      <c r="D127" s="1632"/>
      <c r="E127" s="1632"/>
      <c r="F127" s="1632"/>
      <c r="G127" s="1632"/>
      <c r="H127" s="1632"/>
      <c r="I127" s="1632"/>
      <c r="J127" s="91"/>
      <c r="K127" s="91"/>
      <c r="L127" s="91"/>
    </row>
    <row r="128" spans="1:13" s="67" customFormat="1" ht="12.75" customHeight="1" x14ac:dyDescent="0.2">
      <c r="A128" s="221"/>
      <c r="B128" s="1632" t="s">
        <v>1104</v>
      </c>
      <c r="C128" s="1632"/>
      <c r="D128" s="1632"/>
      <c r="E128" s="1632"/>
      <c r="F128" s="1632"/>
      <c r="G128" s="1632"/>
      <c r="H128" s="1632"/>
      <c r="I128" s="1632"/>
      <c r="J128" s="91"/>
      <c r="K128" s="91"/>
      <c r="L128" s="91"/>
    </row>
    <row r="129" spans="1:13" ht="15" x14ac:dyDescent="0.2">
      <c r="B129" s="26"/>
      <c r="C129" s="80"/>
      <c r="D129" s="80"/>
      <c r="E129" s="80"/>
      <c r="F129" s="80"/>
      <c r="G129" s="80"/>
      <c r="H129" s="80"/>
      <c r="I129" s="80"/>
      <c r="J129" s="80"/>
      <c r="K129" s="80"/>
      <c r="L129" s="80"/>
    </row>
    <row r="130" spans="1:13" ht="15" x14ac:dyDescent="0.25">
      <c r="A130" s="1720" t="s">
        <v>919</v>
      </c>
      <c r="B130" s="1720"/>
      <c r="C130" s="1720"/>
      <c r="D130" s="1720"/>
      <c r="E130" s="1720"/>
      <c r="F130" s="1720"/>
      <c r="G130" s="1720"/>
      <c r="H130" s="1720"/>
      <c r="I130" s="1720"/>
      <c r="J130" s="1720"/>
      <c r="K130" s="1720"/>
      <c r="L130" s="1720"/>
    </row>
    <row r="131" spans="1:13" x14ac:dyDescent="0.2">
      <c r="A131" s="1565" t="s">
        <v>947</v>
      </c>
      <c r="B131" s="1721"/>
      <c r="C131" s="1721"/>
      <c r="D131" s="1721"/>
      <c r="E131" s="1721"/>
      <c r="F131" s="1721"/>
    </row>
    <row r="132" spans="1:13" ht="15" customHeight="1" x14ac:dyDescent="0.2">
      <c r="A132" s="43" t="s">
        <v>604</v>
      </c>
      <c r="B132" s="1385"/>
      <c r="C132" s="1385"/>
      <c r="D132" s="1385"/>
      <c r="E132" s="1385"/>
      <c r="F132" s="1385"/>
      <c r="G132" s="1385"/>
      <c r="H132" s="1385"/>
      <c r="I132" s="1385"/>
      <c r="J132" s="1385"/>
      <c r="K132" s="1385"/>
      <c r="L132" s="1385"/>
    </row>
    <row r="133" spans="1:13" ht="15" customHeight="1" x14ac:dyDescent="0.2">
      <c r="A133" s="176"/>
      <c r="B133" s="1552" t="s">
        <v>446</v>
      </c>
      <c r="C133" s="1552"/>
      <c r="D133" s="1552"/>
      <c r="E133" s="1552"/>
      <c r="F133" s="1552"/>
      <c r="G133" s="1552"/>
      <c r="H133" s="1552"/>
      <c r="I133" s="1552"/>
      <c r="J133" s="1552"/>
      <c r="K133" s="1552"/>
      <c r="L133" s="1552"/>
    </row>
    <row r="134" spans="1:13" ht="15" customHeight="1" x14ac:dyDescent="0.2">
      <c r="A134" s="176"/>
      <c r="B134" s="1552" t="s">
        <v>447</v>
      </c>
      <c r="C134" s="1552"/>
      <c r="D134" s="1552"/>
      <c r="E134" s="1552"/>
      <c r="F134" s="1552"/>
      <c r="G134" s="1552"/>
      <c r="H134" s="1552"/>
      <c r="I134" s="1552"/>
      <c r="J134" s="1552"/>
      <c r="K134" s="1552"/>
      <c r="L134" s="1552"/>
    </row>
    <row r="135" spans="1:13" ht="15" customHeight="1" x14ac:dyDescent="0.2">
      <c r="A135" s="176"/>
      <c r="B135" s="1552" t="s">
        <v>448</v>
      </c>
      <c r="C135" s="1552"/>
      <c r="D135" s="1552"/>
      <c r="E135" s="1552"/>
      <c r="F135" s="1552"/>
      <c r="G135" s="1552"/>
      <c r="H135" s="1552"/>
      <c r="I135" s="1552"/>
      <c r="J135" s="1552"/>
      <c r="K135" s="1552"/>
      <c r="L135" s="1552"/>
    </row>
    <row r="136" spans="1:13" ht="15" customHeight="1" x14ac:dyDescent="0.2">
      <c r="A136" s="176"/>
      <c r="B136" s="1552" t="s">
        <v>923</v>
      </c>
      <c r="C136" s="1552"/>
      <c r="D136" s="1552"/>
      <c r="E136" s="1552"/>
      <c r="F136" s="1552"/>
      <c r="G136" s="1552"/>
      <c r="H136" s="1552"/>
      <c r="I136" s="1552"/>
      <c r="J136" s="1552"/>
      <c r="K136" s="1552"/>
      <c r="L136" s="1552"/>
    </row>
    <row r="137" spans="1:13" ht="15" customHeight="1" x14ac:dyDescent="0.2">
      <c r="A137" s="176"/>
      <c r="B137" s="1552" t="s">
        <v>449</v>
      </c>
      <c r="C137" s="1552"/>
      <c r="D137" s="1552"/>
      <c r="E137" s="1552"/>
      <c r="F137" s="1552"/>
      <c r="G137" s="1552"/>
      <c r="H137" s="1552"/>
      <c r="I137" s="1552"/>
      <c r="J137" s="1552"/>
      <c r="K137" s="1552"/>
      <c r="L137" s="1552"/>
    </row>
    <row r="138" spans="1:13" x14ac:dyDescent="0.2">
      <c r="A138" s="176"/>
      <c r="B138" s="1552" t="s">
        <v>924</v>
      </c>
      <c r="C138" s="1552"/>
      <c r="D138" s="1552"/>
      <c r="E138" s="1552"/>
      <c r="F138" s="1552"/>
      <c r="G138" s="1552"/>
      <c r="H138" s="1552"/>
      <c r="I138" s="1552"/>
      <c r="J138" s="1552"/>
      <c r="K138" s="1552"/>
      <c r="L138" s="1552"/>
    </row>
    <row r="139" spans="1:13" s="83" customFormat="1" ht="15" x14ac:dyDescent="0.2">
      <c r="B139" s="58"/>
      <c r="C139" s="46"/>
      <c r="D139" s="46"/>
      <c r="E139" s="9"/>
      <c r="F139" s="9"/>
      <c r="G139" s="9"/>
      <c r="H139" s="9"/>
      <c r="I139" s="9"/>
      <c r="J139" s="9"/>
      <c r="K139" s="9"/>
      <c r="L139" s="88"/>
    </row>
    <row r="140" spans="1:13" x14ac:dyDescent="0.2">
      <c r="A140" s="1631" t="s">
        <v>938</v>
      </c>
      <c r="B140" s="1631"/>
      <c r="C140" s="1631"/>
      <c r="D140" s="1631"/>
      <c r="E140" s="1631"/>
      <c r="F140" s="1631"/>
      <c r="G140" s="1631"/>
      <c r="H140" s="1631"/>
      <c r="I140" s="1631"/>
      <c r="J140" s="1631"/>
      <c r="K140" s="1631"/>
      <c r="L140" s="1631"/>
      <c r="M140" s="91"/>
    </row>
    <row r="141" spans="1:13" s="67" customFormat="1" x14ac:dyDescent="0.2">
      <c r="A141" s="1631"/>
      <c r="B141" s="1631"/>
      <c r="C141" s="1631"/>
      <c r="D141" s="1631"/>
      <c r="E141" s="1631"/>
      <c r="F141" s="1631"/>
      <c r="G141" s="1631"/>
      <c r="H141" s="1631"/>
      <c r="I141" s="1631"/>
      <c r="J141" s="1631"/>
      <c r="K141" s="1631"/>
      <c r="L141" s="1631"/>
    </row>
    <row r="143" spans="1:13" ht="15" x14ac:dyDescent="0.25">
      <c r="A143" s="1720" t="s">
        <v>948</v>
      </c>
      <c r="B143" s="1720"/>
      <c r="C143" s="1720"/>
      <c r="D143" s="1720"/>
      <c r="E143" s="1720"/>
      <c r="F143" s="1720"/>
      <c r="G143" s="1720"/>
      <c r="H143" s="1720"/>
      <c r="I143" s="1720"/>
      <c r="J143" s="1720"/>
      <c r="K143" s="1720"/>
      <c r="L143" s="1720"/>
    </row>
    <row r="144" spans="1:13" x14ac:dyDescent="0.2">
      <c r="A144" s="1631" t="s">
        <v>932</v>
      </c>
      <c r="B144" s="1631"/>
      <c r="C144" s="1631"/>
      <c r="D144" s="1631"/>
      <c r="E144" s="1631"/>
      <c r="F144" s="1631"/>
      <c r="G144" s="1631"/>
      <c r="H144" s="1631"/>
      <c r="I144" s="1631"/>
      <c r="J144" s="1631"/>
      <c r="K144" s="1631"/>
      <c r="L144" s="1631"/>
      <c r="M144" s="91"/>
    </row>
    <row r="145" spans="1:12" s="67" customFormat="1" x14ac:dyDescent="0.2">
      <c r="A145" s="1631"/>
      <c r="B145" s="1631"/>
      <c r="C145" s="1631"/>
      <c r="D145" s="1631"/>
      <c r="E145" s="1631"/>
      <c r="F145" s="1631"/>
      <c r="G145" s="1631"/>
      <c r="H145" s="1631"/>
      <c r="I145" s="1631"/>
      <c r="J145" s="1631"/>
      <c r="K145" s="1631"/>
      <c r="L145" s="1631"/>
    </row>
  </sheetData>
  <customSheetViews>
    <customSheetView guid="{4892E1C0-7A56-4F81-A857-987D77EC4462}" hiddenRows="1" topLeftCell="B20">
      <selection activeCell="O35" sqref="O35"/>
      <rowBreaks count="1" manualBreakCount="1">
        <brk id="36" max="16383" man="1"/>
      </rowBreaks>
      <pageMargins left="0.7" right="0.7" top="0.75" bottom="0.75" header="0.3" footer="0.3"/>
      <pageSetup orientation="landscape" r:id="rId1"/>
      <headerFooter>
        <oddHeader>&amp;L&amp;G&amp;CShowAcronymGoesHere - PSM&amp;R&amp;P</oddHeader>
        <oddFooter>&amp;L&amp;D&amp;R&amp;Z&amp;F</oddFooter>
      </headerFooter>
    </customSheetView>
    <customSheetView guid="{C29C6423-4E3D-4B08-919E-993C7C45FC31}" hiddenRows="1" topLeftCell="B20">
      <selection activeCell="O35" sqref="O35"/>
      <rowBreaks count="1" manualBreakCount="1">
        <brk id="36" max="16383" man="1"/>
      </rowBreaks>
      <pageMargins left="0.7" right="0.7" top="0.75" bottom="0.75" header="0.3" footer="0.3"/>
      <pageSetup orientation="landscape" r:id="rId2"/>
      <headerFooter>
        <oddHeader>&amp;L&amp;G&amp;CShowAcronymGoesHere - PSM&amp;R&amp;P</oddHeader>
        <oddFooter>&amp;L&amp;D&amp;R&amp;Z&amp;F</oddFooter>
      </headerFooter>
    </customSheetView>
  </customSheetViews>
  <mergeCells count="127">
    <mergeCell ref="A19:H19"/>
    <mergeCell ref="A1:B1"/>
    <mergeCell ref="A2:M2"/>
    <mergeCell ref="A6:C6"/>
    <mergeCell ref="A22:H22"/>
    <mergeCell ref="A7:D7"/>
    <mergeCell ref="B12:I12"/>
    <mergeCell ref="B13:I13"/>
    <mergeCell ref="B14:I14"/>
    <mergeCell ref="B15:I15"/>
    <mergeCell ref="A4:C4"/>
    <mergeCell ref="D4:L4"/>
    <mergeCell ref="B8:I8"/>
    <mergeCell ref="B9:I9"/>
    <mergeCell ref="B10:I10"/>
    <mergeCell ref="B11:I11"/>
    <mergeCell ref="B16:I16"/>
    <mergeCell ref="B17:I17"/>
    <mergeCell ref="A20:L20"/>
    <mergeCell ref="A101:L101"/>
    <mergeCell ref="A94:L94"/>
    <mergeCell ref="B112:I112"/>
    <mergeCell ref="A78:L78"/>
    <mergeCell ref="A105:J105"/>
    <mergeCell ref="B106:I106"/>
    <mergeCell ref="B107:I107"/>
    <mergeCell ref="B108:I108"/>
    <mergeCell ref="A84:G84"/>
    <mergeCell ref="A86:L86"/>
    <mergeCell ref="B111:I111"/>
    <mergeCell ref="A98:L98"/>
    <mergeCell ref="A100:L100"/>
    <mergeCell ref="A95:L95"/>
    <mergeCell ref="A92:L92"/>
    <mergeCell ref="A89:L89"/>
    <mergeCell ref="A91:L91"/>
    <mergeCell ref="A104:F104"/>
    <mergeCell ref="A110:J110"/>
    <mergeCell ref="A97:L97"/>
    <mergeCell ref="A123:C123"/>
    <mergeCell ref="D123:L123"/>
    <mergeCell ref="B132:L132"/>
    <mergeCell ref="G117:L117"/>
    <mergeCell ref="A118:L118"/>
    <mergeCell ref="B113:I113"/>
    <mergeCell ref="B114:I114"/>
    <mergeCell ref="B125:I125"/>
    <mergeCell ref="B126:I126"/>
    <mergeCell ref="B127:I127"/>
    <mergeCell ref="B128:I128"/>
    <mergeCell ref="B124:I124"/>
    <mergeCell ref="B115:I115"/>
    <mergeCell ref="A117:F117"/>
    <mergeCell ref="A120:L120"/>
    <mergeCell ref="A121:L121"/>
    <mergeCell ref="A145:L145"/>
    <mergeCell ref="B133:L133"/>
    <mergeCell ref="B134:L134"/>
    <mergeCell ref="B135:L135"/>
    <mergeCell ref="B136:L136"/>
    <mergeCell ref="A130:L130"/>
    <mergeCell ref="B137:L137"/>
    <mergeCell ref="B138:L138"/>
    <mergeCell ref="A143:L143"/>
    <mergeCell ref="A140:L140"/>
    <mergeCell ref="A141:L141"/>
    <mergeCell ref="A131:F131"/>
    <mergeCell ref="A144:L144"/>
    <mergeCell ref="G47:L47"/>
    <mergeCell ref="A56:C56"/>
    <mergeCell ref="A49:A50"/>
    <mergeCell ref="A42:A48"/>
    <mergeCell ref="D46:F46"/>
    <mergeCell ref="A63:L63"/>
    <mergeCell ref="D57:L57"/>
    <mergeCell ref="D48:L48"/>
    <mergeCell ref="D42:L42"/>
    <mergeCell ref="A55:L55"/>
    <mergeCell ref="A60:L60"/>
    <mergeCell ref="D39:L39"/>
    <mergeCell ref="D49:L49"/>
    <mergeCell ref="A66:F66"/>
    <mergeCell ref="A81:L81"/>
    <mergeCell ref="A82:L82"/>
    <mergeCell ref="A88:L88"/>
    <mergeCell ref="D40:L40"/>
    <mergeCell ref="D41:L41"/>
    <mergeCell ref="A73:L73"/>
    <mergeCell ref="B50:C50"/>
    <mergeCell ref="A75:L75"/>
    <mergeCell ref="A59:L59"/>
    <mergeCell ref="A57:C57"/>
    <mergeCell ref="A69:L69"/>
    <mergeCell ref="A76:L76"/>
    <mergeCell ref="A85:L85"/>
    <mergeCell ref="A72:L72"/>
    <mergeCell ref="A79:L79"/>
    <mergeCell ref="A67:F67"/>
    <mergeCell ref="A65:H65"/>
    <mergeCell ref="A70:L70"/>
    <mergeCell ref="G66:L66"/>
    <mergeCell ref="G67:L67"/>
    <mergeCell ref="A62:L62"/>
    <mergeCell ref="A23:L23"/>
    <mergeCell ref="A37:G37"/>
    <mergeCell ref="B42:C48"/>
    <mergeCell ref="A54:L54"/>
    <mergeCell ref="C38:E38"/>
    <mergeCell ref="D47:F47"/>
    <mergeCell ref="B39:C39"/>
    <mergeCell ref="B40:C40"/>
    <mergeCell ref="A31:L31"/>
    <mergeCell ref="A32:L32"/>
    <mergeCell ref="B41:C41"/>
    <mergeCell ref="D50:L50"/>
    <mergeCell ref="A40:A41"/>
    <mergeCell ref="A25:L25"/>
    <mergeCell ref="A28:L28"/>
    <mergeCell ref="A52:L52"/>
    <mergeCell ref="A53:L53"/>
    <mergeCell ref="B49:C49"/>
    <mergeCell ref="D43:L45"/>
    <mergeCell ref="G46:L46"/>
    <mergeCell ref="A29:L29"/>
    <mergeCell ref="A26:L26"/>
    <mergeCell ref="A34:L34"/>
    <mergeCell ref="A35:L35"/>
  </mergeCells>
  <phoneticPr fontId="6" type="noConversion"/>
  <dataValidations count="1">
    <dataValidation type="list" allowBlank="1" showInputMessage="1" showErrorMessage="1" prompt="Select 'Yes' or 'No'" sqref="I22">
      <formula1>YesNo</formula1>
    </dataValidation>
  </dataValidations>
  <hyperlinks>
    <hyperlink ref="A1" location="TOC!A1" display="TOC Page"/>
  </hyperlinks>
  <pageMargins left="0.7" right="0.7" top="0.75" bottom="0.75" header="0.3" footer="0.3"/>
  <pageSetup orientation="landscape" r:id="rId3"/>
  <headerFooter>
    <oddHeader>&amp;L&amp;G&amp;CShowAcronymGoesHere - PSM&amp;R&amp;P</oddHeader>
    <oddFooter>&amp;L&amp;D&amp;R&amp;Z&amp;F</oddFooter>
  </headerFooter>
  <rowBreaks count="1" manualBreakCount="1">
    <brk id="36" max="16383" man="1"/>
  </rowBreaks>
  <customProperties>
    <customPr name="DVSECTIONID" r:id="rId4"/>
  </customProperties>
  <legacyDrawingHF r:id="rId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workbookViewId="0">
      <selection activeCell="A15" sqref="A15"/>
    </sheetView>
  </sheetViews>
  <sheetFormatPr defaultRowHeight="12.75" x14ac:dyDescent="0.2"/>
  <sheetData>
    <row r="1" spans="1:14" x14ac:dyDescent="0.2">
      <c r="A1" s="1420" t="s">
        <v>639</v>
      </c>
      <c r="B1" s="1420"/>
      <c r="C1" s="602"/>
      <c r="D1" s="602"/>
      <c r="E1" s="602"/>
      <c r="F1" s="602"/>
      <c r="G1" s="602"/>
      <c r="H1" s="602"/>
      <c r="I1" s="602"/>
      <c r="J1" s="602"/>
      <c r="K1" s="602"/>
      <c r="L1" s="602"/>
      <c r="M1" s="602"/>
      <c r="N1" s="602"/>
    </row>
    <row r="2" spans="1:14" ht="20.25" x14ac:dyDescent="0.2">
      <c r="A2" s="1357" t="s">
        <v>1884</v>
      </c>
      <c r="B2" s="1358"/>
      <c r="C2" s="1358"/>
      <c r="D2" s="1358"/>
      <c r="E2" s="1358"/>
      <c r="F2" s="1358"/>
      <c r="G2" s="1358"/>
      <c r="H2" s="1358"/>
      <c r="I2" s="1358"/>
      <c r="J2" s="1358"/>
      <c r="K2" s="1358"/>
      <c r="L2" s="1358"/>
      <c r="M2" s="1358"/>
      <c r="N2" s="1358"/>
    </row>
    <row r="3" spans="1:14" s="600" customFormat="1" x14ac:dyDescent="0.2"/>
    <row r="4" spans="1:14" s="600" customFormat="1" x14ac:dyDescent="0.2">
      <c r="A4" s="1349" t="s">
        <v>1885</v>
      </c>
      <c r="B4" s="1496"/>
      <c r="C4" s="1496"/>
      <c r="D4" s="1496"/>
      <c r="E4" s="1496"/>
      <c r="F4" s="1496"/>
      <c r="G4" s="1496"/>
      <c r="H4" s="1496"/>
    </row>
    <row r="5" spans="1:14" s="600" customFormat="1" x14ac:dyDescent="0.2"/>
    <row r="6" spans="1:14" s="600" customFormat="1" x14ac:dyDescent="0.2">
      <c r="A6" s="1728" t="s">
        <v>1185</v>
      </c>
      <c r="B6" s="1728"/>
      <c r="C6" s="1728"/>
      <c r="D6" s="1728"/>
      <c r="E6" s="1728"/>
      <c r="F6" s="1728"/>
      <c r="G6" s="1728"/>
      <c r="H6" s="1728"/>
      <c r="I6" s="1728"/>
      <c r="J6" s="1728"/>
      <c r="K6" s="1728"/>
      <c r="L6" s="1728"/>
      <c r="M6" s="1728"/>
    </row>
    <row r="7" spans="1:14" s="600" customFormat="1" x14ac:dyDescent="0.2">
      <c r="A7" s="603"/>
      <c r="B7" s="603"/>
      <c r="C7" s="603"/>
      <c r="D7" s="603"/>
      <c r="E7" s="603"/>
      <c r="F7" s="603"/>
      <c r="G7" s="603"/>
      <c r="H7" s="603"/>
      <c r="I7" s="603"/>
      <c r="J7" s="603"/>
      <c r="K7" s="603"/>
      <c r="L7" s="603"/>
      <c r="M7" s="603"/>
      <c r="N7" s="603"/>
    </row>
    <row r="8" spans="1:14" s="215" customFormat="1" ht="12" x14ac:dyDescent="0.2">
      <c r="A8" s="224" t="s">
        <v>1186</v>
      </c>
      <c r="B8" s="1729" t="s">
        <v>1187</v>
      </c>
      <c r="C8" s="1729"/>
      <c r="D8" s="218" t="s">
        <v>1188</v>
      </c>
      <c r="E8" s="239"/>
      <c r="F8" s="1729" t="s">
        <v>1189</v>
      </c>
      <c r="G8" s="1729"/>
      <c r="H8" s="1729"/>
      <c r="I8" s="1729" t="s">
        <v>78</v>
      </c>
      <c r="J8" s="1729"/>
      <c r="K8" s="1729"/>
      <c r="L8" s="1729"/>
      <c r="M8" s="1729"/>
      <c r="N8" s="1729"/>
    </row>
    <row r="9" spans="1:14" s="215" customFormat="1" ht="65.25" customHeight="1" x14ac:dyDescent="0.2">
      <c r="A9" s="238" t="s">
        <v>97</v>
      </c>
      <c r="B9" s="1583" t="s">
        <v>889</v>
      </c>
      <c r="C9" s="1583"/>
      <c r="D9" s="1562" t="s">
        <v>1190</v>
      </c>
      <c r="E9" s="1563"/>
      <c r="F9" s="1583"/>
      <c r="G9" s="1583"/>
      <c r="H9" s="1583"/>
      <c r="I9" s="1583" t="s">
        <v>1191</v>
      </c>
      <c r="J9" s="1583"/>
      <c r="K9" s="1583"/>
      <c r="L9" s="1583"/>
      <c r="M9" s="1583"/>
      <c r="N9" s="1583"/>
    </row>
    <row r="10" spans="1:14" s="215" customFormat="1" ht="65.25" customHeight="1" x14ac:dyDescent="0.2">
      <c r="A10" s="238" t="s">
        <v>97</v>
      </c>
      <c r="B10" s="1583" t="s">
        <v>890</v>
      </c>
      <c r="C10" s="1583"/>
      <c r="D10" s="1562" t="s">
        <v>1199</v>
      </c>
      <c r="E10" s="1563"/>
      <c r="F10" s="1583" t="s">
        <v>1192</v>
      </c>
      <c r="G10" s="1583"/>
      <c r="H10" s="1583"/>
      <c r="I10" s="1583" t="s">
        <v>1193</v>
      </c>
      <c r="J10" s="1583"/>
      <c r="K10" s="1583"/>
      <c r="L10" s="1583"/>
      <c r="M10" s="1583"/>
      <c r="N10" s="1583"/>
    </row>
    <row r="11" spans="1:14" s="215" customFormat="1" ht="48" customHeight="1" x14ac:dyDescent="0.2">
      <c r="A11" s="238" t="s">
        <v>97</v>
      </c>
      <c r="B11" s="1583" t="s">
        <v>1198</v>
      </c>
      <c r="C11" s="1583"/>
      <c r="D11" s="1562" t="s">
        <v>1190</v>
      </c>
      <c r="E11" s="1563"/>
      <c r="F11" s="1583"/>
      <c r="G11" s="1583"/>
      <c r="H11" s="1583"/>
      <c r="I11" s="1583" t="s">
        <v>1194</v>
      </c>
      <c r="J11" s="1583"/>
      <c r="K11" s="1583"/>
      <c r="L11" s="1583"/>
      <c r="M11" s="1583"/>
      <c r="N11" s="1583"/>
    </row>
    <row r="12" spans="1:14" s="215" customFormat="1" ht="78" customHeight="1" x14ac:dyDescent="0.2">
      <c r="A12" s="238" t="s">
        <v>97</v>
      </c>
      <c r="B12" s="1583" t="s">
        <v>892</v>
      </c>
      <c r="C12" s="1583"/>
      <c r="D12" s="1562" t="s">
        <v>1190</v>
      </c>
      <c r="E12" s="1563"/>
      <c r="F12" s="1583"/>
      <c r="G12" s="1583"/>
      <c r="H12" s="1583"/>
      <c r="I12" s="1583" t="s">
        <v>1195</v>
      </c>
      <c r="J12" s="1583"/>
      <c r="K12" s="1583"/>
      <c r="L12" s="1583"/>
      <c r="M12" s="1583"/>
      <c r="N12" s="1583"/>
    </row>
    <row r="13" spans="1:14" s="215" customFormat="1" ht="57" customHeight="1" x14ac:dyDescent="0.2">
      <c r="A13" s="238" t="s">
        <v>97</v>
      </c>
      <c r="B13" s="1583" t="s">
        <v>893</v>
      </c>
      <c r="C13" s="1583"/>
      <c r="D13" s="1562" t="s">
        <v>1190</v>
      </c>
      <c r="E13" s="1563"/>
      <c r="F13" s="1583" t="s">
        <v>1200</v>
      </c>
      <c r="G13" s="1583"/>
      <c r="H13" s="1583"/>
      <c r="I13" s="1583" t="s">
        <v>1196</v>
      </c>
      <c r="J13" s="1583"/>
      <c r="K13" s="1583"/>
      <c r="L13" s="1583"/>
      <c r="M13" s="1583"/>
      <c r="N13" s="1583"/>
    </row>
    <row r="14" spans="1:14" s="615" customFormat="1" ht="126" customHeight="1" x14ac:dyDescent="0.2">
      <c r="A14" s="614" t="s">
        <v>97</v>
      </c>
      <c r="B14" s="1727" t="s">
        <v>1899</v>
      </c>
      <c r="C14" s="1727"/>
      <c r="D14" s="1566" t="s">
        <v>1199</v>
      </c>
      <c r="E14" s="1567"/>
      <c r="F14" s="1727" t="s">
        <v>1201</v>
      </c>
      <c r="G14" s="1727"/>
      <c r="H14" s="1727"/>
      <c r="I14" s="1727" t="s">
        <v>1197</v>
      </c>
      <c r="J14" s="1727"/>
      <c r="K14" s="1727"/>
      <c r="L14" s="1727"/>
      <c r="M14" s="1727"/>
      <c r="N14" s="1727"/>
    </row>
  </sheetData>
  <mergeCells count="31">
    <mergeCell ref="A1:B1"/>
    <mergeCell ref="A2:N2"/>
    <mergeCell ref="A4:H4"/>
    <mergeCell ref="B8:C8"/>
    <mergeCell ref="B9:C9"/>
    <mergeCell ref="F9:H9"/>
    <mergeCell ref="I8:N8"/>
    <mergeCell ref="I9:N9"/>
    <mergeCell ref="F8:H8"/>
    <mergeCell ref="D9:E9"/>
    <mergeCell ref="I10:N10"/>
    <mergeCell ref="A6:M6"/>
    <mergeCell ref="B10:C10"/>
    <mergeCell ref="F10:H10"/>
    <mergeCell ref="D10:E10"/>
    <mergeCell ref="F13:H13"/>
    <mergeCell ref="F14:H14"/>
    <mergeCell ref="B11:C11"/>
    <mergeCell ref="B12:C12"/>
    <mergeCell ref="I11:N11"/>
    <mergeCell ref="I12:N12"/>
    <mergeCell ref="I13:N13"/>
    <mergeCell ref="I14:N14"/>
    <mergeCell ref="B13:C13"/>
    <mergeCell ref="B14:C14"/>
    <mergeCell ref="F11:H11"/>
    <mergeCell ref="D11:E11"/>
    <mergeCell ref="D12:E12"/>
    <mergeCell ref="D13:E13"/>
    <mergeCell ref="D14:E14"/>
    <mergeCell ref="F12:H12"/>
  </mergeCells>
  <hyperlinks>
    <hyperlink ref="A1" location="TOC!A1" display="TOC Page"/>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6"/>
  <sheetViews>
    <sheetView workbookViewId="0">
      <selection sqref="A1:XFD1"/>
    </sheetView>
  </sheetViews>
  <sheetFormatPr defaultRowHeight="12.75" x14ac:dyDescent="0.2"/>
  <sheetData>
    <row r="1" spans="1:14" s="606" customFormat="1" x14ac:dyDescent="0.2">
      <c r="A1" s="1420" t="s">
        <v>639</v>
      </c>
      <c r="B1" s="1420"/>
    </row>
    <row r="2" spans="1:14" s="487" customFormat="1" ht="20.25" customHeight="1" x14ac:dyDescent="0.2">
      <c r="A2" s="1730" t="s">
        <v>1733</v>
      </c>
      <c r="B2" s="1731"/>
      <c r="C2" s="1731"/>
      <c r="D2" s="1731"/>
      <c r="E2" s="1731"/>
      <c r="F2" s="1731"/>
      <c r="G2" s="1731"/>
      <c r="H2" s="1731"/>
      <c r="I2" s="1731"/>
      <c r="J2" s="1731"/>
      <c r="K2" s="1731"/>
      <c r="L2" s="1731"/>
      <c r="M2" s="1731"/>
    </row>
    <row r="3" spans="1:14" s="600" customFormat="1" ht="13.5" customHeight="1" x14ac:dyDescent="0.2">
      <c r="A3" s="497"/>
      <c r="B3" s="497"/>
      <c r="C3" s="497"/>
      <c r="D3" s="497"/>
      <c r="E3" s="497"/>
      <c r="F3" s="497"/>
      <c r="G3" s="497"/>
      <c r="H3" s="497"/>
      <c r="I3" s="497"/>
      <c r="J3" s="497"/>
      <c r="K3" s="497"/>
      <c r="L3" s="497"/>
      <c r="M3" s="497"/>
      <c r="N3" s="599"/>
    </row>
    <row r="4" spans="1:14" x14ac:dyDescent="0.2">
      <c r="A4" s="1344" t="s">
        <v>1182</v>
      </c>
      <c r="B4" s="1344"/>
      <c r="C4" s="1344"/>
      <c r="D4" s="1344"/>
      <c r="E4" s="1344"/>
      <c r="F4" s="1344"/>
      <c r="G4" s="1344"/>
      <c r="H4" s="1344"/>
      <c r="I4" s="1344"/>
      <c r="J4" s="1344"/>
      <c r="K4" s="1344"/>
      <c r="L4" s="1344"/>
      <c r="M4" s="1344"/>
    </row>
    <row r="5" spans="1:14" x14ac:dyDescent="0.2">
      <c r="A5" s="1733" t="s">
        <v>1183</v>
      </c>
      <c r="B5" s="1733"/>
      <c r="C5" s="1733"/>
      <c r="D5" s="1733"/>
      <c r="E5" s="1733"/>
      <c r="F5" s="1733"/>
      <c r="G5" s="1733"/>
      <c r="H5" s="1733"/>
      <c r="I5" s="1733"/>
      <c r="J5" s="1733"/>
      <c r="K5" s="1733"/>
      <c r="L5" s="1733"/>
      <c r="M5" s="1733"/>
    </row>
    <row r="6" spans="1:14" s="600" customFormat="1" x14ac:dyDescent="0.2">
      <c r="A6" s="1733" t="s">
        <v>1184</v>
      </c>
      <c r="B6" s="1733"/>
      <c r="C6" s="1733"/>
      <c r="D6" s="1733"/>
      <c r="E6" s="1733"/>
      <c r="F6" s="1733"/>
      <c r="G6" s="1733"/>
      <c r="H6" s="1733"/>
      <c r="I6" s="1733"/>
      <c r="J6" s="1733"/>
      <c r="K6" s="1733"/>
      <c r="L6" s="1733"/>
      <c r="M6" s="1733"/>
    </row>
    <row r="7" spans="1:14" x14ac:dyDescent="0.2">
      <c r="A7" s="1292"/>
      <c r="B7" s="1292"/>
      <c r="C7" s="1292"/>
      <c r="D7" s="1292"/>
      <c r="E7" s="1292"/>
      <c r="F7" s="1292"/>
      <c r="G7" s="1292"/>
      <c r="H7" s="1292"/>
      <c r="I7" s="1292"/>
      <c r="J7" s="1292"/>
      <c r="K7" s="1292"/>
      <c r="L7" s="1292"/>
      <c r="M7" s="1292"/>
    </row>
    <row r="8" spans="1:14" s="498" customFormat="1" ht="0.75" hidden="1" customHeight="1" x14ac:dyDescent="0.2">
      <c r="A8" s="1732" t="s">
        <v>1732</v>
      </c>
      <c r="B8" s="1732"/>
      <c r="C8" s="1732"/>
      <c r="D8" s="1732"/>
      <c r="E8" s="1732"/>
      <c r="F8" s="1732"/>
      <c r="G8" s="1732"/>
      <c r="H8" s="1732"/>
      <c r="I8" s="1732"/>
      <c r="J8" s="1732"/>
      <c r="K8" s="1732"/>
      <c r="L8" s="1732"/>
      <c r="M8" s="1732"/>
    </row>
    <row r="9" spans="1:14" s="498" customFormat="1" ht="0.75" customHeight="1" x14ac:dyDescent="0.2">
      <c r="A9" s="1732"/>
      <c r="B9" s="1732"/>
      <c r="C9" s="1732"/>
      <c r="D9" s="1732"/>
      <c r="E9" s="1732"/>
      <c r="F9" s="1732"/>
      <c r="G9" s="1732"/>
      <c r="H9" s="1732"/>
      <c r="I9" s="1732"/>
      <c r="J9" s="1732"/>
      <c r="K9" s="1732"/>
      <c r="L9" s="1732"/>
      <c r="M9" s="1732"/>
    </row>
    <row r="10" spans="1:14" s="498" customFormat="1" ht="0.75" customHeight="1" x14ac:dyDescent="0.2">
      <c r="A10" s="1732"/>
      <c r="B10" s="1732"/>
      <c r="C10" s="1732"/>
      <c r="D10" s="1732"/>
      <c r="E10" s="1732"/>
      <c r="F10" s="1732"/>
      <c r="G10" s="1732"/>
      <c r="H10" s="1732"/>
      <c r="I10" s="1732"/>
      <c r="J10" s="1732"/>
      <c r="K10" s="1732"/>
      <c r="L10" s="1732"/>
      <c r="M10" s="1732"/>
    </row>
    <row r="11" spans="1:14" s="498" customFormat="1" ht="0.75" customHeight="1" x14ac:dyDescent="0.2">
      <c r="A11" s="1732"/>
      <c r="B11" s="1732"/>
      <c r="C11" s="1732"/>
      <c r="D11" s="1732"/>
      <c r="E11" s="1732"/>
      <c r="F11" s="1732"/>
      <c r="G11" s="1732"/>
      <c r="H11" s="1732"/>
      <c r="I11" s="1732"/>
      <c r="J11" s="1732"/>
      <c r="K11" s="1732"/>
      <c r="L11" s="1732"/>
      <c r="M11" s="1732"/>
    </row>
    <row r="12" spans="1:14" s="498" customFormat="1" ht="339" customHeight="1" x14ac:dyDescent="0.2">
      <c r="A12" s="1732"/>
      <c r="B12" s="1732"/>
      <c r="C12" s="1732"/>
      <c r="D12" s="1732"/>
      <c r="E12" s="1732"/>
      <c r="F12" s="1732"/>
      <c r="G12" s="1732"/>
      <c r="H12" s="1732"/>
      <c r="I12" s="1732"/>
      <c r="J12" s="1732"/>
      <c r="K12" s="1732"/>
      <c r="L12" s="1732"/>
      <c r="M12" s="1732"/>
    </row>
    <row r="14" spans="1:14" s="492" customFormat="1" ht="16.5" customHeight="1" x14ac:dyDescent="0.2">
      <c r="A14" s="496"/>
      <c r="B14" s="479"/>
      <c r="C14" s="490"/>
      <c r="D14" s="490"/>
      <c r="E14" s="490"/>
      <c r="F14" s="490"/>
      <c r="G14" s="490"/>
      <c r="H14" s="490"/>
      <c r="I14" s="490"/>
      <c r="J14" s="490"/>
    </row>
    <row r="15" spans="1:14" s="492" customFormat="1" ht="33.75" customHeight="1" x14ac:dyDescent="0.2">
      <c r="A15" s="489">
        <v>1</v>
      </c>
      <c r="B15" s="1725" t="s">
        <v>1734</v>
      </c>
      <c r="C15" s="1725"/>
      <c r="D15" s="1725"/>
      <c r="E15" s="1725"/>
      <c r="F15" s="1725"/>
      <c r="G15" s="1725"/>
      <c r="H15" s="1725"/>
      <c r="I15" s="1725"/>
      <c r="J15" s="1725"/>
    </row>
    <row r="16" spans="1:14" s="492" customFormat="1" ht="131.25" customHeight="1" x14ac:dyDescent="0.2">
      <c r="A16" s="499" t="s">
        <v>604</v>
      </c>
      <c r="B16" s="1210" t="s">
        <v>1894</v>
      </c>
      <c r="C16" s="1632"/>
      <c r="D16" s="1632"/>
      <c r="E16" s="1632"/>
      <c r="F16" s="1632"/>
      <c r="G16" s="1632"/>
      <c r="H16" s="1632"/>
      <c r="I16" s="1632"/>
      <c r="J16" s="1632"/>
    </row>
    <row r="17" spans="1:11" s="492" customFormat="1" ht="75.75" customHeight="1" x14ac:dyDescent="0.2">
      <c r="A17" s="445"/>
      <c r="B17" s="1210" t="s">
        <v>1895</v>
      </c>
      <c r="C17" s="1632"/>
      <c r="D17" s="1632"/>
      <c r="E17" s="1632"/>
      <c r="F17" s="1632"/>
      <c r="G17" s="1632"/>
      <c r="H17" s="1632"/>
      <c r="I17" s="1632"/>
      <c r="J17" s="1632"/>
    </row>
    <row r="18" spans="1:11" s="492" customFormat="1" ht="28.5" customHeight="1" x14ac:dyDescent="0.2">
      <c r="A18" s="502"/>
      <c r="B18" s="503"/>
      <c r="C18" s="493"/>
      <c r="D18" s="493"/>
      <c r="E18" s="493"/>
      <c r="F18" s="493"/>
      <c r="G18" s="493"/>
      <c r="H18" s="493"/>
      <c r="I18" s="493"/>
      <c r="J18" s="494"/>
    </row>
    <row r="19" spans="1:11" s="492" customFormat="1" ht="16.5" customHeight="1" x14ac:dyDescent="0.2">
      <c r="A19" s="1569" t="s">
        <v>1730</v>
      </c>
      <c r="B19" s="1740"/>
      <c r="C19" s="1740"/>
      <c r="D19" s="1740"/>
      <c r="E19" s="1740"/>
      <c r="F19" s="1740"/>
      <c r="G19" s="1740"/>
      <c r="H19" s="1740"/>
      <c r="I19" s="1740"/>
      <c r="J19" s="1570"/>
    </row>
    <row r="20" spans="1:11" s="492" customFormat="1" ht="16.5" customHeight="1" x14ac:dyDescent="0.2">
      <c r="A20" s="1741"/>
      <c r="B20" s="1742"/>
      <c r="C20" s="1742"/>
      <c r="D20" s="1742"/>
      <c r="E20" s="1742"/>
      <c r="F20" s="1742"/>
      <c r="G20" s="1742"/>
      <c r="H20" s="1742"/>
      <c r="I20" s="1742"/>
      <c r="J20" s="1743"/>
    </row>
    <row r="21" spans="1:11" s="490" customFormat="1" ht="16.5" customHeight="1" x14ac:dyDescent="0.2">
      <c r="A21" s="501"/>
      <c r="B21" s="501"/>
      <c r="C21" s="501"/>
      <c r="D21" s="501"/>
      <c r="E21" s="501"/>
      <c r="F21" s="501"/>
      <c r="G21" s="501"/>
      <c r="H21" s="501"/>
      <c r="I21" s="501"/>
      <c r="J21" s="501"/>
    </row>
    <row r="22" spans="1:11" s="492" customFormat="1" ht="16.5" customHeight="1" x14ac:dyDescent="0.2">
      <c r="A22" s="504"/>
      <c r="B22" s="501"/>
      <c r="C22" s="501"/>
      <c r="D22" s="501"/>
      <c r="E22" s="501"/>
      <c r="F22" s="501"/>
      <c r="G22" s="501"/>
      <c r="H22" s="501"/>
      <c r="I22" s="501"/>
      <c r="J22" s="505"/>
    </row>
    <row r="23" spans="1:11" s="491" customFormat="1" ht="1.5" customHeight="1" x14ac:dyDescent="0.2">
      <c r="A23" s="506"/>
      <c r="B23" s="1735"/>
      <c r="C23" s="1735"/>
      <c r="D23" s="1735"/>
      <c r="E23" s="1735"/>
      <c r="F23" s="1735"/>
      <c r="G23" s="1735"/>
      <c r="H23" s="1735"/>
      <c r="I23" s="1735"/>
      <c r="J23" s="1735"/>
    </row>
    <row r="24" spans="1:11" s="491" customFormat="1" ht="139.5" customHeight="1" x14ac:dyDescent="0.2">
      <c r="A24" s="506"/>
      <c r="B24" s="1734" t="s">
        <v>1738</v>
      </c>
      <c r="C24" s="1734"/>
      <c r="D24" s="1734"/>
      <c r="E24" s="1734"/>
      <c r="F24" s="1734"/>
      <c r="G24" s="1734"/>
      <c r="H24" s="1734"/>
      <c r="I24" s="1734"/>
      <c r="J24" s="1734"/>
    </row>
    <row r="25" spans="1:11" s="491" customFormat="1" ht="28.5" customHeight="1" x14ac:dyDescent="0.2">
      <c r="A25" s="496"/>
      <c r="B25" s="1734"/>
      <c r="C25" s="1687"/>
      <c r="D25" s="1687"/>
      <c r="E25" s="1687"/>
      <c r="F25" s="1687"/>
      <c r="G25" s="1687"/>
      <c r="H25" s="1687"/>
      <c r="I25" s="1687"/>
      <c r="J25" s="1687"/>
    </row>
    <row r="26" spans="1:11" s="491" customFormat="1" ht="16.5" customHeight="1" x14ac:dyDescent="0.2">
      <c r="A26" s="496"/>
      <c r="B26" s="507"/>
    </row>
    <row r="27" spans="1:11" s="491" customFormat="1" ht="10.5" customHeight="1" x14ac:dyDescent="0.2">
      <c r="A27" s="496"/>
      <c r="B27" s="507"/>
    </row>
    <row r="28" spans="1:11" s="491" customFormat="1" ht="19.5" customHeight="1" x14ac:dyDescent="0.2">
      <c r="A28" s="1736"/>
      <c r="B28" s="1737"/>
      <c r="C28" s="1737"/>
      <c r="D28" s="1737"/>
      <c r="E28" s="1737"/>
      <c r="F28" s="1737"/>
      <c r="G28" s="1737"/>
      <c r="H28" s="1737"/>
      <c r="I28" s="1737"/>
      <c r="J28" s="1737"/>
      <c r="K28" s="1737"/>
    </row>
    <row r="29" spans="1:11" s="491" customFormat="1" ht="16.5" customHeight="1" x14ac:dyDescent="0.2">
      <c r="A29" s="496"/>
      <c r="B29" s="507"/>
    </row>
    <row r="30" spans="1:11" s="491" customFormat="1" ht="19.5" customHeight="1" x14ac:dyDescent="0.2">
      <c r="A30" s="506"/>
      <c r="B30" s="1735"/>
      <c r="C30" s="1735"/>
      <c r="D30" s="1735"/>
      <c r="E30" s="1735"/>
      <c r="F30" s="1735"/>
      <c r="G30" s="1735"/>
      <c r="H30" s="1735"/>
      <c r="I30" s="1735"/>
      <c r="J30" s="1735"/>
    </row>
    <row r="31" spans="1:11" s="491" customFormat="1" ht="17.25" customHeight="1" x14ac:dyDescent="0.2">
      <c r="A31" s="506"/>
      <c r="B31" s="1734"/>
      <c r="C31" s="1687"/>
      <c r="D31" s="1687"/>
      <c r="E31" s="1687"/>
      <c r="F31" s="1687"/>
      <c r="G31" s="1687"/>
      <c r="H31" s="1687"/>
      <c r="I31" s="1687"/>
      <c r="J31" s="1687"/>
    </row>
    <row r="32" spans="1:11" s="491" customFormat="1" ht="24" customHeight="1" x14ac:dyDescent="0.2">
      <c r="A32" s="496"/>
      <c r="B32" s="1734"/>
      <c r="C32" s="1687"/>
      <c r="D32" s="1687"/>
      <c r="E32" s="1687"/>
      <c r="F32" s="1687"/>
      <c r="G32" s="1687"/>
      <c r="H32" s="1687"/>
      <c r="I32" s="1687"/>
      <c r="J32" s="1687"/>
    </row>
    <row r="33" spans="1:10" s="491" customFormat="1" ht="16.5" customHeight="1" x14ac:dyDescent="0.2">
      <c r="A33" s="496"/>
      <c r="B33" s="507"/>
    </row>
    <row r="34" spans="1:10" s="491" customFormat="1" ht="16.5" customHeight="1" x14ac:dyDescent="0.2">
      <c r="A34" s="496"/>
      <c r="B34" s="507"/>
    </row>
    <row r="35" spans="1:10" s="491" customFormat="1" ht="16.5" customHeight="1" x14ac:dyDescent="0.2">
      <c r="A35" s="1735"/>
      <c r="B35" s="1735"/>
      <c r="C35" s="1735"/>
      <c r="D35" s="1735"/>
      <c r="E35" s="1735"/>
      <c r="F35" s="1735"/>
      <c r="G35" s="1735"/>
      <c r="H35" s="1735"/>
      <c r="I35" s="1735"/>
      <c r="J35" s="1735"/>
    </row>
    <row r="36" spans="1:10" s="491" customFormat="1" ht="16.5" customHeight="1" x14ac:dyDescent="0.2">
      <c r="A36" s="1744"/>
      <c r="B36" s="1744"/>
      <c r="C36" s="1744"/>
      <c r="D36" s="1744"/>
      <c r="E36" s="1744"/>
      <c r="F36" s="1744"/>
      <c r="G36" s="1744"/>
      <c r="H36" s="1744"/>
      <c r="I36" s="1744"/>
      <c r="J36" s="1744"/>
    </row>
    <row r="37" spans="1:10" s="491" customFormat="1" ht="16.5" customHeight="1" x14ac:dyDescent="0.2">
      <c r="A37" s="496"/>
      <c r="B37" s="507"/>
    </row>
    <row r="38" spans="1:10" s="491" customFormat="1" x14ac:dyDescent="0.2">
      <c r="A38" s="233"/>
    </row>
    <row r="39" spans="1:10" s="491" customFormat="1" x14ac:dyDescent="0.2">
      <c r="A39" s="233"/>
    </row>
    <row r="40" spans="1:10" s="491" customFormat="1" x14ac:dyDescent="0.2">
      <c r="A40" s="506"/>
      <c r="B40" s="1735"/>
      <c r="C40" s="1735"/>
      <c r="D40" s="1735"/>
      <c r="E40" s="1735"/>
      <c r="F40" s="1735"/>
      <c r="G40" s="1735"/>
      <c r="H40" s="1735"/>
      <c r="I40" s="1735"/>
      <c r="J40" s="1735"/>
    </row>
    <row r="41" spans="1:10" s="491" customFormat="1" ht="29.25" customHeight="1" x14ac:dyDescent="0.2">
      <c r="A41" s="496"/>
      <c r="B41" s="1734"/>
      <c r="C41" s="1687"/>
      <c r="D41" s="1687"/>
      <c r="E41" s="1687"/>
      <c r="F41" s="1687"/>
      <c r="G41" s="1687"/>
      <c r="H41" s="1687"/>
      <c r="I41" s="1687"/>
      <c r="J41" s="1687"/>
    </row>
    <row r="42" spans="1:10" s="491" customFormat="1" ht="29.25" customHeight="1" x14ac:dyDescent="0.2">
      <c r="A42" s="496"/>
      <c r="B42" s="1734"/>
      <c r="C42" s="1687"/>
      <c r="D42" s="1687"/>
      <c r="E42" s="1687"/>
      <c r="F42" s="1687"/>
      <c r="G42" s="1687"/>
      <c r="H42" s="1687"/>
      <c r="I42" s="1687"/>
      <c r="J42" s="1687"/>
    </row>
    <row r="43" spans="1:10" s="491" customFormat="1" ht="29.25" customHeight="1" x14ac:dyDescent="0.2">
      <c r="A43" s="496"/>
      <c r="B43" s="1734"/>
      <c r="C43" s="1687"/>
      <c r="D43" s="1687"/>
      <c r="E43" s="1687"/>
      <c r="F43" s="1687"/>
      <c r="G43" s="1687"/>
      <c r="H43" s="1687"/>
      <c r="I43" s="1687"/>
      <c r="J43" s="1687"/>
    </row>
    <row r="44" spans="1:10" s="492" customFormat="1" x14ac:dyDescent="0.2"/>
    <row r="45" spans="1:10" s="488" customFormat="1" ht="12.75" customHeight="1" x14ac:dyDescent="0.2">
      <c r="A45" s="155"/>
      <c r="B45" s="155"/>
      <c r="C45" s="155"/>
      <c r="D45" s="155"/>
      <c r="E45" s="155"/>
      <c r="F45" s="155"/>
    </row>
    <row r="46" spans="1:10" s="492" customFormat="1" x14ac:dyDescent="0.2">
      <c r="A46" s="1724"/>
      <c r="B46" s="1724"/>
      <c r="C46" s="1724"/>
      <c r="D46" s="1724"/>
      <c r="E46" s="1724"/>
      <c r="F46" s="1724"/>
      <c r="G46" s="1724"/>
      <c r="H46" s="1724"/>
      <c r="I46" s="1724"/>
      <c r="J46" s="1724"/>
    </row>
    <row r="47" spans="1:10" s="492" customFormat="1" x14ac:dyDescent="0.2"/>
    <row r="48" spans="1:10" s="492" customFormat="1" ht="12.75" customHeight="1" x14ac:dyDescent="0.2">
      <c r="A48" s="1728"/>
      <c r="B48" s="1728"/>
      <c r="C48" s="1728"/>
      <c r="D48" s="1724"/>
      <c r="E48" s="1724"/>
      <c r="F48" s="1724"/>
      <c r="G48" s="1724"/>
      <c r="H48" s="1724"/>
      <c r="I48" s="1724"/>
      <c r="J48" s="1724"/>
    </row>
    <row r="49" spans="1:10" s="492" customFormat="1" x14ac:dyDescent="0.2">
      <c r="A49" s="1724"/>
      <c r="B49" s="1724"/>
      <c r="C49" s="1724"/>
      <c r="D49" s="1724"/>
      <c r="E49" s="1724"/>
      <c r="F49" s="1724"/>
      <c r="G49" s="1724"/>
      <c r="H49" s="1724"/>
      <c r="I49" s="1724"/>
      <c r="J49" s="1724"/>
    </row>
    <row r="50" spans="1:10" s="492" customFormat="1" x14ac:dyDescent="0.2"/>
    <row r="51" spans="1:10" s="492" customFormat="1" x14ac:dyDescent="0.2"/>
    <row r="52" spans="1:10" s="495" customFormat="1" x14ac:dyDescent="0.2">
      <c r="A52" s="1728"/>
      <c r="B52" s="1728"/>
      <c r="C52" s="1728"/>
      <c r="D52" s="1728"/>
      <c r="E52" s="1728"/>
      <c r="F52" s="1728"/>
      <c r="G52" s="1728"/>
      <c r="H52" s="1728"/>
      <c r="I52" s="1728"/>
      <c r="J52" s="1728"/>
    </row>
    <row r="53" spans="1:10" s="495" customFormat="1" x14ac:dyDescent="0.2">
      <c r="A53" s="1738"/>
      <c r="B53" s="1739"/>
      <c r="C53" s="1739"/>
      <c r="D53" s="1739"/>
      <c r="E53" s="1739"/>
      <c r="F53" s="1739"/>
      <c r="G53" s="1739"/>
      <c r="H53" s="1739"/>
      <c r="I53" s="1739"/>
      <c r="J53" s="1739"/>
    </row>
    <row r="54" spans="1:10" s="495" customFormat="1" x14ac:dyDescent="0.2">
      <c r="A54" s="1739"/>
      <c r="B54" s="1739"/>
      <c r="C54" s="1739"/>
      <c r="D54" s="1739"/>
      <c r="E54" s="1739"/>
      <c r="F54" s="1739"/>
      <c r="G54" s="1739"/>
      <c r="H54" s="1739"/>
      <c r="I54" s="1739"/>
      <c r="J54" s="1739"/>
    </row>
    <row r="55" spans="1:10" s="495" customFormat="1" x14ac:dyDescent="0.2">
      <c r="A55" s="1739"/>
      <c r="B55" s="1739"/>
      <c r="C55" s="1739"/>
      <c r="D55" s="1739"/>
      <c r="E55" s="1739"/>
      <c r="F55" s="1739"/>
      <c r="G55" s="1739"/>
      <c r="H55" s="1739"/>
      <c r="I55" s="1739"/>
      <c r="J55" s="1739"/>
    </row>
    <row r="56" spans="1:10" s="487" customFormat="1" x14ac:dyDescent="0.2"/>
  </sheetData>
  <mergeCells count="33">
    <mergeCell ref="A53:J53"/>
    <mergeCell ref="A54:J54"/>
    <mergeCell ref="A55:J55"/>
    <mergeCell ref="A19:J19"/>
    <mergeCell ref="A20:J20"/>
    <mergeCell ref="B43:J43"/>
    <mergeCell ref="A46:J46"/>
    <mergeCell ref="A48:C48"/>
    <mergeCell ref="D48:J48"/>
    <mergeCell ref="A49:J49"/>
    <mergeCell ref="A52:J52"/>
    <mergeCell ref="B32:J32"/>
    <mergeCell ref="A35:J35"/>
    <mergeCell ref="A36:J36"/>
    <mergeCell ref="B40:J40"/>
    <mergeCell ref="B41:J41"/>
    <mergeCell ref="B42:J42"/>
    <mergeCell ref="B23:J23"/>
    <mergeCell ref="B24:J24"/>
    <mergeCell ref="B25:J25"/>
    <mergeCell ref="A28:K28"/>
    <mergeCell ref="B30:J30"/>
    <mergeCell ref="B31:J31"/>
    <mergeCell ref="A1:B1"/>
    <mergeCell ref="B15:J15"/>
    <mergeCell ref="B16:J16"/>
    <mergeCell ref="B17:J17"/>
    <mergeCell ref="A2:M2"/>
    <mergeCell ref="A8:M12"/>
    <mergeCell ref="A4:M4"/>
    <mergeCell ref="A5:M5"/>
    <mergeCell ref="A7:M7"/>
    <mergeCell ref="A6:M6"/>
  </mergeCells>
  <hyperlinks>
    <hyperlink ref="A5" r:id="rId1"/>
    <hyperlink ref="A6" r:id="rId2"/>
    <hyperlink ref="A1" location="TOC!A1" display="TOC Page"/>
  </hyperlinks>
  <pageMargins left="0.7" right="0.7" top="0.75" bottom="0.75" header="0.3" footer="0.3"/>
  <pageSetup orientation="portrait"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8"/>
  <sheetViews>
    <sheetView topLeftCell="A8" workbookViewId="0">
      <selection activeCell="A4" sqref="A4:M5"/>
    </sheetView>
  </sheetViews>
  <sheetFormatPr defaultColWidth="9.140625" defaultRowHeight="12.75" x14ac:dyDescent="0.2"/>
  <cols>
    <col min="1" max="12" width="9.140625" style="487"/>
    <col min="13" max="13" width="12.140625" style="487" customWidth="1"/>
    <col min="14" max="16384" width="9.140625" style="487"/>
  </cols>
  <sheetData>
    <row r="1" spans="1:13" s="613" customFormat="1" x14ac:dyDescent="0.2">
      <c r="A1" s="1420" t="s">
        <v>639</v>
      </c>
      <c r="B1" s="1420"/>
    </row>
    <row r="2" spans="1:13" ht="20.25" customHeight="1" x14ac:dyDescent="0.2">
      <c r="A2" s="1730" t="s">
        <v>1735</v>
      </c>
      <c r="B2" s="1731"/>
      <c r="C2" s="1731"/>
      <c r="D2" s="1731"/>
      <c r="E2" s="1731"/>
      <c r="F2" s="1731"/>
      <c r="G2" s="1731"/>
      <c r="H2" s="1731"/>
      <c r="I2" s="1731"/>
      <c r="J2" s="1731"/>
      <c r="K2" s="1731"/>
      <c r="L2" s="1731"/>
      <c r="M2" s="1731"/>
    </row>
    <row r="3" spans="1:13" s="486" customFormat="1" ht="4.5" customHeight="1" x14ac:dyDescent="0.2">
      <c r="A3" s="487"/>
      <c r="B3" s="497"/>
      <c r="C3" s="497"/>
      <c r="D3" s="497"/>
      <c r="E3" s="497"/>
      <c r="F3" s="497"/>
      <c r="G3" s="497"/>
      <c r="H3" s="497"/>
      <c r="I3" s="497"/>
      <c r="J3" s="497"/>
      <c r="K3" s="497"/>
      <c r="L3" s="497"/>
      <c r="M3" s="497"/>
    </row>
    <row r="4" spans="1:13" s="498" customFormat="1" ht="0.75" hidden="1" customHeight="1" x14ac:dyDescent="0.2">
      <c r="A4" s="1732" t="s">
        <v>1890</v>
      </c>
      <c r="B4" s="1732"/>
      <c r="C4" s="1732"/>
      <c r="D4" s="1732"/>
      <c r="E4" s="1732"/>
      <c r="F4" s="1732"/>
      <c r="G4" s="1732"/>
      <c r="H4" s="1732"/>
      <c r="I4" s="1732"/>
      <c r="J4" s="1732"/>
      <c r="K4" s="1732"/>
      <c r="L4" s="1732"/>
      <c r="M4" s="1732"/>
    </row>
    <row r="5" spans="1:13" s="498" customFormat="1" ht="383.25" customHeight="1" x14ac:dyDescent="0.2">
      <c r="A5" s="1732"/>
      <c r="B5" s="1732"/>
      <c r="C5" s="1732"/>
      <c r="D5" s="1732"/>
      <c r="E5" s="1732"/>
      <c r="F5" s="1732"/>
      <c r="G5" s="1732"/>
      <c r="H5" s="1732"/>
      <c r="I5" s="1732"/>
      <c r="J5" s="1732"/>
      <c r="K5" s="1732"/>
      <c r="L5" s="1732"/>
      <c r="M5" s="1732"/>
    </row>
    <row r="6" spans="1:13" ht="15" x14ac:dyDescent="0.2">
      <c r="A6" s="66"/>
      <c r="B6" s="66"/>
      <c r="C6" s="66"/>
      <c r="D6" s="66"/>
      <c r="E6" s="66"/>
      <c r="F6" s="66"/>
      <c r="G6" s="66"/>
      <c r="H6" s="66"/>
      <c r="I6" s="66"/>
      <c r="J6" s="66"/>
      <c r="K6" s="66"/>
    </row>
    <row r="7" spans="1:13" s="492" customFormat="1" ht="2.25" customHeight="1" x14ac:dyDescent="0.2">
      <c r="A7" s="496"/>
      <c r="B7" s="479"/>
      <c r="C7" s="490"/>
      <c r="D7" s="490"/>
      <c r="E7" s="490"/>
      <c r="F7" s="490"/>
      <c r="G7" s="490"/>
      <c r="H7" s="490"/>
      <c r="I7" s="490"/>
      <c r="J7" s="490"/>
    </row>
    <row r="8" spans="1:13" s="492" customFormat="1" ht="36.75" customHeight="1" x14ac:dyDescent="0.2">
      <c r="A8" s="489">
        <v>1</v>
      </c>
      <c r="B8" s="1725" t="s">
        <v>1736</v>
      </c>
      <c r="C8" s="1725"/>
      <c r="D8" s="1725"/>
      <c r="E8" s="1725"/>
      <c r="F8" s="1725"/>
      <c r="G8" s="1725"/>
      <c r="H8" s="1725"/>
      <c r="I8" s="1725"/>
      <c r="J8" s="1725"/>
      <c r="K8" s="1745"/>
      <c r="L8" s="1745"/>
      <c r="M8" s="1745"/>
    </row>
    <row r="9" spans="1:13" s="492" customFormat="1" ht="220.5" customHeight="1" x14ac:dyDescent="0.2">
      <c r="A9" s="499" t="s">
        <v>604</v>
      </c>
      <c r="B9" s="1210" t="s">
        <v>1891</v>
      </c>
      <c r="C9" s="1632"/>
      <c r="D9" s="1632"/>
      <c r="E9" s="1632"/>
      <c r="F9" s="1632"/>
      <c r="G9" s="1632"/>
      <c r="H9" s="1632"/>
      <c r="I9" s="1632"/>
      <c r="J9" s="1632"/>
      <c r="K9" s="1745"/>
      <c r="L9" s="1745"/>
      <c r="M9" s="1745"/>
    </row>
    <row r="10" spans="1:13" s="492" customFormat="1" ht="183.75" customHeight="1" x14ac:dyDescent="0.2">
      <c r="A10" s="445"/>
      <c r="B10" s="1210" t="s">
        <v>1892</v>
      </c>
      <c r="C10" s="1632"/>
      <c r="D10" s="1632"/>
      <c r="E10" s="1632"/>
      <c r="F10" s="1632"/>
      <c r="G10" s="1632"/>
      <c r="H10" s="1632"/>
      <c r="I10" s="1632"/>
      <c r="J10" s="1632"/>
      <c r="K10" s="1745"/>
      <c r="L10" s="1745"/>
      <c r="M10" s="1745"/>
    </row>
    <row r="11" spans="1:13" s="492" customFormat="1" ht="15" customHeight="1" x14ac:dyDescent="0.2">
      <c r="A11" s="502"/>
      <c r="B11" s="608"/>
      <c r="C11" s="609"/>
      <c r="D11" s="609"/>
      <c r="E11" s="609"/>
      <c r="F11" s="609"/>
      <c r="G11" s="609"/>
      <c r="H11" s="609"/>
      <c r="I11" s="609"/>
      <c r="J11" s="610"/>
    </row>
    <row r="12" spans="1:13" s="492" customFormat="1" ht="36" customHeight="1" x14ac:dyDescent="0.2">
      <c r="A12" s="1569" t="s">
        <v>1737</v>
      </c>
      <c r="B12" s="1740"/>
      <c r="C12" s="1740"/>
      <c r="D12" s="1740"/>
      <c r="E12" s="1740"/>
      <c r="F12" s="1740"/>
      <c r="G12" s="1740"/>
      <c r="H12" s="1740"/>
      <c r="I12" s="1740"/>
      <c r="J12" s="1570"/>
    </row>
    <row r="13" spans="1:13" s="492" customFormat="1" ht="33.75" customHeight="1" x14ac:dyDescent="0.2">
      <c r="A13" s="1741"/>
      <c r="B13" s="1742"/>
      <c r="C13" s="1742"/>
      <c r="D13" s="1742"/>
      <c r="E13" s="1742"/>
      <c r="F13" s="1742"/>
      <c r="G13" s="1742"/>
      <c r="H13" s="1742"/>
      <c r="I13" s="1742"/>
      <c r="J13" s="1743"/>
    </row>
    <row r="14" spans="1:13" s="490" customFormat="1" ht="16.5" customHeight="1" x14ac:dyDescent="0.2">
      <c r="A14" s="501"/>
      <c r="B14" s="501"/>
      <c r="C14" s="501"/>
      <c r="D14" s="501"/>
      <c r="E14" s="501"/>
      <c r="F14" s="501"/>
      <c r="G14" s="501"/>
      <c r="H14" s="501"/>
      <c r="I14" s="501"/>
      <c r="J14" s="501"/>
    </row>
    <row r="15" spans="1:13" s="492" customFormat="1" ht="16.5" customHeight="1" x14ac:dyDescent="0.2">
      <c r="A15" s="504"/>
      <c r="B15" s="501"/>
      <c r="C15" s="501"/>
      <c r="D15" s="501"/>
      <c r="E15" s="501"/>
      <c r="F15" s="501"/>
      <c r="G15" s="501"/>
      <c r="H15" s="501"/>
      <c r="I15" s="501"/>
      <c r="J15" s="505"/>
    </row>
    <row r="16" spans="1:13" s="491" customFormat="1" ht="1.5" customHeight="1" x14ac:dyDescent="0.2">
      <c r="A16" s="506"/>
      <c r="B16" s="1735"/>
      <c r="C16" s="1735"/>
      <c r="D16" s="1735"/>
      <c r="E16" s="1735"/>
      <c r="F16" s="1735"/>
      <c r="G16" s="1735"/>
      <c r="H16" s="1735"/>
      <c r="I16" s="1735"/>
      <c r="J16" s="1735"/>
    </row>
    <row r="17" spans="1:11" s="491" customFormat="1" ht="86.25" customHeight="1" x14ac:dyDescent="0.2">
      <c r="A17" s="1734" t="s">
        <v>1893</v>
      </c>
      <c r="B17" s="1738"/>
      <c r="C17" s="1738"/>
      <c r="D17" s="1738"/>
      <c r="E17" s="1738"/>
      <c r="F17" s="1738"/>
      <c r="G17" s="1738"/>
      <c r="H17" s="1738"/>
      <c r="I17" s="1738"/>
      <c r="J17" s="1738"/>
    </row>
    <row r="18" spans="1:11" s="491" customFormat="1" x14ac:dyDescent="0.2">
      <c r="A18" s="496"/>
      <c r="B18" s="1734"/>
      <c r="C18" s="1687"/>
      <c r="D18" s="1687"/>
      <c r="E18" s="1687"/>
      <c r="F18" s="1687"/>
      <c r="G18" s="1687"/>
      <c r="H18" s="1687"/>
      <c r="I18" s="1687"/>
      <c r="J18" s="1687"/>
    </row>
    <row r="19" spans="1:11" s="491" customFormat="1" x14ac:dyDescent="0.2">
      <c r="A19" s="496"/>
      <c r="B19" s="507"/>
    </row>
    <row r="20" spans="1:11" s="491" customFormat="1" x14ac:dyDescent="0.2">
      <c r="A20" s="496"/>
      <c r="B20" s="507"/>
    </row>
    <row r="21" spans="1:11" s="491" customFormat="1" x14ac:dyDescent="0.2">
      <c r="A21" s="1736"/>
      <c r="B21" s="1737"/>
      <c r="C21" s="1737"/>
      <c r="D21" s="1737"/>
      <c r="E21" s="1737"/>
      <c r="F21" s="1737"/>
      <c r="G21" s="1737"/>
      <c r="H21" s="1737"/>
      <c r="I21" s="1737"/>
      <c r="J21" s="1737"/>
      <c r="K21" s="1737"/>
    </row>
    <row r="22" spans="1:11" s="491" customFormat="1" x14ac:dyDescent="0.2">
      <c r="A22" s="496"/>
      <c r="B22" s="507"/>
    </row>
    <row r="23" spans="1:11" s="491" customFormat="1" x14ac:dyDescent="0.2">
      <c r="A23" s="506"/>
      <c r="B23" s="1735"/>
      <c r="C23" s="1735"/>
      <c r="D23" s="1735"/>
      <c r="E23" s="1735"/>
      <c r="F23" s="1735"/>
      <c r="G23" s="1735"/>
      <c r="H23" s="1735"/>
      <c r="I23" s="1735"/>
      <c r="J23" s="1735"/>
    </row>
    <row r="24" spans="1:11" s="491" customFormat="1" x14ac:dyDescent="0.2">
      <c r="A24" s="506"/>
      <c r="B24" s="1734"/>
      <c r="C24" s="1687"/>
      <c r="D24" s="1687"/>
      <c r="E24" s="1687"/>
      <c r="F24" s="1687"/>
      <c r="G24" s="1687"/>
      <c r="H24" s="1687"/>
      <c r="I24" s="1687"/>
      <c r="J24" s="1687"/>
    </row>
    <row r="25" spans="1:11" s="491" customFormat="1" x14ac:dyDescent="0.2">
      <c r="A25" s="496"/>
      <c r="B25" s="1734"/>
      <c r="C25" s="1687"/>
      <c r="D25" s="1687"/>
      <c r="E25" s="1687"/>
      <c r="F25" s="1687"/>
      <c r="G25" s="1687"/>
      <c r="H25" s="1687"/>
      <c r="I25" s="1687"/>
      <c r="J25" s="1687"/>
    </row>
    <row r="26" spans="1:11" s="491" customFormat="1" x14ac:dyDescent="0.2">
      <c r="A26" s="496"/>
      <c r="B26" s="507"/>
    </row>
    <row r="27" spans="1:11" s="491" customFormat="1" x14ac:dyDescent="0.2">
      <c r="A27" s="496"/>
      <c r="B27" s="507"/>
    </row>
    <row r="28" spans="1:11" s="491" customFormat="1" x14ac:dyDescent="0.2">
      <c r="A28" s="1735"/>
      <c r="B28" s="1735"/>
      <c r="C28" s="1735"/>
      <c r="D28" s="1735"/>
      <c r="E28" s="1735"/>
      <c r="F28" s="1735"/>
      <c r="G28" s="1735"/>
      <c r="H28" s="1735"/>
      <c r="I28" s="1735"/>
      <c r="J28" s="1735"/>
    </row>
    <row r="29" spans="1:11" s="491" customFormat="1" x14ac:dyDescent="0.2">
      <c r="A29" s="1744"/>
      <c r="B29" s="1744"/>
      <c r="C29" s="1744"/>
      <c r="D29" s="1744"/>
      <c r="E29" s="1744"/>
      <c r="F29" s="1744"/>
      <c r="G29" s="1744"/>
      <c r="H29" s="1744"/>
      <c r="I29" s="1744"/>
      <c r="J29" s="1744"/>
    </row>
    <row r="30" spans="1:11" s="491" customFormat="1" x14ac:dyDescent="0.2">
      <c r="A30" s="496"/>
      <c r="B30" s="507"/>
    </row>
    <row r="31" spans="1:11" s="491" customFormat="1" x14ac:dyDescent="0.2">
      <c r="A31" s="233"/>
    </row>
    <row r="32" spans="1:11" s="491" customFormat="1" x14ac:dyDescent="0.2">
      <c r="A32" s="233"/>
    </row>
    <row r="33" spans="1:10" s="491" customFormat="1" x14ac:dyDescent="0.2">
      <c r="A33" s="506"/>
      <c r="B33" s="1735"/>
      <c r="C33" s="1735"/>
      <c r="D33" s="1735"/>
      <c r="E33" s="1735"/>
      <c r="F33" s="1735"/>
      <c r="G33" s="1735"/>
      <c r="H33" s="1735"/>
      <c r="I33" s="1735"/>
      <c r="J33" s="1735"/>
    </row>
    <row r="34" spans="1:10" s="491" customFormat="1" x14ac:dyDescent="0.2">
      <c r="A34" s="496"/>
      <c r="B34" s="1734"/>
      <c r="C34" s="1687"/>
      <c r="D34" s="1687"/>
      <c r="E34" s="1687"/>
      <c r="F34" s="1687"/>
      <c r="G34" s="1687"/>
      <c r="H34" s="1687"/>
      <c r="I34" s="1687"/>
      <c r="J34" s="1687"/>
    </row>
    <row r="35" spans="1:10" s="491" customFormat="1" x14ac:dyDescent="0.2">
      <c r="A35" s="496"/>
      <c r="B35" s="1734"/>
      <c r="C35" s="1687"/>
      <c r="D35" s="1687"/>
      <c r="E35" s="1687"/>
      <c r="F35" s="1687"/>
      <c r="G35" s="1687"/>
      <c r="H35" s="1687"/>
      <c r="I35" s="1687"/>
      <c r="J35" s="1687"/>
    </row>
    <row r="36" spans="1:10" s="491" customFormat="1" x14ac:dyDescent="0.2">
      <c r="A36" s="496"/>
      <c r="B36" s="1734"/>
      <c r="C36" s="1687"/>
      <c r="D36" s="1687"/>
      <c r="E36" s="1687"/>
      <c r="F36" s="1687"/>
      <c r="G36" s="1687"/>
      <c r="H36" s="1687"/>
      <c r="I36" s="1687"/>
      <c r="J36" s="1687"/>
    </row>
    <row r="37" spans="1:10" s="492" customFormat="1" x14ac:dyDescent="0.2"/>
    <row r="38" spans="1:10" s="488" customFormat="1" x14ac:dyDescent="0.2">
      <c r="A38" s="155"/>
      <c r="B38" s="155"/>
      <c r="C38" s="155"/>
      <c r="D38" s="155"/>
      <c r="E38" s="155"/>
      <c r="F38" s="155"/>
    </row>
    <row r="39" spans="1:10" s="492" customFormat="1" x14ac:dyDescent="0.2">
      <c r="A39" s="1724"/>
      <c r="B39" s="1724"/>
      <c r="C39" s="1724"/>
      <c r="D39" s="1724"/>
      <c r="E39" s="1724"/>
      <c r="F39" s="1724"/>
      <c r="G39" s="1724"/>
      <c r="H39" s="1724"/>
      <c r="I39" s="1724"/>
      <c r="J39" s="1724"/>
    </row>
    <row r="40" spans="1:10" s="492" customFormat="1" x14ac:dyDescent="0.2"/>
    <row r="41" spans="1:10" s="492" customFormat="1" x14ac:dyDescent="0.2">
      <c r="A41" s="1728"/>
      <c r="B41" s="1728"/>
      <c r="C41" s="1728"/>
      <c r="D41" s="1724"/>
      <c r="E41" s="1724"/>
      <c r="F41" s="1724"/>
      <c r="G41" s="1724"/>
      <c r="H41" s="1724"/>
      <c r="I41" s="1724"/>
      <c r="J41" s="1724"/>
    </row>
    <row r="42" spans="1:10" s="492" customFormat="1" x14ac:dyDescent="0.2">
      <c r="A42" s="1724"/>
      <c r="B42" s="1724"/>
      <c r="C42" s="1724"/>
      <c r="D42" s="1724"/>
      <c r="E42" s="1724"/>
      <c r="F42" s="1724"/>
      <c r="G42" s="1724"/>
      <c r="H42" s="1724"/>
      <c r="I42" s="1724"/>
      <c r="J42" s="1724"/>
    </row>
    <row r="43" spans="1:10" s="492" customFormat="1" x14ac:dyDescent="0.2"/>
    <row r="44" spans="1:10" s="492" customFormat="1" x14ac:dyDescent="0.2"/>
    <row r="45" spans="1:10" s="495" customFormat="1" x14ac:dyDescent="0.2">
      <c r="A45" s="1728"/>
      <c r="B45" s="1728"/>
      <c r="C45" s="1728"/>
      <c r="D45" s="1728"/>
      <c r="E45" s="1728"/>
      <c r="F45" s="1728"/>
      <c r="G45" s="1728"/>
      <c r="H45" s="1728"/>
      <c r="I45" s="1728"/>
      <c r="J45" s="1728"/>
    </row>
    <row r="46" spans="1:10" s="495" customFormat="1" x14ac:dyDescent="0.2">
      <c r="A46" s="1738"/>
      <c r="B46" s="1739"/>
      <c r="C46" s="1739"/>
      <c r="D46" s="1739"/>
      <c r="E46" s="1739"/>
      <c r="F46" s="1739"/>
      <c r="G46" s="1739"/>
      <c r="H46" s="1739"/>
      <c r="I46" s="1739"/>
      <c r="J46" s="1739"/>
    </row>
    <row r="47" spans="1:10" s="495" customFormat="1" x14ac:dyDescent="0.2">
      <c r="A47" s="1739"/>
      <c r="B47" s="1739"/>
      <c r="C47" s="1739"/>
      <c r="D47" s="1739"/>
      <c r="E47" s="1739"/>
      <c r="F47" s="1739"/>
      <c r="G47" s="1739"/>
      <c r="H47" s="1739"/>
      <c r="I47" s="1739"/>
      <c r="J47" s="1739"/>
    </row>
    <row r="48" spans="1:10" s="495" customFormat="1" x14ac:dyDescent="0.2">
      <c r="A48" s="1739"/>
      <c r="B48" s="1739"/>
      <c r="C48" s="1739"/>
      <c r="D48" s="1739"/>
      <c r="E48" s="1739"/>
      <c r="F48" s="1739"/>
      <c r="G48" s="1739"/>
      <c r="H48" s="1739"/>
      <c r="I48" s="1739"/>
      <c r="J48" s="1739"/>
    </row>
  </sheetData>
  <mergeCells count="29">
    <mergeCell ref="A45:J45"/>
    <mergeCell ref="A46:J46"/>
    <mergeCell ref="A47:J47"/>
    <mergeCell ref="A48:J48"/>
    <mergeCell ref="B35:J35"/>
    <mergeCell ref="B36:J36"/>
    <mergeCell ref="A39:J39"/>
    <mergeCell ref="A41:C41"/>
    <mergeCell ref="D41:J41"/>
    <mergeCell ref="A42:J42"/>
    <mergeCell ref="B34:J34"/>
    <mergeCell ref="A13:J13"/>
    <mergeCell ref="B16:J16"/>
    <mergeCell ref="B18:J18"/>
    <mergeCell ref="A21:K21"/>
    <mergeCell ref="B23:J23"/>
    <mergeCell ref="B24:J24"/>
    <mergeCell ref="B25:J25"/>
    <mergeCell ref="A28:J28"/>
    <mergeCell ref="A29:J29"/>
    <mergeCell ref="B33:J33"/>
    <mergeCell ref="A17:J17"/>
    <mergeCell ref="A1:B1"/>
    <mergeCell ref="A12:J12"/>
    <mergeCell ref="A2:M2"/>
    <mergeCell ref="A4:M5"/>
    <mergeCell ref="B8:M8"/>
    <mergeCell ref="B9:M9"/>
    <mergeCell ref="B10:M10"/>
  </mergeCells>
  <hyperlinks>
    <hyperlink ref="A1" location="TOC!A1" display="TOC Page"/>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2"/>
  <sheetViews>
    <sheetView workbookViewId="0">
      <selection activeCell="A3" sqref="A3:M4"/>
    </sheetView>
  </sheetViews>
  <sheetFormatPr defaultColWidth="9.140625" defaultRowHeight="12.75" x14ac:dyDescent="0.2"/>
  <cols>
    <col min="1" max="16384" width="9.140625" style="487"/>
  </cols>
  <sheetData>
    <row r="1" spans="1:13" ht="20.25" customHeight="1" x14ac:dyDescent="0.2">
      <c r="A1" s="1730" t="s">
        <v>1739</v>
      </c>
      <c r="B1" s="1731"/>
      <c r="C1" s="1731"/>
      <c r="D1" s="1731"/>
      <c r="E1" s="1731"/>
      <c r="F1" s="1731"/>
      <c r="G1" s="1731"/>
      <c r="H1" s="1731"/>
      <c r="I1" s="1731"/>
      <c r="J1" s="1731"/>
      <c r="K1" s="1731"/>
      <c r="L1" s="1731"/>
      <c r="M1" s="1731"/>
    </row>
    <row r="2" spans="1:13" s="486" customFormat="1" ht="21.75" customHeight="1" x14ac:dyDescent="0.2">
      <c r="A2" s="487"/>
      <c r="B2" s="497"/>
      <c r="C2" s="497"/>
      <c r="D2" s="497"/>
      <c r="E2" s="497"/>
      <c r="F2" s="497"/>
      <c r="G2" s="497"/>
      <c r="H2" s="497"/>
      <c r="I2" s="497"/>
      <c r="J2" s="497"/>
      <c r="K2" s="497"/>
      <c r="L2" s="497"/>
      <c r="M2" s="497"/>
    </row>
    <row r="3" spans="1:13" s="498" customFormat="1" ht="0.75" hidden="1" customHeight="1" x14ac:dyDescent="0.2">
      <c r="A3" s="1732" t="s">
        <v>1740</v>
      </c>
      <c r="B3" s="1732"/>
      <c r="C3" s="1732"/>
      <c r="D3" s="1732"/>
      <c r="E3" s="1732"/>
      <c r="F3" s="1732"/>
      <c r="G3" s="1732"/>
      <c r="H3" s="1732"/>
      <c r="I3" s="1732"/>
      <c r="J3" s="1732"/>
      <c r="K3" s="1732"/>
      <c r="L3" s="1732"/>
      <c r="M3" s="1732"/>
    </row>
    <row r="4" spans="1:13" s="498" customFormat="1" ht="349.5" customHeight="1" x14ac:dyDescent="0.2">
      <c r="A4" s="1732"/>
      <c r="B4" s="1732"/>
      <c r="C4" s="1732"/>
      <c r="D4" s="1732"/>
      <c r="E4" s="1732"/>
      <c r="F4" s="1732"/>
      <c r="G4" s="1732"/>
      <c r="H4" s="1732"/>
      <c r="I4" s="1732"/>
      <c r="J4" s="1732"/>
      <c r="K4" s="1732"/>
      <c r="L4" s="1732"/>
      <c r="M4" s="1732"/>
    </row>
    <row r="5" spans="1:13" s="498" customFormat="1" ht="8.25" customHeight="1" x14ac:dyDescent="0.2">
      <c r="A5" s="524"/>
      <c r="B5" s="524"/>
      <c r="C5" s="524"/>
      <c r="D5" s="524"/>
      <c r="E5" s="524"/>
      <c r="F5" s="524"/>
      <c r="G5" s="524"/>
      <c r="H5" s="524"/>
      <c r="I5" s="524"/>
      <c r="J5" s="524"/>
      <c r="K5" s="524"/>
      <c r="L5" s="524"/>
      <c r="M5" s="524"/>
    </row>
    <row r="6" spans="1:13" s="498" customFormat="1" ht="39" customHeight="1" x14ac:dyDescent="0.2">
      <c r="A6" s="1569" t="s">
        <v>1741</v>
      </c>
      <c r="B6" s="1740"/>
      <c r="C6" s="1740"/>
      <c r="D6" s="1740"/>
      <c r="E6" s="1740"/>
      <c r="F6" s="1740"/>
      <c r="G6" s="1740"/>
      <c r="H6" s="1740"/>
      <c r="I6" s="1740"/>
      <c r="J6" s="1570"/>
      <c r="K6" s="524"/>
      <c r="L6" s="524"/>
      <c r="M6" s="524"/>
    </row>
    <row r="7" spans="1:13" s="498" customFormat="1" ht="26.25" customHeight="1" x14ac:dyDescent="0.2">
      <c r="A7" s="1746" t="s">
        <v>1742</v>
      </c>
      <c r="B7" s="1742"/>
      <c r="C7" s="1742"/>
      <c r="D7" s="1742"/>
      <c r="E7" s="1742"/>
      <c r="F7" s="1742"/>
      <c r="G7" s="1742"/>
      <c r="H7" s="1742"/>
      <c r="I7" s="1742"/>
      <c r="J7" s="1743"/>
      <c r="K7" s="524"/>
      <c r="L7" s="524"/>
      <c r="M7" s="524"/>
    </row>
    <row r="8" spans="1:13" s="498" customFormat="1" ht="18.75" customHeight="1" x14ac:dyDescent="0.2">
      <c r="A8" s="524"/>
      <c r="B8" s="524"/>
      <c r="C8" s="524"/>
      <c r="D8" s="524"/>
      <c r="E8" s="524"/>
      <c r="F8" s="524"/>
      <c r="G8" s="524"/>
      <c r="H8" s="524"/>
      <c r="I8" s="524"/>
      <c r="J8" s="524"/>
      <c r="K8" s="524"/>
      <c r="L8" s="524"/>
      <c r="M8" s="524"/>
    </row>
    <row r="9" spans="1:13" s="498" customFormat="1" ht="18.75" customHeight="1" x14ac:dyDescent="0.2">
      <c r="A9" s="524"/>
      <c r="B9" s="524"/>
      <c r="C9" s="524"/>
      <c r="D9" s="524"/>
      <c r="E9" s="524"/>
      <c r="F9" s="524"/>
      <c r="G9" s="524"/>
      <c r="H9" s="524"/>
      <c r="I9" s="524"/>
      <c r="J9" s="524"/>
      <c r="K9" s="524"/>
      <c r="L9" s="524"/>
      <c r="M9" s="524"/>
    </row>
    <row r="10" spans="1:13" ht="15" x14ac:dyDescent="0.2">
      <c r="A10" s="66"/>
      <c r="B10" s="66"/>
      <c r="C10" s="66"/>
      <c r="D10" s="66"/>
      <c r="E10" s="66"/>
      <c r="F10" s="66"/>
      <c r="G10" s="66"/>
      <c r="H10" s="66"/>
      <c r="I10" s="66"/>
      <c r="J10" s="66"/>
      <c r="K10" s="66"/>
    </row>
    <row r="11" spans="1:13" s="492" customFormat="1" ht="2.25" customHeight="1" x14ac:dyDescent="0.2">
      <c r="A11" s="496"/>
      <c r="B11" s="479"/>
      <c r="C11" s="490"/>
      <c r="D11" s="490"/>
      <c r="E11" s="490"/>
      <c r="F11" s="490"/>
      <c r="G11" s="490"/>
      <c r="H11" s="490"/>
      <c r="I11" s="490"/>
      <c r="J11" s="490"/>
    </row>
    <row r="12" spans="1:13" s="492" customFormat="1" ht="36.75" customHeight="1" x14ac:dyDescent="0.2">
      <c r="A12" s="489">
        <v>2</v>
      </c>
      <c r="B12" s="1725" t="s">
        <v>1743</v>
      </c>
      <c r="C12" s="1725"/>
      <c r="D12" s="1725"/>
      <c r="E12" s="1725"/>
      <c r="F12" s="1725"/>
      <c r="G12" s="1725"/>
      <c r="H12" s="1725"/>
      <c r="I12" s="1725"/>
      <c r="J12" s="1725"/>
    </row>
    <row r="13" spans="1:13" s="492" customFormat="1" ht="207.75" customHeight="1" x14ac:dyDescent="0.2">
      <c r="A13" s="499" t="s">
        <v>604</v>
      </c>
      <c r="B13" s="1210" t="s">
        <v>1744</v>
      </c>
      <c r="C13" s="1632"/>
      <c r="D13" s="1632"/>
      <c r="E13" s="1632"/>
      <c r="F13" s="1632"/>
      <c r="G13" s="1632"/>
      <c r="H13" s="1632"/>
      <c r="I13" s="1632"/>
      <c r="J13" s="1632"/>
    </row>
    <row r="14" spans="1:13" s="492" customFormat="1" ht="153.75" customHeight="1" x14ac:dyDescent="0.2">
      <c r="A14" s="445"/>
      <c r="B14" s="1210" t="s">
        <v>1745</v>
      </c>
      <c r="C14" s="1632"/>
      <c r="D14" s="1632"/>
      <c r="E14" s="1632"/>
      <c r="F14" s="1632"/>
      <c r="G14" s="1632"/>
      <c r="H14" s="1632"/>
      <c r="I14" s="1632"/>
      <c r="J14" s="1632"/>
    </row>
    <row r="15" spans="1:13" s="492" customFormat="1" ht="15" customHeight="1" x14ac:dyDescent="0.2">
      <c r="A15" s="502"/>
      <c r="B15" s="503"/>
      <c r="C15" s="493"/>
      <c r="D15" s="493"/>
      <c r="E15" s="493"/>
      <c r="F15" s="493"/>
      <c r="G15" s="493"/>
      <c r="H15" s="493"/>
      <c r="I15" s="493"/>
      <c r="J15" s="494"/>
    </row>
    <row r="16" spans="1:13" s="492" customFormat="1" ht="36" customHeight="1" x14ac:dyDescent="0.2"/>
    <row r="17" spans="1:11" s="492" customFormat="1" ht="33.75" customHeight="1" x14ac:dyDescent="0.2"/>
    <row r="18" spans="1:11" s="490" customFormat="1" ht="16.5" customHeight="1" x14ac:dyDescent="0.2">
      <c r="A18" s="501"/>
      <c r="B18" s="501"/>
      <c r="C18" s="501"/>
      <c r="D18" s="501"/>
      <c r="E18" s="501"/>
      <c r="F18" s="501"/>
      <c r="G18" s="501"/>
      <c r="H18" s="501"/>
      <c r="I18" s="501"/>
      <c r="J18" s="501"/>
    </row>
    <row r="19" spans="1:11" s="492" customFormat="1" ht="16.5" customHeight="1" x14ac:dyDescent="0.2">
      <c r="A19" s="504"/>
      <c r="B19" s="501"/>
      <c r="C19" s="501"/>
      <c r="D19" s="501"/>
      <c r="E19" s="501"/>
      <c r="F19" s="501"/>
      <c r="G19" s="501"/>
      <c r="H19" s="501"/>
      <c r="I19" s="501"/>
      <c r="J19" s="505"/>
    </row>
    <row r="20" spans="1:11" s="491" customFormat="1" ht="1.5" customHeight="1" x14ac:dyDescent="0.2">
      <c r="A20" s="506"/>
      <c r="B20" s="1735"/>
      <c r="C20" s="1735"/>
      <c r="D20" s="1735"/>
      <c r="E20" s="1735"/>
      <c r="F20" s="1735"/>
      <c r="G20" s="1735"/>
      <c r="H20" s="1735"/>
      <c r="I20" s="1735"/>
      <c r="J20" s="1735"/>
    </row>
    <row r="21" spans="1:11" s="491" customFormat="1" ht="51" customHeight="1" x14ac:dyDescent="0.2">
      <c r="A21" s="506"/>
      <c r="B21" s="1734"/>
      <c r="C21" s="1734"/>
      <c r="D21" s="1734"/>
      <c r="E21" s="1734"/>
      <c r="F21" s="1734"/>
      <c r="G21" s="1734"/>
      <c r="H21" s="1734"/>
      <c r="I21" s="1734"/>
      <c r="J21" s="1734"/>
    </row>
    <row r="22" spans="1:11" s="491" customFormat="1" x14ac:dyDescent="0.2">
      <c r="A22" s="496"/>
      <c r="B22" s="1734"/>
      <c r="C22" s="1687"/>
      <c r="D22" s="1687"/>
      <c r="E22" s="1687"/>
      <c r="F22" s="1687"/>
      <c r="G22" s="1687"/>
      <c r="H22" s="1687"/>
      <c r="I22" s="1687"/>
      <c r="J22" s="1687"/>
    </row>
    <row r="23" spans="1:11" s="491" customFormat="1" x14ac:dyDescent="0.2">
      <c r="A23" s="496"/>
      <c r="B23" s="507"/>
    </row>
    <row r="24" spans="1:11" s="491" customFormat="1" x14ac:dyDescent="0.2">
      <c r="A24" s="496"/>
      <c r="B24" s="507"/>
    </row>
    <row r="25" spans="1:11" s="491" customFormat="1" x14ac:dyDescent="0.2">
      <c r="A25" s="1736"/>
      <c r="B25" s="1737"/>
      <c r="C25" s="1737"/>
      <c r="D25" s="1737"/>
      <c r="E25" s="1737"/>
      <c r="F25" s="1737"/>
      <c r="G25" s="1737"/>
      <c r="H25" s="1737"/>
      <c r="I25" s="1737"/>
      <c r="J25" s="1737"/>
      <c r="K25" s="1737"/>
    </row>
    <row r="26" spans="1:11" s="491" customFormat="1" x14ac:dyDescent="0.2">
      <c r="A26" s="496"/>
      <c r="B26" s="507"/>
    </row>
    <row r="27" spans="1:11" s="491" customFormat="1" x14ac:dyDescent="0.2">
      <c r="A27" s="506"/>
      <c r="B27" s="1735"/>
      <c r="C27" s="1735"/>
      <c r="D27" s="1735"/>
      <c r="E27" s="1735"/>
      <c r="F27" s="1735"/>
      <c r="G27" s="1735"/>
      <c r="H27" s="1735"/>
      <c r="I27" s="1735"/>
      <c r="J27" s="1735"/>
    </row>
    <row r="28" spans="1:11" s="491" customFormat="1" x14ac:dyDescent="0.2">
      <c r="A28" s="506"/>
      <c r="B28" s="1734"/>
      <c r="C28" s="1687"/>
      <c r="D28" s="1687"/>
      <c r="E28" s="1687"/>
      <c r="F28" s="1687"/>
      <c r="G28" s="1687"/>
      <c r="H28" s="1687"/>
      <c r="I28" s="1687"/>
      <c r="J28" s="1687"/>
    </row>
    <row r="29" spans="1:11" s="491" customFormat="1" x14ac:dyDescent="0.2">
      <c r="A29" s="496"/>
      <c r="B29" s="1734"/>
      <c r="C29" s="1687"/>
      <c r="D29" s="1687"/>
      <c r="E29" s="1687"/>
      <c r="F29" s="1687"/>
      <c r="G29" s="1687"/>
      <c r="H29" s="1687"/>
      <c r="I29" s="1687"/>
      <c r="J29" s="1687"/>
    </row>
    <row r="30" spans="1:11" s="491" customFormat="1" x14ac:dyDescent="0.2">
      <c r="A30" s="496"/>
      <c r="B30" s="507"/>
    </row>
    <row r="31" spans="1:11" s="491" customFormat="1" x14ac:dyDescent="0.2">
      <c r="A31" s="496"/>
      <c r="B31" s="507"/>
    </row>
    <row r="32" spans="1:11" s="491" customFormat="1" x14ac:dyDescent="0.2">
      <c r="A32" s="1735"/>
      <c r="B32" s="1735"/>
      <c r="C32" s="1735"/>
      <c r="D32" s="1735"/>
      <c r="E32" s="1735"/>
      <c r="F32" s="1735"/>
      <c r="G32" s="1735"/>
      <c r="H32" s="1735"/>
      <c r="I32" s="1735"/>
      <c r="J32" s="1735"/>
    </row>
    <row r="33" spans="1:10" s="491" customFormat="1" x14ac:dyDescent="0.2">
      <c r="A33" s="1744"/>
      <c r="B33" s="1744"/>
      <c r="C33" s="1744"/>
      <c r="D33" s="1744"/>
      <c r="E33" s="1744"/>
      <c r="F33" s="1744"/>
      <c r="G33" s="1744"/>
      <c r="H33" s="1744"/>
      <c r="I33" s="1744"/>
      <c r="J33" s="1744"/>
    </row>
    <row r="34" spans="1:10" s="491" customFormat="1" x14ac:dyDescent="0.2">
      <c r="A34" s="496"/>
      <c r="B34" s="507"/>
    </row>
    <row r="35" spans="1:10" s="491" customFormat="1" x14ac:dyDescent="0.2">
      <c r="A35" s="233"/>
    </row>
    <row r="36" spans="1:10" s="491" customFormat="1" x14ac:dyDescent="0.2">
      <c r="A36" s="233"/>
    </row>
    <row r="37" spans="1:10" s="491" customFormat="1" x14ac:dyDescent="0.2">
      <c r="A37" s="506"/>
      <c r="B37" s="1735"/>
      <c r="C37" s="1735"/>
      <c r="D37" s="1735"/>
      <c r="E37" s="1735"/>
      <c r="F37" s="1735"/>
      <c r="G37" s="1735"/>
      <c r="H37" s="1735"/>
      <c r="I37" s="1735"/>
      <c r="J37" s="1735"/>
    </row>
    <row r="38" spans="1:10" s="491" customFormat="1" x14ac:dyDescent="0.2">
      <c r="A38" s="496"/>
      <c r="B38" s="1734"/>
      <c r="C38" s="1687"/>
      <c r="D38" s="1687"/>
      <c r="E38" s="1687"/>
      <c r="F38" s="1687"/>
      <c r="G38" s="1687"/>
      <c r="H38" s="1687"/>
      <c r="I38" s="1687"/>
      <c r="J38" s="1687"/>
    </row>
    <row r="39" spans="1:10" s="491" customFormat="1" x14ac:dyDescent="0.2">
      <c r="A39" s="496"/>
      <c r="B39" s="1734"/>
      <c r="C39" s="1687"/>
      <c r="D39" s="1687"/>
      <c r="E39" s="1687"/>
      <c r="F39" s="1687"/>
      <c r="G39" s="1687"/>
      <c r="H39" s="1687"/>
      <c r="I39" s="1687"/>
      <c r="J39" s="1687"/>
    </row>
    <row r="40" spans="1:10" s="491" customFormat="1" x14ac:dyDescent="0.2">
      <c r="A40" s="496"/>
      <c r="B40" s="1734"/>
      <c r="C40" s="1687"/>
      <c r="D40" s="1687"/>
      <c r="E40" s="1687"/>
      <c r="F40" s="1687"/>
      <c r="G40" s="1687"/>
      <c r="H40" s="1687"/>
      <c r="I40" s="1687"/>
      <c r="J40" s="1687"/>
    </row>
    <row r="41" spans="1:10" s="492" customFormat="1" x14ac:dyDescent="0.2"/>
    <row r="42" spans="1:10" s="488" customFormat="1" x14ac:dyDescent="0.2">
      <c r="A42" s="155"/>
      <c r="B42" s="155"/>
      <c r="C42" s="155"/>
      <c r="D42" s="155"/>
      <c r="E42" s="155"/>
      <c r="F42" s="155"/>
    </row>
    <row r="43" spans="1:10" s="492" customFormat="1" x14ac:dyDescent="0.2">
      <c r="A43" s="1724"/>
      <c r="B43" s="1724"/>
      <c r="C43" s="1724"/>
      <c r="D43" s="1724"/>
      <c r="E43" s="1724"/>
      <c r="F43" s="1724"/>
      <c r="G43" s="1724"/>
      <c r="H43" s="1724"/>
      <c r="I43" s="1724"/>
      <c r="J43" s="1724"/>
    </row>
    <row r="44" spans="1:10" s="492" customFormat="1" x14ac:dyDescent="0.2"/>
    <row r="45" spans="1:10" s="492" customFormat="1" x14ac:dyDescent="0.2">
      <c r="A45" s="1728"/>
      <c r="B45" s="1728"/>
      <c r="C45" s="1728"/>
      <c r="D45" s="1724"/>
      <c r="E45" s="1724"/>
      <c r="F45" s="1724"/>
      <c r="G45" s="1724"/>
      <c r="H45" s="1724"/>
      <c r="I45" s="1724"/>
      <c r="J45" s="1724"/>
    </row>
    <row r="46" spans="1:10" s="492" customFormat="1" x14ac:dyDescent="0.2">
      <c r="A46" s="1724"/>
      <c r="B46" s="1724"/>
      <c r="C46" s="1724"/>
      <c r="D46" s="1724"/>
      <c r="E46" s="1724"/>
      <c r="F46" s="1724"/>
      <c r="G46" s="1724"/>
      <c r="H46" s="1724"/>
      <c r="I46" s="1724"/>
      <c r="J46" s="1724"/>
    </row>
    <row r="47" spans="1:10" s="492" customFormat="1" x14ac:dyDescent="0.2"/>
    <row r="48" spans="1:10" s="492" customFormat="1" x14ac:dyDescent="0.2"/>
    <row r="49" spans="1:10" s="495" customFormat="1" x14ac:dyDescent="0.2">
      <c r="A49" s="1728"/>
      <c r="B49" s="1728"/>
      <c r="C49" s="1728"/>
      <c r="D49" s="1728"/>
      <c r="E49" s="1728"/>
      <c r="F49" s="1728"/>
      <c r="G49" s="1728"/>
      <c r="H49" s="1728"/>
      <c r="I49" s="1728"/>
      <c r="J49" s="1728"/>
    </row>
    <row r="50" spans="1:10" s="495" customFormat="1" x14ac:dyDescent="0.2">
      <c r="A50" s="1738"/>
      <c r="B50" s="1739"/>
      <c r="C50" s="1739"/>
      <c r="D50" s="1739"/>
      <c r="E50" s="1739"/>
      <c r="F50" s="1739"/>
      <c r="G50" s="1739"/>
      <c r="H50" s="1739"/>
      <c r="I50" s="1739"/>
      <c r="J50" s="1739"/>
    </row>
    <row r="51" spans="1:10" s="495" customFormat="1" x14ac:dyDescent="0.2">
      <c r="A51" s="1739"/>
      <c r="B51" s="1739"/>
      <c r="C51" s="1739"/>
      <c r="D51" s="1739"/>
      <c r="E51" s="1739"/>
      <c r="F51" s="1739"/>
      <c r="G51" s="1739"/>
      <c r="H51" s="1739"/>
      <c r="I51" s="1739"/>
      <c r="J51" s="1739"/>
    </row>
    <row r="52" spans="1:10" s="495" customFormat="1" x14ac:dyDescent="0.2">
      <c r="A52" s="1739"/>
      <c r="B52" s="1739"/>
      <c r="C52" s="1739"/>
      <c r="D52" s="1739"/>
      <c r="E52" s="1739"/>
      <c r="F52" s="1739"/>
      <c r="G52" s="1739"/>
      <c r="H52" s="1739"/>
      <c r="I52" s="1739"/>
      <c r="J52" s="1739"/>
    </row>
  </sheetData>
  <mergeCells count="28">
    <mergeCell ref="A49:J49"/>
    <mergeCell ref="A50:J50"/>
    <mergeCell ref="A51:J51"/>
    <mergeCell ref="A52:J52"/>
    <mergeCell ref="B39:J39"/>
    <mergeCell ref="B40:J40"/>
    <mergeCell ref="A43:J43"/>
    <mergeCell ref="A45:C45"/>
    <mergeCell ref="D45:J45"/>
    <mergeCell ref="A46:J46"/>
    <mergeCell ref="B14:J14"/>
    <mergeCell ref="B38:J38"/>
    <mergeCell ref="A7:J7"/>
    <mergeCell ref="B20:J20"/>
    <mergeCell ref="B21:J21"/>
    <mergeCell ref="B22:J22"/>
    <mergeCell ref="A25:K25"/>
    <mergeCell ref="B27:J27"/>
    <mergeCell ref="B28:J28"/>
    <mergeCell ref="B29:J29"/>
    <mergeCell ref="A32:J32"/>
    <mergeCell ref="A33:J33"/>
    <mergeCell ref="B37:J37"/>
    <mergeCell ref="A6:J6"/>
    <mergeCell ref="A1:M1"/>
    <mergeCell ref="A3:M4"/>
    <mergeCell ref="B12:J12"/>
    <mergeCell ref="B13:J13"/>
  </mergeCells>
  <pageMargins left="0.7" right="0.7" top="0.75" bottom="0.75" header="0.3" footer="0.3"/>
  <pageSetup paperSize="264"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A1:M46"/>
  <sheetViews>
    <sheetView zoomScaleNormal="100" workbookViewId="0">
      <pane ySplit="1" topLeftCell="A2" activePane="bottomLeft" state="frozen"/>
      <selection pane="bottomLeft" activeCell="K12" sqref="K12"/>
    </sheetView>
  </sheetViews>
  <sheetFormatPr defaultRowHeight="12.75" x14ac:dyDescent="0.2"/>
  <cols>
    <col min="6" max="6" width="9.140625" customWidth="1"/>
  </cols>
  <sheetData>
    <row r="1" spans="1:13" x14ac:dyDescent="0.2">
      <c r="A1" s="1420" t="s">
        <v>639</v>
      </c>
      <c r="B1" s="1420"/>
    </row>
    <row r="2" spans="1:13" ht="20.25" customHeight="1" x14ac:dyDescent="0.2">
      <c r="A2" s="1730" t="s">
        <v>1716</v>
      </c>
      <c r="B2" s="1731"/>
      <c r="C2" s="1731"/>
      <c r="D2" s="1731"/>
      <c r="E2" s="1731"/>
      <c r="F2" s="1731"/>
      <c r="G2" s="1731"/>
      <c r="H2" s="1731"/>
      <c r="I2" s="1731"/>
      <c r="J2" s="1731"/>
      <c r="K2" s="1731"/>
      <c r="L2" s="1731"/>
      <c r="M2" s="1731"/>
    </row>
    <row r="4" spans="1:13" s="498" customFormat="1" ht="20.25" customHeight="1" x14ac:dyDescent="0.2">
      <c r="A4" s="1747" t="s">
        <v>2272</v>
      </c>
      <c r="B4" s="1747"/>
      <c r="C4" s="1747"/>
      <c r="D4" s="1747"/>
      <c r="E4" s="1747"/>
      <c r="F4" s="1747"/>
      <c r="G4" s="1747"/>
      <c r="H4" s="1747"/>
      <c r="I4" s="1747"/>
      <c r="J4" s="1747"/>
      <c r="K4" s="1747"/>
      <c r="L4" s="1747"/>
      <c r="M4" s="1747"/>
    </row>
    <row r="5" spans="1:13" s="498" customFormat="1" ht="138" customHeight="1" x14ac:dyDescent="0.2">
      <c r="A5" s="1747"/>
      <c r="B5" s="1747"/>
      <c r="C5" s="1747"/>
      <c r="D5" s="1747"/>
      <c r="E5" s="1747"/>
      <c r="F5" s="1747"/>
      <c r="G5" s="1747"/>
      <c r="H5" s="1747"/>
      <c r="I5" s="1747"/>
      <c r="J5" s="1747"/>
      <c r="K5" s="1747"/>
      <c r="L5" s="1747"/>
      <c r="M5" s="1747"/>
    </row>
    <row r="6" spans="1:13" ht="15" x14ac:dyDescent="0.2">
      <c r="A6" s="66"/>
      <c r="B6" s="66"/>
      <c r="C6" s="66"/>
      <c r="D6" s="66"/>
      <c r="E6" s="66"/>
      <c r="F6" s="66"/>
      <c r="G6" s="66"/>
      <c r="H6" s="66"/>
      <c r="I6" s="66"/>
      <c r="J6" s="66"/>
      <c r="K6" s="66"/>
    </row>
    <row r="7" spans="1:13" s="82" customFormat="1" ht="15.75" customHeight="1" x14ac:dyDescent="0.2">
      <c r="A7" s="43" t="s">
        <v>240</v>
      </c>
      <c r="B7" s="1725" t="s">
        <v>330</v>
      </c>
      <c r="C7" s="1725"/>
      <c r="D7" s="1725"/>
      <c r="E7" s="1725"/>
      <c r="F7" s="1725"/>
      <c r="G7" s="1725"/>
      <c r="H7" s="1725"/>
      <c r="I7" s="1725"/>
      <c r="J7" s="1725"/>
    </row>
    <row r="8" spans="1:13" s="82" customFormat="1" ht="16.5" customHeight="1" x14ac:dyDescent="0.2">
      <c r="A8" s="445" t="s">
        <v>1714</v>
      </c>
      <c r="B8" s="1210" t="s">
        <v>1717</v>
      </c>
      <c r="C8" s="1632"/>
      <c r="D8" s="1632"/>
      <c r="E8" s="1632"/>
      <c r="F8" s="1632"/>
      <c r="G8" s="1632"/>
      <c r="H8" s="1632"/>
      <c r="I8" s="1632"/>
      <c r="J8" s="1632"/>
    </row>
    <row r="9" spans="1:13" s="82" customFormat="1" ht="16.5" customHeight="1" x14ac:dyDescent="0.2">
      <c r="A9" s="445" t="s">
        <v>1714</v>
      </c>
      <c r="B9" s="1210" t="s">
        <v>1715</v>
      </c>
      <c r="C9" s="1632"/>
      <c r="D9" s="1632"/>
      <c r="E9" s="1632"/>
      <c r="F9" s="1632"/>
      <c r="G9" s="1632"/>
      <c r="H9" s="1632"/>
      <c r="I9" s="1632"/>
      <c r="J9" s="1632"/>
    </row>
    <row r="10" spans="1:13" s="477" customFormat="1" ht="16.5" customHeight="1" x14ac:dyDescent="0.2">
      <c r="A10" s="496"/>
      <c r="B10" s="479"/>
      <c r="C10" s="476"/>
      <c r="D10" s="476"/>
      <c r="E10" s="476"/>
      <c r="F10" s="476"/>
      <c r="G10" s="476"/>
      <c r="H10" s="476"/>
      <c r="I10" s="476"/>
      <c r="J10" s="476"/>
    </row>
    <row r="11" spans="1:13" s="477" customFormat="1" ht="16.5" customHeight="1" x14ac:dyDescent="0.2">
      <c r="A11" s="1395" t="s">
        <v>1722</v>
      </c>
      <c r="B11" s="1396"/>
      <c r="C11" s="1396"/>
      <c r="D11" s="1396"/>
      <c r="E11" s="1396"/>
      <c r="F11" s="1396"/>
      <c r="G11" s="1396"/>
      <c r="H11" s="1396"/>
      <c r="I11" s="1396"/>
      <c r="J11" s="1397"/>
    </row>
    <row r="12" spans="1:13" s="500" customFormat="1" x14ac:dyDescent="0.2">
      <c r="A12" s="1748" t="s">
        <v>2684</v>
      </c>
      <c r="B12" s="1749"/>
      <c r="C12" s="1749"/>
      <c r="D12" s="1749"/>
      <c r="E12" s="1749"/>
      <c r="F12" s="1749"/>
      <c r="G12" s="1749"/>
      <c r="H12" s="1749"/>
      <c r="I12" s="1749"/>
      <c r="J12" s="1750"/>
    </row>
    <row r="13" spans="1:13" s="500" customFormat="1" ht="16.5" customHeight="1" x14ac:dyDescent="0.2">
      <c r="A13" s="501"/>
      <c r="B13" s="501"/>
      <c r="C13" s="501"/>
      <c r="D13" s="501"/>
      <c r="E13" s="501"/>
      <c r="F13" s="501"/>
      <c r="G13" s="501"/>
      <c r="H13" s="501"/>
      <c r="I13" s="501"/>
      <c r="J13" s="501"/>
    </row>
    <row r="14" spans="1:13" s="477" customFormat="1" ht="16.5" customHeight="1" x14ac:dyDescent="0.2">
      <c r="A14" s="475" t="s">
        <v>240</v>
      </c>
      <c r="B14" s="1725" t="s">
        <v>1723</v>
      </c>
      <c r="C14" s="1725"/>
      <c r="D14" s="1725"/>
      <c r="E14" s="1725"/>
      <c r="F14" s="1725"/>
      <c r="G14" s="1725"/>
      <c r="H14" s="1725"/>
      <c r="I14" s="1725"/>
      <c r="J14" s="1725"/>
    </row>
    <row r="15" spans="1:13" s="477" customFormat="1" ht="16.5" customHeight="1" x14ac:dyDescent="0.2">
      <c r="A15" s="445" t="s">
        <v>97</v>
      </c>
      <c r="B15" s="1210"/>
      <c r="C15" s="1632"/>
      <c r="D15" s="1632"/>
      <c r="E15" s="1632"/>
      <c r="F15" s="1632"/>
      <c r="G15" s="1632"/>
      <c r="H15" s="1632"/>
      <c r="I15" s="1632"/>
      <c r="J15" s="1632"/>
    </row>
    <row r="16" spans="1:13" s="477" customFormat="1" ht="16.5" customHeight="1" x14ac:dyDescent="0.2">
      <c r="A16" s="496"/>
      <c r="B16" s="479"/>
      <c r="C16" s="476"/>
      <c r="D16" s="476"/>
      <c r="E16" s="476"/>
      <c r="F16" s="476"/>
      <c r="G16" s="476"/>
      <c r="H16" s="476"/>
      <c r="I16" s="476"/>
      <c r="J16" s="476"/>
    </row>
    <row r="17" spans="1:11" s="477" customFormat="1" ht="33.75" customHeight="1" x14ac:dyDescent="0.2">
      <c r="A17" s="475" t="s">
        <v>604</v>
      </c>
      <c r="B17" s="1725" t="s">
        <v>1724</v>
      </c>
      <c r="C17" s="1725"/>
      <c r="D17" s="1725"/>
      <c r="E17" s="1725"/>
      <c r="F17" s="1725"/>
      <c r="G17" s="1725"/>
      <c r="H17" s="1725"/>
      <c r="I17" s="1725"/>
      <c r="J17" s="1725"/>
    </row>
    <row r="18" spans="1:11" s="477" customFormat="1" ht="84" customHeight="1" x14ac:dyDescent="0.2">
      <c r="A18" s="499" t="s">
        <v>604</v>
      </c>
      <c r="B18" s="1210" t="s">
        <v>2273</v>
      </c>
      <c r="C18" s="1632"/>
      <c r="D18" s="1632"/>
      <c r="E18" s="1632"/>
      <c r="F18" s="1632"/>
      <c r="G18" s="1632"/>
      <c r="H18" s="1632"/>
      <c r="I18" s="1632"/>
      <c r="J18" s="1632"/>
    </row>
    <row r="19" spans="1:11" s="477" customFormat="1" x14ac:dyDescent="0.2">
      <c r="A19" s="445"/>
      <c r="B19" s="1210" t="s">
        <v>1725</v>
      </c>
      <c r="C19" s="1632"/>
      <c r="D19" s="1632"/>
      <c r="E19" s="1632"/>
      <c r="F19" s="1632"/>
      <c r="G19" s="1632"/>
      <c r="H19" s="1632"/>
      <c r="I19" s="1632"/>
      <c r="J19" s="1632"/>
    </row>
    <row r="20" spans="1:11" s="477" customFormat="1" ht="16.5" customHeight="1" x14ac:dyDescent="0.2">
      <c r="A20" s="496"/>
      <c r="B20" s="479"/>
      <c r="C20" s="476"/>
      <c r="D20" s="476"/>
      <c r="E20" s="476"/>
      <c r="F20" s="476"/>
      <c r="G20" s="476"/>
      <c r="H20" s="476"/>
      <c r="I20" s="476"/>
      <c r="J20" s="476"/>
    </row>
    <row r="21" spans="1:11" s="477" customFormat="1" ht="36.6" customHeight="1" x14ac:dyDescent="0.2">
      <c r="A21" s="475" t="s">
        <v>604</v>
      </c>
      <c r="B21" s="1725" t="s">
        <v>1726</v>
      </c>
      <c r="C21" s="1725"/>
      <c r="D21" s="1725"/>
      <c r="E21" s="1725"/>
      <c r="F21" s="1725"/>
      <c r="G21" s="1725"/>
      <c r="H21" s="1725"/>
      <c r="I21" s="1725"/>
      <c r="J21" s="1725"/>
    </row>
    <row r="22" spans="1:11" s="477" customFormat="1" ht="104.25" customHeight="1" x14ac:dyDescent="0.2">
      <c r="A22" s="499" t="s">
        <v>604</v>
      </c>
      <c r="B22" s="1210" t="s">
        <v>2274</v>
      </c>
      <c r="C22" s="1632"/>
      <c r="D22" s="1632"/>
      <c r="E22" s="1632"/>
      <c r="F22" s="1632"/>
      <c r="G22" s="1632"/>
      <c r="H22" s="1632"/>
      <c r="I22" s="1632"/>
      <c r="J22" s="1632"/>
    </row>
    <row r="23" spans="1:11" s="477" customFormat="1" x14ac:dyDescent="0.2">
      <c r="A23" s="445"/>
      <c r="B23" s="1210" t="s">
        <v>1725</v>
      </c>
      <c r="C23" s="1632"/>
      <c r="D23" s="1632"/>
      <c r="E23" s="1632"/>
      <c r="F23" s="1632"/>
      <c r="G23" s="1632"/>
      <c r="H23" s="1632"/>
      <c r="I23" s="1632"/>
      <c r="J23" s="1632"/>
    </row>
    <row r="24" spans="1:11" s="477" customFormat="1" ht="16.5" customHeight="1" x14ac:dyDescent="0.2">
      <c r="A24" s="496"/>
      <c r="B24" s="479"/>
      <c r="C24" s="476"/>
      <c r="D24" s="476"/>
      <c r="E24" s="476"/>
      <c r="F24" s="476"/>
      <c r="G24" s="476"/>
      <c r="H24" s="476"/>
      <c r="I24" s="476"/>
      <c r="J24" s="476"/>
    </row>
    <row r="25" spans="1:11" s="477" customFormat="1" ht="195" customHeight="1" x14ac:dyDescent="0.2">
      <c r="A25" s="1736" t="s">
        <v>2275</v>
      </c>
      <c r="B25" s="1737"/>
      <c r="C25" s="1737"/>
      <c r="D25" s="1737"/>
      <c r="E25" s="1737"/>
      <c r="F25" s="1737"/>
      <c r="G25" s="1737"/>
      <c r="H25" s="1737"/>
      <c r="I25" s="1737"/>
      <c r="J25" s="1737"/>
      <c r="K25" s="1737"/>
    </row>
    <row r="26" spans="1:11" s="477" customFormat="1" ht="16.5" customHeight="1" x14ac:dyDescent="0.2">
      <c r="A26" s="496"/>
      <c r="B26" s="479"/>
      <c r="C26" s="476"/>
      <c r="D26" s="476"/>
      <c r="E26" s="476"/>
      <c r="F26" s="476"/>
      <c r="G26" s="476"/>
      <c r="H26" s="476"/>
      <c r="I26" s="476"/>
      <c r="J26" s="476"/>
    </row>
    <row r="27" spans="1:11" s="477" customFormat="1" ht="48" customHeight="1" x14ac:dyDescent="0.2">
      <c r="A27" s="475" t="s">
        <v>604</v>
      </c>
      <c r="B27" s="1725" t="s">
        <v>1727</v>
      </c>
      <c r="C27" s="1725"/>
      <c r="D27" s="1725"/>
      <c r="E27" s="1725"/>
      <c r="F27" s="1725"/>
      <c r="G27" s="1725"/>
      <c r="H27" s="1725"/>
      <c r="I27" s="1725"/>
      <c r="J27" s="1725"/>
    </row>
    <row r="28" spans="1:11" s="477" customFormat="1" ht="43.15" customHeight="1" x14ac:dyDescent="0.2">
      <c r="A28" s="499" t="s">
        <v>604</v>
      </c>
      <c r="B28" s="1210" t="s">
        <v>1728</v>
      </c>
      <c r="C28" s="1632"/>
      <c r="D28" s="1632"/>
      <c r="E28" s="1632"/>
      <c r="F28" s="1632"/>
      <c r="G28" s="1632"/>
      <c r="H28" s="1632"/>
      <c r="I28" s="1632"/>
      <c r="J28" s="1632"/>
    </row>
    <row r="29" spans="1:11" s="477" customFormat="1" x14ac:dyDescent="0.2">
      <c r="A29" s="445"/>
      <c r="B29" s="1210" t="s">
        <v>1729</v>
      </c>
      <c r="C29" s="1632"/>
      <c r="D29" s="1632"/>
      <c r="E29" s="1632"/>
      <c r="F29" s="1632"/>
      <c r="G29" s="1632"/>
      <c r="H29" s="1632"/>
      <c r="I29" s="1632"/>
      <c r="J29" s="1632"/>
    </row>
    <row r="30" spans="1:11" s="477" customFormat="1" ht="16.5" customHeight="1" x14ac:dyDescent="0.2">
      <c r="A30" s="496"/>
      <c r="B30" s="479"/>
      <c r="C30" s="476"/>
      <c r="D30" s="476"/>
      <c r="E30" s="476"/>
      <c r="F30" s="476"/>
      <c r="G30" s="476"/>
      <c r="H30" s="476"/>
      <c r="I30" s="476"/>
      <c r="J30" s="476"/>
    </row>
    <row r="31" spans="1:11" s="477" customFormat="1" ht="16.5" customHeight="1" x14ac:dyDescent="0.2">
      <c r="A31" s="1569" t="s">
        <v>1730</v>
      </c>
      <c r="B31" s="1740"/>
      <c r="C31" s="1740"/>
      <c r="D31" s="1740"/>
      <c r="E31" s="1740"/>
      <c r="F31" s="1740"/>
      <c r="G31" s="1740"/>
      <c r="H31" s="1740"/>
      <c r="I31" s="1740"/>
      <c r="J31" s="1570"/>
    </row>
    <row r="32" spans="1:11" s="477" customFormat="1" ht="16.5" customHeight="1" x14ac:dyDescent="0.2">
      <c r="A32" s="1741"/>
      <c r="B32" s="1742"/>
      <c r="C32" s="1742"/>
      <c r="D32" s="1742"/>
      <c r="E32" s="1742"/>
      <c r="F32" s="1742"/>
      <c r="G32" s="1742"/>
      <c r="H32" s="1742"/>
      <c r="I32" s="1742"/>
      <c r="J32" s="1743"/>
    </row>
    <row r="33" spans="1:10" s="477" customFormat="1" ht="16.5" customHeight="1" x14ac:dyDescent="0.2">
      <c r="A33" s="496"/>
      <c r="B33" s="479"/>
      <c r="C33" s="476"/>
      <c r="D33" s="476"/>
      <c r="E33" s="476"/>
      <c r="F33" s="476"/>
      <c r="G33" s="476"/>
      <c r="H33" s="476"/>
      <c r="I33" s="476"/>
      <c r="J33" s="476"/>
    </row>
    <row r="34" spans="1:10" s="82" customFormat="1" x14ac:dyDescent="0.2">
      <c r="A34" s="43" t="s">
        <v>1090</v>
      </c>
      <c r="B34" s="1725" t="s">
        <v>331</v>
      </c>
      <c r="C34" s="1725"/>
      <c r="D34" s="1725"/>
      <c r="E34" s="1725"/>
      <c r="F34" s="1725"/>
      <c r="G34" s="1725"/>
      <c r="H34" s="1725"/>
      <c r="I34" s="1725"/>
      <c r="J34" s="1725"/>
    </row>
    <row r="35" spans="1:10" s="185" customFormat="1" ht="29.25" customHeight="1" x14ac:dyDescent="0.2">
      <c r="A35" s="445" t="s">
        <v>97</v>
      </c>
      <c r="B35" s="1751" t="s">
        <v>1719</v>
      </c>
      <c r="C35" s="1341"/>
      <c r="D35" s="1341"/>
      <c r="E35" s="1341"/>
      <c r="F35" s="1341"/>
      <c r="G35" s="1341"/>
      <c r="H35" s="1341"/>
      <c r="I35" s="1341"/>
      <c r="J35" s="1341"/>
    </row>
    <row r="36" spans="1:10" s="185" customFormat="1" ht="29.25" customHeight="1" x14ac:dyDescent="0.2">
      <c r="A36" s="445" t="s">
        <v>97</v>
      </c>
      <c r="B36" s="1751" t="s">
        <v>1720</v>
      </c>
      <c r="C36" s="1341"/>
      <c r="D36" s="1341"/>
      <c r="E36" s="1341"/>
      <c r="F36" s="1341"/>
      <c r="G36" s="1341"/>
      <c r="H36" s="1341"/>
      <c r="I36" s="1341"/>
      <c r="J36" s="1341"/>
    </row>
    <row r="37" spans="1:10" s="185" customFormat="1" ht="29.25" customHeight="1" x14ac:dyDescent="0.2">
      <c r="A37" s="445" t="s">
        <v>97</v>
      </c>
      <c r="B37" s="1751" t="s">
        <v>1721</v>
      </c>
      <c r="C37" s="1341"/>
      <c r="D37" s="1341"/>
      <c r="E37" s="1341"/>
      <c r="F37" s="1341"/>
      <c r="G37" s="1341"/>
      <c r="H37" s="1341"/>
      <c r="I37" s="1341"/>
      <c r="J37" s="1341"/>
    </row>
    <row r="38" spans="1:10" s="82" customFormat="1" x14ac:dyDescent="0.2"/>
    <row r="39" spans="1:10" s="82" customFormat="1" ht="12.75" customHeight="1" x14ac:dyDescent="0.2">
      <c r="A39" s="1728" t="s">
        <v>1091</v>
      </c>
      <c r="B39" s="1728"/>
      <c r="C39" s="1728"/>
      <c r="D39" s="1724" t="s">
        <v>1092</v>
      </c>
      <c r="E39" s="1724"/>
      <c r="F39" s="1724"/>
      <c r="G39" s="1724"/>
      <c r="H39" s="1724"/>
      <c r="I39" s="1724"/>
      <c r="J39" s="1724"/>
    </row>
    <row r="40" spans="1:10" s="82" customFormat="1" x14ac:dyDescent="0.2">
      <c r="A40" s="1724" t="s">
        <v>1093</v>
      </c>
      <c r="B40" s="1724"/>
      <c r="C40" s="1724"/>
      <c r="D40" s="1724"/>
      <c r="E40" s="1724"/>
      <c r="F40" s="1724"/>
      <c r="G40" s="1724"/>
      <c r="H40" s="1724"/>
      <c r="I40" s="1724"/>
      <c r="J40" s="1724"/>
    </row>
    <row r="41" spans="1:10" s="82" customFormat="1" x14ac:dyDescent="0.2"/>
    <row r="42" spans="1:10" s="82" customFormat="1" x14ac:dyDescent="0.2"/>
    <row r="43" spans="1:10" s="225" customFormat="1" x14ac:dyDescent="0.2">
      <c r="A43" s="1728" t="s">
        <v>1486</v>
      </c>
      <c r="B43" s="1728"/>
      <c r="C43" s="1728"/>
      <c r="D43" s="1728"/>
      <c r="E43" s="1728"/>
      <c r="F43" s="1728"/>
      <c r="G43" s="1728"/>
      <c r="H43" s="1728"/>
      <c r="I43" s="1728"/>
      <c r="J43" s="1728"/>
    </row>
    <row r="44" spans="1:10" s="225" customFormat="1" x14ac:dyDescent="0.2">
      <c r="A44" s="1738" t="s">
        <v>1731</v>
      </c>
      <c r="B44" s="1739"/>
      <c r="C44" s="1739"/>
      <c r="D44" s="1739"/>
      <c r="E44" s="1739"/>
      <c r="F44" s="1739"/>
      <c r="G44" s="1739"/>
      <c r="H44" s="1739"/>
      <c r="I44" s="1739"/>
      <c r="J44" s="1739"/>
    </row>
    <row r="45" spans="1:10" s="225" customFormat="1" x14ac:dyDescent="0.2">
      <c r="A45" s="1739"/>
      <c r="B45" s="1739"/>
      <c r="C45" s="1739"/>
      <c r="D45" s="1739"/>
      <c r="E45" s="1739"/>
      <c r="F45" s="1739"/>
      <c r="G45" s="1739"/>
      <c r="H45" s="1739"/>
      <c r="I45" s="1739"/>
      <c r="J45" s="1739"/>
    </row>
    <row r="46" spans="1:10" s="225" customFormat="1" x14ac:dyDescent="0.2">
      <c r="A46" s="1739"/>
      <c r="B46" s="1739"/>
      <c r="C46" s="1739"/>
      <c r="D46" s="1739"/>
      <c r="E46" s="1739"/>
      <c r="F46" s="1739"/>
      <c r="G46" s="1739"/>
      <c r="H46" s="1739"/>
      <c r="I46" s="1739"/>
      <c r="J46" s="1739"/>
    </row>
  </sheetData>
  <mergeCells count="33">
    <mergeCell ref="A43:J43"/>
    <mergeCell ref="A44:J44"/>
    <mergeCell ref="A45:J45"/>
    <mergeCell ref="A46:J46"/>
    <mergeCell ref="A40:J40"/>
    <mergeCell ref="B34:J34"/>
    <mergeCell ref="B29:J29"/>
    <mergeCell ref="A31:J31"/>
    <mergeCell ref="A32:J32"/>
    <mergeCell ref="B18:J18"/>
    <mergeCell ref="B19:J19"/>
    <mergeCell ref="B21:J21"/>
    <mergeCell ref="B22:J22"/>
    <mergeCell ref="B23:J23"/>
    <mergeCell ref="A25:K25"/>
    <mergeCell ref="B27:J27"/>
    <mergeCell ref="B28:J28"/>
    <mergeCell ref="A39:C39"/>
    <mergeCell ref="B36:J36"/>
    <mergeCell ref="B37:J37"/>
    <mergeCell ref="D39:J39"/>
    <mergeCell ref="B35:J35"/>
    <mergeCell ref="A4:M5"/>
    <mergeCell ref="B14:J14"/>
    <mergeCell ref="B15:J15"/>
    <mergeCell ref="B17:J17"/>
    <mergeCell ref="A1:B1"/>
    <mergeCell ref="A2:M2"/>
    <mergeCell ref="A11:J11"/>
    <mergeCell ref="A12:J12"/>
    <mergeCell ref="B7:J7"/>
    <mergeCell ref="B8:J8"/>
    <mergeCell ref="B9:J9"/>
  </mergeCells>
  <hyperlinks>
    <hyperlink ref="A1" location="TOC!A1" display="TOC Page"/>
  </hyperlinks>
  <pageMargins left="0.25" right="0.25" top="0.75" bottom="0.75" header="0.3" footer="0.3"/>
  <pageSetup orientation="landscape" r:id="rId1"/>
  <headerFooter>
    <oddHeader>&amp;L&amp;G&amp;CShowAcronymGoesHere - PSM&amp;R&amp;P</oddHeader>
    <oddFooter>&amp;L&amp;D&amp;R&amp;Z&amp;F</oddFooter>
  </headerFooter>
  <legacyDrawingHF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workbookViewId="0">
      <selection sqref="A1:B1"/>
    </sheetView>
  </sheetViews>
  <sheetFormatPr defaultRowHeight="12.75" x14ac:dyDescent="0.2"/>
  <cols>
    <col min="5" max="5" width="11.5703125" customWidth="1"/>
  </cols>
  <sheetData>
    <row r="1" spans="1:14" x14ac:dyDescent="0.2">
      <c r="A1" s="1420" t="s">
        <v>639</v>
      </c>
      <c r="B1" s="1420"/>
      <c r="C1" s="602"/>
      <c r="D1" s="602"/>
      <c r="E1" s="602"/>
      <c r="F1" s="602"/>
      <c r="G1" s="602"/>
      <c r="H1" s="602"/>
      <c r="I1" s="602"/>
      <c r="J1" s="602"/>
      <c r="K1" s="602"/>
      <c r="L1" s="602"/>
      <c r="M1" s="602"/>
      <c r="N1" s="602"/>
    </row>
    <row r="2" spans="1:14" ht="20.25" x14ac:dyDescent="0.2">
      <c r="A2" s="1357" t="s">
        <v>1883</v>
      </c>
      <c r="B2" s="1358"/>
      <c r="C2" s="1358"/>
      <c r="D2" s="1358"/>
      <c r="E2" s="1358"/>
      <c r="F2" s="1358"/>
      <c r="G2" s="1358"/>
      <c r="H2" s="1358"/>
      <c r="I2" s="1358"/>
      <c r="J2" s="1358"/>
      <c r="K2" s="1358"/>
      <c r="L2" s="1358"/>
      <c r="M2" s="1358"/>
      <c r="N2" s="1358"/>
    </row>
    <row r="3" spans="1:14" s="600" customFormat="1" ht="20.25" x14ac:dyDescent="0.2">
      <c r="A3" s="551"/>
      <c r="B3" s="551"/>
      <c r="C3" s="551"/>
      <c r="D3" s="551"/>
      <c r="E3" s="551"/>
      <c r="F3" s="551"/>
      <c r="G3" s="551"/>
      <c r="H3" s="551"/>
      <c r="I3" s="551"/>
      <c r="J3" s="551"/>
      <c r="K3" s="551"/>
      <c r="L3" s="551"/>
      <c r="M3" s="551"/>
      <c r="N3" s="551"/>
    </row>
    <row r="4" spans="1:14" s="579" customFormat="1" ht="15.75" x14ac:dyDescent="0.2">
      <c r="A4" s="1712" t="s">
        <v>1842</v>
      </c>
      <c r="B4" s="1712"/>
      <c r="C4" s="1712"/>
      <c r="D4" s="1712"/>
      <c r="E4" s="1712"/>
      <c r="F4" s="1712"/>
      <c r="G4" s="1712"/>
      <c r="H4" s="1712"/>
      <c r="I4" s="1712"/>
      <c r="J4" s="1712"/>
      <c r="K4" s="1712"/>
      <c r="L4" s="1712"/>
      <c r="M4" s="1712"/>
    </row>
    <row r="5" spans="1:14" s="579" customFormat="1" ht="12" customHeight="1" x14ac:dyDescent="0.2">
      <c r="A5" s="1738" t="s">
        <v>1861</v>
      </c>
      <c r="B5" s="1349"/>
      <c r="C5" s="1349"/>
      <c r="D5" s="1349"/>
      <c r="E5" s="1349"/>
      <c r="F5" s="1349"/>
      <c r="G5" s="1349"/>
      <c r="H5" s="1349"/>
      <c r="I5" s="1349"/>
      <c r="J5" s="1349"/>
      <c r="K5" s="1349"/>
      <c r="L5" s="1349"/>
      <c r="M5" s="1349"/>
      <c r="N5" s="1349"/>
    </row>
    <row r="6" spans="1:14" s="579" customFormat="1" ht="12" customHeight="1" x14ac:dyDescent="0.2">
      <c r="A6" s="1738" t="s">
        <v>1889</v>
      </c>
      <c r="B6" s="1496"/>
      <c r="C6" s="1496"/>
      <c r="D6" s="1496"/>
      <c r="E6" s="1496"/>
      <c r="F6" s="1496"/>
      <c r="G6" s="1496"/>
      <c r="H6" s="1496"/>
      <c r="I6" s="1496"/>
      <c r="J6" s="1496"/>
      <c r="K6" s="1496"/>
      <c r="L6" s="1496"/>
      <c r="M6" s="1496"/>
      <c r="N6" s="1496"/>
    </row>
    <row r="7" spans="1:14" s="600" customFormat="1" ht="12" customHeight="1" x14ac:dyDescent="0.2">
      <c r="A7" s="604"/>
      <c r="B7" s="601"/>
      <c r="C7" s="601"/>
      <c r="D7" s="601"/>
      <c r="E7" s="601"/>
      <c r="F7" s="601"/>
      <c r="G7" s="601"/>
      <c r="H7" s="601"/>
      <c r="I7" s="601"/>
      <c r="J7" s="601"/>
      <c r="K7" s="601"/>
      <c r="L7" s="601"/>
      <c r="M7" s="601"/>
      <c r="N7" s="601"/>
    </row>
    <row r="8" spans="1:14" s="579" customFormat="1" ht="13.5" customHeight="1" x14ac:dyDescent="0.2">
      <c r="A8" s="1738" t="s">
        <v>1886</v>
      </c>
      <c r="B8" s="1496"/>
      <c r="C8" s="1496"/>
      <c r="D8" s="1496"/>
      <c r="E8" s="1496"/>
      <c r="F8" s="1496"/>
      <c r="G8" s="1496"/>
      <c r="H8" s="1496"/>
      <c r="I8" s="1496"/>
      <c r="J8" s="1496"/>
      <c r="K8" s="1496"/>
      <c r="L8" s="1496"/>
      <c r="M8" s="1496"/>
      <c r="N8" s="1496"/>
    </row>
    <row r="9" spans="1:14" s="600" customFormat="1" ht="14.25" customHeight="1" x14ac:dyDescent="0.2">
      <c r="A9" s="1738" t="s">
        <v>1887</v>
      </c>
      <c r="B9" s="1496"/>
      <c r="C9" s="1496"/>
      <c r="D9" s="1496"/>
      <c r="E9" s="1496"/>
      <c r="F9" s="1496"/>
      <c r="G9" s="1496"/>
      <c r="H9" s="1496"/>
      <c r="I9" s="1496"/>
      <c r="J9" s="1496"/>
      <c r="K9" s="1496"/>
      <c r="L9" s="1496"/>
      <c r="M9" s="1496"/>
      <c r="N9" s="1496"/>
    </row>
    <row r="10" spans="1:14" s="579" customFormat="1" ht="12" customHeight="1" x14ac:dyDescent="0.2">
      <c r="A10" s="1738" t="s">
        <v>1888</v>
      </c>
      <c r="B10" s="1496"/>
      <c r="C10" s="1496"/>
      <c r="D10" s="1496"/>
      <c r="E10" s="1496"/>
      <c r="F10" s="1496"/>
      <c r="G10" s="1496"/>
      <c r="H10" s="1496"/>
      <c r="I10" s="1496"/>
      <c r="J10" s="1496"/>
      <c r="K10" s="1496"/>
      <c r="L10" s="1496"/>
      <c r="M10" s="1496"/>
      <c r="N10" s="1496"/>
    </row>
    <row r="11" spans="1:14" s="600" customFormat="1" ht="12" customHeight="1" x14ac:dyDescent="0.2">
      <c r="A11" s="604"/>
      <c r="B11" s="601"/>
      <c r="C11" s="601"/>
      <c r="D11" s="601"/>
      <c r="E11" s="601"/>
      <c r="F11" s="601"/>
      <c r="G11" s="601"/>
      <c r="H11" s="601"/>
      <c r="I11" s="601"/>
      <c r="J11" s="601"/>
      <c r="K11" s="601"/>
      <c r="L11" s="601"/>
      <c r="M11" s="601"/>
      <c r="N11" s="601"/>
    </row>
    <row r="12" spans="1:14" s="579" customFormat="1" x14ac:dyDescent="0.2">
      <c r="A12" s="1752" t="s">
        <v>1862</v>
      </c>
      <c r="B12" s="1753"/>
      <c r="C12" s="1753"/>
      <c r="D12" s="1753"/>
      <c r="E12" s="527" t="s">
        <v>1843</v>
      </c>
    </row>
    <row r="13" spans="1:14" s="579" customFormat="1" x14ac:dyDescent="0.2">
      <c r="A13" s="1605" t="s">
        <v>1844</v>
      </c>
      <c r="B13" s="1754"/>
      <c r="C13" s="1754"/>
      <c r="D13" s="1754"/>
      <c r="E13" s="580" t="s">
        <v>1860</v>
      </c>
    </row>
    <row r="14" spans="1:14" s="579" customFormat="1" x14ac:dyDescent="0.2">
      <c r="A14" s="1605" t="s">
        <v>1845</v>
      </c>
      <c r="B14" s="1754"/>
      <c r="C14" s="1754"/>
      <c r="D14" s="1754"/>
      <c r="E14" s="580" t="s">
        <v>1860</v>
      </c>
    </row>
    <row r="15" spans="1:14" s="579" customFormat="1" x14ac:dyDescent="0.2">
      <c r="A15" s="1605" t="s">
        <v>849</v>
      </c>
      <c r="B15" s="1754"/>
      <c r="C15" s="1754"/>
      <c r="D15" s="1754"/>
      <c r="E15" s="580" t="s">
        <v>1860</v>
      </c>
    </row>
    <row r="16" spans="1:14" s="579" customFormat="1" x14ac:dyDescent="0.2">
      <c r="A16" s="1392" t="s">
        <v>1846</v>
      </c>
      <c r="B16" s="1465"/>
      <c r="C16" s="1465"/>
      <c r="D16" s="1478"/>
      <c r="E16" s="582"/>
    </row>
    <row r="17" spans="1:5" s="579" customFormat="1" x14ac:dyDescent="0.2">
      <c r="A17" s="1392" t="s">
        <v>1847</v>
      </c>
      <c r="B17" s="1465"/>
      <c r="C17" s="1465"/>
      <c r="D17" s="1478"/>
      <c r="E17" s="582"/>
    </row>
    <row r="18" spans="1:5" s="579" customFormat="1" x14ac:dyDescent="0.2">
      <c r="A18" s="1392" t="s">
        <v>1848</v>
      </c>
      <c r="B18" s="1465"/>
      <c r="C18" s="1465"/>
      <c r="D18" s="1478"/>
      <c r="E18" s="580" t="s">
        <v>1860</v>
      </c>
    </row>
    <row r="19" spans="1:5" s="579" customFormat="1" x14ac:dyDescent="0.2">
      <c r="A19" s="1392" t="s">
        <v>1849</v>
      </c>
      <c r="B19" s="1465"/>
      <c r="C19" s="1465"/>
      <c r="D19" s="1478"/>
      <c r="E19" s="582"/>
    </row>
    <row r="20" spans="1:5" s="579" customFormat="1" x14ac:dyDescent="0.2">
      <c r="A20" s="1392" t="s">
        <v>1850</v>
      </c>
      <c r="B20" s="1465"/>
      <c r="C20" s="1465"/>
      <c r="D20" s="1478"/>
      <c r="E20" s="580" t="s">
        <v>1860</v>
      </c>
    </row>
    <row r="21" spans="1:5" s="579" customFormat="1" x14ac:dyDescent="0.2">
      <c r="A21" s="1392" t="s">
        <v>1851</v>
      </c>
      <c r="B21" s="1465"/>
      <c r="C21" s="1465"/>
      <c r="D21" s="1478"/>
      <c r="E21" s="580" t="s">
        <v>1860</v>
      </c>
    </row>
    <row r="22" spans="1:5" s="579" customFormat="1" x14ac:dyDescent="0.2">
      <c r="A22" s="1392" t="s">
        <v>1852</v>
      </c>
      <c r="B22" s="1465"/>
      <c r="C22" s="1465"/>
      <c r="D22" s="1478"/>
      <c r="E22" s="580" t="s">
        <v>1860</v>
      </c>
    </row>
    <row r="23" spans="1:5" s="579" customFormat="1" x14ac:dyDescent="0.2">
      <c r="A23" s="1392" t="s">
        <v>1853</v>
      </c>
      <c r="B23" s="1465"/>
      <c r="C23" s="1465"/>
      <c r="D23" s="1478"/>
      <c r="E23" s="580" t="s">
        <v>1860</v>
      </c>
    </row>
    <row r="24" spans="1:5" s="579" customFormat="1" x14ac:dyDescent="0.2">
      <c r="A24" s="1392" t="s">
        <v>1854</v>
      </c>
      <c r="B24" s="1465"/>
      <c r="C24" s="1465"/>
      <c r="D24" s="1478"/>
      <c r="E24" s="580" t="s">
        <v>1860</v>
      </c>
    </row>
    <row r="25" spans="1:5" s="579" customFormat="1" x14ac:dyDescent="0.2">
      <c r="A25" s="1392" t="s">
        <v>1855</v>
      </c>
      <c r="B25" s="1465"/>
      <c r="C25" s="1465"/>
      <c r="D25" s="1478"/>
      <c r="E25" s="582">
        <v>15</v>
      </c>
    </row>
    <row r="26" spans="1:5" s="579" customFormat="1" x14ac:dyDescent="0.2">
      <c r="A26" s="1392" t="s">
        <v>1856</v>
      </c>
      <c r="B26" s="1465"/>
      <c r="C26" s="1465"/>
      <c r="D26" s="1478"/>
      <c r="E26" s="582">
        <v>0</v>
      </c>
    </row>
    <row r="27" spans="1:5" s="579" customFormat="1" x14ac:dyDescent="0.2">
      <c r="A27" s="1392" t="s">
        <v>1857</v>
      </c>
      <c r="B27" s="1465"/>
      <c r="C27" s="1465"/>
      <c r="D27" s="1478"/>
      <c r="E27" s="582">
        <v>5</v>
      </c>
    </row>
    <row r="28" spans="1:5" s="579" customFormat="1" x14ac:dyDescent="0.2">
      <c r="A28" s="1392" t="s">
        <v>1858</v>
      </c>
      <c r="B28" s="1465"/>
      <c r="C28" s="1465"/>
      <c r="D28" s="1478"/>
      <c r="E28" s="581"/>
    </row>
    <row r="29" spans="1:5" s="579" customFormat="1" ht="62.25" customHeight="1" x14ac:dyDescent="0.2">
      <c r="A29" s="1392" t="s">
        <v>1859</v>
      </c>
      <c r="B29" s="1465"/>
      <c r="C29" s="1465"/>
      <c r="D29" s="1478"/>
      <c r="E29" s="581"/>
    </row>
  </sheetData>
  <mergeCells count="26">
    <mergeCell ref="A25:D25"/>
    <mergeCell ref="A1:B1"/>
    <mergeCell ref="A2:N2"/>
    <mergeCell ref="A9:N9"/>
    <mergeCell ref="A28:D28"/>
    <mergeCell ref="A5:N5"/>
    <mergeCell ref="A8:N8"/>
    <mergeCell ref="A10:N10"/>
    <mergeCell ref="A6:N6"/>
    <mergeCell ref="A19:D19"/>
    <mergeCell ref="A29:D29"/>
    <mergeCell ref="A26:D26"/>
    <mergeCell ref="A4:M4"/>
    <mergeCell ref="A12:D12"/>
    <mergeCell ref="A27:D27"/>
    <mergeCell ref="A14:D14"/>
    <mergeCell ref="A22:D22"/>
    <mergeCell ref="A23:D23"/>
    <mergeCell ref="A24:D24"/>
    <mergeCell ref="A20:D20"/>
    <mergeCell ref="A21:D21"/>
    <mergeCell ref="A13:D13"/>
    <mergeCell ref="A15:D15"/>
    <mergeCell ref="A16:D16"/>
    <mergeCell ref="A17:D17"/>
    <mergeCell ref="A18:D18"/>
  </mergeCells>
  <hyperlinks>
    <hyperlink ref="A1" location="TOC!A1" display="TOC Page"/>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7">
    <tabColor theme="0" tint="-0.14999847407452621"/>
  </sheetPr>
  <dimension ref="A1:U34"/>
  <sheetViews>
    <sheetView zoomScaleNormal="100" workbookViewId="0">
      <pane ySplit="1" topLeftCell="A2" activePane="bottomLeft" state="frozen"/>
      <selection activeCell="U16" sqref="U16"/>
      <selection pane="bottomLeft" activeCell="N29" sqref="N29"/>
    </sheetView>
  </sheetViews>
  <sheetFormatPr defaultColWidth="5.7109375" defaultRowHeight="12.75" x14ac:dyDescent="0.2"/>
  <cols>
    <col min="1" max="1" width="5.7109375" style="17"/>
    <col min="2" max="2" width="5.42578125" style="17" bestFit="1" customWidth="1"/>
    <col min="3" max="3" width="5.7109375" style="17"/>
    <col min="4" max="4" width="7.85546875" style="17" customWidth="1"/>
    <col min="5" max="5" width="11.28515625" style="17" customWidth="1"/>
    <col min="6" max="6" width="8.140625" style="17" bestFit="1" customWidth="1"/>
    <col min="7" max="8" width="5.7109375" style="17"/>
    <col min="9" max="9" width="6.28515625" style="17" customWidth="1"/>
    <col min="10" max="11" width="5.7109375" style="17"/>
    <col min="12" max="12" width="5.7109375" style="17" customWidth="1"/>
    <col min="13" max="13" width="5.7109375" style="17"/>
    <col min="14" max="15" width="5.7109375" style="17" customWidth="1"/>
    <col min="16" max="16" width="4.140625" style="17" customWidth="1"/>
    <col min="17" max="18" width="5.7109375" hidden="1" customWidth="1"/>
    <col min="21" max="21" width="12.5703125" customWidth="1"/>
  </cols>
  <sheetData>
    <row r="1" spans="1:21" ht="14.25" customHeight="1" x14ac:dyDescent="0.2">
      <c r="A1" s="1217" t="s">
        <v>639</v>
      </c>
      <c r="B1" s="1217"/>
    </row>
    <row r="2" spans="1:21" s="20" customFormat="1" ht="20.25" customHeight="1" x14ac:dyDescent="0.2">
      <c r="A2" s="1357" t="s">
        <v>137</v>
      </c>
      <c r="B2" s="1358"/>
      <c r="C2" s="1358"/>
      <c r="D2" s="1358"/>
      <c r="E2" s="1358"/>
      <c r="F2" s="1358"/>
      <c r="G2" s="1358"/>
      <c r="H2" s="1358"/>
      <c r="I2" s="1358"/>
      <c r="J2" s="1358"/>
      <c r="K2" s="1358"/>
      <c r="L2" s="1358"/>
      <c r="M2" s="1358"/>
      <c r="N2" s="1358"/>
      <c r="O2" s="1358"/>
      <c r="P2" s="1358"/>
      <c r="Q2" s="1358"/>
      <c r="R2" s="1358"/>
      <c r="S2" s="1358"/>
      <c r="T2" s="1358"/>
      <c r="U2" s="1358"/>
    </row>
    <row r="3" spans="1:21" s="15" customFormat="1" ht="17.25" customHeight="1" x14ac:dyDescent="0.2">
      <c r="A3" s="68"/>
      <c r="B3" s="51"/>
      <c r="C3" s="51"/>
      <c r="D3" s="51"/>
      <c r="E3" s="51"/>
      <c r="F3" s="51"/>
      <c r="G3" s="51"/>
      <c r="H3" s="51"/>
      <c r="I3" s="51"/>
      <c r="J3" s="51"/>
      <c r="K3" s="51"/>
      <c r="L3" s="51"/>
      <c r="M3" s="51"/>
      <c r="N3" s="51"/>
      <c r="O3" s="51"/>
      <c r="P3" s="51"/>
      <c r="Q3" s="51"/>
      <c r="R3" s="51"/>
    </row>
    <row r="4" spans="1:21" s="593" customFormat="1" ht="40.5" customHeight="1" x14ac:dyDescent="0.2">
      <c r="A4" s="1755" t="s">
        <v>1882</v>
      </c>
      <c r="B4" s="1756"/>
      <c r="C4" s="1756"/>
      <c r="D4" s="1756"/>
      <c r="E4" s="1756"/>
      <c r="F4" s="1756"/>
      <c r="G4" s="1756"/>
      <c r="H4" s="1756"/>
      <c r="I4" s="1756"/>
      <c r="J4" s="1756"/>
      <c r="K4" s="1756"/>
      <c r="L4" s="1756"/>
      <c r="M4" s="1756"/>
      <c r="N4" s="1756"/>
      <c r="O4" s="1756"/>
      <c r="P4" s="1756"/>
      <c r="Q4" s="1756"/>
      <c r="R4" s="1756"/>
      <c r="S4" s="1756"/>
      <c r="T4" s="1756"/>
      <c r="U4" s="1756"/>
    </row>
    <row r="5" spans="1:21" s="593" customFormat="1" ht="17.25" customHeight="1" x14ac:dyDescent="0.2">
      <c r="A5" s="595"/>
      <c r="B5" s="51"/>
      <c r="C5" s="51"/>
      <c r="D5" s="51"/>
      <c r="E5" s="51"/>
      <c r="F5" s="51"/>
      <c r="G5" s="51"/>
      <c r="H5" s="51"/>
      <c r="I5" s="51"/>
      <c r="J5" s="51"/>
      <c r="K5" s="51"/>
      <c r="L5" s="51"/>
      <c r="M5" s="51"/>
      <c r="N5" s="51"/>
      <c r="O5" s="51"/>
      <c r="P5" s="51"/>
      <c r="Q5" s="51"/>
      <c r="R5" s="51"/>
    </row>
    <row r="6" spans="1:21" s="593" customFormat="1" ht="17.25" customHeight="1" x14ac:dyDescent="0.2">
      <c r="A6" s="595"/>
      <c r="B6" s="51"/>
      <c r="C6" s="51"/>
      <c r="D6" s="51"/>
      <c r="E6" s="51"/>
      <c r="F6" s="51"/>
      <c r="G6" s="51"/>
      <c r="H6" s="51"/>
      <c r="I6" s="51"/>
      <c r="J6" s="51"/>
      <c r="K6" s="51"/>
      <c r="L6" s="51"/>
      <c r="M6" s="51"/>
      <c r="N6" s="51"/>
      <c r="O6" s="51"/>
      <c r="P6" s="51"/>
      <c r="Q6" s="51"/>
      <c r="R6" s="51"/>
    </row>
    <row r="7" spans="1:21" s="17" customFormat="1" ht="12.75" customHeight="1" x14ac:dyDescent="0.2">
      <c r="A7" s="1395" t="s">
        <v>346</v>
      </c>
      <c r="B7" s="1396"/>
      <c r="C7" s="1396"/>
      <c r="D7" s="1397"/>
      <c r="E7" s="43" t="s">
        <v>138</v>
      </c>
      <c r="F7" s="1395" t="s">
        <v>347</v>
      </c>
      <c r="G7" s="1396"/>
      <c r="H7" s="1385" t="s">
        <v>78</v>
      </c>
      <c r="I7" s="1385"/>
      <c r="J7" s="1385"/>
      <c r="K7" s="1385"/>
      <c r="L7" s="1385"/>
      <c r="M7" s="1385"/>
      <c r="N7" s="1385"/>
      <c r="O7" s="1385"/>
      <c r="P7" s="1385"/>
      <c r="Q7" s="201"/>
      <c r="R7" s="201"/>
      <c r="S7" s="1385" t="s">
        <v>139</v>
      </c>
      <c r="T7" s="1385"/>
      <c r="U7" s="1385"/>
    </row>
    <row r="8" spans="1:21" s="17" customFormat="1" ht="15" customHeight="1" x14ac:dyDescent="0.2">
      <c r="A8" s="1426" t="s">
        <v>348</v>
      </c>
      <c r="B8" s="1427"/>
      <c r="C8" s="1427"/>
      <c r="D8" s="1428"/>
      <c r="E8" s="858">
        <v>7000</v>
      </c>
      <c r="F8" s="1757"/>
      <c r="G8" s="1758"/>
      <c r="H8" s="1380" t="s">
        <v>2756</v>
      </c>
      <c r="I8" s="1377"/>
      <c r="J8" s="1377"/>
      <c r="K8" s="1377"/>
      <c r="L8" s="1377"/>
      <c r="M8" s="1377"/>
      <c r="N8" s="1377"/>
      <c r="O8" s="1377"/>
      <c r="P8" s="1377"/>
      <c r="Q8" s="119"/>
      <c r="R8" s="119"/>
      <c r="S8" s="1362"/>
      <c r="T8" s="1362"/>
      <c r="U8" s="1362"/>
    </row>
    <row r="9" spans="1:21" s="17" customFormat="1" ht="15" customHeight="1" x14ac:dyDescent="0.2">
      <c r="A9" s="1426" t="s">
        <v>349</v>
      </c>
      <c r="B9" s="1427"/>
      <c r="C9" s="1427"/>
      <c r="D9" s="1428"/>
      <c r="E9" s="200"/>
      <c r="F9" s="1757"/>
      <c r="G9" s="1758"/>
      <c r="H9" s="1377"/>
      <c r="I9" s="1377"/>
      <c r="J9" s="1377"/>
      <c r="K9" s="1377"/>
      <c r="L9" s="1377"/>
      <c r="M9" s="1377"/>
      <c r="N9" s="1377"/>
      <c r="O9" s="1377"/>
      <c r="P9" s="1377"/>
      <c r="Q9" s="119"/>
      <c r="R9" s="119"/>
      <c r="S9" s="1362"/>
      <c r="T9" s="1362"/>
      <c r="U9" s="1362"/>
    </row>
    <row r="10" spans="1:21" s="17" customFormat="1" ht="15" customHeight="1" x14ac:dyDescent="0.2">
      <c r="A10" s="1757" t="s">
        <v>82</v>
      </c>
      <c r="B10" s="1758"/>
      <c r="C10" s="1758"/>
      <c r="D10" s="1762"/>
      <c r="E10" s="638">
        <v>1800</v>
      </c>
      <c r="F10" s="1763"/>
      <c r="G10" s="1764"/>
      <c r="H10" s="1380" t="s">
        <v>2762</v>
      </c>
      <c r="I10" s="1380"/>
      <c r="J10" s="1380"/>
      <c r="K10" s="1380"/>
      <c r="L10" s="1380"/>
      <c r="M10" s="1380"/>
      <c r="N10" s="1380"/>
      <c r="O10" s="1380"/>
      <c r="P10" s="1380"/>
      <c r="Q10" s="1000"/>
      <c r="R10" s="1000"/>
      <c r="S10" s="1380" t="s">
        <v>2528</v>
      </c>
      <c r="T10" s="1377"/>
      <c r="U10" s="1377"/>
    </row>
    <row r="11" spans="1:21" s="17" customFormat="1" ht="15" customHeight="1" x14ac:dyDescent="0.2">
      <c r="A11" s="1426" t="s">
        <v>100</v>
      </c>
      <c r="B11" s="1427"/>
      <c r="C11" s="1427"/>
      <c r="D11" s="1428"/>
      <c r="E11" s="200"/>
      <c r="F11" s="1757"/>
      <c r="G11" s="1758"/>
      <c r="H11" s="1377"/>
      <c r="I11" s="1377"/>
      <c r="J11" s="1377"/>
      <c r="K11" s="1377"/>
      <c r="L11" s="1377"/>
      <c r="M11" s="1377"/>
      <c r="N11" s="1377"/>
      <c r="O11" s="1377"/>
      <c r="P11" s="1377"/>
      <c r="Q11" s="119"/>
      <c r="R11" s="119"/>
      <c r="S11" s="1362"/>
      <c r="T11" s="1362"/>
      <c r="U11" s="1362"/>
    </row>
    <row r="12" spans="1:21" s="17" customFormat="1" ht="15" customHeight="1" x14ac:dyDescent="0.2">
      <c r="A12" s="1426" t="s">
        <v>99</v>
      </c>
      <c r="B12" s="1427"/>
      <c r="C12" s="1427"/>
      <c r="D12" s="1428"/>
      <c r="E12" s="200"/>
      <c r="F12" s="1757"/>
      <c r="G12" s="1758"/>
      <c r="H12" s="1377"/>
      <c r="I12" s="1377"/>
      <c r="J12" s="1377"/>
      <c r="K12" s="1377"/>
      <c r="L12" s="1377"/>
      <c r="M12" s="1377"/>
      <c r="N12" s="1377"/>
      <c r="O12" s="1377"/>
      <c r="P12" s="1377"/>
      <c r="Q12" s="119"/>
      <c r="R12" s="119"/>
      <c r="S12" s="1362"/>
      <c r="T12" s="1362"/>
      <c r="U12" s="1362"/>
    </row>
    <row r="13" spans="1:21" s="17" customFormat="1" ht="15" customHeight="1" x14ac:dyDescent="0.2">
      <c r="A13" s="1426" t="s">
        <v>350</v>
      </c>
      <c r="B13" s="1427"/>
      <c r="C13" s="1427"/>
      <c r="D13" s="1428"/>
      <c r="E13" s="200"/>
      <c r="F13" s="1757"/>
      <c r="G13" s="1758"/>
      <c r="H13" s="1377"/>
      <c r="I13" s="1377"/>
      <c r="J13" s="1377"/>
      <c r="K13" s="1377"/>
      <c r="L13" s="1377"/>
      <c r="M13" s="1377"/>
      <c r="N13" s="1377"/>
      <c r="O13" s="1377"/>
      <c r="P13" s="1377"/>
      <c r="Q13" s="119"/>
      <c r="R13" s="119"/>
      <c r="S13" s="1362"/>
      <c r="T13" s="1362"/>
      <c r="U13" s="1362"/>
    </row>
    <row r="14" spans="1:21" s="17" customFormat="1" ht="15" customHeight="1" x14ac:dyDescent="0.2">
      <c r="A14" s="1426" t="s">
        <v>101</v>
      </c>
      <c r="B14" s="1427"/>
      <c r="C14" s="1427"/>
      <c r="D14" s="1428"/>
      <c r="E14" s="200"/>
      <c r="F14" s="1757"/>
      <c r="G14" s="1758"/>
      <c r="H14" s="1377"/>
      <c r="I14" s="1377"/>
      <c r="J14" s="1377"/>
      <c r="K14" s="1377"/>
      <c r="L14" s="1377"/>
      <c r="M14" s="1377"/>
      <c r="N14" s="1377"/>
      <c r="O14" s="1377"/>
      <c r="P14" s="1377"/>
      <c r="Q14" s="119"/>
      <c r="R14" s="119"/>
      <c r="S14" s="1362"/>
      <c r="T14" s="1362"/>
      <c r="U14" s="1362"/>
    </row>
    <row r="15" spans="1:21" s="17" customFormat="1" ht="25.5" customHeight="1" x14ac:dyDescent="0.2">
      <c r="A15" s="1759" t="s">
        <v>855</v>
      </c>
      <c r="B15" s="1760"/>
      <c r="C15" s="1760"/>
      <c r="D15" s="1761"/>
      <c r="E15" s="200"/>
      <c r="F15" s="1757" t="s">
        <v>338</v>
      </c>
      <c r="G15" s="1758"/>
      <c r="H15" s="1380" t="s">
        <v>1703</v>
      </c>
      <c r="I15" s="1377"/>
      <c r="J15" s="1377"/>
      <c r="K15" s="1377"/>
      <c r="L15" s="1377"/>
      <c r="M15" s="1377"/>
      <c r="N15" s="1377"/>
      <c r="O15" s="1377"/>
      <c r="P15" s="1377"/>
      <c r="Q15" s="119"/>
      <c r="R15" s="119"/>
      <c r="S15" s="1362"/>
      <c r="T15" s="1362"/>
      <c r="U15" s="1362"/>
    </row>
    <row r="16" spans="1:21" s="17" customFormat="1" ht="15" customHeight="1" x14ac:dyDescent="0.2">
      <c r="A16" s="1426" t="s">
        <v>102</v>
      </c>
      <c r="B16" s="1427"/>
      <c r="C16" s="1427"/>
      <c r="D16" s="1428"/>
      <c r="E16" s="200"/>
      <c r="F16" s="1757"/>
      <c r="G16" s="1758"/>
      <c r="H16" s="1377"/>
      <c r="I16" s="1377"/>
      <c r="J16" s="1377"/>
      <c r="K16" s="1377"/>
      <c r="L16" s="1377"/>
      <c r="M16" s="1377"/>
      <c r="N16" s="1377"/>
      <c r="O16" s="1377"/>
      <c r="P16" s="1377"/>
      <c r="Q16" s="119"/>
      <c r="R16" s="119"/>
      <c r="S16" s="1362"/>
      <c r="T16" s="1362"/>
      <c r="U16" s="1362"/>
    </row>
    <row r="17" spans="1:21" s="17" customFormat="1" ht="15" customHeight="1" x14ac:dyDescent="0.2">
      <c r="A17" s="1426" t="s">
        <v>103</v>
      </c>
      <c r="B17" s="1427"/>
      <c r="C17" s="1427"/>
      <c r="D17" s="1428"/>
      <c r="E17" s="200"/>
      <c r="F17" s="1757"/>
      <c r="G17" s="1758"/>
      <c r="H17" s="1377"/>
      <c r="I17" s="1377"/>
      <c r="J17" s="1377"/>
      <c r="K17" s="1377"/>
      <c r="L17" s="1377"/>
      <c r="M17" s="1377"/>
      <c r="N17" s="1377"/>
      <c r="O17" s="1377"/>
      <c r="P17" s="1377"/>
      <c r="Q17" s="119"/>
      <c r="R17" s="119"/>
      <c r="S17" s="1362"/>
      <c r="T17" s="1362"/>
      <c r="U17" s="1362"/>
    </row>
    <row r="18" spans="1:21" s="17" customFormat="1" ht="15" customHeight="1" x14ac:dyDescent="0.2">
      <c r="A18" s="1426" t="s">
        <v>104</v>
      </c>
      <c r="B18" s="1427"/>
      <c r="C18" s="1427"/>
      <c r="D18" s="1428"/>
      <c r="E18" s="200"/>
      <c r="F18" s="1757"/>
      <c r="G18" s="1758"/>
      <c r="H18" s="1377"/>
      <c r="I18" s="1377"/>
      <c r="J18" s="1377"/>
      <c r="K18" s="1377"/>
      <c r="L18" s="1377"/>
      <c r="M18" s="1377"/>
      <c r="N18" s="1377"/>
      <c r="O18" s="1377"/>
      <c r="P18" s="1377"/>
      <c r="Q18" s="119"/>
      <c r="R18" s="119"/>
      <c r="S18" s="1362"/>
      <c r="T18" s="1362"/>
      <c r="U18" s="1362"/>
    </row>
    <row r="19" spans="1:21" s="17" customFormat="1" ht="15" customHeight="1" x14ac:dyDescent="0.2">
      <c r="A19" s="1426" t="s">
        <v>365</v>
      </c>
      <c r="B19" s="1427"/>
      <c r="C19" s="1427"/>
      <c r="D19" s="1428"/>
      <c r="E19" s="200"/>
      <c r="F19" s="1757"/>
      <c r="G19" s="1758"/>
      <c r="H19" s="1377"/>
      <c r="I19" s="1377"/>
      <c r="J19" s="1377"/>
      <c r="K19" s="1377"/>
      <c r="L19" s="1377"/>
      <c r="M19" s="1377"/>
      <c r="N19" s="1377"/>
      <c r="O19" s="1377"/>
      <c r="P19" s="1377"/>
      <c r="Q19" s="119"/>
      <c r="R19" s="119"/>
      <c r="S19" s="1362"/>
      <c r="T19" s="1362"/>
      <c r="U19" s="1362"/>
    </row>
    <row r="20" spans="1:21" s="17" customFormat="1" ht="15" customHeight="1" x14ac:dyDescent="0.2">
      <c r="A20" s="1426" t="s">
        <v>366</v>
      </c>
      <c r="B20" s="1427"/>
      <c r="C20" s="1427"/>
      <c r="D20" s="1428"/>
      <c r="E20" s="200"/>
      <c r="F20" s="1757"/>
      <c r="G20" s="1758"/>
      <c r="H20" s="1377"/>
      <c r="I20" s="1377"/>
      <c r="J20" s="1377"/>
      <c r="K20" s="1377"/>
      <c r="L20" s="1377"/>
      <c r="M20" s="1377"/>
      <c r="N20" s="1377"/>
      <c r="O20" s="1377"/>
      <c r="P20" s="1377"/>
      <c r="Q20" s="119"/>
      <c r="R20" s="119"/>
      <c r="S20" s="1362"/>
      <c r="T20" s="1362"/>
      <c r="U20" s="1362"/>
    </row>
    <row r="21" spans="1:21" s="17" customFormat="1" x14ac:dyDescent="0.2"/>
    <row r="22" spans="1:21" s="17" customFormat="1" x14ac:dyDescent="0.2"/>
    <row r="23" spans="1:21" s="17" customFormat="1" ht="18" customHeight="1" x14ac:dyDescent="0.2">
      <c r="A23" s="1677" t="s">
        <v>1018</v>
      </c>
      <c r="B23" s="1767"/>
      <c r="C23" s="1767"/>
      <c r="D23" s="1767"/>
      <c r="E23" s="1767"/>
      <c r="F23" s="1767"/>
    </row>
    <row r="24" spans="1:21" s="17" customFormat="1" x14ac:dyDescent="0.2">
      <c r="A24" s="1346" t="s">
        <v>1017</v>
      </c>
      <c r="B24" s="1346"/>
      <c r="C24" s="1346"/>
      <c r="D24" s="1346"/>
      <c r="E24" s="1346"/>
      <c r="F24" s="1346"/>
      <c r="G24" s="1346"/>
      <c r="H24" s="1346"/>
      <c r="I24" s="41"/>
      <c r="J24" s="1766" t="s">
        <v>240</v>
      </c>
      <c r="K24" s="1766"/>
      <c r="L24" s="1766"/>
    </row>
    <row r="25" spans="1:21" s="17" customFormat="1" ht="29.25" customHeight="1" x14ac:dyDescent="0.2">
      <c r="B25" s="1724" t="s">
        <v>1014</v>
      </c>
      <c r="C25" s="1724"/>
      <c r="D25" s="1724"/>
      <c r="E25" s="1724"/>
      <c r="F25" s="1724"/>
      <c r="G25" s="1724"/>
      <c r="H25" s="1724"/>
      <c r="I25" s="1724"/>
      <c r="J25" s="1724"/>
      <c r="K25" s="1724"/>
      <c r="L25" s="1724"/>
      <c r="M25" s="1724"/>
      <c r="N25" s="1724"/>
      <c r="O25" s="1724"/>
      <c r="P25" s="1724"/>
    </row>
    <row r="26" spans="1:21" s="17" customFormat="1" ht="28.5" customHeight="1" x14ac:dyDescent="0.2">
      <c r="B26" s="1724" t="s">
        <v>1015</v>
      </c>
      <c r="C26" s="1724"/>
      <c r="D26" s="1724"/>
      <c r="E26" s="1724"/>
      <c r="F26" s="1724"/>
      <c r="G26" s="1724"/>
      <c r="H26" s="1724"/>
      <c r="I26" s="1724"/>
      <c r="J26" s="1724"/>
      <c r="K26" s="1724"/>
      <c r="L26" s="1724"/>
      <c r="M26" s="1724"/>
      <c r="N26" s="1724"/>
      <c r="O26" s="1724"/>
      <c r="P26" s="1724"/>
    </row>
    <row r="27" spans="1:21" s="17" customFormat="1" ht="12.75" customHeight="1" x14ac:dyDescent="0.2">
      <c r="B27" s="1452" t="s">
        <v>333</v>
      </c>
      <c r="C27" s="1452"/>
      <c r="D27" s="1452"/>
      <c r="E27" s="1362"/>
      <c r="F27" s="1362"/>
      <c r="G27" s="1362"/>
      <c r="H27" s="1362"/>
      <c r="I27" s="1362"/>
    </row>
    <row r="28" spans="1:21" s="17" customFormat="1" ht="12.75" customHeight="1" x14ac:dyDescent="0.2">
      <c r="B28" s="1452" t="s">
        <v>334</v>
      </c>
      <c r="C28" s="1452"/>
      <c r="D28" s="1452"/>
      <c r="E28" s="1362"/>
      <c r="F28" s="1362"/>
      <c r="G28" s="1362"/>
      <c r="H28" s="1362"/>
      <c r="I28" s="1362"/>
    </row>
    <row r="29" spans="1:21" s="17" customFormat="1" ht="12.75" customHeight="1" x14ac:dyDescent="0.2">
      <c r="B29" s="1452" t="s">
        <v>335</v>
      </c>
      <c r="C29" s="1452"/>
      <c r="D29" s="1452"/>
      <c r="E29" s="1362"/>
      <c r="F29" s="1362"/>
      <c r="G29" s="1362"/>
      <c r="H29" s="1362"/>
      <c r="I29" s="1362"/>
    </row>
    <row r="30" spans="1:21" s="17" customFormat="1" ht="12.75" customHeight="1" x14ac:dyDescent="0.2">
      <c r="B30" s="1452" t="s">
        <v>336</v>
      </c>
      <c r="C30" s="1452"/>
      <c r="D30" s="1452"/>
      <c r="E30" s="1362"/>
      <c r="F30" s="1362"/>
      <c r="G30" s="1362"/>
      <c r="H30" s="1362"/>
      <c r="I30" s="1362"/>
    </row>
    <row r="31" spans="1:21" s="17" customFormat="1" ht="12.75" customHeight="1" x14ac:dyDescent="0.2">
      <c r="B31" s="1452" t="s">
        <v>337</v>
      </c>
      <c r="C31" s="1452"/>
      <c r="D31" s="1452"/>
      <c r="E31" s="1362"/>
      <c r="F31" s="1362"/>
      <c r="G31" s="1362"/>
      <c r="H31" s="1362"/>
      <c r="I31" s="1362"/>
    </row>
    <row r="32" spans="1:21" s="17" customFormat="1" ht="6.75" customHeight="1" x14ac:dyDescent="0.2"/>
    <row r="33" spans="2:16" s="17" customFormat="1" x14ac:dyDescent="0.2">
      <c r="B33" s="1765" t="s">
        <v>1016</v>
      </c>
      <c r="C33" s="1765"/>
      <c r="D33" s="1765"/>
      <c r="E33" s="1765"/>
      <c r="F33" s="1765"/>
      <c r="G33" s="1765"/>
      <c r="H33" s="1765"/>
      <c r="I33" s="1765"/>
      <c r="J33" s="1765"/>
      <c r="K33" s="1765"/>
      <c r="L33" s="1765"/>
      <c r="M33" s="1765"/>
      <c r="N33" s="1765"/>
      <c r="O33" s="1765"/>
      <c r="P33" s="1765"/>
    </row>
    <row r="34" spans="2:16" s="17" customFormat="1" x14ac:dyDescent="0.2"/>
  </sheetData>
  <customSheetViews>
    <customSheetView guid="{4892E1C0-7A56-4F81-A857-987D77EC4462}" hiddenColumns="1">
      <selection activeCell="U22" sqref="U22"/>
      <pageMargins left="0.75" right="0.75" top="1" bottom="1" header="0.5" footer="0.5"/>
      <pageSetup orientation="landscape" r:id="rId1"/>
      <headerFooter alignWithMargins="0">
        <oddHeader>&amp;L&amp;G&amp;CShowAcronymGoesHere - PSM&amp;R&amp;P</oddHeader>
        <oddFooter>&amp;L&amp;D&amp;R&amp;Z&amp;F</oddFooter>
      </headerFooter>
    </customSheetView>
    <customSheetView guid="{C29C6423-4E3D-4B08-919E-993C7C45FC31}" hiddenColumns="1">
      <selection activeCell="H13" sqref="H13:P13"/>
      <pageMargins left="0.75" right="0.75" top="1" bottom="1" header="0.5" footer="0.5"/>
      <pageSetup orientation="landscape" r:id="rId2"/>
      <headerFooter alignWithMargins="0">
        <oddHeader>&amp;L&amp;G&amp;CShowAcronymGoesHere - PSM&amp;R&amp;P</oddHeader>
        <oddFooter>&amp;L&amp;D&amp;R&amp;Z&amp;F</oddFooter>
      </headerFooter>
    </customSheetView>
  </customSheetViews>
  <mergeCells count="75">
    <mergeCell ref="S11:U11"/>
    <mergeCell ref="S12:U12"/>
    <mergeCell ref="S19:U19"/>
    <mergeCell ref="H18:P18"/>
    <mergeCell ref="S13:U13"/>
    <mergeCell ref="H12:P12"/>
    <mergeCell ref="H20:P20"/>
    <mergeCell ref="A23:F23"/>
    <mergeCell ref="F19:G19"/>
    <mergeCell ref="S20:U20"/>
    <mergeCell ref="S14:U14"/>
    <mergeCell ref="S15:U15"/>
    <mergeCell ref="S16:U16"/>
    <mergeCell ref="S17:U17"/>
    <mergeCell ref="S18:U18"/>
    <mergeCell ref="H9:P9"/>
    <mergeCell ref="H10:P10"/>
    <mergeCell ref="H11:P11"/>
    <mergeCell ref="J24:L24"/>
    <mergeCell ref="A24:H24"/>
    <mergeCell ref="F12:G12"/>
    <mergeCell ref="A19:D19"/>
    <mergeCell ref="H19:P19"/>
    <mergeCell ref="H13:P13"/>
    <mergeCell ref="H14:P14"/>
    <mergeCell ref="H15:P15"/>
    <mergeCell ref="H16:P16"/>
    <mergeCell ref="H17:P17"/>
    <mergeCell ref="F15:G15"/>
    <mergeCell ref="A20:D20"/>
    <mergeCell ref="F20:G20"/>
    <mergeCell ref="B33:P33"/>
    <mergeCell ref="B26:P26"/>
    <mergeCell ref="B27:D27"/>
    <mergeCell ref="B28:D28"/>
    <mergeCell ref="B29:D29"/>
    <mergeCell ref="B31:D31"/>
    <mergeCell ref="E27:I27"/>
    <mergeCell ref="E28:I28"/>
    <mergeCell ref="E30:I30"/>
    <mergeCell ref="E31:I31"/>
    <mergeCell ref="B30:D30"/>
    <mergeCell ref="E29:I29"/>
    <mergeCell ref="B25:P25"/>
    <mergeCell ref="A1:B1"/>
    <mergeCell ref="A7:D7"/>
    <mergeCell ref="A9:D9"/>
    <mergeCell ref="F9:G9"/>
    <mergeCell ref="A10:D10"/>
    <mergeCell ref="F10:G10"/>
    <mergeCell ref="F7:G7"/>
    <mergeCell ref="A8:D8"/>
    <mergeCell ref="F8:G8"/>
    <mergeCell ref="A2:U2"/>
    <mergeCell ref="S7:U7"/>
    <mergeCell ref="S8:U8"/>
    <mergeCell ref="S9:U9"/>
    <mergeCell ref="S10:U10"/>
    <mergeCell ref="A11:D11"/>
    <mergeCell ref="A4:U4"/>
    <mergeCell ref="A17:D17"/>
    <mergeCell ref="F17:G17"/>
    <mergeCell ref="A18:D18"/>
    <mergeCell ref="F18:G18"/>
    <mergeCell ref="F11:G11"/>
    <mergeCell ref="A13:D13"/>
    <mergeCell ref="F13:G13"/>
    <mergeCell ref="A16:D16"/>
    <mergeCell ref="F16:G16"/>
    <mergeCell ref="A14:D14"/>
    <mergeCell ref="F14:G14"/>
    <mergeCell ref="A12:D12"/>
    <mergeCell ref="A15:D15"/>
    <mergeCell ref="H7:P7"/>
    <mergeCell ref="H8:P8"/>
  </mergeCells>
  <phoneticPr fontId="6" type="noConversion"/>
  <hyperlinks>
    <hyperlink ref="A1" location="TOC!A1" display="TOC Page"/>
  </hyperlinks>
  <pageMargins left="0.75" right="0.75" top="1" bottom="1" header="0.5" footer="0.5"/>
  <pageSetup orientation="landscape" r:id="rId3"/>
  <headerFooter alignWithMargins="0">
    <oddHeader>&amp;L&amp;G&amp;CShowAcronymGoesHere - PSM&amp;R&amp;P</oddHeader>
    <oddFooter>&amp;L&amp;D&amp;R&amp;Z&amp;F</oddFooter>
  </headerFooter>
  <customProperties>
    <customPr name="DVSECTIONID" r:id="rId4"/>
  </customProperties>
  <legacyDrawing r:id="rId5"/>
  <legacyDrawingHF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130"/>
  <sheetViews>
    <sheetView zoomScaleNormal="100" workbookViewId="0">
      <pane ySplit="1" topLeftCell="A2" activePane="bottomLeft" state="frozen"/>
      <selection activeCell="U16" sqref="U16"/>
      <selection pane="bottomLeft" activeCell="D41" sqref="D41"/>
    </sheetView>
  </sheetViews>
  <sheetFormatPr defaultColWidth="5.7109375" defaultRowHeight="15" customHeight="1" x14ac:dyDescent="0.2"/>
  <cols>
    <col min="1" max="1" width="2" style="3" customWidth="1"/>
    <col min="2" max="2" width="8" style="3" customWidth="1"/>
    <col min="3" max="3" width="38.140625" style="3" customWidth="1"/>
    <col min="4" max="4" width="18.5703125" style="3" bestFit="1" customWidth="1"/>
    <col min="5" max="6" width="5.7109375" style="3"/>
    <col min="7" max="7" width="7.28515625" style="3" customWidth="1"/>
    <col min="8" max="14" width="5.7109375" style="3"/>
    <col min="15" max="15" width="8.42578125" style="3" bestFit="1" customWidth="1"/>
    <col min="16" max="16384" width="5.7109375" style="3"/>
  </cols>
  <sheetData>
    <row r="1" spans="1:15" ht="14.25" x14ac:dyDescent="0.2">
      <c r="A1" s="1289" t="s">
        <v>639</v>
      </c>
      <c r="B1" s="1289"/>
    </row>
    <row r="2" spans="1:15" s="95" customFormat="1" ht="21.75" customHeight="1" x14ac:dyDescent="0.2">
      <c r="A2" s="1230" t="s">
        <v>1459</v>
      </c>
      <c r="B2" s="1231"/>
      <c r="C2" s="1231"/>
      <c r="D2" s="1231"/>
      <c r="E2" s="1231"/>
      <c r="F2" s="1231"/>
      <c r="G2" s="1231"/>
      <c r="H2" s="1231"/>
      <c r="I2" s="1231"/>
      <c r="J2" s="1231"/>
      <c r="K2" s="1231"/>
      <c r="L2" s="1231"/>
      <c r="M2" s="1231"/>
      <c r="N2" s="1231"/>
      <c r="O2" s="1231"/>
    </row>
    <row r="3" spans="1:15" s="95" customFormat="1" ht="7.5" customHeight="1" x14ac:dyDescent="0.2">
      <c r="A3" s="130"/>
      <c r="B3" s="131"/>
      <c r="C3" s="131"/>
      <c r="D3" s="131"/>
      <c r="E3" s="131"/>
      <c r="F3" s="131"/>
      <c r="G3" s="131"/>
      <c r="H3" s="131"/>
      <c r="I3" s="131"/>
      <c r="J3" s="131"/>
      <c r="K3" s="131"/>
      <c r="L3" s="122"/>
      <c r="M3" s="122"/>
      <c r="N3" s="122"/>
      <c r="O3" s="122"/>
    </row>
    <row r="4" spans="1:15" s="41" customFormat="1" ht="15" customHeight="1" x14ac:dyDescent="0.2">
      <c r="A4" s="117" t="s">
        <v>723</v>
      </c>
      <c r="B4" s="12"/>
      <c r="C4" s="12"/>
      <c r="D4" s="12"/>
      <c r="E4" s="12"/>
      <c r="F4" s="12"/>
      <c r="G4" s="12"/>
      <c r="H4" s="12"/>
      <c r="I4" s="12"/>
      <c r="J4" s="12"/>
      <c r="K4" s="12"/>
      <c r="L4" s="9"/>
      <c r="M4" s="9"/>
      <c r="N4" s="9"/>
    </row>
    <row r="5" spans="1:15" s="41" customFormat="1" ht="15" customHeight="1" x14ac:dyDescent="0.2">
      <c r="A5" s="132"/>
      <c r="B5" s="12"/>
      <c r="C5" s="12"/>
      <c r="D5" s="12"/>
      <c r="E5" s="12"/>
      <c r="F5" s="12"/>
      <c r="G5" s="12"/>
      <c r="H5" s="12"/>
      <c r="I5" s="12"/>
      <c r="J5" s="12"/>
      <c r="K5" s="12"/>
      <c r="L5" s="9"/>
      <c r="M5" s="9"/>
      <c r="N5" s="9"/>
    </row>
    <row r="6" spans="1:15" s="41" customFormat="1" ht="15" customHeight="1" x14ac:dyDescent="0.2">
      <c r="A6" s="125" t="s">
        <v>384</v>
      </c>
      <c r="B6" s="126"/>
      <c r="C6" s="126"/>
      <c r="D6" s="127" t="s">
        <v>240</v>
      </c>
      <c r="E6" s="9"/>
      <c r="F6" s="1244" t="s">
        <v>2501</v>
      </c>
      <c r="G6" s="1244"/>
      <c r="H6" s="1244"/>
      <c r="I6" s="1244"/>
      <c r="J6" s="1244"/>
      <c r="K6" s="1244"/>
      <c r="L6" s="1244"/>
      <c r="M6" s="1244"/>
      <c r="N6" s="1244"/>
      <c r="O6" s="989" t="s">
        <v>2502</v>
      </c>
    </row>
    <row r="7" spans="1:15" s="41" customFormat="1" ht="15" customHeight="1" x14ac:dyDescent="0.2">
      <c r="A7" s="128" t="s">
        <v>620</v>
      </c>
      <c r="B7" s="124"/>
      <c r="C7" s="124"/>
      <c r="D7" s="316" t="s">
        <v>1808</v>
      </c>
      <c r="E7" s="9"/>
      <c r="F7" s="1216" t="s">
        <v>2481</v>
      </c>
      <c r="G7" s="1216"/>
      <c r="H7" s="1216"/>
      <c r="I7" s="1216"/>
      <c r="J7" s="1216"/>
      <c r="K7" s="1290" t="s">
        <v>2503</v>
      </c>
      <c r="L7" s="1290"/>
      <c r="M7" s="1290"/>
      <c r="N7" s="1290"/>
      <c r="O7" s="1044" t="s">
        <v>243</v>
      </c>
    </row>
    <row r="8" spans="1:15" s="41" customFormat="1" ht="15" customHeight="1" x14ac:dyDescent="0.2">
      <c r="A8" s="827" t="s">
        <v>221</v>
      </c>
      <c r="B8" s="826"/>
      <c r="C8" s="826"/>
      <c r="D8" s="638" t="s">
        <v>96</v>
      </c>
      <c r="E8" s="962"/>
    </row>
    <row r="9" spans="1:15" s="41" customFormat="1" ht="15" customHeight="1" x14ac:dyDescent="0.2">
      <c r="A9" s="485" t="s">
        <v>1809</v>
      </c>
      <c r="B9" s="124"/>
      <c r="C9" s="124"/>
      <c r="D9" s="316" t="s">
        <v>97</v>
      </c>
      <c r="E9" s="962"/>
      <c r="F9" s="9"/>
      <c r="G9" s="9"/>
    </row>
    <row r="10" spans="1:15" s="555" customFormat="1" ht="15" customHeight="1" x14ac:dyDescent="0.2">
      <c r="A10" s="485" t="s">
        <v>1810</v>
      </c>
      <c r="B10" s="554"/>
      <c r="C10" s="554"/>
      <c r="D10" s="316" t="s">
        <v>97</v>
      </c>
      <c r="E10" s="962"/>
      <c r="F10" s="553"/>
      <c r="G10" s="553"/>
    </row>
    <row r="11" spans="1:15" s="41" customFormat="1" ht="15" customHeight="1" x14ac:dyDescent="0.2">
      <c r="A11" s="485" t="s">
        <v>706</v>
      </c>
      <c r="B11" s="124"/>
      <c r="C11" s="124"/>
      <c r="D11" s="316" t="s">
        <v>97</v>
      </c>
      <c r="E11" s="9"/>
      <c r="F11" s="9"/>
      <c r="G11" s="9"/>
    </row>
    <row r="12" spans="1:15" s="41" customFormat="1" ht="15" customHeight="1" x14ac:dyDescent="0.2">
      <c r="A12" s="827" t="s">
        <v>622</v>
      </c>
      <c r="B12" s="911"/>
      <c r="C12" s="911"/>
      <c r="D12" s="638" t="s">
        <v>96</v>
      </c>
      <c r="E12" s="9"/>
      <c r="F12" s="9"/>
      <c r="G12" s="9"/>
    </row>
    <row r="13" spans="1:15" s="41" customFormat="1" ht="15" customHeight="1" x14ac:dyDescent="0.2">
      <c r="A13" s="128" t="s">
        <v>707</v>
      </c>
      <c r="B13" s="124"/>
      <c r="C13" s="124"/>
      <c r="D13" s="316" t="s">
        <v>1808</v>
      </c>
      <c r="E13" s="9"/>
      <c r="F13" s="9"/>
      <c r="G13" s="9"/>
    </row>
    <row r="14" spans="1:15" s="41" customFormat="1" ht="15" customHeight="1" x14ac:dyDescent="0.2">
      <c r="A14" s="128" t="s">
        <v>708</v>
      </c>
      <c r="B14" s="124"/>
      <c r="C14" s="124"/>
      <c r="D14" s="316" t="s">
        <v>2333</v>
      </c>
      <c r="E14" s="9"/>
      <c r="F14" s="9"/>
      <c r="G14" s="9"/>
    </row>
    <row r="15" spans="1:15" s="41" customFormat="1" ht="15" customHeight="1" x14ac:dyDescent="0.2">
      <c r="A15" s="624" t="s">
        <v>1811</v>
      </c>
      <c r="B15" s="625"/>
      <c r="C15" s="625"/>
      <c r="D15" s="626" t="s">
        <v>97</v>
      </c>
      <c r="E15" s="9"/>
      <c r="F15" s="9"/>
      <c r="G15" s="9"/>
    </row>
    <row r="16" spans="1:15" s="41" customFormat="1" ht="15" hidden="1" customHeight="1" x14ac:dyDescent="0.2">
      <c r="A16" s="128"/>
      <c r="B16" s="129" t="s">
        <v>889</v>
      </c>
      <c r="C16" s="119"/>
      <c r="D16" s="316" t="s">
        <v>97</v>
      </c>
      <c r="E16" s="9"/>
      <c r="F16" s="9"/>
      <c r="G16" s="9"/>
    </row>
    <row r="17" spans="1:7" s="41" customFormat="1" ht="15" hidden="1" customHeight="1" x14ac:dyDescent="0.2">
      <c r="A17" s="128"/>
      <c r="B17" s="129" t="s">
        <v>890</v>
      </c>
      <c r="C17" s="119"/>
      <c r="D17" s="316" t="s">
        <v>97</v>
      </c>
      <c r="E17" s="9"/>
      <c r="F17" s="9"/>
      <c r="G17" s="9"/>
    </row>
    <row r="18" spans="1:7" s="41" customFormat="1" ht="15" hidden="1" customHeight="1" x14ac:dyDescent="0.2">
      <c r="A18" s="128"/>
      <c r="B18" s="129" t="s">
        <v>891</v>
      </c>
      <c r="C18" s="119"/>
      <c r="D18" s="316" t="s">
        <v>97</v>
      </c>
      <c r="E18" s="9"/>
      <c r="F18" s="9"/>
      <c r="G18" s="9"/>
    </row>
    <row r="19" spans="1:7" s="41" customFormat="1" ht="15" hidden="1" customHeight="1" x14ac:dyDescent="0.2">
      <c r="A19" s="128"/>
      <c r="B19" s="129" t="s">
        <v>892</v>
      </c>
      <c r="C19" s="119"/>
      <c r="D19" s="316" t="s">
        <v>97</v>
      </c>
      <c r="E19" s="9"/>
      <c r="F19" s="9"/>
      <c r="G19" s="9"/>
    </row>
    <row r="20" spans="1:7" s="41" customFormat="1" ht="15" hidden="1" customHeight="1" x14ac:dyDescent="0.2">
      <c r="A20" s="128"/>
      <c r="B20" s="129" t="s">
        <v>893</v>
      </c>
      <c r="C20" s="119"/>
      <c r="D20" s="316" t="s">
        <v>97</v>
      </c>
      <c r="E20" s="9"/>
      <c r="F20" s="9"/>
      <c r="G20" s="9"/>
    </row>
    <row r="21" spans="1:7" s="41" customFormat="1" ht="15" hidden="1" customHeight="1" x14ac:dyDescent="0.2">
      <c r="A21" s="128"/>
      <c r="B21" s="129" t="s">
        <v>894</v>
      </c>
      <c r="C21" s="119"/>
      <c r="D21" s="316" t="s">
        <v>97</v>
      </c>
      <c r="E21" s="9"/>
      <c r="F21" s="9"/>
      <c r="G21" s="9"/>
    </row>
    <row r="22" spans="1:7" s="555" customFormat="1" ht="15" hidden="1" customHeight="1" x14ac:dyDescent="0.2">
      <c r="A22" s="128"/>
      <c r="B22" s="560" t="s">
        <v>1916</v>
      </c>
      <c r="C22" s="623" t="s">
        <v>1917</v>
      </c>
      <c r="D22" s="316" t="s">
        <v>97</v>
      </c>
      <c r="E22" s="553"/>
      <c r="F22" s="553"/>
      <c r="G22" s="553"/>
    </row>
    <row r="23" spans="1:7" s="41" customFormat="1" ht="15" hidden="1" customHeight="1" x14ac:dyDescent="0.2">
      <c r="A23" s="128"/>
      <c r="B23" s="129" t="s">
        <v>895</v>
      </c>
      <c r="C23" s="119"/>
      <c r="D23" s="316" t="s">
        <v>97</v>
      </c>
      <c r="E23" s="9"/>
      <c r="F23" s="9"/>
      <c r="G23" s="9"/>
    </row>
    <row r="24" spans="1:7" s="41" customFormat="1" ht="15" customHeight="1" x14ac:dyDescent="0.2">
      <c r="A24" s="827" t="s">
        <v>709</v>
      </c>
      <c r="B24" s="912"/>
      <c r="C24" s="910"/>
      <c r="D24" s="638" t="s">
        <v>96</v>
      </c>
      <c r="E24" s="9"/>
      <c r="F24" s="9"/>
      <c r="G24" s="9"/>
    </row>
    <row r="25" spans="1:7" s="41" customFormat="1" ht="15" customHeight="1" x14ac:dyDescent="0.2">
      <c r="A25" s="128" t="s">
        <v>710</v>
      </c>
      <c r="B25" s="119"/>
      <c r="C25" s="119"/>
      <c r="D25" s="316" t="s">
        <v>97</v>
      </c>
      <c r="E25" s="9"/>
      <c r="F25" s="9"/>
      <c r="G25" s="9"/>
    </row>
    <row r="26" spans="1:7" s="41" customFormat="1" ht="15" customHeight="1" x14ac:dyDescent="0.2">
      <c r="A26" s="128" t="s">
        <v>711</v>
      </c>
      <c r="B26" s="124"/>
      <c r="C26" s="124"/>
      <c r="D26" s="316" t="s">
        <v>97</v>
      </c>
      <c r="E26" s="9"/>
      <c r="F26" s="9"/>
      <c r="G26" s="9"/>
    </row>
    <row r="27" spans="1:7" s="41" customFormat="1" ht="15" customHeight="1" x14ac:dyDescent="0.2">
      <c r="A27" s="624" t="s">
        <v>712</v>
      </c>
      <c r="B27" s="625"/>
      <c r="C27" s="625"/>
      <c r="D27" s="626" t="s">
        <v>97</v>
      </c>
      <c r="E27" s="9"/>
      <c r="F27" s="9"/>
      <c r="G27" s="9"/>
    </row>
    <row r="28" spans="1:7" s="41" customFormat="1" ht="15" hidden="1" customHeight="1" x14ac:dyDescent="0.2">
      <c r="A28" s="118"/>
      <c r="B28" s="129" t="s">
        <v>713</v>
      </c>
      <c r="C28" s="119"/>
      <c r="D28" s="316" t="s">
        <v>97</v>
      </c>
      <c r="E28" s="9"/>
      <c r="F28" s="9"/>
      <c r="G28" s="9"/>
    </row>
    <row r="29" spans="1:7" s="41" customFormat="1" ht="15" hidden="1" customHeight="1" x14ac:dyDescent="0.2">
      <c r="A29" s="118"/>
      <c r="B29" s="129" t="s">
        <v>714</v>
      </c>
      <c r="C29" s="119"/>
      <c r="D29" s="316" t="s">
        <v>97</v>
      </c>
      <c r="E29" s="9"/>
      <c r="F29" s="9"/>
      <c r="G29" s="9"/>
    </row>
    <row r="30" spans="1:7" s="41" customFormat="1" ht="15" hidden="1" customHeight="1" x14ac:dyDescent="0.2">
      <c r="A30" s="118"/>
      <c r="B30" s="129" t="s">
        <v>715</v>
      </c>
      <c r="C30" s="119"/>
      <c r="D30" s="316" t="s">
        <v>97</v>
      </c>
      <c r="E30" s="9"/>
      <c r="F30" s="9"/>
      <c r="G30" s="9"/>
    </row>
    <row r="31" spans="1:7" s="41" customFormat="1" ht="15" hidden="1" customHeight="1" x14ac:dyDescent="0.2">
      <c r="A31" s="118"/>
      <c r="B31" s="129" t="s">
        <v>621</v>
      </c>
      <c r="C31" s="119"/>
      <c r="D31" s="316" t="s">
        <v>97</v>
      </c>
      <c r="E31" s="9"/>
      <c r="F31" s="9"/>
      <c r="G31" s="9"/>
    </row>
    <row r="32" spans="1:7" s="41" customFormat="1" ht="15" hidden="1" customHeight="1" x14ac:dyDescent="0.2">
      <c r="A32" s="832"/>
      <c r="B32" s="726" t="s">
        <v>716</v>
      </c>
      <c r="C32" s="833"/>
      <c r="D32" s="638" t="s">
        <v>97</v>
      </c>
      <c r="E32" s="9"/>
      <c r="F32" s="9"/>
      <c r="G32" s="9"/>
    </row>
    <row r="33" spans="1:11" s="41" customFormat="1" ht="15" hidden="1" customHeight="1" x14ac:dyDescent="0.2">
      <c r="A33" s="118"/>
      <c r="B33" s="129" t="s">
        <v>717</v>
      </c>
      <c r="C33" s="119"/>
      <c r="D33" s="316" t="s">
        <v>97</v>
      </c>
      <c r="E33" s="9"/>
      <c r="F33" s="9"/>
      <c r="G33" s="9"/>
    </row>
    <row r="34" spans="1:11" s="41" customFormat="1" ht="15" hidden="1" customHeight="1" x14ac:dyDescent="0.2">
      <c r="A34" s="123"/>
      <c r="B34" s="129" t="s">
        <v>718</v>
      </c>
      <c r="C34" s="124"/>
      <c r="D34" s="316" t="s">
        <v>97</v>
      </c>
      <c r="E34" s="9"/>
      <c r="F34" s="9"/>
      <c r="G34" s="9"/>
    </row>
    <row r="35" spans="1:11" s="41" customFormat="1" ht="15" customHeight="1" x14ac:dyDescent="0.2">
      <c r="A35" s="627" t="s">
        <v>1812</v>
      </c>
      <c r="B35" s="625"/>
      <c r="C35" s="625"/>
      <c r="D35" s="626"/>
      <c r="E35" s="9"/>
      <c r="F35" s="9"/>
      <c r="G35" s="9"/>
    </row>
    <row r="36" spans="1:11" s="41" customFormat="1" ht="15" customHeight="1" x14ac:dyDescent="0.2">
      <c r="A36" s="118"/>
      <c r="B36" s="129" t="s">
        <v>623</v>
      </c>
      <c r="C36" s="119"/>
      <c r="D36" s="316" t="s">
        <v>96</v>
      </c>
      <c r="E36" s="9"/>
      <c r="F36" s="9"/>
      <c r="G36" s="9"/>
    </row>
    <row r="37" spans="1:11" s="41" customFormat="1" ht="15" customHeight="1" x14ac:dyDescent="0.2">
      <c r="A37" s="123"/>
      <c r="B37" s="129" t="s">
        <v>624</v>
      </c>
      <c r="C37" s="124"/>
      <c r="D37" s="316" t="s">
        <v>96</v>
      </c>
      <c r="E37" s="9"/>
      <c r="F37" s="9"/>
      <c r="G37" s="9"/>
    </row>
    <row r="38" spans="1:11" s="41" customFormat="1" ht="15" customHeight="1" x14ac:dyDescent="0.2">
      <c r="A38" s="118"/>
      <c r="B38" s="129" t="s">
        <v>719</v>
      </c>
      <c r="C38" s="119"/>
      <c r="D38" s="316" t="s">
        <v>96</v>
      </c>
      <c r="E38" s="9"/>
      <c r="F38" s="9"/>
      <c r="G38" s="9"/>
    </row>
    <row r="39" spans="1:11" s="41" customFormat="1" ht="15" customHeight="1" x14ac:dyDescent="0.2">
      <c r="A39" s="118"/>
      <c r="B39" s="129" t="s">
        <v>625</v>
      </c>
      <c r="C39" s="119"/>
      <c r="D39" s="316" t="s">
        <v>96</v>
      </c>
      <c r="E39" s="9"/>
      <c r="F39" s="9"/>
      <c r="G39" s="9"/>
    </row>
    <row r="40" spans="1:11" s="41" customFormat="1" ht="27.75" customHeight="1" x14ac:dyDescent="0.2">
      <c r="A40" s="628" t="s">
        <v>720</v>
      </c>
      <c r="B40" s="629"/>
      <c r="C40" s="625"/>
      <c r="D40" s="1040"/>
      <c r="E40" s="9"/>
      <c r="F40" s="9"/>
      <c r="G40" s="9"/>
    </row>
    <row r="41" spans="1:11" s="41" customFormat="1" ht="15" customHeight="1" x14ac:dyDescent="0.2">
      <c r="A41" s="118"/>
      <c r="B41" s="129" t="s">
        <v>243</v>
      </c>
      <c r="C41" s="119"/>
      <c r="D41" s="638" t="s">
        <v>96</v>
      </c>
      <c r="E41" s="9"/>
      <c r="F41" s="9"/>
      <c r="G41" s="9"/>
    </row>
    <row r="42" spans="1:11" s="41" customFormat="1" ht="15" customHeight="1" x14ac:dyDescent="0.2">
      <c r="A42" s="682"/>
      <c r="B42" s="726" t="s">
        <v>722</v>
      </c>
      <c r="C42" s="683"/>
      <c r="D42" s="638" t="s">
        <v>97</v>
      </c>
      <c r="E42" s="9"/>
      <c r="F42" s="9"/>
      <c r="G42" s="9"/>
    </row>
    <row r="43" spans="1:11" s="474" customFormat="1" ht="15" customHeight="1" x14ac:dyDescent="0.2">
      <c r="A43" s="727" t="s">
        <v>1813</v>
      </c>
      <c r="B43" s="726"/>
      <c r="C43" s="683"/>
      <c r="D43" s="638" t="s">
        <v>97</v>
      </c>
      <c r="E43" s="470"/>
      <c r="F43" s="470"/>
      <c r="G43" s="470"/>
    </row>
    <row r="44" spans="1:11" s="41" customFormat="1" ht="15" customHeight="1" x14ac:dyDescent="0.2">
      <c r="A44" s="727" t="s">
        <v>1814</v>
      </c>
      <c r="B44" s="726"/>
      <c r="C44" s="910"/>
      <c r="D44" s="638" t="s">
        <v>96</v>
      </c>
      <c r="E44" s="9"/>
      <c r="F44" s="9"/>
      <c r="G44" s="9"/>
    </row>
    <row r="45" spans="1:11" s="41" customFormat="1" ht="15" customHeight="1" x14ac:dyDescent="0.2">
      <c r="A45" s="727" t="s">
        <v>1815</v>
      </c>
      <c r="B45" s="726"/>
      <c r="C45" s="910"/>
      <c r="D45" s="638" t="s">
        <v>96</v>
      </c>
      <c r="E45" s="9"/>
      <c r="F45" s="9"/>
      <c r="G45" s="9"/>
    </row>
    <row r="46" spans="1:11" s="41" customFormat="1" ht="15" customHeight="1" x14ac:dyDescent="0.2">
      <c r="A46" s="485" t="s">
        <v>1816</v>
      </c>
      <c r="B46" s="129"/>
      <c r="C46" s="119"/>
      <c r="D46" s="316" t="s">
        <v>97</v>
      </c>
      <c r="E46" s="9"/>
      <c r="F46" s="9"/>
      <c r="G46" s="9"/>
    </row>
    <row r="47" spans="1:11" s="41" customFormat="1" ht="15" customHeight="1" x14ac:dyDescent="0.2">
      <c r="A47" s="485" t="s">
        <v>721</v>
      </c>
      <c r="B47" s="129"/>
      <c r="C47" s="119"/>
      <c r="D47" s="316" t="s">
        <v>97</v>
      </c>
      <c r="E47" s="9"/>
      <c r="F47" s="9"/>
      <c r="G47" s="9"/>
    </row>
    <row r="48" spans="1:11" ht="15" customHeight="1" x14ac:dyDescent="0.2">
      <c r="A48" s="2"/>
      <c r="B48" s="8"/>
      <c r="C48" s="8"/>
      <c r="D48" s="5"/>
      <c r="E48" s="7"/>
      <c r="F48" s="7"/>
      <c r="G48" s="7"/>
      <c r="H48" s="7"/>
      <c r="I48" s="7"/>
      <c r="J48" s="7"/>
      <c r="K48" s="7"/>
    </row>
    <row r="49" spans="1:11" ht="15" customHeight="1" x14ac:dyDescent="0.2">
      <c r="A49" s="2"/>
      <c r="B49" s="8"/>
      <c r="C49" s="8"/>
      <c r="D49" s="5"/>
      <c r="E49" s="5"/>
      <c r="F49" s="5"/>
      <c r="G49" s="5"/>
      <c r="H49" s="5"/>
      <c r="I49" s="2"/>
      <c r="J49" s="5"/>
      <c r="K49" s="5"/>
    </row>
    <row r="50" spans="1:11" ht="15" customHeight="1" x14ac:dyDescent="0.2">
      <c r="A50" s="2"/>
      <c r="B50" s="8"/>
      <c r="C50" s="8"/>
      <c r="D50" s="5"/>
      <c r="E50" s="5"/>
      <c r="F50" s="5"/>
      <c r="G50" s="5"/>
      <c r="H50" s="5"/>
      <c r="I50" s="2"/>
      <c r="J50" s="5"/>
      <c r="K50" s="5"/>
    </row>
    <row r="51" spans="1:11" ht="15" customHeight="1" x14ac:dyDescent="0.2">
      <c r="A51" s="2"/>
      <c r="B51" s="9"/>
      <c r="C51" s="9"/>
      <c r="D51" s="9"/>
      <c r="E51" s="9"/>
      <c r="F51" s="9"/>
      <c r="G51" s="9"/>
      <c r="H51" s="9"/>
      <c r="I51" s="9"/>
      <c r="J51" s="9"/>
      <c r="K51" s="9"/>
    </row>
    <row r="52" spans="1:11" ht="15" customHeight="1" x14ac:dyDescent="0.25">
      <c r="A52" s="6"/>
      <c r="B52" s="7"/>
      <c r="C52" s="7"/>
      <c r="D52" s="7"/>
      <c r="E52" s="7"/>
      <c r="F52" s="7"/>
      <c r="G52" s="7"/>
      <c r="H52" s="7"/>
      <c r="I52" s="7"/>
      <c r="J52" s="7"/>
      <c r="K52" s="7"/>
    </row>
    <row r="53" spans="1:11" ht="15" customHeight="1" x14ac:dyDescent="0.2">
      <c r="A53" s="2"/>
      <c r="B53" s="8"/>
      <c r="C53" s="8"/>
      <c r="D53" s="5"/>
      <c r="E53" s="5"/>
      <c r="F53" s="5"/>
      <c r="G53" s="5"/>
      <c r="H53" s="5"/>
      <c r="I53" s="2"/>
      <c r="J53" s="5"/>
      <c r="K53" s="5"/>
    </row>
    <row r="54" spans="1:11" ht="15" customHeight="1" x14ac:dyDescent="0.2">
      <c r="A54" s="2"/>
      <c r="B54" s="8"/>
      <c r="C54" s="8"/>
      <c r="D54" s="5"/>
      <c r="E54" s="5"/>
      <c r="F54" s="5"/>
      <c r="G54" s="5"/>
      <c r="H54" s="5"/>
      <c r="I54" s="2"/>
      <c r="J54" s="5"/>
      <c r="K54" s="5"/>
    </row>
    <row r="55" spans="1:11" ht="15" customHeight="1" x14ac:dyDescent="0.2">
      <c r="A55" s="2"/>
      <c r="B55" s="8"/>
      <c r="C55" s="8"/>
      <c r="D55" s="5"/>
      <c r="E55" s="7"/>
      <c r="F55" s="7"/>
      <c r="G55" s="7"/>
      <c r="H55" s="7"/>
      <c r="I55" s="7"/>
      <c r="J55" s="7"/>
      <c r="K55" s="7"/>
    </row>
    <row r="56" spans="1:11" ht="15" customHeight="1" x14ac:dyDescent="0.2">
      <c r="A56" s="2"/>
      <c r="B56" s="9"/>
      <c r="C56" s="9"/>
      <c r="D56" s="9"/>
      <c r="E56" s="9"/>
      <c r="F56" s="9"/>
      <c r="G56" s="9"/>
      <c r="H56" s="9"/>
      <c r="I56" s="9"/>
      <c r="J56" s="9"/>
      <c r="K56" s="9"/>
    </row>
    <row r="57" spans="1:11" ht="15" customHeight="1" x14ac:dyDescent="0.25">
      <c r="A57" s="6"/>
      <c r="B57" s="7"/>
      <c r="C57" s="7"/>
      <c r="D57" s="7"/>
      <c r="E57" s="7"/>
      <c r="F57" s="7"/>
      <c r="G57" s="7"/>
      <c r="H57" s="7"/>
      <c r="I57" s="7"/>
      <c r="J57" s="7"/>
      <c r="K57" s="7"/>
    </row>
    <row r="58" spans="1:11" ht="15" customHeight="1" x14ac:dyDescent="0.2">
      <c r="A58" s="2"/>
      <c r="B58" s="8"/>
      <c r="C58" s="8"/>
      <c r="D58" s="5"/>
      <c r="E58" s="5"/>
      <c r="F58" s="5"/>
      <c r="G58" s="5"/>
      <c r="H58" s="5"/>
      <c r="I58" s="2"/>
      <c r="J58" s="5"/>
      <c r="K58" s="5"/>
    </row>
    <row r="59" spans="1:11" ht="15" customHeight="1" x14ac:dyDescent="0.2">
      <c r="A59" s="2"/>
      <c r="B59" s="8"/>
      <c r="C59" s="8"/>
      <c r="D59" s="5"/>
      <c r="E59" s="5"/>
      <c r="F59" s="5"/>
      <c r="G59" s="5"/>
      <c r="H59" s="5"/>
      <c r="I59" s="2"/>
      <c r="J59" s="5"/>
      <c r="K59" s="5"/>
    </row>
    <row r="60" spans="1:11" ht="15" customHeight="1" x14ac:dyDescent="0.2">
      <c r="A60" s="2"/>
      <c r="B60" s="8"/>
      <c r="C60" s="8"/>
      <c r="D60" s="5"/>
      <c r="E60" s="5"/>
      <c r="F60" s="5"/>
      <c r="G60" s="5"/>
      <c r="H60" s="5"/>
      <c r="I60" s="2"/>
      <c r="J60" s="5"/>
      <c r="K60" s="5"/>
    </row>
    <row r="61" spans="1:11" ht="15" customHeight="1" x14ac:dyDescent="0.2">
      <c r="A61" s="2"/>
      <c r="B61" s="8"/>
      <c r="C61" s="8"/>
      <c r="D61" s="5"/>
      <c r="E61" s="5"/>
      <c r="F61" s="5"/>
      <c r="G61" s="5"/>
      <c r="H61" s="5"/>
      <c r="I61" s="2"/>
      <c r="J61" s="5"/>
      <c r="K61" s="5"/>
    </row>
    <row r="62" spans="1:11" ht="15" customHeight="1" x14ac:dyDescent="0.2">
      <c r="A62" s="1"/>
      <c r="B62" s="10"/>
      <c r="C62" s="10"/>
      <c r="D62" s="5"/>
      <c r="E62" s="5"/>
      <c r="F62" s="5"/>
      <c r="G62" s="5"/>
      <c r="H62" s="5"/>
      <c r="I62" s="11"/>
      <c r="J62" s="11"/>
      <c r="K62" s="11"/>
    </row>
    <row r="63" spans="1:11" ht="15" customHeight="1" x14ac:dyDescent="0.2">
      <c r="A63" s="10"/>
      <c r="B63" s="10"/>
      <c r="C63" s="10"/>
      <c r="D63" s="5"/>
      <c r="E63" s="5"/>
      <c r="F63" s="5"/>
      <c r="G63" s="5"/>
      <c r="H63" s="5"/>
      <c r="I63" s="2"/>
      <c r="J63" s="5"/>
      <c r="K63" s="5"/>
    </row>
    <row r="64" spans="1:11" ht="15" customHeight="1" x14ac:dyDescent="0.2">
      <c r="A64" s="10"/>
      <c r="B64" s="10"/>
      <c r="C64" s="10"/>
      <c r="D64" s="5"/>
      <c r="E64" s="5"/>
      <c r="F64" s="5"/>
      <c r="G64" s="5"/>
      <c r="H64" s="5"/>
      <c r="I64" s="2"/>
      <c r="J64" s="5"/>
      <c r="K64" s="5"/>
    </row>
    <row r="65" spans="1:11" ht="15" customHeight="1" x14ac:dyDescent="0.2">
      <c r="A65" s="1"/>
      <c r="B65" s="10"/>
      <c r="C65" s="10"/>
      <c r="D65" s="5"/>
      <c r="E65" s="5"/>
      <c r="F65" s="5"/>
      <c r="G65" s="5"/>
      <c r="H65" s="5"/>
      <c r="I65" s="2"/>
      <c r="J65" s="5"/>
      <c r="K65" s="5"/>
    </row>
    <row r="66" spans="1:11" ht="15" customHeight="1" x14ac:dyDescent="0.2">
      <c r="A66" s="10"/>
      <c r="B66" s="10"/>
      <c r="C66" s="10"/>
      <c r="D66" s="5"/>
      <c r="E66" s="5"/>
      <c r="F66" s="5"/>
      <c r="G66" s="5"/>
      <c r="H66" s="5"/>
      <c r="I66" s="2"/>
      <c r="J66" s="5"/>
      <c r="K66" s="5"/>
    </row>
    <row r="67" spans="1:11" ht="15" customHeight="1" x14ac:dyDescent="0.2">
      <c r="A67" s="10"/>
      <c r="B67" s="10"/>
      <c r="C67" s="10"/>
      <c r="D67" s="5"/>
      <c r="E67" s="5"/>
      <c r="F67" s="5"/>
      <c r="G67" s="5"/>
      <c r="H67" s="5"/>
      <c r="I67" s="2"/>
      <c r="J67" s="5"/>
      <c r="K67" s="5"/>
    </row>
    <row r="68" spans="1:11" ht="15" customHeight="1" x14ac:dyDescent="0.2">
      <c r="A68" s="2"/>
      <c r="B68" s="8"/>
      <c r="C68" s="8"/>
      <c r="D68" s="5"/>
      <c r="E68" s="5"/>
      <c r="F68" s="5"/>
      <c r="G68" s="5"/>
      <c r="H68" s="5"/>
      <c r="I68" s="2"/>
      <c r="J68" s="5"/>
      <c r="K68" s="5"/>
    </row>
    <row r="69" spans="1:11" ht="15" customHeight="1" x14ac:dyDescent="0.2">
      <c r="A69" s="2"/>
      <c r="B69" s="8"/>
      <c r="C69" s="8"/>
      <c r="D69" s="5"/>
      <c r="E69" s="5"/>
      <c r="F69" s="5"/>
      <c r="G69" s="5"/>
      <c r="H69" s="5"/>
      <c r="I69" s="2"/>
      <c r="J69" s="5"/>
      <c r="K69" s="5"/>
    </row>
    <row r="70" spans="1:11" ht="15" customHeight="1" x14ac:dyDescent="0.2">
      <c r="A70" s="2"/>
      <c r="B70" s="8"/>
      <c r="C70" s="8"/>
      <c r="D70" s="5"/>
      <c r="E70" s="5"/>
      <c r="F70" s="5"/>
      <c r="G70" s="5"/>
      <c r="H70" s="5"/>
      <c r="I70" s="2"/>
      <c r="J70" s="5"/>
      <c r="K70" s="5"/>
    </row>
    <row r="71" spans="1:11" ht="15" customHeight="1" x14ac:dyDescent="0.2">
      <c r="A71" s="2"/>
      <c r="B71" s="8"/>
      <c r="C71" s="8"/>
      <c r="D71" s="5"/>
      <c r="E71" s="5"/>
      <c r="F71" s="5"/>
      <c r="G71" s="5"/>
      <c r="H71" s="5"/>
      <c r="I71" s="2"/>
      <c r="J71" s="5"/>
      <c r="K71" s="5"/>
    </row>
    <row r="72" spans="1:11" ht="15" customHeight="1" x14ac:dyDescent="0.2">
      <c r="A72" s="2"/>
      <c r="B72" s="8"/>
      <c r="C72" s="8"/>
      <c r="D72" s="5"/>
      <c r="E72" s="5"/>
      <c r="F72" s="5"/>
      <c r="G72" s="5"/>
      <c r="H72" s="5"/>
      <c r="I72" s="2"/>
      <c r="J72" s="5"/>
      <c r="K72" s="5"/>
    </row>
    <row r="73" spans="1:11" ht="15" customHeight="1" x14ac:dyDescent="0.2">
      <c r="A73" s="2"/>
      <c r="B73" s="9"/>
      <c r="C73" s="9"/>
      <c r="D73" s="9"/>
      <c r="E73" s="9"/>
      <c r="F73" s="9"/>
      <c r="G73" s="9"/>
      <c r="H73" s="9"/>
      <c r="I73" s="9"/>
      <c r="J73" s="9"/>
      <c r="K73" s="9"/>
    </row>
    <row r="74" spans="1:11" ht="15" customHeight="1" x14ac:dyDescent="0.25">
      <c r="A74" s="6"/>
      <c r="B74" s="7"/>
      <c r="C74" s="7"/>
      <c r="D74" s="7"/>
      <c r="E74" s="7"/>
      <c r="F74" s="7"/>
      <c r="G74" s="7"/>
      <c r="H74" s="7"/>
      <c r="I74" s="7"/>
      <c r="J74" s="7"/>
      <c r="K74" s="7"/>
    </row>
    <row r="75" spans="1:11" ht="15" customHeight="1" x14ac:dyDescent="0.2">
      <c r="A75" s="2"/>
      <c r="B75" s="8"/>
      <c r="C75" s="8"/>
      <c r="D75" s="5"/>
      <c r="E75" s="5"/>
      <c r="F75" s="5"/>
      <c r="G75" s="5"/>
      <c r="H75" s="5"/>
      <c r="I75" s="5"/>
      <c r="J75" s="5"/>
      <c r="K75" s="5"/>
    </row>
    <row r="76" spans="1:11" ht="15" customHeight="1" x14ac:dyDescent="0.2">
      <c r="A76" s="2"/>
      <c r="B76" s="8"/>
      <c r="C76" s="8"/>
      <c r="D76" s="5"/>
      <c r="E76" s="5"/>
      <c r="F76" s="5"/>
      <c r="G76" s="5"/>
      <c r="H76" s="5"/>
      <c r="I76" s="5"/>
      <c r="J76" s="5"/>
      <c r="K76" s="5"/>
    </row>
    <row r="77" spans="1:11" ht="15" customHeight="1" x14ac:dyDescent="0.2">
      <c r="A77" s="2"/>
      <c r="B77" s="8"/>
      <c r="C77" s="8"/>
      <c r="D77" s="5"/>
      <c r="E77" s="5"/>
      <c r="F77" s="5"/>
      <c r="G77" s="5"/>
      <c r="H77" s="5"/>
      <c r="I77" s="5"/>
      <c r="J77" s="5"/>
      <c r="K77" s="5"/>
    </row>
    <row r="78" spans="1:11" ht="15" customHeight="1" x14ac:dyDescent="0.2">
      <c r="A78" s="2"/>
      <c r="B78" s="8"/>
      <c r="C78" s="8"/>
      <c r="D78" s="5"/>
      <c r="E78" s="5"/>
      <c r="F78" s="5"/>
      <c r="G78" s="5"/>
      <c r="H78" s="5"/>
      <c r="I78" s="5"/>
      <c r="J78" s="5"/>
      <c r="K78" s="5"/>
    </row>
    <row r="79" spans="1:11" ht="15" customHeight="1" x14ac:dyDescent="0.2">
      <c r="A79" s="2"/>
      <c r="B79" s="8"/>
      <c r="C79" s="8"/>
      <c r="D79" s="5"/>
      <c r="E79" s="5"/>
      <c r="F79" s="5"/>
      <c r="G79" s="5"/>
      <c r="H79" s="5"/>
      <c r="I79" s="5"/>
      <c r="J79" s="5"/>
      <c r="K79" s="5"/>
    </row>
    <row r="80" spans="1:11" ht="15" customHeight="1" x14ac:dyDescent="0.2">
      <c r="A80" s="2"/>
      <c r="B80" s="8"/>
      <c r="C80" s="8"/>
      <c r="D80" s="5"/>
      <c r="E80" s="5"/>
      <c r="F80" s="5"/>
      <c r="G80" s="5"/>
      <c r="H80" s="5"/>
      <c r="I80" s="5"/>
      <c r="J80" s="5"/>
      <c r="K80" s="5"/>
    </row>
    <row r="81" spans="1:11" ht="15" customHeight="1" x14ac:dyDescent="0.2">
      <c r="A81" s="2"/>
      <c r="B81" s="8"/>
      <c r="C81" s="8"/>
      <c r="D81" s="5"/>
      <c r="E81" s="5"/>
      <c r="F81" s="5"/>
      <c r="G81" s="5"/>
      <c r="H81" s="5"/>
      <c r="I81" s="5"/>
      <c r="J81" s="5"/>
      <c r="K81" s="5"/>
    </row>
    <row r="82" spans="1:11" ht="15" customHeight="1" x14ac:dyDescent="0.2">
      <c r="A82" s="2"/>
      <c r="B82" s="8"/>
      <c r="C82" s="8"/>
      <c r="D82" s="5"/>
      <c r="E82" s="5"/>
      <c r="F82" s="5"/>
      <c r="G82" s="5"/>
      <c r="H82" s="5"/>
      <c r="I82" s="5"/>
      <c r="J82" s="5"/>
      <c r="K82" s="5"/>
    </row>
    <row r="83" spans="1:11" ht="15" customHeight="1" x14ac:dyDescent="0.25">
      <c r="A83" s="4"/>
    </row>
    <row r="85" spans="1:11" ht="15" customHeight="1" x14ac:dyDescent="0.25">
      <c r="A85" s="6"/>
      <c r="B85" s="7"/>
      <c r="C85" s="7"/>
      <c r="D85" s="7"/>
      <c r="E85" s="7"/>
      <c r="F85" s="7"/>
      <c r="G85" s="7"/>
      <c r="H85" s="7"/>
      <c r="I85" s="7"/>
      <c r="J85" s="7"/>
      <c r="K85" s="7"/>
    </row>
    <row r="86" spans="1:11" ht="15" customHeight="1" x14ac:dyDescent="0.2">
      <c r="A86" s="5"/>
      <c r="B86" s="7"/>
      <c r="C86" s="7"/>
      <c r="D86" s="7"/>
      <c r="E86" s="7"/>
      <c r="F86" s="7"/>
      <c r="G86" s="7"/>
      <c r="H86" s="7"/>
      <c r="I86" s="7"/>
      <c r="J86" s="7"/>
      <c r="K86" s="7"/>
    </row>
    <row r="87" spans="1:11" ht="15" customHeight="1" x14ac:dyDescent="0.2">
      <c r="A87" s="11"/>
      <c r="B87" s="11"/>
      <c r="C87" s="11"/>
      <c r="D87" s="11"/>
      <c r="E87" s="11"/>
      <c r="F87" s="11"/>
      <c r="G87" s="11"/>
      <c r="H87" s="11"/>
      <c r="I87" s="11"/>
      <c r="J87" s="11"/>
      <c r="K87" s="9"/>
    </row>
    <row r="88" spans="1:11" ht="15" customHeight="1" x14ac:dyDescent="0.2">
      <c r="A88" s="2"/>
      <c r="B88" s="2"/>
      <c r="C88" s="2"/>
      <c r="D88" s="5"/>
      <c r="E88" s="5"/>
      <c r="F88" s="5"/>
      <c r="G88" s="11"/>
      <c r="H88" s="11"/>
      <c r="J88" s="5"/>
      <c r="K88" s="7"/>
    </row>
    <row r="89" spans="1:11" ht="15" customHeight="1" x14ac:dyDescent="0.2">
      <c r="A89" s="2"/>
      <c r="B89" s="2"/>
      <c r="C89" s="2"/>
      <c r="D89" s="5"/>
      <c r="E89" s="5"/>
      <c r="F89" s="5"/>
      <c r="G89" s="11"/>
      <c r="H89" s="11"/>
      <c r="J89" s="5"/>
      <c r="K89" s="7"/>
    </row>
    <row r="90" spans="1:11" ht="15" customHeight="1" x14ac:dyDescent="0.2">
      <c r="A90" s="5"/>
      <c r="B90" s="7"/>
      <c r="C90" s="7"/>
      <c r="D90" s="7"/>
      <c r="E90" s="7"/>
      <c r="F90" s="7"/>
      <c r="G90" s="7"/>
      <c r="H90" s="7"/>
      <c r="I90" s="7"/>
      <c r="J90" s="7"/>
      <c r="K90" s="7"/>
    </row>
    <row r="91" spans="1:11" ht="15" customHeight="1" x14ac:dyDescent="0.2">
      <c r="A91" s="11"/>
      <c r="B91" s="11"/>
      <c r="C91" s="11"/>
      <c r="D91" s="11"/>
      <c r="E91" s="11"/>
      <c r="F91" s="11"/>
      <c r="G91" s="11"/>
      <c r="H91" s="11"/>
      <c r="I91" s="11"/>
      <c r="J91" s="11"/>
      <c r="K91" s="9"/>
    </row>
    <row r="92" spans="1:11" ht="15" customHeight="1" x14ac:dyDescent="0.2">
      <c r="A92" s="2"/>
      <c r="B92" s="2"/>
      <c r="C92" s="2"/>
      <c r="D92" s="5"/>
      <c r="E92" s="5"/>
      <c r="F92" s="5"/>
      <c r="G92" s="11"/>
      <c r="H92" s="11"/>
      <c r="J92" s="5"/>
      <c r="K92" s="7"/>
    </row>
    <row r="93" spans="1:11" ht="15" customHeight="1" x14ac:dyDescent="0.2">
      <c r="A93" s="2"/>
      <c r="B93" s="2"/>
      <c r="C93" s="2"/>
      <c r="D93" s="5"/>
      <c r="E93" s="5"/>
      <c r="F93" s="5"/>
      <c r="G93" s="11"/>
      <c r="H93" s="11"/>
      <c r="J93" s="5"/>
      <c r="K93" s="7"/>
    </row>
    <row r="94" spans="1:11" ht="15" customHeight="1" x14ac:dyDescent="0.2">
      <c r="A94" s="2"/>
      <c r="B94" s="2"/>
      <c r="C94" s="2"/>
      <c r="D94" s="5"/>
      <c r="E94" s="5"/>
      <c r="F94" s="5"/>
      <c r="G94" s="11"/>
      <c r="H94" s="11"/>
      <c r="J94" s="5"/>
      <c r="K94" s="7"/>
    </row>
    <row r="95" spans="1:11" ht="15" customHeight="1" x14ac:dyDescent="0.2">
      <c r="A95" s="2"/>
      <c r="B95" s="2"/>
      <c r="C95" s="2"/>
      <c r="D95" s="5"/>
      <c r="E95" s="5"/>
      <c r="F95" s="5"/>
      <c r="G95" s="11"/>
      <c r="H95" s="11"/>
      <c r="J95" s="5"/>
      <c r="K95" s="7"/>
    </row>
    <row r="96" spans="1:11" ht="15" customHeight="1" x14ac:dyDescent="0.2">
      <c r="A96" s="2"/>
      <c r="B96" s="2"/>
      <c r="C96" s="2"/>
      <c r="D96" s="5"/>
      <c r="E96" s="5"/>
      <c r="F96" s="5"/>
      <c r="G96" s="11"/>
      <c r="H96" s="11"/>
      <c r="J96" s="5"/>
      <c r="K96" s="7"/>
    </row>
    <row r="97" spans="1:11" ht="15" customHeight="1" x14ac:dyDescent="0.2">
      <c r="A97" s="5"/>
      <c r="B97" s="7"/>
      <c r="C97" s="7"/>
      <c r="D97" s="7"/>
      <c r="E97" s="7"/>
      <c r="F97" s="7"/>
      <c r="G97" s="7"/>
      <c r="H97" s="7"/>
      <c r="I97" s="7"/>
      <c r="J97" s="7"/>
      <c r="K97" s="7"/>
    </row>
    <row r="98" spans="1:11" ht="15" customHeight="1" x14ac:dyDescent="0.2">
      <c r="A98" s="11"/>
      <c r="B98" s="11"/>
      <c r="C98" s="11"/>
      <c r="D98" s="11"/>
      <c r="E98" s="11"/>
      <c r="F98" s="11"/>
      <c r="G98" s="11"/>
      <c r="H98" s="11"/>
      <c r="I98" s="11"/>
      <c r="J98" s="11"/>
      <c r="K98" s="9"/>
    </row>
    <row r="99" spans="1:11" ht="15" customHeight="1" x14ac:dyDescent="0.2">
      <c r="A99" s="2"/>
      <c r="B99" s="2"/>
      <c r="C99" s="2"/>
      <c r="D99" s="5"/>
      <c r="E99" s="5"/>
      <c r="F99" s="5"/>
      <c r="G99" s="11"/>
      <c r="H99" s="11"/>
      <c r="J99" s="5"/>
      <c r="K99" s="7"/>
    </row>
    <row r="100" spans="1:11" ht="15" customHeight="1" x14ac:dyDescent="0.2">
      <c r="A100" s="2"/>
      <c r="B100" s="2"/>
      <c r="C100" s="2"/>
      <c r="D100" s="5"/>
      <c r="E100" s="5"/>
      <c r="F100" s="5"/>
      <c r="G100" s="11"/>
      <c r="H100" s="11"/>
      <c r="J100" s="5"/>
      <c r="K100" s="7"/>
    </row>
    <row r="101" spans="1:11" ht="15" customHeight="1" x14ac:dyDescent="0.2">
      <c r="A101" s="2"/>
      <c r="B101" s="2"/>
      <c r="C101" s="2"/>
      <c r="D101" s="5"/>
      <c r="E101" s="5"/>
      <c r="F101" s="5"/>
      <c r="G101" s="11"/>
      <c r="H101" s="11"/>
      <c r="J101" s="5"/>
      <c r="K101" s="7"/>
    </row>
    <row r="102" spans="1:11" ht="15" customHeight="1" x14ac:dyDescent="0.2">
      <c r="A102" s="2"/>
      <c r="B102" s="2"/>
      <c r="C102" s="2"/>
      <c r="D102" s="5"/>
      <c r="E102" s="5"/>
      <c r="F102" s="5"/>
      <c r="G102" s="11"/>
      <c r="H102" s="11"/>
      <c r="J102" s="5"/>
      <c r="K102" s="7"/>
    </row>
    <row r="103" spans="1:11" ht="15" customHeight="1" x14ac:dyDescent="0.2">
      <c r="A103" s="5"/>
      <c r="B103" s="7"/>
      <c r="C103" s="7"/>
      <c r="D103" s="7"/>
      <c r="E103" s="7"/>
      <c r="F103" s="7"/>
      <c r="G103" s="7"/>
      <c r="H103" s="7"/>
      <c r="I103" s="7"/>
      <c r="J103" s="7"/>
      <c r="K103" s="7"/>
    </row>
    <row r="104" spans="1:11" ht="15" customHeight="1" x14ac:dyDescent="0.2">
      <c r="A104" s="11"/>
      <c r="B104" s="11"/>
      <c r="C104" s="11"/>
      <c r="D104" s="11"/>
      <c r="E104" s="11"/>
      <c r="F104" s="11"/>
      <c r="G104" s="11"/>
      <c r="H104" s="11"/>
      <c r="I104" s="11"/>
      <c r="J104" s="11"/>
      <c r="K104" s="9"/>
    </row>
    <row r="105" spans="1:11" ht="15" customHeight="1" x14ac:dyDescent="0.2">
      <c r="A105" s="2"/>
      <c r="B105" s="2"/>
      <c r="C105" s="2"/>
      <c r="D105" s="5"/>
      <c r="E105" s="5"/>
      <c r="F105" s="5"/>
      <c r="G105" s="11"/>
      <c r="H105" s="11"/>
      <c r="J105" s="5"/>
      <c r="K105" s="7"/>
    </row>
    <row r="106" spans="1:11" ht="15" customHeight="1" x14ac:dyDescent="0.2">
      <c r="A106" s="2"/>
      <c r="B106" s="2"/>
      <c r="C106" s="2"/>
      <c r="D106" s="5"/>
      <c r="E106" s="5"/>
      <c r="F106" s="5"/>
      <c r="G106" s="11"/>
      <c r="H106" s="11"/>
      <c r="J106" s="5"/>
      <c r="K106" s="7"/>
    </row>
    <row r="107" spans="1:11" ht="15" customHeight="1" x14ac:dyDescent="0.2">
      <c r="A107" s="2"/>
      <c r="B107" s="2"/>
      <c r="C107" s="2"/>
      <c r="D107" s="5"/>
      <c r="E107" s="5"/>
      <c r="F107" s="5"/>
      <c r="G107" s="11"/>
      <c r="H107" s="11"/>
      <c r="J107" s="5"/>
      <c r="K107" s="7"/>
    </row>
    <row r="108" spans="1:11" ht="15" customHeight="1" x14ac:dyDescent="0.2">
      <c r="A108" s="2"/>
      <c r="B108" s="2"/>
      <c r="C108" s="2"/>
      <c r="D108" s="5"/>
      <c r="E108" s="5"/>
      <c r="F108" s="5"/>
      <c r="G108" s="11"/>
      <c r="H108" s="11"/>
      <c r="J108" s="5"/>
      <c r="K108" s="7"/>
    </row>
    <row r="109" spans="1:11" ht="15" customHeight="1" x14ac:dyDescent="0.2">
      <c r="A109" s="2"/>
      <c r="B109" s="2"/>
      <c r="C109" s="2"/>
      <c r="D109" s="5"/>
      <c r="E109" s="5"/>
      <c r="F109" s="5"/>
      <c r="G109" s="11"/>
      <c r="H109" s="11"/>
      <c r="J109" s="5"/>
      <c r="K109" s="7"/>
    </row>
    <row r="110" spans="1:11" ht="15" customHeight="1" x14ac:dyDescent="0.2">
      <c r="A110" s="2"/>
      <c r="B110" s="2"/>
      <c r="C110" s="2"/>
      <c r="D110" s="5"/>
      <c r="E110" s="5"/>
      <c r="F110" s="5"/>
      <c r="G110" s="11"/>
      <c r="H110" s="11"/>
      <c r="J110" s="5"/>
      <c r="K110" s="7"/>
    </row>
    <row r="111" spans="1:11" ht="15" customHeight="1" x14ac:dyDescent="0.2">
      <c r="A111" s="5"/>
      <c r="B111" s="7"/>
      <c r="C111" s="7"/>
      <c r="D111" s="7"/>
      <c r="E111" s="7"/>
      <c r="F111" s="7"/>
      <c r="G111" s="7"/>
      <c r="H111" s="7"/>
      <c r="I111" s="7"/>
      <c r="J111" s="7"/>
      <c r="K111" s="7"/>
    </row>
    <row r="112" spans="1:11" ht="15" customHeight="1" x14ac:dyDescent="0.2">
      <c r="A112" s="11"/>
      <c r="B112" s="11"/>
      <c r="C112" s="11"/>
      <c r="D112" s="11"/>
      <c r="E112" s="11"/>
      <c r="F112" s="11"/>
      <c r="G112" s="11"/>
      <c r="H112" s="11"/>
      <c r="I112" s="11"/>
      <c r="J112" s="11"/>
      <c r="K112" s="9"/>
    </row>
    <row r="113" spans="1:11" ht="15" customHeight="1" x14ac:dyDescent="0.2">
      <c r="A113" s="2"/>
      <c r="B113" s="2"/>
      <c r="C113" s="2"/>
      <c r="D113" s="5"/>
      <c r="E113" s="5"/>
      <c r="F113" s="5"/>
      <c r="G113" s="11"/>
      <c r="H113" s="11"/>
      <c r="J113" s="5"/>
      <c r="K113" s="7"/>
    </row>
    <row r="114" spans="1:11" ht="15" customHeight="1" x14ac:dyDescent="0.2">
      <c r="A114" s="2"/>
      <c r="B114" s="2"/>
      <c r="C114" s="2"/>
      <c r="D114" s="5"/>
      <c r="E114" s="5"/>
      <c r="F114" s="5"/>
      <c r="G114" s="11"/>
      <c r="H114" s="11"/>
      <c r="J114" s="5"/>
      <c r="K114" s="7"/>
    </row>
    <row r="115" spans="1:11" ht="15" customHeight="1" x14ac:dyDescent="0.2">
      <c r="A115" s="2"/>
      <c r="B115" s="2"/>
      <c r="C115" s="2"/>
      <c r="D115" s="5"/>
      <c r="E115" s="5"/>
      <c r="F115" s="5"/>
      <c r="G115" s="11"/>
      <c r="H115" s="11"/>
      <c r="J115" s="5"/>
      <c r="K115" s="7"/>
    </row>
    <row r="116" spans="1:11" ht="15" customHeight="1" x14ac:dyDescent="0.2">
      <c r="A116" s="5"/>
      <c r="B116" s="7"/>
      <c r="C116" s="7"/>
      <c r="D116" s="7"/>
      <c r="E116" s="7"/>
      <c r="F116" s="7"/>
      <c r="G116" s="7"/>
      <c r="H116" s="7"/>
      <c r="I116" s="7"/>
      <c r="J116" s="7"/>
      <c r="K116" s="7"/>
    </row>
    <row r="117" spans="1:11" ht="15" customHeight="1" x14ac:dyDescent="0.2">
      <c r="A117" s="11"/>
      <c r="B117" s="11"/>
      <c r="C117" s="11"/>
      <c r="D117" s="11"/>
      <c r="E117" s="11"/>
      <c r="F117" s="11"/>
      <c r="G117" s="11"/>
      <c r="H117" s="11"/>
      <c r="I117" s="11"/>
      <c r="J117" s="11"/>
      <c r="K117" s="9"/>
    </row>
    <row r="118" spans="1:11" ht="15" customHeight="1" x14ac:dyDescent="0.2">
      <c r="A118" s="2"/>
      <c r="B118" s="2"/>
      <c r="C118" s="2"/>
      <c r="D118" s="5"/>
      <c r="E118" s="5"/>
      <c r="F118" s="5"/>
      <c r="G118" s="11"/>
      <c r="H118" s="11"/>
      <c r="J118" s="5"/>
      <c r="K118" s="7"/>
    </row>
    <row r="119" spans="1:11" ht="15" customHeight="1" x14ac:dyDescent="0.2">
      <c r="A119" s="2"/>
      <c r="B119" s="2"/>
      <c r="C119" s="2"/>
      <c r="D119" s="5"/>
      <c r="E119" s="5"/>
      <c r="F119" s="5"/>
      <c r="G119" s="11"/>
      <c r="H119" s="11"/>
      <c r="J119" s="5"/>
      <c r="K119" s="7"/>
    </row>
    <row r="120" spans="1:11" ht="15" customHeight="1" x14ac:dyDescent="0.2">
      <c r="A120" s="2"/>
      <c r="B120" s="2"/>
      <c r="C120" s="2"/>
      <c r="D120" s="5"/>
      <c r="E120" s="5"/>
      <c r="F120" s="5"/>
      <c r="G120" s="11"/>
      <c r="H120" s="11"/>
      <c r="J120" s="5"/>
      <c r="K120" s="7"/>
    </row>
    <row r="121" spans="1:11" ht="15" customHeight="1" x14ac:dyDescent="0.2">
      <c r="A121" s="2"/>
      <c r="B121" s="2"/>
      <c r="C121" s="2"/>
      <c r="D121" s="5"/>
      <c r="E121" s="5"/>
      <c r="F121" s="5"/>
      <c r="G121" s="11"/>
      <c r="H121" s="11"/>
      <c r="J121" s="5"/>
      <c r="K121" s="7"/>
    </row>
    <row r="122" spans="1:11" ht="15" customHeight="1" x14ac:dyDescent="0.2">
      <c r="A122" s="2"/>
      <c r="B122" s="2"/>
      <c r="C122" s="2"/>
      <c r="D122" s="5"/>
      <c r="E122" s="5"/>
      <c r="F122" s="5"/>
      <c r="G122" s="11"/>
      <c r="H122" s="11"/>
      <c r="J122" s="5"/>
      <c r="K122" s="7"/>
    </row>
    <row r="123" spans="1:11" ht="15" customHeight="1" x14ac:dyDescent="0.2">
      <c r="A123" s="5"/>
      <c r="B123" s="7"/>
      <c r="C123" s="7"/>
      <c r="D123" s="7"/>
      <c r="E123" s="7"/>
      <c r="F123" s="7"/>
      <c r="G123" s="7"/>
      <c r="H123" s="7"/>
      <c r="I123" s="7"/>
      <c r="J123" s="7"/>
      <c r="K123" s="7"/>
    </row>
    <row r="124" spans="1:11" ht="15" customHeight="1" x14ac:dyDescent="0.2">
      <c r="A124" s="11"/>
      <c r="B124" s="11"/>
      <c r="C124" s="11"/>
      <c r="D124" s="11"/>
      <c r="E124" s="11"/>
      <c r="F124" s="11"/>
      <c r="G124" s="11"/>
      <c r="H124" s="11"/>
      <c r="I124" s="11"/>
      <c r="J124" s="11"/>
      <c r="K124" s="9"/>
    </row>
    <row r="125" spans="1:11" ht="15" customHeight="1" x14ac:dyDescent="0.2">
      <c r="A125" s="2"/>
      <c r="B125" s="2"/>
      <c r="C125" s="2"/>
      <c r="D125" s="5"/>
      <c r="E125" s="5"/>
      <c r="F125" s="5"/>
      <c r="G125" s="11"/>
      <c r="H125" s="11"/>
      <c r="J125" s="5"/>
      <c r="K125" s="7"/>
    </row>
    <row r="126" spans="1:11" ht="15" customHeight="1" x14ac:dyDescent="0.2">
      <c r="A126" s="2"/>
      <c r="B126" s="2"/>
      <c r="C126" s="2"/>
      <c r="D126" s="5"/>
      <c r="E126" s="5"/>
      <c r="F126" s="5"/>
      <c r="G126" s="11"/>
      <c r="H126" s="11"/>
      <c r="J126" s="5"/>
      <c r="K126" s="7"/>
    </row>
    <row r="127" spans="1:11" ht="15" customHeight="1" x14ac:dyDescent="0.2">
      <c r="A127" s="2"/>
      <c r="B127" s="2"/>
      <c r="C127" s="2"/>
      <c r="D127" s="5"/>
      <c r="E127" s="5"/>
      <c r="F127" s="5"/>
      <c r="G127" s="11"/>
      <c r="H127" s="11"/>
      <c r="J127" s="5"/>
      <c r="K127" s="7"/>
    </row>
    <row r="128" spans="1:11" ht="15" customHeight="1" x14ac:dyDescent="0.2">
      <c r="A128" s="2"/>
      <c r="B128" s="2"/>
      <c r="C128" s="2"/>
      <c r="D128" s="5"/>
      <c r="E128" s="5"/>
      <c r="F128" s="5"/>
      <c r="G128" s="11"/>
      <c r="H128" s="11"/>
      <c r="J128" s="5"/>
      <c r="K128" s="7"/>
    </row>
    <row r="129" spans="1:11" ht="15" customHeight="1" x14ac:dyDescent="0.2">
      <c r="A129" s="2"/>
      <c r="B129" s="2"/>
      <c r="C129" s="2"/>
      <c r="D129" s="5"/>
      <c r="E129" s="5"/>
      <c r="F129" s="5"/>
      <c r="G129" s="11"/>
      <c r="H129" s="11"/>
      <c r="J129" s="5"/>
      <c r="K129" s="7"/>
    </row>
    <row r="130" spans="1:11" ht="15" customHeight="1" x14ac:dyDescent="0.2">
      <c r="A130" s="2"/>
      <c r="B130" s="2"/>
      <c r="C130" s="2"/>
      <c r="D130" s="5"/>
      <c r="E130" s="5"/>
      <c r="F130" s="5"/>
      <c r="G130" s="11"/>
      <c r="H130" s="11"/>
      <c r="J130" s="5"/>
      <c r="K130" s="7"/>
    </row>
  </sheetData>
  <customSheetViews>
    <customSheetView guid="{4892E1C0-7A56-4F81-A857-987D77EC4462}">
      <selection activeCell="G13" sqref="G13"/>
      <pageMargins left="0.5" right="0.5" top="1" bottom="1" header="0.5" footer="0.5"/>
      <pageSetup orientation="landscape" r:id="rId1"/>
      <headerFooter alignWithMargins="0">
        <oddHeader>&amp;L&amp;G&amp;CShowAcronymGoesHere - PSM&amp;R&amp;P</oddHeader>
        <oddFooter>&amp;L&amp;D&amp;R&amp;Z&amp;F</oddFooter>
      </headerFooter>
    </customSheetView>
    <customSheetView guid="{C29C6423-4E3D-4B08-919E-993C7C45FC31}">
      <selection activeCell="G13" sqref="G13"/>
      <pageMargins left="0.5" right="0.5" top="1" bottom="1" header="0.5" footer="0.5"/>
      <pageSetup orientation="landscape" r:id="rId2"/>
      <headerFooter alignWithMargins="0">
        <oddHeader>&amp;L&amp;G&amp;CShowAcronymGoesHere - PSM&amp;R&amp;P</oddHeader>
        <oddFooter>&amp;L&amp;D&amp;R&amp;Z&amp;F</oddFooter>
      </headerFooter>
    </customSheetView>
  </customSheetViews>
  <mergeCells count="5">
    <mergeCell ref="A1:B1"/>
    <mergeCell ref="A2:O2"/>
    <mergeCell ref="F6:N6"/>
    <mergeCell ref="F7:J7"/>
    <mergeCell ref="K7:N7"/>
  </mergeCells>
  <phoneticPr fontId="6" type="noConversion"/>
  <hyperlinks>
    <hyperlink ref="A1" location="TOC!A1" display="TOC Page"/>
  </hyperlinks>
  <pageMargins left="0.5" right="0.5" top="1" bottom="1" header="0.5" footer="0.5"/>
  <pageSetup orientation="landscape" r:id="rId3"/>
  <headerFooter alignWithMargins="0">
    <oddHeader>&amp;L&amp;G&amp;CShowAcronymGoesHere - PSM&amp;R&amp;P</oddHeader>
    <oddFooter>&amp;L&amp;D&amp;R&amp;Z&amp;F</oddFooter>
  </headerFooter>
  <customProperties>
    <customPr name="DVSECTIONID" r:id="rId4"/>
  </customProperties>
  <legacyDrawingHF r:id="rId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workbookViewId="0">
      <selection activeCell="B4" sqref="B4:L4"/>
    </sheetView>
  </sheetViews>
  <sheetFormatPr defaultRowHeight="12.75" x14ac:dyDescent="0.2"/>
  <sheetData>
    <row r="1" spans="1:12" x14ac:dyDescent="0.2">
      <c r="A1" s="1420" t="s">
        <v>639</v>
      </c>
      <c r="B1" s="1420"/>
    </row>
    <row r="2" spans="1:12" s="467" customFormat="1" ht="20.25" customHeight="1" x14ac:dyDescent="0.2">
      <c r="A2" s="1768" t="s">
        <v>2310</v>
      </c>
      <c r="B2" s="1769"/>
      <c r="C2" s="1769"/>
      <c r="D2" s="1769"/>
      <c r="E2" s="1769"/>
      <c r="F2" s="1769"/>
      <c r="G2" s="1769"/>
      <c r="H2" s="1769"/>
      <c r="I2" s="1769"/>
      <c r="J2" s="1769"/>
      <c r="K2" s="1769"/>
      <c r="L2" s="1769"/>
    </row>
    <row r="4" spans="1:12" ht="26.45" customHeight="1" x14ac:dyDescent="0.2">
      <c r="A4">
        <v>1</v>
      </c>
      <c r="B4" s="1455" t="s">
        <v>2311</v>
      </c>
      <c r="C4" s="1770"/>
      <c r="D4" s="1770"/>
      <c r="E4" s="1770"/>
      <c r="F4" s="1770"/>
      <c r="G4" s="1770"/>
      <c r="H4" s="1770"/>
      <c r="I4" s="1770"/>
      <c r="J4" s="1770"/>
      <c r="K4" s="1770"/>
      <c r="L4" s="1770"/>
    </row>
    <row r="5" spans="1:12" s="803" customFormat="1" x14ac:dyDescent="0.2">
      <c r="B5" s="1455" t="s">
        <v>2567</v>
      </c>
      <c r="C5" s="1770"/>
      <c r="D5" s="1770"/>
      <c r="E5" s="1770"/>
      <c r="F5" s="1770"/>
      <c r="G5" s="1770"/>
      <c r="H5" s="1770"/>
      <c r="I5" s="1770"/>
      <c r="J5" s="1770"/>
      <c r="K5" s="1770"/>
      <c r="L5" s="1770"/>
    </row>
    <row r="6" spans="1:12" s="803" customFormat="1" x14ac:dyDescent="0.2">
      <c r="B6" s="1455" t="s">
        <v>2568</v>
      </c>
      <c r="C6" s="1770"/>
      <c r="D6" s="1770"/>
      <c r="E6" s="1770"/>
      <c r="F6" s="1770"/>
      <c r="G6" s="1770"/>
      <c r="H6" s="1770"/>
      <c r="I6" s="1770"/>
      <c r="J6" s="1770"/>
      <c r="K6" s="1770"/>
      <c r="L6" s="1770"/>
    </row>
    <row r="7" spans="1:12" s="803" customFormat="1" x14ac:dyDescent="0.2">
      <c r="B7" s="1770"/>
      <c r="C7" s="1770"/>
      <c r="D7" s="1770"/>
      <c r="E7" s="1770"/>
      <c r="F7" s="1770"/>
      <c r="G7" s="1770"/>
      <c r="H7" s="1770"/>
      <c r="I7" s="1770"/>
      <c r="J7" s="1770"/>
      <c r="K7" s="1770"/>
      <c r="L7" s="1770"/>
    </row>
    <row r="8" spans="1:12" s="803" customFormat="1" x14ac:dyDescent="0.2">
      <c r="B8" s="1770"/>
      <c r="C8" s="1770"/>
      <c r="D8" s="1770"/>
      <c r="E8" s="1770"/>
      <c r="F8" s="1770"/>
      <c r="G8" s="1770"/>
      <c r="H8" s="1770"/>
      <c r="I8" s="1770"/>
      <c r="J8" s="1770"/>
      <c r="K8" s="1770"/>
      <c r="L8" s="1770"/>
    </row>
    <row r="9" spans="1:12" s="803" customFormat="1" x14ac:dyDescent="0.2">
      <c r="B9" s="1770"/>
      <c r="C9" s="1770"/>
      <c r="D9" s="1770"/>
      <c r="E9" s="1770"/>
      <c r="F9" s="1770"/>
      <c r="G9" s="1770"/>
      <c r="H9" s="1770"/>
      <c r="I9" s="1770"/>
      <c r="J9" s="1770"/>
      <c r="K9" s="1770"/>
      <c r="L9" s="1770"/>
    </row>
    <row r="10" spans="1:12" s="803" customFormat="1" x14ac:dyDescent="0.2">
      <c r="B10" s="1770"/>
      <c r="C10" s="1770"/>
      <c r="D10" s="1770"/>
      <c r="E10" s="1770"/>
      <c r="F10" s="1770"/>
      <c r="G10" s="1770"/>
      <c r="H10" s="1770"/>
      <c r="I10" s="1770"/>
      <c r="J10" s="1770"/>
      <c r="K10" s="1770"/>
      <c r="L10" s="1770"/>
    </row>
    <row r="12" spans="1:12" s="803" customFormat="1" ht="20.25" customHeight="1" x14ac:dyDescent="0.2">
      <c r="A12" s="1768" t="s">
        <v>1704</v>
      </c>
      <c r="B12" s="1769"/>
      <c r="C12" s="1769"/>
      <c r="D12" s="1769"/>
      <c r="E12" s="1769"/>
      <c r="F12" s="1769"/>
      <c r="G12" s="1769"/>
      <c r="H12" s="1769"/>
      <c r="I12" s="1769"/>
      <c r="J12" s="1769"/>
      <c r="K12" s="1769"/>
      <c r="L12" s="1769"/>
    </row>
  </sheetData>
  <mergeCells count="10">
    <mergeCell ref="A1:B1"/>
    <mergeCell ref="A2:L2"/>
    <mergeCell ref="A12:L12"/>
    <mergeCell ref="B4:L4"/>
    <mergeCell ref="B5:L5"/>
    <mergeCell ref="B6:L6"/>
    <mergeCell ref="B7:L7"/>
    <mergeCell ref="B8:L8"/>
    <mergeCell ref="B9:L9"/>
    <mergeCell ref="B10:L10"/>
  </mergeCells>
  <hyperlinks>
    <hyperlink ref="A1" location="TOC!A1" display="TOC Page"/>
  </hyperlinks>
  <pageMargins left="0.7" right="0.7" top="0.75" bottom="0.75" header="0.3" footer="0.3"/>
  <pageSetup paperSize="264"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theme="0" tint="-0.14999847407452621"/>
  </sheetPr>
  <dimension ref="A1:N317"/>
  <sheetViews>
    <sheetView zoomScale="115" zoomScaleNormal="115" workbookViewId="0">
      <pane ySplit="1" topLeftCell="A85" activePane="bottomLeft" state="frozen"/>
      <selection pane="bottomLeft" activeCell="A4" sqref="A4"/>
    </sheetView>
  </sheetViews>
  <sheetFormatPr defaultColWidth="9.140625" defaultRowHeight="12.75" x14ac:dyDescent="0.2"/>
  <cols>
    <col min="1" max="1" width="11.7109375" style="17" customWidth="1"/>
    <col min="2" max="2" width="12.28515625" style="17" customWidth="1"/>
    <col min="3" max="4" width="9.140625" style="17"/>
    <col min="5" max="5" width="9.140625" style="17" customWidth="1"/>
    <col min="6" max="6" width="8.140625" style="17" customWidth="1"/>
    <col min="7" max="7" width="10.140625" style="17" customWidth="1"/>
    <col min="8" max="8" width="9.140625" style="17"/>
    <col min="9" max="9" width="10.140625" style="17" customWidth="1"/>
    <col min="10" max="10" width="25.7109375" style="17" customWidth="1"/>
    <col min="11" max="11" width="9.140625" style="17" customWidth="1"/>
    <col min="12" max="12" width="9.28515625" style="17" customWidth="1"/>
    <col min="13" max="13" width="9.140625" style="17" customWidth="1"/>
    <col min="14" max="16384" width="9.140625" style="17"/>
  </cols>
  <sheetData>
    <row r="1" spans="1:14" x14ac:dyDescent="0.2">
      <c r="A1" s="1217" t="s">
        <v>639</v>
      </c>
      <c r="B1" s="1217"/>
    </row>
    <row r="2" spans="1:14" s="35" customFormat="1" ht="21.75" customHeight="1" x14ac:dyDescent="0.2">
      <c r="A2" s="1230" t="s">
        <v>1829</v>
      </c>
      <c r="B2" s="1231"/>
      <c r="C2" s="1231"/>
      <c r="D2" s="1231"/>
      <c r="E2" s="1231"/>
      <c r="F2" s="1231"/>
      <c r="G2" s="1231"/>
      <c r="H2" s="1231"/>
      <c r="I2" s="1231"/>
      <c r="J2" s="1231"/>
      <c r="K2" s="1231"/>
      <c r="L2" s="1231"/>
      <c r="M2" s="1231"/>
    </row>
    <row r="3" spans="1:14" ht="15.75" x14ac:dyDescent="0.25">
      <c r="A3" s="60" t="s">
        <v>1031</v>
      </c>
      <c r="B3" s="44"/>
      <c r="C3" s="44"/>
      <c r="D3" s="44"/>
      <c r="E3" s="44"/>
      <c r="F3" s="44"/>
    </row>
    <row r="4" spans="1:14" ht="15.75" x14ac:dyDescent="0.25">
      <c r="A4" s="60"/>
      <c r="B4" s="44"/>
      <c r="C4" s="44"/>
      <c r="D4" s="44"/>
      <c r="E4" s="44"/>
      <c r="F4" s="44"/>
    </row>
    <row r="5" spans="1:14" x14ac:dyDescent="0.2">
      <c r="A5" s="134" t="s">
        <v>1020</v>
      </c>
      <c r="B5" s="44"/>
      <c r="C5" s="44"/>
      <c r="D5" s="44"/>
      <c r="E5" s="44"/>
      <c r="F5" s="44"/>
    </row>
    <row r="6" spans="1:14" x14ac:dyDescent="0.2">
      <c r="A6" s="202" t="s">
        <v>1021</v>
      </c>
      <c r="B6" s="44"/>
      <c r="C6" s="44"/>
      <c r="D6" s="44"/>
      <c r="E6" s="44"/>
      <c r="F6" s="44"/>
    </row>
    <row r="7" spans="1:14" s="473" customFormat="1" x14ac:dyDescent="0.2">
      <c r="A7" s="202"/>
      <c r="B7" s="471"/>
      <c r="C7" s="471"/>
      <c r="D7" s="471"/>
      <c r="E7" s="471"/>
      <c r="F7" s="471"/>
    </row>
    <row r="8" spans="1:14" s="787" customFormat="1" ht="16.5" customHeight="1" x14ac:dyDescent="0.2">
      <c r="A8" s="1887" t="s">
        <v>2298</v>
      </c>
      <c r="B8" s="1888"/>
      <c r="C8" s="1888"/>
      <c r="D8" s="1888"/>
      <c r="E8" s="1888"/>
      <c r="F8" s="1888"/>
      <c r="G8" s="1888"/>
      <c r="H8" s="1888"/>
      <c r="I8" s="1888"/>
      <c r="J8" s="1888"/>
      <c r="K8" s="1888"/>
    </row>
    <row r="9" spans="1:14" s="786" customFormat="1" x14ac:dyDescent="0.2">
      <c r="A9" s="202"/>
      <c r="B9" s="785"/>
      <c r="C9" s="785"/>
      <c r="D9" s="785"/>
      <c r="E9" s="785"/>
      <c r="F9" s="785"/>
    </row>
    <row r="10" spans="1:14" s="484" customFormat="1" ht="15" x14ac:dyDescent="0.2">
      <c r="A10" s="482" t="s">
        <v>1785</v>
      </c>
      <c r="B10" s="483"/>
      <c r="C10" s="482"/>
      <c r="D10" s="482"/>
      <c r="E10" s="482"/>
      <c r="F10" s="482"/>
      <c r="G10" s="482"/>
      <c r="H10" s="482"/>
    </row>
    <row r="11" spans="1:14" s="484" customFormat="1" ht="15" x14ac:dyDescent="0.2">
      <c r="A11" s="482" t="s">
        <v>1710</v>
      </c>
      <c r="B11" s="483"/>
      <c r="C11" s="482"/>
      <c r="D11" s="482"/>
      <c r="E11" s="482"/>
      <c r="F11" s="482"/>
      <c r="G11" s="482"/>
      <c r="H11" s="482"/>
      <c r="I11" s="482"/>
      <c r="J11" s="482"/>
      <c r="K11" s="482"/>
      <c r="L11" s="482"/>
      <c r="M11" s="482"/>
      <c r="N11" s="482"/>
    </row>
    <row r="12" spans="1:14" s="558" customFormat="1" ht="15.75" x14ac:dyDescent="0.25">
      <c r="A12" s="1096" t="s">
        <v>2752</v>
      </c>
      <c r="B12" s="1097"/>
      <c r="C12" s="1098"/>
      <c r="D12" s="1098"/>
      <c r="E12" s="1099"/>
      <c r="F12" s="1105"/>
      <c r="G12" s="1105"/>
      <c r="H12" s="1105"/>
      <c r="I12" s="1105"/>
      <c r="J12" s="1106"/>
    </row>
    <row r="13" spans="1:14" s="558" customFormat="1" x14ac:dyDescent="0.2">
      <c r="A13" s="1100" t="s">
        <v>440</v>
      </c>
      <c r="B13" s="1101" t="s">
        <v>1817</v>
      </c>
      <c r="C13" s="1102" t="s">
        <v>97</v>
      </c>
      <c r="D13" s="1103"/>
      <c r="E13" s="1104"/>
    </row>
    <row r="14" spans="1:14" s="558" customFormat="1" x14ac:dyDescent="0.2">
      <c r="A14" s="557" t="s">
        <v>440</v>
      </c>
      <c r="B14" s="556" t="s">
        <v>1818</v>
      </c>
      <c r="C14" s="561" t="s">
        <v>97</v>
      </c>
      <c r="D14" s="562"/>
      <c r="E14" s="563"/>
    </row>
    <row r="15" spans="1:14" s="558" customFormat="1" x14ac:dyDescent="0.2">
      <c r="A15" s="557" t="s">
        <v>440</v>
      </c>
      <c r="B15" s="556" t="s">
        <v>616</v>
      </c>
      <c r="C15" s="561" t="s">
        <v>97</v>
      </c>
      <c r="D15" s="562"/>
      <c r="E15" s="563"/>
    </row>
    <row r="16" spans="1:14" s="558" customFormat="1" x14ac:dyDescent="0.2">
      <c r="A16" s="557" t="s">
        <v>440</v>
      </c>
      <c r="B16" s="556" t="s">
        <v>360</v>
      </c>
      <c r="C16" s="561" t="s">
        <v>1714</v>
      </c>
      <c r="D16" s="562"/>
      <c r="E16" s="563"/>
    </row>
    <row r="17" spans="1:10" s="558" customFormat="1" x14ac:dyDescent="0.2">
      <c r="A17" s="557" t="s">
        <v>440</v>
      </c>
      <c r="B17" s="556" t="s">
        <v>609</v>
      </c>
      <c r="C17" s="561" t="s">
        <v>97</v>
      </c>
      <c r="D17" s="562"/>
      <c r="E17" s="563"/>
    </row>
    <row r="18" spans="1:10" s="558" customFormat="1" x14ac:dyDescent="0.2">
      <c r="A18" s="557" t="s">
        <v>440</v>
      </c>
      <c r="B18" s="556" t="s">
        <v>277</v>
      </c>
      <c r="C18" s="561" t="s">
        <v>97</v>
      </c>
      <c r="D18" s="562"/>
      <c r="E18" s="563"/>
    </row>
    <row r="19" spans="1:10" s="558" customFormat="1" x14ac:dyDescent="0.2">
      <c r="A19" s="557" t="s">
        <v>440</v>
      </c>
      <c r="B19" s="556" t="s">
        <v>610</v>
      </c>
      <c r="C19" s="561" t="s">
        <v>97</v>
      </c>
      <c r="D19" s="562"/>
      <c r="E19" s="563"/>
    </row>
    <row r="20" spans="1:10" s="558" customFormat="1" x14ac:dyDescent="0.2">
      <c r="A20" s="557" t="s">
        <v>440</v>
      </c>
      <c r="B20" s="556" t="s">
        <v>86</v>
      </c>
      <c r="C20" s="561" t="s">
        <v>1714</v>
      </c>
      <c r="D20" s="562"/>
      <c r="E20" s="563"/>
    </row>
    <row r="21" spans="1:10" s="558" customFormat="1" ht="15" x14ac:dyDescent="0.2">
      <c r="B21" s="559"/>
    </row>
    <row r="22" spans="1:10" x14ac:dyDescent="0.2">
      <c r="A22" s="1832" t="s">
        <v>1019</v>
      </c>
      <c r="B22" s="1832"/>
      <c r="C22" s="1833" t="s">
        <v>2768</v>
      </c>
      <c r="D22" s="1833"/>
      <c r="E22" s="1833"/>
      <c r="F22" s="1833"/>
      <c r="G22" s="1833"/>
      <c r="H22" s="1833"/>
      <c r="I22" s="1833"/>
      <c r="J22" s="1833"/>
    </row>
    <row r="23" spans="1:10" ht="15" customHeight="1" x14ac:dyDescent="0.2">
      <c r="A23" s="1832" t="s">
        <v>214</v>
      </c>
      <c r="B23" s="1832"/>
      <c r="C23" s="1833" t="s">
        <v>243</v>
      </c>
      <c r="D23" s="1833"/>
      <c r="E23" s="1833"/>
      <c r="F23" s="1833"/>
      <c r="G23" s="1833"/>
      <c r="H23" s="1833"/>
      <c r="I23" s="1833"/>
      <c r="J23" s="1833"/>
    </row>
    <row r="24" spans="1:10" ht="15" customHeight="1" x14ac:dyDescent="0.2">
      <c r="A24" s="1429" t="s">
        <v>2263</v>
      </c>
      <c r="B24" s="1429"/>
      <c r="C24" s="1455" t="s">
        <v>2786</v>
      </c>
      <c r="D24" s="1456"/>
      <c r="E24" s="1456"/>
      <c r="F24" s="1456"/>
      <c r="G24" s="1456"/>
      <c r="H24" s="1456"/>
      <c r="I24" s="1456"/>
      <c r="J24" s="1456"/>
    </row>
    <row r="25" spans="1:10" s="807" customFormat="1" ht="15" customHeight="1" x14ac:dyDescent="0.2">
      <c r="A25" s="1834" t="s">
        <v>2218</v>
      </c>
      <c r="B25" s="1835"/>
      <c r="C25" s="1836" t="s">
        <v>2314</v>
      </c>
      <c r="D25" s="1836"/>
      <c r="E25" s="1836"/>
      <c r="F25" s="1836"/>
      <c r="G25" s="1836"/>
      <c r="H25" s="1836"/>
      <c r="I25" s="1836"/>
      <c r="J25" s="1837"/>
    </row>
    <row r="26" spans="1:10" s="814" customFormat="1" ht="26.45" customHeight="1" x14ac:dyDescent="0.2">
      <c r="A26" s="1838"/>
      <c r="B26" s="1839"/>
      <c r="C26" s="1498" t="s">
        <v>2566</v>
      </c>
      <c r="D26" s="1498"/>
      <c r="E26" s="1498"/>
      <c r="F26" s="1498"/>
      <c r="G26" s="1498"/>
      <c r="H26" s="1498"/>
      <c r="I26" s="1498"/>
      <c r="J26" s="1840"/>
    </row>
    <row r="27" spans="1:10" s="1117" customFormat="1" ht="15" customHeight="1" x14ac:dyDescent="0.2">
      <c r="A27" s="1123" t="s">
        <v>2745</v>
      </c>
      <c r="B27" s="1116" t="s">
        <v>314</v>
      </c>
      <c r="C27" s="1841" t="s">
        <v>78</v>
      </c>
      <c r="D27" s="1842"/>
      <c r="E27" s="1842"/>
      <c r="F27" s="1842"/>
      <c r="G27" s="1842"/>
      <c r="H27" s="1842"/>
      <c r="I27" s="1842"/>
      <c r="J27" s="1843"/>
    </row>
    <row r="28" spans="1:10" s="1117" customFormat="1" ht="15" customHeight="1" x14ac:dyDescent="0.2">
      <c r="A28" s="1115" t="s">
        <v>2742</v>
      </c>
      <c r="B28" s="1150" t="s">
        <v>2782</v>
      </c>
      <c r="C28" s="1389" t="s">
        <v>2767</v>
      </c>
      <c r="D28" s="1390"/>
      <c r="E28" s="1390"/>
      <c r="F28" s="1390"/>
      <c r="G28" s="1390"/>
      <c r="H28" s="1390"/>
      <c r="I28" s="1390"/>
      <c r="J28" s="1391"/>
    </row>
    <row r="29" spans="1:10" s="1152" customFormat="1" ht="15" customHeight="1" x14ac:dyDescent="0.2">
      <c r="A29" s="1151" t="s">
        <v>2777</v>
      </c>
      <c r="B29" s="1150" t="s">
        <v>2778</v>
      </c>
      <c r="C29" s="1389" t="s">
        <v>918</v>
      </c>
      <c r="D29" s="1390"/>
      <c r="E29" s="1390"/>
      <c r="F29" s="1390"/>
      <c r="G29" s="1390"/>
      <c r="H29" s="1390"/>
      <c r="I29" s="1390"/>
      <c r="J29" s="1391"/>
    </row>
    <row r="30" spans="1:10" s="1152" customFormat="1" x14ac:dyDescent="0.2">
      <c r="A30" s="1155" t="s">
        <v>2780</v>
      </c>
      <c r="B30" s="1150" t="s">
        <v>2779</v>
      </c>
      <c r="C30" s="1389" t="s">
        <v>2781</v>
      </c>
      <c r="D30" s="1390"/>
      <c r="E30" s="1390"/>
      <c r="F30" s="1390"/>
      <c r="G30" s="1390"/>
      <c r="H30" s="1390"/>
      <c r="I30" s="1390"/>
      <c r="J30" s="1391"/>
    </row>
    <row r="31" spans="1:10" s="1152" customFormat="1" ht="15" customHeight="1" x14ac:dyDescent="0.2">
      <c r="A31" s="1153" t="s">
        <v>2783</v>
      </c>
      <c r="B31" s="1150" t="s">
        <v>2784</v>
      </c>
      <c r="C31" s="1389" t="s">
        <v>2803</v>
      </c>
      <c r="D31" s="1390"/>
      <c r="E31" s="1390"/>
      <c r="F31" s="1390"/>
      <c r="G31" s="1390"/>
      <c r="H31" s="1390"/>
      <c r="I31" s="1390"/>
      <c r="J31" s="1391"/>
    </row>
    <row r="32" spans="1:10" s="1152" customFormat="1" ht="15" customHeight="1" x14ac:dyDescent="0.2">
      <c r="A32" s="1124" t="s">
        <v>2785</v>
      </c>
      <c r="B32" s="1150" t="s">
        <v>1937</v>
      </c>
      <c r="C32" s="1389" t="s">
        <v>1938</v>
      </c>
      <c r="D32" s="1390"/>
      <c r="E32" s="1390"/>
      <c r="F32" s="1390"/>
      <c r="G32" s="1390"/>
      <c r="H32" s="1390"/>
      <c r="I32" s="1390"/>
      <c r="J32" s="1391"/>
    </row>
    <row r="33" spans="1:13" s="1152" customFormat="1" ht="15" customHeight="1" x14ac:dyDescent="0.2">
      <c r="A33" s="1154" t="s">
        <v>2788</v>
      </c>
      <c r="B33" s="1150" t="s">
        <v>2787</v>
      </c>
      <c r="C33" s="1389" t="s">
        <v>2804</v>
      </c>
      <c r="D33" s="1390"/>
      <c r="E33" s="1390"/>
      <c r="F33" s="1390"/>
      <c r="G33" s="1390"/>
      <c r="H33" s="1390"/>
      <c r="I33" s="1390"/>
      <c r="J33" s="1391"/>
    </row>
    <row r="34" spans="1:13" ht="12.6" customHeight="1" thickBot="1" x14ac:dyDescent="0.25">
      <c r="K34" s="1114"/>
      <c r="L34" s="1114"/>
      <c r="M34" s="1114"/>
    </row>
    <row r="35" spans="1:13" ht="13.15" hidden="1" customHeight="1" x14ac:dyDescent="0.2">
      <c r="A35" s="1899" t="s">
        <v>1799</v>
      </c>
      <c r="B35" s="1899"/>
      <c r="C35" s="1899"/>
      <c r="D35" s="1899"/>
      <c r="E35" s="1899"/>
      <c r="F35" s="1899"/>
      <c r="G35" s="1899"/>
      <c r="H35" s="1899"/>
      <c r="I35" s="1899"/>
      <c r="J35" s="1899"/>
      <c r="K35" s="1899"/>
      <c r="L35" s="1899"/>
    </row>
    <row r="36" spans="1:13" ht="24" hidden="1" customHeight="1" x14ac:dyDescent="0.2">
      <c r="A36" s="203" t="s">
        <v>604</v>
      </c>
      <c r="B36" s="1885" t="s">
        <v>367</v>
      </c>
      <c r="C36" s="1886"/>
      <c r="D36" s="205" t="s">
        <v>604</v>
      </c>
      <c r="E36" s="1882" t="s">
        <v>367</v>
      </c>
      <c r="F36" s="1900"/>
      <c r="G36" s="205" t="s">
        <v>604</v>
      </c>
      <c r="H36" s="1885" t="s">
        <v>367</v>
      </c>
      <c r="I36" s="1886"/>
      <c r="J36" s="205" t="s">
        <v>604</v>
      </c>
      <c r="K36" s="1882" t="s">
        <v>367</v>
      </c>
      <c r="L36" s="1883"/>
      <c r="M36" s="1884"/>
    </row>
    <row r="37" spans="1:13" ht="13.15" hidden="1" customHeight="1" x14ac:dyDescent="0.2">
      <c r="A37" s="204" t="s">
        <v>604</v>
      </c>
      <c r="B37" s="1542" t="s">
        <v>1022</v>
      </c>
      <c r="C37" s="1786"/>
      <c r="D37" s="198"/>
      <c r="E37" s="1542" t="s">
        <v>616</v>
      </c>
      <c r="F37" s="1786"/>
      <c r="G37" s="206" t="s">
        <v>604</v>
      </c>
      <c r="H37" s="1542" t="s">
        <v>276</v>
      </c>
      <c r="I37" s="1786"/>
      <c r="J37" s="206" t="s">
        <v>604</v>
      </c>
      <c r="K37" s="1542" t="s">
        <v>290</v>
      </c>
      <c r="L37" s="1543"/>
      <c r="M37" s="1544"/>
    </row>
    <row r="38" spans="1:13" hidden="1" x14ac:dyDescent="0.2">
      <c r="A38" s="204"/>
      <c r="B38" s="1542" t="s">
        <v>368</v>
      </c>
      <c r="C38" s="1786"/>
      <c r="D38" s="206" t="s">
        <v>604</v>
      </c>
      <c r="E38" s="1542" t="s">
        <v>268</v>
      </c>
      <c r="F38" s="1786"/>
      <c r="G38" s="206" t="s">
        <v>604</v>
      </c>
      <c r="H38" s="1542" t="s">
        <v>278</v>
      </c>
      <c r="I38" s="1786"/>
      <c r="J38" s="206" t="s">
        <v>604</v>
      </c>
      <c r="K38" s="1542" t="s">
        <v>292</v>
      </c>
      <c r="L38" s="1543"/>
      <c r="M38" s="1544"/>
    </row>
    <row r="39" spans="1:13" ht="13.15" hidden="1" customHeight="1" x14ac:dyDescent="0.2">
      <c r="A39" s="204" t="s">
        <v>604</v>
      </c>
      <c r="B39" s="1542" t="s">
        <v>205</v>
      </c>
      <c r="C39" s="1786"/>
      <c r="D39" s="206"/>
      <c r="E39" s="1542" t="s">
        <v>270</v>
      </c>
      <c r="F39" s="1786"/>
      <c r="G39" s="206" t="s">
        <v>604</v>
      </c>
      <c r="H39" s="1542" t="s">
        <v>355</v>
      </c>
      <c r="I39" s="1786"/>
      <c r="J39" s="206" t="s">
        <v>604</v>
      </c>
      <c r="K39" s="1542" t="s">
        <v>371</v>
      </c>
      <c r="L39" s="1543"/>
      <c r="M39" s="1544"/>
    </row>
    <row r="40" spans="1:13" ht="25.5" hidden="1" customHeight="1" x14ac:dyDescent="0.2">
      <c r="A40" s="204"/>
      <c r="B40" s="1542" t="s">
        <v>263</v>
      </c>
      <c r="C40" s="1786"/>
      <c r="D40" s="206" t="s">
        <v>604</v>
      </c>
      <c r="E40" s="1542" t="s">
        <v>1025</v>
      </c>
      <c r="F40" s="1786"/>
      <c r="G40" s="206" t="s">
        <v>604</v>
      </c>
      <c r="H40" s="1542" t="s">
        <v>281</v>
      </c>
      <c r="I40" s="1786"/>
      <c r="J40" s="206"/>
      <c r="K40" s="1542" t="s">
        <v>1023</v>
      </c>
      <c r="L40" s="1543"/>
      <c r="M40" s="1544"/>
    </row>
    <row r="41" spans="1:13" ht="13.15" hidden="1" customHeight="1" x14ac:dyDescent="0.2">
      <c r="A41" s="204" t="s">
        <v>604</v>
      </c>
      <c r="B41" s="1542" t="s">
        <v>264</v>
      </c>
      <c r="C41" s="1786"/>
      <c r="D41" s="206"/>
      <c r="E41" s="1542" t="s">
        <v>369</v>
      </c>
      <c r="F41" s="1786"/>
      <c r="G41" s="206" t="s">
        <v>604</v>
      </c>
      <c r="H41" s="1542" t="s">
        <v>283</v>
      </c>
      <c r="I41" s="1786"/>
      <c r="J41" s="206"/>
      <c r="K41" s="1542" t="s">
        <v>1024</v>
      </c>
      <c r="L41" s="1543"/>
      <c r="M41" s="1544"/>
    </row>
    <row r="42" spans="1:13" ht="13.15" hidden="1" customHeight="1" x14ac:dyDescent="0.2">
      <c r="A42" s="204"/>
      <c r="B42" s="1542" t="s">
        <v>265</v>
      </c>
      <c r="C42" s="1786"/>
      <c r="D42" s="206"/>
      <c r="E42" s="1542" t="s">
        <v>370</v>
      </c>
      <c r="F42" s="1786"/>
      <c r="G42" s="206" t="s">
        <v>604</v>
      </c>
      <c r="H42" s="1542" t="s">
        <v>285</v>
      </c>
      <c r="I42" s="1786"/>
      <c r="J42" s="206"/>
      <c r="K42" s="1542" t="s">
        <v>391</v>
      </c>
      <c r="L42" s="1543"/>
      <c r="M42" s="1544"/>
    </row>
    <row r="43" spans="1:13" s="83" customFormat="1" ht="13.5" hidden="1" thickBot="1" x14ac:dyDescent="0.25">
      <c r="C43" s="71"/>
      <c r="D43" s="54"/>
      <c r="E43" s="46"/>
      <c r="F43" s="71"/>
      <c r="G43" s="54"/>
      <c r="H43" s="71"/>
      <c r="I43" s="54"/>
      <c r="J43" s="46"/>
      <c r="K43" s="71"/>
      <c r="L43" s="54"/>
    </row>
    <row r="44" spans="1:13" s="82" customFormat="1" ht="18.75" customHeight="1" thickTop="1" x14ac:dyDescent="0.2">
      <c r="A44" s="1826"/>
      <c r="B44" s="1827"/>
      <c r="C44" s="1827"/>
      <c r="D44" s="1827"/>
      <c r="E44" s="1827"/>
      <c r="F44" s="1828"/>
      <c r="G44" s="318"/>
      <c r="H44" s="1829"/>
      <c r="I44" s="1830"/>
      <c r="J44" s="1830"/>
      <c r="K44" s="1830"/>
      <c r="L44" s="1830"/>
      <c r="M44" s="1831"/>
    </row>
    <row r="45" spans="1:13" s="1084" customFormat="1" ht="65.099999999999994" customHeight="1" x14ac:dyDescent="0.2">
      <c r="A45" s="1771"/>
      <c r="B45" s="1772"/>
      <c r="C45" s="1772"/>
      <c r="D45" s="1772"/>
      <c r="E45" s="1772"/>
      <c r="F45" s="1773"/>
      <c r="G45" s="208"/>
      <c r="H45" s="1092"/>
      <c r="I45" s="1093"/>
      <c r="J45" s="1093"/>
      <c r="K45" s="1093"/>
      <c r="L45" s="1093"/>
      <c r="M45" s="1094"/>
    </row>
    <row r="46" spans="1:13" s="82" customFormat="1" ht="30" customHeight="1" x14ac:dyDescent="0.2">
      <c r="A46" s="1771" t="s">
        <v>2264</v>
      </c>
      <c r="B46" s="1772"/>
      <c r="C46" s="1772"/>
      <c r="D46" s="1772"/>
      <c r="E46" s="1772"/>
      <c r="F46" s="1773"/>
      <c r="G46" s="208" t="s">
        <v>1032</v>
      </c>
      <c r="H46" s="1774" t="s">
        <v>375</v>
      </c>
      <c r="I46" s="1775"/>
      <c r="J46" s="1775"/>
      <c r="K46" s="1775"/>
      <c r="L46" s="1775"/>
      <c r="M46" s="1776"/>
    </row>
    <row r="47" spans="1:13" s="82" customFormat="1" ht="30" customHeight="1" x14ac:dyDescent="0.2">
      <c r="A47" s="1777" t="s">
        <v>265</v>
      </c>
      <c r="B47" s="1778"/>
      <c r="C47" s="1778"/>
      <c r="D47" s="1778"/>
      <c r="E47" s="1778"/>
      <c r="F47" s="1779"/>
      <c r="G47" s="684" t="s">
        <v>374</v>
      </c>
      <c r="H47" s="1780" t="s">
        <v>376</v>
      </c>
      <c r="I47" s="1781"/>
      <c r="J47" s="1781"/>
      <c r="K47" s="1781"/>
      <c r="L47" s="1781"/>
      <c r="M47" s="1782"/>
    </row>
    <row r="48" spans="1:13" s="82" customFormat="1" ht="30" customHeight="1" x14ac:dyDescent="0.2">
      <c r="A48" s="1787" t="s">
        <v>2265</v>
      </c>
      <c r="B48" s="1788"/>
      <c r="C48" s="1788"/>
      <c r="D48" s="1788"/>
      <c r="E48" s="1788"/>
      <c r="F48" s="1789"/>
      <c r="G48" s="684" t="s">
        <v>373</v>
      </c>
      <c r="H48" s="1790" t="s">
        <v>377</v>
      </c>
      <c r="I48" s="1791"/>
      <c r="J48" s="1791"/>
      <c r="K48" s="1791"/>
      <c r="L48" s="1791"/>
      <c r="M48" s="1792"/>
    </row>
    <row r="49" spans="1:13" s="82" customFormat="1" ht="30" customHeight="1" x14ac:dyDescent="0.2">
      <c r="A49" s="1777" t="s">
        <v>2266</v>
      </c>
      <c r="B49" s="1778"/>
      <c r="C49" s="1778"/>
      <c r="D49" s="1778"/>
      <c r="E49" s="1778"/>
      <c r="F49" s="1779"/>
      <c r="G49" s="684" t="s">
        <v>374</v>
      </c>
      <c r="H49" s="1799" t="s">
        <v>461</v>
      </c>
      <c r="I49" s="1800"/>
      <c r="J49" s="1800"/>
      <c r="K49" s="1800"/>
      <c r="L49" s="1800"/>
      <c r="M49" s="1801"/>
    </row>
    <row r="50" spans="1:13" s="82" customFormat="1" ht="30" customHeight="1" x14ac:dyDescent="0.3">
      <c r="A50" s="1802" t="s">
        <v>2737</v>
      </c>
      <c r="B50" s="1803"/>
      <c r="C50" s="1803"/>
      <c r="D50" s="1803"/>
      <c r="E50" s="1803"/>
      <c r="F50" s="1804"/>
      <c r="G50" s="208" t="s">
        <v>1038</v>
      </c>
      <c r="H50" s="1805" t="s">
        <v>462</v>
      </c>
      <c r="I50" s="1806"/>
      <c r="J50" s="1806"/>
      <c r="K50" s="1806"/>
      <c r="L50" s="1806"/>
      <c r="M50" s="1807"/>
    </row>
    <row r="51" spans="1:13" s="82" customFormat="1" ht="30" customHeight="1" x14ac:dyDescent="0.2">
      <c r="A51" s="1808"/>
      <c r="B51" s="1809"/>
      <c r="C51" s="1809"/>
      <c r="D51" s="1809"/>
      <c r="E51" s="1809"/>
      <c r="F51" s="1810"/>
      <c r="G51" s="208"/>
      <c r="H51" s="1811" t="s">
        <v>463</v>
      </c>
      <c r="I51" s="1812"/>
      <c r="J51" s="1812"/>
      <c r="K51" s="1812"/>
      <c r="L51" s="1812"/>
      <c r="M51" s="1813"/>
    </row>
    <row r="52" spans="1:13" s="82" customFormat="1" ht="30" customHeight="1" x14ac:dyDescent="0.2">
      <c r="A52" s="1814"/>
      <c r="B52" s="1815"/>
      <c r="C52" s="1815"/>
      <c r="D52" s="1815"/>
      <c r="E52" s="1815"/>
      <c r="F52" s="1816"/>
      <c r="G52" s="208"/>
      <c r="H52" s="1817" t="s">
        <v>464</v>
      </c>
      <c r="I52" s="1818"/>
      <c r="J52" s="1818"/>
      <c r="K52" s="1818"/>
      <c r="L52" s="1818"/>
      <c r="M52" s="1819"/>
    </row>
    <row r="53" spans="1:13" s="82" customFormat="1" ht="30" customHeight="1" x14ac:dyDescent="0.2">
      <c r="A53" s="1901" t="s">
        <v>2763</v>
      </c>
      <c r="B53" s="1902"/>
      <c r="C53" s="1902"/>
      <c r="D53" s="1902"/>
      <c r="E53" s="1902"/>
      <c r="F53" s="1903"/>
      <c r="G53" s="208" t="s">
        <v>1038</v>
      </c>
      <c r="H53" s="1823" t="s">
        <v>465</v>
      </c>
      <c r="I53" s="1824"/>
      <c r="J53" s="1824"/>
      <c r="K53" s="1824"/>
      <c r="L53" s="1824"/>
      <c r="M53" s="1825"/>
    </row>
    <row r="54" spans="1:13" s="82" customFormat="1" ht="18.75" thickBot="1" x14ac:dyDescent="0.25">
      <c r="A54" s="1793" t="s">
        <v>2770</v>
      </c>
      <c r="B54" s="1794"/>
      <c r="C54" s="1794"/>
      <c r="D54" s="1794"/>
      <c r="E54" s="1794"/>
      <c r="F54" s="1795"/>
      <c r="G54" s="319" t="s">
        <v>1037</v>
      </c>
      <c r="H54" s="1796"/>
      <c r="I54" s="1797"/>
      <c r="J54" s="1797"/>
      <c r="K54" s="1797"/>
      <c r="L54" s="1797"/>
      <c r="M54" s="1798"/>
    </row>
    <row r="55" spans="1:13" ht="16.5" thickTop="1" x14ac:dyDescent="0.2">
      <c r="B55" s="69"/>
      <c r="C55" s="67"/>
      <c r="M55" s="41"/>
    </row>
    <row r="56" spans="1:13" s="1138" customFormat="1" x14ac:dyDescent="0.2">
      <c r="A56" s="1832" t="s">
        <v>1019</v>
      </c>
      <c r="B56" s="1832"/>
      <c r="C56" s="1833" t="s">
        <v>2802</v>
      </c>
      <c r="D56" s="1833"/>
      <c r="E56" s="1833"/>
      <c r="F56" s="1833"/>
      <c r="G56" s="1833"/>
      <c r="H56" s="1833"/>
      <c r="I56" s="1833"/>
      <c r="J56" s="1833"/>
    </row>
    <row r="57" spans="1:13" s="1138" customFormat="1" ht="15" customHeight="1" x14ac:dyDescent="0.2">
      <c r="A57" s="1832" t="s">
        <v>214</v>
      </c>
      <c r="B57" s="1832"/>
      <c r="C57" s="1833" t="s">
        <v>243</v>
      </c>
      <c r="D57" s="1833"/>
      <c r="E57" s="1833"/>
      <c r="F57" s="1833"/>
      <c r="G57" s="1833"/>
      <c r="H57" s="1833"/>
      <c r="I57" s="1833"/>
      <c r="J57" s="1833"/>
    </row>
    <row r="58" spans="1:13" s="1138" customFormat="1" ht="15" customHeight="1" x14ac:dyDescent="0.2">
      <c r="A58" s="1429" t="s">
        <v>2263</v>
      </c>
      <c r="B58" s="1429"/>
      <c r="C58" s="1455" t="s">
        <v>2765</v>
      </c>
      <c r="D58" s="1456"/>
      <c r="E58" s="1456"/>
      <c r="F58" s="1456"/>
      <c r="G58" s="1456"/>
      <c r="H58" s="1456"/>
      <c r="I58" s="1456"/>
      <c r="J58" s="1456"/>
    </row>
    <row r="59" spans="1:13" s="1138" customFormat="1" ht="15" customHeight="1" x14ac:dyDescent="0.2">
      <c r="A59" s="1834" t="s">
        <v>2218</v>
      </c>
      <c r="B59" s="1835"/>
      <c r="C59" s="1836" t="s">
        <v>2314</v>
      </c>
      <c r="D59" s="1836"/>
      <c r="E59" s="1836"/>
      <c r="F59" s="1836"/>
      <c r="G59" s="1836"/>
      <c r="H59" s="1836"/>
      <c r="I59" s="1836"/>
      <c r="J59" s="1837"/>
    </row>
    <row r="60" spans="1:13" s="1138" customFormat="1" ht="26.45" customHeight="1" x14ac:dyDescent="0.2">
      <c r="A60" s="1838"/>
      <c r="B60" s="1839"/>
      <c r="C60" s="1498" t="s">
        <v>2566</v>
      </c>
      <c r="D60" s="1498"/>
      <c r="E60" s="1498"/>
      <c r="F60" s="1498"/>
      <c r="G60" s="1498"/>
      <c r="H60" s="1498"/>
      <c r="I60" s="1498"/>
      <c r="J60" s="1840"/>
    </row>
    <row r="61" spans="1:13" s="1138" customFormat="1" ht="15" customHeight="1" x14ac:dyDescent="0.2">
      <c r="A61" s="1146" t="s">
        <v>2745</v>
      </c>
      <c r="B61" s="1135" t="s">
        <v>2747</v>
      </c>
      <c r="C61" s="1841" t="s">
        <v>2748</v>
      </c>
      <c r="D61" s="1842"/>
      <c r="E61" s="1842"/>
      <c r="F61" s="1842"/>
      <c r="G61" s="1842"/>
      <c r="H61" s="1842"/>
      <c r="I61" s="1842"/>
      <c r="J61" s="1843"/>
    </row>
    <row r="62" spans="1:13" s="1138" customFormat="1" ht="52.5" customHeight="1" x14ac:dyDescent="0.2">
      <c r="A62" s="1156" t="s">
        <v>2789</v>
      </c>
      <c r="B62" s="1131" t="s">
        <v>2764</v>
      </c>
      <c r="C62" s="1389" t="s">
        <v>2749</v>
      </c>
      <c r="D62" s="1390"/>
      <c r="E62" s="1390"/>
      <c r="F62" s="1390"/>
      <c r="G62" s="1390"/>
      <c r="H62" s="1390"/>
      <c r="I62" s="1390"/>
      <c r="J62" s="1391"/>
    </row>
    <row r="63" spans="1:13" s="1138" customFormat="1" ht="12.6" customHeight="1" thickBot="1" x14ac:dyDescent="0.25">
      <c r="K63" s="1132"/>
      <c r="L63" s="1132"/>
      <c r="M63" s="1132"/>
    </row>
    <row r="64" spans="1:13" s="1138" customFormat="1" ht="13.15" hidden="1" customHeight="1" x14ac:dyDescent="0.2">
      <c r="A64" s="1899" t="s">
        <v>1799</v>
      </c>
      <c r="B64" s="1899"/>
      <c r="C64" s="1899"/>
      <c r="D64" s="1899"/>
      <c r="E64" s="1899"/>
      <c r="F64" s="1899"/>
      <c r="G64" s="1899"/>
      <c r="H64" s="1899"/>
      <c r="I64" s="1899"/>
      <c r="J64" s="1899"/>
      <c r="K64" s="1899"/>
      <c r="L64" s="1899"/>
    </row>
    <row r="65" spans="1:13" s="1138" customFormat="1" ht="24" hidden="1" customHeight="1" x14ac:dyDescent="0.2">
      <c r="A65" s="1134" t="s">
        <v>604</v>
      </c>
      <c r="B65" s="1885" t="s">
        <v>367</v>
      </c>
      <c r="C65" s="1886"/>
      <c r="D65" s="1133" t="s">
        <v>604</v>
      </c>
      <c r="E65" s="1882" t="s">
        <v>367</v>
      </c>
      <c r="F65" s="1900"/>
      <c r="G65" s="1133" t="s">
        <v>604</v>
      </c>
      <c r="H65" s="1885" t="s">
        <v>367</v>
      </c>
      <c r="I65" s="1886"/>
      <c r="J65" s="1133" t="s">
        <v>604</v>
      </c>
      <c r="K65" s="1882" t="s">
        <v>367</v>
      </c>
      <c r="L65" s="1883"/>
      <c r="M65" s="1884"/>
    </row>
    <row r="66" spans="1:13" s="1138" customFormat="1" ht="13.15" hidden="1" customHeight="1" x14ac:dyDescent="0.2">
      <c r="A66" s="204" t="s">
        <v>604</v>
      </c>
      <c r="B66" s="1542" t="s">
        <v>1022</v>
      </c>
      <c r="C66" s="1786"/>
      <c r="D66" s="1137"/>
      <c r="E66" s="1542" t="s">
        <v>616</v>
      </c>
      <c r="F66" s="1786"/>
      <c r="G66" s="206" t="s">
        <v>604</v>
      </c>
      <c r="H66" s="1542" t="s">
        <v>276</v>
      </c>
      <c r="I66" s="1786"/>
      <c r="J66" s="206" t="s">
        <v>604</v>
      </c>
      <c r="K66" s="1542" t="s">
        <v>290</v>
      </c>
      <c r="L66" s="1543"/>
      <c r="M66" s="1544"/>
    </row>
    <row r="67" spans="1:13" s="1138" customFormat="1" ht="13.5" hidden="1" thickBot="1" x14ac:dyDescent="0.25">
      <c r="A67" s="204"/>
      <c r="B67" s="1542" t="s">
        <v>368</v>
      </c>
      <c r="C67" s="1786"/>
      <c r="D67" s="206" t="s">
        <v>604</v>
      </c>
      <c r="E67" s="1542" t="s">
        <v>268</v>
      </c>
      <c r="F67" s="1786"/>
      <c r="G67" s="206" t="s">
        <v>604</v>
      </c>
      <c r="H67" s="1542" t="s">
        <v>278</v>
      </c>
      <c r="I67" s="1786"/>
      <c r="J67" s="206" t="s">
        <v>604</v>
      </c>
      <c r="K67" s="1542" t="s">
        <v>292</v>
      </c>
      <c r="L67" s="1543"/>
      <c r="M67" s="1544"/>
    </row>
    <row r="68" spans="1:13" s="1138" customFormat="1" ht="13.15" hidden="1" customHeight="1" x14ac:dyDescent="0.2">
      <c r="A68" s="204" t="s">
        <v>604</v>
      </c>
      <c r="B68" s="1542" t="s">
        <v>205</v>
      </c>
      <c r="C68" s="1786"/>
      <c r="D68" s="206"/>
      <c r="E68" s="1542" t="s">
        <v>270</v>
      </c>
      <c r="F68" s="1786"/>
      <c r="G68" s="206" t="s">
        <v>604</v>
      </c>
      <c r="H68" s="1542" t="s">
        <v>355</v>
      </c>
      <c r="I68" s="1786"/>
      <c r="J68" s="206" t="s">
        <v>604</v>
      </c>
      <c r="K68" s="1542" t="s">
        <v>371</v>
      </c>
      <c r="L68" s="1543"/>
      <c r="M68" s="1544"/>
    </row>
    <row r="69" spans="1:13" s="1138" customFormat="1" ht="25.5" hidden="1" customHeight="1" x14ac:dyDescent="0.2">
      <c r="A69" s="204"/>
      <c r="B69" s="1542" t="s">
        <v>263</v>
      </c>
      <c r="C69" s="1786"/>
      <c r="D69" s="206" t="s">
        <v>604</v>
      </c>
      <c r="E69" s="1542" t="s">
        <v>1025</v>
      </c>
      <c r="F69" s="1786"/>
      <c r="G69" s="206" t="s">
        <v>604</v>
      </c>
      <c r="H69" s="1542" t="s">
        <v>281</v>
      </c>
      <c r="I69" s="1786"/>
      <c r="J69" s="206"/>
      <c r="K69" s="1542" t="s">
        <v>1023</v>
      </c>
      <c r="L69" s="1543"/>
      <c r="M69" s="1544"/>
    </row>
    <row r="70" spans="1:13" s="1138" customFormat="1" ht="13.15" hidden="1" customHeight="1" x14ac:dyDescent="0.2">
      <c r="A70" s="204" t="s">
        <v>604</v>
      </c>
      <c r="B70" s="1542" t="s">
        <v>264</v>
      </c>
      <c r="C70" s="1786"/>
      <c r="D70" s="206"/>
      <c r="E70" s="1542" t="s">
        <v>369</v>
      </c>
      <c r="F70" s="1786"/>
      <c r="G70" s="206" t="s">
        <v>604</v>
      </c>
      <c r="H70" s="1542" t="s">
        <v>283</v>
      </c>
      <c r="I70" s="1786"/>
      <c r="J70" s="206"/>
      <c r="K70" s="1542" t="s">
        <v>1024</v>
      </c>
      <c r="L70" s="1543"/>
      <c r="M70" s="1544"/>
    </row>
    <row r="71" spans="1:13" s="1138" customFormat="1" ht="13.15" hidden="1" customHeight="1" x14ac:dyDescent="0.2">
      <c r="A71" s="204"/>
      <c r="B71" s="1542" t="s">
        <v>265</v>
      </c>
      <c r="C71" s="1786"/>
      <c r="D71" s="206"/>
      <c r="E71" s="1542" t="s">
        <v>370</v>
      </c>
      <c r="F71" s="1786"/>
      <c r="G71" s="206" t="s">
        <v>604</v>
      </c>
      <c r="H71" s="1542" t="s">
        <v>285</v>
      </c>
      <c r="I71" s="1786"/>
      <c r="J71" s="206"/>
      <c r="K71" s="1542" t="s">
        <v>391</v>
      </c>
      <c r="L71" s="1543"/>
      <c r="M71" s="1544"/>
    </row>
    <row r="72" spans="1:13" s="1145" customFormat="1" ht="13.5" hidden="1" thickBot="1" x14ac:dyDescent="0.25">
      <c r="C72" s="71"/>
      <c r="D72" s="54"/>
      <c r="E72" s="1130"/>
      <c r="F72" s="71"/>
      <c r="G72" s="54"/>
      <c r="H72" s="71"/>
      <c r="I72" s="54"/>
      <c r="J72" s="1130"/>
      <c r="K72" s="71"/>
      <c r="L72" s="54"/>
    </row>
    <row r="73" spans="1:13" s="1139" customFormat="1" ht="18.75" customHeight="1" thickTop="1" x14ac:dyDescent="0.2">
      <c r="A73" s="1826"/>
      <c r="B73" s="1827"/>
      <c r="C73" s="1827"/>
      <c r="D73" s="1827"/>
      <c r="E73" s="1827"/>
      <c r="F73" s="1828"/>
      <c r="G73" s="318"/>
      <c r="H73" s="1829"/>
      <c r="I73" s="1830"/>
      <c r="J73" s="1830"/>
      <c r="K73" s="1830"/>
      <c r="L73" s="1830"/>
      <c r="M73" s="1831"/>
    </row>
    <row r="74" spans="1:13" s="1139" customFormat="1" ht="65.099999999999994" customHeight="1" x14ac:dyDescent="0.2">
      <c r="A74" s="1771"/>
      <c r="B74" s="1772"/>
      <c r="C74" s="1772"/>
      <c r="D74" s="1772"/>
      <c r="E74" s="1772"/>
      <c r="F74" s="1773"/>
      <c r="G74" s="208"/>
      <c r="H74" s="1142"/>
      <c r="I74" s="1143"/>
      <c r="J74" s="1143"/>
      <c r="K74" s="1143"/>
      <c r="L74" s="1143"/>
      <c r="M74" s="1144"/>
    </row>
    <row r="75" spans="1:13" s="1139" customFormat="1" ht="30" customHeight="1" x14ac:dyDescent="0.2">
      <c r="A75" s="1771" t="s">
        <v>2264</v>
      </c>
      <c r="B75" s="1772"/>
      <c r="C75" s="1772"/>
      <c r="D75" s="1772"/>
      <c r="E75" s="1772"/>
      <c r="F75" s="1773"/>
      <c r="G75" s="208" t="s">
        <v>1032</v>
      </c>
      <c r="H75" s="1774" t="s">
        <v>375</v>
      </c>
      <c r="I75" s="1775"/>
      <c r="J75" s="1775"/>
      <c r="K75" s="1775"/>
      <c r="L75" s="1775"/>
      <c r="M75" s="1776"/>
    </row>
    <row r="76" spans="1:13" s="1139" customFormat="1" ht="30" customHeight="1" x14ac:dyDescent="0.2">
      <c r="A76" s="1777" t="s">
        <v>265</v>
      </c>
      <c r="B76" s="1778"/>
      <c r="C76" s="1778"/>
      <c r="D76" s="1778"/>
      <c r="E76" s="1778"/>
      <c r="F76" s="1779"/>
      <c r="G76" s="1141" t="s">
        <v>374</v>
      </c>
      <c r="H76" s="1780" t="s">
        <v>376</v>
      </c>
      <c r="I76" s="1781"/>
      <c r="J76" s="1781"/>
      <c r="K76" s="1781"/>
      <c r="L76" s="1781"/>
      <c r="M76" s="1782"/>
    </row>
    <row r="77" spans="1:13" s="1139" customFormat="1" ht="30" customHeight="1" x14ac:dyDescent="0.2">
      <c r="A77" s="1787" t="s">
        <v>2265</v>
      </c>
      <c r="B77" s="1788"/>
      <c r="C77" s="1788"/>
      <c r="D77" s="1788"/>
      <c r="E77" s="1788"/>
      <c r="F77" s="1789"/>
      <c r="G77" s="1141" t="s">
        <v>373</v>
      </c>
      <c r="H77" s="1790" t="s">
        <v>377</v>
      </c>
      <c r="I77" s="1791"/>
      <c r="J77" s="1791"/>
      <c r="K77" s="1791"/>
      <c r="L77" s="1791"/>
      <c r="M77" s="1792"/>
    </row>
    <row r="78" spans="1:13" s="1139" customFormat="1" ht="30" customHeight="1" x14ac:dyDescent="0.2">
      <c r="A78" s="1777" t="s">
        <v>2266</v>
      </c>
      <c r="B78" s="1778"/>
      <c r="C78" s="1778"/>
      <c r="D78" s="1778"/>
      <c r="E78" s="1778"/>
      <c r="F78" s="1779"/>
      <c r="G78" s="1141" t="s">
        <v>374</v>
      </c>
      <c r="H78" s="1799" t="s">
        <v>461</v>
      </c>
      <c r="I78" s="1800"/>
      <c r="J78" s="1800"/>
      <c r="K78" s="1800"/>
      <c r="L78" s="1800"/>
      <c r="M78" s="1801"/>
    </row>
    <row r="79" spans="1:13" s="1139" customFormat="1" ht="30" customHeight="1" x14ac:dyDescent="0.3">
      <c r="A79" s="1802" t="s">
        <v>2737</v>
      </c>
      <c r="B79" s="1803"/>
      <c r="C79" s="1803"/>
      <c r="D79" s="1803"/>
      <c r="E79" s="1803"/>
      <c r="F79" s="1804"/>
      <c r="G79" s="208" t="s">
        <v>1038</v>
      </c>
      <c r="H79" s="1805" t="s">
        <v>462</v>
      </c>
      <c r="I79" s="1806"/>
      <c r="J79" s="1806"/>
      <c r="K79" s="1806"/>
      <c r="L79" s="1806"/>
      <c r="M79" s="1807"/>
    </row>
    <row r="80" spans="1:13" s="1139" customFormat="1" ht="30" customHeight="1" x14ac:dyDescent="0.2">
      <c r="A80" s="1808"/>
      <c r="B80" s="1809"/>
      <c r="C80" s="1809"/>
      <c r="D80" s="1809"/>
      <c r="E80" s="1809"/>
      <c r="F80" s="1810"/>
      <c r="G80" s="208"/>
      <c r="H80" s="1811" t="s">
        <v>463</v>
      </c>
      <c r="I80" s="1812"/>
      <c r="J80" s="1812"/>
      <c r="K80" s="1812"/>
      <c r="L80" s="1812"/>
      <c r="M80" s="1813"/>
    </row>
    <row r="81" spans="1:13" s="1139" customFormat="1" ht="30" customHeight="1" x14ac:dyDescent="0.2">
      <c r="A81" s="1814" t="s">
        <v>2766</v>
      </c>
      <c r="B81" s="1815"/>
      <c r="C81" s="1815"/>
      <c r="D81" s="1815"/>
      <c r="E81" s="1815"/>
      <c r="F81" s="1816"/>
      <c r="G81" s="208" t="s">
        <v>1038</v>
      </c>
      <c r="H81" s="1817" t="s">
        <v>464</v>
      </c>
      <c r="I81" s="1818"/>
      <c r="J81" s="1818"/>
      <c r="K81" s="1818"/>
      <c r="L81" s="1818"/>
      <c r="M81" s="1819"/>
    </row>
    <row r="82" spans="1:13" s="1139" customFormat="1" ht="30" customHeight="1" x14ac:dyDescent="0.2">
      <c r="A82" s="1820" t="s">
        <v>2313</v>
      </c>
      <c r="B82" s="1821"/>
      <c r="C82" s="1821"/>
      <c r="D82" s="1821"/>
      <c r="E82" s="1821"/>
      <c r="F82" s="1822"/>
      <c r="G82" s="208" t="s">
        <v>1038</v>
      </c>
      <c r="H82" s="1823" t="s">
        <v>465</v>
      </c>
      <c r="I82" s="1824"/>
      <c r="J82" s="1824"/>
      <c r="K82" s="1824"/>
      <c r="L82" s="1824"/>
      <c r="M82" s="1825"/>
    </row>
    <row r="83" spans="1:13" s="1147" customFormat="1" ht="18.75" customHeight="1" thickBot="1" x14ac:dyDescent="0.25">
      <c r="A83" s="1793" t="s">
        <v>2770</v>
      </c>
      <c r="B83" s="1794"/>
      <c r="C83" s="1794"/>
      <c r="D83" s="1794"/>
      <c r="E83" s="1794"/>
      <c r="F83" s="1795"/>
      <c r="G83" s="319" t="s">
        <v>1037</v>
      </c>
      <c r="H83" s="1796"/>
      <c r="I83" s="1797"/>
      <c r="J83" s="1797"/>
      <c r="K83" s="1797"/>
      <c r="L83" s="1797"/>
      <c r="M83" s="1798"/>
    </row>
    <row r="84" spans="1:13" s="1138" customFormat="1" ht="16.5" thickTop="1" x14ac:dyDescent="0.2">
      <c r="B84" s="69"/>
      <c r="C84" s="67"/>
      <c r="M84" s="1140"/>
    </row>
    <row r="85" spans="1:13" s="679" customFormat="1" x14ac:dyDescent="0.2">
      <c r="A85" s="1832" t="s">
        <v>1019</v>
      </c>
      <c r="B85" s="1832"/>
      <c r="C85" s="1833">
        <v>3</v>
      </c>
      <c r="D85" s="1833"/>
      <c r="E85" s="1833"/>
      <c r="F85" s="1833"/>
      <c r="G85" s="1833"/>
      <c r="H85" s="1833"/>
      <c r="I85" s="1833"/>
      <c r="J85" s="1833"/>
    </row>
    <row r="86" spans="1:13" s="679" customFormat="1" ht="15" customHeight="1" x14ac:dyDescent="0.2">
      <c r="A86" s="1832" t="s">
        <v>214</v>
      </c>
      <c r="B86" s="1832"/>
      <c r="C86" s="1833" t="s">
        <v>391</v>
      </c>
      <c r="D86" s="1833"/>
      <c r="E86" s="1833"/>
      <c r="F86" s="1833"/>
      <c r="G86" s="1833"/>
      <c r="H86" s="1833"/>
      <c r="I86" s="1833"/>
      <c r="J86" s="1833"/>
    </row>
    <row r="87" spans="1:13" s="679" customFormat="1" ht="15" customHeight="1" x14ac:dyDescent="0.2">
      <c r="A87" s="1429" t="s">
        <v>2263</v>
      </c>
      <c r="B87" s="1429"/>
      <c r="C87" s="1498" t="s">
        <v>2397</v>
      </c>
      <c r="D87" s="1498"/>
      <c r="E87" s="1498"/>
      <c r="F87" s="1498"/>
      <c r="G87" s="1498"/>
      <c r="H87" s="1498"/>
      <c r="I87" s="1498"/>
      <c r="J87" s="1498"/>
    </row>
    <row r="88" spans="1:13" s="807" customFormat="1" ht="28.9" customHeight="1" x14ac:dyDescent="0.2">
      <c r="A88" s="1784" t="s">
        <v>2218</v>
      </c>
      <c r="B88" s="1785"/>
      <c r="C88" s="1389" t="s">
        <v>2315</v>
      </c>
      <c r="D88" s="1390"/>
      <c r="E88" s="1390"/>
      <c r="F88" s="1390"/>
      <c r="G88" s="1390"/>
      <c r="H88" s="1390"/>
      <c r="I88" s="1390"/>
      <c r="J88" s="1391"/>
    </row>
    <row r="89" spans="1:13" s="679" customFormat="1" ht="12.75" hidden="1" customHeight="1" x14ac:dyDescent="0.2">
      <c r="A89" s="1899" t="s">
        <v>1799</v>
      </c>
      <c r="B89" s="1899"/>
      <c r="C89" s="1899"/>
      <c r="D89" s="1899"/>
      <c r="E89" s="1899"/>
      <c r="F89" s="1899"/>
      <c r="G89" s="1899"/>
      <c r="H89" s="1899"/>
      <c r="I89" s="1899"/>
      <c r="J89" s="1899"/>
      <c r="K89" s="1899"/>
      <c r="L89" s="1899"/>
    </row>
    <row r="90" spans="1:13" s="679" customFormat="1" ht="24" hidden="1" customHeight="1" x14ac:dyDescent="0.2">
      <c r="A90" s="672" t="s">
        <v>604</v>
      </c>
      <c r="B90" s="1729" t="s">
        <v>367</v>
      </c>
      <c r="C90" s="1904"/>
      <c r="D90" s="676" t="s">
        <v>604</v>
      </c>
      <c r="E90" s="1882" t="s">
        <v>367</v>
      </c>
      <c r="F90" s="1900"/>
      <c r="G90" s="676" t="s">
        <v>604</v>
      </c>
      <c r="H90" s="1729" t="s">
        <v>367</v>
      </c>
      <c r="I90" s="1904"/>
      <c r="J90" s="676" t="s">
        <v>604</v>
      </c>
      <c r="K90" s="1882" t="s">
        <v>367</v>
      </c>
      <c r="L90" s="1883"/>
      <c r="M90" s="1884"/>
    </row>
    <row r="91" spans="1:13" s="679" customFormat="1" ht="13.5" hidden="1" thickBot="1" x14ac:dyDescent="0.25">
      <c r="A91" s="204" t="s">
        <v>604</v>
      </c>
      <c r="B91" s="1528" t="s">
        <v>1022</v>
      </c>
      <c r="C91" s="1783"/>
      <c r="D91" s="680"/>
      <c r="E91" s="1528" t="s">
        <v>616</v>
      </c>
      <c r="F91" s="1783"/>
      <c r="G91" s="206" t="s">
        <v>604</v>
      </c>
      <c r="H91" s="1528" t="s">
        <v>276</v>
      </c>
      <c r="I91" s="1783"/>
      <c r="J91" s="206" t="s">
        <v>604</v>
      </c>
      <c r="K91" s="1528" t="s">
        <v>290</v>
      </c>
      <c r="L91" s="1528"/>
      <c r="M91" s="1528"/>
    </row>
    <row r="92" spans="1:13" s="679" customFormat="1" ht="13.5" hidden="1" thickBot="1" x14ac:dyDescent="0.25">
      <c r="A92" s="204"/>
      <c r="B92" s="1528" t="s">
        <v>368</v>
      </c>
      <c r="C92" s="1783"/>
      <c r="D92" s="206" t="s">
        <v>604</v>
      </c>
      <c r="E92" s="1528" t="s">
        <v>268</v>
      </c>
      <c r="F92" s="1783"/>
      <c r="G92" s="206" t="s">
        <v>604</v>
      </c>
      <c r="H92" s="1528" t="s">
        <v>278</v>
      </c>
      <c r="I92" s="1783"/>
      <c r="J92" s="206" t="s">
        <v>604</v>
      </c>
      <c r="K92" s="1528" t="s">
        <v>292</v>
      </c>
      <c r="L92" s="1528"/>
      <c r="M92" s="1528"/>
    </row>
    <row r="93" spans="1:13" s="679" customFormat="1" ht="13.5" hidden="1" thickBot="1" x14ac:dyDescent="0.25">
      <c r="A93" s="204" t="s">
        <v>604</v>
      </c>
      <c r="B93" s="1528" t="s">
        <v>205</v>
      </c>
      <c r="C93" s="1783"/>
      <c r="D93" s="206"/>
      <c r="E93" s="1528" t="s">
        <v>270</v>
      </c>
      <c r="F93" s="1783"/>
      <c r="G93" s="206" t="s">
        <v>604</v>
      </c>
      <c r="H93" s="1528" t="s">
        <v>355</v>
      </c>
      <c r="I93" s="1783"/>
      <c r="J93" s="206" t="s">
        <v>604</v>
      </c>
      <c r="K93" s="1528" t="s">
        <v>371</v>
      </c>
      <c r="L93" s="1528"/>
      <c r="M93" s="1528"/>
    </row>
    <row r="94" spans="1:13" s="679" customFormat="1" ht="25.5" hidden="1" customHeight="1" x14ac:dyDescent="0.2">
      <c r="A94" s="204"/>
      <c r="B94" s="1528" t="s">
        <v>263</v>
      </c>
      <c r="C94" s="1783"/>
      <c r="D94" s="206" t="s">
        <v>604</v>
      </c>
      <c r="E94" s="1528" t="s">
        <v>1025</v>
      </c>
      <c r="F94" s="1783"/>
      <c r="G94" s="206" t="s">
        <v>604</v>
      </c>
      <c r="H94" s="1528" t="s">
        <v>281</v>
      </c>
      <c r="I94" s="1783"/>
      <c r="J94" s="206"/>
      <c r="K94" s="1528" t="s">
        <v>1023</v>
      </c>
      <c r="L94" s="1528"/>
      <c r="M94" s="1528"/>
    </row>
    <row r="95" spans="1:13" s="679" customFormat="1" ht="13.5" hidden="1" thickBot="1" x14ac:dyDescent="0.25">
      <c r="A95" s="204" t="s">
        <v>604</v>
      </c>
      <c r="B95" s="1528" t="s">
        <v>264</v>
      </c>
      <c r="C95" s="1783"/>
      <c r="D95" s="206"/>
      <c r="E95" s="1528" t="s">
        <v>369</v>
      </c>
      <c r="F95" s="1783"/>
      <c r="G95" s="206" t="s">
        <v>604</v>
      </c>
      <c r="H95" s="1528" t="s">
        <v>283</v>
      </c>
      <c r="I95" s="1783"/>
      <c r="J95" s="206"/>
      <c r="K95" s="1528" t="s">
        <v>1024</v>
      </c>
      <c r="L95" s="1528"/>
      <c r="M95" s="1528"/>
    </row>
    <row r="96" spans="1:13" s="679" customFormat="1" ht="13.5" hidden="1" thickBot="1" x14ac:dyDescent="0.25">
      <c r="A96" s="204"/>
      <c r="B96" s="1528" t="s">
        <v>265</v>
      </c>
      <c r="C96" s="1783"/>
      <c r="D96" s="206"/>
      <c r="E96" s="1528" t="s">
        <v>370</v>
      </c>
      <c r="F96" s="1783"/>
      <c r="G96" s="206" t="s">
        <v>604</v>
      </c>
      <c r="H96" s="1528" t="s">
        <v>285</v>
      </c>
      <c r="I96" s="1783"/>
      <c r="J96" s="206"/>
      <c r="K96" s="1528" t="s">
        <v>391</v>
      </c>
      <c r="L96" s="1528"/>
      <c r="M96" s="1528"/>
    </row>
    <row r="97" spans="1:13" s="691" customFormat="1" ht="13.5" hidden="1" thickBot="1" x14ac:dyDescent="0.25">
      <c r="C97" s="71"/>
      <c r="D97" s="54"/>
      <c r="E97" s="662"/>
      <c r="F97" s="71"/>
      <c r="G97" s="54"/>
      <c r="H97" s="71"/>
      <c r="I97" s="54"/>
      <c r="J97" s="662"/>
      <c r="K97" s="71"/>
      <c r="L97" s="54"/>
    </row>
    <row r="98" spans="1:13" s="1117" customFormat="1" ht="15" customHeight="1" x14ac:dyDescent="0.2">
      <c r="A98" s="1123" t="s">
        <v>2745</v>
      </c>
      <c r="B98" s="1116" t="s">
        <v>314</v>
      </c>
      <c r="C98" s="1841" t="s">
        <v>78</v>
      </c>
      <c r="D98" s="1842"/>
      <c r="E98" s="1842"/>
      <c r="F98" s="1842"/>
      <c r="G98" s="1842"/>
      <c r="H98" s="1842"/>
      <c r="I98" s="1842"/>
      <c r="J98" s="1843"/>
    </row>
    <row r="99" spans="1:13" s="1138" customFormat="1" ht="15" customHeight="1" x14ac:dyDescent="0.2">
      <c r="A99" s="1136" t="s">
        <v>2742</v>
      </c>
      <c r="B99" s="1131" t="s">
        <v>2790</v>
      </c>
      <c r="C99" s="1942" t="s">
        <v>2791</v>
      </c>
      <c r="D99" s="1943"/>
      <c r="E99" s="1943"/>
      <c r="F99" s="1943"/>
      <c r="G99" s="1943"/>
      <c r="H99" s="1943"/>
      <c r="I99" s="1943"/>
      <c r="J99" s="1944"/>
    </row>
    <row r="100" spans="1:13" s="1117" customFormat="1" ht="15" customHeight="1" x14ac:dyDescent="0.2">
      <c r="A100" s="1158" t="s">
        <v>2743</v>
      </c>
      <c r="B100" s="1113" t="s">
        <v>2792</v>
      </c>
      <c r="C100" s="1389" t="s">
        <v>2793</v>
      </c>
      <c r="D100" s="1390"/>
      <c r="E100" s="1390"/>
      <c r="F100" s="1390"/>
      <c r="G100" s="1390"/>
      <c r="H100" s="1390"/>
      <c r="I100" s="1390"/>
      <c r="J100" s="1391"/>
    </row>
    <row r="101" spans="1:13" s="1117" customFormat="1" ht="15" customHeight="1" x14ac:dyDescent="0.2">
      <c r="A101" s="1157" t="s">
        <v>2744</v>
      </c>
      <c r="B101" s="1113" t="s">
        <v>1947</v>
      </c>
      <c r="C101" s="1389" t="s">
        <v>2746</v>
      </c>
      <c r="D101" s="1390"/>
      <c r="E101" s="1390"/>
      <c r="F101" s="1390"/>
      <c r="G101" s="1390"/>
      <c r="H101" s="1390"/>
      <c r="I101" s="1390"/>
      <c r="J101" s="1391"/>
    </row>
    <row r="102" spans="1:13" s="1117" customFormat="1" ht="12.6" customHeight="1" thickBot="1" x14ac:dyDescent="0.25">
      <c r="K102" s="1114"/>
      <c r="L102" s="1114"/>
      <c r="M102" s="1114"/>
    </row>
    <row r="103" spans="1:13" s="1084" customFormat="1" ht="18.75" thickTop="1" x14ac:dyDescent="0.2">
      <c r="A103" s="1826"/>
      <c r="B103" s="1827"/>
      <c r="C103" s="1827"/>
      <c r="D103" s="1827"/>
      <c r="E103" s="1827"/>
      <c r="F103" s="1828"/>
      <c r="G103" s="318"/>
      <c r="H103" s="1829"/>
      <c r="I103" s="1830"/>
      <c r="J103" s="1830"/>
      <c r="K103" s="1830"/>
      <c r="L103" s="1830"/>
      <c r="M103" s="1831"/>
    </row>
    <row r="104" spans="1:13" s="1084" customFormat="1" ht="65.099999999999994" customHeight="1" x14ac:dyDescent="0.2">
      <c r="A104" s="1771"/>
      <c r="B104" s="1772"/>
      <c r="C104" s="1772"/>
      <c r="D104" s="1772"/>
      <c r="E104" s="1772"/>
      <c r="F104" s="1773"/>
      <c r="G104" s="208"/>
      <c r="H104" s="1092"/>
      <c r="I104" s="1093"/>
      <c r="J104" s="1093"/>
      <c r="K104" s="1093"/>
      <c r="L104" s="1093"/>
      <c r="M104" s="1094"/>
    </row>
    <row r="105" spans="1:13" s="681" customFormat="1" ht="30" customHeight="1" x14ac:dyDescent="0.2">
      <c r="A105" s="1771"/>
      <c r="B105" s="1772"/>
      <c r="C105" s="1772"/>
      <c r="D105" s="1772"/>
      <c r="E105" s="1772"/>
      <c r="F105" s="1773"/>
      <c r="G105" s="208"/>
      <c r="H105" s="1774" t="s">
        <v>375</v>
      </c>
      <c r="I105" s="1775"/>
      <c r="J105" s="1775"/>
      <c r="K105" s="1775"/>
      <c r="L105" s="1775"/>
      <c r="M105" s="1776"/>
    </row>
    <row r="106" spans="1:13" s="681" customFormat="1" ht="30" customHeight="1" x14ac:dyDescent="0.2">
      <c r="A106" s="1771" t="s">
        <v>2264</v>
      </c>
      <c r="B106" s="1772"/>
      <c r="C106" s="1772"/>
      <c r="D106" s="1772"/>
      <c r="E106" s="1772"/>
      <c r="F106" s="1773"/>
      <c r="G106" s="208" t="s">
        <v>1032</v>
      </c>
      <c r="H106" s="1780" t="s">
        <v>376</v>
      </c>
      <c r="I106" s="1781"/>
      <c r="J106" s="1781"/>
      <c r="K106" s="1781"/>
      <c r="L106" s="1781"/>
      <c r="M106" s="1782"/>
    </row>
    <row r="107" spans="1:13" s="681" customFormat="1" ht="30" customHeight="1" x14ac:dyDescent="0.2">
      <c r="A107" s="1777" t="s">
        <v>2265</v>
      </c>
      <c r="B107" s="1778"/>
      <c r="C107" s="1778"/>
      <c r="D107" s="1778"/>
      <c r="E107" s="1778"/>
      <c r="F107" s="1779"/>
      <c r="G107" s="684" t="s">
        <v>374</v>
      </c>
      <c r="H107" s="1790" t="s">
        <v>377</v>
      </c>
      <c r="I107" s="1791"/>
      <c r="J107" s="1791"/>
      <c r="K107" s="1791"/>
      <c r="L107" s="1791"/>
      <c r="M107" s="1792"/>
    </row>
    <row r="108" spans="1:13" s="681" customFormat="1" ht="30" customHeight="1" x14ac:dyDescent="0.2">
      <c r="A108" s="1787" t="s">
        <v>2266</v>
      </c>
      <c r="B108" s="1788"/>
      <c r="C108" s="1788"/>
      <c r="D108" s="1788"/>
      <c r="E108" s="1788"/>
      <c r="F108" s="1789"/>
      <c r="G108" s="684" t="s">
        <v>373</v>
      </c>
      <c r="H108" s="1799" t="s">
        <v>461</v>
      </c>
      <c r="I108" s="1800"/>
      <c r="J108" s="1800"/>
      <c r="K108" s="1800"/>
      <c r="L108" s="1800"/>
      <c r="M108" s="1801"/>
    </row>
    <row r="109" spans="1:13" s="1084" customFormat="1" ht="30" customHeight="1" x14ac:dyDescent="0.3">
      <c r="A109" s="1802" t="s">
        <v>2737</v>
      </c>
      <c r="B109" s="1803"/>
      <c r="C109" s="1803"/>
      <c r="D109" s="1803"/>
      <c r="E109" s="1803"/>
      <c r="F109" s="1804"/>
      <c r="G109" s="208" t="s">
        <v>1038</v>
      </c>
      <c r="H109" s="1805" t="s">
        <v>462</v>
      </c>
      <c r="I109" s="1806"/>
      <c r="J109" s="1806"/>
      <c r="K109" s="1806"/>
      <c r="L109" s="1806"/>
      <c r="M109" s="1807"/>
    </row>
    <row r="110" spans="1:13" s="1084" customFormat="1" ht="30" customHeight="1" x14ac:dyDescent="0.2">
      <c r="A110" s="1808"/>
      <c r="B110" s="1809"/>
      <c r="C110" s="1809"/>
      <c r="D110" s="1809"/>
      <c r="E110" s="1809"/>
      <c r="F110" s="1810"/>
      <c r="G110" s="208"/>
      <c r="H110" s="1811" t="s">
        <v>463</v>
      </c>
      <c r="I110" s="1812"/>
      <c r="J110" s="1812"/>
      <c r="K110" s="1812"/>
      <c r="L110" s="1812"/>
      <c r="M110" s="1813"/>
    </row>
    <row r="111" spans="1:13" s="681" customFormat="1" ht="30" customHeight="1" x14ac:dyDescent="0.2">
      <c r="A111" s="1856"/>
      <c r="B111" s="1857"/>
      <c r="C111" s="1857"/>
      <c r="D111" s="1857"/>
      <c r="E111" s="1857"/>
      <c r="F111" s="1858"/>
      <c r="G111" s="208"/>
      <c r="H111" s="1817" t="s">
        <v>464</v>
      </c>
      <c r="I111" s="1818"/>
      <c r="J111" s="1818"/>
      <c r="K111" s="1818"/>
      <c r="L111" s="1818"/>
      <c r="M111" s="1819"/>
    </row>
    <row r="112" spans="1:13" s="681" customFormat="1" ht="30" customHeight="1" x14ac:dyDescent="0.2">
      <c r="A112" s="1934" t="s">
        <v>2312</v>
      </c>
      <c r="B112" s="1935"/>
      <c r="C112" s="1935"/>
      <c r="D112" s="1935"/>
      <c r="E112" s="1935"/>
      <c r="F112" s="1936"/>
      <c r="G112" s="208" t="s">
        <v>1038</v>
      </c>
      <c r="H112" s="1823" t="s">
        <v>465</v>
      </c>
      <c r="I112" s="1824"/>
      <c r="J112" s="1824"/>
      <c r="K112" s="1824"/>
      <c r="L112" s="1824"/>
      <c r="M112" s="1825"/>
    </row>
    <row r="113" spans="1:13" s="1147" customFormat="1" ht="18.75" customHeight="1" thickBot="1" x14ac:dyDescent="0.25">
      <c r="A113" s="1793" t="s">
        <v>2770</v>
      </c>
      <c r="B113" s="1794"/>
      <c r="C113" s="1794"/>
      <c r="D113" s="1794"/>
      <c r="E113" s="1794"/>
      <c r="F113" s="1795"/>
      <c r="G113" s="319" t="s">
        <v>1037</v>
      </c>
      <c r="H113" s="1796"/>
      <c r="I113" s="1797"/>
      <c r="J113" s="1797"/>
      <c r="K113" s="1797"/>
      <c r="L113" s="1797"/>
      <c r="M113" s="1798"/>
    </row>
    <row r="114" spans="1:13" ht="15.75" thickTop="1" x14ac:dyDescent="0.2">
      <c r="A114" s="1148" t="s">
        <v>2769</v>
      </c>
      <c r="B114" s="27"/>
      <c r="D114" s="71"/>
      <c r="E114" s="54"/>
      <c r="F114" s="46"/>
      <c r="G114" s="71"/>
      <c r="H114" s="54"/>
      <c r="I114" s="71"/>
      <c r="J114" s="54"/>
      <c r="K114" s="46"/>
      <c r="L114" s="71"/>
      <c r="M114" s="54"/>
    </row>
    <row r="115" spans="1:13" ht="15.75" customHeight="1" x14ac:dyDescent="0.2">
      <c r="A115" s="1451" t="s">
        <v>1028</v>
      </c>
      <c r="B115" s="1451"/>
      <c r="C115" s="1451"/>
      <c r="D115" s="1451"/>
      <c r="E115" s="1451"/>
      <c r="F115" s="1451"/>
      <c r="G115" s="1451"/>
      <c r="H115" s="1451"/>
      <c r="I115" s="62"/>
      <c r="J115" s="62"/>
    </row>
    <row r="116" spans="1:13" ht="15" x14ac:dyDescent="0.2">
      <c r="A116" s="62"/>
      <c r="B116" s="62"/>
      <c r="C116" s="62"/>
      <c r="D116" s="62"/>
      <c r="E116" s="62"/>
      <c r="F116" s="62"/>
      <c r="G116" s="62"/>
      <c r="H116" s="62"/>
      <c r="I116" s="62"/>
      <c r="J116" s="62"/>
    </row>
    <row r="117" spans="1:13" x14ac:dyDescent="0.2">
      <c r="A117" s="134" t="s">
        <v>1030</v>
      </c>
      <c r="B117" s="44"/>
      <c r="C117" s="44"/>
      <c r="D117" s="44"/>
      <c r="E117" s="44"/>
      <c r="F117" s="44"/>
    </row>
    <row r="118" spans="1:13" x14ac:dyDescent="0.2">
      <c r="A118" s="202" t="s">
        <v>1029</v>
      </c>
      <c r="B118" s="44"/>
      <c r="C118" s="44"/>
      <c r="D118" s="44"/>
      <c r="E118" s="44"/>
      <c r="F118" s="44"/>
    </row>
    <row r="119" spans="1:13" x14ac:dyDescent="0.2">
      <c r="A119" s="202"/>
      <c r="B119" s="44"/>
      <c r="C119" s="44"/>
      <c r="D119" s="44"/>
      <c r="E119" s="44"/>
      <c r="F119" s="44"/>
    </row>
    <row r="120" spans="1:13" ht="12.75" customHeight="1" x14ac:dyDescent="0.2">
      <c r="A120" s="1346" t="s">
        <v>1027</v>
      </c>
      <c r="B120" s="1346"/>
      <c r="C120" s="1346"/>
      <c r="D120" s="1346"/>
      <c r="E120" s="1346"/>
      <c r="F120" s="1346"/>
      <c r="G120" s="1346"/>
      <c r="H120" s="1346"/>
      <c r="I120" s="1346"/>
      <c r="J120" s="1346"/>
      <c r="K120" s="1346"/>
      <c r="L120" s="1346"/>
    </row>
    <row r="121" spans="1:13" ht="56.25" customHeight="1" x14ac:dyDescent="0.2">
      <c r="A121" s="1346" t="s">
        <v>1026</v>
      </c>
      <c r="B121" s="1346"/>
      <c r="C121" s="1346"/>
      <c r="D121" s="1346"/>
      <c r="E121" s="1346"/>
      <c r="F121" s="1346"/>
      <c r="G121" s="1346"/>
      <c r="H121" s="1346"/>
      <c r="I121" s="1346"/>
      <c r="J121" s="1346"/>
      <c r="K121" s="1346"/>
      <c r="L121" s="1346"/>
    </row>
    <row r="122" spans="1:13" ht="16.5" customHeight="1" x14ac:dyDescent="0.2">
      <c r="C122" s="62"/>
      <c r="D122" s="62"/>
      <c r="E122" s="62"/>
      <c r="F122" s="62"/>
      <c r="G122" s="62"/>
      <c r="H122" s="62"/>
      <c r="I122" s="62"/>
      <c r="J122" s="62"/>
      <c r="K122" s="62"/>
      <c r="L122" s="62"/>
    </row>
    <row r="123" spans="1:13" s="733" customFormat="1" x14ac:dyDescent="0.2">
      <c r="A123" s="1933" t="s">
        <v>1033</v>
      </c>
      <c r="B123" s="1933"/>
      <c r="C123" s="1905">
        <v>1</v>
      </c>
      <c r="D123" s="1905"/>
      <c r="E123" s="1905"/>
      <c r="F123" s="1905"/>
      <c r="G123" s="1905"/>
      <c r="H123" s="1905"/>
      <c r="I123" s="1905"/>
      <c r="J123" s="1905"/>
    </row>
    <row r="124" spans="1:13" s="733" customFormat="1" ht="12.75" customHeight="1" x14ac:dyDescent="0.2">
      <c r="A124" s="1933" t="s">
        <v>1034</v>
      </c>
      <c r="B124" s="1933"/>
      <c r="C124" s="1905" t="s">
        <v>2738</v>
      </c>
      <c r="D124" s="1905"/>
      <c r="E124" s="1905"/>
      <c r="F124" s="1905"/>
      <c r="G124" s="1905"/>
      <c r="H124" s="1905"/>
      <c r="I124" s="1905"/>
      <c r="J124" s="1905"/>
      <c r="K124" s="1905"/>
      <c r="L124" s="1905"/>
    </row>
    <row r="125" spans="1:13" s="1083" customFormat="1" ht="12.75" customHeight="1" x14ac:dyDescent="0.2">
      <c r="A125" s="1832"/>
      <c r="B125" s="1832"/>
      <c r="C125" s="1905" t="s">
        <v>2739</v>
      </c>
      <c r="D125" s="1905"/>
      <c r="E125" s="1905"/>
      <c r="F125" s="1905"/>
      <c r="G125" s="1905"/>
      <c r="H125" s="1905"/>
      <c r="I125" s="1905"/>
      <c r="J125" s="1905"/>
      <c r="K125" s="1905"/>
      <c r="L125" s="1905"/>
    </row>
    <row r="126" spans="1:13" s="733" customFormat="1" ht="15" customHeight="1" thickBot="1" x14ac:dyDescent="0.25">
      <c r="A126" s="904"/>
      <c r="B126" s="904"/>
      <c r="C126" s="905"/>
      <c r="D126" s="905"/>
      <c r="E126" s="905"/>
      <c r="F126" s="905"/>
      <c r="G126" s="905"/>
      <c r="H126" s="905"/>
      <c r="I126" s="905"/>
      <c r="J126" s="905"/>
    </row>
    <row r="127" spans="1:13" s="1084" customFormat="1" ht="18.75" thickTop="1" x14ac:dyDescent="0.2">
      <c r="A127" s="1826"/>
      <c r="B127" s="1827"/>
      <c r="C127" s="1827"/>
      <c r="D127" s="1827"/>
      <c r="E127" s="1827"/>
      <c r="F127" s="1828"/>
      <c r="G127" s="1088"/>
      <c r="H127" s="1829"/>
      <c r="I127" s="1830"/>
      <c r="J127" s="1830"/>
      <c r="K127" s="1830"/>
      <c r="L127" s="1830"/>
      <c r="M127" s="1831"/>
    </row>
    <row r="128" spans="1:13" s="1084" customFormat="1" ht="65.099999999999994" customHeight="1" x14ac:dyDescent="0.2">
      <c r="A128" s="1771"/>
      <c r="B128" s="1772"/>
      <c r="C128" s="1772"/>
      <c r="D128" s="1772"/>
      <c r="E128" s="1772"/>
      <c r="F128" s="1773"/>
      <c r="G128" s="1087"/>
      <c r="H128" s="1092"/>
      <c r="I128" s="1093"/>
      <c r="J128" s="1093"/>
      <c r="K128" s="1093"/>
      <c r="L128" s="1093"/>
      <c r="M128" s="1094"/>
    </row>
    <row r="129" spans="1:13" s="906" customFormat="1" ht="30" customHeight="1" x14ac:dyDescent="0.2">
      <c r="A129" s="1930" t="s">
        <v>2267</v>
      </c>
      <c r="B129" s="1931"/>
      <c r="C129" s="1931"/>
      <c r="D129" s="1931"/>
      <c r="E129" s="1931"/>
      <c r="F129" s="1932"/>
      <c r="G129" s="1087" t="s">
        <v>466</v>
      </c>
      <c r="H129" s="1085"/>
      <c r="I129" s="1086"/>
      <c r="J129" s="1086"/>
      <c r="K129" s="1086"/>
      <c r="L129" s="1086"/>
      <c r="M129" s="1091"/>
    </row>
    <row r="130" spans="1:13" s="906" customFormat="1" ht="30" customHeight="1" x14ac:dyDescent="0.2">
      <c r="A130" s="1930" t="s">
        <v>2316</v>
      </c>
      <c r="B130" s="1931"/>
      <c r="C130" s="1931"/>
      <c r="D130" s="1931"/>
      <c r="E130" s="1931"/>
      <c r="F130" s="1932"/>
      <c r="G130" s="1087" t="s">
        <v>466</v>
      </c>
      <c r="H130" s="1085"/>
      <c r="I130" s="1086"/>
      <c r="J130" s="1086"/>
      <c r="K130" s="1086"/>
      <c r="L130" s="1086"/>
      <c r="M130" s="1091"/>
    </row>
    <row r="131" spans="1:13" s="906" customFormat="1" ht="17.25" customHeight="1" x14ac:dyDescent="0.2">
      <c r="A131" s="1930"/>
      <c r="B131" s="1931"/>
      <c r="C131" s="1931"/>
      <c r="D131" s="1931"/>
      <c r="E131" s="1931"/>
      <c r="F131" s="1932"/>
      <c r="G131" s="1087"/>
      <c r="H131" s="1085"/>
      <c r="I131" s="1086"/>
      <c r="J131" s="1086"/>
      <c r="K131" s="1086"/>
      <c r="L131" s="1086"/>
      <c r="M131" s="1091"/>
    </row>
    <row r="132" spans="1:13" s="906" customFormat="1" ht="17.25" customHeight="1" x14ac:dyDescent="0.2">
      <c r="A132" s="1814" t="s">
        <v>2405</v>
      </c>
      <c r="B132" s="1815"/>
      <c r="C132" s="1815"/>
      <c r="D132" s="1815"/>
      <c r="E132" s="1815"/>
      <c r="F132" s="1816"/>
      <c r="G132" s="1087" t="s">
        <v>1038</v>
      </c>
      <c r="H132" s="1085"/>
      <c r="I132" s="1086"/>
      <c r="J132" s="1086"/>
      <c r="K132" s="1086"/>
      <c r="L132" s="1086"/>
      <c r="M132" s="1091"/>
    </row>
    <row r="133" spans="1:13" s="906" customFormat="1" ht="17.25" customHeight="1" x14ac:dyDescent="0.2">
      <c r="A133" s="1814"/>
      <c r="B133" s="1815"/>
      <c r="C133" s="1815"/>
      <c r="D133" s="1815"/>
      <c r="E133" s="1815"/>
      <c r="F133" s="1816"/>
      <c r="G133" s="1087"/>
      <c r="H133" s="1085"/>
      <c r="I133" s="1086"/>
      <c r="J133" s="1086"/>
      <c r="K133" s="1086"/>
      <c r="L133" s="1086"/>
      <c r="M133" s="1091"/>
    </row>
    <row r="134" spans="1:13" s="906" customFormat="1" ht="17.25" customHeight="1" x14ac:dyDescent="0.2">
      <c r="A134" s="1814" t="s">
        <v>2317</v>
      </c>
      <c r="B134" s="1815"/>
      <c r="C134" s="1815"/>
      <c r="D134" s="1815"/>
      <c r="E134" s="1815"/>
      <c r="F134" s="1816"/>
      <c r="G134" s="1087" t="s">
        <v>1038</v>
      </c>
      <c r="H134" s="1774" t="s">
        <v>375</v>
      </c>
      <c r="I134" s="1775"/>
      <c r="J134" s="1775"/>
      <c r="K134" s="1775"/>
      <c r="L134" s="1775"/>
      <c r="M134" s="1776"/>
    </row>
    <row r="135" spans="1:13" s="906" customFormat="1" ht="17.25" customHeight="1" x14ac:dyDescent="0.2">
      <c r="A135" s="1814" t="s">
        <v>2318</v>
      </c>
      <c r="B135" s="1815"/>
      <c r="C135" s="1815"/>
      <c r="D135" s="1815"/>
      <c r="E135" s="1815"/>
      <c r="F135" s="1816"/>
      <c r="G135" s="1087" t="s">
        <v>1038</v>
      </c>
      <c r="H135" s="1780" t="s">
        <v>376</v>
      </c>
      <c r="I135" s="1781"/>
      <c r="J135" s="1781"/>
      <c r="K135" s="1781"/>
      <c r="L135" s="1781"/>
      <c r="M135" s="1782"/>
    </row>
    <row r="136" spans="1:13" s="906" customFormat="1" ht="17.25" customHeight="1" x14ac:dyDescent="0.2">
      <c r="A136" s="1946"/>
      <c r="B136" s="1947"/>
      <c r="C136" s="1947"/>
      <c r="D136" s="1947"/>
      <c r="E136" s="1947"/>
      <c r="F136" s="1948"/>
      <c r="G136" s="1087"/>
      <c r="H136" s="1790" t="s">
        <v>377</v>
      </c>
      <c r="I136" s="1791"/>
      <c r="J136" s="1791"/>
      <c r="K136" s="1791"/>
      <c r="L136" s="1791"/>
      <c r="M136" s="1792"/>
    </row>
    <row r="137" spans="1:13" s="906" customFormat="1" ht="17.25" customHeight="1" x14ac:dyDescent="0.2">
      <c r="A137" s="1814"/>
      <c r="B137" s="1815"/>
      <c r="C137" s="1815"/>
      <c r="D137" s="1815"/>
      <c r="E137" s="1815"/>
      <c r="F137" s="1816"/>
      <c r="G137" s="1087"/>
      <c r="H137" s="1799" t="s">
        <v>461</v>
      </c>
      <c r="I137" s="1800"/>
      <c r="J137" s="1800"/>
      <c r="K137" s="1800"/>
      <c r="L137" s="1800"/>
      <c r="M137" s="1801"/>
    </row>
    <row r="138" spans="1:13" s="906" customFormat="1" ht="17.25" customHeight="1" x14ac:dyDescent="0.2">
      <c r="A138" s="1814"/>
      <c r="B138" s="1815"/>
      <c r="C138" s="1815"/>
      <c r="D138" s="1815"/>
      <c r="E138" s="1815"/>
      <c r="F138" s="1816"/>
      <c r="G138" s="1087"/>
      <c r="H138" s="1805" t="s">
        <v>462</v>
      </c>
      <c r="I138" s="1806"/>
      <c r="J138" s="1806"/>
      <c r="K138" s="1806"/>
      <c r="L138" s="1806"/>
      <c r="M138" s="1807"/>
    </row>
    <row r="139" spans="1:13" s="906" customFormat="1" ht="17.25" customHeight="1" x14ac:dyDescent="0.2">
      <c r="A139" s="1896"/>
      <c r="B139" s="1897"/>
      <c r="C139" s="1897"/>
      <c r="D139" s="1897"/>
      <c r="E139" s="1897"/>
      <c r="F139" s="1898"/>
      <c r="G139" s="1087"/>
      <c r="H139" s="1811" t="s">
        <v>463</v>
      </c>
      <c r="I139" s="1812"/>
      <c r="J139" s="1812"/>
      <c r="K139" s="1812"/>
      <c r="L139" s="1812"/>
      <c r="M139" s="1813"/>
    </row>
    <row r="140" spans="1:13" s="906" customFormat="1" ht="18.75" customHeight="1" x14ac:dyDescent="0.2">
      <c r="A140" s="1896" t="s">
        <v>2354</v>
      </c>
      <c r="B140" s="1897"/>
      <c r="C140" s="1897"/>
      <c r="D140" s="1897"/>
      <c r="E140" s="1897"/>
      <c r="F140" s="1898"/>
      <c r="G140" s="1087" t="s">
        <v>1037</v>
      </c>
      <c r="H140" s="1817" t="s">
        <v>464</v>
      </c>
      <c r="I140" s="1818"/>
      <c r="J140" s="1818"/>
      <c r="K140" s="1818"/>
      <c r="L140" s="1818"/>
      <c r="M140" s="1819"/>
    </row>
    <row r="141" spans="1:13" s="906" customFormat="1" ht="15.75" customHeight="1" x14ac:dyDescent="0.2">
      <c r="A141" s="1949" t="s">
        <v>2406</v>
      </c>
      <c r="B141" s="1950"/>
      <c r="C141" s="1950"/>
      <c r="D141" s="1950"/>
      <c r="E141" s="1950"/>
      <c r="F141" s="1951"/>
      <c r="G141" s="1087" t="s">
        <v>1037</v>
      </c>
      <c r="H141" s="1823" t="s">
        <v>465</v>
      </c>
      <c r="I141" s="1824"/>
      <c r="J141" s="1824"/>
      <c r="K141" s="1824"/>
      <c r="L141" s="1824"/>
      <c r="M141" s="1825"/>
    </row>
    <row r="142" spans="1:13" s="906" customFormat="1" ht="15.75" customHeight="1" thickBot="1" x14ac:dyDescent="0.25">
      <c r="A142" s="1890" t="s">
        <v>1036</v>
      </c>
      <c r="B142" s="1891"/>
      <c r="C142" s="1891"/>
      <c r="D142" s="1891"/>
      <c r="E142" s="1891"/>
      <c r="F142" s="1892"/>
      <c r="G142" s="1095" t="s">
        <v>1037</v>
      </c>
      <c r="H142" s="1796"/>
      <c r="I142" s="1797"/>
      <c r="J142" s="1797"/>
      <c r="K142" s="1797"/>
      <c r="L142" s="1797"/>
      <c r="M142" s="1798"/>
    </row>
    <row r="143" spans="1:13" s="903" customFormat="1" ht="16.5" customHeight="1" thickTop="1" x14ac:dyDescent="0.2">
      <c r="C143" s="902"/>
      <c r="D143" s="902"/>
      <c r="E143" s="902"/>
      <c r="F143" s="902"/>
      <c r="G143" s="902"/>
      <c r="H143" s="902"/>
      <c r="I143" s="902"/>
      <c r="J143" s="902"/>
      <c r="K143" s="902"/>
      <c r="L143" s="902"/>
    </row>
    <row r="144" spans="1:13" s="816" customFormat="1" x14ac:dyDescent="0.2">
      <c r="A144" s="1832" t="s">
        <v>1033</v>
      </c>
      <c r="B144" s="1832"/>
      <c r="C144" s="1905">
        <v>2</v>
      </c>
      <c r="D144" s="1905"/>
      <c r="E144" s="1905"/>
      <c r="F144" s="1905"/>
      <c r="G144" s="1905"/>
      <c r="H144" s="1905"/>
      <c r="I144" s="1905"/>
      <c r="J144" s="1905"/>
      <c r="K144" s="733"/>
      <c r="L144" s="733"/>
    </row>
    <row r="145" spans="1:13" s="816" customFormat="1" ht="12.75" customHeight="1" x14ac:dyDescent="0.2">
      <c r="A145" s="1832" t="s">
        <v>1034</v>
      </c>
      <c r="B145" s="1832"/>
      <c r="C145" s="1905" t="s">
        <v>2741</v>
      </c>
      <c r="D145" s="1905"/>
      <c r="E145" s="1905"/>
      <c r="F145" s="1905"/>
      <c r="G145" s="1905"/>
      <c r="H145" s="1905"/>
      <c r="I145" s="1905"/>
      <c r="J145" s="1905"/>
      <c r="K145" s="1905"/>
      <c r="L145" s="1905"/>
    </row>
    <row r="146" spans="1:13" s="816" customFormat="1" ht="15" customHeight="1" thickBot="1" x14ac:dyDescent="0.25">
      <c r="A146" s="819"/>
      <c r="B146" s="819"/>
      <c r="C146" s="818"/>
      <c r="D146" s="818"/>
      <c r="E146" s="818"/>
      <c r="F146" s="818"/>
      <c r="G146" s="818"/>
      <c r="H146" s="818"/>
      <c r="I146" s="818"/>
      <c r="J146" s="818"/>
    </row>
    <row r="147" spans="1:13" s="1084" customFormat="1" ht="18.75" thickTop="1" x14ac:dyDescent="0.2">
      <c r="A147" s="1826"/>
      <c r="B147" s="1827"/>
      <c r="C147" s="1827"/>
      <c r="D147" s="1827"/>
      <c r="E147" s="1827"/>
      <c r="F147" s="1828"/>
      <c r="G147" s="1088"/>
      <c r="H147" s="1829"/>
      <c r="I147" s="1830"/>
      <c r="J147" s="1830"/>
      <c r="K147" s="1830"/>
      <c r="L147" s="1830"/>
      <c r="M147" s="1831"/>
    </row>
    <row r="148" spans="1:13" s="1118" customFormat="1" ht="65.099999999999994" customHeight="1" x14ac:dyDescent="0.2">
      <c r="A148" s="1771"/>
      <c r="B148" s="1772"/>
      <c r="C148" s="1772"/>
      <c r="D148" s="1772"/>
      <c r="E148" s="1772"/>
      <c r="F148" s="1773"/>
      <c r="G148" s="1122"/>
      <c r="H148" s="1119"/>
      <c r="I148" s="1120"/>
      <c r="J148" s="1120"/>
      <c r="K148" s="1120"/>
      <c r="L148" s="1120"/>
      <c r="M148" s="1121"/>
    </row>
    <row r="149" spans="1:13" s="817" customFormat="1" ht="30" customHeight="1" x14ac:dyDescent="0.2">
      <c r="A149" s="1930" t="s">
        <v>2222</v>
      </c>
      <c r="B149" s="1931"/>
      <c r="C149" s="1931"/>
      <c r="D149" s="1931"/>
      <c r="E149" s="1931"/>
      <c r="F149" s="1932"/>
      <c r="G149" s="208" t="s">
        <v>466</v>
      </c>
      <c r="H149" s="1085"/>
      <c r="I149" s="1086"/>
      <c r="J149" s="1086"/>
      <c r="K149" s="1086"/>
      <c r="L149" s="1086"/>
      <c r="M149" s="1091"/>
    </row>
    <row r="150" spans="1:13" s="817" customFormat="1" ht="17.25" customHeight="1" x14ac:dyDescent="0.2">
      <c r="A150" s="1814" t="s">
        <v>2415</v>
      </c>
      <c r="B150" s="1815"/>
      <c r="C150" s="1815"/>
      <c r="D150" s="1815"/>
      <c r="E150" s="1815"/>
      <c r="F150" s="1816"/>
      <c r="G150" s="208" t="s">
        <v>1038</v>
      </c>
      <c r="H150" s="1085"/>
      <c r="I150" s="1086"/>
      <c r="J150" s="1086"/>
      <c r="K150" s="1086"/>
      <c r="L150" s="1086"/>
      <c r="M150" s="1091"/>
    </row>
    <row r="151" spans="1:13" s="817" customFormat="1" ht="17.25" customHeight="1" x14ac:dyDescent="0.2">
      <c r="A151" s="1814" t="s">
        <v>2416</v>
      </c>
      <c r="B151" s="1815"/>
      <c r="C151" s="1815"/>
      <c r="D151" s="1815"/>
      <c r="E151" s="1815"/>
      <c r="F151" s="1816"/>
      <c r="G151" s="208" t="s">
        <v>1038</v>
      </c>
      <c r="H151" s="1085"/>
      <c r="I151" s="1086"/>
      <c r="J151" s="1086"/>
      <c r="K151" s="1086"/>
      <c r="L151" s="1086"/>
      <c r="M151" s="1091"/>
    </row>
    <row r="152" spans="1:13" s="817" customFormat="1" ht="17.25" customHeight="1" x14ac:dyDescent="0.2">
      <c r="A152" s="1814" t="s">
        <v>2740</v>
      </c>
      <c r="B152" s="1815"/>
      <c r="C152" s="1815"/>
      <c r="D152" s="1815"/>
      <c r="E152" s="1815"/>
      <c r="F152" s="1816"/>
      <c r="G152" s="208" t="s">
        <v>1038</v>
      </c>
      <c r="H152" s="1085"/>
      <c r="I152" s="1086"/>
      <c r="J152" s="1086"/>
      <c r="K152" s="1086"/>
      <c r="L152" s="1086"/>
      <c r="M152" s="1091"/>
    </row>
    <row r="153" spans="1:13" s="817" customFormat="1" ht="17.25" customHeight="1" x14ac:dyDescent="0.2">
      <c r="A153" s="1814" t="s">
        <v>2414</v>
      </c>
      <c r="B153" s="1815"/>
      <c r="C153" s="1815"/>
      <c r="D153" s="1815"/>
      <c r="E153" s="1815"/>
      <c r="F153" s="1816"/>
      <c r="G153" s="208" t="s">
        <v>1038</v>
      </c>
      <c r="H153" s="1085"/>
      <c r="I153" s="1086"/>
      <c r="J153" s="1086"/>
      <c r="K153" s="1086"/>
      <c r="L153" s="1086"/>
      <c r="M153" s="1091"/>
    </row>
    <row r="154" spans="1:13" s="817" customFormat="1" ht="17.25" customHeight="1" x14ac:dyDescent="0.2">
      <c r="A154" s="1856" t="s">
        <v>2405</v>
      </c>
      <c r="B154" s="1857"/>
      <c r="C154" s="1857"/>
      <c r="D154" s="1857"/>
      <c r="E154" s="1857"/>
      <c r="F154" s="1858"/>
      <c r="G154" s="208" t="s">
        <v>1038</v>
      </c>
      <c r="H154" s="1774" t="s">
        <v>375</v>
      </c>
      <c r="I154" s="1775"/>
      <c r="J154" s="1775"/>
      <c r="K154" s="1775"/>
      <c r="L154" s="1775"/>
      <c r="M154" s="1776"/>
    </row>
    <row r="155" spans="1:13" s="817" customFormat="1" ht="17.25" customHeight="1" x14ac:dyDescent="0.2">
      <c r="A155" s="1893" t="s">
        <v>2807</v>
      </c>
      <c r="B155" s="1857"/>
      <c r="C155" s="1857"/>
      <c r="D155" s="1857"/>
      <c r="E155" s="1857"/>
      <c r="F155" s="1858"/>
      <c r="G155" s="208" t="s">
        <v>1037</v>
      </c>
      <c r="H155" s="1780" t="s">
        <v>376</v>
      </c>
      <c r="I155" s="1781"/>
      <c r="J155" s="1781"/>
      <c r="K155" s="1781"/>
      <c r="L155" s="1781"/>
      <c r="M155" s="1782"/>
    </row>
    <row r="156" spans="1:13" s="817" customFormat="1" ht="17.25" customHeight="1" x14ac:dyDescent="0.2">
      <c r="A156" s="1893" t="s">
        <v>2808</v>
      </c>
      <c r="B156" s="1894"/>
      <c r="C156" s="1894"/>
      <c r="D156" s="1894"/>
      <c r="E156" s="1894"/>
      <c r="F156" s="1895"/>
      <c r="G156" s="208" t="s">
        <v>1037</v>
      </c>
      <c r="H156" s="1790" t="s">
        <v>377</v>
      </c>
      <c r="I156" s="1791"/>
      <c r="J156" s="1791"/>
      <c r="K156" s="1791"/>
      <c r="L156" s="1791"/>
      <c r="M156" s="1792"/>
    </row>
    <row r="157" spans="1:13" s="817" customFormat="1" ht="17.25" customHeight="1" x14ac:dyDescent="0.2">
      <c r="A157" s="1896" t="s">
        <v>2806</v>
      </c>
      <c r="B157" s="1897"/>
      <c r="C157" s="1897"/>
      <c r="D157" s="1897"/>
      <c r="E157" s="1897"/>
      <c r="F157" s="1898"/>
      <c r="G157" s="208" t="s">
        <v>1037</v>
      </c>
      <c r="H157" s="1799" t="s">
        <v>461</v>
      </c>
      <c r="I157" s="1800"/>
      <c r="J157" s="1800"/>
      <c r="K157" s="1800"/>
      <c r="L157" s="1800"/>
      <c r="M157" s="1801"/>
    </row>
    <row r="158" spans="1:13" s="817" customFormat="1" ht="17.25" customHeight="1" x14ac:dyDescent="0.2">
      <c r="A158" s="1896"/>
      <c r="B158" s="1897"/>
      <c r="C158" s="1897"/>
      <c r="D158" s="1897"/>
      <c r="E158" s="1897"/>
      <c r="F158" s="1898"/>
      <c r="G158" s="208" t="s">
        <v>1037</v>
      </c>
      <c r="H158" s="1805" t="s">
        <v>462</v>
      </c>
      <c r="I158" s="1806"/>
      <c r="J158" s="1806"/>
      <c r="K158" s="1806"/>
      <c r="L158" s="1806"/>
      <c r="M158" s="1807"/>
    </row>
    <row r="159" spans="1:13" s="817" customFormat="1" ht="17.25" customHeight="1" x14ac:dyDescent="0.2">
      <c r="A159" s="1893"/>
      <c r="B159" s="1894"/>
      <c r="C159" s="1894"/>
      <c r="D159" s="1894"/>
      <c r="E159" s="1894"/>
      <c r="F159" s="1895"/>
      <c r="G159" s="208"/>
      <c r="H159" s="1811" t="s">
        <v>463</v>
      </c>
      <c r="I159" s="1812"/>
      <c r="J159" s="1812"/>
      <c r="K159" s="1812"/>
      <c r="L159" s="1812"/>
      <c r="M159" s="1813"/>
    </row>
    <row r="160" spans="1:13" s="817" customFormat="1" ht="17.25" customHeight="1" x14ac:dyDescent="0.2">
      <c r="A160" s="1848"/>
      <c r="B160" s="1849"/>
      <c r="C160" s="1849"/>
      <c r="D160" s="1849"/>
      <c r="E160" s="1849"/>
      <c r="F160" s="1850"/>
      <c r="G160" s="208"/>
      <c r="H160" s="1817" t="s">
        <v>464</v>
      </c>
      <c r="I160" s="1818"/>
      <c r="J160" s="1818"/>
      <c r="K160" s="1818"/>
      <c r="L160" s="1818"/>
      <c r="M160" s="1819"/>
    </row>
    <row r="161" spans="1:13" s="817" customFormat="1" ht="15.75" customHeight="1" x14ac:dyDescent="0.2">
      <c r="A161" s="1851" t="s">
        <v>2329</v>
      </c>
      <c r="B161" s="1852"/>
      <c r="C161" s="1852"/>
      <c r="D161" s="1852"/>
      <c r="E161" s="1852"/>
      <c r="F161" s="1853"/>
      <c r="G161" s="208" t="s">
        <v>1037</v>
      </c>
      <c r="H161" s="1823" t="s">
        <v>465</v>
      </c>
      <c r="I161" s="1824"/>
      <c r="J161" s="1824"/>
      <c r="K161" s="1824"/>
      <c r="L161" s="1824"/>
      <c r="M161" s="1825"/>
    </row>
    <row r="162" spans="1:13" s="817" customFormat="1" ht="15.75" customHeight="1" thickBot="1" x14ac:dyDescent="0.25">
      <c r="A162" s="1890" t="s">
        <v>2805</v>
      </c>
      <c r="B162" s="1891"/>
      <c r="C162" s="1891"/>
      <c r="D162" s="1891"/>
      <c r="E162" s="1891"/>
      <c r="F162" s="1892"/>
      <c r="G162" s="319" t="s">
        <v>1037</v>
      </c>
      <c r="H162" s="1796"/>
      <c r="I162" s="1797"/>
      <c r="J162" s="1797"/>
      <c r="K162" s="1797"/>
      <c r="L162" s="1797"/>
      <c r="M162" s="1798"/>
    </row>
    <row r="163" spans="1:13" s="816" customFormat="1" ht="15" customHeight="1" thickTop="1" x14ac:dyDescent="0.2">
      <c r="A163" s="815"/>
      <c r="B163" s="815"/>
      <c r="C163" s="815"/>
      <c r="D163" s="815"/>
      <c r="E163" s="815"/>
      <c r="F163" s="815"/>
      <c r="G163" s="815"/>
      <c r="H163" s="815"/>
      <c r="I163" s="815"/>
      <c r="J163" s="815"/>
    </row>
    <row r="164" spans="1:13" x14ac:dyDescent="0.2">
      <c r="A164" s="1832" t="s">
        <v>1033</v>
      </c>
      <c r="B164" s="1832"/>
      <c r="C164" s="1833">
        <v>3</v>
      </c>
      <c r="D164" s="1833"/>
      <c r="E164" s="1833"/>
      <c r="F164" s="1833"/>
      <c r="G164" s="1833"/>
      <c r="H164" s="1833"/>
      <c r="I164" s="1833"/>
      <c r="J164" s="1833"/>
    </row>
    <row r="165" spans="1:13" ht="15" customHeight="1" x14ac:dyDescent="0.2">
      <c r="A165" s="1832" t="s">
        <v>1034</v>
      </c>
      <c r="B165" s="1832"/>
      <c r="C165" s="1889" t="s">
        <v>2065</v>
      </c>
      <c r="D165" s="1889"/>
      <c r="E165" s="1889"/>
      <c r="F165" s="1889"/>
      <c r="G165" s="1889"/>
      <c r="H165" s="1889"/>
      <c r="I165" s="1889"/>
      <c r="J165" s="1889"/>
    </row>
    <row r="166" spans="1:13" s="823" customFormat="1" ht="13.15" customHeight="1" x14ac:dyDescent="0.2">
      <c r="A166" s="1834" t="s">
        <v>2218</v>
      </c>
      <c r="B166" s="1920"/>
      <c r="C166" s="1836" t="s">
        <v>2809</v>
      </c>
      <c r="D166" s="1836"/>
      <c r="E166" s="1836"/>
      <c r="F166" s="1836"/>
      <c r="G166" s="1836"/>
      <c r="H166" s="1836"/>
      <c r="I166" s="1836"/>
      <c r="J166" s="1836"/>
      <c r="K166" s="1836"/>
      <c r="L166" s="1837"/>
    </row>
    <row r="167" spans="1:13" s="679" customFormat="1" ht="15" customHeight="1" x14ac:dyDescent="0.2">
      <c r="A167" s="686"/>
      <c r="B167" s="686"/>
      <c r="C167" s="728"/>
      <c r="D167" s="728"/>
      <c r="E167" s="728"/>
      <c r="F167" s="728"/>
      <c r="G167" s="728"/>
      <c r="H167" s="728"/>
      <c r="I167" s="728"/>
      <c r="J167" s="728"/>
    </row>
    <row r="168" spans="1:13" s="679" customFormat="1" ht="15" customHeight="1" x14ac:dyDescent="0.2">
      <c r="A168" s="686"/>
      <c r="B168" s="686"/>
      <c r="C168" s="728"/>
      <c r="D168" s="728"/>
      <c r="E168" s="728"/>
      <c r="F168" s="728"/>
      <c r="G168" s="728"/>
      <c r="H168" s="728"/>
      <c r="I168" s="728"/>
      <c r="J168" s="861"/>
    </row>
    <row r="169" spans="1:13" s="679" customFormat="1" ht="15" customHeight="1" x14ac:dyDescent="0.2">
      <c r="A169" s="686"/>
      <c r="B169" s="686"/>
      <c r="C169" s="728"/>
      <c r="D169" s="728"/>
      <c r="E169" s="728"/>
      <c r="F169" s="728"/>
      <c r="G169" s="728"/>
      <c r="H169" s="728"/>
      <c r="I169" s="728"/>
      <c r="J169" s="861"/>
    </row>
    <row r="170" spans="1:13" s="679" customFormat="1" ht="15" customHeight="1" x14ac:dyDescent="0.2">
      <c r="A170" s="686"/>
      <c r="B170" s="686"/>
      <c r="C170" s="728"/>
      <c r="D170" s="728"/>
      <c r="E170" s="728"/>
      <c r="F170" s="728"/>
      <c r="G170" s="728"/>
      <c r="H170" s="728"/>
      <c r="I170" s="728"/>
      <c r="J170" s="728"/>
    </row>
    <row r="171" spans="1:13" ht="15" customHeight="1" x14ac:dyDescent="0.2">
      <c r="A171" s="156"/>
      <c r="B171" s="156"/>
      <c r="C171" s="207"/>
      <c r="D171" s="207"/>
      <c r="E171" s="207"/>
      <c r="F171" s="207"/>
      <c r="G171" s="207"/>
      <c r="H171" s="207"/>
      <c r="I171" s="207"/>
      <c r="J171" s="207"/>
    </row>
    <row r="172" spans="1:13" s="679" customFormat="1" ht="15" customHeight="1" x14ac:dyDescent="0.2">
      <c r="A172" s="685"/>
      <c r="B172" s="685"/>
      <c r="C172" s="686"/>
      <c r="D172" s="686"/>
      <c r="E172" s="686"/>
      <c r="F172" s="686"/>
      <c r="G172" s="686"/>
      <c r="H172" s="686"/>
      <c r="I172" s="686"/>
      <c r="J172" s="686"/>
    </row>
    <row r="173" spans="1:13" s="679" customFormat="1" ht="15" customHeight="1" x14ac:dyDescent="0.2">
      <c r="A173" s="685"/>
      <c r="B173" s="685"/>
      <c r="C173" s="686"/>
      <c r="D173" s="686"/>
      <c r="E173" s="686"/>
      <c r="F173" s="686"/>
      <c r="G173" s="686"/>
      <c r="H173" s="686"/>
      <c r="I173" s="686"/>
      <c r="J173" s="686"/>
    </row>
    <row r="174" spans="1:13" s="679" customFormat="1" ht="15" customHeight="1" x14ac:dyDescent="0.2">
      <c r="A174" s="685"/>
      <c r="B174" s="685"/>
      <c r="C174" s="686"/>
      <c r="D174" s="686"/>
      <c r="E174" s="686"/>
      <c r="F174" s="686"/>
      <c r="G174" s="686"/>
      <c r="H174" s="686"/>
      <c r="I174" s="686"/>
      <c r="J174" s="686"/>
    </row>
    <row r="175" spans="1:13" s="679" customFormat="1" ht="15" customHeight="1" x14ac:dyDescent="0.2">
      <c r="A175" s="685"/>
      <c r="B175" s="685"/>
      <c r="C175" s="686"/>
      <c r="D175" s="686"/>
      <c r="E175" s="686"/>
      <c r="F175" s="686"/>
      <c r="G175" s="686"/>
      <c r="H175" s="686"/>
      <c r="I175" s="686"/>
      <c r="J175" s="686"/>
    </row>
    <row r="176" spans="1:13" s="679" customFormat="1" ht="15" customHeight="1" x14ac:dyDescent="0.2">
      <c r="A176" s="685"/>
      <c r="B176" s="685"/>
      <c r="C176" s="686"/>
      <c r="D176" s="686"/>
      <c r="E176" s="686"/>
      <c r="F176" s="686"/>
      <c r="G176" s="686"/>
      <c r="H176" s="686"/>
      <c r="I176" s="686"/>
      <c r="J176" s="686"/>
    </row>
    <row r="177" spans="1:12" s="679" customFormat="1" ht="15" customHeight="1" x14ac:dyDescent="0.2">
      <c r="A177" s="685"/>
      <c r="B177" s="685"/>
      <c r="C177" s="686"/>
      <c r="D177" s="686"/>
      <c r="E177" s="686"/>
      <c r="F177" s="686"/>
      <c r="G177" s="686"/>
      <c r="H177" s="686"/>
      <c r="I177" s="686"/>
      <c r="J177" s="686"/>
    </row>
    <row r="178" spans="1:12" s="679" customFormat="1" ht="15" customHeight="1" x14ac:dyDescent="0.2">
      <c r="A178" s="685"/>
      <c r="B178" s="685"/>
      <c r="C178" s="686"/>
      <c r="D178" s="686"/>
      <c r="E178" s="686"/>
      <c r="F178" s="686"/>
      <c r="G178" s="686"/>
      <c r="H178" s="686"/>
      <c r="I178" s="686"/>
      <c r="J178" s="686"/>
    </row>
    <row r="179" spans="1:12" s="679" customFormat="1" ht="15" customHeight="1" x14ac:dyDescent="0.2">
      <c r="A179" s="685"/>
      <c r="B179" s="685"/>
      <c r="C179" s="686"/>
      <c r="D179" s="686"/>
      <c r="E179" s="686"/>
      <c r="F179" s="686"/>
      <c r="G179" s="686"/>
      <c r="H179" s="686"/>
      <c r="I179" s="686"/>
      <c r="J179" s="686"/>
    </row>
    <row r="180" spans="1:12" s="679" customFormat="1" ht="15" customHeight="1" x14ac:dyDescent="0.2">
      <c r="A180" s="685"/>
      <c r="B180" s="685"/>
      <c r="C180" s="686"/>
      <c r="D180" s="686"/>
      <c r="E180" s="686"/>
      <c r="F180" s="686"/>
      <c r="G180" s="686"/>
      <c r="H180" s="686"/>
      <c r="I180" s="686"/>
      <c r="J180" s="686"/>
    </row>
    <row r="181" spans="1:12" s="679" customFormat="1" ht="15" customHeight="1" x14ac:dyDescent="0.2">
      <c r="A181" s="685"/>
      <c r="B181" s="685"/>
      <c r="C181" s="686"/>
      <c r="D181" s="686"/>
      <c r="E181" s="686"/>
      <c r="F181" s="686"/>
      <c r="G181" s="686"/>
      <c r="H181" s="686"/>
      <c r="I181" s="686"/>
      <c r="J181" s="686"/>
    </row>
    <row r="182" spans="1:12" s="679" customFormat="1" ht="15" customHeight="1" x14ac:dyDescent="0.2">
      <c r="A182" s="685"/>
      <c r="B182" s="685"/>
      <c r="C182" s="686"/>
      <c r="D182" s="686"/>
      <c r="E182" s="686"/>
      <c r="F182" s="686"/>
      <c r="G182" s="686"/>
      <c r="H182" s="686"/>
      <c r="I182" s="686"/>
      <c r="J182" s="686"/>
    </row>
    <row r="183" spans="1:12" s="679" customFormat="1" ht="15" customHeight="1" x14ac:dyDescent="0.2">
      <c r="A183" s="685"/>
      <c r="B183" s="685"/>
      <c r="C183" s="686"/>
      <c r="D183" s="686"/>
      <c r="E183" s="686"/>
      <c r="F183" s="686"/>
      <c r="G183" s="686"/>
      <c r="H183" s="686"/>
      <c r="I183" s="686"/>
      <c r="J183" s="686"/>
    </row>
    <row r="184" spans="1:12" s="679" customFormat="1" ht="15" customHeight="1" x14ac:dyDescent="0.2">
      <c r="A184" s="685"/>
      <c r="B184" s="685"/>
      <c r="C184" s="686"/>
      <c r="D184" s="686"/>
      <c r="E184" s="686"/>
      <c r="F184" s="686"/>
      <c r="G184" s="686"/>
      <c r="H184" s="686"/>
      <c r="I184" s="686"/>
      <c r="J184" s="686"/>
    </row>
    <row r="185" spans="1:12" s="679" customFormat="1" ht="15" customHeight="1" x14ac:dyDescent="0.2">
      <c r="A185" s="685"/>
      <c r="B185" s="685"/>
      <c r="C185" s="686"/>
      <c r="D185" s="686"/>
      <c r="E185" s="686"/>
      <c r="F185" s="686"/>
      <c r="G185" s="686"/>
      <c r="H185" s="686"/>
      <c r="I185" s="686"/>
      <c r="J185" s="686"/>
    </row>
    <row r="186" spans="1:12" s="679" customFormat="1" ht="15" customHeight="1" x14ac:dyDescent="0.2">
      <c r="A186" s="685"/>
      <c r="B186" s="685"/>
      <c r="C186" s="686"/>
      <c r="D186" s="686"/>
      <c r="E186" s="686"/>
      <c r="F186" s="686"/>
      <c r="G186" s="686"/>
      <c r="H186" s="686"/>
      <c r="I186" s="686"/>
      <c r="J186" s="686"/>
    </row>
    <row r="187" spans="1:12" s="679" customFormat="1" ht="15" customHeight="1" x14ac:dyDescent="0.2">
      <c r="A187" s="685"/>
      <c r="B187" s="685"/>
      <c r="C187" s="686"/>
      <c r="D187" s="686"/>
      <c r="E187" s="686"/>
      <c r="F187" s="686"/>
      <c r="G187" s="686"/>
      <c r="H187" s="686"/>
      <c r="I187" s="686"/>
      <c r="J187" s="686"/>
    </row>
    <row r="188" spans="1:12" s="1083" customFormat="1" ht="15" customHeight="1" x14ac:dyDescent="0.2">
      <c r="A188" s="1090"/>
      <c r="B188" s="1090"/>
      <c r="C188" s="1089"/>
      <c r="D188" s="1089"/>
      <c r="E188" s="1089"/>
      <c r="F188" s="1089"/>
      <c r="G188" s="1089"/>
      <c r="H188" s="1089"/>
      <c r="I188" s="1089"/>
      <c r="J188" s="1089"/>
    </row>
    <row r="189" spans="1:12" s="1159" customFormat="1" x14ac:dyDescent="0.2">
      <c r="A189" s="1909" t="s">
        <v>1033</v>
      </c>
      <c r="B189" s="1909"/>
      <c r="C189" s="1941">
        <v>4</v>
      </c>
      <c r="D189" s="1941"/>
      <c r="E189" s="1941"/>
      <c r="F189" s="1941"/>
      <c r="G189" s="1941"/>
      <c r="H189" s="1941"/>
      <c r="I189" s="1941"/>
      <c r="J189" s="1941"/>
    </row>
    <row r="190" spans="1:12" s="1159" customFormat="1" x14ac:dyDescent="0.2">
      <c r="A190" s="1909" t="s">
        <v>1052</v>
      </c>
      <c r="B190" s="1909"/>
      <c r="C190" s="1919" t="s">
        <v>1922</v>
      </c>
      <c r="D190" s="1919"/>
      <c r="E190" s="1919"/>
      <c r="F190" s="1919"/>
      <c r="G190" s="1919"/>
      <c r="H190" s="1919"/>
      <c r="I190" s="1919"/>
      <c r="J190" s="1919"/>
      <c r="K190" s="1919"/>
      <c r="L190" s="1919"/>
    </row>
    <row r="191" spans="1:12" s="1159" customFormat="1" x14ac:dyDescent="0.2">
      <c r="A191" s="1909" t="s">
        <v>2325</v>
      </c>
      <c r="B191" s="1909"/>
      <c r="C191" s="1919" t="s">
        <v>2326</v>
      </c>
      <c r="D191" s="1919"/>
      <c r="E191" s="1919"/>
      <c r="F191" s="1919"/>
      <c r="G191" s="1919"/>
      <c r="H191" s="1919"/>
      <c r="I191" s="1919"/>
      <c r="J191" s="1919"/>
      <c r="K191" s="1919"/>
      <c r="L191" s="1919"/>
    </row>
    <row r="192" spans="1:12" s="1159" customFormat="1" ht="15" customHeight="1" thickBot="1" x14ac:dyDescent="0.25">
      <c r="A192" s="1160"/>
      <c r="B192" s="1160"/>
      <c r="C192" s="1161"/>
      <c r="D192" s="1161"/>
      <c r="E192" s="1161"/>
      <c r="F192" s="1161"/>
      <c r="G192" s="1161"/>
      <c r="H192" s="1161"/>
      <c r="I192" s="1161"/>
      <c r="J192" s="1161"/>
    </row>
    <row r="193" spans="1:13" s="1163" customFormat="1" ht="18.75" thickTop="1" x14ac:dyDescent="0.2">
      <c r="A193" s="1970"/>
      <c r="B193" s="1971"/>
      <c r="C193" s="1971"/>
      <c r="D193" s="1971"/>
      <c r="E193" s="1971"/>
      <c r="F193" s="1972"/>
      <c r="G193" s="1162"/>
      <c r="H193" s="1938"/>
      <c r="I193" s="1939"/>
      <c r="J193" s="1939"/>
      <c r="K193" s="1939"/>
      <c r="L193" s="1939"/>
      <c r="M193" s="1940"/>
    </row>
    <row r="194" spans="1:13" s="1163" customFormat="1" ht="65.099999999999994" customHeight="1" x14ac:dyDescent="0.2">
      <c r="A194" s="1964"/>
      <c r="B194" s="1965"/>
      <c r="C194" s="1965"/>
      <c r="D194" s="1965"/>
      <c r="E194" s="1965"/>
      <c r="F194" s="1966"/>
      <c r="G194" s="1164"/>
      <c r="H194" s="1165"/>
      <c r="I194" s="1166"/>
      <c r="J194" s="1166"/>
      <c r="K194" s="1166"/>
      <c r="L194" s="1166"/>
      <c r="M194" s="1167"/>
    </row>
    <row r="195" spans="1:13" s="1163" customFormat="1" ht="17.25" customHeight="1" x14ac:dyDescent="0.2">
      <c r="A195" s="1910"/>
      <c r="B195" s="1911"/>
      <c r="C195" s="1911"/>
      <c r="D195" s="1911"/>
      <c r="E195" s="1911"/>
      <c r="F195" s="1912"/>
      <c r="G195" s="1168"/>
      <c r="H195" s="1169"/>
      <c r="I195" s="1170"/>
      <c r="J195" s="1170"/>
      <c r="K195" s="1170"/>
      <c r="L195" s="1170"/>
      <c r="M195" s="1171"/>
    </row>
    <row r="196" spans="1:13" s="1163" customFormat="1" ht="21.6" customHeight="1" x14ac:dyDescent="0.2">
      <c r="A196" s="1916" t="s">
        <v>2319</v>
      </c>
      <c r="B196" s="1917"/>
      <c r="C196" s="1917"/>
      <c r="D196" s="1917"/>
      <c r="E196" s="1917"/>
      <c r="F196" s="1918"/>
      <c r="G196" s="1168" t="s">
        <v>466</v>
      </c>
      <c r="H196" s="1169"/>
      <c r="I196" s="1170"/>
      <c r="J196" s="1170"/>
      <c r="K196" s="1170"/>
      <c r="L196" s="1170"/>
      <c r="M196" s="1171"/>
    </row>
    <row r="197" spans="1:13" s="1163" customFormat="1" ht="17.25" customHeight="1" x14ac:dyDescent="0.2">
      <c r="A197" s="1916" t="s">
        <v>2320</v>
      </c>
      <c r="B197" s="1917"/>
      <c r="C197" s="1917"/>
      <c r="D197" s="1917"/>
      <c r="E197" s="1917"/>
      <c r="F197" s="1918"/>
      <c r="G197" s="1168" t="s">
        <v>466</v>
      </c>
      <c r="H197" s="1169"/>
      <c r="I197" s="1170"/>
      <c r="J197" s="1170"/>
      <c r="K197" s="1170"/>
      <c r="L197" s="1170"/>
      <c r="M197" s="1171"/>
    </row>
    <row r="198" spans="1:13" s="1163" customFormat="1" ht="17.25" customHeight="1" x14ac:dyDescent="0.2">
      <c r="A198" s="1910"/>
      <c r="B198" s="1911"/>
      <c r="C198" s="1911"/>
      <c r="D198" s="1911"/>
      <c r="E198" s="1911"/>
      <c r="F198" s="1912"/>
      <c r="G198" s="1168"/>
      <c r="H198" s="1169"/>
      <c r="I198" s="1170"/>
      <c r="J198" s="1170"/>
      <c r="K198" s="1170"/>
      <c r="L198" s="1170"/>
      <c r="M198" s="1171"/>
    </row>
    <row r="199" spans="1:13" s="1163" customFormat="1" ht="17.25" customHeight="1" x14ac:dyDescent="0.2">
      <c r="A199" s="1910" t="s">
        <v>2321</v>
      </c>
      <c r="B199" s="1911"/>
      <c r="C199" s="1911"/>
      <c r="D199" s="1911"/>
      <c r="E199" s="1911"/>
      <c r="F199" s="1912"/>
      <c r="G199" s="1168" t="s">
        <v>1038</v>
      </c>
      <c r="H199" s="1169"/>
      <c r="I199" s="1170"/>
      <c r="J199" s="1170"/>
      <c r="K199" s="1170"/>
      <c r="L199" s="1170"/>
      <c r="M199" s="1171"/>
    </row>
    <row r="200" spans="1:13" s="1163" customFormat="1" ht="17.25" customHeight="1" x14ac:dyDescent="0.2">
      <c r="A200" s="1910" t="s">
        <v>2322</v>
      </c>
      <c r="B200" s="1911"/>
      <c r="C200" s="1911"/>
      <c r="D200" s="1911"/>
      <c r="E200" s="1911"/>
      <c r="F200" s="1912"/>
      <c r="G200" s="1168" t="s">
        <v>1038</v>
      </c>
      <c r="H200" s="1924" t="s">
        <v>375</v>
      </c>
      <c r="I200" s="1925"/>
      <c r="J200" s="1925"/>
      <c r="K200" s="1925"/>
      <c r="L200" s="1925"/>
      <c r="M200" s="1926"/>
    </row>
    <row r="201" spans="1:13" s="1163" customFormat="1" ht="17.25" customHeight="1" x14ac:dyDescent="0.2">
      <c r="A201" s="1910" t="s">
        <v>2323</v>
      </c>
      <c r="B201" s="1911"/>
      <c r="C201" s="1911"/>
      <c r="D201" s="1911"/>
      <c r="E201" s="1911"/>
      <c r="F201" s="1912"/>
      <c r="G201" s="1168" t="s">
        <v>1038</v>
      </c>
      <c r="H201" s="1927" t="s">
        <v>376</v>
      </c>
      <c r="I201" s="1928"/>
      <c r="J201" s="1928"/>
      <c r="K201" s="1928"/>
      <c r="L201" s="1928"/>
      <c r="M201" s="1929"/>
    </row>
    <row r="202" spans="1:13" s="1163" customFormat="1" ht="17.25" customHeight="1" x14ac:dyDescent="0.2">
      <c r="A202" s="1910"/>
      <c r="B202" s="1911"/>
      <c r="C202" s="1911"/>
      <c r="D202" s="1911"/>
      <c r="E202" s="1911"/>
      <c r="F202" s="1912"/>
      <c r="G202" s="1168"/>
      <c r="H202" s="1952" t="s">
        <v>377</v>
      </c>
      <c r="I202" s="1953"/>
      <c r="J202" s="1953"/>
      <c r="K202" s="1953"/>
      <c r="L202" s="1953"/>
      <c r="M202" s="1954"/>
    </row>
    <row r="203" spans="1:13" s="1163" customFormat="1" ht="17.25" customHeight="1" x14ac:dyDescent="0.2">
      <c r="A203" s="1910" t="s">
        <v>2324</v>
      </c>
      <c r="B203" s="1911"/>
      <c r="C203" s="1911"/>
      <c r="D203" s="1911"/>
      <c r="E203" s="1911"/>
      <c r="F203" s="1912"/>
      <c r="G203" s="1168" t="s">
        <v>1038</v>
      </c>
      <c r="H203" s="1955" t="s">
        <v>461</v>
      </c>
      <c r="I203" s="1956"/>
      <c r="J203" s="1956"/>
      <c r="K203" s="1956"/>
      <c r="L203" s="1956"/>
      <c r="M203" s="1957"/>
    </row>
    <row r="204" spans="1:13" s="1163" customFormat="1" ht="17.25" customHeight="1" x14ac:dyDescent="0.2">
      <c r="A204" s="1921"/>
      <c r="B204" s="1922"/>
      <c r="C204" s="1922"/>
      <c r="D204" s="1922"/>
      <c r="E204" s="1922"/>
      <c r="F204" s="1923"/>
      <c r="G204" s="1168"/>
      <c r="H204" s="1958" t="s">
        <v>462</v>
      </c>
      <c r="I204" s="1959"/>
      <c r="J204" s="1959"/>
      <c r="K204" s="1959"/>
      <c r="L204" s="1959"/>
      <c r="M204" s="1960"/>
    </row>
    <row r="205" spans="1:13" s="1163" customFormat="1" ht="17.25" customHeight="1" x14ac:dyDescent="0.2">
      <c r="A205" s="1910" t="s">
        <v>2801</v>
      </c>
      <c r="B205" s="1911"/>
      <c r="C205" s="1911"/>
      <c r="D205" s="1911"/>
      <c r="E205" s="1911"/>
      <c r="F205" s="1912"/>
      <c r="G205" s="1168" t="s">
        <v>1038</v>
      </c>
      <c r="H205" s="1961" t="s">
        <v>463</v>
      </c>
      <c r="I205" s="1962"/>
      <c r="J205" s="1962"/>
      <c r="K205" s="1962"/>
      <c r="L205" s="1962"/>
      <c r="M205" s="1963"/>
    </row>
    <row r="206" spans="1:13" s="1163" customFormat="1" ht="18.75" customHeight="1" x14ac:dyDescent="0.2">
      <c r="A206" s="1967"/>
      <c r="B206" s="1968"/>
      <c r="C206" s="1968"/>
      <c r="D206" s="1968"/>
      <c r="E206" s="1968"/>
      <c r="F206" s="1969"/>
      <c r="G206" s="1168"/>
      <c r="H206" s="1973" t="s">
        <v>464</v>
      </c>
      <c r="I206" s="1974"/>
      <c r="J206" s="1974"/>
      <c r="K206" s="1974"/>
      <c r="L206" s="1974"/>
      <c r="M206" s="1975"/>
    </row>
    <row r="207" spans="1:13" s="1163" customFormat="1" ht="15.75" customHeight="1" x14ac:dyDescent="0.2">
      <c r="A207" s="1906" t="s">
        <v>1035</v>
      </c>
      <c r="B207" s="1907"/>
      <c r="C207" s="1907"/>
      <c r="D207" s="1907"/>
      <c r="E207" s="1907"/>
      <c r="F207" s="1908"/>
      <c r="G207" s="1168" t="s">
        <v>1037</v>
      </c>
      <c r="H207" s="1976" t="s">
        <v>465</v>
      </c>
      <c r="I207" s="1977"/>
      <c r="J207" s="1977"/>
      <c r="K207" s="1977"/>
      <c r="L207" s="1977"/>
      <c r="M207" s="1978"/>
    </row>
    <row r="208" spans="1:13" s="1163" customFormat="1" ht="15.75" customHeight="1" thickBot="1" x14ac:dyDescent="0.25">
      <c r="A208" s="1913" t="s">
        <v>1036</v>
      </c>
      <c r="B208" s="1914"/>
      <c r="C208" s="1914"/>
      <c r="D208" s="1914"/>
      <c r="E208" s="1914"/>
      <c r="F208" s="1915"/>
      <c r="G208" s="1172" t="s">
        <v>1037</v>
      </c>
      <c r="H208" s="1979"/>
      <c r="I208" s="1980"/>
      <c r="J208" s="1980"/>
      <c r="K208" s="1980"/>
      <c r="L208" s="1980"/>
      <c r="M208" s="1981"/>
    </row>
    <row r="209" spans="1:13" s="809" customFormat="1" ht="15" customHeight="1" thickTop="1" x14ac:dyDescent="0.2">
      <c r="A209" s="811"/>
      <c r="B209" s="811"/>
      <c r="C209" s="810"/>
      <c r="D209" s="810"/>
      <c r="E209" s="810"/>
      <c r="F209" s="810"/>
      <c r="G209" s="810"/>
      <c r="H209" s="810"/>
      <c r="I209" s="810"/>
      <c r="J209" s="810"/>
    </row>
    <row r="210" spans="1:13" s="898" customFormat="1" x14ac:dyDescent="0.2">
      <c r="A210" s="1832" t="s">
        <v>1033</v>
      </c>
      <c r="B210" s="1832"/>
      <c r="C210" s="1833">
        <v>5</v>
      </c>
      <c r="D210" s="1833"/>
      <c r="E210" s="1833"/>
      <c r="F210" s="1833"/>
      <c r="G210" s="1833"/>
      <c r="H210" s="1833"/>
      <c r="I210" s="1833"/>
      <c r="J210" s="1833"/>
    </row>
    <row r="211" spans="1:13" s="898" customFormat="1" x14ac:dyDescent="0.2">
      <c r="A211" s="1832" t="s">
        <v>1034</v>
      </c>
      <c r="B211" s="1832"/>
      <c r="C211" s="1455" t="s">
        <v>2383</v>
      </c>
      <c r="D211" s="1455"/>
      <c r="E211" s="1455"/>
      <c r="F211" s="1455"/>
      <c r="G211" s="1455"/>
      <c r="H211" s="1455"/>
      <c r="I211" s="1455"/>
      <c r="J211" s="1455"/>
      <c r="K211" s="1455"/>
      <c r="L211" s="1455"/>
    </row>
    <row r="212" spans="1:13" s="898" customFormat="1" ht="15" customHeight="1" thickBot="1" x14ac:dyDescent="0.25">
      <c r="A212" s="901"/>
      <c r="B212" s="901"/>
      <c r="C212" s="900"/>
      <c r="D212" s="900"/>
      <c r="E212" s="900"/>
      <c r="F212" s="900"/>
      <c r="G212" s="900"/>
      <c r="H212" s="900"/>
      <c r="I212" s="900"/>
      <c r="J212" s="900"/>
    </row>
    <row r="213" spans="1:13" s="1084" customFormat="1" ht="18.75" thickTop="1" x14ac:dyDescent="0.2">
      <c r="A213" s="1826"/>
      <c r="B213" s="1827"/>
      <c r="C213" s="1827"/>
      <c r="D213" s="1827"/>
      <c r="E213" s="1827"/>
      <c r="F213" s="1828"/>
      <c r="G213" s="1088"/>
      <c r="H213" s="1829"/>
      <c r="I213" s="1830"/>
      <c r="J213" s="1830"/>
      <c r="K213" s="1830"/>
      <c r="L213" s="1830"/>
      <c r="M213" s="1831"/>
    </row>
    <row r="214" spans="1:13" s="1118" customFormat="1" ht="65.099999999999994" customHeight="1" x14ac:dyDescent="0.2">
      <c r="A214" s="1771"/>
      <c r="B214" s="1772"/>
      <c r="C214" s="1772"/>
      <c r="D214" s="1772"/>
      <c r="E214" s="1772"/>
      <c r="F214" s="1773"/>
      <c r="G214" s="1122"/>
      <c r="H214" s="1119"/>
      <c r="I214" s="1120"/>
      <c r="J214" s="1120"/>
      <c r="K214" s="1120"/>
      <c r="L214" s="1120"/>
      <c r="M214" s="1121"/>
    </row>
    <row r="215" spans="1:13" s="899" customFormat="1" ht="17.25" customHeight="1" x14ac:dyDescent="0.2">
      <c r="A215" s="1856"/>
      <c r="B215" s="1857"/>
      <c r="C215" s="1857"/>
      <c r="D215" s="1857"/>
      <c r="E215" s="1857"/>
      <c r="F215" s="1858"/>
      <c r="G215" s="208"/>
      <c r="H215" s="1085"/>
      <c r="I215" s="1086"/>
      <c r="J215" s="1086"/>
      <c r="K215" s="1086"/>
      <c r="L215" s="1086"/>
      <c r="M215" s="1091"/>
    </row>
    <row r="216" spans="1:13" s="899" customFormat="1" ht="21.6" customHeight="1" x14ac:dyDescent="0.2">
      <c r="A216" s="1873" t="s">
        <v>2408</v>
      </c>
      <c r="B216" s="1874"/>
      <c r="C216" s="1874"/>
      <c r="D216" s="1874"/>
      <c r="E216" s="1874"/>
      <c r="F216" s="1875"/>
      <c r="G216" s="208" t="s">
        <v>466</v>
      </c>
      <c r="H216" s="1085"/>
      <c r="I216" s="1086"/>
      <c r="J216" s="1086"/>
      <c r="K216" s="1086"/>
      <c r="L216" s="1086"/>
      <c r="M216" s="1091"/>
    </row>
    <row r="217" spans="1:13" s="899" customFormat="1" ht="24" customHeight="1" x14ac:dyDescent="0.2">
      <c r="A217" s="1873" t="s">
        <v>2402</v>
      </c>
      <c r="B217" s="1874"/>
      <c r="C217" s="1874"/>
      <c r="D217" s="1874"/>
      <c r="E217" s="1874"/>
      <c r="F217" s="1875"/>
      <c r="G217" s="208" t="s">
        <v>466</v>
      </c>
      <c r="H217" s="1085"/>
      <c r="I217" s="1086"/>
      <c r="J217" s="1086"/>
      <c r="K217" s="1086"/>
      <c r="L217" s="1086"/>
      <c r="M217" s="1091"/>
    </row>
    <row r="218" spans="1:13" s="899" customFormat="1" ht="17.25" customHeight="1" x14ac:dyDescent="0.2">
      <c r="A218" s="1856"/>
      <c r="B218" s="1857"/>
      <c r="C218" s="1857"/>
      <c r="D218" s="1857"/>
      <c r="E218" s="1857"/>
      <c r="F218" s="1858"/>
      <c r="G218" s="208"/>
      <c r="H218" s="1085"/>
      <c r="I218" s="1086"/>
      <c r="J218" s="1086"/>
      <c r="K218" s="1086"/>
      <c r="L218" s="1086"/>
      <c r="M218" s="1091"/>
    </row>
    <row r="219" spans="1:13" s="899" customFormat="1" ht="17.25" customHeight="1" x14ac:dyDescent="0.2">
      <c r="A219" s="1856" t="s">
        <v>2403</v>
      </c>
      <c r="B219" s="1857"/>
      <c r="C219" s="1857"/>
      <c r="D219" s="1857"/>
      <c r="E219" s="1857"/>
      <c r="F219" s="1858"/>
      <c r="G219" s="208" t="s">
        <v>1038</v>
      </c>
      <c r="H219" s="1085"/>
      <c r="I219" s="1086"/>
      <c r="J219" s="1086"/>
      <c r="K219" s="1086"/>
      <c r="L219" s="1086"/>
      <c r="M219" s="1091"/>
    </row>
    <row r="220" spans="1:13" s="899" customFormat="1" ht="17.25" customHeight="1" x14ac:dyDescent="0.2">
      <c r="A220" s="1856" t="s">
        <v>2409</v>
      </c>
      <c r="B220" s="1857"/>
      <c r="C220" s="1857"/>
      <c r="D220" s="1857"/>
      <c r="E220" s="1857"/>
      <c r="F220" s="1858"/>
      <c r="G220" s="208" t="s">
        <v>1038</v>
      </c>
      <c r="H220" s="1774" t="s">
        <v>375</v>
      </c>
      <c r="I220" s="1775"/>
      <c r="J220" s="1775"/>
      <c r="K220" s="1775"/>
      <c r="L220" s="1775"/>
      <c r="M220" s="1776"/>
    </row>
    <row r="221" spans="1:13" s="899" customFormat="1" ht="17.25" customHeight="1" x14ac:dyDescent="0.2">
      <c r="A221" s="1856"/>
      <c r="B221" s="1857"/>
      <c r="C221" s="1857"/>
      <c r="D221" s="1857"/>
      <c r="E221" s="1857"/>
      <c r="F221" s="1858"/>
      <c r="G221" s="208"/>
      <c r="H221" s="1780" t="s">
        <v>376</v>
      </c>
      <c r="I221" s="1781"/>
      <c r="J221" s="1781"/>
      <c r="K221" s="1781"/>
      <c r="L221" s="1781"/>
      <c r="M221" s="1782"/>
    </row>
    <row r="222" spans="1:13" s="899" customFormat="1" ht="17.25" customHeight="1" x14ac:dyDescent="0.2">
      <c r="A222" s="1856" t="s">
        <v>2404</v>
      </c>
      <c r="B222" s="1857"/>
      <c r="C222" s="1857"/>
      <c r="D222" s="1857"/>
      <c r="E222" s="1857"/>
      <c r="F222" s="1858"/>
      <c r="G222" s="208" t="s">
        <v>1038</v>
      </c>
      <c r="H222" s="1790" t="s">
        <v>377</v>
      </c>
      <c r="I222" s="1791"/>
      <c r="J222" s="1791"/>
      <c r="K222" s="1791"/>
      <c r="L222" s="1791"/>
      <c r="M222" s="1792"/>
    </row>
    <row r="223" spans="1:13" s="899" customFormat="1" ht="17.25" customHeight="1" x14ac:dyDescent="0.2">
      <c r="A223" s="1856"/>
      <c r="B223" s="1857"/>
      <c r="C223" s="1857"/>
      <c r="D223" s="1857"/>
      <c r="E223" s="1857"/>
      <c r="F223" s="1858"/>
      <c r="G223" s="208"/>
      <c r="H223" s="1799" t="s">
        <v>461</v>
      </c>
      <c r="I223" s="1800"/>
      <c r="J223" s="1800"/>
      <c r="K223" s="1800"/>
      <c r="L223" s="1800"/>
      <c r="M223" s="1801"/>
    </row>
    <row r="224" spans="1:13" s="899" customFormat="1" ht="17.25" customHeight="1" x14ac:dyDescent="0.2">
      <c r="A224" s="1870"/>
      <c r="B224" s="1871"/>
      <c r="C224" s="1871"/>
      <c r="D224" s="1871"/>
      <c r="E224" s="1871"/>
      <c r="F224" s="1872"/>
      <c r="G224" s="208"/>
      <c r="H224" s="1805" t="s">
        <v>462</v>
      </c>
      <c r="I224" s="1806"/>
      <c r="J224" s="1806"/>
      <c r="K224" s="1806"/>
      <c r="L224" s="1806"/>
      <c r="M224" s="1807"/>
    </row>
    <row r="225" spans="1:13" s="899" customFormat="1" ht="17.25" customHeight="1" x14ac:dyDescent="0.2">
      <c r="A225" s="1856" t="s">
        <v>372</v>
      </c>
      <c r="B225" s="1857"/>
      <c r="C225" s="1857"/>
      <c r="D225" s="1857"/>
      <c r="E225" s="1857"/>
      <c r="F225" s="1858"/>
      <c r="G225" s="208"/>
      <c r="H225" s="1811" t="s">
        <v>463</v>
      </c>
      <c r="I225" s="1812"/>
      <c r="J225" s="1812"/>
      <c r="K225" s="1812"/>
      <c r="L225" s="1812"/>
      <c r="M225" s="1813"/>
    </row>
    <row r="226" spans="1:13" s="899" customFormat="1" ht="18.75" customHeight="1" x14ac:dyDescent="0.2">
      <c r="A226" s="1848"/>
      <c r="B226" s="1849"/>
      <c r="C226" s="1849"/>
      <c r="D226" s="1849"/>
      <c r="E226" s="1849"/>
      <c r="F226" s="1850"/>
      <c r="G226" s="208"/>
      <c r="H226" s="1817" t="s">
        <v>464</v>
      </c>
      <c r="I226" s="1818"/>
      <c r="J226" s="1818"/>
      <c r="K226" s="1818"/>
      <c r="L226" s="1818"/>
      <c r="M226" s="1819"/>
    </row>
    <row r="227" spans="1:13" s="899" customFormat="1" ht="15.75" customHeight="1" x14ac:dyDescent="0.2">
      <c r="A227" s="1851" t="s">
        <v>1035</v>
      </c>
      <c r="B227" s="1852"/>
      <c r="C227" s="1852"/>
      <c r="D227" s="1852"/>
      <c r="E227" s="1852"/>
      <c r="F227" s="1853"/>
      <c r="G227" s="208" t="s">
        <v>1037</v>
      </c>
      <c r="H227" s="1823" t="s">
        <v>465</v>
      </c>
      <c r="I227" s="1824"/>
      <c r="J227" s="1824"/>
      <c r="K227" s="1824"/>
      <c r="L227" s="1824"/>
      <c r="M227" s="1825"/>
    </row>
    <row r="228" spans="1:13" s="899" customFormat="1" ht="15.75" customHeight="1" thickBot="1" x14ac:dyDescent="0.25">
      <c r="A228" s="1859" t="s">
        <v>1036</v>
      </c>
      <c r="B228" s="1860"/>
      <c r="C228" s="1860"/>
      <c r="D228" s="1860"/>
      <c r="E228" s="1860"/>
      <c r="F228" s="1861"/>
      <c r="G228" s="319" t="s">
        <v>1037</v>
      </c>
      <c r="H228" s="1796"/>
      <c r="I228" s="1797"/>
      <c r="J228" s="1797"/>
      <c r="K228" s="1797"/>
      <c r="L228" s="1797"/>
      <c r="M228" s="1798"/>
    </row>
    <row r="229" spans="1:13" s="898" customFormat="1" ht="15" customHeight="1" thickTop="1" x14ac:dyDescent="0.2">
      <c r="A229" s="901"/>
      <c r="B229" s="901"/>
      <c r="C229" s="900"/>
      <c r="D229" s="900"/>
      <c r="E229" s="900"/>
      <c r="F229" s="900"/>
      <c r="G229" s="900"/>
      <c r="H229" s="900"/>
      <c r="I229" s="900"/>
      <c r="J229" s="900"/>
    </row>
    <row r="230" spans="1:13" s="898" customFormat="1" ht="15.75" customHeight="1" x14ac:dyDescent="0.2">
      <c r="A230" s="1451" t="s">
        <v>1039</v>
      </c>
      <c r="B230" s="1451"/>
      <c r="C230" s="1451"/>
      <c r="D230" s="1451"/>
      <c r="E230" s="1451"/>
      <c r="F230" s="1451"/>
      <c r="G230" s="1451"/>
      <c r="H230" s="1451"/>
      <c r="I230" s="21"/>
      <c r="J230" s="897"/>
      <c r="L230" s="895"/>
    </row>
    <row r="231" spans="1:13" s="898" customFormat="1" ht="15" x14ac:dyDescent="0.2">
      <c r="A231" s="897"/>
      <c r="B231" s="897"/>
      <c r="C231" s="897"/>
      <c r="D231" s="897"/>
      <c r="E231" s="897"/>
      <c r="F231" s="897"/>
      <c r="G231" s="897"/>
      <c r="H231" s="897"/>
      <c r="I231" s="897"/>
      <c r="J231" s="897"/>
    </row>
    <row r="232" spans="1:13" s="898" customFormat="1" ht="12.75" customHeight="1" x14ac:dyDescent="0.2">
      <c r="A232" s="1866" t="s">
        <v>1043</v>
      </c>
      <c r="B232" s="1866"/>
      <c r="C232" s="1832">
        <v>1</v>
      </c>
      <c r="D232" s="1832"/>
      <c r="E232" s="1832"/>
      <c r="F232" s="1832"/>
      <c r="G232" s="1832"/>
      <c r="H232" s="1832"/>
      <c r="I232" s="1832"/>
      <c r="J232" s="1832"/>
    </row>
    <row r="233" spans="1:13" s="898" customFormat="1" ht="12.75" customHeight="1" x14ac:dyDescent="0.2">
      <c r="A233" s="1866" t="s">
        <v>214</v>
      </c>
      <c r="B233" s="1866"/>
      <c r="C233" s="1832" t="s">
        <v>1044</v>
      </c>
      <c r="D233" s="1832"/>
      <c r="E233" s="1832"/>
      <c r="F233" s="1832"/>
      <c r="G233" s="1832"/>
      <c r="H233" s="1832"/>
      <c r="I233" s="1832"/>
      <c r="J233" s="1832"/>
      <c r="K233" s="1832"/>
    </row>
    <row r="234" spans="1:13" s="898" customFormat="1" ht="24" thickBot="1" x14ac:dyDescent="0.25">
      <c r="B234" s="73"/>
      <c r="C234" s="896"/>
      <c r="D234" s="896"/>
      <c r="E234" s="896"/>
      <c r="F234" s="896"/>
      <c r="G234" s="896"/>
      <c r="H234" s="72"/>
      <c r="I234" s="67"/>
    </row>
    <row r="235" spans="1:13" s="1084" customFormat="1" ht="18.75" thickTop="1" x14ac:dyDescent="0.2">
      <c r="A235" s="1826"/>
      <c r="B235" s="1827"/>
      <c r="C235" s="1827"/>
      <c r="D235" s="1827"/>
      <c r="E235" s="1827"/>
      <c r="F235" s="1828"/>
      <c r="G235" s="1088"/>
      <c r="H235" s="1829"/>
      <c r="I235" s="1830"/>
      <c r="J235" s="1830"/>
      <c r="K235" s="1830"/>
      <c r="L235" s="1830"/>
      <c r="M235" s="1831"/>
    </row>
    <row r="236" spans="1:13" s="1118" customFormat="1" ht="65.099999999999994" customHeight="1" x14ac:dyDescent="0.2">
      <c r="A236" s="1771"/>
      <c r="B236" s="1772"/>
      <c r="C236" s="1772"/>
      <c r="D236" s="1772"/>
      <c r="E236" s="1772"/>
      <c r="F236" s="1773"/>
      <c r="G236" s="1122"/>
      <c r="H236" s="1119"/>
      <c r="I236" s="1120"/>
      <c r="J236" s="1120"/>
      <c r="K236" s="1120"/>
      <c r="L236" s="1120"/>
      <c r="M236" s="1121"/>
    </row>
    <row r="237" spans="1:13" s="899" customFormat="1" ht="23.25" customHeight="1" x14ac:dyDescent="0.2">
      <c r="A237" s="1873"/>
      <c r="B237" s="1874"/>
      <c r="C237" s="1874"/>
      <c r="D237" s="1874"/>
      <c r="E237" s="1874"/>
      <c r="F237" s="1875"/>
      <c r="G237" s="208"/>
      <c r="H237" s="1085"/>
      <c r="I237" s="1086"/>
      <c r="J237" s="1086"/>
      <c r="K237" s="1086"/>
      <c r="L237" s="1086"/>
      <c r="M237" s="1091"/>
    </row>
    <row r="238" spans="1:13" s="899" customFormat="1" ht="18" customHeight="1" x14ac:dyDescent="0.2">
      <c r="A238" s="1873" t="s">
        <v>399</v>
      </c>
      <c r="B238" s="1874"/>
      <c r="C238" s="1874"/>
      <c r="D238" s="1874"/>
      <c r="E238" s="1874"/>
      <c r="F238" s="1875"/>
      <c r="G238" s="208" t="s">
        <v>466</v>
      </c>
      <c r="H238" s="1085"/>
      <c r="I238" s="1086"/>
      <c r="J238" s="1086"/>
      <c r="K238" s="1086"/>
      <c r="L238" s="1086"/>
      <c r="M238" s="1091"/>
    </row>
    <row r="239" spans="1:13" s="899" customFormat="1" ht="18" customHeight="1" x14ac:dyDescent="0.2">
      <c r="A239" s="1867"/>
      <c r="B239" s="1868"/>
      <c r="C239" s="1868"/>
      <c r="D239" s="1868"/>
      <c r="E239" s="1868"/>
      <c r="F239" s="1869"/>
      <c r="G239" s="208"/>
      <c r="H239" s="1085"/>
      <c r="I239" s="1086"/>
      <c r="J239" s="1086"/>
      <c r="K239" s="1086"/>
      <c r="L239" s="1086"/>
      <c r="M239" s="1091"/>
    </row>
    <row r="240" spans="1:13" s="899" customFormat="1" ht="18" customHeight="1" x14ac:dyDescent="0.2">
      <c r="A240" s="1867"/>
      <c r="B240" s="1868"/>
      <c r="C240" s="1868"/>
      <c r="D240" s="1868"/>
      <c r="E240" s="1868"/>
      <c r="F240" s="1869"/>
      <c r="G240" s="208"/>
      <c r="H240" s="1085"/>
      <c r="I240" s="1086"/>
      <c r="J240" s="1086"/>
      <c r="K240" s="1086"/>
      <c r="L240" s="1086"/>
      <c r="M240" s="1091"/>
    </row>
    <row r="241" spans="1:13" s="899" customFormat="1" ht="18" customHeight="1" x14ac:dyDescent="0.2">
      <c r="A241" s="1867" t="s">
        <v>1040</v>
      </c>
      <c r="B241" s="1868"/>
      <c r="C241" s="1868"/>
      <c r="D241" s="1868"/>
      <c r="E241" s="1868"/>
      <c r="F241" s="1869"/>
      <c r="G241" s="208" t="s">
        <v>1038</v>
      </c>
      <c r="H241" s="1774" t="s">
        <v>375</v>
      </c>
      <c r="I241" s="1775"/>
      <c r="J241" s="1775"/>
      <c r="K241" s="1775"/>
      <c r="L241" s="1775"/>
      <c r="M241" s="1776"/>
    </row>
    <row r="242" spans="1:13" s="899" customFormat="1" ht="18" customHeight="1" x14ac:dyDescent="0.2">
      <c r="A242" s="1867" t="s">
        <v>1041</v>
      </c>
      <c r="B242" s="1868"/>
      <c r="C242" s="1868"/>
      <c r="D242" s="1868"/>
      <c r="E242" s="1868"/>
      <c r="F242" s="1869"/>
      <c r="G242" s="208" t="s">
        <v>1038</v>
      </c>
      <c r="H242" s="1780" t="s">
        <v>376</v>
      </c>
      <c r="I242" s="1781"/>
      <c r="J242" s="1781"/>
      <c r="K242" s="1781"/>
      <c r="L242" s="1781"/>
      <c r="M242" s="1782"/>
    </row>
    <row r="243" spans="1:13" s="899" customFormat="1" ht="18" customHeight="1" x14ac:dyDescent="0.2">
      <c r="A243" s="1867" t="s">
        <v>1042</v>
      </c>
      <c r="B243" s="1868"/>
      <c r="C243" s="1868"/>
      <c r="D243" s="1868"/>
      <c r="E243" s="1868"/>
      <c r="F243" s="1869"/>
      <c r="G243" s="208" t="s">
        <v>1038</v>
      </c>
      <c r="H243" s="1790" t="s">
        <v>377</v>
      </c>
      <c r="I243" s="1791"/>
      <c r="J243" s="1791"/>
      <c r="K243" s="1791"/>
      <c r="L243" s="1791"/>
      <c r="M243" s="1792"/>
    </row>
    <row r="244" spans="1:13" s="899" customFormat="1" ht="18" customHeight="1" x14ac:dyDescent="0.2">
      <c r="A244" s="1856"/>
      <c r="B244" s="1857"/>
      <c r="C244" s="1857"/>
      <c r="D244" s="1857"/>
      <c r="E244" s="1857"/>
      <c r="F244" s="1858"/>
      <c r="G244" s="208"/>
      <c r="H244" s="1799" t="s">
        <v>461</v>
      </c>
      <c r="I244" s="1800"/>
      <c r="J244" s="1800"/>
      <c r="K244" s="1800"/>
      <c r="L244" s="1800"/>
      <c r="M244" s="1801"/>
    </row>
    <row r="245" spans="1:13" s="899" customFormat="1" ht="14.45" customHeight="1" x14ac:dyDescent="0.2">
      <c r="A245" s="1856"/>
      <c r="B245" s="1857"/>
      <c r="C245" s="1857"/>
      <c r="D245" s="1857"/>
      <c r="E245" s="1857"/>
      <c r="F245" s="1858"/>
      <c r="G245" s="208"/>
      <c r="H245" s="1805" t="s">
        <v>462</v>
      </c>
      <c r="I245" s="1806"/>
      <c r="J245" s="1806"/>
      <c r="K245" s="1806"/>
      <c r="L245" s="1806"/>
      <c r="M245" s="1807"/>
    </row>
    <row r="246" spans="1:13" s="899" customFormat="1" ht="16.149999999999999" customHeight="1" x14ac:dyDescent="0.2">
      <c r="A246" s="1856" t="s">
        <v>372</v>
      </c>
      <c r="B246" s="1857"/>
      <c r="C246" s="1857"/>
      <c r="D246" s="1857"/>
      <c r="E246" s="1857"/>
      <c r="F246" s="1858"/>
      <c r="G246" s="208"/>
      <c r="H246" s="1811" t="s">
        <v>463</v>
      </c>
      <c r="I246" s="1812"/>
      <c r="J246" s="1812"/>
      <c r="K246" s="1812"/>
      <c r="L246" s="1812"/>
      <c r="M246" s="1813"/>
    </row>
    <row r="247" spans="1:13" s="899" customFormat="1" ht="16.149999999999999" customHeight="1" x14ac:dyDescent="0.2">
      <c r="A247" s="1848"/>
      <c r="B247" s="1849"/>
      <c r="C247" s="1849"/>
      <c r="D247" s="1849"/>
      <c r="E247" s="1849"/>
      <c r="F247" s="1850"/>
      <c r="G247" s="208"/>
      <c r="H247" s="1817" t="s">
        <v>464</v>
      </c>
      <c r="I247" s="1818"/>
      <c r="J247" s="1818"/>
      <c r="K247" s="1818"/>
      <c r="L247" s="1818"/>
      <c r="M247" s="1819"/>
    </row>
    <row r="248" spans="1:13" s="82" customFormat="1" ht="17.25" customHeight="1" x14ac:dyDescent="0.2">
      <c r="A248" s="1851" t="s">
        <v>1035</v>
      </c>
      <c r="B248" s="1852"/>
      <c r="C248" s="1852"/>
      <c r="D248" s="1852"/>
      <c r="E248" s="1852"/>
      <c r="F248" s="1853"/>
      <c r="G248" s="208" t="s">
        <v>1037</v>
      </c>
      <c r="H248" s="1823" t="s">
        <v>465</v>
      </c>
      <c r="I248" s="1824"/>
      <c r="J248" s="1824"/>
      <c r="K248" s="1824"/>
      <c r="L248" s="1824"/>
      <c r="M248" s="1825"/>
    </row>
    <row r="249" spans="1:13" s="82" customFormat="1" ht="18.75" thickBot="1" x14ac:dyDescent="0.25">
      <c r="A249" s="1859" t="s">
        <v>1036</v>
      </c>
      <c r="B249" s="1860"/>
      <c r="C249" s="1860"/>
      <c r="D249" s="1860"/>
      <c r="E249" s="1860"/>
      <c r="F249" s="1861"/>
      <c r="G249" s="319" t="s">
        <v>1037</v>
      </c>
      <c r="H249" s="1796"/>
      <c r="I249" s="1797"/>
      <c r="J249" s="1797"/>
      <c r="K249" s="1797"/>
      <c r="L249" s="1797"/>
      <c r="M249" s="1798"/>
    </row>
    <row r="250" spans="1:13" ht="13.5" thickTop="1" x14ac:dyDescent="0.15">
      <c r="B250" s="30"/>
      <c r="G250" s="1089"/>
      <c r="H250" s="1089"/>
      <c r="I250" s="1089"/>
      <c r="J250" s="1089"/>
    </row>
    <row r="251" spans="1:13" ht="12.75" hidden="1" customHeight="1" x14ac:dyDescent="0.2">
      <c r="A251" s="1866" t="s">
        <v>1043</v>
      </c>
      <c r="B251" s="1866"/>
      <c r="C251" s="1089">
        <v>2</v>
      </c>
      <c r="D251" s="1089"/>
      <c r="E251" s="1089"/>
      <c r="F251" s="1089"/>
      <c r="G251" s="1089"/>
      <c r="H251" s="1089"/>
      <c r="I251" s="1089"/>
      <c r="J251" s="1089"/>
      <c r="K251" s="1089"/>
    </row>
    <row r="252" spans="1:13" ht="12.75" hidden="1" customHeight="1" x14ac:dyDescent="0.2">
      <c r="A252" s="1866" t="s">
        <v>214</v>
      </c>
      <c r="B252" s="1866"/>
      <c r="C252" s="1089" t="s">
        <v>1049</v>
      </c>
      <c r="D252" s="1089"/>
      <c r="E252" s="1089"/>
      <c r="F252" s="1089"/>
      <c r="G252" s="64"/>
      <c r="H252" s="72"/>
      <c r="I252" s="67"/>
    </row>
    <row r="253" spans="1:13" ht="20.25" hidden="1" x14ac:dyDescent="0.2">
      <c r="B253" s="73"/>
      <c r="C253" s="64"/>
      <c r="D253" s="64"/>
      <c r="E253" s="64"/>
      <c r="F253" s="64"/>
      <c r="G253" s="318"/>
      <c r="H253" s="1876"/>
      <c r="I253" s="1877"/>
      <c r="J253" s="1877"/>
      <c r="K253" s="1877"/>
      <c r="L253" s="1878"/>
      <c r="M253" s="82"/>
    </row>
    <row r="254" spans="1:13" s="82" customFormat="1" ht="18.75" hidden="1" thickTop="1" x14ac:dyDescent="0.2">
      <c r="A254" s="1879"/>
      <c r="B254" s="1880"/>
      <c r="C254" s="1880"/>
      <c r="D254" s="1880"/>
      <c r="E254" s="1880"/>
      <c r="F254" s="1881"/>
      <c r="G254" s="208"/>
      <c r="H254" s="1790" t="s">
        <v>375</v>
      </c>
      <c r="I254" s="1791"/>
      <c r="J254" s="1791"/>
      <c r="K254" s="1791"/>
      <c r="L254" s="1792"/>
    </row>
    <row r="255" spans="1:13" s="82" customFormat="1" ht="18" hidden="1" x14ac:dyDescent="0.2">
      <c r="A255" s="1856"/>
      <c r="B255" s="1857"/>
      <c r="C255" s="1857"/>
      <c r="D255" s="1857"/>
      <c r="E255" s="1857"/>
      <c r="F255" s="1858"/>
      <c r="G255" s="208" t="s">
        <v>466</v>
      </c>
      <c r="H255" s="1790" t="s">
        <v>376</v>
      </c>
      <c r="I255" s="1791"/>
      <c r="J255" s="1791"/>
      <c r="K255" s="1791"/>
      <c r="L255" s="1792"/>
    </row>
    <row r="256" spans="1:13" s="82" customFormat="1" ht="23.25" hidden="1" x14ac:dyDescent="0.2">
      <c r="A256" s="1873" t="s">
        <v>1045</v>
      </c>
      <c r="B256" s="1874"/>
      <c r="C256" s="1874"/>
      <c r="D256" s="1874"/>
      <c r="E256" s="1874"/>
      <c r="F256" s="1875"/>
      <c r="G256" s="208" t="s">
        <v>1038</v>
      </c>
      <c r="H256" s="1790" t="s">
        <v>377</v>
      </c>
      <c r="I256" s="1791"/>
      <c r="J256" s="1791"/>
      <c r="K256" s="1791"/>
      <c r="L256" s="1792"/>
    </row>
    <row r="257" spans="1:13" s="82" customFormat="1" ht="18" hidden="1" x14ac:dyDescent="0.2">
      <c r="A257" s="1856"/>
      <c r="B257" s="1857"/>
      <c r="C257" s="1857"/>
      <c r="D257" s="1857"/>
      <c r="E257" s="1857"/>
      <c r="F257" s="1858"/>
      <c r="G257" s="208" t="s">
        <v>1038</v>
      </c>
      <c r="H257" s="1790" t="s">
        <v>461</v>
      </c>
      <c r="I257" s="1791"/>
      <c r="J257" s="1791"/>
      <c r="K257" s="1791"/>
      <c r="L257" s="1792"/>
    </row>
    <row r="258" spans="1:13" s="82" customFormat="1" ht="18" hidden="1" x14ac:dyDescent="0.2">
      <c r="A258" s="1856" t="s">
        <v>1046</v>
      </c>
      <c r="B258" s="1857"/>
      <c r="C258" s="1857"/>
      <c r="D258" s="1857"/>
      <c r="E258" s="1857"/>
      <c r="F258" s="1858"/>
      <c r="G258" s="208" t="s">
        <v>1038</v>
      </c>
      <c r="H258" s="1790" t="s">
        <v>462</v>
      </c>
      <c r="I258" s="1791"/>
      <c r="J258" s="1791"/>
      <c r="K258" s="1791"/>
      <c r="L258" s="1792"/>
    </row>
    <row r="259" spans="1:13" s="82" customFormat="1" ht="18" hidden="1" x14ac:dyDescent="0.2">
      <c r="A259" s="1865">
        <v>30</v>
      </c>
      <c r="B259" s="1857"/>
      <c r="C259" s="1857"/>
      <c r="D259" s="1857"/>
      <c r="E259" s="1857"/>
      <c r="F259" s="1858"/>
      <c r="G259" s="208" t="s">
        <v>1038</v>
      </c>
      <c r="H259" s="1790" t="s">
        <v>463</v>
      </c>
      <c r="I259" s="1791"/>
      <c r="J259" s="1791"/>
      <c r="K259" s="1791"/>
      <c r="L259" s="1792"/>
    </row>
    <row r="260" spans="1:13" s="82" customFormat="1" ht="18" hidden="1" x14ac:dyDescent="0.2">
      <c r="A260" s="1856" t="s">
        <v>1047</v>
      </c>
      <c r="B260" s="1857"/>
      <c r="C260" s="1857"/>
      <c r="D260" s="1857"/>
      <c r="E260" s="1857"/>
      <c r="F260" s="1858"/>
      <c r="G260" s="208"/>
      <c r="H260" s="1790" t="s">
        <v>464</v>
      </c>
      <c r="I260" s="1791"/>
      <c r="J260" s="1791"/>
      <c r="K260" s="1791"/>
      <c r="L260" s="1792"/>
    </row>
    <row r="261" spans="1:13" s="82" customFormat="1" ht="18" hidden="1" x14ac:dyDescent="0.2">
      <c r="A261" s="1856"/>
      <c r="B261" s="1857"/>
      <c r="C261" s="1857"/>
      <c r="D261" s="1857"/>
      <c r="E261" s="1857"/>
      <c r="F261" s="1858"/>
      <c r="G261" s="208"/>
      <c r="H261" s="1790" t="s">
        <v>465</v>
      </c>
      <c r="I261" s="1791"/>
      <c r="J261" s="1791"/>
      <c r="K261" s="1791"/>
      <c r="L261" s="1792"/>
    </row>
    <row r="262" spans="1:13" s="82" customFormat="1" ht="29.25" hidden="1" x14ac:dyDescent="0.2">
      <c r="A262" s="1856"/>
      <c r="B262" s="1857"/>
      <c r="C262" s="1857"/>
      <c r="D262" s="1857"/>
      <c r="E262" s="1857"/>
      <c r="F262" s="1858"/>
      <c r="G262" s="208"/>
      <c r="H262" s="209"/>
      <c r="I262" s="210"/>
      <c r="J262" s="210"/>
      <c r="K262" s="210"/>
      <c r="L262" s="211"/>
    </row>
    <row r="263" spans="1:13" s="82" customFormat="1" ht="29.25" hidden="1" x14ac:dyDescent="0.2">
      <c r="A263" s="1856"/>
      <c r="B263" s="1857"/>
      <c r="C263" s="1857"/>
      <c r="D263" s="1857"/>
      <c r="E263" s="1857"/>
      <c r="F263" s="1858"/>
      <c r="G263" s="208"/>
      <c r="H263" s="209"/>
      <c r="I263" s="210"/>
      <c r="J263" s="210"/>
      <c r="K263" s="210"/>
      <c r="L263" s="211"/>
    </row>
    <row r="264" spans="1:13" s="82" customFormat="1" ht="29.25" hidden="1" x14ac:dyDescent="0.2">
      <c r="A264" s="1856"/>
      <c r="B264" s="1857"/>
      <c r="C264" s="1857"/>
      <c r="D264" s="1857"/>
      <c r="E264" s="1857"/>
      <c r="F264" s="1858"/>
      <c r="G264" s="208"/>
      <c r="H264" s="209"/>
      <c r="I264" s="210"/>
      <c r="J264" s="210"/>
      <c r="K264" s="210"/>
      <c r="L264" s="211"/>
    </row>
    <row r="265" spans="1:13" s="82" customFormat="1" ht="29.25" hidden="1" x14ac:dyDescent="0.2">
      <c r="A265" s="1870"/>
      <c r="B265" s="1871"/>
      <c r="C265" s="1871"/>
      <c r="D265" s="1871"/>
      <c r="E265" s="1871"/>
      <c r="F265" s="1872"/>
      <c r="G265" s="208"/>
      <c r="H265" s="209"/>
      <c r="I265" s="210"/>
      <c r="J265" s="210"/>
      <c r="K265" s="210"/>
      <c r="L265" s="211"/>
    </row>
    <row r="266" spans="1:13" s="82" customFormat="1" ht="18" hidden="1" x14ac:dyDescent="0.2">
      <c r="A266" s="1856" t="s">
        <v>372</v>
      </c>
      <c r="B266" s="1857"/>
      <c r="C266" s="1857"/>
      <c r="D266" s="1857"/>
      <c r="E266" s="1857"/>
      <c r="F266" s="1858"/>
      <c r="G266" s="208" t="s">
        <v>1038</v>
      </c>
      <c r="H266" s="1790"/>
      <c r="I266" s="1791"/>
      <c r="J266" s="1791"/>
      <c r="K266" s="1791"/>
      <c r="L266" s="1792"/>
    </row>
    <row r="267" spans="1:13" s="82" customFormat="1" ht="18" hidden="1" x14ac:dyDescent="0.2">
      <c r="A267" s="1856" t="s">
        <v>1048</v>
      </c>
      <c r="B267" s="1857"/>
      <c r="C267" s="1857"/>
      <c r="D267" s="1857"/>
      <c r="E267" s="1857"/>
      <c r="F267" s="1858"/>
      <c r="G267" s="208" t="s">
        <v>1038</v>
      </c>
      <c r="H267" s="1790"/>
      <c r="I267" s="1791"/>
      <c r="J267" s="1791"/>
      <c r="K267" s="1791"/>
      <c r="L267" s="1792"/>
    </row>
    <row r="268" spans="1:13" s="82" customFormat="1" ht="18" hidden="1" x14ac:dyDescent="0.2">
      <c r="A268" s="1856" t="s">
        <v>1053</v>
      </c>
      <c r="B268" s="1857"/>
      <c r="C268" s="1857"/>
      <c r="D268" s="1857"/>
      <c r="E268" s="1857"/>
      <c r="F268" s="1858"/>
      <c r="G268" s="319"/>
      <c r="H268" s="1796"/>
      <c r="I268" s="1797"/>
      <c r="J268" s="1797"/>
      <c r="K268" s="1797"/>
      <c r="L268" s="1798"/>
    </row>
    <row r="269" spans="1:13" s="82" customFormat="1" ht="13.5" hidden="1" thickBot="1" x14ac:dyDescent="0.25">
      <c r="A269" s="1862"/>
      <c r="B269" s="1863"/>
      <c r="C269" s="1863"/>
      <c r="D269" s="1863"/>
      <c r="E269" s="1863"/>
      <c r="F269" s="1864"/>
      <c r="G269" s="17"/>
      <c r="H269" s="17"/>
      <c r="I269" s="17"/>
      <c r="J269" s="17"/>
      <c r="K269" s="17"/>
      <c r="L269" s="17"/>
      <c r="M269" s="17"/>
    </row>
    <row r="270" spans="1:13" hidden="1" x14ac:dyDescent="0.15">
      <c r="B270" s="30"/>
      <c r="G270" s="1089"/>
      <c r="H270" s="1089"/>
      <c r="I270" s="1089"/>
      <c r="J270" s="1089"/>
    </row>
    <row r="271" spans="1:13" ht="12.75" hidden="1" customHeight="1" x14ac:dyDescent="0.2">
      <c r="A271" s="1866" t="s">
        <v>1043</v>
      </c>
      <c r="B271" s="1866"/>
      <c r="C271" s="1089">
        <v>3</v>
      </c>
      <c r="D271" s="1089"/>
      <c r="E271" s="1089"/>
      <c r="F271" s="1089"/>
      <c r="G271" s="1089"/>
      <c r="H271" s="1089"/>
      <c r="I271" s="1089"/>
      <c r="J271" s="1089"/>
      <c r="K271" s="1089"/>
    </row>
    <row r="272" spans="1:13" ht="12.75" hidden="1" customHeight="1" x14ac:dyDescent="0.2">
      <c r="A272" s="1866" t="s">
        <v>214</v>
      </c>
      <c r="B272" s="1866"/>
      <c r="C272" s="1089" t="s">
        <v>1050</v>
      </c>
      <c r="D272" s="1089"/>
      <c r="E272" s="1089"/>
      <c r="F272" s="1089"/>
      <c r="G272" s="64"/>
      <c r="H272" s="72"/>
      <c r="I272" s="67"/>
    </row>
    <row r="273" spans="1:13" ht="20.25" hidden="1" x14ac:dyDescent="0.2">
      <c r="B273" s="73"/>
      <c r="C273" s="64"/>
      <c r="D273" s="64"/>
      <c r="E273" s="64"/>
      <c r="F273" s="64"/>
      <c r="G273" s="318"/>
      <c r="H273" s="1876"/>
      <c r="I273" s="1877"/>
      <c r="J273" s="1877"/>
      <c r="K273" s="1877"/>
      <c r="L273" s="1878"/>
      <c r="M273" s="82"/>
    </row>
    <row r="274" spans="1:13" s="82" customFormat="1" ht="18.75" hidden="1" thickTop="1" x14ac:dyDescent="0.2">
      <c r="A274" s="1879"/>
      <c r="B274" s="1880"/>
      <c r="C274" s="1880"/>
      <c r="D274" s="1880"/>
      <c r="E274" s="1880"/>
      <c r="F274" s="1881"/>
      <c r="G274" s="208"/>
      <c r="H274" s="1790" t="s">
        <v>375</v>
      </c>
      <c r="I274" s="1791"/>
      <c r="J274" s="1791"/>
      <c r="K274" s="1791"/>
      <c r="L274" s="1792"/>
    </row>
    <row r="275" spans="1:13" s="82" customFormat="1" ht="18" hidden="1" x14ac:dyDescent="0.2">
      <c r="A275" s="1856"/>
      <c r="B275" s="1857"/>
      <c r="C275" s="1857"/>
      <c r="D275" s="1857"/>
      <c r="E275" s="1857"/>
      <c r="F275" s="1858"/>
      <c r="G275" s="208" t="s">
        <v>466</v>
      </c>
      <c r="H275" s="1790" t="s">
        <v>376</v>
      </c>
      <c r="I275" s="1791"/>
      <c r="J275" s="1791"/>
      <c r="K275" s="1791"/>
      <c r="L275" s="1792"/>
    </row>
    <row r="276" spans="1:13" s="82" customFormat="1" ht="23.25" hidden="1" x14ac:dyDescent="0.2">
      <c r="A276" s="1873" t="s">
        <v>1045</v>
      </c>
      <c r="B276" s="1874"/>
      <c r="C276" s="1874"/>
      <c r="D276" s="1874"/>
      <c r="E276" s="1874"/>
      <c r="F276" s="1875"/>
      <c r="G276" s="208" t="s">
        <v>1038</v>
      </c>
      <c r="H276" s="1790" t="s">
        <v>377</v>
      </c>
      <c r="I276" s="1791"/>
      <c r="J276" s="1791"/>
      <c r="K276" s="1791"/>
      <c r="L276" s="1792"/>
    </row>
    <row r="277" spans="1:13" s="82" customFormat="1" ht="18" hidden="1" x14ac:dyDescent="0.2">
      <c r="A277" s="1856"/>
      <c r="B277" s="1857"/>
      <c r="C277" s="1857"/>
      <c r="D277" s="1857"/>
      <c r="E277" s="1857"/>
      <c r="F277" s="1858"/>
      <c r="G277" s="208" t="s">
        <v>1038</v>
      </c>
      <c r="H277" s="1790" t="s">
        <v>461</v>
      </c>
      <c r="I277" s="1791"/>
      <c r="J277" s="1791"/>
      <c r="K277" s="1791"/>
      <c r="L277" s="1792"/>
    </row>
    <row r="278" spans="1:13" s="82" customFormat="1" ht="18" hidden="1" x14ac:dyDescent="0.2">
      <c r="A278" s="1856" t="s">
        <v>1046</v>
      </c>
      <c r="B278" s="1857"/>
      <c r="C278" s="1857"/>
      <c r="D278" s="1857"/>
      <c r="E278" s="1857"/>
      <c r="F278" s="1858"/>
      <c r="G278" s="208" t="s">
        <v>1038</v>
      </c>
      <c r="H278" s="1790" t="s">
        <v>462</v>
      </c>
      <c r="I278" s="1791"/>
      <c r="J278" s="1791"/>
      <c r="K278" s="1791"/>
      <c r="L278" s="1792"/>
    </row>
    <row r="279" spans="1:13" s="82" customFormat="1" ht="18" hidden="1" x14ac:dyDescent="0.2">
      <c r="A279" s="1865">
        <v>30</v>
      </c>
      <c r="B279" s="1857"/>
      <c r="C279" s="1857"/>
      <c r="D279" s="1857"/>
      <c r="E279" s="1857"/>
      <c r="F279" s="1858"/>
      <c r="G279" s="208" t="s">
        <v>1038</v>
      </c>
      <c r="H279" s="1790" t="s">
        <v>463</v>
      </c>
      <c r="I279" s="1791"/>
      <c r="J279" s="1791"/>
      <c r="K279" s="1791"/>
      <c r="L279" s="1792"/>
    </row>
    <row r="280" spans="1:13" s="82" customFormat="1" ht="18" hidden="1" x14ac:dyDescent="0.2">
      <c r="A280" s="1856" t="s">
        <v>1051</v>
      </c>
      <c r="B280" s="1857"/>
      <c r="C280" s="1857"/>
      <c r="D280" s="1857"/>
      <c r="E280" s="1857"/>
      <c r="F280" s="1858"/>
      <c r="G280" s="208"/>
      <c r="H280" s="1790" t="s">
        <v>464</v>
      </c>
      <c r="I280" s="1791"/>
      <c r="J280" s="1791"/>
      <c r="K280" s="1791"/>
      <c r="L280" s="1792"/>
    </row>
    <row r="281" spans="1:13" s="82" customFormat="1" ht="18" hidden="1" x14ac:dyDescent="0.2">
      <c r="A281" s="1856"/>
      <c r="B281" s="1857"/>
      <c r="C281" s="1857"/>
      <c r="D281" s="1857"/>
      <c r="E281" s="1857"/>
      <c r="F281" s="1858"/>
      <c r="G281" s="208"/>
      <c r="H281" s="1790" t="s">
        <v>465</v>
      </c>
      <c r="I281" s="1791"/>
      <c r="J281" s="1791"/>
      <c r="K281" s="1791"/>
      <c r="L281" s="1792"/>
    </row>
    <row r="282" spans="1:13" s="82" customFormat="1" ht="29.25" hidden="1" x14ac:dyDescent="0.2">
      <c r="A282" s="1856"/>
      <c r="B282" s="1857"/>
      <c r="C282" s="1857"/>
      <c r="D282" s="1857"/>
      <c r="E282" s="1857"/>
      <c r="F282" s="1858"/>
      <c r="G282" s="208"/>
      <c r="H282" s="209"/>
      <c r="I282" s="210"/>
      <c r="J282" s="210"/>
      <c r="K282" s="210"/>
      <c r="L282" s="211"/>
    </row>
    <row r="283" spans="1:13" s="82" customFormat="1" ht="29.25" hidden="1" x14ac:dyDescent="0.2">
      <c r="A283" s="1856"/>
      <c r="B283" s="1857"/>
      <c r="C283" s="1857"/>
      <c r="D283" s="1857"/>
      <c r="E283" s="1857"/>
      <c r="F283" s="1858"/>
      <c r="G283" s="208"/>
      <c r="H283" s="209"/>
      <c r="I283" s="210"/>
      <c r="J283" s="210"/>
      <c r="K283" s="210"/>
      <c r="L283" s="211"/>
    </row>
    <row r="284" spans="1:13" s="82" customFormat="1" ht="29.25" hidden="1" x14ac:dyDescent="0.2">
      <c r="A284" s="1856"/>
      <c r="B284" s="1857"/>
      <c r="C284" s="1857"/>
      <c r="D284" s="1857"/>
      <c r="E284" s="1857"/>
      <c r="F284" s="1858"/>
      <c r="G284" s="208"/>
      <c r="H284" s="209"/>
      <c r="I284" s="210"/>
      <c r="J284" s="210"/>
      <c r="K284" s="210"/>
      <c r="L284" s="211"/>
    </row>
    <row r="285" spans="1:13" s="82" customFormat="1" ht="29.25" hidden="1" x14ac:dyDescent="0.2">
      <c r="A285" s="1870"/>
      <c r="B285" s="1871"/>
      <c r="C285" s="1871"/>
      <c r="D285" s="1871"/>
      <c r="E285" s="1871"/>
      <c r="F285" s="1872"/>
      <c r="G285" s="208"/>
      <c r="H285" s="209"/>
      <c r="I285" s="210"/>
      <c r="J285" s="210"/>
      <c r="K285" s="210"/>
      <c r="L285" s="211"/>
    </row>
    <row r="286" spans="1:13" s="82" customFormat="1" ht="18" hidden="1" x14ac:dyDescent="0.2">
      <c r="A286" s="1856" t="s">
        <v>372</v>
      </c>
      <c r="B286" s="1857"/>
      <c r="C286" s="1857"/>
      <c r="D286" s="1857"/>
      <c r="E286" s="1857"/>
      <c r="F286" s="1858"/>
      <c r="G286" s="208" t="s">
        <v>1038</v>
      </c>
      <c r="H286" s="1790"/>
      <c r="I286" s="1791"/>
      <c r="J286" s="1791"/>
      <c r="K286" s="1791"/>
      <c r="L286" s="1792"/>
    </row>
    <row r="287" spans="1:13" s="82" customFormat="1" ht="18" hidden="1" x14ac:dyDescent="0.2">
      <c r="A287" s="1856" t="s">
        <v>1048</v>
      </c>
      <c r="B287" s="1857"/>
      <c r="C287" s="1857"/>
      <c r="D287" s="1857"/>
      <c r="E287" s="1857"/>
      <c r="F287" s="1858"/>
      <c r="G287" s="208" t="s">
        <v>1038</v>
      </c>
      <c r="H287" s="1790"/>
      <c r="I287" s="1791"/>
      <c r="J287" s="1791"/>
      <c r="K287" s="1791"/>
      <c r="L287" s="1792"/>
    </row>
    <row r="288" spans="1:13" s="82" customFormat="1" ht="18" hidden="1" x14ac:dyDescent="0.2">
      <c r="A288" s="1856" t="s">
        <v>1053</v>
      </c>
      <c r="B288" s="1857"/>
      <c r="C288" s="1857"/>
      <c r="D288" s="1857"/>
      <c r="E288" s="1857"/>
      <c r="F288" s="1858"/>
      <c r="G288" s="319"/>
      <c r="H288" s="1796"/>
      <c r="I288" s="1797"/>
      <c r="J288" s="1797"/>
      <c r="K288" s="1797"/>
      <c r="L288" s="1798"/>
    </row>
    <row r="289" spans="1:13" s="82" customFormat="1" ht="13.5" hidden="1" thickBot="1" x14ac:dyDescent="0.25">
      <c r="A289" s="1862"/>
      <c r="B289" s="1863"/>
      <c r="C289" s="1863"/>
      <c r="D289" s="1863"/>
      <c r="E289" s="1863"/>
      <c r="F289" s="1864"/>
      <c r="G289" s="17"/>
      <c r="H289" s="17"/>
      <c r="I289" s="100"/>
      <c r="J289" s="100"/>
      <c r="K289" s="100"/>
      <c r="L289" s="100"/>
      <c r="M289" s="100"/>
    </row>
    <row r="290" spans="1:13" hidden="1" x14ac:dyDescent="0.15">
      <c r="B290" s="30"/>
      <c r="G290" s="1083"/>
      <c r="H290" s="1083"/>
      <c r="I290" s="1083"/>
      <c r="J290" s="1083"/>
      <c r="K290" s="1083"/>
      <c r="L290" s="100"/>
      <c r="M290" s="100"/>
    </row>
    <row r="291" spans="1:13" ht="12.75" hidden="1" customHeight="1" x14ac:dyDescent="0.2">
      <c r="A291" s="1083" t="s">
        <v>1054</v>
      </c>
      <c r="B291" s="1083"/>
      <c r="C291" s="1083"/>
      <c r="D291" s="1083"/>
      <c r="E291" s="1083"/>
      <c r="F291" s="1083"/>
      <c r="G291" s="1081"/>
      <c r="H291" s="1081"/>
      <c r="I291" s="1081"/>
      <c r="J291" s="1081"/>
      <c r="K291" s="1081"/>
      <c r="L291" s="100"/>
      <c r="M291" s="100"/>
    </row>
    <row r="292" spans="1:13" ht="12.75" hidden="1" customHeight="1" x14ac:dyDescent="0.2">
      <c r="A292" s="1081" t="s">
        <v>1055</v>
      </c>
      <c r="B292" s="1081"/>
      <c r="C292" s="1081"/>
      <c r="D292" s="1081"/>
      <c r="E292" s="1081"/>
      <c r="F292" s="1081"/>
      <c r="G292" s="1081"/>
      <c r="H292" s="1081"/>
      <c r="I292" s="1081"/>
      <c r="J292" s="1081"/>
      <c r="K292" s="1081"/>
      <c r="L292" s="100"/>
      <c r="M292" s="100"/>
    </row>
    <row r="293" spans="1:13" ht="12.75" hidden="1" customHeight="1" x14ac:dyDescent="0.2">
      <c r="A293" s="1081" t="s">
        <v>1056</v>
      </c>
      <c r="B293" s="1081"/>
      <c r="C293" s="1081"/>
      <c r="D293" s="1081"/>
      <c r="E293" s="1081"/>
      <c r="F293" s="1081"/>
      <c r="G293" s="1081"/>
      <c r="H293" s="1081"/>
      <c r="I293" s="1081"/>
      <c r="J293" s="1081"/>
      <c r="K293" s="1081"/>
      <c r="L293" s="100"/>
      <c r="M293" s="100"/>
    </row>
    <row r="294" spans="1:13" ht="12.75" hidden="1" customHeight="1" x14ac:dyDescent="0.2">
      <c r="A294" s="1081" t="s">
        <v>1057</v>
      </c>
      <c r="B294" s="1081"/>
      <c r="C294" s="1081"/>
      <c r="D294" s="1081"/>
      <c r="E294" s="1081"/>
      <c r="F294" s="1081"/>
      <c r="G294" s="1081"/>
      <c r="H294" s="1081"/>
      <c r="I294" s="1081"/>
      <c r="J294" s="1081"/>
      <c r="K294" s="1081"/>
      <c r="L294" s="100"/>
      <c r="M294" s="100"/>
    </row>
    <row r="295" spans="1:13" ht="12.75" hidden="1" customHeight="1" x14ac:dyDescent="0.2">
      <c r="A295" s="1081" t="s">
        <v>1058</v>
      </c>
      <c r="B295" s="1081"/>
      <c r="C295" s="1081"/>
      <c r="D295" s="1081"/>
      <c r="E295" s="1081"/>
      <c r="F295" s="1081"/>
      <c r="G295" s="35"/>
      <c r="I295" s="100"/>
      <c r="J295" s="100"/>
      <c r="K295" s="100"/>
      <c r="L295" s="100"/>
      <c r="M295" s="100"/>
    </row>
    <row r="296" spans="1:13" hidden="1" x14ac:dyDescent="0.2">
      <c r="A296" s="1855" t="s">
        <v>1059</v>
      </c>
      <c r="B296" s="1855"/>
      <c r="C296" s="1207" t="s">
        <v>83</v>
      </c>
      <c r="D296" s="1207"/>
      <c r="E296" s="1855" t="s">
        <v>460</v>
      </c>
      <c r="F296" s="1855"/>
      <c r="I296" s="100"/>
      <c r="J296" s="100"/>
      <c r="K296" s="100"/>
      <c r="L296" s="100"/>
      <c r="M296" s="100"/>
    </row>
    <row r="297" spans="1:13" hidden="1" x14ac:dyDescent="0.2">
      <c r="A297" s="1630" t="s">
        <v>1060</v>
      </c>
      <c r="B297" s="1630"/>
      <c r="C297" s="1630"/>
      <c r="D297" s="1630"/>
      <c r="E297" s="1854"/>
      <c r="F297" s="1854"/>
      <c r="I297" s="100"/>
      <c r="J297" s="100"/>
      <c r="K297" s="100"/>
      <c r="L297" s="100"/>
      <c r="M297" s="100"/>
    </row>
    <row r="298" spans="1:13" hidden="1" x14ac:dyDescent="0.2">
      <c r="A298" s="1630"/>
      <c r="B298" s="1630"/>
      <c r="C298" s="1630"/>
      <c r="D298" s="1630"/>
      <c r="E298" s="1854"/>
      <c r="F298" s="1854"/>
      <c r="I298" s="100"/>
      <c r="J298" s="100"/>
      <c r="K298" s="100"/>
      <c r="L298" s="100"/>
      <c r="M298" s="100"/>
    </row>
    <row r="299" spans="1:13" hidden="1" x14ac:dyDescent="0.2">
      <c r="A299" s="1630"/>
      <c r="B299" s="1630"/>
      <c r="C299" s="1630"/>
      <c r="D299" s="1630"/>
      <c r="E299" s="1854"/>
      <c r="F299" s="1854"/>
      <c r="I299" s="100"/>
      <c r="J299" s="100"/>
      <c r="K299" s="100"/>
      <c r="L299" s="100"/>
      <c r="M299" s="100"/>
    </row>
    <row r="300" spans="1:13" ht="23.25" hidden="1" x14ac:dyDescent="0.2">
      <c r="A300" s="1630"/>
      <c r="B300" s="1630"/>
      <c r="C300" s="1630"/>
      <c r="D300" s="1630"/>
      <c r="E300" s="1854"/>
      <c r="F300" s="1854"/>
      <c r="G300" s="64"/>
      <c r="H300" s="72"/>
      <c r="I300" s="67"/>
    </row>
    <row r="301" spans="1:13" s="67" customFormat="1" ht="12.75" customHeight="1" x14ac:dyDescent="0.2">
      <c r="A301" s="1937" t="s">
        <v>1203</v>
      </c>
      <c r="B301" s="1937"/>
      <c r="C301" s="1937"/>
      <c r="D301" s="1937"/>
      <c r="E301" s="1937"/>
      <c r="F301" s="1937"/>
      <c r="G301" s="1937"/>
      <c r="H301" s="1937"/>
      <c r="I301" s="34"/>
      <c r="J301" s="34"/>
      <c r="K301" s="34"/>
      <c r="L301" s="34"/>
      <c r="M301" s="17"/>
    </row>
    <row r="302" spans="1:13" ht="15" customHeight="1" x14ac:dyDescent="0.2">
      <c r="A302" s="1441" t="s">
        <v>1792</v>
      </c>
      <c r="B302" s="1442"/>
      <c r="C302" s="1442"/>
      <c r="D302" s="1442"/>
      <c r="E302" s="1442"/>
      <c r="F302" s="1443"/>
      <c r="G302" s="1441" t="s">
        <v>538</v>
      </c>
      <c r="H302" s="1443"/>
      <c r="I302" s="64"/>
      <c r="J302" s="64"/>
      <c r="K302" s="64"/>
      <c r="L302" s="64"/>
      <c r="M302" s="67"/>
    </row>
    <row r="303" spans="1:13" s="67" customFormat="1" x14ac:dyDescent="0.2">
      <c r="A303" s="1844"/>
      <c r="B303" s="1845"/>
      <c r="C303" s="1845"/>
      <c r="D303" s="1845"/>
      <c r="E303" s="1845"/>
      <c r="F303" s="1846"/>
      <c r="G303" s="1844"/>
      <c r="H303" s="1846"/>
      <c r="I303" s="64"/>
      <c r="J303" s="64"/>
      <c r="K303" s="64"/>
      <c r="L303" s="64"/>
    </row>
    <row r="304" spans="1:13" s="67" customFormat="1" x14ac:dyDescent="0.2">
      <c r="A304" s="1844"/>
      <c r="B304" s="1845"/>
      <c r="C304" s="1845"/>
      <c r="D304" s="1845"/>
      <c r="E304" s="1845"/>
      <c r="F304" s="1846"/>
      <c r="G304" s="1847"/>
      <c r="H304" s="1640"/>
      <c r="I304" s="1083"/>
      <c r="J304" s="1083"/>
      <c r="K304" s="1083"/>
      <c r="L304" s="1083"/>
      <c r="M304" s="17"/>
    </row>
    <row r="305" spans="1:13" ht="12.75" customHeight="1" x14ac:dyDescent="0.2">
      <c r="A305" s="1945" t="s">
        <v>1062</v>
      </c>
      <c r="B305" s="1945"/>
      <c r="C305" s="1945"/>
      <c r="D305" s="1945"/>
      <c r="E305" s="1945"/>
      <c r="F305" s="1945"/>
      <c r="G305" s="1945"/>
      <c r="H305" s="1945"/>
    </row>
    <row r="306" spans="1:13" x14ac:dyDescent="0.2">
      <c r="I306" s="1082"/>
      <c r="J306" s="1082"/>
      <c r="K306" s="1082"/>
      <c r="L306" s="1082"/>
      <c r="M306" s="1082"/>
    </row>
    <row r="307" spans="1:13" s="67" customFormat="1" ht="12.75" customHeight="1" x14ac:dyDescent="0.2">
      <c r="A307" s="1937" t="s">
        <v>1482</v>
      </c>
      <c r="B307" s="1937"/>
      <c r="C307" s="1937"/>
      <c r="D307" s="1937"/>
      <c r="E307" s="1937"/>
      <c r="F307" s="1937"/>
      <c r="G307" s="1937"/>
      <c r="H307" s="1937"/>
      <c r="I307" s="34"/>
      <c r="J307" s="34"/>
      <c r="K307" s="34"/>
      <c r="L307" s="34"/>
      <c r="M307" s="17"/>
    </row>
    <row r="308" spans="1:13" ht="15" customHeight="1" x14ac:dyDescent="0.2">
      <c r="A308" s="1441" t="s">
        <v>1484</v>
      </c>
      <c r="B308" s="1442"/>
      <c r="C308" s="1442"/>
      <c r="D308" s="1442"/>
      <c r="E308" s="1442"/>
      <c r="F308" s="1443"/>
      <c r="G308" s="1441" t="s">
        <v>538</v>
      </c>
      <c r="H308" s="1443"/>
      <c r="I308" s="64"/>
      <c r="J308" s="64"/>
      <c r="K308" s="64"/>
      <c r="L308" s="64"/>
      <c r="M308" s="67"/>
    </row>
    <row r="309" spans="1:13" s="67" customFormat="1" x14ac:dyDescent="0.2">
      <c r="A309" s="1844"/>
      <c r="B309" s="1845"/>
      <c r="C309" s="1845"/>
      <c r="D309" s="1845"/>
      <c r="E309" s="1845"/>
      <c r="F309" s="1846"/>
      <c r="G309" s="1844"/>
      <c r="H309" s="1846"/>
      <c r="I309" s="64"/>
      <c r="J309" s="64"/>
      <c r="K309" s="64"/>
      <c r="L309" s="64"/>
    </row>
    <row r="310" spans="1:13" s="67" customFormat="1" x14ac:dyDescent="0.2">
      <c r="A310" s="1844"/>
      <c r="B310" s="1845"/>
      <c r="C310" s="1845"/>
      <c r="D310" s="1845"/>
      <c r="E310" s="1845"/>
      <c r="F310" s="1846"/>
      <c r="G310" s="1847"/>
      <c r="H310" s="1640"/>
      <c r="I310" s="1083"/>
      <c r="J310" s="1083"/>
      <c r="K310" s="1083"/>
      <c r="L310" s="1083"/>
      <c r="M310" s="17"/>
    </row>
    <row r="311" spans="1:13" ht="12.75" customHeight="1" x14ac:dyDescent="0.2">
      <c r="A311" s="1945" t="s">
        <v>1483</v>
      </c>
      <c r="B311" s="1945"/>
      <c r="C311" s="1945"/>
      <c r="D311" s="1945"/>
      <c r="E311" s="1945"/>
      <c r="F311" s="1945"/>
      <c r="G311" s="1945"/>
      <c r="H311" s="1945"/>
    </row>
    <row r="312" spans="1:13" x14ac:dyDescent="0.2">
      <c r="I312" s="1083"/>
      <c r="J312" s="1083"/>
      <c r="K312" s="1083"/>
      <c r="L312" s="1083"/>
      <c r="M312" s="1083"/>
    </row>
    <row r="313" spans="1:13" s="67" customFormat="1" ht="14.25" customHeight="1" x14ac:dyDescent="0.2">
      <c r="A313" s="1937" t="s">
        <v>1207</v>
      </c>
      <c r="B313" s="1937"/>
      <c r="C313" s="1937"/>
      <c r="D313" s="1937"/>
      <c r="E313" s="1937"/>
      <c r="F313" s="1937"/>
      <c r="G313" s="1937"/>
      <c r="H313" s="1937"/>
      <c r="I313" s="1937"/>
      <c r="J313" s="1937"/>
      <c r="K313" s="1937"/>
      <c r="L313" s="1937"/>
      <c r="M313" s="1937"/>
    </row>
    <row r="314" spans="1:13" ht="15" customHeight="1" x14ac:dyDescent="0.2">
      <c r="A314" s="38" t="s">
        <v>604</v>
      </c>
      <c r="B314" s="1107" t="s">
        <v>78</v>
      </c>
      <c r="C314" s="1108"/>
      <c r="D314" s="1108"/>
      <c r="E314" s="1108"/>
      <c r="F314" s="1108"/>
      <c r="G314" s="1108"/>
      <c r="H314" s="1108"/>
      <c r="I314" s="1108"/>
      <c r="J314" s="1108"/>
      <c r="K314" s="1108"/>
      <c r="L314" s="1108"/>
      <c r="M314" s="1109"/>
    </row>
    <row r="315" spans="1:13" s="67" customFormat="1" ht="14.25" customHeight="1" x14ac:dyDescent="0.2">
      <c r="A315" s="729"/>
      <c r="B315" s="1110" t="s">
        <v>1204</v>
      </c>
      <c r="C315" s="1111"/>
      <c r="D315" s="1111"/>
      <c r="E315" s="1111"/>
      <c r="F315" s="1111"/>
      <c r="G315" s="1111"/>
      <c r="H315" s="1111"/>
      <c r="I315" s="1111"/>
      <c r="J315" s="1111"/>
      <c r="K315" s="1111"/>
      <c r="L315" s="1111"/>
      <c r="M315" s="1112"/>
    </row>
    <row r="316" spans="1:13" s="67" customFormat="1" ht="14.25" customHeight="1" x14ac:dyDescent="0.2">
      <c r="A316" s="729"/>
      <c r="B316" s="1110" t="s">
        <v>1206</v>
      </c>
      <c r="C316" s="1111"/>
      <c r="D316" s="1111"/>
      <c r="E316" s="1111"/>
      <c r="F316" s="1111"/>
      <c r="G316" s="1111"/>
      <c r="H316" s="1111"/>
      <c r="I316" s="1111"/>
      <c r="J316" s="1111"/>
      <c r="K316" s="1111"/>
      <c r="L316" s="1111"/>
      <c r="M316" s="1112"/>
    </row>
    <row r="317" spans="1:13" s="67" customFormat="1" ht="14.25" customHeight="1" x14ac:dyDescent="0.2">
      <c r="A317" s="729"/>
      <c r="B317" s="1110" t="s">
        <v>1205</v>
      </c>
      <c r="C317" s="1111"/>
      <c r="D317" s="1111"/>
      <c r="E317" s="1111"/>
      <c r="F317" s="1111"/>
      <c r="G317" s="1111"/>
      <c r="H317" s="1111"/>
      <c r="I317" s="1111"/>
      <c r="J317" s="1111"/>
      <c r="K317" s="1111"/>
      <c r="L317" s="1111"/>
      <c r="M317" s="1112"/>
    </row>
  </sheetData>
  <customSheetViews>
    <customSheetView guid="{4892E1C0-7A56-4F81-A857-987D77EC4462}" topLeftCell="A415">
      <selection activeCell="B362" sqref="B362:M362"/>
      <rowBreaks count="6" manualBreakCount="6">
        <brk id="28" max="16383" man="1"/>
        <brk id="146" max="16383" man="1"/>
        <brk id="195" max="16383" man="1"/>
        <brk id="258" max="16383" man="1"/>
        <brk id="332" max="16383" man="1"/>
        <brk id="375" max="16383" man="1"/>
      </rowBreaks>
      <pageMargins left="0.7" right="0.7" top="0.7" bottom="0.7" header="0.3" footer="0.3"/>
      <pageSetup orientation="landscape" r:id="rId1"/>
      <headerFooter>
        <oddHeader>&amp;L&amp;G&amp;CShowAcronymGoesHere - PSM&amp;R&amp;P</oddHeader>
        <oddFooter>&amp;L&amp;D&amp;R&amp;Z&amp;F</oddFooter>
      </headerFooter>
    </customSheetView>
    <customSheetView guid="{C29C6423-4E3D-4B08-919E-993C7C45FC31}" topLeftCell="A415">
      <selection activeCell="B362" sqref="B362:M362"/>
      <rowBreaks count="6" manualBreakCount="6">
        <brk id="28" max="16383" man="1"/>
        <brk id="146" max="16383" man="1"/>
        <brk id="195" max="16383" man="1"/>
        <brk id="258" max="16383" man="1"/>
        <brk id="332" max="16383" man="1"/>
        <brk id="375" max="16383" man="1"/>
      </rowBreaks>
      <pageMargins left="0.7" right="0.7" top="0.7" bottom="0.7" header="0.3" footer="0.3"/>
      <pageSetup orientation="landscape" r:id="rId2"/>
      <headerFooter>
        <oddHeader>&amp;L&amp;G&amp;CShowAcronymGoesHere - PSM&amp;R&amp;P</oddHeader>
        <oddFooter>&amp;L&amp;D&amp;R&amp;Z&amp;F</oddFooter>
      </headerFooter>
    </customSheetView>
  </customSheetViews>
  <mergeCells count="449">
    <mergeCell ref="A311:H311"/>
    <mergeCell ref="A307:H307"/>
    <mergeCell ref="H206:M206"/>
    <mergeCell ref="H207:M207"/>
    <mergeCell ref="H208:M208"/>
    <mergeCell ref="H213:M213"/>
    <mergeCell ref="H220:M220"/>
    <mergeCell ref="H221:M221"/>
    <mergeCell ref="H222:M222"/>
    <mergeCell ref="H223:M223"/>
    <mergeCell ref="H224:M224"/>
    <mergeCell ref="H225:M225"/>
    <mergeCell ref="H226:M226"/>
    <mergeCell ref="H227:M227"/>
    <mergeCell ref="A241:F241"/>
    <mergeCell ref="A247:F247"/>
    <mergeCell ref="A296:B296"/>
    <mergeCell ref="A244:F244"/>
    <mergeCell ref="A245:F245"/>
    <mergeCell ref="A215:F215"/>
    <mergeCell ref="A216:F216"/>
    <mergeCell ref="A257:F257"/>
    <mergeCell ref="A260:F260"/>
    <mergeCell ref="H259:L259"/>
    <mergeCell ref="H135:M135"/>
    <mergeCell ref="A139:F139"/>
    <mergeCell ref="A148:F148"/>
    <mergeCell ref="A140:F140"/>
    <mergeCell ref="A141:F141"/>
    <mergeCell ref="H147:M147"/>
    <mergeCell ref="A230:H230"/>
    <mergeCell ref="H202:M202"/>
    <mergeCell ref="H203:M203"/>
    <mergeCell ref="H204:M204"/>
    <mergeCell ref="H205:M205"/>
    <mergeCell ref="A194:F194"/>
    <mergeCell ref="A214:F214"/>
    <mergeCell ref="A210:B210"/>
    <mergeCell ref="C210:J210"/>
    <mergeCell ref="A211:B211"/>
    <mergeCell ref="A154:F154"/>
    <mergeCell ref="A222:F222"/>
    <mergeCell ref="A206:F206"/>
    <mergeCell ref="A198:F198"/>
    <mergeCell ref="C190:L190"/>
    <mergeCell ref="A193:F193"/>
    <mergeCell ref="H157:M157"/>
    <mergeCell ref="A199:F199"/>
    <mergeCell ref="C99:J99"/>
    <mergeCell ref="A301:H301"/>
    <mergeCell ref="A305:H305"/>
    <mergeCell ref="H277:L277"/>
    <mergeCell ref="H266:L266"/>
    <mergeCell ref="H248:M248"/>
    <mergeCell ref="H249:M249"/>
    <mergeCell ref="H154:M154"/>
    <mergeCell ref="A142:F142"/>
    <mergeCell ref="A135:F135"/>
    <mergeCell ref="A136:F136"/>
    <mergeCell ref="A137:F137"/>
    <mergeCell ref="A138:F138"/>
    <mergeCell ref="A217:F217"/>
    <mergeCell ref="A218:F218"/>
    <mergeCell ref="A219:F219"/>
    <mergeCell ref="A220:F220"/>
    <mergeCell ref="A221:F221"/>
    <mergeCell ref="C299:D299"/>
    <mergeCell ref="A232:B232"/>
    <mergeCell ref="A249:F249"/>
    <mergeCell ref="A248:F248"/>
    <mergeCell ref="A246:F246"/>
    <mergeCell ref="A240:F240"/>
    <mergeCell ref="C29:J29"/>
    <mergeCell ref="C30:J30"/>
    <mergeCell ref="C31:J31"/>
    <mergeCell ref="C32:J32"/>
    <mergeCell ref="C33:J33"/>
    <mergeCell ref="H127:M127"/>
    <mergeCell ref="A125:B125"/>
    <mergeCell ref="C125:L125"/>
    <mergeCell ref="H193:M193"/>
    <mergeCell ref="H136:M136"/>
    <mergeCell ref="H137:M137"/>
    <mergeCell ref="H138:M138"/>
    <mergeCell ref="H139:M139"/>
    <mergeCell ref="H140:M140"/>
    <mergeCell ref="H141:M141"/>
    <mergeCell ref="H142:M142"/>
    <mergeCell ref="H134:M134"/>
    <mergeCell ref="C189:J189"/>
    <mergeCell ref="A190:B190"/>
    <mergeCell ref="A115:H115"/>
    <mergeCell ref="H111:M111"/>
    <mergeCell ref="H112:M112"/>
    <mergeCell ref="B96:C96"/>
    <mergeCell ref="A120:L120"/>
    <mergeCell ref="A313:M313"/>
    <mergeCell ref="H228:M228"/>
    <mergeCell ref="H235:M235"/>
    <mergeCell ref="H241:M241"/>
    <mergeCell ref="H242:M242"/>
    <mergeCell ref="H243:M243"/>
    <mergeCell ref="H244:M244"/>
    <mergeCell ref="H245:M245"/>
    <mergeCell ref="H246:M246"/>
    <mergeCell ref="H247:M247"/>
    <mergeCell ref="A239:F239"/>
    <mergeCell ref="A235:F235"/>
    <mergeCell ref="A236:F236"/>
    <mergeCell ref="A238:F238"/>
    <mergeCell ref="A233:B233"/>
    <mergeCell ref="C233:K233"/>
    <mergeCell ref="A300:B300"/>
    <mergeCell ref="H260:L260"/>
    <mergeCell ref="A262:F262"/>
    <mergeCell ref="H261:L261"/>
    <mergeCell ref="A263:F263"/>
    <mergeCell ref="A264:F264"/>
    <mergeCell ref="A265:F265"/>
    <mergeCell ref="A303:F303"/>
    <mergeCell ref="A104:F104"/>
    <mergeCell ref="C98:J98"/>
    <mergeCell ref="A111:F111"/>
    <mergeCell ref="A112:F112"/>
    <mergeCell ref="H108:M108"/>
    <mergeCell ref="H106:M106"/>
    <mergeCell ref="A108:F108"/>
    <mergeCell ref="H107:M107"/>
    <mergeCell ref="H54:M54"/>
    <mergeCell ref="A54:F54"/>
    <mergeCell ref="K92:M92"/>
    <mergeCell ref="H93:I93"/>
    <mergeCell ref="A89:L89"/>
    <mergeCell ref="B90:C90"/>
    <mergeCell ref="E90:F90"/>
    <mergeCell ref="H91:I91"/>
    <mergeCell ref="B94:C94"/>
    <mergeCell ref="E94:F94"/>
    <mergeCell ref="C62:J62"/>
    <mergeCell ref="A64:L64"/>
    <mergeCell ref="B65:C65"/>
    <mergeCell ref="E65:F65"/>
    <mergeCell ref="H65:I65"/>
    <mergeCell ref="K65:M65"/>
    <mergeCell ref="A131:F131"/>
    <mergeCell ref="A132:F132"/>
    <mergeCell ref="A133:F133"/>
    <mergeCell ref="A134:F134"/>
    <mergeCell ref="H155:M155"/>
    <mergeCell ref="H156:M156"/>
    <mergeCell ref="A109:F109"/>
    <mergeCell ref="C100:J100"/>
    <mergeCell ref="A149:F149"/>
    <mergeCell ref="A127:F127"/>
    <mergeCell ref="A128:F128"/>
    <mergeCell ref="A129:F129"/>
    <mergeCell ref="A113:F113"/>
    <mergeCell ref="H113:M113"/>
    <mergeCell ref="A130:F130"/>
    <mergeCell ref="A144:B144"/>
    <mergeCell ref="C144:J144"/>
    <mergeCell ref="A123:B123"/>
    <mergeCell ref="C123:J123"/>
    <mergeCell ref="A124:B124"/>
    <mergeCell ref="C124:L124"/>
    <mergeCell ref="C101:J101"/>
    <mergeCell ref="A103:F103"/>
    <mergeCell ref="A121:L121"/>
    <mergeCell ref="A200:F200"/>
    <mergeCell ref="A208:F208"/>
    <mergeCell ref="A160:F160"/>
    <mergeCell ref="A161:F161"/>
    <mergeCell ref="A195:F195"/>
    <mergeCell ref="A196:F196"/>
    <mergeCell ref="C191:L191"/>
    <mergeCell ref="A197:F197"/>
    <mergeCell ref="A201:F201"/>
    <mergeCell ref="A202:F202"/>
    <mergeCell ref="A166:B166"/>
    <mergeCell ref="C166:L166"/>
    <mergeCell ref="H162:M162"/>
    <mergeCell ref="A204:F204"/>
    <mergeCell ref="A205:F205"/>
    <mergeCell ref="H200:M200"/>
    <mergeCell ref="H201:M201"/>
    <mergeCell ref="A189:B189"/>
    <mergeCell ref="A203:F203"/>
    <mergeCell ref="A145:B145"/>
    <mergeCell ref="C145:L145"/>
    <mergeCell ref="A147:F147"/>
    <mergeCell ref="C232:J232"/>
    <mergeCell ref="A243:F243"/>
    <mergeCell ref="A207:F207"/>
    <mergeCell ref="A191:B191"/>
    <mergeCell ref="A213:F213"/>
    <mergeCell ref="A255:F255"/>
    <mergeCell ref="A150:F150"/>
    <mergeCell ref="A151:F151"/>
    <mergeCell ref="H158:M158"/>
    <mergeCell ref="H159:M159"/>
    <mergeCell ref="H160:M160"/>
    <mergeCell ref="H161:M161"/>
    <mergeCell ref="A251:B251"/>
    <mergeCell ref="A254:F254"/>
    <mergeCell ref="H253:L253"/>
    <mergeCell ref="A252:B252"/>
    <mergeCell ref="A223:F223"/>
    <mergeCell ref="A224:F224"/>
    <mergeCell ref="A225:F225"/>
    <mergeCell ref="C211:L211"/>
    <mergeCell ref="H254:L254"/>
    <mergeCell ref="C26:J26"/>
    <mergeCell ref="H46:M46"/>
    <mergeCell ref="H47:M47"/>
    <mergeCell ref="H48:M48"/>
    <mergeCell ref="H49:M49"/>
    <mergeCell ref="A52:F52"/>
    <mergeCell ref="H53:M53"/>
    <mergeCell ref="A110:F110"/>
    <mergeCell ref="H109:M109"/>
    <mergeCell ref="H110:M110"/>
    <mergeCell ref="H52:M52"/>
    <mergeCell ref="A50:F50"/>
    <mergeCell ref="B42:C42"/>
    <mergeCell ref="A44:F44"/>
    <mergeCell ref="H44:M44"/>
    <mergeCell ref="A47:F47"/>
    <mergeCell ref="A46:F46"/>
    <mergeCell ref="K37:M37"/>
    <mergeCell ref="B38:C38"/>
    <mergeCell ref="K41:M41"/>
    <mergeCell ref="K42:M42"/>
    <mergeCell ref="A48:F48"/>
    <mergeCell ref="A49:F49"/>
    <mergeCell ref="E42:F42"/>
    <mergeCell ref="A25:B25"/>
    <mergeCell ref="C27:J27"/>
    <mergeCell ref="K91:M91"/>
    <mergeCell ref="A24:B24"/>
    <mergeCell ref="C24:J24"/>
    <mergeCell ref="A85:B85"/>
    <mergeCell ref="C85:J85"/>
    <mergeCell ref="A86:B86"/>
    <mergeCell ref="C86:J86"/>
    <mergeCell ref="A87:B87"/>
    <mergeCell ref="C87:J87"/>
    <mergeCell ref="A53:F53"/>
    <mergeCell ref="H90:I90"/>
    <mergeCell ref="K90:M90"/>
    <mergeCell ref="B91:C91"/>
    <mergeCell ref="E91:F91"/>
    <mergeCell ref="A51:F51"/>
    <mergeCell ref="C88:J88"/>
    <mergeCell ref="A26:B26"/>
    <mergeCell ref="H51:M51"/>
    <mergeCell ref="C28:J28"/>
    <mergeCell ref="H41:I41"/>
    <mergeCell ref="H42:I42"/>
    <mergeCell ref="E41:F41"/>
    <mergeCell ref="B41:C41"/>
    <mergeCell ref="A45:F45"/>
    <mergeCell ref="H50:M50"/>
    <mergeCell ref="B37:C37"/>
    <mergeCell ref="B40:C40"/>
    <mergeCell ref="H40:I40"/>
    <mergeCell ref="A1:B1"/>
    <mergeCell ref="A22:B22"/>
    <mergeCell ref="A23:B23"/>
    <mergeCell ref="C23:J23"/>
    <mergeCell ref="C22:J22"/>
    <mergeCell ref="E40:F40"/>
    <mergeCell ref="A35:L35"/>
    <mergeCell ref="H36:I36"/>
    <mergeCell ref="H37:I37"/>
    <mergeCell ref="H38:I38"/>
    <mergeCell ref="K38:M38"/>
    <mergeCell ref="K39:M39"/>
    <mergeCell ref="E36:F36"/>
    <mergeCell ref="E37:F37"/>
    <mergeCell ref="E38:F38"/>
    <mergeCell ref="E39:F39"/>
    <mergeCell ref="H39:I39"/>
    <mergeCell ref="K40:M40"/>
    <mergeCell ref="B39:C39"/>
    <mergeCell ref="A2:M2"/>
    <mergeCell ref="K36:M36"/>
    <mergeCell ref="C25:J25"/>
    <mergeCell ref="B36:C36"/>
    <mergeCell ref="A8:K8"/>
    <mergeCell ref="A237:F237"/>
    <mergeCell ref="H103:M103"/>
    <mergeCell ref="A105:F105"/>
    <mergeCell ref="H105:M105"/>
    <mergeCell ref="A106:F106"/>
    <mergeCell ref="A107:F107"/>
    <mergeCell ref="A165:B165"/>
    <mergeCell ref="C165:J165"/>
    <mergeCell ref="A164:B164"/>
    <mergeCell ref="C164:J164"/>
    <mergeCell ref="A152:F152"/>
    <mergeCell ref="A153:F153"/>
    <mergeCell ref="A162:F162"/>
    <mergeCell ref="A155:F155"/>
    <mergeCell ref="A156:F156"/>
    <mergeCell ref="A157:F157"/>
    <mergeCell ref="A158:F158"/>
    <mergeCell ref="A159:F159"/>
    <mergeCell ref="A242:F242"/>
    <mergeCell ref="H279:L279"/>
    <mergeCell ref="A285:F285"/>
    <mergeCell ref="H280:L280"/>
    <mergeCell ref="A256:F256"/>
    <mergeCell ref="H255:L255"/>
    <mergeCell ref="A259:F259"/>
    <mergeCell ref="H258:L258"/>
    <mergeCell ref="A282:F282"/>
    <mergeCell ref="A283:F283"/>
    <mergeCell ref="H273:L273"/>
    <mergeCell ref="A276:F276"/>
    <mergeCell ref="H275:L275"/>
    <mergeCell ref="A277:F277"/>
    <mergeCell ref="A267:F267"/>
    <mergeCell ref="H256:L256"/>
    <mergeCell ref="A258:F258"/>
    <mergeCell ref="H257:L257"/>
    <mergeCell ref="A261:F261"/>
    <mergeCell ref="H267:L267"/>
    <mergeCell ref="A272:B272"/>
    <mergeCell ref="A274:F274"/>
    <mergeCell ref="A266:F266"/>
    <mergeCell ref="A281:F281"/>
    <mergeCell ref="G308:H308"/>
    <mergeCell ref="G304:H304"/>
    <mergeCell ref="E297:F297"/>
    <mergeCell ref="C297:D297"/>
    <mergeCell ref="A299:B299"/>
    <mergeCell ref="H276:L276"/>
    <mergeCell ref="A268:F268"/>
    <mergeCell ref="A302:F302"/>
    <mergeCell ref="A304:F304"/>
    <mergeCell ref="A298:B298"/>
    <mergeCell ref="C296:D296"/>
    <mergeCell ref="C298:D298"/>
    <mergeCell ref="A286:F286"/>
    <mergeCell ref="H281:L281"/>
    <mergeCell ref="A269:F269"/>
    <mergeCell ref="A284:F284"/>
    <mergeCell ref="A279:F279"/>
    <mergeCell ref="H278:L278"/>
    <mergeCell ref="H268:L268"/>
    <mergeCell ref="A275:F275"/>
    <mergeCell ref="H274:L274"/>
    <mergeCell ref="A271:B271"/>
    <mergeCell ref="A310:F310"/>
    <mergeCell ref="G310:H310"/>
    <mergeCell ref="A226:F226"/>
    <mergeCell ref="A227:F227"/>
    <mergeCell ref="E300:F300"/>
    <mergeCell ref="C300:D300"/>
    <mergeCell ref="E296:F296"/>
    <mergeCell ref="E299:F299"/>
    <mergeCell ref="A287:F287"/>
    <mergeCell ref="A297:B297"/>
    <mergeCell ref="H286:L286"/>
    <mergeCell ref="A288:F288"/>
    <mergeCell ref="E298:F298"/>
    <mergeCell ref="A228:F228"/>
    <mergeCell ref="H288:L288"/>
    <mergeCell ref="H287:L287"/>
    <mergeCell ref="A280:F280"/>
    <mergeCell ref="A289:F289"/>
    <mergeCell ref="A278:F278"/>
    <mergeCell ref="A309:F309"/>
    <mergeCell ref="G303:H303"/>
    <mergeCell ref="G302:H302"/>
    <mergeCell ref="G309:H309"/>
    <mergeCell ref="A308:F308"/>
    <mergeCell ref="K68:M68"/>
    <mergeCell ref="B69:C69"/>
    <mergeCell ref="E69:F69"/>
    <mergeCell ref="H69:I69"/>
    <mergeCell ref="K69:M69"/>
    <mergeCell ref="B70:C70"/>
    <mergeCell ref="E70:F70"/>
    <mergeCell ref="H70:I70"/>
    <mergeCell ref="K70:M70"/>
    <mergeCell ref="B71:C71"/>
    <mergeCell ref="A56:B56"/>
    <mergeCell ref="C56:J56"/>
    <mergeCell ref="A57:B57"/>
    <mergeCell ref="C57:J57"/>
    <mergeCell ref="A58:B58"/>
    <mergeCell ref="C58:J58"/>
    <mergeCell ref="A59:B59"/>
    <mergeCell ref="C59:J59"/>
    <mergeCell ref="A60:B60"/>
    <mergeCell ref="C60:J60"/>
    <mergeCell ref="C61:J61"/>
    <mergeCell ref="B66:C66"/>
    <mergeCell ref="E66:F66"/>
    <mergeCell ref="H66:I66"/>
    <mergeCell ref="B68:C68"/>
    <mergeCell ref="E68:F68"/>
    <mergeCell ref="H68:I68"/>
    <mergeCell ref="K66:M66"/>
    <mergeCell ref="B67:C67"/>
    <mergeCell ref="E67:F67"/>
    <mergeCell ref="H67:I67"/>
    <mergeCell ref="K67:M67"/>
    <mergeCell ref="A77:F77"/>
    <mergeCell ref="H77:M77"/>
    <mergeCell ref="A83:F83"/>
    <mergeCell ref="H83:M83"/>
    <mergeCell ref="A78:F78"/>
    <mergeCell ref="H78:M78"/>
    <mergeCell ref="A79:F79"/>
    <mergeCell ref="H79:M79"/>
    <mergeCell ref="A80:F80"/>
    <mergeCell ref="H80:M80"/>
    <mergeCell ref="A81:F81"/>
    <mergeCell ref="H81:M81"/>
    <mergeCell ref="A82:F82"/>
    <mergeCell ref="H82:M82"/>
    <mergeCell ref="E71:F71"/>
    <mergeCell ref="H71:I71"/>
    <mergeCell ref="K71:M71"/>
    <mergeCell ref="A73:F73"/>
    <mergeCell ref="H73:M73"/>
    <mergeCell ref="A74:F74"/>
    <mergeCell ref="A75:F75"/>
    <mergeCell ref="H75:M75"/>
    <mergeCell ref="A76:F76"/>
    <mergeCell ref="H76:M76"/>
    <mergeCell ref="H95:I95"/>
    <mergeCell ref="K95:M95"/>
    <mergeCell ref="E96:F96"/>
    <mergeCell ref="B93:C93"/>
    <mergeCell ref="A88:B88"/>
    <mergeCell ref="B92:C92"/>
    <mergeCell ref="E92:F92"/>
    <mergeCell ref="H94:I94"/>
    <mergeCell ref="H92:I92"/>
    <mergeCell ref="E93:F93"/>
    <mergeCell ref="K93:M93"/>
    <mergeCell ref="H96:I96"/>
    <mergeCell ref="K96:M96"/>
    <mergeCell ref="K94:M94"/>
    <mergeCell ref="B95:C95"/>
    <mergeCell ref="E95:F95"/>
  </mergeCells>
  <phoneticPr fontId="6" type="noConversion"/>
  <hyperlinks>
    <hyperlink ref="A1" location="TOC!A1" display="TOC Page"/>
    <hyperlink ref="A6" r:id="rId3"/>
    <hyperlink ref="A118" r:id="rId4"/>
  </hyperlinks>
  <pageMargins left="0.7" right="0.7" top="0.7" bottom="0.7" header="0.3" footer="0.3"/>
  <pageSetup orientation="landscape" r:id="rId5"/>
  <headerFooter>
    <oddHeader>&amp;L&amp;G&amp;CShowAcronymGoesHere - PSM&amp;R&amp;P</oddHeader>
    <oddFooter>&amp;L&amp;D&amp;R&amp;Z&amp;F</oddFooter>
  </headerFooter>
  <rowBreaks count="1" manualBreakCount="1">
    <brk id="249" max="16383" man="1"/>
  </rowBreaks>
  <customProperties>
    <customPr name="DVSECTIONID" r:id="rId6"/>
  </customProperties>
  <drawing r:id="rId7"/>
  <legacyDrawingHF r:id="rId8"/>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7">
    <tabColor theme="0" tint="-0.14999847407452621"/>
  </sheetPr>
  <dimension ref="A1:K186"/>
  <sheetViews>
    <sheetView zoomScaleNormal="100" workbookViewId="0">
      <pane ySplit="1" topLeftCell="A35" activePane="bottomLeft" state="frozen"/>
      <selection activeCell="U16" sqref="U16"/>
      <selection pane="bottomLeft" activeCell="A35" sqref="A35:E35"/>
    </sheetView>
  </sheetViews>
  <sheetFormatPr defaultRowHeight="15" x14ac:dyDescent="0.2"/>
  <cols>
    <col min="1" max="1" width="11.42578125" style="66" customWidth="1"/>
    <col min="2" max="2" width="17.7109375" style="66" customWidth="1"/>
    <col min="3" max="3" width="11.85546875" style="66" customWidth="1"/>
    <col min="4" max="4" width="12.5703125" style="66" customWidth="1"/>
    <col min="5" max="5" width="21.5703125" style="66" customWidth="1"/>
    <col min="6" max="6" width="34.140625" style="66" customWidth="1"/>
    <col min="7" max="7" width="23.5703125" customWidth="1"/>
  </cols>
  <sheetData>
    <row r="1" spans="1:6" x14ac:dyDescent="0.2">
      <c r="A1" s="1420" t="s">
        <v>639</v>
      </c>
      <c r="B1" s="1420"/>
    </row>
    <row r="2" spans="1:6" ht="20.25" customHeight="1" x14ac:dyDescent="0.2">
      <c r="A2" s="2026" t="s">
        <v>210</v>
      </c>
      <c r="B2" s="1769"/>
      <c r="C2" s="1769"/>
      <c r="D2" s="1769"/>
      <c r="E2" s="1769"/>
      <c r="F2" s="1769"/>
    </row>
    <row r="3" spans="1:6" s="17" customFormat="1" ht="12.75" x14ac:dyDescent="0.2">
      <c r="A3" s="34"/>
      <c r="B3" s="34"/>
      <c r="C3" s="34"/>
      <c r="D3" s="34"/>
      <c r="E3" s="34"/>
      <c r="F3" s="34"/>
    </row>
    <row r="4" spans="1:6" s="596" customFormat="1" ht="40.5" customHeight="1" x14ac:dyDescent="0.2">
      <c r="A4" s="1419" t="s">
        <v>1881</v>
      </c>
      <c r="B4" s="1346"/>
      <c r="C4" s="1346"/>
      <c r="D4" s="1346"/>
      <c r="E4" s="1346"/>
      <c r="F4" s="1346"/>
    </row>
    <row r="5" spans="1:6" s="596" customFormat="1" ht="12.75" x14ac:dyDescent="0.2">
      <c r="A5" s="594"/>
      <c r="B5" s="594"/>
      <c r="C5" s="594"/>
      <c r="D5" s="594"/>
      <c r="E5" s="594"/>
      <c r="F5" s="594"/>
    </row>
    <row r="6" spans="1:6" s="596" customFormat="1" ht="12.75" x14ac:dyDescent="0.2">
      <c r="A6" s="594"/>
      <c r="B6" s="594"/>
      <c r="C6" s="594"/>
      <c r="D6" s="594"/>
      <c r="E6" s="594"/>
      <c r="F6" s="594"/>
    </row>
    <row r="7" spans="1:6" s="306" customFormat="1" ht="12.75" x14ac:dyDescent="0.2">
      <c r="A7" s="2028" t="s">
        <v>384</v>
      </c>
      <c r="B7" s="2028"/>
      <c r="C7" s="2028"/>
      <c r="D7" s="1855" t="s">
        <v>1678</v>
      </c>
      <c r="E7" s="1855"/>
      <c r="F7" s="687" t="s">
        <v>537</v>
      </c>
    </row>
    <row r="8" spans="1:6" s="447" customFormat="1" ht="12.75" x14ac:dyDescent="0.2">
      <c r="A8" s="1606" t="s">
        <v>1679</v>
      </c>
      <c r="B8" s="1607"/>
      <c r="C8" s="1608"/>
      <c r="D8" s="2097">
        <v>1</v>
      </c>
      <c r="E8" s="2098"/>
      <c r="F8" s="1054" t="s">
        <v>2675</v>
      </c>
    </row>
    <row r="9" spans="1:6" s="447" customFormat="1" ht="15.75" customHeight="1" x14ac:dyDescent="0.2">
      <c r="A9" s="2096" t="s">
        <v>1467</v>
      </c>
      <c r="B9" s="2096"/>
      <c r="C9" s="2096"/>
      <c r="D9" s="2094">
        <v>1</v>
      </c>
      <c r="E9" s="2094"/>
      <c r="F9" s="812" t="s">
        <v>2306</v>
      </c>
    </row>
    <row r="10" spans="1:6" s="17" customFormat="1" ht="15" customHeight="1" x14ac:dyDescent="0.2">
      <c r="A10" s="459" t="s">
        <v>1682</v>
      </c>
      <c r="B10" s="34"/>
      <c r="C10" s="34"/>
      <c r="D10" s="34"/>
      <c r="E10" s="34"/>
      <c r="F10" s="34"/>
    </row>
    <row r="11" spans="1:6" s="448" customFormat="1" ht="12.75" x14ac:dyDescent="0.2">
      <c r="A11" s="446"/>
      <c r="B11" s="446"/>
      <c r="C11" s="446"/>
      <c r="D11" s="446"/>
      <c r="E11" s="446"/>
      <c r="F11" s="446"/>
    </row>
    <row r="12" spans="1:6" s="449" customFormat="1" ht="12.75" x14ac:dyDescent="0.2">
      <c r="A12" s="457" t="s">
        <v>1680</v>
      </c>
      <c r="C12" s="2095" t="s">
        <v>1681</v>
      </c>
      <c r="D12" s="1765"/>
      <c r="E12" s="1765"/>
      <c r="F12" s="1765"/>
    </row>
    <row r="13" spans="1:6" s="448" customFormat="1" ht="12.75" x14ac:dyDescent="0.2">
      <c r="A13" s="446"/>
      <c r="B13" s="446"/>
      <c r="C13" s="1346"/>
      <c r="D13" s="1346"/>
      <c r="E13" s="1346"/>
      <c r="F13" s="1346"/>
    </row>
    <row r="14" spans="1:6" s="448" customFormat="1" ht="12.75" x14ac:dyDescent="0.2">
      <c r="A14" s="446"/>
      <c r="B14" s="446"/>
      <c r="C14" s="446"/>
      <c r="D14" s="446"/>
      <c r="E14" s="446"/>
      <c r="F14" s="446"/>
    </row>
    <row r="15" spans="1:6" s="17" customFormat="1" ht="12.75" x14ac:dyDescent="0.2">
      <c r="A15" s="2093" t="s">
        <v>1171</v>
      </c>
      <c r="B15" s="2093"/>
      <c r="C15" s="2093"/>
      <c r="D15" s="2093"/>
      <c r="E15" s="2093"/>
      <c r="F15" s="34"/>
    </row>
    <row r="16" spans="1:6" s="17" customFormat="1" ht="12.75" x14ac:dyDescent="0.2">
      <c r="A16" s="34"/>
      <c r="B16" s="34"/>
      <c r="C16" s="34"/>
      <c r="D16" s="34"/>
      <c r="E16" s="34"/>
      <c r="F16" s="34"/>
    </row>
    <row r="17" spans="1:6" s="81" customFormat="1" ht="12.75" x14ac:dyDescent="0.2">
      <c r="A17" s="229" t="s">
        <v>604</v>
      </c>
      <c r="B17" s="2087" t="s">
        <v>150</v>
      </c>
      <c r="C17" s="2088"/>
      <c r="D17" s="2088"/>
      <c r="E17" s="2089"/>
    </row>
    <row r="18" spans="1:6" s="81" customFormat="1" ht="15.75" customHeight="1" x14ac:dyDescent="0.2">
      <c r="A18" s="270" t="s">
        <v>604</v>
      </c>
      <c r="B18" s="2090" t="s">
        <v>1166</v>
      </c>
      <c r="C18" s="2091"/>
      <c r="D18" s="2091"/>
      <c r="E18" s="2092"/>
    </row>
    <row r="19" spans="1:6" s="81" customFormat="1" ht="15.75" customHeight="1" x14ac:dyDescent="0.2">
      <c r="A19" s="270"/>
      <c r="B19" s="2090" t="s">
        <v>151</v>
      </c>
      <c r="C19" s="2091"/>
      <c r="D19" s="2091"/>
      <c r="E19" s="2092"/>
    </row>
    <row r="20" spans="1:6" s="81" customFormat="1" ht="15.75" customHeight="1" x14ac:dyDescent="0.2">
      <c r="A20" s="270"/>
      <c r="B20" s="2090" t="s">
        <v>152</v>
      </c>
      <c r="C20" s="2091"/>
      <c r="D20" s="2091"/>
      <c r="E20" s="2092"/>
    </row>
    <row r="21" spans="1:6" s="81" customFormat="1" ht="15.75" customHeight="1" x14ac:dyDescent="0.2">
      <c r="A21" s="270"/>
      <c r="B21" s="2090" t="s">
        <v>1168</v>
      </c>
      <c r="C21" s="2091"/>
      <c r="D21" s="2091"/>
      <c r="E21" s="2092"/>
    </row>
    <row r="22" spans="1:6" s="81" customFormat="1" ht="15.75" customHeight="1" x14ac:dyDescent="0.2">
      <c r="A22" s="270"/>
      <c r="B22" s="2090" t="s">
        <v>1169</v>
      </c>
      <c r="C22" s="2091"/>
      <c r="D22" s="2091"/>
      <c r="E22" s="2092"/>
    </row>
    <row r="23" spans="1:6" s="81" customFormat="1" ht="15.75" customHeight="1" x14ac:dyDescent="0.2">
      <c r="A23" s="270" t="s">
        <v>604</v>
      </c>
      <c r="B23" s="2090" t="s">
        <v>153</v>
      </c>
      <c r="C23" s="2091"/>
      <c r="D23" s="2091"/>
      <c r="E23" s="2092"/>
    </row>
    <row r="24" spans="1:6" s="81" customFormat="1" ht="15.75" customHeight="1" x14ac:dyDescent="0.2">
      <c r="A24" s="270"/>
      <c r="B24" s="2090" t="s">
        <v>154</v>
      </c>
      <c r="C24" s="2091"/>
      <c r="D24" s="2091"/>
      <c r="E24" s="2092"/>
    </row>
    <row r="25" spans="1:6" s="81" customFormat="1" ht="15.75" customHeight="1" x14ac:dyDescent="0.2">
      <c r="A25" s="270"/>
      <c r="B25" s="2090" t="s">
        <v>10</v>
      </c>
      <c r="C25" s="2091"/>
      <c r="D25" s="2091"/>
      <c r="E25" s="2092"/>
    </row>
    <row r="26" spans="1:6" s="81" customFormat="1" ht="15.75" customHeight="1" x14ac:dyDescent="0.2">
      <c r="A26" s="270"/>
      <c r="B26" s="2090" t="s">
        <v>458</v>
      </c>
      <c r="C26" s="2091"/>
      <c r="D26" s="2091"/>
      <c r="E26" s="2092"/>
    </row>
    <row r="27" spans="1:6" s="81" customFormat="1" ht="15.75" customHeight="1" x14ac:dyDescent="0.2">
      <c r="A27" s="270"/>
      <c r="B27" s="2090" t="s">
        <v>425</v>
      </c>
      <c r="C27" s="2091"/>
      <c r="D27" s="2091"/>
      <c r="E27" s="2092"/>
    </row>
    <row r="28" spans="1:6" s="81" customFormat="1" ht="15.75" customHeight="1" x14ac:dyDescent="0.2">
      <c r="A28" s="270"/>
      <c r="B28" s="2090" t="s">
        <v>1167</v>
      </c>
      <c r="C28" s="2091"/>
      <c r="D28" s="2091"/>
      <c r="E28" s="2092"/>
    </row>
    <row r="29" spans="1:6" s="81" customFormat="1" ht="15.75" customHeight="1" x14ac:dyDescent="0.2">
      <c r="A29" s="270"/>
      <c r="B29" s="2090" t="s">
        <v>1165</v>
      </c>
      <c r="C29" s="2091"/>
      <c r="D29" s="2091"/>
      <c r="E29" s="2092"/>
    </row>
    <row r="30" spans="1:6" s="81" customFormat="1" ht="15.75" customHeight="1" x14ac:dyDescent="0.2">
      <c r="A30" s="270"/>
      <c r="B30" s="230" t="s">
        <v>633</v>
      </c>
      <c r="C30" s="231"/>
      <c r="D30" s="231"/>
      <c r="E30" s="232"/>
    </row>
    <row r="31" spans="1:6" s="81" customFormat="1" ht="15.75" customHeight="1" x14ac:dyDescent="0.2">
      <c r="A31" s="270"/>
      <c r="B31" s="2090" t="s">
        <v>1170</v>
      </c>
      <c r="C31" s="2091"/>
      <c r="D31" s="2091"/>
      <c r="E31" s="2092"/>
    </row>
    <row r="32" spans="1:6" s="17" customFormat="1" ht="18" customHeight="1" x14ac:dyDescent="0.2">
      <c r="A32" s="34"/>
      <c r="B32" s="222"/>
      <c r="C32" s="46"/>
      <c r="D32" s="64"/>
      <c r="E32" s="64"/>
      <c r="F32" s="34"/>
    </row>
    <row r="33" spans="1:7" s="35" customFormat="1" ht="12.75" customHeight="1" x14ac:dyDescent="0.2">
      <c r="A33" s="1367" t="s">
        <v>1486</v>
      </c>
      <c r="B33" s="1367"/>
      <c r="C33" s="1367"/>
      <c r="D33" s="1367"/>
      <c r="E33" s="1367"/>
    </row>
    <row r="34" spans="1:7" s="35" customFormat="1" ht="12.75" x14ac:dyDescent="0.2">
      <c r="A34" s="1366"/>
      <c r="B34" s="1366"/>
      <c r="C34" s="1366"/>
      <c r="D34" s="1366"/>
      <c r="E34" s="1366"/>
    </row>
    <row r="35" spans="1:7" s="35" customFormat="1" ht="12.75" x14ac:dyDescent="0.2">
      <c r="A35" s="1366"/>
      <c r="B35" s="1366"/>
      <c r="C35" s="1366"/>
      <c r="D35" s="1366"/>
      <c r="E35" s="1366"/>
    </row>
    <row r="36" spans="1:7" s="17" customFormat="1" ht="15.75" customHeight="1" x14ac:dyDescent="0.2">
      <c r="A36" s="1728" t="s">
        <v>1212</v>
      </c>
      <c r="B36" s="1728"/>
      <c r="C36" s="1728"/>
      <c r="D36" s="1728"/>
      <c r="E36" s="1728"/>
      <c r="F36" s="1728"/>
    </row>
    <row r="37" spans="1:7" s="17" customFormat="1" ht="15.75" customHeight="1" x14ac:dyDescent="0.2">
      <c r="A37" s="1724" t="s">
        <v>1213</v>
      </c>
      <c r="B37" s="1724"/>
      <c r="C37" s="1724"/>
      <c r="D37" s="1724"/>
      <c r="E37" s="1724"/>
      <c r="F37" s="1724"/>
    </row>
    <row r="38" spans="1:7" s="17" customFormat="1" ht="12.75" x14ac:dyDescent="0.2">
      <c r="A38" s="34"/>
      <c r="B38" s="34"/>
      <c r="C38" s="34"/>
      <c r="D38" s="34"/>
      <c r="E38" s="34"/>
      <c r="F38" s="34"/>
    </row>
    <row r="39" spans="1:7" s="701" customFormat="1" ht="14.25" customHeight="1" x14ac:dyDescent="0.2">
      <c r="A39" s="458" t="s">
        <v>76</v>
      </c>
      <c r="B39" s="458" t="s">
        <v>636</v>
      </c>
      <c r="C39" s="2027" t="s">
        <v>2268</v>
      </c>
      <c r="D39" s="2027"/>
      <c r="E39" s="790" t="s">
        <v>2300</v>
      </c>
      <c r="F39" s="790" t="s">
        <v>2301</v>
      </c>
      <c r="G39" s="790" t="s">
        <v>2305</v>
      </c>
    </row>
    <row r="40" spans="1:7" s="795" customFormat="1" ht="12.75" x14ac:dyDescent="0.2">
      <c r="A40" s="730">
        <v>43724</v>
      </c>
      <c r="B40" s="730" t="s">
        <v>401</v>
      </c>
      <c r="C40" s="2036" t="s">
        <v>2676</v>
      </c>
      <c r="D40" s="2036"/>
      <c r="E40" s="791"/>
      <c r="F40" s="791"/>
      <c r="G40" s="791"/>
    </row>
    <row r="41" spans="1:7" s="795" customFormat="1" ht="13.9" customHeight="1" x14ac:dyDescent="0.2">
      <c r="A41" s="797">
        <v>43725</v>
      </c>
      <c r="B41" s="797" t="s">
        <v>402</v>
      </c>
      <c r="C41" s="1982" t="s">
        <v>2304</v>
      </c>
      <c r="D41" s="1982"/>
      <c r="E41" s="798" t="s">
        <v>2386</v>
      </c>
      <c r="F41" s="799"/>
      <c r="G41" s="799"/>
    </row>
    <row r="42" spans="1:7" s="701" customFormat="1" ht="13.9" customHeight="1" x14ac:dyDescent="0.2">
      <c r="A42" s="730">
        <v>43725</v>
      </c>
      <c r="B42" s="730" t="s">
        <v>402</v>
      </c>
      <c r="C42" s="2036"/>
      <c r="D42" s="2036"/>
      <c r="E42" s="995" t="s">
        <v>2677</v>
      </c>
      <c r="F42" s="859"/>
      <c r="G42" s="793"/>
    </row>
    <row r="43" spans="1:7" s="701" customFormat="1" ht="14.25" customHeight="1" x14ac:dyDescent="0.2">
      <c r="A43" s="730">
        <v>43726</v>
      </c>
      <c r="B43" s="730" t="s">
        <v>403</v>
      </c>
      <c r="C43" s="2061"/>
      <c r="D43" s="2061"/>
      <c r="E43" s="996" t="s">
        <v>2347</v>
      </c>
      <c r="F43" s="1041" t="s">
        <v>1951</v>
      </c>
      <c r="G43" s="996" t="s">
        <v>2514</v>
      </c>
    </row>
    <row r="44" spans="1:7" s="701" customFormat="1" ht="14.25" customHeight="1" x14ac:dyDescent="0.2">
      <c r="A44" s="1055">
        <v>43727</v>
      </c>
      <c r="B44" s="730" t="s">
        <v>404</v>
      </c>
      <c r="C44" s="2061"/>
      <c r="D44" s="2061"/>
      <c r="E44" s="793" t="s">
        <v>2387</v>
      </c>
      <c r="F44" s="793" t="s">
        <v>2307</v>
      </c>
      <c r="G44" s="996" t="s">
        <v>2269</v>
      </c>
    </row>
    <row r="45" spans="1:7" s="701" customFormat="1" ht="14.25" customHeight="1" x14ac:dyDescent="0.2">
      <c r="A45" s="730">
        <v>43728</v>
      </c>
      <c r="B45" s="730" t="s">
        <v>405</v>
      </c>
      <c r="C45" s="2061"/>
      <c r="D45" s="2061"/>
      <c r="E45" s="793" t="s">
        <v>2269</v>
      </c>
      <c r="F45" s="793" t="s">
        <v>2307</v>
      </c>
      <c r="G45" s="996" t="s">
        <v>2515</v>
      </c>
    </row>
    <row r="46" spans="1:7" s="795" customFormat="1" ht="27.6" customHeight="1" x14ac:dyDescent="0.2">
      <c r="A46" s="730">
        <v>43729</v>
      </c>
      <c r="B46" s="730" t="s">
        <v>1549</v>
      </c>
      <c r="C46" s="2061"/>
      <c r="D46" s="2061"/>
      <c r="E46" s="793" t="s">
        <v>2435</v>
      </c>
      <c r="F46" s="793" t="s">
        <v>2307</v>
      </c>
      <c r="G46" s="793"/>
    </row>
    <row r="47" spans="1:7" s="701" customFormat="1" ht="14.25" customHeight="1" x14ac:dyDescent="0.2">
      <c r="A47" s="730">
        <v>43729</v>
      </c>
      <c r="B47" s="730" t="s">
        <v>1549</v>
      </c>
      <c r="C47" s="2072" t="s">
        <v>2527</v>
      </c>
      <c r="D47" s="2072"/>
      <c r="E47" s="792"/>
      <c r="F47" s="793"/>
      <c r="G47" s="793"/>
    </row>
    <row r="48" spans="1:7" s="17" customFormat="1" ht="12.75" x14ac:dyDescent="0.2">
      <c r="A48" s="34"/>
      <c r="B48" s="34"/>
      <c r="C48" s="34"/>
      <c r="D48" s="34"/>
      <c r="E48" s="34"/>
      <c r="F48" s="34"/>
    </row>
    <row r="49" spans="1:6" s="35" customFormat="1" ht="12.75" customHeight="1" x14ac:dyDescent="0.2">
      <c r="A49" s="1354" t="s">
        <v>1172</v>
      </c>
      <c r="B49" s="1354"/>
      <c r="C49" s="1366" t="s">
        <v>1516</v>
      </c>
      <c r="D49" s="1366"/>
      <c r="E49" s="1366"/>
      <c r="F49" s="306"/>
    </row>
    <row r="50" spans="1:6" s="35" customFormat="1" ht="12.75" x14ac:dyDescent="0.2">
      <c r="A50" s="68"/>
      <c r="B50" s="68"/>
      <c r="C50" s="46"/>
      <c r="D50" s="46"/>
      <c r="E50" s="46"/>
    </row>
    <row r="51" spans="1:6" s="83" customFormat="1" ht="12.75" x14ac:dyDescent="0.2">
      <c r="A51" s="2035" t="s">
        <v>1517</v>
      </c>
      <c r="B51" s="2035"/>
      <c r="C51" s="2035"/>
      <c r="D51" s="2035"/>
      <c r="E51" s="2035"/>
      <c r="F51" s="2035"/>
    </row>
    <row r="52" spans="1:6" s="83" customFormat="1" ht="12.75" x14ac:dyDescent="0.2">
      <c r="A52" s="1632" t="s">
        <v>316</v>
      </c>
      <c r="B52" s="1632"/>
      <c r="C52" s="1632"/>
      <c r="D52" s="2099" t="s">
        <v>2569</v>
      </c>
      <c r="E52" s="2099"/>
      <c r="F52" s="2099"/>
    </row>
    <row r="53" spans="1:6" s="83" customFormat="1" ht="12.75" x14ac:dyDescent="0.2">
      <c r="A53" s="1632" t="s">
        <v>1221</v>
      </c>
      <c r="B53" s="1632"/>
      <c r="C53" s="1632"/>
      <c r="D53" s="2099" t="s">
        <v>2576</v>
      </c>
      <c r="E53" s="2099"/>
      <c r="F53" s="2099"/>
    </row>
    <row r="54" spans="1:6" s="83" customFormat="1" ht="12.75" x14ac:dyDescent="0.2">
      <c r="A54" s="1632" t="s">
        <v>1222</v>
      </c>
      <c r="B54" s="1632"/>
      <c r="C54" s="1632"/>
      <c r="D54" s="2100">
        <v>43664</v>
      </c>
      <c r="E54" s="2101"/>
      <c r="F54" s="2102"/>
    </row>
    <row r="55" spans="1:6" s="83" customFormat="1" ht="12.75" x14ac:dyDescent="0.2">
      <c r="A55" s="1632" t="s">
        <v>1223</v>
      </c>
      <c r="B55" s="1632"/>
      <c r="C55" s="1632"/>
      <c r="D55" s="2103" t="s">
        <v>2570</v>
      </c>
      <c r="E55" s="2104"/>
      <c r="F55" s="2105"/>
    </row>
    <row r="56" spans="1:6" s="83" customFormat="1" ht="12.75" x14ac:dyDescent="0.2">
      <c r="A56" s="1632" t="s">
        <v>1224</v>
      </c>
      <c r="B56" s="1632"/>
      <c r="C56" s="1632"/>
      <c r="D56" s="2103" t="s">
        <v>2679</v>
      </c>
      <c r="E56" s="2104"/>
      <c r="F56" s="2105"/>
    </row>
    <row r="57" spans="1:6" s="83" customFormat="1" ht="12.75" x14ac:dyDescent="0.2">
      <c r="A57" s="1210" t="s">
        <v>1653</v>
      </c>
      <c r="B57" s="1632"/>
      <c r="C57" s="1632"/>
      <c r="D57" s="2106">
        <v>1</v>
      </c>
      <c r="E57" s="2107"/>
      <c r="F57" s="2108"/>
    </row>
    <row r="58" spans="1:6" s="83" customFormat="1" ht="12.75" x14ac:dyDescent="0.2">
      <c r="A58" s="1632" t="s">
        <v>213</v>
      </c>
      <c r="B58" s="1632"/>
      <c r="C58" s="1632"/>
      <c r="D58" s="2103" t="s">
        <v>2755</v>
      </c>
      <c r="E58" s="2104"/>
      <c r="F58" s="2105"/>
    </row>
    <row r="59" spans="1:6" s="83" customFormat="1" ht="12.75" x14ac:dyDescent="0.2">
      <c r="A59" s="91"/>
      <c r="B59" s="91"/>
      <c r="C59" s="91"/>
      <c r="D59" s="245"/>
      <c r="E59" s="245"/>
      <c r="F59" s="82"/>
    </row>
    <row r="60" spans="1:6" s="83" customFormat="1" ht="12.75" x14ac:dyDescent="0.2">
      <c r="A60" s="1631" t="s">
        <v>1518</v>
      </c>
      <c r="B60" s="1631"/>
      <c r="C60" s="1631"/>
      <c r="D60" s="1631"/>
      <c r="E60" s="1631"/>
      <c r="F60" s="1631"/>
    </row>
    <row r="61" spans="1:6" s="83" customFormat="1" ht="9.75" customHeight="1" x14ac:dyDescent="0.2">
      <c r="A61" s="1537" t="s">
        <v>1226</v>
      </c>
      <c r="B61" s="1537"/>
      <c r="C61" s="1537"/>
      <c r="D61" s="1537"/>
      <c r="E61" s="1537"/>
      <c r="F61" s="1537"/>
    </row>
    <row r="62" spans="1:6" s="83" customFormat="1" ht="12.75" x14ac:dyDescent="0.2">
      <c r="A62" s="2035" t="s">
        <v>1225</v>
      </c>
      <c r="B62" s="2035"/>
      <c r="C62" s="2035"/>
      <c r="D62" s="2035"/>
      <c r="E62" s="2035"/>
      <c r="F62" s="2035"/>
    </row>
    <row r="63" spans="1:6" s="83" customFormat="1" ht="12.75" x14ac:dyDescent="0.2">
      <c r="A63" s="2035" t="s">
        <v>1227</v>
      </c>
      <c r="B63" s="2035"/>
      <c r="C63" s="2035"/>
      <c r="D63" s="2035"/>
      <c r="E63" s="2035"/>
      <c r="F63" s="2035"/>
    </row>
    <row r="64" spans="1:6" s="83" customFormat="1" ht="12.75" x14ac:dyDescent="0.2">
      <c r="A64" s="2035" t="s">
        <v>1519</v>
      </c>
      <c r="B64" s="2035"/>
      <c r="C64" s="2035"/>
      <c r="D64" s="2035"/>
      <c r="E64" s="2035"/>
      <c r="F64" s="2035"/>
    </row>
    <row r="65" spans="1:6" s="83" customFormat="1" ht="12.75" x14ac:dyDescent="0.2">
      <c r="A65" s="91"/>
      <c r="B65" s="91"/>
      <c r="C65" s="91"/>
      <c r="D65" s="245"/>
      <c r="E65" s="245"/>
      <c r="F65" s="82"/>
    </row>
    <row r="66" spans="1:6" s="480" customFormat="1" ht="14.25" customHeight="1" x14ac:dyDescent="0.2">
      <c r="A66" s="1610" t="s">
        <v>1708</v>
      </c>
      <c r="B66" s="1610"/>
      <c r="C66" s="1610"/>
      <c r="D66" s="1610"/>
      <c r="E66" s="478"/>
      <c r="F66" s="479"/>
    </row>
    <row r="67" spans="1:6" s="481" customFormat="1" ht="12.75" x14ac:dyDescent="0.2">
      <c r="A67" s="2075" t="s">
        <v>1793</v>
      </c>
      <c r="B67" s="2075"/>
      <c r="C67" s="2075"/>
      <c r="D67" s="2075"/>
      <c r="E67" s="2075"/>
      <c r="F67" s="2075"/>
    </row>
    <row r="68" spans="1:6" s="17" customFormat="1" ht="15" customHeight="1" x14ac:dyDescent="0.2">
      <c r="E68" s="34"/>
      <c r="F68" s="34"/>
    </row>
    <row r="69" spans="1:6" s="17" customFormat="1" ht="28.15" customHeight="1" x14ac:dyDescent="0.2">
      <c r="A69" s="2083" t="s">
        <v>228</v>
      </c>
      <c r="B69" s="2084"/>
      <c r="C69" s="794" t="s">
        <v>2303</v>
      </c>
      <c r="D69" s="237" t="s">
        <v>2302</v>
      </c>
      <c r="E69" s="237" t="s">
        <v>2369</v>
      </c>
      <c r="F69" s="2085" t="s">
        <v>532</v>
      </c>
    </row>
    <row r="70" spans="1:6" s="17" customFormat="1" ht="15" customHeight="1" x14ac:dyDescent="0.2">
      <c r="A70" s="2081" t="s">
        <v>2493</v>
      </c>
      <c r="B70" s="2082"/>
      <c r="C70" s="796">
        <v>2</v>
      </c>
      <c r="D70" s="234">
        <v>2</v>
      </c>
      <c r="E70" s="234">
        <v>2</v>
      </c>
      <c r="F70" s="2086"/>
    </row>
    <row r="71" spans="1:6" s="17" customFormat="1" ht="16.5" customHeight="1" x14ac:dyDescent="0.2">
      <c r="A71" s="2062" t="s">
        <v>533</v>
      </c>
      <c r="B71" s="2063"/>
      <c r="C71" s="990"/>
      <c r="D71" s="991">
        <v>2</v>
      </c>
      <c r="E71" s="991"/>
      <c r="F71" s="991">
        <f>SUM(C71:E71)</f>
        <v>2</v>
      </c>
    </row>
    <row r="72" spans="1:6" s="17" customFormat="1" ht="16.5" customHeight="1" x14ac:dyDescent="0.2">
      <c r="A72" s="2062" t="s">
        <v>534</v>
      </c>
      <c r="B72" s="2063"/>
      <c r="C72" s="990"/>
      <c r="D72" s="991"/>
      <c r="E72" s="991">
        <v>1</v>
      </c>
      <c r="F72" s="991">
        <f t="shared" ref="F72:F81" si="0">SUM(C72:E72)</f>
        <v>1</v>
      </c>
    </row>
    <row r="73" spans="1:6" s="17" customFormat="1" ht="16.5" customHeight="1" x14ac:dyDescent="0.2">
      <c r="A73" s="2073" t="s">
        <v>1801</v>
      </c>
      <c r="B73" s="2063"/>
      <c r="C73" s="990"/>
      <c r="D73" s="991"/>
      <c r="E73" s="991"/>
      <c r="F73" s="991"/>
    </row>
    <row r="74" spans="1:6" s="17" customFormat="1" ht="16.5" customHeight="1" x14ac:dyDescent="0.2">
      <c r="A74" s="2062" t="s">
        <v>231</v>
      </c>
      <c r="B74" s="2063"/>
      <c r="C74" s="990"/>
      <c r="D74" s="991"/>
      <c r="E74" s="991"/>
      <c r="F74" s="991"/>
    </row>
    <row r="75" spans="1:6" s="17" customFormat="1" ht="16.5" customHeight="1" x14ac:dyDescent="0.2">
      <c r="A75" s="2062" t="s">
        <v>1173</v>
      </c>
      <c r="B75" s="2063"/>
      <c r="C75" s="990"/>
      <c r="D75" s="991"/>
      <c r="E75" s="991"/>
      <c r="F75" s="991"/>
    </row>
    <row r="76" spans="1:6" s="542" customFormat="1" ht="16.5" customHeight="1" x14ac:dyDescent="0.2">
      <c r="A76" s="548" t="s">
        <v>1802</v>
      </c>
      <c r="B76" s="543"/>
      <c r="C76" s="990"/>
      <c r="D76" s="1125">
        <v>2</v>
      </c>
      <c r="E76" s="1125">
        <v>1</v>
      </c>
      <c r="F76" s="1125">
        <f t="shared" si="0"/>
        <v>3</v>
      </c>
    </row>
    <row r="77" spans="1:6" s="17" customFormat="1" ht="27" customHeight="1" x14ac:dyDescent="0.2">
      <c r="A77" s="2062" t="s">
        <v>1174</v>
      </c>
      <c r="B77" s="2063"/>
      <c r="C77" s="990"/>
      <c r="D77" s="991">
        <v>2</v>
      </c>
      <c r="E77" s="991"/>
      <c r="F77" s="991">
        <f t="shared" si="0"/>
        <v>2</v>
      </c>
    </row>
    <row r="78" spans="1:6" s="17" customFormat="1" ht="28.5" customHeight="1" x14ac:dyDescent="0.2">
      <c r="A78" s="2062" t="s">
        <v>1175</v>
      </c>
      <c r="B78" s="2063"/>
      <c r="C78" s="990"/>
      <c r="D78" s="991"/>
      <c r="E78" s="991"/>
      <c r="F78" s="991"/>
    </row>
    <row r="79" spans="1:6" s="17" customFormat="1" ht="16.5" customHeight="1" x14ac:dyDescent="0.2">
      <c r="A79" s="2062" t="s">
        <v>229</v>
      </c>
      <c r="B79" s="2063"/>
      <c r="C79" s="991">
        <v>1</v>
      </c>
      <c r="D79" s="991"/>
      <c r="E79" s="991"/>
      <c r="F79" s="991">
        <f t="shared" si="0"/>
        <v>1</v>
      </c>
    </row>
    <row r="80" spans="1:6" s="542" customFormat="1" ht="12.75" x14ac:dyDescent="0.2">
      <c r="A80" s="2064" t="s">
        <v>1800</v>
      </c>
      <c r="B80" s="2065"/>
      <c r="C80" s="992"/>
      <c r="D80" s="977"/>
      <c r="E80" s="977"/>
      <c r="F80" s="991"/>
    </row>
    <row r="81" spans="1:11" s="679" customFormat="1" ht="12.75" x14ac:dyDescent="0.2">
      <c r="A81" s="2073" t="s">
        <v>2270</v>
      </c>
      <c r="B81" s="2074"/>
      <c r="C81" s="993"/>
      <c r="D81" s="991">
        <v>2</v>
      </c>
      <c r="E81" s="991"/>
      <c r="F81" s="991">
        <f t="shared" si="0"/>
        <v>2</v>
      </c>
    </row>
    <row r="82" spans="1:11" s="17" customFormat="1" ht="16.5" customHeight="1" x14ac:dyDescent="0.2">
      <c r="A82" s="2062" t="s">
        <v>1176</v>
      </c>
      <c r="B82" s="2063"/>
      <c r="C82" s="990"/>
      <c r="D82" s="174"/>
      <c r="E82" s="174"/>
      <c r="F82" s="174">
        <v>2</v>
      </c>
    </row>
    <row r="83" spans="1:11" s="17" customFormat="1" ht="12.75" x14ac:dyDescent="0.2">
      <c r="A83" s="994" t="s">
        <v>2218</v>
      </c>
      <c r="B83" s="2066" t="s">
        <v>2757</v>
      </c>
      <c r="C83" s="2067"/>
      <c r="D83" s="2067"/>
      <c r="E83" s="2067"/>
      <c r="F83" s="2067"/>
      <c r="G83" s="2067"/>
    </row>
    <row r="84" spans="1:11" s="41" customFormat="1" ht="12.75" x14ac:dyDescent="0.2">
      <c r="A84" s="46"/>
      <c r="B84" s="46"/>
      <c r="C84" s="46"/>
      <c r="D84" s="46"/>
      <c r="E84" s="46"/>
      <c r="F84" s="46"/>
    </row>
    <row r="85" spans="1:11" s="978" customFormat="1" ht="12.75" x14ac:dyDescent="0.2">
      <c r="A85" s="976"/>
      <c r="B85" s="976"/>
      <c r="C85" s="976"/>
      <c r="D85" s="976"/>
      <c r="E85" s="976"/>
      <c r="F85" s="976"/>
    </row>
    <row r="86" spans="1:11" s="17" customFormat="1" ht="12.75" x14ac:dyDescent="0.2">
      <c r="A86" s="2068" t="s">
        <v>426</v>
      </c>
      <c r="B86" s="2068"/>
      <c r="C86" s="2068"/>
      <c r="D86" s="2068"/>
      <c r="E86" s="2068"/>
      <c r="F86" s="2068"/>
      <c r="G86" s="659"/>
    </row>
    <row r="87" spans="1:11" s="787" customFormat="1" ht="12.75" x14ac:dyDescent="0.2">
      <c r="A87" s="1887" t="s">
        <v>2298</v>
      </c>
      <c r="B87" s="1888"/>
      <c r="C87" s="1888"/>
      <c r="D87" s="1888"/>
      <c r="E87" s="1888"/>
      <c r="F87" s="1888"/>
      <c r="G87" s="1888"/>
      <c r="H87" s="1888"/>
      <c r="I87" s="1888"/>
      <c r="J87" s="1888"/>
      <c r="K87" s="1888"/>
    </row>
    <row r="88" spans="1:11" s="17" customFormat="1" ht="26.45" customHeight="1" x14ac:dyDescent="0.2">
      <c r="A88" s="2069" t="s">
        <v>974</v>
      </c>
      <c r="B88" s="2070"/>
      <c r="C88" s="2071"/>
      <c r="D88" s="1541" t="s">
        <v>1178</v>
      </c>
      <c r="E88" s="1541"/>
      <c r="F88" s="673"/>
    </row>
    <row r="89" spans="1:11" s="82" customFormat="1" ht="12.75" x14ac:dyDescent="0.2">
      <c r="A89" s="2058" t="s">
        <v>1168</v>
      </c>
      <c r="B89" s="2059"/>
      <c r="C89" s="2060"/>
      <c r="D89" s="2079"/>
      <c r="E89" s="2079"/>
      <c r="F89" s="802"/>
    </row>
    <row r="90" spans="1:11" s="82" customFormat="1" ht="12.75" x14ac:dyDescent="0.2">
      <c r="A90" s="2052" t="s">
        <v>1179</v>
      </c>
      <c r="B90" s="2053"/>
      <c r="C90" s="2054"/>
      <c r="D90" s="2036"/>
      <c r="E90" s="2036"/>
      <c r="F90" s="862"/>
    </row>
    <row r="91" spans="1:11" s="82" customFormat="1" ht="12.75" x14ac:dyDescent="0.2">
      <c r="A91" s="2055" t="s">
        <v>1180</v>
      </c>
      <c r="B91" s="2056"/>
      <c r="C91" s="2057"/>
      <c r="D91" s="2072" t="s">
        <v>2353</v>
      </c>
      <c r="E91" s="2072"/>
      <c r="F91" s="801"/>
    </row>
    <row r="92" spans="1:11" s="82" customFormat="1" ht="15" customHeight="1" x14ac:dyDescent="0.2">
      <c r="A92" s="220"/>
      <c r="B92" s="220"/>
      <c r="C92" s="220"/>
      <c r="D92" s="233"/>
      <c r="E92" s="233"/>
      <c r="F92" s="233"/>
    </row>
    <row r="93" spans="1:11" s="17" customFormat="1" ht="17.25" customHeight="1" x14ac:dyDescent="0.2">
      <c r="A93" s="1728" t="s">
        <v>425</v>
      </c>
      <c r="B93" s="1728"/>
      <c r="C93" s="1728"/>
      <c r="D93" s="1728"/>
      <c r="E93" s="1728"/>
      <c r="F93" s="1728"/>
      <c r="G93" s="659" t="s">
        <v>91</v>
      </c>
    </row>
    <row r="94" spans="1:11" s="17" customFormat="1" ht="18" hidden="1" customHeight="1" x14ac:dyDescent="0.2">
      <c r="A94" s="2083" t="s">
        <v>228</v>
      </c>
      <c r="B94" s="2084"/>
      <c r="C94" s="2085" t="s">
        <v>425</v>
      </c>
      <c r="D94" s="2085" t="s">
        <v>532</v>
      </c>
      <c r="E94" s="34"/>
    </row>
    <row r="95" spans="1:11" s="17" customFormat="1" ht="15.75" hidden="1" customHeight="1" x14ac:dyDescent="0.2">
      <c r="A95" s="2081" t="s">
        <v>537</v>
      </c>
      <c r="B95" s="2082"/>
      <c r="C95" s="2086"/>
      <c r="D95" s="2086"/>
      <c r="E95" s="34"/>
    </row>
    <row r="96" spans="1:11" s="17" customFormat="1" ht="12.75" hidden="1" x14ac:dyDescent="0.2">
      <c r="A96" s="2062" t="s">
        <v>536</v>
      </c>
      <c r="B96" s="2063"/>
      <c r="C96" s="219"/>
      <c r="D96" s="219"/>
      <c r="E96" s="34"/>
    </row>
    <row r="97" spans="1:7" s="17" customFormat="1" ht="15" hidden="1" customHeight="1" x14ac:dyDescent="0.2">
      <c r="A97" s="2062" t="s">
        <v>535</v>
      </c>
      <c r="B97" s="2063"/>
      <c r="C97" s="219"/>
      <c r="D97" s="219"/>
      <c r="E97" s="34"/>
    </row>
    <row r="98" spans="1:7" s="17" customFormat="1" ht="15" hidden="1" customHeight="1" x14ac:dyDescent="0.2">
      <c r="A98" s="2062" t="s">
        <v>634</v>
      </c>
      <c r="B98" s="2063"/>
      <c r="C98" s="219"/>
      <c r="D98" s="219"/>
      <c r="E98" s="34"/>
    </row>
    <row r="99" spans="1:7" s="17" customFormat="1" ht="15" hidden="1" customHeight="1" x14ac:dyDescent="0.2">
      <c r="A99" s="2062" t="s">
        <v>229</v>
      </c>
      <c r="B99" s="2063"/>
      <c r="C99" s="219"/>
      <c r="D99" s="219"/>
      <c r="E99" s="34"/>
    </row>
    <row r="100" spans="1:7" s="17" customFormat="1" ht="24" hidden="1" customHeight="1" x14ac:dyDescent="0.2">
      <c r="A100" s="1432" t="s">
        <v>1177</v>
      </c>
      <c r="B100" s="1432"/>
      <c r="C100" s="1432"/>
      <c r="D100" s="1432"/>
      <c r="E100" s="1432"/>
      <c r="F100" s="1432"/>
    </row>
    <row r="101" spans="1:7" s="17" customFormat="1" ht="12.75" hidden="1" x14ac:dyDescent="0.2">
      <c r="A101" s="34"/>
      <c r="B101" s="34"/>
      <c r="C101" s="34"/>
      <c r="D101" s="34"/>
      <c r="E101" s="34"/>
      <c r="F101" s="34"/>
    </row>
    <row r="102" spans="1:7" s="83" customFormat="1" ht="12.75" x14ac:dyDescent="0.2">
      <c r="A102" s="97"/>
      <c r="B102" s="97"/>
      <c r="C102" s="8"/>
      <c r="D102" s="9"/>
      <c r="E102" s="7"/>
      <c r="F102" s="9"/>
    </row>
    <row r="103" spans="1:7" s="17" customFormat="1" ht="12.75" x14ac:dyDescent="0.2">
      <c r="A103" s="1355" t="s">
        <v>1208</v>
      </c>
      <c r="B103" s="1355"/>
      <c r="C103" s="1355"/>
      <c r="D103" s="1355"/>
      <c r="E103" s="1355"/>
      <c r="F103" s="34"/>
      <c r="G103" s="659"/>
    </row>
    <row r="104" spans="1:7" s="17" customFormat="1" ht="12.75" x14ac:dyDescent="0.2">
      <c r="A104" s="1346" t="s">
        <v>1209</v>
      </c>
      <c r="B104" s="1346"/>
      <c r="C104" s="1346"/>
      <c r="D104" s="1346"/>
      <c r="E104" s="1346"/>
      <c r="F104" s="1346"/>
      <c r="G104" s="667">
        <v>1</v>
      </c>
    </row>
    <row r="105" spans="1:7" s="17" customFormat="1" ht="13.5" thickBot="1" x14ac:dyDescent="0.25">
      <c r="A105" s="34"/>
      <c r="B105" s="36"/>
      <c r="C105" s="34"/>
      <c r="D105" s="34"/>
      <c r="E105" s="34"/>
      <c r="F105" s="34"/>
    </row>
    <row r="106" spans="1:7" s="17" customFormat="1" ht="12.75" hidden="1" x14ac:dyDescent="0.2">
      <c r="A106" s="2039" t="s">
        <v>434</v>
      </c>
      <c r="B106" s="2039"/>
      <c r="C106" s="2040"/>
      <c r="D106" s="2041"/>
      <c r="E106" s="2041"/>
      <c r="F106" s="2042"/>
    </row>
    <row r="107" spans="1:7" s="17" customFormat="1" ht="12.75" hidden="1" x14ac:dyDescent="0.2">
      <c r="A107" s="2039" t="s">
        <v>435</v>
      </c>
      <c r="B107" s="2039"/>
      <c r="C107" s="2040"/>
      <c r="D107" s="2041"/>
      <c r="E107" s="2041"/>
      <c r="F107" s="2042"/>
    </row>
    <row r="108" spans="1:7" s="17" customFormat="1" ht="12.75" hidden="1" x14ac:dyDescent="0.2">
      <c r="A108" s="2039" t="s">
        <v>436</v>
      </c>
      <c r="B108" s="2039"/>
      <c r="C108" s="2040"/>
      <c r="D108" s="2041"/>
      <c r="E108" s="2041"/>
      <c r="F108" s="2042"/>
    </row>
    <row r="109" spans="1:7" s="17" customFormat="1" ht="12.75" hidden="1" x14ac:dyDescent="0.2">
      <c r="A109" s="1841" t="s">
        <v>437</v>
      </c>
      <c r="B109" s="1843"/>
      <c r="C109" s="1841" t="s">
        <v>438</v>
      </c>
      <c r="D109" s="1843"/>
      <c r="E109" s="689" t="s">
        <v>439</v>
      </c>
      <c r="F109" s="690" t="s">
        <v>2271</v>
      </c>
    </row>
    <row r="110" spans="1:7" s="17" customFormat="1" ht="12.75" hidden="1" x14ac:dyDescent="0.2">
      <c r="A110" s="2037"/>
      <c r="B110" s="1477"/>
      <c r="C110" s="1387"/>
      <c r="D110" s="1388"/>
      <c r="E110" s="665"/>
      <c r="F110" s="666"/>
    </row>
    <row r="111" spans="1:7" s="17" customFormat="1" ht="12.75" hidden="1" x14ac:dyDescent="0.2">
      <c r="A111" s="2037"/>
      <c r="B111" s="1477"/>
      <c r="C111" s="1387"/>
      <c r="D111" s="1388"/>
      <c r="E111" s="665"/>
      <c r="F111" s="666"/>
    </row>
    <row r="112" spans="1:7" s="17" customFormat="1" ht="12.75" hidden="1" x14ac:dyDescent="0.2">
      <c r="A112" s="2037"/>
      <c r="B112" s="1477"/>
      <c r="C112" s="1387"/>
      <c r="D112" s="1388"/>
      <c r="E112" s="665"/>
      <c r="F112" s="666"/>
    </row>
    <row r="113" spans="1:6" s="17" customFormat="1" ht="12.75" hidden="1" x14ac:dyDescent="0.2">
      <c r="A113" s="1693"/>
      <c r="B113" s="1693"/>
      <c r="C113" s="1362"/>
      <c r="D113" s="1362"/>
      <c r="E113" s="664"/>
      <c r="F113" s="664"/>
    </row>
    <row r="114" spans="1:6" s="17" customFormat="1" ht="12.75" hidden="1" x14ac:dyDescent="0.2">
      <c r="A114" s="2078" t="s">
        <v>434</v>
      </c>
      <c r="B114" s="2078"/>
      <c r="C114" s="2049"/>
      <c r="D114" s="2050"/>
      <c r="E114" s="2050"/>
      <c r="F114" s="2051"/>
    </row>
    <row r="115" spans="1:6" s="17" customFormat="1" ht="12.75" hidden="1" x14ac:dyDescent="0.2">
      <c r="A115" s="2039" t="s">
        <v>435</v>
      </c>
      <c r="B115" s="2039"/>
      <c r="C115" s="2040"/>
      <c r="D115" s="2041"/>
      <c r="E115" s="2041"/>
      <c r="F115" s="2042"/>
    </row>
    <row r="116" spans="1:6" s="17" customFormat="1" ht="12.75" hidden="1" x14ac:dyDescent="0.2">
      <c r="A116" s="2039" t="s">
        <v>436</v>
      </c>
      <c r="B116" s="2039"/>
      <c r="C116" s="2040"/>
      <c r="D116" s="2041"/>
      <c r="E116" s="2041"/>
      <c r="F116" s="2042"/>
    </row>
    <row r="117" spans="1:6" s="17" customFormat="1" ht="12.75" hidden="1" x14ac:dyDescent="0.2">
      <c r="A117" s="1841" t="s">
        <v>437</v>
      </c>
      <c r="B117" s="1843"/>
      <c r="C117" s="1841" t="s">
        <v>438</v>
      </c>
      <c r="D117" s="1843"/>
      <c r="E117" s="689" t="s">
        <v>439</v>
      </c>
      <c r="F117" s="690"/>
    </row>
    <row r="118" spans="1:6" s="17" customFormat="1" ht="12.75" hidden="1" x14ac:dyDescent="0.2">
      <c r="A118" s="2037"/>
      <c r="B118" s="1477"/>
      <c r="C118" s="1387"/>
      <c r="D118" s="1388"/>
      <c r="E118" s="665"/>
      <c r="F118" s="666"/>
    </row>
    <row r="119" spans="1:6" s="17" customFormat="1" ht="12.75" hidden="1" x14ac:dyDescent="0.2">
      <c r="A119" s="2037"/>
      <c r="B119" s="1477"/>
      <c r="C119" s="1387"/>
      <c r="D119" s="1388"/>
      <c r="E119" s="665"/>
      <c r="F119" s="666"/>
    </row>
    <row r="120" spans="1:6" s="17" customFormat="1" ht="12.75" hidden="1" x14ac:dyDescent="0.2">
      <c r="A120" s="2037"/>
      <c r="B120" s="1477"/>
      <c r="C120" s="1387"/>
      <c r="D120" s="1388"/>
      <c r="E120" s="665"/>
      <c r="F120" s="666"/>
    </row>
    <row r="121" spans="1:6" s="17" customFormat="1" ht="13.5" hidden="1" thickBot="1" x14ac:dyDescent="0.25">
      <c r="A121" s="2076"/>
      <c r="B121" s="2077"/>
      <c r="C121" s="2047"/>
      <c r="D121" s="2048"/>
      <c r="E121" s="692"/>
      <c r="F121" s="693"/>
    </row>
    <row r="122" spans="1:6" s="17" customFormat="1" ht="13.5" hidden="1" thickTop="1" x14ac:dyDescent="0.2">
      <c r="A122" s="2043" t="s">
        <v>434</v>
      </c>
      <c r="B122" s="2043"/>
      <c r="C122" s="2044"/>
      <c r="D122" s="2045"/>
      <c r="E122" s="2045"/>
      <c r="F122" s="2046"/>
    </row>
    <row r="123" spans="1:6" s="17" customFormat="1" ht="12.75" hidden="1" x14ac:dyDescent="0.2">
      <c r="A123" s="2039" t="s">
        <v>435</v>
      </c>
      <c r="B123" s="2039"/>
      <c r="C123" s="2040"/>
      <c r="D123" s="2041"/>
      <c r="E123" s="2041"/>
      <c r="F123" s="2042"/>
    </row>
    <row r="124" spans="1:6" s="17" customFormat="1" ht="12.75" hidden="1" x14ac:dyDescent="0.2">
      <c r="A124" s="2039" t="s">
        <v>436</v>
      </c>
      <c r="B124" s="2039"/>
      <c r="C124" s="2040"/>
      <c r="D124" s="2041"/>
      <c r="E124" s="2041"/>
      <c r="F124" s="2042"/>
    </row>
    <row r="125" spans="1:6" s="17" customFormat="1" ht="12.75" hidden="1" x14ac:dyDescent="0.2">
      <c r="A125" s="1841" t="s">
        <v>437</v>
      </c>
      <c r="B125" s="1843"/>
      <c r="C125" s="1841" t="s">
        <v>438</v>
      </c>
      <c r="D125" s="1843"/>
      <c r="E125" s="689" t="s">
        <v>439</v>
      </c>
      <c r="F125" s="690"/>
    </row>
    <row r="126" spans="1:6" s="17" customFormat="1" ht="12.75" hidden="1" x14ac:dyDescent="0.2">
      <c r="A126" s="2037"/>
      <c r="B126" s="1477"/>
      <c r="C126" s="1387"/>
      <c r="D126" s="1388"/>
      <c r="E126" s="665"/>
      <c r="F126" s="666"/>
    </row>
    <row r="127" spans="1:6" s="17" customFormat="1" ht="12.75" hidden="1" x14ac:dyDescent="0.2">
      <c r="A127" s="2037"/>
      <c r="B127" s="1477"/>
      <c r="C127" s="1387"/>
      <c r="D127" s="1388"/>
      <c r="E127" s="665"/>
      <c r="F127" s="666"/>
    </row>
    <row r="128" spans="1:6" s="17" customFormat="1" ht="12.75" hidden="1" x14ac:dyDescent="0.2">
      <c r="A128" s="2037"/>
      <c r="B128" s="1477"/>
      <c r="C128" s="1387"/>
      <c r="D128" s="1388"/>
      <c r="E128" s="665"/>
      <c r="F128" s="666"/>
    </row>
    <row r="129" spans="1:7" s="17" customFormat="1" ht="13.5" hidden="1" thickBot="1" x14ac:dyDescent="0.25">
      <c r="A129" s="2076"/>
      <c r="B129" s="2077"/>
      <c r="C129" s="2047"/>
      <c r="D129" s="2048"/>
      <c r="E129" s="692"/>
      <c r="F129" s="693"/>
    </row>
    <row r="130" spans="1:7" s="17" customFormat="1" ht="13.5" thickTop="1" x14ac:dyDescent="0.2">
      <c r="A130" s="2043" t="s">
        <v>434</v>
      </c>
      <c r="B130" s="2043"/>
      <c r="C130" s="2044" t="s">
        <v>2570</v>
      </c>
      <c r="D130" s="2045"/>
      <c r="E130" s="2045"/>
      <c r="F130" s="2046"/>
    </row>
    <row r="131" spans="1:7" s="17" customFormat="1" ht="12.75" x14ac:dyDescent="0.2">
      <c r="A131" s="2039" t="s">
        <v>435</v>
      </c>
      <c r="B131" s="2039"/>
      <c r="C131" s="2040" t="s">
        <v>2753</v>
      </c>
      <c r="D131" s="2041"/>
      <c r="E131" s="2041"/>
      <c r="F131" s="2042"/>
    </row>
    <row r="132" spans="1:7" s="17" customFormat="1" ht="12.75" x14ac:dyDescent="0.2">
      <c r="A132" s="2039" t="s">
        <v>436</v>
      </c>
      <c r="B132" s="2039"/>
      <c r="C132" s="2040" t="s">
        <v>2754</v>
      </c>
      <c r="D132" s="2041"/>
      <c r="E132" s="2041"/>
      <c r="F132" s="2042"/>
    </row>
    <row r="133" spans="1:7" s="17" customFormat="1" ht="12.75" x14ac:dyDescent="0.2">
      <c r="A133" s="1841" t="s">
        <v>437</v>
      </c>
      <c r="B133" s="1843"/>
      <c r="C133" s="1841" t="s">
        <v>438</v>
      </c>
      <c r="D133" s="1843"/>
      <c r="E133" s="689" t="s">
        <v>439</v>
      </c>
      <c r="F133" s="690" t="s">
        <v>2271</v>
      </c>
      <c r="G133" s="822" t="s">
        <v>2331</v>
      </c>
    </row>
    <row r="134" spans="1:7" s="17" customFormat="1" ht="12.75" x14ac:dyDescent="0.2">
      <c r="A134" s="1475" t="s">
        <v>2489</v>
      </c>
      <c r="B134" s="1477"/>
      <c r="C134" s="2038">
        <v>43723</v>
      </c>
      <c r="D134" s="1388"/>
      <c r="E134" s="731">
        <v>43729</v>
      </c>
      <c r="F134" s="821">
        <v>70839091</v>
      </c>
      <c r="G134" s="526" t="s">
        <v>339</v>
      </c>
    </row>
    <row r="135" spans="1:7" s="17" customFormat="1" ht="12.75" x14ac:dyDescent="0.2">
      <c r="A135" s="34"/>
      <c r="B135" s="36"/>
      <c r="C135" s="34"/>
      <c r="D135" s="34"/>
      <c r="E135" s="34"/>
      <c r="F135" s="34"/>
    </row>
    <row r="136" spans="1:7" s="17" customFormat="1" ht="12.75" x14ac:dyDescent="0.2">
      <c r="A136" s="1346" t="s">
        <v>1210</v>
      </c>
      <c r="B136" s="1346"/>
      <c r="C136" s="1346"/>
      <c r="D136" s="1346"/>
      <c r="E136" s="1346"/>
      <c r="F136" s="1346"/>
    </row>
    <row r="137" spans="1:7" s="17" customFormat="1" ht="12.75" x14ac:dyDescent="0.2">
      <c r="A137" s="34"/>
      <c r="B137" s="36"/>
      <c r="C137" s="34"/>
      <c r="D137" s="34"/>
      <c r="E137" s="34"/>
      <c r="F137" s="34"/>
    </row>
    <row r="138" spans="1:7" s="82" customFormat="1" ht="15" customHeight="1" x14ac:dyDescent="0.2">
      <c r="A138" s="1728" t="s">
        <v>15</v>
      </c>
      <c r="B138" s="1728"/>
      <c r="C138" s="1728"/>
      <c r="D138" s="1728"/>
      <c r="E138" s="1728"/>
    </row>
    <row r="139" spans="1:7" s="82" customFormat="1" ht="15" customHeight="1" x14ac:dyDescent="0.2">
      <c r="A139" s="2080" t="s">
        <v>16</v>
      </c>
      <c r="B139" s="2080"/>
      <c r="C139" s="2080"/>
      <c r="D139" s="2080"/>
      <c r="E139" s="2080"/>
    </row>
    <row r="140" spans="1:7" s="17" customFormat="1" ht="12.75" x14ac:dyDescent="0.2">
      <c r="A140" s="34"/>
      <c r="B140" s="34"/>
      <c r="C140" s="34"/>
      <c r="D140" s="34"/>
      <c r="E140" s="34"/>
      <c r="F140" s="34"/>
    </row>
    <row r="141" spans="1:7" s="17" customFormat="1" ht="42" customHeight="1" x14ac:dyDescent="0.2">
      <c r="A141" s="1456" t="s">
        <v>1211</v>
      </c>
      <c r="B141" s="1456"/>
      <c r="C141" s="1456"/>
      <c r="D141" s="1456"/>
      <c r="E141" s="1456"/>
    </row>
    <row r="142" spans="1:7" s="17" customFormat="1" ht="12.75" x14ac:dyDescent="0.2">
      <c r="A142" s="253"/>
      <c r="B142" s="142"/>
      <c r="C142" s="142"/>
      <c r="D142" s="142"/>
      <c r="E142" s="142"/>
    </row>
    <row r="143" spans="1:7" s="17" customFormat="1" ht="15" customHeight="1" x14ac:dyDescent="0.2">
      <c r="A143" s="1355" t="s">
        <v>1214</v>
      </c>
      <c r="B143" s="1355"/>
      <c r="C143" s="1355"/>
      <c r="D143" s="1355"/>
      <c r="E143" s="1355"/>
      <c r="F143" s="34"/>
    </row>
    <row r="144" spans="1:7" s="286" customFormat="1" ht="11.25" customHeight="1" x14ac:dyDescent="0.2">
      <c r="A144" s="2029" t="s">
        <v>12</v>
      </c>
      <c r="B144" s="2030"/>
      <c r="C144" s="2031"/>
      <c r="D144" s="2029" t="s">
        <v>220</v>
      </c>
      <c r="E144" s="2030"/>
      <c r="F144" s="2031"/>
    </row>
    <row r="145" spans="1:6" s="286" customFormat="1" ht="15.75" customHeight="1" x14ac:dyDescent="0.2">
      <c r="A145" s="2032"/>
      <c r="B145" s="2033"/>
      <c r="C145" s="2034"/>
      <c r="D145" s="2032"/>
      <c r="E145" s="2033"/>
      <c r="F145" s="2034"/>
    </row>
    <row r="146" spans="1:6" s="286" customFormat="1" ht="20.25" customHeight="1" x14ac:dyDescent="0.2">
      <c r="A146" s="2002" t="s">
        <v>1532</v>
      </c>
      <c r="B146" s="2003"/>
      <c r="C146" s="2004"/>
      <c r="D146" s="2008" t="s">
        <v>13</v>
      </c>
      <c r="E146" s="2009"/>
      <c r="F146" s="694"/>
    </row>
    <row r="147" spans="1:6" s="286" customFormat="1" ht="17.25" customHeight="1" x14ac:dyDescent="0.2">
      <c r="A147" s="2005"/>
      <c r="B147" s="2006"/>
      <c r="C147" s="2007"/>
      <c r="D147" s="2008" t="s">
        <v>14</v>
      </c>
      <c r="E147" s="2009"/>
      <c r="F147" s="694"/>
    </row>
    <row r="148" spans="1:6" s="286" customFormat="1" ht="19.5" customHeight="1" thickBot="1" x14ac:dyDescent="0.25">
      <c r="A148" s="2005"/>
      <c r="B148" s="2006"/>
      <c r="C148" s="2007"/>
      <c r="D148" s="2019"/>
      <c r="E148" s="2020"/>
      <c r="F148" s="695"/>
    </row>
    <row r="149" spans="1:6" s="286" customFormat="1" ht="39.75" customHeight="1" thickTop="1" x14ac:dyDescent="0.2">
      <c r="A149" s="1985" t="s">
        <v>1533</v>
      </c>
      <c r="B149" s="1986"/>
      <c r="C149" s="1987"/>
      <c r="D149" s="1994" t="s">
        <v>1534</v>
      </c>
      <c r="E149" s="1995"/>
      <c r="F149" s="699"/>
    </row>
    <row r="150" spans="1:6" s="286" customFormat="1" ht="12.75" customHeight="1" x14ac:dyDescent="0.2">
      <c r="A150" s="1988"/>
      <c r="B150" s="1989"/>
      <c r="C150" s="1990"/>
      <c r="D150" s="1996" t="s">
        <v>1535</v>
      </c>
      <c r="E150" s="1997"/>
      <c r="F150" s="694"/>
    </row>
    <row r="151" spans="1:6" s="286" customFormat="1" ht="12.75" customHeight="1" x14ac:dyDescent="0.2">
      <c r="A151" s="1988"/>
      <c r="B151" s="1989"/>
      <c r="C151" s="1990"/>
      <c r="D151" s="1996"/>
      <c r="E151" s="1997"/>
      <c r="F151" s="694"/>
    </row>
    <row r="152" spans="1:6" s="286" customFormat="1" ht="12.75" customHeight="1" thickBot="1" x14ac:dyDescent="0.25">
      <c r="A152" s="1988"/>
      <c r="B152" s="1989"/>
      <c r="C152" s="1990"/>
      <c r="D152" s="2000"/>
      <c r="E152" s="2001"/>
      <c r="F152" s="697"/>
    </row>
    <row r="153" spans="1:6" s="286" customFormat="1" ht="23.25" customHeight="1" thickTop="1" thickBot="1" x14ac:dyDescent="0.25">
      <c r="A153" s="2021" t="s">
        <v>1536</v>
      </c>
      <c r="B153" s="2022"/>
      <c r="C153" s="2023"/>
      <c r="D153" s="2024" t="s">
        <v>1534</v>
      </c>
      <c r="E153" s="2025"/>
      <c r="F153" s="698"/>
    </row>
    <row r="154" spans="1:6" s="286" customFormat="1" ht="17.25" customHeight="1" thickTop="1" x14ac:dyDescent="0.2">
      <c r="A154" s="1988" t="s">
        <v>1537</v>
      </c>
      <c r="B154" s="1989"/>
      <c r="C154" s="1990"/>
      <c r="D154" s="1998" t="s">
        <v>1534</v>
      </c>
      <c r="E154" s="1999"/>
      <c r="F154" s="696"/>
    </row>
    <row r="155" spans="1:6" s="286" customFormat="1" ht="15.75" customHeight="1" thickBot="1" x14ac:dyDescent="0.25">
      <c r="A155" s="1988"/>
      <c r="B155" s="1989"/>
      <c r="C155" s="1990"/>
      <c r="D155" s="2000"/>
      <c r="E155" s="2001"/>
      <c r="F155" s="697"/>
    </row>
    <row r="156" spans="1:6" s="286" customFormat="1" ht="19.5" customHeight="1" thickTop="1" x14ac:dyDescent="0.2">
      <c r="A156" s="1985" t="s">
        <v>1538</v>
      </c>
      <c r="B156" s="1986"/>
      <c r="C156" s="1987"/>
      <c r="D156" s="1994" t="s">
        <v>1534</v>
      </c>
      <c r="E156" s="1995"/>
      <c r="F156" s="699"/>
    </row>
    <row r="157" spans="1:6" s="286" customFormat="1" ht="16.5" customHeight="1" x14ac:dyDescent="0.2">
      <c r="A157" s="1988"/>
      <c r="B157" s="1989"/>
      <c r="C157" s="1990"/>
      <c r="D157" s="1996" t="s">
        <v>1539</v>
      </c>
      <c r="E157" s="1997"/>
      <c r="F157" s="694"/>
    </row>
    <row r="158" spans="1:6" s="286" customFormat="1" ht="13.5" customHeight="1" thickBot="1" x14ac:dyDescent="0.25">
      <c r="A158" s="1991"/>
      <c r="B158" s="1992"/>
      <c r="C158" s="1993"/>
      <c r="D158" s="1983"/>
      <c r="E158" s="1984"/>
      <c r="F158" s="700"/>
    </row>
    <row r="159" spans="1:6" s="286" customFormat="1" ht="12.75" customHeight="1" thickTop="1" x14ac:dyDescent="0.2">
      <c r="A159" s="1988" t="s">
        <v>1540</v>
      </c>
      <c r="B159" s="1989"/>
      <c r="C159" s="1990"/>
      <c r="D159" s="1998" t="s">
        <v>1534</v>
      </c>
      <c r="E159" s="1999"/>
      <c r="F159" s="696"/>
    </row>
    <row r="160" spans="1:6" s="286" customFormat="1" ht="12.75" customHeight="1" x14ac:dyDescent="0.2">
      <c r="A160" s="1988"/>
      <c r="B160" s="1989"/>
      <c r="C160" s="1990"/>
      <c r="D160" s="1996" t="s">
        <v>1539</v>
      </c>
      <c r="E160" s="1997"/>
      <c r="F160" s="694"/>
    </row>
    <row r="161" spans="1:6" s="286" customFormat="1" ht="12.75" customHeight="1" thickBot="1" x14ac:dyDescent="0.25">
      <c r="A161" s="1988"/>
      <c r="B161" s="1989"/>
      <c r="C161" s="1990"/>
      <c r="D161" s="2000"/>
      <c r="E161" s="2001"/>
      <c r="F161" s="697"/>
    </row>
    <row r="162" spans="1:6" s="286" customFormat="1" ht="15" customHeight="1" thickTop="1" x14ac:dyDescent="0.2">
      <c r="A162" s="1985" t="s">
        <v>1541</v>
      </c>
      <c r="B162" s="1986"/>
      <c r="C162" s="1987"/>
      <c r="D162" s="1994" t="s">
        <v>1534</v>
      </c>
      <c r="E162" s="1995"/>
      <c r="F162" s="699"/>
    </row>
    <row r="163" spans="1:6" s="286" customFormat="1" ht="15.75" customHeight="1" x14ac:dyDescent="0.2">
      <c r="A163" s="1988"/>
      <c r="B163" s="1989"/>
      <c r="C163" s="1990"/>
      <c r="D163" s="1996"/>
      <c r="E163" s="1997"/>
      <c r="F163" s="694"/>
    </row>
    <row r="164" spans="1:6" s="286" customFormat="1" ht="18.75" customHeight="1" thickBot="1" x14ac:dyDescent="0.25">
      <c r="A164" s="1991"/>
      <c r="B164" s="1992"/>
      <c r="C164" s="1993"/>
      <c r="D164" s="1983"/>
      <c r="E164" s="1984"/>
      <c r="F164" s="700"/>
    </row>
    <row r="165" spans="1:6" s="286" customFormat="1" ht="34.5" customHeight="1" thickTop="1" x14ac:dyDescent="0.2">
      <c r="A165" s="1985" t="s">
        <v>1542</v>
      </c>
      <c r="B165" s="1986"/>
      <c r="C165" s="1987"/>
      <c r="D165" s="1994" t="s">
        <v>1534</v>
      </c>
      <c r="E165" s="1995"/>
      <c r="F165" s="699"/>
    </row>
    <row r="166" spans="1:6" s="286" customFormat="1" ht="12.75" customHeight="1" x14ac:dyDescent="0.2">
      <c r="A166" s="1988"/>
      <c r="B166" s="1989"/>
      <c r="C166" s="1990"/>
      <c r="D166" s="1996"/>
      <c r="E166" s="1997"/>
      <c r="F166" s="694"/>
    </row>
    <row r="167" spans="1:6" s="286" customFormat="1" ht="12.75" customHeight="1" thickBot="1" x14ac:dyDescent="0.25">
      <c r="A167" s="1991"/>
      <c r="B167" s="1992"/>
      <c r="C167" s="1993"/>
      <c r="D167" s="1983"/>
      <c r="E167" s="1984"/>
      <c r="F167" s="700"/>
    </row>
    <row r="168" spans="1:6" s="286" customFormat="1" ht="15.75" customHeight="1" thickTop="1" x14ac:dyDescent="0.2">
      <c r="A168" s="1985" t="s">
        <v>1543</v>
      </c>
      <c r="B168" s="1986"/>
      <c r="C168" s="1987"/>
      <c r="D168" s="1994" t="s">
        <v>1534</v>
      </c>
      <c r="E168" s="1995"/>
      <c r="F168" s="699"/>
    </row>
    <row r="169" spans="1:6" s="286" customFormat="1" ht="12.75" customHeight="1" x14ac:dyDescent="0.2">
      <c r="A169" s="1988"/>
      <c r="B169" s="1989"/>
      <c r="C169" s="1990"/>
      <c r="D169" s="1996"/>
      <c r="E169" s="1997"/>
      <c r="F169" s="694"/>
    </row>
    <row r="170" spans="1:6" s="286" customFormat="1" ht="12.75" customHeight="1" thickBot="1" x14ac:dyDescent="0.25">
      <c r="A170" s="1991"/>
      <c r="B170" s="1992"/>
      <c r="C170" s="1993"/>
      <c r="D170" s="1983"/>
      <c r="E170" s="1984"/>
      <c r="F170" s="700"/>
    </row>
    <row r="171" spans="1:6" s="286" customFormat="1" ht="13.5" customHeight="1" thickTop="1" x14ac:dyDescent="0.2">
      <c r="A171" s="1985" t="s">
        <v>1544</v>
      </c>
      <c r="B171" s="1986"/>
      <c r="C171" s="1987"/>
      <c r="D171" s="2016" t="s">
        <v>1545</v>
      </c>
      <c r="E171" s="2017"/>
      <c r="F171" s="2018"/>
    </row>
    <row r="172" spans="1:6" s="286" customFormat="1" ht="9.75" customHeight="1" x14ac:dyDescent="0.2">
      <c r="A172" s="1988"/>
      <c r="B172" s="1989"/>
      <c r="C172" s="1990"/>
      <c r="D172" s="1998"/>
      <c r="E172" s="1999"/>
      <c r="F172" s="2013"/>
    </row>
    <row r="173" spans="1:6" s="286" customFormat="1" ht="12.75" customHeight="1" x14ac:dyDescent="0.2">
      <c r="A173" s="1988"/>
      <c r="B173" s="1989"/>
      <c r="C173" s="1990"/>
      <c r="D173" s="1996" t="s">
        <v>1546</v>
      </c>
      <c r="E173" s="1997"/>
      <c r="F173" s="694"/>
    </row>
    <row r="174" spans="1:6" s="286" customFormat="1" ht="12.75" customHeight="1" x14ac:dyDescent="0.2">
      <c r="A174" s="1988"/>
      <c r="B174" s="1989"/>
      <c r="C174" s="1990"/>
      <c r="D174" s="1996"/>
      <c r="E174" s="1997"/>
      <c r="F174" s="694"/>
    </row>
    <row r="175" spans="1:6" s="286" customFormat="1" ht="12.75" customHeight="1" thickBot="1" x14ac:dyDescent="0.25">
      <c r="A175" s="1991"/>
      <c r="B175" s="1992"/>
      <c r="C175" s="1993"/>
      <c r="D175" s="1983"/>
      <c r="E175" s="1984"/>
      <c r="F175" s="700"/>
    </row>
    <row r="176" spans="1:6" s="286" customFormat="1" ht="12.75" customHeight="1" thickTop="1" x14ac:dyDescent="0.2">
      <c r="A176" s="1985" t="s">
        <v>1547</v>
      </c>
      <c r="B176" s="1986"/>
      <c r="C176" s="1987"/>
      <c r="D176" s="1994" t="s">
        <v>1548</v>
      </c>
      <c r="E176" s="1995"/>
      <c r="F176" s="694"/>
    </row>
    <row r="177" spans="1:6" s="286" customFormat="1" ht="12.75" customHeight="1" thickBot="1" x14ac:dyDescent="0.25">
      <c r="A177" s="1988"/>
      <c r="B177" s="1989"/>
      <c r="C177" s="1990"/>
      <c r="D177" s="2014" t="s">
        <v>1546</v>
      </c>
      <c r="E177" s="2015"/>
      <c r="F177" s="700"/>
    </row>
    <row r="178" spans="1:6" s="286" customFormat="1" ht="11.25" customHeight="1" x14ac:dyDescent="0.2">
      <c r="A178" s="2010" t="s">
        <v>1833</v>
      </c>
      <c r="B178" s="2011"/>
      <c r="C178" s="2011"/>
      <c r="D178" s="2011"/>
      <c r="E178" s="2011"/>
      <c r="F178" s="2012"/>
    </row>
    <row r="179" spans="1:6" s="286" customFormat="1" ht="11.25" customHeight="1" x14ac:dyDescent="0.2">
      <c r="A179" s="2010"/>
      <c r="B179" s="2011"/>
      <c r="C179" s="2011"/>
      <c r="D179" s="2011"/>
      <c r="E179" s="2011"/>
      <c r="F179" s="2012"/>
    </row>
    <row r="180" spans="1:6" s="286" customFormat="1" ht="11.25" customHeight="1" x14ac:dyDescent="0.2">
      <c r="A180" s="2010"/>
      <c r="B180" s="2011"/>
      <c r="C180" s="2011"/>
      <c r="D180" s="2011"/>
      <c r="E180" s="2011"/>
      <c r="F180" s="2012"/>
    </row>
    <row r="181" spans="1:6" s="286" customFormat="1" ht="11.25" customHeight="1" x14ac:dyDescent="0.2">
      <c r="A181" s="2010"/>
      <c r="B181" s="2011"/>
      <c r="C181" s="2011"/>
      <c r="D181" s="2011"/>
      <c r="E181" s="2011"/>
      <c r="F181" s="2012"/>
    </row>
    <row r="182" spans="1:6" s="286" customFormat="1" ht="11.25" customHeight="1" x14ac:dyDescent="0.2">
      <c r="A182" s="2010"/>
      <c r="B182" s="2011"/>
      <c r="C182" s="2011"/>
      <c r="D182" s="2011"/>
      <c r="E182" s="2011"/>
      <c r="F182" s="2012"/>
    </row>
    <row r="183" spans="1:6" s="286" customFormat="1" ht="11.25" customHeight="1" x14ac:dyDescent="0.2">
      <c r="A183" s="2010"/>
      <c r="B183" s="2011"/>
      <c r="C183" s="2011"/>
      <c r="D183" s="2011"/>
      <c r="E183" s="2011"/>
      <c r="F183" s="2012"/>
    </row>
    <row r="184" spans="1:6" s="286" customFormat="1" ht="11.25" customHeight="1" x14ac:dyDescent="0.2">
      <c r="A184" s="2010"/>
      <c r="B184" s="2011"/>
      <c r="C184" s="2011"/>
      <c r="D184" s="2011"/>
      <c r="E184" s="2011"/>
      <c r="F184" s="2012"/>
    </row>
    <row r="185" spans="1:6" s="286" customFormat="1" ht="11.25" customHeight="1" x14ac:dyDescent="0.2">
      <c r="A185" s="2010"/>
      <c r="B185" s="2011"/>
      <c r="C185" s="2011"/>
      <c r="D185" s="2011"/>
      <c r="E185" s="2011"/>
      <c r="F185" s="2012"/>
    </row>
    <row r="186" spans="1:6" s="286" customFormat="1" ht="13.5" customHeight="1" x14ac:dyDescent="0.2">
      <c r="A186" s="1998"/>
      <c r="B186" s="1999"/>
      <c r="C186" s="1999"/>
      <c r="D186" s="1999"/>
      <c r="E186" s="1999"/>
      <c r="F186" s="2013"/>
    </row>
  </sheetData>
  <customSheetViews>
    <customSheetView guid="{4892E1C0-7A56-4F81-A857-987D77EC4462}" topLeftCell="A233">
      <selection activeCell="J247" sqref="J247"/>
      <rowBreaks count="4" manualBreakCount="4">
        <brk id="20" max="16383" man="1"/>
        <brk id="76" max="16383" man="1"/>
        <brk id="180" max="16383" man="1"/>
        <brk id="223" max="16383" man="1"/>
      </rowBreaks>
      <pageMargins left="0.7" right="0.7" top="0.75" bottom="0.75" header="0.3" footer="0.3"/>
      <pageSetup orientation="landscape" r:id="rId1"/>
      <headerFooter>
        <oddHeader>&amp;L&amp;G&amp;CShowAcronymGoesHere - PSM&amp;R&amp;P</oddHeader>
        <oddFooter>&amp;L&amp;D&amp;R&amp;Z&amp;F</oddFooter>
      </headerFooter>
    </customSheetView>
    <customSheetView guid="{C29C6423-4E3D-4B08-919E-993C7C45FC31}" topLeftCell="A233">
      <selection activeCell="J247" sqref="J247"/>
      <rowBreaks count="4" manualBreakCount="4">
        <brk id="20" max="16383" man="1"/>
        <brk id="76" max="16383" man="1"/>
        <brk id="180" max="16383" man="1"/>
        <brk id="223" max="16383" man="1"/>
      </rowBreaks>
      <pageMargins left="0.7" right="0.7" top="0.75" bottom="0.75" header="0.3" footer="0.3"/>
      <pageSetup orientation="landscape" r:id="rId2"/>
      <headerFooter>
        <oddHeader>&amp;L&amp;G&amp;CShowAcronymGoesHere - PSM&amp;R&amp;P</oddHeader>
        <oddFooter>&amp;L&amp;D&amp;R&amp;Z&amp;F</oddFooter>
      </headerFooter>
    </customSheetView>
  </customSheetViews>
  <mergeCells count="212">
    <mergeCell ref="B31:E31"/>
    <mergeCell ref="D8:E8"/>
    <mergeCell ref="A8:C8"/>
    <mergeCell ref="D90:E90"/>
    <mergeCell ref="C49:E49"/>
    <mergeCell ref="A69:B69"/>
    <mergeCell ref="A72:B72"/>
    <mergeCell ref="A79:B79"/>
    <mergeCell ref="A73:B73"/>
    <mergeCell ref="A78:B78"/>
    <mergeCell ref="A77:B77"/>
    <mergeCell ref="A53:C53"/>
    <mergeCell ref="A54:C54"/>
    <mergeCell ref="D52:F52"/>
    <mergeCell ref="D53:F53"/>
    <mergeCell ref="D54:F54"/>
    <mergeCell ref="D55:F55"/>
    <mergeCell ref="D56:F56"/>
    <mergeCell ref="D57:F57"/>
    <mergeCell ref="D58:F58"/>
    <mergeCell ref="A70:B70"/>
    <mergeCell ref="A66:D66"/>
    <mergeCell ref="C47:D47"/>
    <mergeCell ref="F69:F70"/>
    <mergeCell ref="A121:B121"/>
    <mergeCell ref="A1:B1"/>
    <mergeCell ref="B17:E17"/>
    <mergeCell ref="B19:E19"/>
    <mergeCell ref="B20:E20"/>
    <mergeCell ref="A75:B75"/>
    <mergeCell ref="A34:E34"/>
    <mergeCell ref="B25:E25"/>
    <mergeCell ref="A15:E15"/>
    <mergeCell ref="B26:E26"/>
    <mergeCell ref="B27:E27"/>
    <mergeCell ref="B18:E18"/>
    <mergeCell ref="B28:E28"/>
    <mergeCell ref="B29:E29"/>
    <mergeCell ref="B23:E23"/>
    <mergeCell ref="B22:E22"/>
    <mergeCell ref="B24:E24"/>
    <mergeCell ref="B21:E21"/>
    <mergeCell ref="A36:F36"/>
    <mergeCell ref="A37:F37"/>
    <mergeCell ref="D9:E9"/>
    <mergeCell ref="C12:F12"/>
    <mergeCell ref="C13:F13"/>
    <mergeCell ref="A9:C9"/>
    <mergeCell ref="A133:B133"/>
    <mergeCell ref="C133:D133"/>
    <mergeCell ref="C132:F132"/>
    <mergeCell ref="C121:D121"/>
    <mergeCell ref="A141:E141"/>
    <mergeCell ref="A138:E138"/>
    <mergeCell ref="A139:E139"/>
    <mergeCell ref="A95:B95"/>
    <mergeCell ref="A94:B94"/>
    <mergeCell ref="A104:D104"/>
    <mergeCell ref="E104:F104"/>
    <mergeCell ref="C94:C95"/>
    <mergeCell ref="A97:B97"/>
    <mergeCell ref="A103:E103"/>
    <mergeCell ref="D94:D95"/>
    <mergeCell ref="A98:B98"/>
    <mergeCell ref="A100:F100"/>
    <mergeCell ref="A106:B106"/>
    <mergeCell ref="A112:B112"/>
    <mergeCell ref="C112:D112"/>
    <mergeCell ref="A111:B111"/>
    <mergeCell ref="C122:F122"/>
    <mergeCell ref="C120:D120"/>
    <mergeCell ref="A122:B122"/>
    <mergeCell ref="C42:D42"/>
    <mergeCell ref="C43:D43"/>
    <mergeCell ref="C44:D44"/>
    <mergeCell ref="C45:D45"/>
    <mergeCell ref="A64:F64"/>
    <mergeCell ref="A67:F67"/>
    <mergeCell ref="A71:B71"/>
    <mergeCell ref="A143:E143"/>
    <mergeCell ref="A136:F136"/>
    <mergeCell ref="A129:B129"/>
    <mergeCell ref="A127:B127"/>
    <mergeCell ref="A114:B114"/>
    <mergeCell ref="D88:E88"/>
    <mergeCell ref="D89:E89"/>
    <mergeCell ref="A132:B132"/>
    <mergeCell ref="C110:D110"/>
    <mergeCell ref="C109:D109"/>
    <mergeCell ref="C119:D119"/>
    <mergeCell ref="C113:D113"/>
    <mergeCell ref="C111:D111"/>
    <mergeCell ref="A109:B109"/>
    <mergeCell ref="A110:B110"/>
    <mergeCell ref="A123:B123"/>
    <mergeCell ref="C123:F123"/>
    <mergeCell ref="A90:C90"/>
    <mergeCell ref="A91:C91"/>
    <mergeCell ref="A89:C89"/>
    <mergeCell ref="C46:D46"/>
    <mergeCell ref="A107:B107"/>
    <mergeCell ref="A108:B108"/>
    <mergeCell ref="C106:F106"/>
    <mergeCell ref="C107:F107"/>
    <mergeCell ref="C108:F108"/>
    <mergeCell ref="A82:B82"/>
    <mergeCell ref="A80:B80"/>
    <mergeCell ref="A74:B74"/>
    <mergeCell ref="A49:B49"/>
    <mergeCell ref="B83:G83"/>
    <mergeCell ref="A86:F86"/>
    <mergeCell ref="A88:C88"/>
    <mergeCell ref="D91:E91"/>
    <mergeCell ref="A93:F93"/>
    <mergeCell ref="A99:B99"/>
    <mergeCell ref="A96:B96"/>
    <mergeCell ref="A81:B81"/>
    <mergeCell ref="A120:B120"/>
    <mergeCell ref="C114:F114"/>
    <mergeCell ref="A115:B115"/>
    <mergeCell ref="C115:F115"/>
    <mergeCell ref="A117:B117"/>
    <mergeCell ref="C117:D117"/>
    <mergeCell ref="C118:D118"/>
    <mergeCell ref="A116:B116"/>
    <mergeCell ref="C116:F116"/>
    <mergeCell ref="A118:B118"/>
    <mergeCell ref="A124:B124"/>
    <mergeCell ref="C124:F124"/>
    <mergeCell ref="A130:B130"/>
    <mergeCell ref="C130:F130"/>
    <mergeCell ref="A131:B131"/>
    <mergeCell ref="C131:F131"/>
    <mergeCell ref="C126:D126"/>
    <mergeCell ref="C127:D127"/>
    <mergeCell ref="A128:B128"/>
    <mergeCell ref="C128:D128"/>
    <mergeCell ref="A126:B126"/>
    <mergeCell ref="C129:D129"/>
    <mergeCell ref="A125:B125"/>
    <mergeCell ref="C125:D125"/>
    <mergeCell ref="A2:F2"/>
    <mergeCell ref="A33:E33"/>
    <mergeCell ref="A35:E35"/>
    <mergeCell ref="C39:D39"/>
    <mergeCell ref="A7:C7"/>
    <mergeCell ref="D7:E7"/>
    <mergeCell ref="A144:C145"/>
    <mergeCell ref="D144:E145"/>
    <mergeCell ref="F144:F145"/>
    <mergeCell ref="A58:C58"/>
    <mergeCell ref="A60:F60"/>
    <mergeCell ref="A61:F61"/>
    <mergeCell ref="A62:F62"/>
    <mergeCell ref="A63:F63"/>
    <mergeCell ref="A55:C55"/>
    <mergeCell ref="A56:C56"/>
    <mergeCell ref="A57:C57"/>
    <mergeCell ref="A51:F51"/>
    <mergeCell ref="C40:D40"/>
    <mergeCell ref="A113:B113"/>
    <mergeCell ref="A119:B119"/>
    <mergeCell ref="A52:C52"/>
    <mergeCell ref="A134:B134"/>
    <mergeCell ref="C134:D134"/>
    <mergeCell ref="D146:E146"/>
    <mergeCell ref="A178:F186"/>
    <mergeCell ref="D175:E175"/>
    <mergeCell ref="A176:C177"/>
    <mergeCell ref="D176:E176"/>
    <mergeCell ref="D177:E177"/>
    <mergeCell ref="A171:C175"/>
    <mergeCell ref="D171:E172"/>
    <mergeCell ref="F171:F172"/>
    <mergeCell ref="D173:E173"/>
    <mergeCell ref="D174:E174"/>
    <mergeCell ref="D147:E147"/>
    <mergeCell ref="D148:E148"/>
    <mergeCell ref="A154:C155"/>
    <mergeCell ref="D154:E154"/>
    <mergeCell ref="D155:E155"/>
    <mergeCell ref="D152:E152"/>
    <mergeCell ref="A153:C153"/>
    <mergeCell ref="D153:E153"/>
    <mergeCell ref="A149:C152"/>
    <mergeCell ref="D149:E149"/>
    <mergeCell ref="D150:E150"/>
    <mergeCell ref="D151:E151"/>
    <mergeCell ref="C41:D41"/>
    <mergeCell ref="A87:K87"/>
    <mergeCell ref="A4:F4"/>
    <mergeCell ref="D170:E170"/>
    <mergeCell ref="A165:C167"/>
    <mergeCell ref="D165:E165"/>
    <mergeCell ref="D166:E166"/>
    <mergeCell ref="D167:E167"/>
    <mergeCell ref="D163:E163"/>
    <mergeCell ref="D164:E164"/>
    <mergeCell ref="A168:C170"/>
    <mergeCell ref="D168:E168"/>
    <mergeCell ref="D169:E169"/>
    <mergeCell ref="A162:C164"/>
    <mergeCell ref="A156:C158"/>
    <mergeCell ref="D156:E156"/>
    <mergeCell ref="D157:E157"/>
    <mergeCell ref="D158:E158"/>
    <mergeCell ref="A159:C161"/>
    <mergeCell ref="D159:E159"/>
    <mergeCell ref="D160:E160"/>
    <mergeCell ref="D161:E161"/>
    <mergeCell ref="D162:E162"/>
    <mergeCell ref="A146:C148"/>
  </mergeCells>
  <phoneticPr fontId="6" type="noConversion"/>
  <hyperlinks>
    <hyperlink ref="A1" location="TOC!A1" display="TOC Page"/>
  </hyperlinks>
  <pageMargins left="0.7" right="0.7" top="0.75" bottom="0.75" header="0.3" footer="0.3"/>
  <pageSetup orientation="landscape" r:id="rId3"/>
  <headerFooter>
    <oddHeader>&amp;L&amp;G&amp;CShowAcronymGoesHere - PSM&amp;R&amp;P</oddHeader>
    <oddFooter>&amp;L&amp;D&amp;R&amp;Z&amp;F</oddFooter>
  </headerFooter>
  <rowBreaks count="2" manualBreakCount="2">
    <brk id="33" max="16383" man="1"/>
    <brk id="101" max="16383" man="1"/>
  </rowBreaks>
  <customProperties>
    <customPr name="DVSECTIONID" r:id="rId4"/>
  </customProperties>
  <legacyDrawing r:id="rId5"/>
  <legacyDrawingHF r:id="rId6"/>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theme="0" tint="-0.14999847407452621"/>
  </sheetPr>
  <dimension ref="A1:M39"/>
  <sheetViews>
    <sheetView zoomScaleNormal="100" workbookViewId="0">
      <pane ySplit="1" topLeftCell="A2" activePane="bottomLeft" state="frozen"/>
      <selection activeCell="U16" sqref="U16"/>
      <selection pane="bottomLeft" activeCell="B16" sqref="B16"/>
    </sheetView>
  </sheetViews>
  <sheetFormatPr defaultRowHeight="12.75" x14ac:dyDescent="0.2"/>
  <cols>
    <col min="1" max="1" width="7" customWidth="1"/>
    <col min="2" max="2" width="3.7109375" customWidth="1"/>
    <col min="3" max="3" width="4.140625" customWidth="1"/>
    <col min="7" max="7" width="18.140625" customWidth="1"/>
  </cols>
  <sheetData>
    <row r="1" spans="1:13" x14ac:dyDescent="0.2">
      <c r="A1" s="1420" t="s">
        <v>639</v>
      </c>
      <c r="B1" s="1420"/>
    </row>
    <row r="2" spans="1:13" ht="20.25" customHeight="1" x14ac:dyDescent="0.2">
      <c r="A2" s="2110" t="s">
        <v>326</v>
      </c>
      <c r="B2" s="2111"/>
      <c r="C2" s="2111"/>
      <c r="D2" s="2111"/>
      <c r="E2" s="2111"/>
      <c r="F2" s="2111"/>
      <c r="G2" s="2111"/>
      <c r="H2" s="2111"/>
      <c r="I2" s="2111"/>
      <c r="J2" s="2111"/>
      <c r="K2" s="2111"/>
      <c r="L2" s="2111"/>
      <c r="M2" s="2112"/>
    </row>
    <row r="4" spans="1:13" s="225" customFormat="1" ht="15.75" customHeight="1" x14ac:dyDescent="0.2">
      <c r="A4" s="1833" t="s">
        <v>1220</v>
      </c>
      <c r="B4" s="1833"/>
      <c r="C4" s="1833"/>
      <c r="D4" s="1833"/>
      <c r="E4" s="1833"/>
      <c r="F4" s="1833"/>
      <c r="G4" s="752">
        <v>46</v>
      </c>
      <c r="H4" s="748"/>
      <c r="I4" s="748"/>
      <c r="J4" s="748"/>
      <c r="K4" s="748"/>
      <c r="L4" s="748"/>
    </row>
    <row r="5" spans="1:13" s="225" customFormat="1" x14ac:dyDescent="0.2">
      <c r="A5" s="82"/>
      <c r="B5" s="82"/>
      <c r="C5" s="82"/>
      <c r="D5" s="82"/>
    </row>
    <row r="6" spans="1:13" s="82" customFormat="1" ht="15.75" customHeight="1" x14ac:dyDescent="0.2">
      <c r="A6" s="1866" t="s">
        <v>1215</v>
      </c>
      <c r="B6" s="1866"/>
      <c r="C6" s="1866"/>
      <c r="D6" s="1866"/>
      <c r="E6" s="1866"/>
      <c r="F6" s="748"/>
      <c r="G6" s="752">
        <v>1</v>
      </c>
      <c r="H6" s="748"/>
      <c r="I6" s="748"/>
      <c r="J6" s="748"/>
      <c r="K6" s="748"/>
      <c r="L6" s="748"/>
    </row>
    <row r="7" spans="1:13" s="597" customFormat="1" ht="15.75" customHeight="1" x14ac:dyDescent="0.2">
      <c r="E7" s="598"/>
      <c r="F7" s="598"/>
      <c r="G7" s="598"/>
      <c r="H7" s="598"/>
      <c r="I7" s="598"/>
      <c r="J7" s="598"/>
      <c r="K7" s="598"/>
      <c r="L7" s="598"/>
    </row>
    <row r="8" spans="1:13" s="82" customFormat="1" ht="15.75" customHeight="1" x14ac:dyDescent="0.2">
      <c r="A8" s="1724" t="s">
        <v>1216</v>
      </c>
      <c r="B8" s="1724"/>
      <c r="C8" s="1724"/>
      <c r="D8" s="1724"/>
      <c r="E8" s="1724"/>
      <c r="F8" s="1724"/>
      <c r="G8" s="1724"/>
      <c r="H8" s="1739"/>
      <c r="I8" s="1739"/>
      <c r="J8" s="1739"/>
      <c r="K8" s="1739"/>
      <c r="L8" s="1739"/>
    </row>
    <row r="9" spans="1:13" s="17" customFormat="1" ht="12.75" customHeight="1" x14ac:dyDescent="0.2">
      <c r="A9" s="254" t="s">
        <v>1217</v>
      </c>
      <c r="B9" s="2109" t="s">
        <v>1218</v>
      </c>
      <c r="C9" s="2109"/>
      <c r="D9" s="2109"/>
      <c r="E9" s="2109"/>
      <c r="F9" s="2109"/>
      <c r="G9" s="81"/>
      <c r="H9" s="81"/>
      <c r="I9" s="81"/>
      <c r="J9" s="81"/>
      <c r="K9" s="81"/>
      <c r="L9" s="81"/>
    </row>
    <row r="10" spans="1:13" s="17" customFormat="1" ht="12.75" customHeight="1" x14ac:dyDescent="0.2">
      <c r="A10" s="235"/>
      <c r="B10" s="1552" t="s">
        <v>1219</v>
      </c>
      <c r="C10" s="1552"/>
      <c r="D10" s="1552"/>
      <c r="E10" s="1552"/>
      <c r="F10" s="1552"/>
      <c r="G10" s="81"/>
      <c r="H10" s="81"/>
      <c r="I10" s="81"/>
      <c r="J10" s="81"/>
      <c r="K10" s="81"/>
      <c r="L10" s="81"/>
    </row>
    <row r="11" spans="1:13" s="17" customFormat="1" ht="12.75" customHeight="1" x14ac:dyDescent="0.2">
      <c r="A11" s="235"/>
      <c r="B11" s="1552" t="s">
        <v>1219</v>
      </c>
      <c r="C11" s="1552"/>
      <c r="D11" s="1552"/>
      <c r="E11" s="1552"/>
      <c r="F11" s="1552"/>
      <c r="G11" s="81"/>
      <c r="H11" s="81"/>
      <c r="I11" s="81"/>
      <c r="J11" s="81"/>
      <c r="K11" s="81"/>
      <c r="L11" s="81"/>
    </row>
    <row r="12" spans="1:13" s="17" customFormat="1" x14ac:dyDescent="0.2"/>
    <row r="13" spans="1:13" s="83" customFormat="1" ht="12.75" customHeight="1" x14ac:dyDescent="0.2">
      <c r="A13" s="2050" t="s">
        <v>1663</v>
      </c>
      <c r="B13" s="1354"/>
      <c r="C13" s="1354"/>
      <c r="D13" s="1354"/>
      <c r="E13" s="1354"/>
      <c r="F13" s="1354"/>
      <c r="G13" s="1354"/>
    </row>
    <row r="14" spans="1:13" s="83" customFormat="1" ht="14.25" customHeight="1" x14ac:dyDescent="0.2">
      <c r="A14" s="196" t="s">
        <v>327</v>
      </c>
      <c r="B14" s="1751" t="s">
        <v>2678</v>
      </c>
      <c r="C14" s="1341"/>
      <c r="D14" s="1341"/>
      <c r="E14" s="1341"/>
      <c r="F14" s="1341"/>
      <c r="G14" s="1341"/>
      <c r="H14" s="1341"/>
      <c r="I14" s="46"/>
      <c r="J14" s="46"/>
      <c r="K14" s="46"/>
      <c r="L14" s="41"/>
    </row>
    <row r="15" spans="1:13" s="83" customFormat="1" ht="14.25" customHeight="1" x14ac:dyDescent="0.2">
      <c r="A15" s="196" t="s">
        <v>328</v>
      </c>
      <c r="B15" s="1751" t="s">
        <v>2679</v>
      </c>
      <c r="C15" s="1341"/>
      <c r="D15" s="1341"/>
      <c r="E15" s="1341"/>
      <c r="F15" s="1341"/>
      <c r="G15" s="1341"/>
      <c r="H15" s="1341"/>
      <c r="I15" s="46"/>
      <c r="J15" s="46"/>
      <c r="K15" s="46"/>
      <c r="L15" s="41"/>
    </row>
    <row r="16" spans="1:13" s="83" customFormat="1" x14ac:dyDescent="0.2">
      <c r="H16" s="41"/>
      <c r="I16" s="41"/>
      <c r="J16" s="41"/>
      <c r="K16" s="41"/>
      <c r="L16" s="41"/>
    </row>
    <row r="17" spans="1:12" s="592" customFormat="1" x14ac:dyDescent="0.2">
      <c r="H17" s="591"/>
      <c r="I17" s="591"/>
      <c r="J17" s="591"/>
      <c r="K17" s="591"/>
      <c r="L17" s="591"/>
    </row>
    <row r="18" spans="1:12" s="592" customFormat="1" x14ac:dyDescent="0.2">
      <c r="A18" s="1367" t="s">
        <v>1880</v>
      </c>
      <c r="B18" s="1355"/>
      <c r="C18" s="1355"/>
      <c r="D18" s="1355"/>
      <c r="E18" s="1355"/>
      <c r="F18" s="1355"/>
      <c r="G18" s="1355"/>
      <c r="H18" s="1355"/>
      <c r="I18" s="1355"/>
      <c r="J18" s="1496"/>
      <c r="K18" s="591"/>
      <c r="L18" s="591"/>
    </row>
    <row r="19" spans="1:12" s="592" customFormat="1" ht="4.5" customHeight="1" x14ac:dyDescent="0.2">
      <c r="H19" s="591"/>
      <c r="I19" s="591"/>
      <c r="J19" s="591"/>
      <c r="K19" s="591"/>
      <c r="L19" s="591"/>
    </row>
    <row r="20" spans="1:12" s="592" customFormat="1" x14ac:dyDescent="0.2">
      <c r="B20" s="2039" t="s">
        <v>1869</v>
      </c>
      <c r="C20" s="2117"/>
      <c r="D20" s="2117"/>
      <c r="E20" s="2117"/>
      <c r="F20" s="2117"/>
      <c r="G20" s="2117"/>
      <c r="H20" s="2117"/>
      <c r="I20" s="2117"/>
      <c r="J20" s="591"/>
      <c r="K20" s="591"/>
      <c r="L20" s="591"/>
    </row>
    <row r="21" spans="1:12" s="592" customFormat="1" ht="12.75" customHeight="1" x14ac:dyDescent="0.2">
      <c r="B21" s="2040" t="s">
        <v>1868</v>
      </c>
      <c r="C21" s="2115"/>
      <c r="D21" s="2115"/>
      <c r="E21" s="2115"/>
      <c r="F21" s="2115"/>
      <c r="G21" s="2115"/>
      <c r="H21" s="2115"/>
      <c r="I21" s="2116"/>
      <c r="J21" s="591"/>
      <c r="K21" s="591"/>
      <c r="L21" s="591"/>
    </row>
    <row r="22" spans="1:12" s="592" customFormat="1" ht="12.75" customHeight="1" x14ac:dyDescent="0.2">
      <c r="B22" s="1361" t="s">
        <v>1873</v>
      </c>
      <c r="C22" s="1754"/>
      <c r="D22" s="1754"/>
      <c r="E22" s="1754"/>
      <c r="F22" s="1754"/>
      <c r="G22" s="1754"/>
      <c r="H22" s="1754"/>
      <c r="I22" s="1754"/>
      <c r="J22" s="591"/>
      <c r="K22" s="591"/>
      <c r="L22" s="591"/>
    </row>
    <row r="23" spans="1:12" s="592" customFormat="1" ht="12.75" customHeight="1" x14ac:dyDescent="0.2">
      <c r="B23" s="1361" t="s">
        <v>1874</v>
      </c>
      <c r="C23" s="1754"/>
      <c r="D23" s="1754"/>
      <c r="E23" s="1754"/>
      <c r="F23" s="1754"/>
      <c r="G23" s="1754"/>
      <c r="H23" s="1754"/>
      <c r="I23" s="1754"/>
      <c r="J23" s="591"/>
      <c r="K23" s="591"/>
      <c r="L23" s="591"/>
    </row>
    <row r="24" spans="1:12" s="592" customFormat="1" ht="12.75" customHeight="1" x14ac:dyDescent="0.2">
      <c r="B24" s="2040" t="s">
        <v>1872</v>
      </c>
      <c r="C24" s="2115"/>
      <c r="D24" s="2115"/>
      <c r="E24" s="2115"/>
      <c r="F24" s="2115"/>
      <c r="G24" s="2115"/>
      <c r="H24" s="2115"/>
      <c r="I24" s="2116"/>
      <c r="J24" s="591"/>
      <c r="K24" s="591"/>
      <c r="L24" s="591"/>
    </row>
    <row r="25" spans="1:12" s="592" customFormat="1" ht="12.75" customHeight="1" x14ac:dyDescent="0.2">
      <c r="B25" s="1361" t="s">
        <v>1875</v>
      </c>
      <c r="C25" s="1754"/>
      <c r="D25" s="1754"/>
      <c r="E25" s="1754"/>
      <c r="F25" s="1754"/>
      <c r="G25" s="1754"/>
      <c r="H25" s="1754"/>
      <c r="I25" s="1754"/>
      <c r="J25" s="591"/>
      <c r="K25" s="591"/>
      <c r="L25" s="591"/>
    </row>
    <row r="26" spans="1:12" s="592" customFormat="1" x14ac:dyDescent="0.2">
      <c r="H26" s="591"/>
      <c r="I26" s="591"/>
      <c r="J26" s="591"/>
      <c r="K26" s="591"/>
      <c r="L26" s="591"/>
    </row>
    <row r="27" spans="1:12" s="592" customFormat="1" x14ac:dyDescent="0.2">
      <c r="B27" s="2039" t="s">
        <v>1871</v>
      </c>
      <c r="C27" s="2117"/>
      <c r="D27" s="2117"/>
      <c r="E27" s="2117"/>
      <c r="F27" s="2117"/>
      <c r="G27" s="2117"/>
      <c r="H27" s="2117"/>
      <c r="I27" s="2117"/>
      <c r="J27" s="591"/>
      <c r="K27" s="591"/>
      <c r="L27" s="591"/>
    </row>
    <row r="28" spans="1:12" s="592" customFormat="1" ht="12.75" customHeight="1" x14ac:dyDescent="0.2">
      <c r="B28" s="2113" t="s">
        <v>1868</v>
      </c>
      <c r="C28" s="2114"/>
      <c r="D28" s="2114"/>
      <c r="E28" s="2114"/>
      <c r="F28" s="2114"/>
      <c r="G28" s="2114"/>
      <c r="H28" s="2114"/>
      <c r="I28" s="2114"/>
      <c r="J28" s="591"/>
      <c r="K28" s="591"/>
      <c r="L28" s="591"/>
    </row>
    <row r="29" spans="1:12" s="592" customFormat="1" ht="12.75" customHeight="1" x14ac:dyDescent="0.2">
      <c r="B29" s="1361" t="s">
        <v>1876</v>
      </c>
      <c r="C29" s="1754"/>
      <c r="D29" s="1754"/>
      <c r="E29" s="1754"/>
      <c r="F29" s="1754"/>
      <c r="G29" s="1754"/>
      <c r="H29" s="1754"/>
      <c r="I29" s="1754"/>
      <c r="J29" s="591"/>
      <c r="K29" s="591"/>
      <c r="L29" s="591"/>
    </row>
    <row r="30" spans="1:12" s="592" customFormat="1" ht="12.75" customHeight="1" x14ac:dyDescent="0.2">
      <c r="B30" s="1361" t="s">
        <v>1877</v>
      </c>
      <c r="C30" s="1754"/>
      <c r="D30" s="1754"/>
      <c r="E30" s="1754"/>
      <c r="F30" s="1754"/>
      <c r="G30" s="1754"/>
      <c r="H30" s="1754"/>
      <c r="I30" s="1754"/>
      <c r="J30" s="591"/>
      <c r="K30" s="591"/>
      <c r="L30" s="591"/>
    </row>
    <row r="31" spans="1:12" s="592" customFormat="1" ht="12.75" customHeight="1" x14ac:dyDescent="0.2">
      <c r="B31" s="2113" t="s">
        <v>1870</v>
      </c>
      <c r="C31" s="2114"/>
      <c r="D31" s="2114"/>
      <c r="E31" s="2114"/>
      <c r="F31" s="2114"/>
      <c r="G31" s="2114"/>
      <c r="H31" s="2114"/>
      <c r="I31" s="2114"/>
      <c r="J31" s="591"/>
      <c r="K31" s="591"/>
      <c r="L31" s="591"/>
    </row>
    <row r="32" spans="1:12" s="592" customFormat="1" ht="12.75" customHeight="1" x14ac:dyDescent="0.2">
      <c r="B32" s="1361" t="s">
        <v>1878</v>
      </c>
      <c r="C32" s="1754"/>
      <c r="D32" s="1754"/>
      <c r="E32" s="1754"/>
      <c r="F32" s="1754"/>
      <c r="G32" s="1754"/>
      <c r="H32" s="1754"/>
      <c r="I32" s="1754"/>
      <c r="J32" s="591"/>
      <c r="K32" s="591"/>
      <c r="L32" s="591"/>
    </row>
    <row r="33" spans="1:12" s="592" customFormat="1" ht="12.75" customHeight="1" x14ac:dyDescent="0.2">
      <c r="B33" s="1361" t="s">
        <v>1879</v>
      </c>
      <c r="C33" s="1754"/>
      <c r="D33" s="1754"/>
      <c r="E33" s="1754"/>
      <c r="F33" s="1754"/>
      <c r="G33" s="1754"/>
      <c r="H33" s="1754"/>
      <c r="I33" s="1754"/>
      <c r="J33" s="591"/>
      <c r="K33" s="591"/>
      <c r="L33" s="591"/>
    </row>
    <row r="34" spans="1:12" s="592" customFormat="1" x14ac:dyDescent="0.2">
      <c r="D34" s="589"/>
      <c r="E34" s="590"/>
      <c r="F34" s="590"/>
      <c r="G34" s="590"/>
      <c r="H34" s="590"/>
      <c r="I34" s="590"/>
      <c r="J34" s="591"/>
      <c r="K34" s="591"/>
      <c r="L34" s="591"/>
    </row>
    <row r="35" spans="1:12" s="83" customFormat="1" x14ac:dyDescent="0.2">
      <c r="A35" s="1354" t="s">
        <v>1486</v>
      </c>
      <c r="B35" s="1354"/>
      <c r="C35" s="1354"/>
      <c r="D35" s="1354"/>
      <c r="E35" s="1354"/>
      <c r="F35" s="1354"/>
      <c r="G35" s="1354"/>
      <c r="H35" s="1354"/>
    </row>
    <row r="36" spans="1:12" s="17" customFormat="1" x14ac:dyDescent="0.2">
      <c r="A36" s="1655"/>
      <c r="B36" s="1655"/>
      <c r="C36" s="1655"/>
      <c r="D36" s="1655"/>
      <c r="E36" s="1655"/>
      <c r="F36" s="1655"/>
      <c r="G36" s="1655"/>
      <c r="H36" s="1655"/>
      <c r="I36" s="1655"/>
      <c r="J36" s="1655"/>
      <c r="K36" s="1655"/>
      <c r="L36" s="1655"/>
    </row>
    <row r="37" spans="1:12" s="17" customFormat="1" x14ac:dyDescent="0.2">
      <c r="A37" s="1655"/>
      <c r="B37" s="1655"/>
      <c r="C37" s="1655"/>
      <c r="D37" s="1655"/>
      <c r="E37" s="1655"/>
      <c r="F37" s="1655"/>
      <c r="G37" s="1655"/>
      <c r="H37" s="1655"/>
      <c r="I37" s="1655"/>
      <c r="J37" s="1655"/>
      <c r="K37" s="1655"/>
      <c r="L37" s="1655"/>
    </row>
    <row r="38" spans="1:12" s="17" customFormat="1" x14ac:dyDescent="0.2">
      <c r="A38" s="1655"/>
      <c r="B38" s="1655"/>
      <c r="C38" s="1655"/>
      <c r="D38" s="1655"/>
      <c r="E38" s="1655"/>
      <c r="F38" s="1655"/>
      <c r="G38" s="1655"/>
      <c r="H38" s="1655"/>
      <c r="I38" s="1655"/>
      <c r="J38" s="1655"/>
      <c r="K38" s="1655"/>
      <c r="L38" s="1655"/>
    </row>
    <row r="39" spans="1:12" s="17" customFormat="1" x14ac:dyDescent="0.2">
      <c r="A39" s="1655"/>
      <c r="B39" s="1655"/>
      <c r="C39" s="1655"/>
      <c r="D39" s="1655"/>
      <c r="E39" s="1655"/>
      <c r="F39" s="1655"/>
      <c r="G39" s="1655"/>
      <c r="H39" s="1655"/>
      <c r="I39" s="1655"/>
      <c r="J39" s="1655"/>
      <c r="K39" s="1655"/>
      <c r="L39" s="1655"/>
    </row>
  </sheetData>
  <customSheetViews>
    <customSheetView guid="{4892E1C0-7A56-4F81-A857-987D77EC4462}">
      <selection activeCell="I10" sqref="I10"/>
      <rowBreaks count="1" manualBreakCount="1">
        <brk id="26" max="16383" man="1"/>
      </rowBreaks>
      <pageMargins left="0.45" right="0.45" top="0.75" bottom="0.75" header="0.3" footer="0.3"/>
      <pageSetup orientation="landscape" r:id="rId1"/>
      <headerFooter>
        <oddHeader>&amp;L&amp;G&amp;CShowAcronymGoesHere - PSM&amp;R&amp;P</oddHeader>
        <oddFooter>&amp;L&amp;D&amp;R&amp;Z&amp;F</oddFooter>
      </headerFooter>
    </customSheetView>
    <customSheetView guid="{C29C6423-4E3D-4B08-919E-993C7C45FC31}">
      <selection activeCell="I10" sqref="I10"/>
      <rowBreaks count="1" manualBreakCount="1">
        <brk id="26" max="16383" man="1"/>
      </rowBreaks>
      <pageMargins left="0.45" right="0.45" top="0.75" bottom="0.75" header="0.3" footer="0.3"/>
      <pageSetup orientation="landscape" r:id="rId2"/>
      <headerFooter>
        <oddHeader>&amp;L&amp;G&amp;CShowAcronymGoesHere - PSM&amp;R&amp;P</oddHeader>
        <oddFooter>&amp;L&amp;D&amp;R&amp;Z&amp;F</oddFooter>
      </headerFooter>
    </customSheetView>
  </customSheetViews>
  <mergeCells count="30">
    <mergeCell ref="B22:I22"/>
    <mergeCell ref="B23:I23"/>
    <mergeCell ref="B28:I28"/>
    <mergeCell ref="B29:I29"/>
    <mergeCell ref="A8:L8"/>
    <mergeCell ref="A18:J18"/>
    <mergeCell ref="B21:I21"/>
    <mergeCell ref="B24:I24"/>
    <mergeCell ref="B11:F11"/>
    <mergeCell ref="B14:H14"/>
    <mergeCell ref="B15:H15"/>
    <mergeCell ref="A13:G13"/>
    <mergeCell ref="B20:I20"/>
    <mergeCell ref="B25:I25"/>
    <mergeCell ref="B27:I27"/>
    <mergeCell ref="B30:I30"/>
    <mergeCell ref="B31:I31"/>
    <mergeCell ref="B32:I32"/>
    <mergeCell ref="B33:I33"/>
    <mergeCell ref="A39:L39"/>
    <mergeCell ref="A37:L37"/>
    <mergeCell ref="A35:H35"/>
    <mergeCell ref="A36:L36"/>
    <mergeCell ref="A38:L38"/>
    <mergeCell ref="A1:B1"/>
    <mergeCell ref="B9:F9"/>
    <mergeCell ref="B10:F10"/>
    <mergeCell ref="A2:M2"/>
    <mergeCell ref="A4:F4"/>
    <mergeCell ref="A6:E6"/>
  </mergeCells>
  <phoneticPr fontId="6" type="noConversion"/>
  <hyperlinks>
    <hyperlink ref="A1" location="TOC!A1" display="TOC Page"/>
  </hyperlinks>
  <pageMargins left="0.45" right="0.45" top="0.75" bottom="0.75" header="0.3" footer="0.3"/>
  <pageSetup orientation="landscape" r:id="rId3"/>
  <headerFooter>
    <oddHeader>&amp;L&amp;G&amp;CShowAcronymGoesHere - PSM&amp;R&amp;P</oddHeader>
    <oddFooter>&amp;L&amp;D&amp;R&amp;Z&amp;F</oddFooter>
  </headerFooter>
  <customProperties>
    <customPr name="DVSECTIONID" r:id="rId4"/>
  </customProperties>
  <legacyDrawingHF r:id="rId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tabColor theme="0" tint="-0.14999847407452621"/>
  </sheetPr>
  <dimension ref="A1:M35"/>
  <sheetViews>
    <sheetView zoomScaleNormal="100" workbookViewId="0">
      <pane ySplit="1" topLeftCell="A2" activePane="bottomLeft" state="frozen"/>
      <selection activeCell="U16" sqref="U16"/>
      <selection pane="bottomLeft" activeCell="A7" sqref="A7:M7"/>
    </sheetView>
  </sheetViews>
  <sheetFormatPr defaultRowHeight="12.75" x14ac:dyDescent="0.2"/>
  <cols>
    <col min="6" max="6" width="9.140625" customWidth="1"/>
  </cols>
  <sheetData>
    <row r="1" spans="1:13" x14ac:dyDescent="0.2">
      <c r="A1" s="1420" t="s">
        <v>639</v>
      </c>
      <c r="B1" s="1420"/>
    </row>
    <row r="2" spans="1:13" ht="20.25" customHeight="1" x14ac:dyDescent="0.2">
      <c r="A2" s="1730" t="s">
        <v>329</v>
      </c>
      <c r="B2" s="1731"/>
      <c r="C2" s="1731"/>
      <c r="D2" s="1731"/>
      <c r="E2" s="1731"/>
      <c r="F2" s="1731"/>
      <c r="G2" s="1731"/>
      <c r="H2" s="1731"/>
      <c r="I2" s="1731"/>
      <c r="J2" s="1731"/>
      <c r="K2" s="1731"/>
      <c r="L2" s="1731"/>
      <c r="M2" s="1731"/>
    </row>
    <row r="3" spans="1:13" ht="15" x14ac:dyDescent="0.2">
      <c r="A3" s="66"/>
      <c r="B3" s="66"/>
      <c r="C3" s="66"/>
      <c r="D3" s="66"/>
      <c r="E3" s="66"/>
      <c r="F3" s="66"/>
      <c r="G3" s="66"/>
      <c r="H3" s="66"/>
      <c r="I3" s="66"/>
      <c r="J3" s="66"/>
    </row>
    <row r="4" spans="1:13" s="430" customFormat="1" x14ac:dyDescent="0.2">
      <c r="A4" s="1355" t="s">
        <v>1662</v>
      </c>
      <c r="B4" s="1355"/>
      <c r="C4" s="1355"/>
      <c r="D4" s="1355"/>
      <c r="E4" s="1355"/>
      <c r="F4" s="1355"/>
      <c r="G4" s="1355"/>
      <c r="H4" s="1355"/>
      <c r="I4" s="1355"/>
      <c r="J4" s="1355"/>
      <c r="K4" s="1355"/>
      <c r="L4" s="1355"/>
      <c r="M4" s="1355"/>
    </row>
    <row r="5" spans="1:13" s="430" customFormat="1" ht="15" x14ac:dyDescent="0.2">
      <c r="A5" s="66"/>
      <c r="B5" s="66"/>
      <c r="C5" s="66"/>
      <c r="D5" s="66"/>
      <c r="E5" s="66"/>
      <c r="F5" s="66"/>
      <c r="G5" s="66"/>
      <c r="H5" s="66"/>
      <c r="I5" s="66"/>
      <c r="J5" s="66"/>
    </row>
    <row r="6" spans="1:13" ht="12.75" customHeight="1" x14ac:dyDescent="0.2">
      <c r="A6" s="1310" t="s">
        <v>1094</v>
      </c>
      <c r="B6" s="1310"/>
      <c r="C6" s="1310"/>
      <c r="D6" s="1310"/>
      <c r="E6" s="1310"/>
      <c r="F6" s="1310"/>
      <c r="G6" s="1310"/>
      <c r="H6" s="1310"/>
      <c r="I6" s="1310"/>
      <c r="J6" s="1310"/>
      <c r="K6" s="1310"/>
      <c r="L6" s="1310"/>
      <c r="M6" s="1310"/>
    </row>
    <row r="7" spans="1:13" x14ac:dyDescent="0.2">
      <c r="A7" s="1770" t="s">
        <v>97</v>
      </c>
      <c r="B7" s="1770"/>
      <c r="C7" s="1770"/>
      <c r="D7" s="1770"/>
      <c r="E7" s="1770"/>
      <c r="F7" s="1770"/>
      <c r="G7" s="1770"/>
      <c r="H7" s="1770"/>
      <c r="I7" s="1770"/>
      <c r="J7" s="1770"/>
      <c r="K7" s="1770"/>
      <c r="L7" s="1770"/>
      <c r="M7" s="1770"/>
    </row>
    <row r="8" spans="1:13" x14ac:dyDescent="0.2">
      <c r="A8" s="1770"/>
      <c r="B8" s="1770"/>
      <c r="C8" s="1770"/>
      <c r="D8" s="1770"/>
      <c r="E8" s="1770"/>
      <c r="F8" s="1770"/>
      <c r="G8" s="1770"/>
      <c r="H8" s="1770"/>
      <c r="I8" s="1770"/>
      <c r="J8" s="1770"/>
      <c r="K8" s="1770"/>
      <c r="L8" s="1770"/>
      <c r="M8" s="1770"/>
    </row>
    <row r="9" spans="1:13" ht="13.15" customHeight="1" x14ac:dyDescent="0.2">
      <c r="A9" s="1429" t="s">
        <v>1095</v>
      </c>
      <c r="B9" s="1429"/>
      <c r="C9" s="1429"/>
      <c r="D9" s="1429"/>
      <c r="E9" s="1429"/>
      <c r="F9" s="1429"/>
      <c r="G9" s="1429"/>
      <c r="H9" s="1429"/>
      <c r="I9" s="1429"/>
      <c r="J9" s="1429"/>
      <c r="K9" s="1429"/>
      <c r="L9" s="1429"/>
      <c r="M9" s="1429"/>
    </row>
    <row r="10" spans="1:13" ht="12.75" customHeight="1" x14ac:dyDescent="0.2">
      <c r="A10" s="1355" t="s">
        <v>1096</v>
      </c>
      <c r="B10" s="1355"/>
      <c r="C10" s="1355"/>
      <c r="D10" s="1355"/>
      <c r="E10" s="1355"/>
      <c r="F10" s="1355"/>
      <c r="G10" s="429"/>
      <c r="H10" s="429"/>
      <c r="I10" s="429"/>
    </row>
    <row r="11" spans="1:13" s="430" customFormat="1" x14ac:dyDescent="0.2">
      <c r="A11" s="825" t="s">
        <v>97</v>
      </c>
      <c r="B11" s="431"/>
      <c r="C11" s="431"/>
      <c r="D11" s="431"/>
      <c r="E11" s="431"/>
      <c r="F11" s="431"/>
      <c r="G11" s="431"/>
      <c r="H11" s="431"/>
      <c r="I11" s="431"/>
    </row>
    <row r="12" spans="1:13" s="430" customFormat="1" x14ac:dyDescent="0.2">
      <c r="A12" s="431"/>
      <c r="B12" s="431"/>
      <c r="C12" s="431"/>
      <c r="D12" s="431"/>
      <c r="E12" s="431"/>
      <c r="F12" s="431"/>
      <c r="G12" s="431"/>
      <c r="H12" s="431"/>
      <c r="I12" s="431"/>
    </row>
    <row r="13" spans="1:13" s="430" customFormat="1" ht="12.75" customHeight="1" x14ac:dyDescent="0.2">
      <c r="A13" s="1429" t="s">
        <v>1658</v>
      </c>
      <c r="B13" s="1429"/>
      <c r="C13" s="1429"/>
      <c r="D13" s="1429"/>
      <c r="E13" s="1429"/>
      <c r="F13" s="1429"/>
      <c r="G13" s="1429"/>
      <c r="H13" s="1429"/>
      <c r="I13" s="1429"/>
      <c r="J13" s="1429"/>
      <c r="K13" s="1429"/>
      <c r="L13" s="1429"/>
      <c r="M13" s="1429"/>
    </row>
    <row r="14" spans="1:13" s="430" customFormat="1" x14ac:dyDescent="0.2">
      <c r="A14" s="1310" t="s">
        <v>1655</v>
      </c>
      <c r="B14" s="1310"/>
      <c r="C14" s="1310"/>
      <c r="D14" s="1310"/>
      <c r="E14" s="1310"/>
      <c r="F14" s="1310"/>
      <c r="G14" s="1456"/>
      <c r="H14" s="1456"/>
      <c r="I14" s="1456"/>
      <c r="J14" s="1456"/>
      <c r="K14" s="1456"/>
      <c r="L14" s="1456"/>
      <c r="M14" s="1456"/>
    </row>
    <row r="15" spans="1:13" x14ac:dyDescent="0.2">
      <c r="A15" s="825" t="s">
        <v>97</v>
      </c>
    </row>
    <row r="16" spans="1:13" s="430" customFormat="1" x14ac:dyDescent="0.2"/>
    <row r="17" spans="1:13" s="430" customFormat="1" ht="12.75" customHeight="1" x14ac:dyDescent="0.2">
      <c r="A17" s="1429" t="s">
        <v>1657</v>
      </c>
      <c r="B17" s="1429"/>
      <c r="C17" s="1429"/>
      <c r="D17" s="1429"/>
      <c r="E17" s="1429"/>
      <c r="F17" s="1429"/>
      <c r="G17" s="1429"/>
      <c r="H17" s="1429"/>
      <c r="I17" s="1429"/>
      <c r="J17" s="1429"/>
      <c r="K17" s="1429"/>
      <c r="L17" s="1429"/>
      <c r="M17" s="1429"/>
    </row>
    <row r="18" spans="1:13" s="430" customFormat="1" x14ac:dyDescent="0.2">
      <c r="A18" s="1310" t="s">
        <v>1659</v>
      </c>
      <c r="B18" s="1310"/>
      <c r="C18" s="1310"/>
      <c r="D18" s="1310"/>
      <c r="E18" s="1310"/>
      <c r="F18" s="1310"/>
      <c r="G18" s="1456"/>
      <c r="H18" s="1456"/>
      <c r="I18" s="1456"/>
      <c r="J18" s="1456"/>
      <c r="K18" s="1456"/>
      <c r="L18" s="1456"/>
      <c r="M18" s="1456"/>
    </row>
    <row r="19" spans="1:13" s="430" customFormat="1" x14ac:dyDescent="0.2">
      <c r="A19" s="1455" t="s">
        <v>2332</v>
      </c>
      <c r="B19" s="1455"/>
    </row>
    <row r="20" spans="1:13" s="430" customFormat="1" x14ac:dyDescent="0.2"/>
    <row r="21" spans="1:13" s="430" customFormat="1" x14ac:dyDescent="0.2">
      <c r="A21" s="1310" t="s">
        <v>1656</v>
      </c>
      <c r="B21" s="1310"/>
      <c r="C21" s="1310"/>
      <c r="D21" s="1310"/>
      <c r="E21" s="1310"/>
      <c r="F21" s="1310"/>
      <c r="G21" s="1770"/>
      <c r="H21" s="1770"/>
      <c r="I21" s="1770"/>
      <c r="J21" s="1770"/>
      <c r="K21" s="1770"/>
      <c r="L21" s="1770"/>
      <c r="M21" s="1770"/>
    </row>
    <row r="22" spans="1:13" s="430" customFormat="1" x14ac:dyDescent="0.2">
      <c r="A22" s="825" t="s">
        <v>96</v>
      </c>
    </row>
    <row r="23" spans="1:13" s="824" customFormat="1" x14ac:dyDescent="0.2">
      <c r="A23" s="825"/>
    </row>
    <row r="24" spans="1:13" s="430" customFormat="1" ht="12.75" customHeight="1" x14ac:dyDescent="0.2">
      <c r="A24" s="1429" t="s">
        <v>1660</v>
      </c>
      <c r="B24" s="1429"/>
      <c r="C24" s="1429"/>
      <c r="D24" s="1429"/>
      <c r="E24" s="1429"/>
      <c r="F24" s="1429"/>
      <c r="G24" s="1429"/>
      <c r="H24" s="1429"/>
      <c r="I24" s="1429"/>
      <c r="J24" s="1429"/>
      <c r="K24" s="1429"/>
      <c r="L24" s="1429"/>
      <c r="M24" s="1429"/>
    </row>
    <row r="25" spans="1:13" s="430" customFormat="1" x14ac:dyDescent="0.2">
      <c r="A25" s="1429" t="s">
        <v>1661</v>
      </c>
      <c r="B25" s="1429"/>
      <c r="C25" s="1429"/>
      <c r="D25" s="1429"/>
      <c r="E25" s="1429"/>
      <c r="F25" s="1429"/>
    </row>
    <row r="26" spans="1:13" s="430" customFormat="1" x14ac:dyDescent="0.2">
      <c r="A26" s="432" t="s">
        <v>96</v>
      </c>
    </row>
    <row r="27" spans="1:13" s="430" customFormat="1" x14ac:dyDescent="0.2">
      <c r="A27" s="432"/>
    </row>
    <row r="28" spans="1:13" x14ac:dyDescent="0.2">
      <c r="A28" s="1310" t="s">
        <v>1486</v>
      </c>
      <c r="B28" s="1310"/>
      <c r="C28" s="1310"/>
      <c r="D28" s="1310"/>
      <c r="E28" s="1310"/>
    </row>
    <row r="29" spans="1:13" ht="12.75" customHeight="1" x14ac:dyDescent="0.2">
      <c r="A29" s="1346" t="s">
        <v>1097</v>
      </c>
      <c r="B29" s="1346"/>
      <c r="C29" s="1346"/>
      <c r="D29" s="1346"/>
      <c r="E29" s="1346"/>
      <c r="F29" s="1346"/>
      <c r="G29" s="1346"/>
      <c r="H29" s="1346"/>
      <c r="I29" s="1346"/>
      <c r="J29" s="1346"/>
      <c r="K29" s="1346"/>
      <c r="L29" s="1346"/>
      <c r="M29" s="1346"/>
    </row>
    <row r="30" spans="1:13" x14ac:dyDescent="0.2">
      <c r="A30" s="1346" t="s">
        <v>1098</v>
      </c>
      <c r="B30" s="1346"/>
      <c r="C30" s="1346"/>
      <c r="D30" s="1346"/>
      <c r="E30" s="1346"/>
      <c r="F30" s="1346"/>
      <c r="G30" s="1346"/>
      <c r="H30" s="1346"/>
      <c r="I30" s="1346"/>
      <c r="J30" s="1346"/>
      <c r="K30" s="1346"/>
      <c r="L30" s="1346"/>
      <c r="M30" s="1346"/>
    </row>
    <row r="31" spans="1:13" x14ac:dyDescent="0.2">
      <c r="A31" s="2118"/>
      <c r="B31" s="2118"/>
      <c r="C31" s="2118"/>
      <c r="D31" s="2118"/>
      <c r="E31" s="2118"/>
      <c r="F31" s="2118"/>
      <c r="G31" s="2118"/>
      <c r="H31" s="2118"/>
      <c r="I31" s="2118"/>
      <c r="J31" s="2118"/>
      <c r="K31" s="2118"/>
      <c r="L31" s="2118"/>
      <c r="M31" s="2118"/>
    </row>
    <row r="32" spans="1:13" x14ac:dyDescent="0.2">
      <c r="A32" s="2118"/>
      <c r="B32" s="2118"/>
      <c r="C32" s="2118"/>
      <c r="D32" s="2118"/>
      <c r="E32" s="2118"/>
      <c r="F32" s="2118"/>
      <c r="G32" s="2118"/>
      <c r="H32" s="2118"/>
      <c r="I32" s="2118"/>
      <c r="J32" s="2118"/>
      <c r="K32" s="2118"/>
      <c r="L32" s="2118"/>
      <c r="M32" s="2118"/>
    </row>
    <row r="33" spans="1:13" x14ac:dyDescent="0.2">
      <c r="A33" s="2118"/>
      <c r="B33" s="2118"/>
      <c r="C33" s="2118"/>
      <c r="D33" s="2118"/>
      <c r="E33" s="2118"/>
      <c r="F33" s="2118"/>
      <c r="G33" s="2118"/>
      <c r="H33" s="2118"/>
      <c r="I33" s="2118"/>
      <c r="J33" s="2118"/>
      <c r="K33" s="2118"/>
      <c r="L33" s="2118"/>
      <c r="M33" s="2118"/>
    </row>
    <row r="34" spans="1:13" x14ac:dyDescent="0.2">
      <c r="A34" s="2118"/>
      <c r="B34" s="2118"/>
      <c r="C34" s="2118"/>
      <c r="D34" s="2118"/>
      <c r="E34" s="2118"/>
      <c r="F34" s="2118"/>
      <c r="G34" s="2118"/>
      <c r="H34" s="2118"/>
      <c r="I34" s="2118"/>
      <c r="J34" s="2118"/>
      <c r="K34" s="2118"/>
      <c r="L34" s="2118"/>
      <c r="M34" s="2118"/>
    </row>
    <row r="35" spans="1:13" x14ac:dyDescent="0.2">
      <c r="A35" s="2118"/>
      <c r="B35" s="2118"/>
      <c r="C35" s="2118"/>
      <c r="D35" s="2118"/>
      <c r="E35" s="2118"/>
      <c r="F35" s="2118"/>
      <c r="G35" s="2118"/>
      <c r="H35" s="2118"/>
      <c r="I35" s="2118"/>
      <c r="J35" s="2118"/>
      <c r="K35" s="2118"/>
      <c r="L35" s="2118"/>
      <c r="M35" s="2118"/>
    </row>
  </sheetData>
  <customSheetViews>
    <customSheetView guid="{4892E1C0-7A56-4F81-A857-987D77EC4462}">
      <selection activeCell="E5" sqref="E5"/>
      <rowBreaks count="1" manualBreakCount="1">
        <brk id="30" max="16383" man="1"/>
      </rowBreaks>
      <pageMargins left="0.25" right="0.25" top="0.75" bottom="0.75" header="0.3" footer="0.3"/>
      <pageSetup orientation="landscape" r:id="rId1"/>
      <headerFooter>
        <oddHeader>&amp;L&amp;G&amp;CShowAcronymGoesHere - PSM&amp;R&amp;P</oddHeader>
        <oddFooter>&amp;L&amp;D&amp;R&amp;Z&amp;F</oddFooter>
      </headerFooter>
    </customSheetView>
    <customSheetView guid="{C29C6423-4E3D-4B08-919E-993C7C45FC31}">
      <selection activeCell="E5" sqref="E5"/>
      <rowBreaks count="1" manualBreakCount="1">
        <brk id="30" max="16383" man="1"/>
      </rowBreaks>
      <pageMargins left="0.25" right="0.25" top="0.75" bottom="0.75" header="0.3" footer="0.3"/>
      <pageSetup orientation="landscape" r:id="rId2"/>
      <headerFooter>
        <oddHeader>&amp;L&amp;G&amp;CShowAcronymGoesHere - PSM&amp;R&amp;P</oddHeader>
        <oddFooter>&amp;L&amp;D&amp;R&amp;Z&amp;F</oddFooter>
      </headerFooter>
    </customSheetView>
  </customSheetViews>
  <mergeCells count="27">
    <mergeCell ref="A31:M31"/>
    <mergeCell ref="A35:M35"/>
    <mergeCell ref="A32:M32"/>
    <mergeCell ref="A33:M33"/>
    <mergeCell ref="A34:M34"/>
    <mergeCell ref="A28:E28"/>
    <mergeCell ref="A29:M29"/>
    <mergeCell ref="A30:M30"/>
    <mergeCell ref="A1:B1"/>
    <mergeCell ref="A6:M6"/>
    <mergeCell ref="A7:M7"/>
    <mergeCell ref="A8:M8"/>
    <mergeCell ref="A2:M2"/>
    <mergeCell ref="A14:F14"/>
    <mergeCell ref="A4:M4"/>
    <mergeCell ref="A25:F25"/>
    <mergeCell ref="A10:F10"/>
    <mergeCell ref="G14:M14"/>
    <mergeCell ref="A21:F21"/>
    <mergeCell ref="G21:M21"/>
    <mergeCell ref="A18:F18"/>
    <mergeCell ref="A9:M9"/>
    <mergeCell ref="A13:M13"/>
    <mergeCell ref="A17:M17"/>
    <mergeCell ref="A19:B19"/>
    <mergeCell ref="A24:M24"/>
    <mergeCell ref="G18:M18"/>
  </mergeCells>
  <phoneticPr fontId="6" type="noConversion"/>
  <hyperlinks>
    <hyperlink ref="A1" location="TOC!A1" display="TOC Page"/>
  </hyperlinks>
  <pageMargins left="0.25" right="0.25" top="0.75" bottom="0.75" header="0.3" footer="0.3"/>
  <pageSetup orientation="landscape" r:id="rId3"/>
  <headerFooter>
    <oddHeader>&amp;L&amp;G&amp;CShowAcronymGoesHere - PSM&amp;R&amp;P</oddHeader>
    <oddFooter>&amp;L&amp;D&amp;R&amp;Z&amp;F</oddFooter>
  </headerFooter>
  <customProperties>
    <customPr name="DVSECTIONID" r:id="rId4"/>
  </customProperties>
  <legacyDrawingHF r:id="rId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L79"/>
  <sheetViews>
    <sheetView zoomScaleNormal="100" workbookViewId="0">
      <pane ySplit="1" topLeftCell="A2" activePane="bottomLeft" state="frozen"/>
      <selection activeCell="U16" sqref="U16"/>
      <selection pane="bottomLeft" activeCell="S16" sqref="S16"/>
    </sheetView>
  </sheetViews>
  <sheetFormatPr defaultColWidth="9.140625" defaultRowHeight="12.75" x14ac:dyDescent="0.2"/>
  <cols>
    <col min="1" max="1" width="9.140625" style="17"/>
    <col min="2" max="2" width="10.7109375" style="17" customWidth="1"/>
    <col min="3" max="4" width="10.5703125" style="17" customWidth="1"/>
    <col min="5" max="6" width="11.5703125" style="17" customWidth="1"/>
    <col min="7" max="7" width="13.28515625" style="17" customWidth="1"/>
    <col min="8" max="8" width="12.7109375" style="17" customWidth="1"/>
    <col min="9" max="11" width="9.140625" style="17"/>
    <col min="12" max="12" width="7.140625" style="17" customWidth="1"/>
    <col min="13" max="16384" width="9.140625" style="17"/>
  </cols>
  <sheetData>
    <row r="1" spans="1:12" x14ac:dyDescent="0.2">
      <c r="A1" s="1420" t="s">
        <v>639</v>
      </c>
      <c r="B1" s="1420"/>
    </row>
    <row r="2" spans="1:12" s="35" customFormat="1" ht="21.75" customHeight="1" x14ac:dyDescent="0.2">
      <c r="A2" s="1230" t="s">
        <v>1140</v>
      </c>
      <c r="B2" s="1723"/>
      <c r="C2" s="1723"/>
      <c r="D2" s="1723"/>
      <c r="E2" s="1231"/>
      <c r="F2" s="1231"/>
      <c r="G2" s="1231"/>
      <c r="H2" s="1231"/>
      <c r="I2" s="1231"/>
      <c r="J2" s="1231"/>
      <c r="K2" s="1231"/>
      <c r="L2" s="1231"/>
    </row>
    <row r="4" spans="1:12" ht="15" customHeight="1" x14ac:dyDescent="0.2">
      <c r="A4" s="86" t="s">
        <v>831</v>
      </c>
      <c r="B4" s="81"/>
      <c r="D4" s="86" t="s">
        <v>832</v>
      </c>
    </row>
    <row r="5" spans="1:12" s="35" customFormat="1" x14ac:dyDescent="0.2">
      <c r="A5" s="134" t="s">
        <v>833</v>
      </c>
      <c r="B5" s="134"/>
      <c r="D5" s="86" t="s">
        <v>834</v>
      </c>
    </row>
    <row r="6" spans="1:12" s="35" customFormat="1" x14ac:dyDescent="0.2">
      <c r="A6" s="134"/>
      <c r="B6" s="86"/>
      <c r="C6" s="86"/>
    </row>
    <row r="7" spans="1:12" s="35" customFormat="1" x14ac:dyDescent="0.2">
      <c r="A7" s="1373" t="s">
        <v>896</v>
      </c>
      <c r="B7" s="1373"/>
      <c r="C7" s="1373"/>
      <c r="D7" s="1373"/>
    </row>
    <row r="8" spans="1:12" s="35" customFormat="1" x14ac:dyDescent="0.2">
      <c r="A8" s="1359" t="s">
        <v>858</v>
      </c>
      <c r="B8" s="1359"/>
      <c r="C8" s="1359"/>
      <c r="D8" s="1359"/>
      <c r="E8" s="1359"/>
      <c r="F8" s="1359"/>
    </row>
    <row r="9" spans="1:12" s="35" customFormat="1" x14ac:dyDescent="0.2">
      <c r="A9" s="1359" t="s">
        <v>856</v>
      </c>
      <c r="B9" s="1359"/>
      <c r="C9" s="1359"/>
      <c r="D9" s="1359"/>
      <c r="E9" s="1359"/>
      <c r="F9" s="1359"/>
    </row>
    <row r="10" spans="1:12" s="35" customFormat="1" x14ac:dyDescent="0.2">
      <c r="A10" s="1359" t="s">
        <v>857</v>
      </c>
      <c r="B10" s="1359"/>
      <c r="C10" s="1359"/>
      <c r="D10" s="1359"/>
      <c r="E10" s="1359"/>
      <c r="F10" s="1359"/>
    </row>
    <row r="11" spans="1:12" ht="15" x14ac:dyDescent="0.2">
      <c r="A11" s="49"/>
      <c r="B11" s="86"/>
      <c r="C11" s="86"/>
      <c r="D11" s="86"/>
    </row>
    <row r="12" spans="1:12" s="81" customFormat="1" x14ac:dyDescent="0.2">
      <c r="A12" s="134" t="s">
        <v>1146</v>
      </c>
      <c r="B12" s="86"/>
      <c r="C12" s="86"/>
      <c r="D12" s="86"/>
    </row>
    <row r="13" spans="1:12" s="81" customFormat="1" x14ac:dyDescent="0.2">
      <c r="A13" s="1565"/>
      <c r="B13" s="1565"/>
      <c r="C13" s="1565"/>
      <c r="D13" s="1565"/>
      <c r="E13" s="1565"/>
      <c r="F13" s="1565"/>
      <c r="G13" s="1565"/>
      <c r="H13" s="1565"/>
      <c r="I13" s="1565"/>
      <c r="J13" s="1565"/>
      <c r="K13" s="1565"/>
    </row>
    <row r="14" spans="1:12" s="81" customFormat="1" x14ac:dyDescent="0.2">
      <c r="A14" s="1565"/>
      <c r="B14" s="1565"/>
      <c r="C14" s="1565"/>
      <c r="D14" s="1565"/>
      <c r="E14" s="1565"/>
      <c r="F14" s="1565"/>
      <c r="G14" s="1565"/>
      <c r="H14" s="1565"/>
      <c r="I14" s="1565"/>
      <c r="J14" s="1565"/>
      <c r="K14" s="1565"/>
    </row>
    <row r="15" spans="1:12" s="81" customFormat="1" ht="18" customHeight="1" x14ac:dyDescent="0.2">
      <c r="A15" s="1537" t="s">
        <v>1147</v>
      </c>
      <c r="B15" s="1537"/>
      <c r="C15" s="1537"/>
      <c r="D15" s="1537"/>
      <c r="E15" s="1537"/>
    </row>
    <row r="16" spans="1:12" s="81" customFormat="1" ht="15" x14ac:dyDescent="0.2">
      <c r="A16" s="2119"/>
      <c r="B16" s="2119"/>
      <c r="C16" s="2119"/>
      <c r="D16" s="2119"/>
      <c r="E16" s="2119"/>
      <c r="F16" s="2119"/>
      <c r="G16" s="2119"/>
      <c r="H16" s="2119"/>
      <c r="I16" s="2119"/>
      <c r="J16" s="2119"/>
      <c r="K16" s="2119"/>
    </row>
    <row r="17" spans="1:11" s="81" customFormat="1" ht="15" x14ac:dyDescent="0.2">
      <c r="A17" s="2119"/>
      <c r="B17" s="2119"/>
      <c r="C17" s="2119"/>
      <c r="D17" s="2119"/>
      <c r="E17" s="2119"/>
      <c r="F17" s="2119"/>
      <c r="G17" s="2119"/>
      <c r="H17" s="2119"/>
      <c r="I17" s="2119"/>
      <c r="J17" s="2119"/>
      <c r="K17" s="2119"/>
    </row>
    <row r="18" spans="1:11" s="451" customFormat="1" ht="18" customHeight="1" x14ac:dyDescent="0.2">
      <c r="A18" s="2120" t="s">
        <v>1685</v>
      </c>
      <c r="B18" s="2120"/>
      <c r="C18" s="2120"/>
      <c r="D18" s="2120"/>
      <c r="E18" s="2120"/>
      <c r="F18" s="2120"/>
      <c r="G18" s="2120"/>
      <c r="H18" s="2120"/>
      <c r="I18" s="2120"/>
      <c r="J18" s="2120"/>
      <c r="K18" s="2120"/>
    </row>
    <row r="19" spans="1:11" s="451" customFormat="1" ht="15" x14ac:dyDescent="0.2">
      <c r="A19" s="2119"/>
      <c r="B19" s="2119"/>
      <c r="C19" s="2119"/>
      <c r="D19" s="2119"/>
      <c r="E19" s="2119"/>
      <c r="F19" s="2119"/>
      <c r="G19" s="2119"/>
      <c r="H19" s="2119"/>
      <c r="I19" s="2119"/>
      <c r="J19" s="2119"/>
      <c r="K19" s="2119"/>
    </row>
    <row r="20" spans="1:11" s="451" customFormat="1" ht="15" x14ac:dyDescent="0.2">
      <c r="A20" s="2119"/>
      <c r="B20" s="2119"/>
      <c r="C20" s="2119"/>
      <c r="D20" s="2119"/>
      <c r="E20" s="2119"/>
      <c r="F20" s="2119"/>
      <c r="G20" s="2119"/>
      <c r="H20" s="2119"/>
      <c r="I20" s="2119"/>
      <c r="J20" s="2119"/>
      <c r="K20" s="2119"/>
    </row>
    <row r="21" spans="1:11" s="35" customFormat="1" ht="12.75" customHeight="1" x14ac:dyDescent="0.2">
      <c r="A21" s="1367" t="s">
        <v>1486</v>
      </c>
      <c r="B21" s="1367"/>
      <c r="C21" s="1367"/>
      <c r="D21" s="1367"/>
      <c r="E21" s="1367"/>
      <c r="F21" s="158"/>
      <c r="G21" s="158"/>
      <c r="H21" s="158"/>
      <c r="I21" s="158"/>
    </row>
    <row r="22" spans="1:11" s="35" customFormat="1" x14ac:dyDescent="0.2">
      <c r="A22" s="1366" t="s">
        <v>1150</v>
      </c>
      <c r="B22" s="1366"/>
      <c r="C22" s="1366"/>
      <c r="D22" s="1366"/>
      <c r="E22" s="1366"/>
      <c r="F22" s="1366"/>
      <c r="G22" s="1366"/>
      <c r="H22" s="1366"/>
      <c r="I22" s="1366"/>
      <c r="J22" s="1366"/>
      <c r="K22" s="1366"/>
    </row>
    <row r="23" spans="1:11" s="35" customFormat="1" x14ac:dyDescent="0.2">
      <c r="A23" s="1366" t="s">
        <v>1408</v>
      </c>
      <c r="B23" s="1366"/>
      <c r="C23" s="1366"/>
      <c r="D23" s="1366"/>
      <c r="E23" s="1366"/>
      <c r="F23" s="1366"/>
      <c r="G23" s="1366"/>
      <c r="H23" s="1366"/>
      <c r="I23" s="1366"/>
      <c r="J23" s="1366"/>
      <c r="K23" s="1366"/>
    </row>
    <row r="24" spans="1:11" s="35" customFormat="1" x14ac:dyDescent="0.2">
      <c r="A24" s="1336" t="s">
        <v>1413</v>
      </c>
      <c r="B24" s="1336"/>
      <c r="C24" s="1336"/>
      <c r="D24" s="1336"/>
      <c r="E24" s="1336"/>
      <c r="F24" s="1336"/>
      <c r="G24" s="1336"/>
      <c r="H24" s="1336"/>
      <c r="I24" s="1336"/>
      <c r="J24" s="1336"/>
      <c r="K24" s="1336"/>
    </row>
    <row r="25" spans="1:11" s="35" customFormat="1" ht="25.5" customHeight="1" x14ac:dyDescent="0.2">
      <c r="A25" s="1336" t="s">
        <v>1414</v>
      </c>
      <c r="B25" s="1336"/>
      <c r="C25" s="1336"/>
      <c r="D25" s="1336"/>
      <c r="E25" s="1336"/>
      <c r="F25" s="1336"/>
      <c r="G25" s="1336"/>
      <c r="H25" s="1336"/>
      <c r="I25" s="1336"/>
      <c r="J25" s="1336"/>
      <c r="K25" s="1336"/>
    </row>
    <row r="26" spans="1:11" s="35" customFormat="1" ht="12.75" customHeight="1" x14ac:dyDescent="0.2">
      <c r="A26" s="1336"/>
      <c r="B26" s="1336"/>
      <c r="C26" s="1336"/>
      <c r="D26" s="1336"/>
      <c r="E26" s="1336"/>
      <c r="F26" s="1336"/>
      <c r="G26" s="1336"/>
      <c r="H26" s="1336"/>
      <c r="I26" s="1336"/>
      <c r="J26" s="1336"/>
      <c r="K26" s="1336"/>
    </row>
    <row r="27" spans="1:11" s="35" customFormat="1" x14ac:dyDescent="0.2">
      <c r="A27" s="223"/>
      <c r="B27" s="223"/>
      <c r="C27" s="223"/>
      <c r="D27" s="223"/>
      <c r="E27" s="223"/>
      <c r="F27" s="223"/>
      <c r="G27" s="223"/>
      <c r="H27" s="223"/>
      <c r="I27" s="223"/>
    </row>
    <row r="28" spans="1:11" x14ac:dyDescent="0.2">
      <c r="A28" s="1373" t="s">
        <v>1141</v>
      </c>
      <c r="B28" s="1373"/>
      <c r="C28" s="1373"/>
      <c r="D28" s="1373"/>
      <c r="E28" s="1373"/>
      <c r="F28" s="1373"/>
      <c r="G28" s="1373"/>
      <c r="H28" s="1373"/>
    </row>
    <row r="29" spans="1:11" customFormat="1" ht="10.5" customHeight="1" x14ac:dyDescent="0.2"/>
    <row r="30" spans="1:11" customFormat="1" ht="25.5" customHeight="1" x14ac:dyDescent="0.2">
      <c r="A30" s="1385" t="s">
        <v>816</v>
      </c>
      <c r="B30" s="1385"/>
      <c r="C30" s="1385" t="s">
        <v>815</v>
      </c>
      <c r="D30" s="1385"/>
      <c r="E30" s="1385" t="s">
        <v>817</v>
      </c>
      <c r="F30" s="1385"/>
      <c r="G30" s="43" t="s">
        <v>1144</v>
      </c>
      <c r="H30" s="1447" t="s">
        <v>637</v>
      </c>
      <c r="I30" s="1447"/>
      <c r="J30" s="1447"/>
    </row>
    <row r="31" spans="1:11" customFormat="1" x14ac:dyDescent="0.2">
      <c r="A31" s="2121"/>
      <c r="B31" s="2121"/>
      <c r="C31" s="1325"/>
      <c r="D31" s="1325"/>
      <c r="E31" s="1325" t="s">
        <v>1142</v>
      </c>
      <c r="F31" s="1325"/>
      <c r="G31" s="56"/>
      <c r="H31" s="1693"/>
      <c r="I31" s="1693"/>
      <c r="J31" s="1693"/>
    </row>
    <row r="32" spans="1:11" customFormat="1" x14ac:dyDescent="0.2">
      <c r="A32" s="2121"/>
      <c r="B32" s="2121"/>
      <c r="C32" s="1325" t="s">
        <v>302</v>
      </c>
      <c r="D32" s="1325"/>
      <c r="E32" s="1325" t="s">
        <v>303</v>
      </c>
      <c r="F32" s="1325"/>
      <c r="G32" s="56"/>
      <c r="H32" s="1693"/>
      <c r="I32" s="1693"/>
      <c r="J32" s="1693"/>
    </row>
    <row r="33" spans="1:10" customFormat="1" x14ac:dyDescent="0.2">
      <c r="A33" s="2121"/>
      <c r="B33" s="2121"/>
      <c r="C33" s="1325" t="s">
        <v>202</v>
      </c>
      <c r="D33" s="1325"/>
      <c r="E33" s="1325" t="s">
        <v>359</v>
      </c>
      <c r="F33" s="1325"/>
      <c r="G33" s="56"/>
      <c r="H33" s="1693"/>
      <c r="I33" s="1693"/>
      <c r="J33" s="1693"/>
    </row>
    <row r="34" spans="1:10" customFormat="1" x14ac:dyDescent="0.2">
      <c r="A34" s="2121"/>
      <c r="B34" s="2121"/>
      <c r="C34" s="1325" t="s">
        <v>205</v>
      </c>
      <c r="D34" s="1325"/>
      <c r="E34" s="1325" t="s">
        <v>606</v>
      </c>
      <c r="F34" s="1325"/>
      <c r="G34" s="56"/>
      <c r="H34" s="1693"/>
      <c r="I34" s="1693"/>
      <c r="J34" s="1693"/>
    </row>
    <row r="35" spans="1:10" customFormat="1" x14ac:dyDescent="0.2">
      <c r="A35" s="2121"/>
      <c r="B35" s="2121"/>
      <c r="C35" s="1325" t="s">
        <v>263</v>
      </c>
      <c r="D35" s="1325"/>
      <c r="E35" s="1325"/>
      <c r="F35" s="1325"/>
      <c r="G35" s="56"/>
      <c r="H35" s="1693"/>
      <c r="I35" s="1693"/>
      <c r="J35" s="1693"/>
    </row>
    <row r="36" spans="1:10" customFormat="1" x14ac:dyDescent="0.2">
      <c r="A36" s="2121"/>
      <c r="B36" s="2121"/>
      <c r="C36" s="1325" t="s">
        <v>264</v>
      </c>
      <c r="D36" s="1325"/>
      <c r="E36" s="1325" t="s">
        <v>607</v>
      </c>
      <c r="F36" s="1325"/>
      <c r="G36" s="56"/>
      <c r="H36" s="1693"/>
      <c r="I36" s="1693"/>
      <c r="J36" s="1693"/>
    </row>
    <row r="37" spans="1:10" customFormat="1" x14ac:dyDescent="0.2">
      <c r="A37" s="2121"/>
      <c r="B37" s="2121"/>
      <c r="C37" s="1325" t="s">
        <v>304</v>
      </c>
      <c r="D37" s="1325"/>
      <c r="E37" s="1325" t="s">
        <v>616</v>
      </c>
      <c r="F37" s="1325"/>
      <c r="G37" s="56"/>
      <c r="H37" s="1693"/>
      <c r="I37" s="1693"/>
      <c r="J37" s="1693"/>
    </row>
    <row r="38" spans="1:10" customFormat="1" x14ac:dyDescent="0.2">
      <c r="A38" s="2121"/>
      <c r="B38" s="2121"/>
      <c r="C38" s="1325" t="s">
        <v>268</v>
      </c>
      <c r="D38" s="1325"/>
      <c r="E38" s="1325" t="s">
        <v>360</v>
      </c>
      <c r="F38" s="1325"/>
      <c r="G38" s="56"/>
      <c r="H38" s="1693"/>
      <c r="I38" s="1693"/>
      <c r="J38" s="1693"/>
    </row>
    <row r="39" spans="1:10" customFormat="1" x14ac:dyDescent="0.2">
      <c r="A39" s="2121"/>
      <c r="B39" s="2121"/>
      <c r="C39" s="1325" t="s">
        <v>270</v>
      </c>
      <c r="D39" s="1325"/>
      <c r="E39" s="1325"/>
      <c r="F39" s="1325"/>
      <c r="G39" s="56"/>
      <c r="H39" s="1693"/>
      <c r="I39" s="1693"/>
      <c r="J39" s="1693"/>
    </row>
    <row r="40" spans="1:10" customFormat="1" x14ac:dyDescent="0.2">
      <c r="A40" s="2121"/>
      <c r="B40" s="2121"/>
      <c r="C40" s="1325" t="s">
        <v>272</v>
      </c>
      <c r="D40" s="1325"/>
      <c r="E40" s="1325" t="s">
        <v>271</v>
      </c>
      <c r="F40" s="1325"/>
      <c r="G40" s="56"/>
      <c r="H40" s="1693"/>
      <c r="I40" s="1693"/>
      <c r="J40" s="1693"/>
    </row>
    <row r="41" spans="1:10" customFormat="1" x14ac:dyDescent="0.2">
      <c r="A41" s="2121"/>
      <c r="B41" s="2121"/>
      <c r="C41" s="1325" t="s">
        <v>274</v>
      </c>
      <c r="D41" s="1325"/>
      <c r="E41" s="1325" t="s">
        <v>273</v>
      </c>
      <c r="F41" s="1325"/>
      <c r="G41" s="56"/>
      <c r="H41" s="1693"/>
      <c r="I41" s="1693"/>
      <c r="J41" s="1693"/>
    </row>
    <row r="42" spans="1:10" customFormat="1" x14ac:dyDescent="0.2">
      <c r="A42" s="2121"/>
      <c r="B42" s="2121"/>
      <c r="C42" s="1325" t="s">
        <v>275</v>
      </c>
      <c r="D42" s="1325"/>
      <c r="E42" s="1325" t="s">
        <v>317</v>
      </c>
      <c r="F42" s="1325"/>
      <c r="G42" s="56"/>
      <c r="H42" s="1693"/>
      <c r="I42" s="1693"/>
      <c r="J42" s="1693"/>
    </row>
    <row r="43" spans="1:10" customFormat="1" x14ac:dyDescent="0.2">
      <c r="A43" s="2121"/>
      <c r="B43" s="2121"/>
      <c r="C43" s="1325" t="s">
        <v>276</v>
      </c>
      <c r="D43" s="1325"/>
      <c r="E43" s="1325" t="s">
        <v>609</v>
      </c>
      <c r="F43" s="1325"/>
      <c r="G43" s="56"/>
      <c r="H43" s="1693"/>
      <c r="I43" s="1693"/>
      <c r="J43" s="1693"/>
    </row>
    <row r="44" spans="1:10" customFormat="1" x14ac:dyDescent="0.2">
      <c r="A44" s="2121"/>
      <c r="B44" s="2121"/>
      <c r="C44" s="1325" t="s">
        <v>278</v>
      </c>
      <c r="D44" s="1325"/>
      <c r="E44" s="1325" t="s">
        <v>277</v>
      </c>
      <c r="F44" s="1325"/>
      <c r="G44" s="56"/>
      <c r="H44" s="1693"/>
      <c r="I44" s="1693"/>
      <c r="J44" s="1693"/>
    </row>
    <row r="45" spans="1:10" customFormat="1" x14ac:dyDescent="0.2">
      <c r="A45" s="2121"/>
      <c r="B45" s="2121"/>
      <c r="C45" s="1325" t="s">
        <v>355</v>
      </c>
      <c r="D45" s="1325"/>
      <c r="E45" s="1325" t="s">
        <v>361</v>
      </c>
      <c r="F45" s="1325"/>
      <c r="G45" s="56"/>
      <c r="H45" s="1693"/>
      <c r="I45" s="1693"/>
      <c r="J45" s="1693"/>
    </row>
    <row r="46" spans="1:10" customFormat="1" x14ac:dyDescent="0.2">
      <c r="A46" s="2121"/>
      <c r="B46" s="2121"/>
      <c r="C46" s="1325" t="s">
        <v>281</v>
      </c>
      <c r="D46" s="1325"/>
      <c r="E46" s="1325" t="s">
        <v>610</v>
      </c>
      <c r="F46" s="1325"/>
      <c r="G46" s="56"/>
      <c r="H46" s="1693"/>
      <c r="I46" s="1693"/>
      <c r="J46" s="1693"/>
    </row>
    <row r="47" spans="1:10" customFormat="1" x14ac:dyDescent="0.2">
      <c r="A47" s="2121"/>
      <c r="B47" s="2121"/>
      <c r="C47" s="1325" t="s">
        <v>283</v>
      </c>
      <c r="D47" s="1325"/>
      <c r="E47" s="1325" t="s">
        <v>282</v>
      </c>
      <c r="F47" s="1325"/>
      <c r="G47" s="56"/>
      <c r="H47" s="1693"/>
      <c r="I47" s="1693"/>
      <c r="J47" s="1693"/>
    </row>
    <row r="48" spans="1:10" customFormat="1" x14ac:dyDescent="0.2">
      <c r="A48" s="2121"/>
      <c r="B48" s="2121"/>
      <c r="C48" s="1325" t="s">
        <v>285</v>
      </c>
      <c r="D48" s="1325"/>
      <c r="E48" s="1325" t="s">
        <v>236</v>
      </c>
      <c r="F48" s="1325"/>
      <c r="G48" s="56"/>
      <c r="H48" s="1693"/>
      <c r="I48" s="1693"/>
      <c r="J48" s="1693"/>
    </row>
    <row r="49" spans="1:10" customFormat="1" x14ac:dyDescent="0.2">
      <c r="A49" s="2121"/>
      <c r="B49" s="2121"/>
      <c r="C49" s="1325" t="s">
        <v>290</v>
      </c>
      <c r="D49" s="1325"/>
      <c r="E49" s="1325" t="s">
        <v>289</v>
      </c>
      <c r="F49" s="1325"/>
      <c r="G49" s="56"/>
      <c r="H49" s="1693"/>
      <c r="I49" s="1693"/>
      <c r="J49" s="1693"/>
    </row>
    <row r="50" spans="1:10" customFormat="1" x14ac:dyDescent="0.2">
      <c r="A50" s="2121"/>
      <c r="B50" s="2121"/>
      <c r="C50" s="1325" t="s">
        <v>292</v>
      </c>
      <c r="D50" s="1325"/>
      <c r="E50" s="1325" t="s">
        <v>235</v>
      </c>
      <c r="F50" s="1325"/>
      <c r="G50" s="56"/>
      <c r="H50" s="1693"/>
      <c r="I50" s="1693"/>
      <c r="J50" s="1693"/>
    </row>
    <row r="51" spans="1:10" customFormat="1" x14ac:dyDescent="0.2">
      <c r="A51" s="2121"/>
      <c r="B51" s="2121"/>
      <c r="C51" s="1325" t="s">
        <v>293</v>
      </c>
      <c r="D51" s="1325"/>
      <c r="E51" s="1325" t="s">
        <v>362</v>
      </c>
      <c r="F51" s="1325"/>
      <c r="G51" s="56"/>
      <c r="H51" s="1693"/>
      <c r="I51" s="1693"/>
      <c r="J51" s="1693"/>
    </row>
    <row r="52" spans="1:10" customFormat="1" x14ac:dyDescent="0.2">
      <c r="A52" s="2121"/>
      <c r="B52" s="2121"/>
      <c r="C52" s="1325" t="s">
        <v>825</v>
      </c>
      <c r="D52" s="1325"/>
      <c r="E52" s="1325" t="s">
        <v>614</v>
      </c>
      <c r="F52" s="1325"/>
      <c r="G52" s="56"/>
      <c r="H52" s="1693"/>
      <c r="I52" s="1693"/>
      <c r="J52" s="1693"/>
    </row>
    <row r="53" spans="1:10" customFormat="1" ht="25.5" x14ac:dyDescent="0.2">
      <c r="A53" s="2121"/>
      <c r="B53" s="2121"/>
      <c r="C53" s="1325" t="s">
        <v>823</v>
      </c>
      <c r="D53" s="1325"/>
      <c r="E53" s="1325" t="s">
        <v>314</v>
      </c>
      <c r="F53" s="1325"/>
      <c r="G53" s="56" t="s">
        <v>1145</v>
      </c>
      <c r="H53" s="1693"/>
      <c r="I53" s="1693"/>
      <c r="J53" s="1693"/>
    </row>
    <row r="54" spans="1:10" customFormat="1" x14ac:dyDescent="0.2">
      <c r="A54" s="2121"/>
      <c r="B54" s="2121"/>
      <c r="C54" s="1325" t="s">
        <v>51</v>
      </c>
      <c r="D54" s="1325"/>
      <c r="E54" s="1325"/>
      <c r="F54" s="1325"/>
      <c r="G54" s="56"/>
      <c r="H54" s="1693"/>
      <c r="I54" s="1693"/>
      <c r="J54" s="1693"/>
    </row>
    <row r="55" spans="1:10" customFormat="1" x14ac:dyDescent="0.2">
      <c r="A55" s="2121"/>
      <c r="B55" s="2121"/>
      <c r="C55" s="1325" t="s">
        <v>52</v>
      </c>
      <c r="D55" s="1325"/>
      <c r="E55" s="1325"/>
      <c r="F55" s="1325"/>
      <c r="G55" s="56"/>
      <c r="H55" s="1693"/>
      <c r="I55" s="1693"/>
      <c r="J55" s="1693"/>
    </row>
    <row r="56" spans="1:10" customFormat="1" x14ac:dyDescent="0.2">
      <c r="A56" s="2121"/>
      <c r="B56" s="2121"/>
      <c r="C56" s="1325" t="s">
        <v>297</v>
      </c>
      <c r="D56" s="1325"/>
      <c r="E56" s="1325"/>
      <c r="F56" s="1325"/>
      <c r="G56" s="56"/>
      <c r="H56" s="1693"/>
      <c r="I56" s="1693"/>
      <c r="J56" s="1693"/>
    </row>
    <row r="57" spans="1:10" customFormat="1" x14ac:dyDescent="0.2">
      <c r="A57" s="2121"/>
      <c r="B57" s="2121"/>
      <c r="C57" s="1325" t="s">
        <v>298</v>
      </c>
      <c r="D57" s="1325"/>
      <c r="E57" s="1325"/>
      <c r="F57" s="1325"/>
      <c r="G57" s="56"/>
      <c r="H57" s="1693"/>
      <c r="I57" s="1693"/>
      <c r="J57" s="1693"/>
    </row>
    <row r="58" spans="1:10" customFormat="1" x14ac:dyDescent="0.2">
      <c r="A58" s="2121"/>
      <c r="B58" s="2121"/>
      <c r="C58" s="1325" t="s">
        <v>299</v>
      </c>
      <c r="D58" s="1325"/>
      <c r="E58" s="1325"/>
      <c r="F58" s="1325"/>
      <c r="G58" s="56"/>
      <c r="H58" s="1693"/>
      <c r="I58" s="1693"/>
      <c r="J58" s="1693"/>
    </row>
    <row r="59" spans="1:10" customFormat="1" ht="25.5" x14ac:dyDescent="0.2">
      <c r="A59" s="2121"/>
      <c r="B59" s="2121"/>
      <c r="C59" s="1325" t="s">
        <v>824</v>
      </c>
      <c r="D59" s="1325"/>
      <c r="E59" s="1325"/>
      <c r="F59" s="1325"/>
      <c r="G59" s="56" t="s">
        <v>1145</v>
      </c>
      <c r="H59" s="1693"/>
      <c r="I59" s="1693"/>
      <c r="J59" s="1693"/>
    </row>
    <row r="60" spans="1:10" customFormat="1" x14ac:dyDescent="0.2">
      <c r="A60" s="2121"/>
      <c r="B60" s="2121"/>
      <c r="C60" s="1325" t="s">
        <v>31</v>
      </c>
      <c r="D60" s="1325"/>
      <c r="E60" s="1325"/>
      <c r="F60" s="1325"/>
      <c r="G60" s="56"/>
      <c r="H60" s="1693"/>
      <c r="I60" s="1693"/>
      <c r="J60" s="1693"/>
    </row>
    <row r="61" spans="1:10" customFormat="1" x14ac:dyDescent="0.2">
      <c r="A61" s="2121"/>
      <c r="B61" s="2121"/>
      <c r="C61" s="1325" t="s">
        <v>675</v>
      </c>
      <c r="D61" s="1325"/>
      <c r="E61" s="1325"/>
      <c r="F61" s="1325"/>
      <c r="G61" s="56"/>
      <c r="H61" s="1693"/>
      <c r="I61" s="1693"/>
      <c r="J61" s="1693"/>
    </row>
    <row r="62" spans="1:10" customFormat="1" x14ac:dyDescent="0.2">
      <c r="A62" s="2121"/>
      <c r="B62" s="2121"/>
      <c r="C62" s="1325" t="s">
        <v>829</v>
      </c>
      <c r="D62" s="1325"/>
      <c r="E62" s="1325"/>
      <c r="F62" s="1325"/>
      <c r="G62" s="56"/>
      <c r="H62" s="1693"/>
      <c r="I62" s="1693"/>
      <c r="J62" s="1693"/>
    </row>
    <row r="63" spans="1:10" customFormat="1" x14ac:dyDescent="0.2">
      <c r="A63" s="2121"/>
      <c r="B63" s="2121"/>
      <c r="C63" s="1325" t="s">
        <v>54</v>
      </c>
      <c r="D63" s="1325"/>
      <c r="E63" s="1325"/>
      <c r="F63" s="1325"/>
      <c r="G63" s="56"/>
      <c r="H63" s="1693"/>
      <c r="I63" s="1693"/>
      <c r="J63" s="1693"/>
    </row>
    <row r="64" spans="1:10" customFormat="1" x14ac:dyDescent="0.2">
      <c r="A64" s="2121"/>
      <c r="B64" s="2121"/>
      <c r="C64" s="1325" t="s">
        <v>818</v>
      </c>
      <c r="D64" s="1325"/>
      <c r="E64" s="1325"/>
      <c r="F64" s="1325"/>
      <c r="G64" s="56"/>
      <c r="H64" s="1693"/>
      <c r="I64" s="1693"/>
      <c r="J64" s="1693"/>
    </row>
    <row r="65" spans="1:10" customFormat="1" x14ac:dyDescent="0.2">
      <c r="A65" s="2121"/>
      <c r="B65" s="2121"/>
      <c r="C65" s="1325" t="s">
        <v>819</v>
      </c>
      <c r="D65" s="1325"/>
      <c r="E65" s="1325"/>
      <c r="F65" s="1325"/>
      <c r="G65" s="56"/>
      <c r="H65" s="1693"/>
      <c r="I65" s="1693"/>
      <c r="J65" s="1693"/>
    </row>
    <row r="66" spans="1:10" customFormat="1" x14ac:dyDescent="0.2">
      <c r="A66" s="2121"/>
      <c r="B66" s="2121"/>
      <c r="C66" s="1325" t="s">
        <v>820</v>
      </c>
      <c r="D66" s="1325"/>
      <c r="E66" s="1325"/>
      <c r="F66" s="1325"/>
      <c r="G66" s="56"/>
      <c r="H66" s="1693"/>
      <c r="I66" s="1693"/>
      <c r="J66" s="1693"/>
    </row>
    <row r="67" spans="1:10" customFormat="1" x14ac:dyDescent="0.2">
      <c r="A67" s="2121"/>
      <c r="B67" s="2121"/>
      <c r="C67" s="1325" t="s">
        <v>821</v>
      </c>
      <c r="D67" s="1325"/>
      <c r="E67" s="1325"/>
      <c r="F67" s="1325"/>
      <c r="G67" s="56"/>
      <c r="H67" s="1693"/>
      <c r="I67" s="1693"/>
      <c r="J67" s="1693"/>
    </row>
    <row r="68" spans="1:10" customFormat="1" x14ac:dyDescent="0.2">
      <c r="A68" s="2121"/>
      <c r="B68" s="2121"/>
      <c r="C68" s="1325" t="s">
        <v>822</v>
      </c>
      <c r="D68" s="1325"/>
      <c r="E68" s="1325"/>
      <c r="F68" s="1325"/>
      <c r="G68" s="56"/>
      <c r="H68" s="1693"/>
      <c r="I68" s="1693"/>
      <c r="J68" s="1693"/>
    </row>
    <row r="69" spans="1:10" customFormat="1" x14ac:dyDescent="0.2">
      <c r="A69" s="2121"/>
      <c r="B69" s="2121"/>
      <c r="C69" s="1325" t="s">
        <v>827</v>
      </c>
      <c r="D69" s="1325"/>
      <c r="E69" s="1325"/>
      <c r="F69" s="1325"/>
      <c r="G69" s="56"/>
      <c r="H69" s="1693"/>
      <c r="I69" s="1693"/>
      <c r="J69" s="1693"/>
    </row>
    <row r="70" spans="1:10" customFormat="1" x14ac:dyDescent="0.2">
      <c r="A70" s="2121"/>
      <c r="B70" s="2121"/>
      <c r="C70" s="1325" t="s">
        <v>828</v>
      </c>
      <c r="D70" s="1325"/>
      <c r="E70" s="1325"/>
      <c r="F70" s="1325"/>
      <c r="G70" s="56"/>
      <c r="H70" s="1693"/>
      <c r="I70" s="1693"/>
      <c r="J70" s="1693"/>
    </row>
    <row r="71" spans="1:10" customFormat="1" x14ac:dyDescent="0.2">
      <c r="A71" s="2121"/>
      <c r="B71" s="2121"/>
      <c r="C71" s="1325" t="s">
        <v>53</v>
      </c>
      <c r="D71" s="1325"/>
      <c r="E71" s="1325"/>
      <c r="F71" s="1325"/>
      <c r="G71" s="56"/>
      <c r="H71" s="1693"/>
      <c r="I71" s="1693"/>
      <c r="J71" s="1693"/>
    </row>
    <row r="72" spans="1:10" customFormat="1" x14ac:dyDescent="0.2">
      <c r="A72" s="2121"/>
      <c r="B72" s="2121"/>
      <c r="C72" s="1325" t="s">
        <v>618</v>
      </c>
      <c r="D72" s="1325"/>
      <c r="E72" s="1325" t="s">
        <v>761</v>
      </c>
      <c r="F72" s="1325"/>
      <c r="G72" s="56"/>
      <c r="H72" s="1693"/>
      <c r="I72" s="1693"/>
      <c r="J72" s="1693"/>
    </row>
    <row r="73" spans="1:10" customFormat="1" x14ac:dyDescent="0.2">
      <c r="A73" s="2121"/>
      <c r="B73" s="2121"/>
      <c r="C73" s="1325" t="s">
        <v>826</v>
      </c>
      <c r="D73" s="1325"/>
      <c r="E73" s="1325"/>
      <c r="F73" s="1325"/>
      <c r="G73" s="56"/>
      <c r="H73" s="1693"/>
      <c r="I73" s="1693"/>
      <c r="J73" s="1693"/>
    </row>
    <row r="74" spans="1:10" customFormat="1" ht="25.5" x14ac:dyDescent="0.2">
      <c r="A74" s="2121"/>
      <c r="B74" s="2121"/>
      <c r="C74" s="1325" t="s">
        <v>1143</v>
      </c>
      <c r="D74" s="1325"/>
      <c r="E74" s="1325"/>
      <c r="F74" s="1325"/>
      <c r="G74" s="56" t="s">
        <v>1145</v>
      </c>
      <c r="H74" s="1693"/>
      <c r="I74" s="1693"/>
      <c r="J74" s="1693"/>
    </row>
    <row r="75" spans="1:10" customFormat="1" x14ac:dyDescent="0.2">
      <c r="A75" s="2121"/>
      <c r="B75" s="2121"/>
      <c r="C75" s="1325" t="s">
        <v>826</v>
      </c>
      <c r="D75" s="1325"/>
      <c r="E75" s="1325"/>
      <c r="F75" s="1325"/>
      <c r="G75" s="56"/>
      <c r="H75" s="1693"/>
      <c r="I75" s="1693"/>
      <c r="J75" s="1693"/>
    </row>
    <row r="76" spans="1:10" customFormat="1" x14ac:dyDescent="0.2">
      <c r="A76" s="2121"/>
      <c r="B76" s="2121"/>
      <c r="C76" s="1325" t="s">
        <v>768</v>
      </c>
      <c r="D76" s="1325"/>
      <c r="E76" s="1325"/>
      <c r="F76" s="1325"/>
      <c r="G76" s="56"/>
      <c r="H76" s="1693"/>
      <c r="I76" s="1693"/>
      <c r="J76" s="1693"/>
    </row>
    <row r="77" spans="1:10" customFormat="1" x14ac:dyDescent="0.2">
      <c r="A77" s="2121"/>
      <c r="B77" s="2121"/>
      <c r="C77" s="1325" t="s">
        <v>769</v>
      </c>
      <c r="D77" s="1325"/>
      <c r="E77" s="1325"/>
      <c r="F77" s="1325"/>
      <c r="G77" s="56"/>
      <c r="H77" s="1693"/>
      <c r="I77" s="1693"/>
      <c r="J77" s="1693"/>
    </row>
    <row r="78" spans="1:10" customFormat="1" x14ac:dyDescent="0.2">
      <c r="A78" s="2121"/>
      <c r="B78" s="2121"/>
      <c r="C78" s="1325" t="s">
        <v>363</v>
      </c>
      <c r="D78" s="1325"/>
      <c r="E78" s="1325"/>
      <c r="F78" s="1325"/>
      <c r="G78" s="56"/>
      <c r="H78" s="1693"/>
      <c r="I78" s="1693"/>
      <c r="J78" s="1693"/>
    </row>
    <row r="79" spans="1:10" customFormat="1" x14ac:dyDescent="0.2">
      <c r="A79" s="2121"/>
      <c r="B79" s="2121"/>
      <c r="C79" s="1325" t="s">
        <v>364</v>
      </c>
      <c r="D79" s="1325"/>
      <c r="E79" s="1325"/>
      <c r="F79" s="1325"/>
      <c r="G79" s="56"/>
      <c r="H79" s="1693"/>
      <c r="I79" s="1693"/>
      <c r="J79" s="1693"/>
    </row>
  </sheetData>
  <customSheetViews>
    <customSheetView guid="{4892E1C0-7A56-4F81-A857-987D77EC4462}" hiddenRows="1" topLeftCell="A76">
      <selection activeCell="O92" sqref="O92"/>
      <rowBreaks count="2" manualBreakCount="2">
        <brk id="25" max="16383" man="1"/>
        <brk id="66" max="16383" man="1"/>
      </rowBreaks>
      <pageMargins left="0.7" right="0.7" top="0.75" bottom="0.75" header="0.3" footer="0.3"/>
      <pageSetup orientation="landscape" r:id="rId1"/>
      <headerFooter>
        <oddHeader>&amp;L&amp;G&amp;CShowAcronymGoesHere - PSM&amp;R&amp;P</oddHeader>
        <oddFooter>&amp;L&amp;D&amp;R&amp;Z&amp;F</oddFooter>
      </headerFooter>
    </customSheetView>
    <customSheetView guid="{C29C6423-4E3D-4B08-919E-993C7C45FC31}" hiddenRows="1" topLeftCell="A76">
      <selection activeCell="O92" sqref="O92"/>
      <rowBreaks count="2" manualBreakCount="2">
        <brk id="25" max="16383" man="1"/>
        <brk id="66" max="16383" man="1"/>
      </rowBreaks>
      <pageMargins left="0.7" right="0.7" top="0.75" bottom="0.75" header="0.3" footer="0.3"/>
      <pageSetup orientation="landscape" r:id="rId2"/>
      <headerFooter>
        <oddHeader>&amp;L&amp;G&amp;CShowAcronymGoesHere - PSM&amp;R&amp;P</oddHeader>
        <oddFooter>&amp;L&amp;D&amp;R&amp;Z&amp;F</oddFooter>
      </headerFooter>
    </customSheetView>
  </customSheetViews>
  <mergeCells count="224">
    <mergeCell ref="A1:B1"/>
    <mergeCell ref="A2:L2"/>
    <mergeCell ref="C39:D39"/>
    <mergeCell ref="C40:D40"/>
    <mergeCell ref="E36:F36"/>
    <mergeCell ref="A32:B32"/>
    <mergeCell ref="A33:B33"/>
    <mergeCell ref="A34:B34"/>
    <mergeCell ref="C45:D45"/>
    <mergeCell ref="C41:D41"/>
    <mergeCell ref="C42:D42"/>
    <mergeCell ref="E37:F37"/>
    <mergeCell ref="E38:F38"/>
    <mergeCell ref="E39:F39"/>
    <mergeCell ref="E30:F30"/>
    <mergeCell ref="E32:F32"/>
    <mergeCell ref="E33:F33"/>
    <mergeCell ref="E34:F34"/>
    <mergeCell ref="E35:F35"/>
    <mergeCell ref="C30:D30"/>
    <mergeCell ref="C32:D32"/>
    <mergeCell ref="C33:D33"/>
    <mergeCell ref="C34:D34"/>
    <mergeCell ref="C35:D35"/>
    <mergeCell ref="E69:F69"/>
    <mergeCell ref="E61:F61"/>
    <mergeCell ref="E62:F62"/>
    <mergeCell ref="E63:F63"/>
    <mergeCell ref="E58:F58"/>
    <mergeCell ref="E59:F59"/>
    <mergeCell ref="E60:F60"/>
    <mergeCell ref="E64:F64"/>
    <mergeCell ref="E65:F65"/>
    <mergeCell ref="E66:F66"/>
    <mergeCell ref="E67:F67"/>
    <mergeCell ref="E68:F68"/>
    <mergeCell ref="C36:D36"/>
    <mergeCell ref="C43:D43"/>
    <mergeCell ref="C44:D44"/>
    <mergeCell ref="E55:F55"/>
    <mergeCell ref="E56:F56"/>
    <mergeCell ref="E57:F57"/>
    <mergeCell ref="E52:F52"/>
    <mergeCell ref="E53:F53"/>
    <mergeCell ref="E54:F54"/>
    <mergeCell ref="E49:F49"/>
    <mergeCell ref="E50:F50"/>
    <mergeCell ref="E51:F51"/>
    <mergeCell ref="E47:F47"/>
    <mergeCell ref="E48:F48"/>
    <mergeCell ref="E40:F40"/>
    <mergeCell ref="C37:D37"/>
    <mergeCell ref="C38:D38"/>
    <mergeCell ref="E46:F46"/>
    <mergeCell ref="C46:D46"/>
    <mergeCell ref="H79:J79"/>
    <mergeCell ref="E73:F73"/>
    <mergeCell ref="C73:D73"/>
    <mergeCell ref="H78:J78"/>
    <mergeCell ref="H77:J77"/>
    <mergeCell ref="C76:D76"/>
    <mergeCell ref="E76:F76"/>
    <mergeCell ref="C77:D77"/>
    <mergeCell ref="E77:F77"/>
    <mergeCell ref="H76:J76"/>
    <mergeCell ref="H75:J75"/>
    <mergeCell ref="A79:B79"/>
    <mergeCell ref="C79:D79"/>
    <mergeCell ref="E79:F79"/>
    <mergeCell ref="A78:B78"/>
    <mergeCell ref="C78:D78"/>
    <mergeCell ref="E78:F78"/>
    <mergeCell ref="A77:B77"/>
    <mergeCell ref="A75:B75"/>
    <mergeCell ref="C75:D75"/>
    <mergeCell ref="E75:F75"/>
    <mergeCell ref="C67:D67"/>
    <mergeCell ref="C68:D68"/>
    <mergeCell ref="C49:D49"/>
    <mergeCell ref="C50:D50"/>
    <mergeCell ref="C51:D51"/>
    <mergeCell ref="H47:J47"/>
    <mergeCell ref="H48:J48"/>
    <mergeCell ref="A76:B76"/>
    <mergeCell ref="A74:B74"/>
    <mergeCell ref="C74:D74"/>
    <mergeCell ref="C69:D69"/>
    <mergeCell ref="C61:D61"/>
    <mergeCell ref="C62:D62"/>
    <mergeCell ref="C63:D63"/>
    <mergeCell ref="C64:D64"/>
    <mergeCell ref="C60:D60"/>
    <mergeCell ref="C53:D53"/>
    <mergeCell ref="C54:D54"/>
    <mergeCell ref="C47:D47"/>
    <mergeCell ref="C48:D48"/>
    <mergeCell ref="C57:D57"/>
    <mergeCell ref="C58:D58"/>
    <mergeCell ref="A48:B48"/>
    <mergeCell ref="H68:J68"/>
    <mergeCell ref="H52:J52"/>
    <mergeCell ref="H50:J50"/>
    <mergeCell ref="H51:J51"/>
    <mergeCell ref="C65:D65"/>
    <mergeCell ref="C66:D66"/>
    <mergeCell ref="C55:D55"/>
    <mergeCell ref="C56:D56"/>
    <mergeCell ref="H65:J65"/>
    <mergeCell ref="H66:J66"/>
    <mergeCell ref="C59:D59"/>
    <mergeCell ref="A43:B43"/>
    <mergeCell ref="A44:B44"/>
    <mergeCell ref="A49:B49"/>
    <mergeCell ref="A35:B35"/>
    <mergeCell ref="A36:B36"/>
    <mergeCell ref="H64:J64"/>
    <mergeCell ref="H62:J62"/>
    <mergeCell ref="H63:J63"/>
    <mergeCell ref="H53:J53"/>
    <mergeCell ref="H54:J54"/>
    <mergeCell ref="A37:B37"/>
    <mergeCell ref="A38:B38"/>
    <mergeCell ref="E42:F42"/>
    <mergeCell ref="H42:J42"/>
    <mergeCell ref="H40:J40"/>
    <mergeCell ref="H41:J41"/>
    <mergeCell ref="H43:J43"/>
    <mergeCell ref="E41:F41"/>
    <mergeCell ref="E43:F43"/>
    <mergeCell ref="E44:F44"/>
    <mergeCell ref="E45:F45"/>
    <mergeCell ref="C52:D52"/>
    <mergeCell ref="A46:B46"/>
    <mergeCell ref="A47:B47"/>
    <mergeCell ref="A69:B69"/>
    <mergeCell ref="A70:B70"/>
    <mergeCell ref="A71:B71"/>
    <mergeCell ref="A72:B72"/>
    <mergeCell ref="A73:B73"/>
    <mergeCell ref="A62:B62"/>
    <mergeCell ref="A63:B63"/>
    <mergeCell ref="A64:B64"/>
    <mergeCell ref="A65:B65"/>
    <mergeCell ref="A66:B66"/>
    <mergeCell ref="H32:J32"/>
    <mergeCell ref="H33:J33"/>
    <mergeCell ref="H34:J34"/>
    <mergeCell ref="H35:J35"/>
    <mergeCell ref="H36:J36"/>
    <mergeCell ref="A68:B68"/>
    <mergeCell ref="A67:B67"/>
    <mergeCell ref="A56:B56"/>
    <mergeCell ref="A57:B57"/>
    <mergeCell ref="A58:B58"/>
    <mergeCell ref="A45:B45"/>
    <mergeCell ref="A59:B59"/>
    <mergeCell ref="A60:B60"/>
    <mergeCell ref="A61:B61"/>
    <mergeCell ref="A50:B50"/>
    <mergeCell ref="A51:B51"/>
    <mergeCell ref="A52:B52"/>
    <mergeCell ref="A53:B53"/>
    <mergeCell ref="A54:B54"/>
    <mergeCell ref="A55:B55"/>
    <mergeCell ref="A39:B39"/>
    <mergeCell ref="A40:B40"/>
    <mergeCell ref="A41:B41"/>
    <mergeCell ref="A42:B42"/>
    <mergeCell ref="H69:J69"/>
    <mergeCell ref="H56:J56"/>
    <mergeCell ref="H57:J57"/>
    <mergeCell ref="H58:J58"/>
    <mergeCell ref="H59:J59"/>
    <mergeCell ref="H67:J67"/>
    <mergeCell ref="H49:J49"/>
    <mergeCell ref="H55:J55"/>
    <mergeCell ref="A7:D7"/>
    <mergeCell ref="C8:F8"/>
    <mergeCell ref="C9:F9"/>
    <mergeCell ref="C10:F10"/>
    <mergeCell ref="A8:B8"/>
    <mergeCell ref="A9:B9"/>
    <mergeCell ref="A10:B10"/>
    <mergeCell ref="A31:B31"/>
    <mergeCell ref="H37:J37"/>
    <mergeCell ref="H38:J38"/>
    <mergeCell ref="H39:J39"/>
    <mergeCell ref="H60:J60"/>
    <mergeCell ref="H61:J61"/>
    <mergeCell ref="H44:J44"/>
    <mergeCell ref="H45:J45"/>
    <mergeCell ref="H46:J46"/>
    <mergeCell ref="C31:D31"/>
    <mergeCell ref="A15:E15"/>
    <mergeCell ref="A30:B30"/>
    <mergeCell ref="A13:K13"/>
    <mergeCell ref="A16:K16"/>
    <mergeCell ref="E31:F31"/>
    <mergeCell ref="H31:J31"/>
    <mergeCell ref="H30:J30"/>
    <mergeCell ref="A23:K23"/>
    <mergeCell ref="A24:K24"/>
    <mergeCell ref="A14:K14"/>
    <mergeCell ref="A17:K17"/>
    <mergeCell ref="A22:K22"/>
    <mergeCell ref="A21:E21"/>
    <mergeCell ref="A28:H28"/>
    <mergeCell ref="A25:K25"/>
    <mergeCell ref="A26:K26"/>
    <mergeCell ref="A19:K19"/>
    <mergeCell ref="A20:K20"/>
    <mergeCell ref="A18:K18"/>
    <mergeCell ref="C70:D70"/>
    <mergeCell ref="C71:D71"/>
    <mergeCell ref="E74:F74"/>
    <mergeCell ref="H74:J74"/>
    <mergeCell ref="H70:J70"/>
    <mergeCell ref="H71:J71"/>
    <mergeCell ref="H72:J72"/>
    <mergeCell ref="H73:J73"/>
    <mergeCell ref="C72:D72"/>
    <mergeCell ref="E70:F70"/>
    <mergeCell ref="E71:F71"/>
    <mergeCell ref="E72:F72"/>
  </mergeCells>
  <hyperlinks>
    <hyperlink ref="A1" location="TOC!A1" display="TOC Page"/>
  </hyperlinks>
  <pageMargins left="0.7" right="0.7" top="0.75" bottom="0.75" header="0.3" footer="0.3"/>
  <pageSetup orientation="landscape" r:id="rId3"/>
  <headerFooter>
    <oddHeader>&amp;L&amp;G&amp;CShowAcronymGoesHere - PSM&amp;R&amp;P</oddHeader>
    <oddFooter>&amp;L&amp;D&amp;R&amp;Z&amp;F</oddFooter>
  </headerFooter>
  <legacyDrawingHF r:id="rId4"/>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dimension ref="A1:L89"/>
  <sheetViews>
    <sheetView zoomScaleNormal="100" workbookViewId="0">
      <pane ySplit="1" topLeftCell="A2" activePane="bottomLeft" state="frozen"/>
      <selection activeCell="U16" sqref="U16"/>
      <selection pane="bottomLeft" activeCell="F18" sqref="F18"/>
    </sheetView>
  </sheetViews>
  <sheetFormatPr defaultColWidth="9.140625" defaultRowHeight="12.75" x14ac:dyDescent="0.2"/>
  <cols>
    <col min="1" max="2" width="9.140625" style="17"/>
    <col min="3" max="4" width="11.140625" style="17" customWidth="1"/>
    <col min="5" max="6" width="12.5703125" style="17" customWidth="1"/>
    <col min="7" max="7" width="9.140625" style="17"/>
    <col min="8" max="8" width="11.28515625" style="17" customWidth="1"/>
    <col min="9" max="16384" width="9.140625" style="17"/>
  </cols>
  <sheetData>
    <row r="1" spans="1:12" x14ac:dyDescent="0.2">
      <c r="A1" s="1420" t="s">
        <v>639</v>
      </c>
      <c r="B1" s="1420"/>
    </row>
    <row r="2" spans="1:12" s="35" customFormat="1" ht="21.75" customHeight="1" x14ac:dyDescent="0.2">
      <c r="A2" s="1230" t="s">
        <v>1578</v>
      </c>
      <c r="B2" s="1723"/>
      <c r="C2" s="1723"/>
      <c r="D2" s="1723"/>
      <c r="E2" s="1231"/>
      <c r="F2" s="1231"/>
      <c r="G2" s="1231"/>
      <c r="H2" s="1231"/>
      <c r="I2" s="1231"/>
      <c r="J2" s="1231"/>
      <c r="K2" s="1231"/>
      <c r="L2" s="1231"/>
    </row>
    <row r="4" spans="1:12" ht="12.75" customHeight="1" x14ac:dyDescent="0.2">
      <c r="A4" s="38" t="s">
        <v>604</v>
      </c>
      <c r="B4" s="1360" t="s">
        <v>1149</v>
      </c>
      <c r="C4" s="1360"/>
      <c r="D4" s="1360"/>
      <c r="E4" s="1360"/>
      <c r="F4" s="1360"/>
      <c r="G4" s="1360"/>
      <c r="H4" s="1360"/>
      <c r="I4" s="1360"/>
      <c r="J4" s="1360"/>
      <c r="K4" s="1360"/>
      <c r="L4" s="1360"/>
    </row>
    <row r="5" spans="1:12" ht="12.75" customHeight="1" x14ac:dyDescent="0.2">
      <c r="A5" s="176"/>
      <c r="B5" s="1362" t="s">
        <v>1156</v>
      </c>
      <c r="C5" s="1362"/>
      <c r="D5" s="1362"/>
      <c r="E5" s="1362"/>
      <c r="F5" s="1362"/>
      <c r="G5" s="1362"/>
      <c r="H5" s="1362"/>
      <c r="I5" s="1362"/>
      <c r="J5" s="1362"/>
      <c r="K5" s="1362"/>
      <c r="L5" s="1362"/>
    </row>
    <row r="6" spans="1:12" ht="12.75" customHeight="1" x14ac:dyDescent="0.2">
      <c r="A6" s="176"/>
      <c r="B6" s="1361" t="s">
        <v>1579</v>
      </c>
      <c r="C6" s="1362"/>
      <c r="D6" s="1362"/>
      <c r="E6" s="1362"/>
      <c r="F6" s="1362"/>
      <c r="G6" s="1362"/>
      <c r="H6" s="1362"/>
      <c r="I6" s="1362"/>
      <c r="J6" s="1362"/>
      <c r="K6" s="1362"/>
      <c r="L6" s="1362"/>
    </row>
    <row r="7" spans="1:12" x14ac:dyDescent="0.2">
      <c r="A7" s="46"/>
      <c r="B7" s="46"/>
      <c r="C7" s="46"/>
      <c r="D7" s="46"/>
      <c r="E7" s="46"/>
      <c r="F7" s="46"/>
      <c r="G7" s="34"/>
      <c r="H7" s="34"/>
      <c r="I7" s="34"/>
    </row>
    <row r="8" spans="1:12" s="35" customFormat="1" x14ac:dyDescent="0.2">
      <c r="A8" s="134" t="s">
        <v>833</v>
      </c>
      <c r="B8" s="134"/>
      <c r="D8" s="86" t="s">
        <v>834</v>
      </c>
    </row>
    <row r="9" spans="1:12" s="35" customFormat="1" x14ac:dyDescent="0.2">
      <c r="A9" s="134"/>
      <c r="B9" s="86"/>
      <c r="C9" s="86"/>
    </row>
    <row r="10" spans="1:12" s="35" customFormat="1" ht="14.25" customHeight="1" x14ac:dyDescent="0.2">
      <c r="A10" s="1373" t="s">
        <v>896</v>
      </c>
      <c r="B10" s="1373"/>
      <c r="C10" s="1373"/>
      <c r="D10" s="1373"/>
      <c r="E10" s="1373"/>
      <c r="F10" s="1373"/>
    </row>
    <row r="11" spans="1:12" s="35" customFormat="1" ht="14.25" customHeight="1" x14ac:dyDescent="0.2">
      <c r="A11" s="1359" t="s">
        <v>858</v>
      </c>
      <c r="B11" s="1359"/>
      <c r="C11" s="1359"/>
      <c r="D11" s="1359"/>
      <c r="E11" s="1359"/>
      <c r="F11" s="1359"/>
    </row>
    <row r="12" spans="1:12" s="35" customFormat="1" ht="14.25" customHeight="1" x14ac:dyDescent="0.2">
      <c r="A12" s="1359" t="s">
        <v>856</v>
      </c>
      <c r="B12" s="1359"/>
      <c r="C12" s="1359"/>
      <c r="D12" s="1359"/>
      <c r="E12" s="1359"/>
      <c r="F12" s="1359"/>
    </row>
    <row r="13" spans="1:12" s="35" customFormat="1" ht="14.25" customHeight="1" x14ac:dyDescent="0.2">
      <c r="A13" s="1359" t="s">
        <v>857</v>
      </c>
      <c r="B13" s="1359"/>
      <c r="C13" s="1359"/>
      <c r="D13" s="1359"/>
      <c r="E13" s="1359"/>
      <c r="F13" s="1359"/>
    </row>
    <row r="14" spans="1:12" ht="15" x14ac:dyDescent="0.2">
      <c r="A14" s="49"/>
      <c r="B14" s="86"/>
      <c r="C14" s="86"/>
      <c r="D14" s="86"/>
    </row>
    <row r="15" spans="1:12" s="81" customFormat="1" x14ac:dyDescent="0.2">
      <c r="A15" s="134" t="s">
        <v>1146</v>
      </c>
      <c r="B15" s="86"/>
      <c r="C15" s="86"/>
      <c r="D15" s="86"/>
    </row>
    <row r="16" spans="1:12" s="81" customFormat="1" x14ac:dyDescent="0.2">
      <c r="A16" s="1565"/>
      <c r="B16" s="1565"/>
      <c r="C16" s="1565"/>
      <c r="D16" s="1565"/>
      <c r="E16" s="1565"/>
      <c r="F16" s="1565"/>
      <c r="G16" s="1565"/>
      <c r="H16" s="1565"/>
      <c r="I16" s="1565"/>
      <c r="J16" s="1565"/>
      <c r="K16" s="1565"/>
    </row>
    <row r="17" spans="1:11" s="81" customFormat="1" x14ac:dyDescent="0.2">
      <c r="A17" s="1565"/>
      <c r="B17" s="1565"/>
      <c r="C17" s="1565"/>
      <c r="D17" s="1565"/>
      <c r="E17" s="1565"/>
      <c r="F17" s="1565"/>
      <c r="G17" s="1565"/>
      <c r="H17" s="1565"/>
      <c r="I17" s="1565"/>
      <c r="J17" s="1565"/>
      <c r="K17" s="1565"/>
    </row>
    <row r="18" spans="1:11" s="81" customFormat="1" ht="18" customHeight="1" x14ac:dyDescent="0.2">
      <c r="A18" s="1537" t="s">
        <v>1147</v>
      </c>
      <c r="B18" s="1537"/>
      <c r="C18" s="1537"/>
      <c r="D18" s="1537"/>
      <c r="E18" s="1537"/>
    </row>
    <row r="19" spans="1:11" s="81" customFormat="1" ht="15" x14ac:dyDescent="0.2">
      <c r="A19" s="2119"/>
      <c r="B19" s="2119"/>
      <c r="C19" s="2119"/>
      <c r="D19" s="2119"/>
      <c r="E19" s="2119"/>
      <c r="F19" s="2119"/>
      <c r="G19" s="2119"/>
      <c r="H19" s="2119"/>
      <c r="I19" s="2119"/>
      <c r="J19" s="2119"/>
      <c r="K19" s="2119"/>
    </row>
    <row r="20" spans="1:11" s="81" customFormat="1" ht="15" x14ac:dyDescent="0.2">
      <c r="A20" s="2119"/>
      <c r="B20" s="2119"/>
      <c r="C20" s="2119"/>
      <c r="D20" s="2119"/>
      <c r="E20" s="2119"/>
      <c r="F20" s="2119"/>
      <c r="G20" s="2119"/>
      <c r="H20" s="2119"/>
      <c r="I20" s="2119"/>
      <c r="J20" s="2119"/>
      <c r="K20" s="2119"/>
    </row>
    <row r="21" spans="1:11" x14ac:dyDescent="0.2">
      <c r="A21" s="1310" t="s">
        <v>1160</v>
      </c>
      <c r="B21" s="1310"/>
      <c r="C21" s="1310"/>
      <c r="D21" s="1310"/>
      <c r="E21" s="1310"/>
      <c r="F21" s="1310"/>
      <c r="G21" s="1310"/>
      <c r="H21" s="1310"/>
      <c r="I21" s="1310"/>
      <c r="J21" s="1310"/>
      <c r="K21" s="1310"/>
    </row>
    <row r="22" spans="1:11" s="81" customFormat="1" ht="16.5" customHeight="1" x14ac:dyDescent="0.2">
      <c r="A22" s="1537" t="s">
        <v>1161</v>
      </c>
      <c r="B22" s="1537"/>
      <c r="C22" s="1537"/>
      <c r="D22" s="1537"/>
      <c r="E22" s="1537"/>
      <c r="F22" s="1537"/>
      <c r="G22" s="1537"/>
      <c r="H22" s="1537"/>
      <c r="I22" s="1537"/>
      <c r="J22" s="1537"/>
      <c r="K22" s="1537"/>
    </row>
    <row r="23" spans="1:11" s="81" customFormat="1" ht="16.5" customHeight="1" x14ac:dyDescent="0.2">
      <c r="A23" s="1537" t="s">
        <v>1162</v>
      </c>
      <c r="B23" s="1537"/>
      <c r="C23" s="1537"/>
      <c r="D23" s="1537"/>
      <c r="E23" s="1537"/>
      <c r="F23" s="1537"/>
      <c r="G23" s="1537"/>
      <c r="H23" s="1537"/>
      <c r="I23" s="1537"/>
      <c r="J23" s="1537"/>
      <c r="K23" s="1537"/>
    </row>
    <row r="24" spans="1:11" s="81" customFormat="1" ht="16.5" customHeight="1" x14ac:dyDescent="0.2">
      <c r="A24" s="1537" t="s">
        <v>1158</v>
      </c>
      <c r="B24" s="1537"/>
      <c r="C24" s="1537"/>
      <c r="D24" s="1537"/>
      <c r="E24" s="1537"/>
      <c r="F24" s="1537"/>
      <c r="G24" s="1537"/>
      <c r="H24" s="1537"/>
      <c r="I24" s="1537"/>
      <c r="J24" s="1537"/>
      <c r="K24" s="1537"/>
    </row>
    <row r="25" spans="1:11" s="81" customFormat="1" ht="16.5" customHeight="1" x14ac:dyDescent="0.2">
      <c r="A25" s="1537" t="s">
        <v>1159</v>
      </c>
      <c r="B25" s="1537"/>
      <c r="C25" s="1537"/>
      <c r="D25" s="1537"/>
      <c r="E25" s="1537"/>
      <c r="F25" s="1537"/>
      <c r="G25" s="1537"/>
      <c r="H25" s="1537"/>
      <c r="I25" s="1537"/>
      <c r="J25" s="1537"/>
      <c r="K25" s="1537"/>
    </row>
    <row r="26" spans="1:11" s="81" customFormat="1" x14ac:dyDescent="0.2"/>
    <row r="27" spans="1:11" s="35" customFormat="1" ht="12.75" customHeight="1" x14ac:dyDescent="0.2">
      <c r="A27" s="1367" t="s">
        <v>1486</v>
      </c>
      <c r="B27" s="1367"/>
      <c r="C27" s="1367"/>
      <c r="D27" s="1367"/>
      <c r="E27" s="1367"/>
      <c r="F27" s="158"/>
      <c r="G27" s="158"/>
      <c r="H27" s="158"/>
      <c r="I27" s="158"/>
    </row>
    <row r="28" spans="1:11" s="35" customFormat="1" x14ac:dyDescent="0.2">
      <c r="A28" s="1366" t="s">
        <v>1150</v>
      </c>
      <c r="B28" s="1366"/>
      <c r="C28" s="1366"/>
      <c r="D28" s="1366"/>
      <c r="E28" s="1366"/>
      <c r="F28" s="1366"/>
      <c r="G28" s="1366"/>
      <c r="H28" s="1366"/>
      <c r="I28" s="1366"/>
      <c r="J28" s="1366"/>
      <c r="K28" s="1366"/>
    </row>
    <row r="29" spans="1:11" s="35" customFormat="1" x14ac:dyDescent="0.2">
      <c r="A29" s="1366" t="s">
        <v>1163</v>
      </c>
      <c r="B29" s="1366"/>
      <c r="C29" s="1366"/>
      <c r="D29" s="1366"/>
      <c r="E29" s="1366"/>
      <c r="F29" s="1366"/>
      <c r="G29" s="1366"/>
      <c r="H29" s="1366"/>
      <c r="I29" s="1366"/>
      <c r="J29" s="1366"/>
      <c r="K29" s="1366"/>
    </row>
    <row r="30" spans="1:11" s="35" customFormat="1" x14ac:dyDescent="0.2">
      <c r="A30" s="1369"/>
      <c r="B30" s="1369"/>
      <c r="C30" s="1369"/>
      <c r="D30" s="1369"/>
      <c r="E30" s="1369"/>
      <c r="F30" s="1369"/>
      <c r="G30" s="1369"/>
      <c r="H30" s="1369"/>
      <c r="I30" s="1369"/>
      <c r="J30" s="1369"/>
      <c r="K30" s="1369"/>
    </row>
    <row r="31" spans="1:11" s="35" customFormat="1" x14ac:dyDescent="0.2">
      <c r="A31" s="1369"/>
      <c r="B31" s="1369"/>
      <c r="C31" s="1369"/>
      <c r="D31" s="1369"/>
      <c r="E31" s="1369"/>
      <c r="F31" s="1369"/>
      <c r="G31" s="1369"/>
      <c r="H31" s="1369"/>
      <c r="I31" s="223"/>
    </row>
    <row r="32" spans="1:11" x14ac:dyDescent="0.2">
      <c r="A32" s="1373" t="s">
        <v>1148</v>
      </c>
      <c r="B32" s="1373"/>
      <c r="C32" s="1373"/>
      <c r="D32" s="1373"/>
      <c r="E32" s="1373"/>
      <c r="F32" s="1373"/>
      <c r="G32" s="1373"/>
      <c r="H32" s="1373"/>
    </row>
    <row r="33" spans="1:11" customFormat="1" ht="10.5" customHeight="1" x14ac:dyDescent="0.2"/>
    <row r="34" spans="1:11" customFormat="1" ht="25.5" customHeight="1" x14ac:dyDescent="0.2">
      <c r="A34" s="1385" t="s">
        <v>816</v>
      </c>
      <c r="B34" s="1385"/>
      <c r="C34" s="1385" t="s">
        <v>815</v>
      </c>
      <c r="D34" s="1385"/>
      <c r="E34" s="1385" t="s">
        <v>817</v>
      </c>
      <c r="F34" s="1385"/>
      <c r="G34" s="43" t="s">
        <v>301</v>
      </c>
      <c r="H34" s="43" t="s">
        <v>1144</v>
      </c>
      <c r="I34" s="1447" t="s">
        <v>637</v>
      </c>
      <c r="J34" s="1447"/>
      <c r="K34" s="1447"/>
    </row>
    <row r="35" spans="1:11" customFormat="1" x14ac:dyDescent="0.2">
      <c r="A35" s="2121"/>
      <c r="B35" s="2121"/>
      <c r="C35" s="1325"/>
      <c r="D35" s="1325"/>
      <c r="E35" s="1325" t="s">
        <v>1142</v>
      </c>
      <c r="F35" s="1325"/>
      <c r="G35" s="56"/>
      <c r="H35" s="56"/>
      <c r="I35" s="1693"/>
      <c r="J35" s="1693"/>
      <c r="K35" s="1693"/>
    </row>
    <row r="36" spans="1:11" customFormat="1" x14ac:dyDescent="0.2">
      <c r="A36" s="2121"/>
      <c r="B36" s="2121"/>
      <c r="C36" s="1325" t="s">
        <v>302</v>
      </c>
      <c r="D36" s="1325"/>
      <c r="E36" s="1325" t="s">
        <v>303</v>
      </c>
      <c r="F36" s="1325"/>
      <c r="G36" s="56"/>
      <c r="H36" s="56"/>
      <c r="I36" s="1693"/>
      <c r="J36" s="1693"/>
      <c r="K36" s="1693"/>
    </row>
    <row r="37" spans="1:11" customFormat="1" x14ac:dyDescent="0.2">
      <c r="A37" s="2121"/>
      <c r="B37" s="2121"/>
      <c r="C37" s="1325" t="s">
        <v>202</v>
      </c>
      <c r="D37" s="1325"/>
      <c r="E37" s="1325" t="s">
        <v>359</v>
      </c>
      <c r="F37" s="1325"/>
      <c r="G37" s="56"/>
      <c r="H37" s="56"/>
      <c r="I37" s="1693"/>
      <c r="J37" s="1693"/>
      <c r="K37" s="1693"/>
    </row>
    <row r="38" spans="1:11" customFormat="1" x14ac:dyDescent="0.2">
      <c r="A38" s="2121"/>
      <c r="B38" s="2121"/>
      <c r="C38" s="1325" t="s">
        <v>205</v>
      </c>
      <c r="D38" s="1325"/>
      <c r="E38" s="1325" t="s">
        <v>606</v>
      </c>
      <c r="F38" s="1325"/>
      <c r="G38" s="56"/>
      <c r="H38" s="56"/>
      <c r="I38" s="1693"/>
      <c r="J38" s="1693"/>
      <c r="K38" s="1693"/>
    </row>
    <row r="39" spans="1:11" customFormat="1" x14ac:dyDescent="0.2">
      <c r="A39" s="2121"/>
      <c r="B39" s="2121"/>
      <c r="C39" s="1325" t="s">
        <v>263</v>
      </c>
      <c r="D39" s="1325"/>
      <c r="E39" s="1325"/>
      <c r="F39" s="1325"/>
      <c r="G39" s="56"/>
      <c r="H39" s="56"/>
      <c r="I39" s="1693"/>
      <c r="J39" s="1693"/>
      <c r="K39" s="1693"/>
    </row>
    <row r="40" spans="1:11" customFormat="1" x14ac:dyDescent="0.2">
      <c r="A40" s="2121"/>
      <c r="B40" s="2121"/>
      <c r="C40" s="1325" t="s">
        <v>264</v>
      </c>
      <c r="D40" s="1325"/>
      <c r="E40" s="1325" t="s">
        <v>607</v>
      </c>
      <c r="F40" s="1325"/>
      <c r="G40" s="56"/>
      <c r="H40" s="56"/>
      <c r="I40" s="1693"/>
      <c r="J40" s="1693"/>
      <c r="K40" s="1693"/>
    </row>
    <row r="41" spans="1:11" customFormat="1" x14ac:dyDescent="0.2">
      <c r="A41" s="2121"/>
      <c r="B41" s="2121"/>
      <c r="C41" s="1325" t="s">
        <v>304</v>
      </c>
      <c r="D41" s="1325"/>
      <c r="E41" s="1325" t="s">
        <v>616</v>
      </c>
      <c r="F41" s="1325"/>
      <c r="G41" s="56"/>
      <c r="H41" s="56"/>
      <c r="I41" s="1693"/>
      <c r="J41" s="1693"/>
      <c r="K41" s="1693"/>
    </row>
    <row r="42" spans="1:11" customFormat="1" x14ac:dyDescent="0.2">
      <c r="A42" s="2121"/>
      <c r="B42" s="2121"/>
      <c r="C42" s="1325" t="s">
        <v>268</v>
      </c>
      <c r="D42" s="1325"/>
      <c r="E42" s="1325" t="s">
        <v>360</v>
      </c>
      <c r="F42" s="1325"/>
      <c r="G42" s="56"/>
      <c r="H42" s="56"/>
      <c r="I42" s="1693"/>
      <c r="J42" s="1693"/>
      <c r="K42" s="1693"/>
    </row>
    <row r="43" spans="1:11" customFormat="1" x14ac:dyDescent="0.2">
      <c r="A43" s="2121"/>
      <c r="B43" s="2121"/>
      <c r="C43" s="1325" t="s">
        <v>270</v>
      </c>
      <c r="D43" s="1325"/>
      <c r="E43" s="1325"/>
      <c r="F43" s="1325"/>
      <c r="G43" s="56"/>
      <c r="H43" s="56"/>
      <c r="I43" s="1693"/>
      <c r="J43" s="1693"/>
      <c r="K43" s="1693"/>
    </row>
    <row r="44" spans="1:11" customFormat="1" x14ac:dyDescent="0.2">
      <c r="A44" s="2121"/>
      <c r="B44" s="2121"/>
      <c r="C44" s="1325" t="s">
        <v>272</v>
      </c>
      <c r="D44" s="1325"/>
      <c r="E44" s="1325" t="s">
        <v>271</v>
      </c>
      <c r="F44" s="1325"/>
      <c r="G44" s="56"/>
      <c r="H44" s="56"/>
      <c r="I44" s="1693"/>
      <c r="J44" s="1693"/>
      <c r="K44" s="1693"/>
    </row>
    <row r="45" spans="1:11" customFormat="1" x14ac:dyDescent="0.2">
      <c r="A45" s="2121"/>
      <c r="B45" s="2121"/>
      <c r="C45" s="1325" t="s">
        <v>274</v>
      </c>
      <c r="D45" s="1325"/>
      <c r="E45" s="1325" t="s">
        <v>273</v>
      </c>
      <c r="F45" s="1325"/>
      <c r="G45" s="56"/>
      <c r="H45" s="56"/>
      <c r="I45" s="1693"/>
      <c r="J45" s="1693"/>
      <c r="K45" s="1693"/>
    </row>
    <row r="46" spans="1:11" customFormat="1" x14ac:dyDescent="0.2">
      <c r="A46" s="2121"/>
      <c r="B46" s="2121"/>
      <c r="C46" s="1325" t="s">
        <v>275</v>
      </c>
      <c r="D46" s="1325"/>
      <c r="E46" s="1325" t="s">
        <v>317</v>
      </c>
      <c r="F46" s="1325"/>
      <c r="G46" s="56"/>
      <c r="H46" s="56"/>
      <c r="I46" s="1693"/>
      <c r="J46" s="1693"/>
      <c r="K46" s="1693"/>
    </row>
    <row r="47" spans="1:11" customFormat="1" x14ac:dyDescent="0.2">
      <c r="A47" s="2121"/>
      <c r="B47" s="2121"/>
      <c r="C47" s="1325" t="s">
        <v>276</v>
      </c>
      <c r="D47" s="1325"/>
      <c r="E47" s="1325" t="s">
        <v>609</v>
      </c>
      <c r="F47" s="1325"/>
      <c r="G47" s="56"/>
      <c r="H47" s="56"/>
      <c r="I47" s="1693"/>
      <c r="J47" s="1693"/>
      <c r="K47" s="1693"/>
    </row>
    <row r="48" spans="1:11" customFormat="1" x14ac:dyDescent="0.2">
      <c r="A48" s="2121"/>
      <c r="B48" s="2121"/>
      <c r="C48" s="1325" t="s">
        <v>278</v>
      </c>
      <c r="D48" s="1325"/>
      <c r="E48" s="1325" t="s">
        <v>277</v>
      </c>
      <c r="F48" s="1325"/>
      <c r="G48" s="56"/>
      <c r="H48" s="56"/>
      <c r="I48" s="1693"/>
      <c r="J48" s="1693"/>
      <c r="K48" s="1693"/>
    </row>
    <row r="49" spans="1:11" customFormat="1" x14ac:dyDescent="0.2">
      <c r="A49" s="2121"/>
      <c r="B49" s="2121"/>
      <c r="C49" s="1325" t="s">
        <v>355</v>
      </c>
      <c r="D49" s="1325"/>
      <c r="E49" s="1325" t="s">
        <v>361</v>
      </c>
      <c r="F49" s="1325"/>
      <c r="G49" s="56"/>
      <c r="H49" s="56"/>
      <c r="I49" s="1693"/>
      <c r="J49" s="1693"/>
      <c r="K49" s="1693"/>
    </row>
    <row r="50" spans="1:11" customFormat="1" x14ac:dyDescent="0.2">
      <c r="A50" s="2121"/>
      <c r="B50" s="2121"/>
      <c r="C50" s="1325" t="s">
        <v>281</v>
      </c>
      <c r="D50" s="1325"/>
      <c r="E50" s="1325" t="s">
        <v>610</v>
      </c>
      <c r="F50" s="1325"/>
      <c r="G50" s="56"/>
      <c r="H50" s="56"/>
      <c r="I50" s="1693"/>
      <c r="J50" s="1693"/>
      <c r="K50" s="1693"/>
    </row>
    <row r="51" spans="1:11" customFormat="1" x14ac:dyDescent="0.2">
      <c r="A51" s="2121"/>
      <c r="B51" s="2121"/>
      <c r="C51" s="1325" t="s">
        <v>283</v>
      </c>
      <c r="D51" s="1325"/>
      <c r="E51" s="1325" t="s">
        <v>282</v>
      </c>
      <c r="F51" s="1325"/>
      <c r="G51" s="56"/>
      <c r="H51" s="56"/>
      <c r="I51" s="1693"/>
      <c r="J51" s="1693"/>
      <c r="K51" s="1693"/>
    </row>
    <row r="52" spans="1:11" customFormat="1" x14ac:dyDescent="0.2">
      <c r="A52" s="2121"/>
      <c r="B52" s="2121"/>
      <c r="C52" s="1325" t="s">
        <v>285</v>
      </c>
      <c r="D52" s="1325"/>
      <c r="E52" s="1325" t="s">
        <v>236</v>
      </c>
      <c r="F52" s="1325"/>
      <c r="G52" s="56"/>
      <c r="H52" s="56"/>
      <c r="I52" s="1693"/>
      <c r="J52" s="1693"/>
      <c r="K52" s="1693"/>
    </row>
    <row r="53" spans="1:11" customFormat="1" x14ac:dyDescent="0.2">
      <c r="A53" s="2121"/>
      <c r="B53" s="2121"/>
      <c r="C53" s="1325" t="s">
        <v>290</v>
      </c>
      <c r="D53" s="1325"/>
      <c r="E53" s="1325" t="s">
        <v>289</v>
      </c>
      <c r="F53" s="1325"/>
      <c r="G53" s="56"/>
      <c r="H53" s="56"/>
      <c r="I53" s="1693"/>
      <c r="J53" s="1693"/>
      <c r="K53" s="1693"/>
    </row>
    <row r="54" spans="1:11" customFormat="1" x14ac:dyDescent="0.2">
      <c r="A54" s="2121"/>
      <c r="B54" s="2121"/>
      <c r="C54" s="1325" t="s">
        <v>292</v>
      </c>
      <c r="D54" s="1325"/>
      <c r="E54" s="1325" t="s">
        <v>235</v>
      </c>
      <c r="F54" s="1325"/>
      <c r="G54" s="56"/>
      <c r="H54" s="56"/>
      <c r="I54" s="1693"/>
      <c r="J54" s="1693"/>
      <c r="K54" s="1693"/>
    </row>
    <row r="55" spans="1:11" customFormat="1" x14ac:dyDescent="0.2">
      <c r="A55" s="2121"/>
      <c r="B55" s="2121"/>
      <c r="C55" s="1325" t="s">
        <v>293</v>
      </c>
      <c r="D55" s="1325"/>
      <c r="E55" s="1325" t="s">
        <v>362</v>
      </c>
      <c r="F55" s="1325"/>
      <c r="G55" s="56"/>
      <c r="H55" s="56"/>
      <c r="I55" s="1693"/>
      <c r="J55" s="1693"/>
      <c r="K55" s="1693"/>
    </row>
    <row r="56" spans="1:11" customFormat="1" x14ac:dyDescent="0.2">
      <c r="A56" s="2121"/>
      <c r="B56" s="2121"/>
      <c r="C56" s="1325" t="s">
        <v>825</v>
      </c>
      <c r="D56" s="1325"/>
      <c r="E56" s="1325" t="s">
        <v>614</v>
      </c>
      <c r="F56" s="1325"/>
      <c r="G56" s="56"/>
      <c r="H56" s="56"/>
      <c r="I56" s="1693"/>
      <c r="J56" s="1693"/>
      <c r="K56" s="1693"/>
    </row>
    <row r="57" spans="1:11" customFormat="1" ht="25.5" x14ac:dyDescent="0.2">
      <c r="A57" s="2121"/>
      <c r="B57" s="2121"/>
      <c r="C57" s="1325" t="s">
        <v>823</v>
      </c>
      <c r="D57" s="1325"/>
      <c r="E57" s="1325" t="s">
        <v>314</v>
      </c>
      <c r="F57" s="1325"/>
      <c r="G57" s="56"/>
      <c r="H57" s="56" t="s">
        <v>1155</v>
      </c>
      <c r="I57" s="1693"/>
      <c r="J57" s="1693"/>
      <c r="K57" s="1693"/>
    </row>
    <row r="58" spans="1:11" customFormat="1" x14ac:dyDescent="0.2">
      <c r="A58" s="2121"/>
      <c r="B58" s="2121"/>
      <c r="C58" s="1325" t="s">
        <v>51</v>
      </c>
      <c r="D58" s="1325"/>
      <c r="E58" s="1325"/>
      <c r="F58" s="1325"/>
      <c r="G58" s="56"/>
      <c r="H58" s="56"/>
      <c r="I58" s="1693"/>
      <c r="J58" s="1693"/>
      <c r="K58" s="1693"/>
    </row>
    <row r="59" spans="1:11" customFormat="1" x14ac:dyDescent="0.2">
      <c r="A59" s="2121"/>
      <c r="B59" s="2121"/>
      <c r="C59" s="1325" t="s">
        <v>52</v>
      </c>
      <c r="D59" s="1325"/>
      <c r="E59" s="1325"/>
      <c r="F59" s="1325"/>
      <c r="G59" s="56"/>
      <c r="H59" s="56"/>
      <c r="I59" s="1693"/>
      <c r="J59" s="1693"/>
      <c r="K59" s="1693"/>
    </row>
    <row r="60" spans="1:11" customFormat="1" x14ac:dyDescent="0.2">
      <c r="A60" s="2121"/>
      <c r="B60" s="2121"/>
      <c r="C60" s="1325" t="s">
        <v>297</v>
      </c>
      <c r="D60" s="1325"/>
      <c r="E60" s="1325"/>
      <c r="F60" s="1325"/>
      <c r="G60" s="56"/>
      <c r="H60" s="56"/>
      <c r="I60" s="1693"/>
      <c r="J60" s="1693"/>
      <c r="K60" s="1693"/>
    </row>
    <row r="61" spans="1:11" customFormat="1" x14ac:dyDescent="0.2">
      <c r="A61" s="2121"/>
      <c r="B61" s="2121"/>
      <c r="C61" s="1325" t="s">
        <v>298</v>
      </c>
      <c r="D61" s="1325"/>
      <c r="E61" s="1325"/>
      <c r="F61" s="1325"/>
      <c r="G61" s="56"/>
      <c r="H61" s="56"/>
      <c r="I61" s="1693"/>
      <c r="J61" s="1693"/>
      <c r="K61" s="1693"/>
    </row>
    <row r="62" spans="1:11" customFormat="1" x14ac:dyDescent="0.2">
      <c r="A62" s="2121"/>
      <c r="B62" s="2121"/>
      <c r="C62" s="1325" t="s">
        <v>299</v>
      </c>
      <c r="D62" s="1325"/>
      <c r="E62" s="1325"/>
      <c r="F62" s="1325"/>
      <c r="G62" s="56"/>
      <c r="H62" s="56"/>
      <c r="I62" s="1693"/>
      <c r="J62" s="1693"/>
      <c r="K62" s="1693"/>
    </row>
    <row r="63" spans="1:11" customFormat="1" ht="25.5" x14ac:dyDescent="0.2">
      <c r="A63" s="2121"/>
      <c r="B63" s="2121"/>
      <c r="C63" s="1325" t="s">
        <v>824</v>
      </c>
      <c r="D63" s="1325"/>
      <c r="E63" s="1325"/>
      <c r="F63" s="1325"/>
      <c r="G63" s="56"/>
      <c r="H63" s="56" t="s">
        <v>1155</v>
      </c>
      <c r="I63" s="1693"/>
      <c r="J63" s="1693"/>
      <c r="K63" s="1693"/>
    </row>
    <row r="64" spans="1:11" customFormat="1" x14ac:dyDescent="0.2">
      <c r="A64" s="2121"/>
      <c r="B64" s="2121"/>
      <c r="C64" s="1325" t="s">
        <v>31</v>
      </c>
      <c r="D64" s="1325"/>
      <c r="E64" s="1325"/>
      <c r="F64" s="1325"/>
      <c r="G64" s="56"/>
      <c r="H64" s="56"/>
      <c r="I64" s="1693"/>
      <c r="J64" s="1693"/>
      <c r="K64" s="1693"/>
    </row>
    <row r="65" spans="1:11" customFormat="1" x14ac:dyDescent="0.2">
      <c r="A65" s="2121"/>
      <c r="B65" s="2121"/>
      <c r="C65" s="1325" t="s">
        <v>675</v>
      </c>
      <c r="D65" s="1325"/>
      <c r="E65" s="1325"/>
      <c r="F65" s="1325"/>
      <c r="G65" s="56"/>
      <c r="H65" s="56"/>
      <c r="I65" s="1693"/>
      <c r="J65" s="1693"/>
      <c r="K65" s="1693"/>
    </row>
    <row r="66" spans="1:11" customFormat="1" x14ac:dyDescent="0.2">
      <c r="A66" s="2121"/>
      <c r="B66" s="2121"/>
      <c r="C66" s="1325" t="s">
        <v>829</v>
      </c>
      <c r="D66" s="1325"/>
      <c r="E66" s="1325"/>
      <c r="F66" s="1325"/>
      <c r="G66" s="56"/>
      <c r="H66" s="56"/>
      <c r="I66" s="1693"/>
      <c r="J66" s="1693"/>
      <c r="K66" s="1693"/>
    </row>
    <row r="67" spans="1:11" customFormat="1" x14ac:dyDescent="0.2">
      <c r="A67" s="2121"/>
      <c r="B67" s="2121"/>
      <c r="C67" s="1325" t="s">
        <v>54</v>
      </c>
      <c r="D67" s="1325"/>
      <c r="E67" s="1325"/>
      <c r="F67" s="1325"/>
      <c r="G67" s="56"/>
      <c r="H67" s="56"/>
      <c r="I67" s="1693"/>
      <c r="J67" s="1693"/>
      <c r="K67" s="1693"/>
    </row>
    <row r="68" spans="1:11" customFormat="1" x14ac:dyDescent="0.2">
      <c r="A68" s="2121"/>
      <c r="B68" s="2121"/>
      <c r="C68" s="1325" t="s">
        <v>818</v>
      </c>
      <c r="D68" s="1325"/>
      <c r="E68" s="1325"/>
      <c r="F68" s="1325"/>
      <c r="G68" s="56"/>
      <c r="H68" s="56"/>
      <c r="I68" s="1693"/>
      <c r="J68" s="1693"/>
      <c r="K68" s="1693"/>
    </row>
    <row r="69" spans="1:11" customFormat="1" x14ac:dyDescent="0.2">
      <c r="A69" s="2121"/>
      <c r="B69" s="2121"/>
      <c r="C69" s="1325" t="s">
        <v>819</v>
      </c>
      <c r="D69" s="1325"/>
      <c r="E69" s="1325"/>
      <c r="F69" s="1325"/>
      <c r="G69" s="56"/>
      <c r="H69" s="56"/>
      <c r="I69" s="1693"/>
      <c r="J69" s="1693"/>
      <c r="K69" s="1693"/>
    </row>
    <row r="70" spans="1:11" customFormat="1" x14ac:dyDescent="0.2">
      <c r="A70" s="2121"/>
      <c r="B70" s="2121"/>
      <c r="C70" s="1325" t="s">
        <v>820</v>
      </c>
      <c r="D70" s="1325"/>
      <c r="E70" s="1325"/>
      <c r="F70" s="1325"/>
      <c r="G70" s="56"/>
      <c r="H70" s="56"/>
      <c r="I70" s="1693"/>
      <c r="J70" s="1693"/>
      <c r="K70" s="1693"/>
    </row>
    <row r="71" spans="1:11" customFormat="1" x14ac:dyDescent="0.2">
      <c r="A71" s="2121"/>
      <c r="B71" s="2121"/>
      <c r="C71" s="1325" t="s">
        <v>821</v>
      </c>
      <c r="D71" s="1325"/>
      <c r="E71" s="1325"/>
      <c r="F71" s="1325"/>
      <c r="G71" s="56"/>
      <c r="H71" s="56"/>
      <c r="I71" s="1693"/>
      <c r="J71" s="1693"/>
      <c r="K71" s="1693"/>
    </row>
    <row r="72" spans="1:11" customFormat="1" x14ac:dyDescent="0.2">
      <c r="A72" s="2121"/>
      <c r="B72" s="2121"/>
      <c r="C72" s="1325" t="s">
        <v>822</v>
      </c>
      <c r="D72" s="1325"/>
      <c r="E72" s="1325"/>
      <c r="F72" s="1325"/>
      <c r="G72" s="56"/>
      <c r="H72" s="56"/>
      <c r="I72" s="1693"/>
      <c r="J72" s="1693"/>
      <c r="K72" s="1693"/>
    </row>
    <row r="73" spans="1:11" customFormat="1" x14ac:dyDescent="0.2">
      <c r="A73" s="2121"/>
      <c r="B73" s="2121"/>
      <c r="C73" s="1325" t="s">
        <v>827</v>
      </c>
      <c r="D73" s="1325"/>
      <c r="E73" s="1325"/>
      <c r="F73" s="1325"/>
      <c r="G73" s="56"/>
      <c r="H73" s="56"/>
      <c r="I73" s="1693"/>
      <c r="J73" s="1693"/>
      <c r="K73" s="1693"/>
    </row>
    <row r="74" spans="1:11" customFormat="1" x14ac:dyDescent="0.2">
      <c r="A74" s="2121"/>
      <c r="B74" s="2121"/>
      <c r="C74" s="1325" t="s">
        <v>828</v>
      </c>
      <c r="D74" s="1325"/>
      <c r="E74" s="1325"/>
      <c r="F74" s="1325"/>
      <c r="G74" s="56"/>
      <c r="H74" s="56"/>
      <c r="I74" s="1693"/>
      <c r="J74" s="1693"/>
      <c r="K74" s="1693"/>
    </row>
    <row r="75" spans="1:11" customFormat="1" x14ac:dyDescent="0.2">
      <c r="A75" s="2121"/>
      <c r="B75" s="2121"/>
      <c r="C75" s="1325" t="s">
        <v>53</v>
      </c>
      <c r="D75" s="1325"/>
      <c r="E75" s="1325"/>
      <c r="F75" s="1325"/>
      <c r="G75" s="56"/>
      <c r="H75" s="56"/>
      <c r="I75" s="1693"/>
      <c r="J75" s="1693"/>
      <c r="K75" s="1693"/>
    </row>
    <row r="76" spans="1:11" customFormat="1" x14ac:dyDescent="0.2">
      <c r="A76" s="2121"/>
      <c r="B76" s="2121"/>
      <c r="C76" s="1325" t="s">
        <v>618</v>
      </c>
      <c r="D76" s="1325"/>
      <c r="E76" s="1325" t="s">
        <v>761</v>
      </c>
      <c r="F76" s="1325"/>
      <c r="G76" s="56"/>
      <c r="H76" s="56"/>
      <c r="I76" s="1693"/>
      <c r="J76" s="1693"/>
      <c r="K76" s="1693"/>
    </row>
    <row r="77" spans="1:11" customFormat="1" x14ac:dyDescent="0.2">
      <c r="A77" s="2121"/>
      <c r="B77" s="2121"/>
      <c r="C77" s="1325" t="s">
        <v>826</v>
      </c>
      <c r="D77" s="1325"/>
      <c r="E77" s="1325"/>
      <c r="F77" s="1325"/>
      <c r="G77" s="56"/>
      <c r="H77" s="56"/>
      <c r="I77" s="1693"/>
      <c r="J77" s="1693"/>
      <c r="K77" s="1693"/>
    </row>
    <row r="78" spans="1:11" customFormat="1" ht="25.5" x14ac:dyDescent="0.2">
      <c r="A78" s="2121"/>
      <c r="B78" s="2121"/>
      <c r="C78" s="1325" t="s">
        <v>1143</v>
      </c>
      <c r="D78" s="1325"/>
      <c r="E78" s="1325"/>
      <c r="F78" s="1325"/>
      <c r="G78" s="56"/>
      <c r="H78" s="56" t="s">
        <v>1155</v>
      </c>
      <c r="I78" s="1693"/>
      <c r="J78" s="1693"/>
      <c r="K78" s="1693"/>
    </row>
    <row r="79" spans="1:11" customFormat="1" x14ac:dyDescent="0.2">
      <c r="A79" s="2121"/>
      <c r="B79" s="2121"/>
      <c r="C79" s="1325" t="s">
        <v>826</v>
      </c>
      <c r="D79" s="1325"/>
      <c r="E79" s="1325"/>
      <c r="F79" s="1325"/>
      <c r="G79" s="56"/>
      <c r="H79" s="56"/>
      <c r="I79" s="1693"/>
      <c r="J79" s="1693"/>
      <c r="K79" s="1693"/>
    </row>
    <row r="81" spans="1:12" x14ac:dyDescent="0.2">
      <c r="A81" s="1310" t="s">
        <v>1164</v>
      </c>
      <c r="B81" s="1310"/>
      <c r="C81" s="1310"/>
      <c r="D81" s="1310"/>
      <c r="E81" s="1310"/>
      <c r="F81" s="1310"/>
      <c r="G81" s="1310"/>
      <c r="H81" s="1310"/>
      <c r="I81" s="1310"/>
      <c r="J81" s="1310"/>
      <c r="K81" s="1310"/>
    </row>
    <row r="83" spans="1:12" s="81" customFormat="1" ht="15" x14ac:dyDescent="0.2">
      <c r="A83" s="134" t="s">
        <v>1157</v>
      </c>
      <c r="B83" s="49"/>
      <c r="C83" s="134"/>
      <c r="D83" s="49"/>
      <c r="E83" s="49"/>
      <c r="F83" s="49"/>
      <c r="G83" s="49"/>
      <c r="H83" s="49"/>
      <c r="I83" s="49"/>
      <c r="J83" s="49"/>
      <c r="K83" s="49"/>
    </row>
    <row r="84" spans="1:12" x14ac:dyDescent="0.2">
      <c r="A84" s="38" t="s">
        <v>604</v>
      </c>
      <c r="B84" s="1360" t="s">
        <v>1151</v>
      </c>
      <c r="C84" s="1360"/>
      <c r="D84" s="1360"/>
      <c r="E84" s="1360"/>
      <c r="F84" s="1360"/>
      <c r="G84" s="34"/>
      <c r="H84" s="34"/>
      <c r="I84" s="34"/>
    </row>
    <row r="85" spans="1:12" x14ac:dyDescent="0.2">
      <c r="A85" s="56"/>
      <c r="B85" s="1362" t="s">
        <v>1152</v>
      </c>
      <c r="C85" s="1362"/>
      <c r="D85" s="1362"/>
      <c r="E85" s="1362"/>
      <c r="F85" s="1362"/>
      <c r="G85" s="34"/>
      <c r="H85" s="34"/>
      <c r="I85" s="34"/>
    </row>
    <row r="86" spans="1:12" x14ac:dyDescent="0.2">
      <c r="A86" s="56"/>
      <c r="B86" s="1362" t="s">
        <v>1153</v>
      </c>
      <c r="C86" s="1362"/>
      <c r="D86" s="1362"/>
      <c r="E86" s="1362"/>
      <c r="F86" s="1362"/>
      <c r="G86" s="34"/>
      <c r="H86" s="34"/>
      <c r="I86" s="34"/>
    </row>
    <row r="87" spans="1:12" x14ac:dyDescent="0.2">
      <c r="A87" s="56"/>
      <c r="B87" s="1362" t="s">
        <v>1154</v>
      </c>
      <c r="C87" s="1362"/>
      <c r="D87" s="1362"/>
      <c r="E87" s="1362"/>
      <c r="F87" s="1362"/>
      <c r="G87" s="34"/>
      <c r="H87" s="34"/>
      <c r="I87" s="34"/>
    </row>
    <row r="88" spans="1:12" x14ac:dyDescent="0.2">
      <c r="A88" s="46"/>
      <c r="B88" s="46"/>
      <c r="C88" s="46"/>
      <c r="D88" s="46"/>
      <c r="E88" s="46"/>
      <c r="F88" s="46"/>
      <c r="G88" s="34"/>
      <c r="H88" s="34"/>
      <c r="I88" s="34"/>
    </row>
    <row r="89" spans="1:12" ht="12.75" customHeight="1" x14ac:dyDescent="0.2">
      <c r="B89" s="63"/>
      <c r="C89" s="64"/>
      <c r="D89" s="64"/>
      <c r="E89" s="64"/>
      <c r="F89" s="64"/>
      <c r="G89" s="64"/>
      <c r="H89" s="64"/>
      <c r="I89" s="64"/>
      <c r="J89" s="64"/>
      <c r="K89" s="64"/>
      <c r="L89" s="64"/>
    </row>
  </sheetData>
  <customSheetViews>
    <customSheetView guid="{4892E1C0-7A56-4F81-A857-987D77EC4462}" hiddenRows="1" topLeftCell="A82">
      <selection activeCell="O106" sqref="O106"/>
      <rowBreaks count="2" manualBreakCount="2">
        <brk id="25" max="16383" man="1"/>
        <brk id="66" max="16383" man="1"/>
      </rowBreaks>
      <pageMargins left="0.7" right="0.7" top="0.75" bottom="0.75" header="0.3" footer="0.3"/>
      <pageSetup orientation="landscape" r:id="rId1"/>
      <headerFooter>
        <oddHeader>&amp;L&amp;G&amp;CShowAcronymGoesHere - PSM&amp;R&amp;P</oddHeader>
        <oddFooter>&amp;L&amp;D&amp;R&amp;Z&amp;F</oddFooter>
      </headerFooter>
    </customSheetView>
    <customSheetView guid="{C29C6423-4E3D-4B08-919E-993C7C45FC31}" hiddenRows="1" topLeftCell="A82">
      <selection activeCell="O106" sqref="O106"/>
      <rowBreaks count="2" manualBreakCount="2">
        <brk id="25" max="16383" man="1"/>
        <brk id="66" max="16383" man="1"/>
      </rowBreaks>
      <pageMargins left="0.7" right="0.7" top="0.75" bottom="0.75" header="0.3" footer="0.3"/>
      <pageSetup orientation="landscape" r:id="rId2"/>
      <headerFooter>
        <oddHeader>&amp;L&amp;G&amp;CShowAcronymGoesHere - PSM&amp;R&amp;P</oddHeader>
        <oddFooter>&amp;L&amp;D&amp;R&amp;Z&amp;F</oddFooter>
      </headerFooter>
    </customSheetView>
  </customSheetViews>
  <mergeCells count="221">
    <mergeCell ref="B6:L6"/>
    <mergeCell ref="A81:K81"/>
    <mergeCell ref="F25:K25"/>
    <mergeCell ref="A16:K16"/>
    <mergeCell ref="A17:K17"/>
    <mergeCell ref="A18:E18"/>
    <mergeCell ref="A19:K19"/>
    <mergeCell ref="A1:B1"/>
    <mergeCell ref="A2:L2"/>
    <mergeCell ref="A11:B11"/>
    <mergeCell ref="A12:B12"/>
    <mergeCell ref="A13:B13"/>
    <mergeCell ref="A21:K21"/>
    <mergeCell ref="A20:K20"/>
    <mergeCell ref="C13:F13"/>
    <mergeCell ref="A10:F10"/>
    <mergeCell ref="C11:F11"/>
    <mergeCell ref="A27:E27"/>
    <mergeCell ref="A23:E23"/>
    <mergeCell ref="A24:E24"/>
    <mergeCell ref="A25:E25"/>
    <mergeCell ref="F23:K23"/>
    <mergeCell ref="A28:K28"/>
    <mergeCell ref="A22:E22"/>
    <mergeCell ref="F22:K22"/>
    <mergeCell ref="F24:K24"/>
    <mergeCell ref="A29:K29"/>
    <mergeCell ref="A35:B35"/>
    <mergeCell ref="C35:D35"/>
    <mergeCell ref="E35:F35"/>
    <mergeCell ref="I35:K35"/>
    <mergeCell ref="A36:B36"/>
    <mergeCell ref="C36:D36"/>
    <mergeCell ref="E36:F36"/>
    <mergeCell ref="I36:K36"/>
    <mergeCell ref="A30:K30"/>
    <mergeCell ref="A31:H31"/>
    <mergeCell ref="A32:H32"/>
    <mergeCell ref="A34:B34"/>
    <mergeCell ref="C34:D34"/>
    <mergeCell ref="E34:F34"/>
    <mergeCell ref="I34:K34"/>
    <mergeCell ref="A39:B39"/>
    <mergeCell ref="C39:D39"/>
    <mergeCell ref="E39:F39"/>
    <mergeCell ref="I39:K39"/>
    <mergeCell ref="A40:B40"/>
    <mergeCell ref="C40:D40"/>
    <mergeCell ref="E40:F40"/>
    <mergeCell ref="I40:K40"/>
    <mergeCell ref="A37:B37"/>
    <mergeCell ref="C37:D37"/>
    <mergeCell ref="E37:F37"/>
    <mergeCell ref="I37:K37"/>
    <mergeCell ref="A38:B38"/>
    <mergeCell ref="C38:D38"/>
    <mergeCell ref="E38:F38"/>
    <mergeCell ref="I38:K38"/>
    <mergeCell ref="A43:B43"/>
    <mergeCell ref="C43:D43"/>
    <mergeCell ref="E43:F43"/>
    <mergeCell ref="I43:K43"/>
    <mergeCell ref="A44:B44"/>
    <mergeCell ref="C44:D44"/>
    <mergeCell ref="E44:F44"/>
    <mergeCell ref="I44:K44"/>
    <mergeCell ref="A41:B41"/>
    <mergeCell ref="C41:D41"/>
    <mergeCell ref="E41:F41"/>
    <mergeCell ref="I41:K41"/>
    <mergeCell ref="A42:B42"/>
    <mergeCell ref="C42:D42"/>
    <mergeCell ref="E42:F42"/>
    <mergeCell ref="I42:K42"/>
    <mergeCell ref="A47:B47"/>
    <mergeCell ref="C47:D47"/>
    <mergeCell ref="E47:F47"/>
    <mergeCell ref="I47:K47"/>
    <mergeCell ref="A48:B48"/>
    <mergeCell ref="C48:D48"/>
    <mergeCell ref="E48:F48"/>
    <mergeCell ref="I48:K48"/>
    <mergeCell ref="A45:B45"/>
    <mergeCell ref="C45:D45"/>
    <mergeCell ref="E45:F45"/>
    <mergeCell ref="I45:K45"/>
    <mergeCell ref="A46:B46"/>
    <mergeCell ref="C46:D46"/>
    <mergeCell ref="E46:F46"/>
    <mergeCell ref="I46:K46"/>
    <mergeCell ref="A51:B51"/>
    <mergeCell ref="C51:D51"/>
    <mergeCell ref="E51:F51"/>
    <mergeCell ref="I51:K51"/>
    <mergeCell ref="A52:B52"/>
    <mergeCell ref="C52:D52"/>
    <mergeCell ref="E52:F52"/>
    <mergeCell ref="I52:K52"/>
    <mergeCell ref="A49:B49"/>
    <mergeCell ref="C49:D49"/>
    <mergeCell ref="E49:F49"/>
    <mergeCell ref="I49:K49"/>
    <mergeCell ref="A50:B50"/>
    <mergeCell ref="C50:D50"/>
    <mergeCell ref="E50:F50"/>
    <mergeCell ref="I50:K50"/>
    <mergeCell ref="A55:B55"/>
    <mergeCell ref="C55:D55"/>
    <mergeCell ref="E55:F55"/>
    <mergeCell ref="I55:K55"/>
    <mergeCell ref="A56:B56"/>
    <mergeCell ref="C56:D56"/>
    <mergeCell ref="E56:F56"/>
    <mergeCell ref="I56:K56"/>
    <mergeCell ref="A53:B53"/>
    <mergeCell ref="C53:D53"/>
    <mergeCell ref="E53:F53"/>
    <mergeCell ref="I53:K53"/>
    <mergeCell ref="A54:B54"/>
    <mergeCell ref="C54:D54"/>
    <mergeCell ref="E54:F54"/>
    <mergeCell ref="I54:K54"/>
    <mergeCell ref="A59:B59"/>
    <mergeCell ref="C59:D59"/>
    <mergeCell ref="E59:F59"/>
    <mergeCell ref="I59:K59"/>
    <mergeCell ref="A60:B60"/>
    <mergeCell ref="C60:D60"/>
    <mergeCell ref="E60:F60"/>
    <mergeCell ref="I60:K60"/>
    <mergeCell ref="A57:B57"/>
    <mergeCell ref="C57:D57"/>
    <mergeCell ref="E57:F57"/>
    <mergeCell ref="I57:K57"/>
    <mergeCell ref="A58:B58"/>
    <mergeCell ref="C58:D58"/>
    <mergeCell ref="E58:F58"/>
    <mergeCell ref="I58:K58"/>
    <mergeCell ref="A63:B63"/>
    <mergeCell ref="C63:D63"/>
    <mergeCell ref="E63:F63"/>
    <mergeCell ref="I63:K63"/>
    <mergeCell ref="A64:B64"/>
    <mergeCell ref="C64:D64"/>
    <mergeCell ref="E64:F64"/>
    <mergeCell ref="I64:K64"/>
    <mergeCell ref="A61:B61"/>
    <mergeCell ref="C61:D61"/>
    <mergeCell ref="E61:F61"/>
    <mergeCell ref="I61:K61"/>
    <mergeCell ref="A62:B62"/>
    <mergeCell ref="C62:D62"/>
    <mergeCell ref="E62:F62"/>
    <mergeCell ref="I62:K62"/>
    <mergeCell ref="A67:B67"/>
    <mergeCell ref="C67:D67"/>
    <mergeCell ref="E67:F67"/>
    <mergeCell ref="I67:K67"/>
    <mergeCell ref="A68:B68"/>
    <mergeCell ref="C68:D68"/>
    <mergeCell ref="E68:F68"/>
    <mergeCell ref="I68:K68"/>
    <mergeCell ref="A65:B65"/>
    <mergeCell ref="C65:D65"/>
    <mergeCell ref="E65:F65"/>
    <mergeCell ref="I65:K65"/>
    <mergeCell ref="A66:B66"/>
    <mergeCell ref="C66:D66"/>
    <mergeCell ref="E66:F66"/>
    <mergeCell ref="I66:K66"/>
    <mergeCell ref="I71:K71"/>
    <mergeCell ref="A72:B72"/>
    <mergeCell ref="C72:D72"/>
    <mergeCell ref="E72:F72"/>
    <mergeCell ref="I72:K72"/>
    <mergeCell ref="A69:B69"/>
    <mergeCell ref="C69:D69"/>
    <mergeCell ref="E69:F69"/>
    <mergeCell ref="I69:K69"/>
    <mergeCell ref="A70:B70"/>
    <mergeCell ref="E70:F70"/>
    <mergeCell ref="I70:K70"/>
    <mergeCell ref="I78:K78"/>
    <mergeCell ref="A75:B75"/>
    <mergeCell ref="C75:D75"/>
    <mergeCell ref="E75:F75"/>
    <mergeCell ref="I75:K75"/>
    <mergeCell ref="A76:B76"/>
    <mergeCell ref="I76:K76"/>
    <mergeCell ref="A73:B73"/>
    <mergeCell ref="C73:D73"/>
    <mergeCell ref="E73:F73"/>
    <mergeCell ref="I73:K73"/>
    <mergeCell ref="A74:B74"/>
    <mergeCell ref="C74:D74"/>
    <mergeCell ref="E74:F74"/>
    <mergeCell ref="I74:K74"/>
    <mergeCell ref="B84:F84"/>
    <mergeCell ref="B85:F85"/>
    <mergeCell ref="B87:F87"/>
    <mergeCell ref="B86:F86"/>
    <mergeCell ref="B4:L4"/>
    <mergeCell ref="B5:L5"/>
    <mergeCell ref="A79:B79"/>
    <mergeCell ref="C79:D79"/>
    <mergeCell ref="E79:F79"/>
    <mergeCell ref="I79:K79"/>
    <mergeCell ref="C12:F12"/>
    <mergeCell ref="A77:B77"/>
    <mergeCell ref="C77:D77"/>
    <mergeCell ref="E77:F77"/>
    <mergeCell ref="C76:D76"/>
    <mergeCell ref="E76:F76"/>
    <mergeCell ref="A71:B71"/>
    <mergeCell ref="C71:D71"/>
    <mergeCell ref="E71:F71"/>
    <mergeCell ref="C70:D70"/>
    <mergeCell ref="I77:K77"/>
    <mergeCell ref="A78:B78"/>
    <mergeCell ref="C78:D78"/>
    <mergeCell ref="E78:F78"/>
  </mergeCells>
  <hyperlinks>
    <hyperlink ref="A1" location="TOC!A1" display="TOC Page"/>
  </hyperlinks>
  <pageMargins left="0.7" right="0.7" top="0.75" bottom="0.75" header="0.3" footer="0.3"/>
  <pageSetup orientation="landscape" r:id="rId3"/>
  <headerFooter>
    <oddHeader>&amp;L&amp;G&amp;CShowAcronymGoesHere - PSM&amp;R&amp;P</oddHeader>
    <oddFooter>&amp;L&amp;D&amp;R&amp;Z&amp;F</oddFooter>
  </headerFooter>
  <legacyDrawing r:id="rId4"/>
  <legacyDrawingHF r:id="rId5"/>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5"/>
  <dimension ref="A1:M435"/>
  <sheetViews>
    <sheetView zoomScaleNormal="100" workbookViewId="0">
      <pane ySplit="1" topLeftCell="A143" activePane="bottomLeft" state="frozen"/>
      <selection activeCell="U16" sqref="U16"/>
      <selection pane="bottomLeft" sqref="A1:B1"/>
    </sheetView>
  </sheetViews>
  <sheetFormatPr defaultRowHeight="12.75" x14ac:dyDescent="0.2"/>
  <cols>
    <col min="1" max="1" width="7.140625" customWidth="1"/>
    <col min="7" max="7" width="9.85546875" customWidth="1"/>
    <col min="8" max="8" width="8.85546875" bestFit="1" customWidth="1"/>
    <col min="12" max="12" width="10.85546875" customWidth="1"/>
  </cols>
  <sheetData>
    <row r="1" spans="1:13" x14ac:dyDescent="0.2">
      <c r="A1" s="1420" t="s">
        <v>639</v>
      </c>
      <c r="B1" s="1420"/>
    </row>
    <row r="2" spans="1:13" ht="19.5" customHeight="1" x14ac:dyDescent="0.2">
      <c r="A2" s="2110" t="s">
        <v>478</v>
      </c>
      <c r="B2" s="2132"/>
      <c r="C2" s="2132"/>
      <c r="D2" s="2132"/>
      <c r="E2" s="2132"/>
      <c r="F2" s="2132"/>
      <c r="G2" s="2132"/>
      <c r="H2" s="2132"/>
      <c r="I2" s="2132"/>
      <c r="J2" s="2132"/>
      <c r="K2" s="2132"/>
      <c r="L2" s="2111"/>
      <c r="M2" s="2112"/>
    </row>
    <row r="4" spans="1:13" s="81" customFormat="1" ht="15" x14ac:dyDescent="0.25">
      <c r="A4" s="1720" t="s">
        <v>1239</v>
      </c>
      <c r="B4" s="1720"/>
      <c r="C4" s="1720"/>
      <c r="D4" s="1720"/>
      <c r="E4" s="1720"/>
      <c r="F4" s="1720"/>
      <c r="G4" s="1720"/>
      <c r="H4" s="1720"/>
      <c r="I4" s="1720"/>
      <c r="J4" s="1720"/>
      <c r="K4" s="1720"/>
      <c r="L4" s="1720"/>
      <c r="M4" s="1720"/>
    </row>
    <row r="5" spans="1:13" s="81" customFormat="1" x14ac:dyDescent="0.2">
      <c r="A5" s="1537" t="s">
        <v>1228</v>
      </c>
      <c r="B5" s="1537"/>
      <c r="C5" s="1537"/>
      <c r="D5" s="1537"/>
      <c r="E5" s="1537"/>
      <c r="F5" s="1537"/>
      <c r="G5" s="1537"/>
      <c r="H5" s="1537"/>
      <c r="I5" s="1537"/>
      <c r="J5" s="1537"/>
      <c r="K5" s="1537"/>
      <c r="L5" s="1537"/>
      <c r="M5" s="1537"/>
    </row>
    <row r="6" spans="1:13" s="81" customFormat="1" ht="12.75" customHeight="1" x14ac:dyDescent="0.2">
      <c r="A6" s="1537" t="s">
        <v>1229</v>
      </c>
      <c r="B6" s="1537"/>
      <c r="C6" s="1537"/>
      <c r="D6" s="1537"/>
      <c r="E6" s="1537"/>
      <c r="F6" s="1537"/>
      <c r="G6" s="1537"/>
      <c r="H6" s="1537"/>
      <c r="I6" s="1537"/>
      <c r="J6" s="1537"/>
      <c r="K6" s="1537"/>
      <c r="L6" s="1537"/>
      <c r="M6" s="1537"/>
    </row>
    <row r="7" spans="1:13" s="81" customFormat="1" ht="27" customHeight="1" x14ac:dyDescent="0.2">
      <c r="A7" s="1537" t="s">
        <v>1230</v>
      </c>
      <c r="B7" s="1537"/>
      <c r="C7" s="1537"/>
      <c r="D7" s="1537"/>
      <c r="E7" s="1537"/>
      <c r="F7" s="1537"/>
      <c r="G7" s="1537"/>
      <c r="H7" s="1537"/>
      <c r="I7" s="1537"/>
      <c r="J7" s="1537"/>
      <c r="K7" s="1537"/>
      <c r="L7" s="1537"/>
      <c r="M7" s="1537"/>
    </row>
    <row r="8" spans="1:13" s="81" customFormat="1" ht="12.75" customHeight="1" x14ac:dyDescent="0.2">
      <c r="A8" s="1537" t="s">
        <v>1231</v>
      </c>
      <c r="B8" s="1537"/>
      <c r="C8" s="1537"/>
      <c r="D8" s="1537"/>
      <c r="E8" s="1537"/>
      <c r="F8" s="1537"/>
      <c r="G8" s="1537"/>
      <c r="H8" s="1537"/>
      <c r="I8" s="1537"/>
      <c r="J8" s="1537"/>
      <c r="K8" s="1537"/>
      <c r="L8" s="1537"/>
      <c r="M8" s="1537"/>
    </row>
    <row r="9" spans="1:13" s="81" customFormat="1" ht="12.75" customHeight="1" x14ac:dyDescent="0.2">
      <c r="A9" s="1537" t="s">
        <v>1232</v>
      </c>
      <c r="B9" s="1537"/>
      <c r="C9" s="1537"/>
      <c r="D9" s="1537"/>
      <c r="E9" s="1537"/>
      <c r="F9" s="1537"/>
      <c r="G9" s="1537"/>
      <c r="H9" s="1537"/>
      <c r="I9" s="1537"/>
      <c r="J9" s="1537"/>
      <c r="K9" s="1537"/>
      <c r="L9" s="1537"/>
      <c r="M9" s="1537"/>
    </row>
    <row r="10" spans="1:13" s="81" customFormat="1" ht="12.75" customHeight="1" x14ac:dyDescent="0.2">
      <c r="A10" s="1537" t="s">
        <v>1233</v>
      </c>
      <c r="B10" s="1537"/>
      <c r="C10" s="1537"/>
      <c r="D10" s="1537"/>
      <c r="E10" s="1537"/>
      <c r="F10" s="1537"/>
      <c r="G10" s="1537"/>
      <c r="H10" s="1537"/>
      <c r="I10" s="1537"/>
      <c r="J10" s="1537"/>
      <c r="K10" s="1537"/>
      <c r="L10" s="1537"/>
      <c r="M10" s="1537"/>
    </row>
    <row r="11" spans="1:13" s="81" customFormat="1" x14ac:dyDescent="0.2">
      <c r="A11" s="1537" t="s">
        <v>1234</v>
      </c>
      <c r="B11" s="1537"/>
      <c r="C11" s="1537"/>
      <c r="D11" s="1537"/>
      <c r="E11" s="1537"/>
      <c r="F11" s="1537"/>
      <c r="G11" s="1537"/>
      <c r="H11" s="1537"/>
      <c r="I11" s="1537"/>
      <c r="J11" s="1537"/>
      <c r="K11" s="1537"/>
      <c r="L11" s="1537"/>
      <c r="M11" s="1537"/>
    </row>
    <row r="12" spans="1:13" s="81" customFormat="1" x14ac:dyDescent="0.2">
      <c r="A12" s="1537" t="s">
        <v>1235</v>
      </c>
      <c r="B12" s="1537"/>
      <c r="C12" s="1537"/>
      <c r="D12" s="1537"/>
      <c r="E12" s="1537"/>
      <c r="F12" s="1537"/>
      <c r="G12" s="1537"/>
      <c r="H12" s="1537"/>
      <c r="I12" s="1537"/>
      <c r="J12" s="1537"/>
      <c r="K12" s="1537"/>
      <c r="L12" s="1537"/>
      <c r="M12" s="1537"/>
    </row>
    <row r="13" spans="1:13" s="81" customFormat="1" x14ac:dyDescent="0.2">
      <c r="A13" s="1537" t="s">
        <v>1236</v>
      </c>
      <c r="B13" s="1537"/>
      <c r="C13" s="1537"/>
      <c r="D13" s="1537"/>
      <c r="E13" s="1537"/>
      <c r="F13" s="1537"/>
      <c r="G13" s="1537"/>
      <c r="H13" s="1537"/>
      <c r="I13" s="1537"/>
      <c r="J13" s="1537"/>
      <c r="K13" s="1537"/>
      <c r="L13" s="1537"/>
      <c r="M13" s="1537"/>
    </row>
    <row r="14" spans="1:13" s="81" customFormat="1" x14ac:dyDescent="0.2">
      <c r="A14" s="1537" t="s">
        <v>1237</v>
      </c>
      <c r="B14" s="1537"/>
      <c r="C14" s="1537"/>
      <c r="D14" s="1537"/>
      <c r="E14" s="1537"/>
      <c r="F14" s="1537"/>
      <c r="G14" s="1537"/>
      <c r="H14" s="1537"/>
      <c r="I14" s="1537"/>
      <c r="J14" s="1537"/>
      <c r="K14" s="1537"/>
      <c r="L14" s="1537"/>
      <c r="M14" s="1537"/>
    </row>
    <row r="15" spans="1:13" s="81" customFormat="1" x14ac:dyDescent="0.2">
      <c r="A15" s="1537" t="s">
        <v>1238</v>
      </c>
      <c r="B15" s="1537"/>
      <c r="C15" s="1537"/>
      <c r="D15" s="1537"/>
      <c r="E15" s="1537"/>
      <c r="F15" s="1537"/>
      <c r="G15" s="1537"/>
      <c r="H15" s="1537"/>
      <c r="I15" s="1537"/>
      <c r="J15" s="1537"/>
      <c r="K15" s="1537"/>
      <c r="L15" s="1537"/>
      <c r="M15" s="1537"/>
    </row>
    <row r="16" spans="1:13" s="17" customFormat="1" x14ac:dyDescent="0.2">
      <c r="A16" s="34"/>
      <c r="B16" s="34"/>
      <c r="C16" s="34"/>
      <c r="D16" s="34"/>
      <c r="E16" s="34"/>
      <c r="F16" s="34"/>
      <c r="G16" s="34"/>
      <c r="H16" s="34"/>
      <c r="I16" s="34"/>
      <c r="J16" s="34"/>
      <c r="K16" s="34"/>
    </row>
    <row r="17" spans="1:13" s="17" customFormat="1" x14ac:dyDescent="0.2">
      <c r="A17" s="34"/>
      <c r="B17" s="34"/>
      <c r="C17" s="34"/>
      <c r="D17" s="34"/>
      <c r="E17" s="34"/>
      <c r="F17" s="34"/>
      <c r="G17" s="34"/>
      <c r="H17" s="34"/>
      <c r="I17" s="34"/>
      <c r="J17" s="34"/>
      <c r="K17" s="34"/>
    </row>
    <row r="18" spans="1:13" s="17" customFormat="1" ht="15" x14ac:dyDescent="0.2">
      <c r="A18" s="1546" t="s">
        <v>676</v>
      </c>
      <c r="B18" s="1546"/>
      <c r="C18" s="1546"/>
      <c r="D18" s="1546"/>
      <c r="E18" s="1546"/>
      <c r="F18" s="1546"/>
      <c r="G18" s="1546"/>
      <c r="H18" s="1546"/>
      <c r="I18" s="1546"/>
      <c r="J18" s="1546"/>
      <c r="K18" s="1546"/>
      <c r="L18" s="1546"/>
      <c r="M18" s="1546"/>
    </row>
    <row r="19" spans="1:13" s="81" customFormat="1" ht="25.5" customHeight="1" x14ac:dyDescent="0.2">
      <c r="A19" s="1537" t="s">
        <v>1240</v>
      </c>
      <c r="B19" s="1537"/>
      <c r="C19" s="1537"/>
      <c r="D19" s="1537"/>
      <c r="E19" s="1537"/>
      <c r="F19" s="1537"/>
      <c r="G19" s="1537"/>
      <c r="H19" s="1537"/>
      <c r="I19" s="1537"/>
      <c r="J19" s="1537"/>
      <c r="K19" s="1537"/>
      <c r="L19" s="1537"/>
      <c r="M19" s="1537"/>
    </row>
    <row r="20" spans="1:13" s="81" customFormat="1" ht="12.75" customHeight="1" x14ac:dyDescent="0.2">
      <c r="A20" s="1537" t="s">
        <v>1241</v>
      </c>
      <c r="B20" s="1537"/>
      <c r="C20" s="1537"/>
      <c r="D20" s="1537"/>
      <c r="E20" s="1537"/>
      <c r="F20" s="1537"/>
      <c r="G20" s="1537"/>
      <c r="H20" s="1537"/>
      <c r="I20" s="1537"/>
      <c r="J20" s="1537"/>
      <c r="K20" s="1537"/>
      <c r="L20" s="1537"/>
      <c r="M20" s="1537"/>
    </row>
    <row r="21" spans="1:13" s="81" customFormat="1" ht="12.75" customHeight="1" x14ac:dyDescent="0.2">
      <c r="A21" s="1537" t="s">
        <v>1242</v>
      </c>
      <c r="B21" s="1537"/>
      <c r="C21" s="1537"/>
      <c r="D21" s="1537"/>
      <c r="E21" s="1537"/>
      <c r="F21" s="1537"/>
      <c r="G21" s="1537"/>
      <c r="H21" s="1537"/>
      <c r="I21" s="1537"/>
      <c r="J21" s="1537"/>
      <c r="K21" s="1537"/>
      <c r="L21" s="1537"/>
      <c r="M21" s="1537"/>
    </row>
    <row r="22" spans="1:13" s="81" customFormat="1" ht="24.75" customHeight="1" x14ac:dyDescent="0.2">
      <c r="A22" s="1537" t="s">
        <v>1243</v>
      </c>
      <c r="B22" s="1537"/>
      <c r="C22" s="1537"/>
      <c r="D22" s="1537"/>
      <c r="E22" s="1537"/>
      <c r="F22" s="1537"/>
      <c r="G22" s="1537"/>
      <c r="H22" s="1537"/>
      <c r="I22" s="1537"/>
      <c r="J22" s="1537"/>
      <c r="K22" s="1537"/>
      <c r="L22" s="1537"/>
      <c r="M22" s="1537"/>
    </row>
    <row r="23" spans="1:13" s="81" customFormat="1" ht="12.75" customHeight="1" x14ac:dyDescent="0.2">
      <c r="A23" s="1537" t="s">
        <v>1244</v>
      </c>
      <c r="B23" s="1537"/>
      <c r="C23" s="1537"/>
      <c r="D23" s="1537"/>
      <c r="E23" s="1537"/>
      <c r="F23" s="1537"/>
      <c r="G23" s="1537"/>
      <c r="H23" s="1537"/>
      <c r="I23" s="1537"/>
      <c r="J23" s="1537"/>
      <c r="K23" s="1537"/>
      <c r="L23" s="1537"/>
      <c r="M23" s="1537"/>
    </row>
    <row r="24" spans="1:13" s="81" customFormat="1" ht="12.75" customHeight="1" x14ac:dyDescent="0.2">
      <c r="A24" s="1537" t="s">
        <v>1245</v>
      </c>
      <c r="B24" s="1537"/>
      <c r="C24" s="1537"/>
      <c r="D24" s="1537"/>
      <c r="E24" s="1537"/>
      <c r="F24" s="1537"/>
      <c r="G24" s="1537"/>
      <c r="H24" s="1537"/>
      <c r="I24" s="1537"/>
      <c r="J24" s="1537"/>
      <c r="K24" s="1537"/>
      <c r="L24" s="1537"/>
      <c r="M24" s="1537"/>
    </row>
    <row r="25" spans="1:13" s="17" customFormat="1" x14ac:dyDescent="0.2">
      <c r="A25" s="36"/>
      <c r="B25" s="34"/>
      <c r="C25" s="34"/>
      <c r="D25" s="34"/>
      <c r="E25" s="34"/>
      <c r="F25" s="34"/>
      <c r="G25" s="34"/>
      <c r="H25" s="34"/>
      <c r="I25" s="34"/>
      <c r="J25" s="34"/>
      <c r="K25" s="34"/>
      <c r="L25" s="34"/>
    </row>
    <row r="26" spans="1:13" s="17" customFormat="1" x14ac:dyDescent="0.2">
      <c r="A26" s="36"/>
      <c r="B26" s="34"/>
      <c r="C26" s="34"/>
      <c r="D26" s="34"/>
      <c r="E26" s="34"/>
      <c r="F26" s="34"/>
      <c r="G26" s="34"/>
      <c r="H26" s="34"/>
      <c r="I26" s="34"/>
      <c r="J26" s="34"/>
      <c r="K26" s="34"/>
      <c r="L26" s="34"/>
    </row>
    <row r="27" spans="1:13" s="81" customFormat="1" ht="12.75" customHeight="1" x14ac:dyDescent="0.2">
      <c r="A27" s="2093" t="s">
        <v>1246</v>
      </c>
      <c r="B27" s="2093"/>
      <c r="C27" s="2093"/>
      <c r="D27" s="2093"/>
      <c r="E27" s="2093"/>
      <c r="F27" s="2093"/>
      <c r="G27" s="2093"/>
      <c r="H27" s="2093"/>
      <c r="I27" s="2093"/>
      <c r="J27" s="2093"/>
      <c r="K27" s="2093"/>
      <c r="L27" s="2093"/>
      <c r="M27" s="2093"/>
    </row>
    <row r="28" spans="1:13" s="81" customFormat="1" x14ac:dyDescent="0.2">
      <c r="A28" s="1537" t="s">
        <v>1247</v>
      </c>
      <c r="B28" s="1537"/>
      <c r="C28" s="1537"/>
      <c r="D28" s="1537"/>
      <c r="E28" s="1537"/>
      <c r="F28" s="1537"/>
      <c r="G28" s="1537"/>
      <c r="H28" s="1537"/>
      <c r="I28" s="1537"/>
      <c r="J28" s="1537"/>
      <c r="K28" s="1537"/>
      <c r="L28" s="1537"/>
      <c r="M28" s="1537"/>
    </row>
    <row r="29" spans="1:13" s="81" customFormat="1" x14ac:dyDescent="0.2">
      <c r="A29" s="1537" t="s">
        <v>1248</v>
      </c>
      <c r="B29" s="1537"/>
      <c r="C29" s="1537"/>
      <c r="D29" s="1537"/>
      <c r="E29" s="1537"/>
      <c r="F29" s="1537"/>
      <c r="G29" s="1537"/>
      <c r="H29" s="1537"/>
      <c r="I29" s="1537"/>
      <c r="J29" s="1537"/>
      <c r="K29" s="1537"/>
      <c r="L29" s="1537"/>
      <c r="M29" s="1537"/>
    </row>
    <row r="30" spans="1:13" s="81" customFormat="1" ht="52.5" customHeight="1" x14ac:dyDescent="0.2">
      <c r="A30" s="1537" t="s">
        <v>1249</v>
      </c>
      <c r="B30" s="1537"/>
      <c r="C30" s="1537"/>
      <c r="D30" s="1537"/>
      <c r="E30" s="1537"/>
      <c r="F30" s="1537"/>
      <c r="G30" s="1537"/>
      <c r="H30" s="1537"/>
      <c r="I30" s="1537"/>
      <c r="J30" s="1537"/>
      <c r="K30" s="1537"/>
      <c r="L30" s="1537"/>
      <c r="M30" s="1537"/>
    </row>
    <row r="31" spans="1:13" s="81" customFormat="1" x14ac:dyDescent="0.2">
      <c r="A31" s="1537" t="s">
        <v>1250</v>
      </c>
      <c r="B31" s="1537"/>
      <c r="C31" s="1537"/>
      <c r="D31" s="1537"/>
      <c r="E31" s="1537"/>
      <c r="F31" s="1537"/>
      <c r="G31" s="1537"/>
      <c r="H31" s="1537"/>
      <c r="I31" s="1537"/>
      <c r="J31" s="1537"/>
      <c r="K31" s="1537"/>
      <c r="L31" s="1537"/>
      <c r="M31" s="1537"/>
    </row>
    <row r="32" spans="1:13" s="81" customFormat="1" x14ac:dyDescent="0.2">
      <c r="A32" s="1537" t="s">
        <v>1251</v>
      </c>
      <c r="B32" s="1537"/>
      <c r="C32" s="1537"/>
      <c r="D32" s="1537"/>
      <c r="E32" s="1537"/>
      <c r="F32" s="1537"/>
      <c r="G32" s="1537"/>
      <c r="H32" s="1537"/>
      <c r="I32" s="1537"/>
      <c r="J32" s="1537"/>
      <c r="K32" s="1537"/>
      <c r="L32" s="1537"/>
      <c r="M32" s="1537"/>
    </row>
    <row r="33" spans="1:13" s="81" customFormat="1" x14ac:dyDescent="0.2">
      <c r="A33" s="1537" t="s">
        <v>1252</v>
      </c>
      <c r="B33" s="1537"/>
      <c r="C33" s="1537"/>
      <c r="D33" s="1537"/>
      <c r="E33" s="1537"/>
      <c r="F33" s="1537"/>
      <c r="G33" s="1537"/>
      <c r="H33" s="1537"/>
      <c r="I33" s="1537"/>
      <c r="J33" s="1537"/>
      <c r="K33" s="1537"/>
      <c r="L33" s="1537"/>
      <c r="M33" s="1537"/>
    </row>
    <row r="34" spans="1:13" s="81" customFormat="1" x14ac:dyDescent="0.2">
      <c r="A34" s="1537" t="s">
        <v>1253</v>
      </c>
      <c r="B34" s="1537"/>
      <c r="C34" s="1537"/>
      <c r="D34" s="1537"/>
      <c r="E34" s="1537"/>
      <c r="F34" s="1537"/>
      <c r="G34" s="1537"/>
      <c r="H34" s="1537"/>
      <c r="I34" s="1537"/>
      <c r="J34" s="1537"/>
      <c r="K34" s="1537"/>
      <c r="L34" s="1537"/>
      <c r="M34" s="1537"/>
    </row>
    <row r="35" spans="1:13" s="81" customFormat="1" x14ac:dyDescent="0.2"/>
    <row r="36" spans="1:13" s="81" customFormat="1" x14ac:dyDescent="0.2"/>
    <row r="37" spans="1:13" s="17" customFormat="1" ht="14.25" x14ac:dyDescent="0.2">
      <c r="A37" s="1546" t="s">
        <v>1254</v>
      </c>
      <c r="B37" s="1536"/>
      <c r="C37" s="1536"/>
      <c r="D37" s="1536"/>
      <c r="E37" s="34"/>
      <c r="F37" s="34"/>
      <c r="G37" s="34"/>
      <c r="H37" s="1355"/>
      <c r="I37" s="1355"/>
      <c r="J37" s="1355"/>
      <c r="K37" s="34"/>
      <c r="L37" s="34"/>
      <c r="M37" s="34"/>
    </row>
    <row r="38" spans="1:13" s="17" customFormat="1" x14ac:dyDescent="0.2">
      <c r="A38" s="44"/>
      <c r="B38" s="34"/>
      <c r="C38" s="34"/>
      <c r="D38" s="34"/>
      <c r="E38" s="34"/>
      <c r="F38" s="34"/>
      <c r="G38" s="34"/>
      <c r="H38" s="44"/>
      <c r="I38" s="44"/>
      <c r="J38" s="44"/>
      <c r="K38" s="34"/>
      <c r="L38" s="34"/>
      <c r="M38" s="34"/>
    </row>
    <row r="39" spans="1:13" s="17" customFormat="1" x14ac:dyDescent="0.2">
      <c r="A39" s="2124" t="s">
        <v>603</v>
      </c>
      <c r="B39" s="2124"/>
      <c r="C39" s="2124"/>
      <c r="D39" s="34"/>
      <c r="E39" s="34"/>
      <c r="F39" s="34"/>
      <c r="G39" s="34"/>
      <c r="H39" s="34"/>
      <c r="I39" s="34"/>
      <c r="J39" s="34"/>
      <c r="K39" s="34"/>
      <c r="L39" s="34"/>
    </row>
    <row r="40" spans="1:13" s="17" customFormat="1" x14ac:dyDescent="0.2">
      <c r="A40" s="1346" t="s">
        <v>1255</v>
      </c>
      <c r="B40" s="1346"/>
      <c r="C40" s="1346"/>
      <c r="D40" s="1346"/>
      <c r="E40" s="1346"/>
      <c r="F40" s="34"/>
      <c r="G40" s="34"/>
      <c r="H40" s="34"/>
      <c r="I40" s="34"/>
      <c r="J40" s="34"/>
      <c r="K40" s="34"/>
    </row>
    <row r="41" spans="1:13" s="17" customFormat="1" x14ac:dyDescent="0.2">
      <c r="A41" s="36"/>
      <c r="B41" s="1346"/>
      <c r="C41" s="1346"/>
      <c r="D41" s="1346"/>
      <c r="E41" s="1346"/>
      <c r="F41" s="34"/>
      <c r="G41" s="34"/>
      <c r="H41" s="34"/>
      <c r="I41" s="34"/>
      <c r="J41" s="34"/>
      <c r="K41" s="34"/>
    </row>
    <row r="42" spans="1:13" s="17" customFormat="1" x14ac:dyDescent="0.2">
      <c r="A42" s="1355" t="s">
        <v>1256</v>
      </c>
      <c r="B42" s="1355"/>
      <c r="C42" s="1355"/>
      <c r="D42" s="1355"/>
      <c r="E42" s="34"/>
      <c r="F42" s="34"/>
      <c r="G42" s="34"/>
      <c r="H42" s="34"/>
      <c r="I42" s="34"/>
      <c r="J42" s="34"/>
    </row>
    <row r="43" spans="1:13" s="17" customFormat="1" x14ac:dyDescent="0.2">
      <c r="A43" s="1434" t="s">
        <v>222</v>
      </c>
      <c r="B43" s="1434"/>
      <c r="C43" s="1434"/>
      <c r="D43" s="1434"/>
      <c r="E43" s="34"/>
      <c r="F43" s="34"/>
      <c r="G43" s="34"/>
      <c r="H43" s="34"/>
      <c r="I43" s="34"/>
      <c r="J43" s="34"/>
    </row>
    <row r="44" spans="1:13" s="17" customFormat="1" x14ac:dyDescent="0.2">
      <c r="A44" s="1434" t="s">
        <v>223</v>
      </c>
      <c r="B44" s="1434"/>
      <c r="C44" s="1434"/>
      <c r="D44" s="1434"/>
      <c r="E44" s="34"/>
      <c r="F44" s="34"/>
      <c r="G44" s="34"/>
      <c r="H44" s="34"/>
      <c r="I44" s="34"/>
      <c r="J44" s="34"/>
    </row>
    <row r="45" spans="1:13" s="17" customFormat="1" x14ac:dyDescent="0.2">
      <c r="A45" s="1434" t="s">
        <v>224</v>
      </c>
      <c r="B45" s="1434"/>
      <c r="C45" s="1434"/>
      <c r="D45" s="1434"/>
      <c r="E45" s="34"/>
      <c r="F45" s="34"/>
      <c r="G45" s="34"/>
      <c r="H45" s="34"/>
      <c r="I45" s="34"/>
      <c r="J45" s="34"/>
    </row>
    <row r="46" spans="1:13" s="17" customFormat="1" x14ac:dyDescent="0.2">
      <c r="A46" s="1434" t="s">
        <v>225</v>
      </c>
      <c r="B46" s="1434"/>
      <c r="C46" s="1434"/>
      <c r="D46" s="1434"/>
      <c r="E46" s="34"/>
      <c r="F46" s="34"/>
      <c r="G46" s="34"/>
      <c r="H46" s="34"/>
      <c r="I46" s="34"/>
      <c r="J46" s="34"/>
    </row>
    <row r="47" spans="1:13" s="17" customFormat="1" x14ac:dyDescent="0.2">
      <c r="A47" s="1434" t="s">
        <v>226</v>
      </c>
      <c r="B47" s="1434"/>
      <c r="C47" s="1434"/>
      <c r="D47" s="1434"/>
      <c r="E47" s="34"/>
      <c r="F47" s="34"/>
      <c r="G47" s="34"/>
      <c r="H47" s="34"/>
      <c r="I47" s="34"/>
      <c r="J47" s="34"/>
    </row>
    <row r="48" spans="1:13" s="17" customFormat="1" x14ac:dyDescent="0.2">
      <c r="A48" s="1434" t="s">
        <v>227</v>
      </c>
      <c r="B48" s="1434"/>
      <c r="C48" s="1434"/>
      <c r="D48" s="1434"/>
      <c r="E48" s="34"/>
      <c r="F48" s="34"/>
      <c r="G48" s="34"/>
      <c r="H48" s="34"/>
      <c r="I48" s="34"/>
      <c r="J48" s="34"/>
    </row>
    <row r="49" spans="1:13" s="17" customFormat="1" ht="28.5" customHeight="1" x14ac:dyDescent="0.2">
      <c r="A49" s="1346" t="s">
        <v>469</v>
      </c>
      <c r="B49" s="1346"/>
      <c r="C49" s="1346"/>
      <c r="D49" s="1346"/>
      <c r="E49" s="1346"/>
      <c r="F49" s="1346"/>
      <c r="G49" s="1346"/>
      <c r="H49" s="1346"/>
      <c r="I49" s="1346"/>
      <c r="J49" s="1346"/>
      <c r="K49" s="1346"/>
      <c r="L49" s="1346"/>
      <c r="M49" s="1346"/>
    </row>
    <row r="50" spans="1:13" s="17" customFormat="1" ht="14.25" customHeight="1" x14ac:dyDescent="0.2">
      <c r="A50" s="1346" t="s">
        <v>470</v>
      </c>
      <c r="B50" s="1346"/>
      <c r="C50" s="1346"/>
      <c r="D50" s="1346"/>
      <c r="E50" s="1346"/>
      <c r="F50" s="1346"/>
      <c r="G50" s="1346"/>
      <c r="H50" s="1346"/>
      <c r="I50" s="1346"/>
      <c r="J50" s="1346"/>
      <c r="K50" s="1346"/>
      <c r="L50" s="1346"/>
      <c r="M50" s="1346"/>
    </row>
    <row r="51" spans="1:13" s="17" customFormat="1" x14ac:dyDescent="0.2">
      <c r="A51" s="34"/>
      <c r="B51" s="34"/>
      <c r="C51" s="34"/>
      <c r="D51" s="34"/>
      <c r="E51" s="34"/>
      <c r="F51" s="34"/>
      <c r="G51" s="34"/>
      <c r="H51" s="34"/>
      <c r="I51" s="34"/>
      <c r="J51" s="34"/>
      <c r="K51" s="34"/>
    </row>
    <row r="52" spans="1:13" s="17" customFormat="1" x14ac:dyDescent="0.2">
      <c r="A52" s="1346" t="s">
        <v>1257</v>
      </c>
      <c r="B52" s="1346"/>
      <c r="C52" s="1346"/>
      <c r="D52" s="1346"/>
      <c r="E52" s="1346"/>
      <c r="F52" s="1346"/>
      <c r="G52" s="1346"/>
      <c r="H52" s="1346"/>
      <c r="I52" s="1346"/>
      <c r="J52" s="1346"/>
      <c r="K52" s="1346"/>
    </row>
    <row r="53" spans="1:13" s="17" customFormat="1" x14ac:dyDescent="0.2">
      <c r="A53" s="36"/>
      <c r="B53" s="34"/>
      <c r="C53" s="34"/>
      <c r="D53" s="34"/>
      <c r="E53" s="34"/>
      <c r="F53" s="34"/>
      <c r="G53" s="34"/>
      <c r="H53" s="34"/>
      <c r="I53" s="34"/>
      <c r="J53" s="34"/>
      <c r="K53" s="34"/>
      <c r="L53" s="34"/>
    </row>
    <row r="54" spans="1:13" s="17" customFormat="1" x14ac:dyDescent="0.2">
      <c r="A54" s="1355" t="s">
        <v>228</v>
      </c>
      <c r="B54" s="1355"/>
      <c r="C54" s="1355"/>
      <c r="D54" s="34"/>
      <c r="E54" s="34"/>
      <c r="F54" s="34"/>
      <c r="G54" s="34"/>
      <c r="H54" s="34"/>
      <c r="I54" s="34"/>
      <c r="J54" s="34"/>
      <c r="K54" s="34"/>
    </row>
    <row r="55" spans="1:13" s="17" customFormat="1" x14ac:dyDescent="0.2">
      <c r="A55" s="1360" t="s">
        <v>228</v>
      </c>
      <c r="B55" s="2122"/>
      <c r="C55" s="2122"/>
      <c r="D55" s="38" t="s">
        <v>83</v>
      </c>
      <c r="E55" s="34"/>
      <c r="F55" s="34"/>
      <c r="G55" s="34"/>
      <c r="H55" s="34"/>
      <c r="I55" s="34"/>
      <c r="J55" s="34"/>
      <c r="K55" s="34"/>
    </row>
    <row r="56" spans="1:13" s="17" customFormat="1" x14ac:dyDescent="0.2">
      <c r="A56" s="1434" t="s">
        <v>1258</v>
      </c>
      <c r="B56" s="1434"/>
      <c r="C56" s="1434"/>
      <c r="D56" s="56"/>
      <c r="E56" s="34"/>
      <c r="F56" s="34"/>
      <c r="G56" s="34"/>
      <c r="H56" s="34"/>
      <c r="I56" s="34"/>
      <c r="J56" s="34"/>
      <c r="K56" s="34"/>
    </row>
    <row r="57" spans="1:13" s="17" customFormat="1" x14ac:dyDescent="0.2">
      <c r="A57" s="1434" t="s">
        <v>229</v>
      </c>
      <c r="B57" s="1434"/>
      <c r="C57" s="1434"/>
      <c r="D57" s="56"/>
      <c r="E57" s="34"/>
      <c r="F57" s="34"/>
      <c r="G57" s="34"/>
      <c r="H57" s="34"/>
      <c r="I57" s="34"/>
      <c r="J57" s="34"/>
      <c r="K57" s="34"/>
    </row>
    <row r="58" spans="1:13" s="17" customFormat="1" x14ac:dyDescent="0.2">
      <c r="A58" s="1434" t="s">
        <v>230</v>
      </c>
      <c r="B58" s="1434"/>
      <c r="C58" s="1434"/>
      <c r="D58" s="56"/>
      <c r="E58" s="34"/>
      <c r="F58" s="34"/>
      <c r="G58" s="34"/>
      <c r="H58" s="34"/>
      <c r="I58" s="34"/>
      <c r="J58" s="34"/>
      <c r="K58" s="34"/>
    </row>
    <row r="59" spans="1:13" s="17" customFormat="1" x14ac:dyDescent="0.2">
      <c r="A59" s="1434" t="s">
        <v>231</v>
      </c>
      <c r="B59" s="1434"/>
      <c r="C59" s="1434"/>
      <c r="D59" s="56"/>
      <c r="E59" s="34"/>
      <c r="F59" s="34"/>
      <c r="G59" s="34"/>
      <c r="H59" s="34"/>
      <c r="I59" s="34"/>
      <c r="J59" s="34"/>
      <c r="K59" s="34"/>
    </row>
    <row r="60" spans="1:13" s="17" customFormat="1" x14ac:dyDescent="0.2">
      <c r="A60" s="1434" t="s">
        <v>232</v>
      </c>
      <c r="B60" s="1434"/>
      <c r="C60" s="1434"/>
      <c r="D60" s="56"/>
      <c r="E60" s="34"/>
      <c r="F60" s="34"/>
      <c r="G60" s="34"/>
      <c r="H60" s="34"/>
      <c r="I60" s="34"/>
      <c r="J60" s="34"/>
      <c r="K60" s="34"/>
    </row>
    <row r="61" spans="1:13" s="17" customFormat="1" x14ac:dyDescent="0.2">
      <c r="A61" s="34"/>
      <c r="B61" s="34"/>
      <c r="C61" s="34"/>
      <c r="D61" s="34"/>
      <c r="E61" s="34"/>
      <c r="F61" s="34"/>
      <c r="G61" s="34"/>
      <c r="H61" s="34"/>
      <c r="I61" s="34"/>
      <c r="J61" s="34"/>
      <c r="K61" s="34"/>
    </row>
    <row r="62" spans="1:13" s="17" customFormat="1" x14ac:dyDescent="0.2">
      <c r="A62" s="1355" t="s">
        <v>471</v>
      </c>
      <c r="B62" s="1355"/>
      <c r="C62" s="1355"/>
      <c r="D62" s="1355"/>
      <c r="E62" s="34"/>
      <c r="F62" s="34"/>
      <c r="G62" s="34"/>
      <c r="H62" s="34"/>
      <c r="I62" s="34"/>
      <c r="J62" s="34"/>
      <c r="K62" s="34"/>
    </row>
    <row r="63" spans="1:13" s="17" customFormat="1" x14ac:dyDescent="0.2">
      <c r="A63" s="1346" t="s">
        <v>472</v>
      </c>
      <c r="B63" s="1346"/>
      <c r="C63" s="1346"/>
      <c r="D63" s="1346"/>
      <c r="E63" s="1346"/>
      <c r="F63" s="1346"/>
      <c r="G63" s="1346"/>
      <c r="H63" s="1346"/>
      <c r="I63" s="1346"/>
      <c r="J63" s="1346"/>
    </row>
    <row r="64" spans="1:13" s="17" customFormat="1" x14ac:dyDescent="0.2">
      <c r="A64" s="38" t="s">
        <v>604</v>
      </c>
      <c r="B64" s="1441" t="s">
        <v>78</v>
      </c>
      <c r="C64" s="1442"/>
      <c r="D64" s="1443"/>
      <c r="E64" s="34"/>
      <c r="F64" s="34"/>
      <c r="G64" s="34"/>
      <c r="H64" s="34"/>
      <c r="I64" s="34"/>
      <c r="J64" s="34"/>
    </row>
    <row r="65" spans="1:13" s="17" customFormat="1" x14ac:dyDescent="0.2">
      <c r="A65" s="56"/>
      <c r="B65" s="1434" t="s">
        <v>222</v>
      </c>
      <c r="C65" s="1434"/>
      <c r="D65" s="1434"/>
      <c r="E65" s="34"/>
      <c r="F65" s="34"/>
      <c r="G65" s="34"/>
      <c r="H65" s="34"/>
      <c r="I65" s="34"/>
      <c r="J65" s="34"/>
    </row>
    <row r="66" spans="1:13" s="17" customFormat="1" x14ac:dyDescent="0.2">
      <c r="A66" s="56"/>
      <c r="B66" s="1434" t="s">
        <v>223</v>
      </c>
      <c r="C66" s="1434"/>
      <c r="D66" s="1434"/>
      <c r="E66" s="34"/>
      <c r="F66" s="34"/>
      <c r="G66" s="34"/>
      <c r="H66" s="34"/>
      <c r="I66" s="34"/>
      <c r="J66" s="34"/>
    </row>
    <row r="67" spans="1:13" s="17" customFormat="1" x14ac:dyDescent="0.2">
      <c r="A67" s="56"/>
      <c r="B67" s="1434" t="s">
        <v>224</v>
      </c>
      <c r="C67" s="1434"/>
      <c r="D67" s="1434"/>
      <c r="E67" s="34"/>
      <c r="F67" s="34"/>
      <c r="G67" s="34"/>
      <c r="H67" s="34"/>
      <c r="I67" s="34"/>
      <c r="J67" s="34"/>
    </row>
    <row r="68" spans="1:13" s="17" customFormat="1" x14ac:dyDescent="0.2">
      <c r="A68" s="56"/>
      <c r="B68" s="1434" t="s">
        <v>225</v>
      </c>
      <c r="C68" s="1434"/>
      <c r="D68" s="1434"/>
      <c r="E68" s="34"/>
      <c r="F68" s="34"/>
      <c r="G68" s="34"/>
      <c r="H68" s="34"/>
      <c r="I68" s="34"/>
      <c r="J68" s="34"/>
    </row>
    <row r="69" spans="1:13" s="17" customFormat="1" x14ac:dyDescent="0.2">
      <c r="A69" s="56"/>
      <c r="B69" s="1434" t="s">
        <v>226</v>
      </c>
      <c r="C69" s="1434"/>
      <c r="D69" s="1434"/>
      <c r="E69" s="34"/>
      <c r="F69" s="34"/>
      <c r="G69" s="34"/>
      <c r="H69" s="34"/>
      <c r="I69" s="34"/>
      <c r="J69" s="34"/>
    </row>
    <row r="70" spans="1:13" s="17" customFormat="1" x14ac:dyDescent="0.2">
      <c r="A70" s="56"/>
      <c r="B70" s="1434" t="s">
        <v>227</v>
      </c>
      <c r="C70" s="1434"/>
      <c r="D70" s="1434"/>
      <c r="E70" s="34"/>
      <c r="F70" s="34"/>
      <c r="G70" s="34"/>
      <c r="H70" s="34"/>
      <c r="I70" s="34"/>
      <c r="J70" s="34"/>
    </row>
    <row r="71" spans="1:13" s="17" customFormat="1" x14ac:dyDescent="0.2">
      <c r="A71" s="78"/>
      <c r="B71" s="64"/>
      <c r="C71" s="64"/>
      <c r="D71" s="64"/>
      <c r="E71" s="34"/>
      <c r="F71" s="34"/>
      <c r="G71" s="34"/>
      <c r="H71" s="34"/>
      <c r="I71" s="34"/>
      <c r="J71" s="34"/>
    </row>
    <row r="72" spans="1:13" s="17" customFormat="1" x14ac:dyDescent="0.2">
      <c r="A72" s="1346" t="s">
        <v>473</v>
      </c>
      <c r="B72" s="1346"/>
      <c r="C72" s="1346"/>
      <c r="D72" s="1346"/>
      <c r="E72" s="1346"/>
      <c r="F72" s="1346"/>
      <c r="G72" s="1346"/>
      <c r="H72" s="1346"/>
      <c r="I72" s="1346"/>
      <c r="J72" s="1346"/>
    </row>
    <row r="73" spans="1:13" s="17" customFormat="1" x14ac:dyDescent="0.2">
      <c r="A73" s="1346" t="s">
        <v>474</v>
      </c>
      <c r="B73" s="1346"/>
      <c r="C73" s="1346"/>
      <c r="D73" s="1346"/>
      <c r="E73" s="1346"/>
      <c r="F73" s="1346"/>
      <c r="G73" s="1346"/>
      <c r="H73" s="1346"/>
      <c r="I73" s="1346"/>
      <c r="J73" s="1346"/>
    </row>
    <row r="74" spans="1:13" s="17" customFormat="1" x14ac:dyDescent="0.2">
      <c r="A74" s="34"/>
      <c r="B74" s="34"/>
      <c r="C74" s="34"/>
      <c r="D74" s="34"/>
      <c r="E74" s="34"/>
      <c r="F74" s="34"/>
      <c r="G74" s="34"/>
      <c r="H74" s="34"/>
      <c r="I74" s="34"/>
      <c r="J74" s="34"/>
    </row>
    <row r="75" spans="1:13" s="17" customFormat="1" ht="12.75" customHeight="1" x14ac:dyDescent="0.2">
      <c r="A75" s="1359" t="s">
        <v>475</v>
      </c>
      <c r="B75" s="1359"/>
      <c r="C75" s="1359"/>
      <c r="D75" s="1359"/>
      <c r="E75" s="1359"/>
      <c r="F75" s="1359"/>
      <c r="G75" s="1359"/>
      <c r="H75" s="1359"/>
      <c r="I75" s="1359"/>
      <c r="J75" s="1359"/>
      <c r="K75" s="1359"/>
      <c r="L75" s="1359"/>
      <c r="M75" s="1359"/>
    </row>
    <row r="76" spans="1:13" s="17" customFormat="1" x14ac:dyDescent="0.2">
      <c r="A76" s="34"/>
      <c r="B76" s="34"/>
      <c r="C76" s="34"/>
      <c r="D76" s="34"/>
      <c r="E76" s="34"/>
      <c r="F76" s="34"/>
      <c r="G76" s="34"/>
      <c r="H76" s="34"/>
      <c r="I76" s="34"/>
      <c r="J76" s="34"/>
      <c r="K76" s="34"/>
    </row>
    <row r="77" spans="1:13" s="17" customFormat="1" x14ac:dyDescent="0.2">
      <c r="A77" s="1355" t="s">
        <v>476</v>
      </c>
      <c r="B77" s="1355"/>
      <c r="C77" s="1355"/>
      <c r="D77" s="34"/>
      <c r="E77" s="34"/>
      <c r="F77" s="34"/>
      <c r="G77" s="34"/>
      <c r="H77" s="34"/>
      <c r="I77" s="34"/>
      <c r="J77" s="34"/>
      <c r="K77" s="34"/>
    </row>
    <row r="78" spans="1:13" s="17" customFormat="1" ht="26.25" customHeight="1" x14ac:dyDescent="0.2">
      <c r="A78" s="1346" t="s">
        <v>127</v>
      </c>
      <c r="B78" s="1346"/>
      <c r="C78" s="1346"/>
      <c r="D78" s="1346"/>
      <c r="E78" s="1346"/>
      <c r="F78" s="1346"/>
      <c r="G78" s="1346"/>
      <c r="H78" s="1346"/>
      <c r="I78" s="1346"/>
      <c r="J78" s="1346"/>
      <c r="K78" s="1346"/>
      <c r="L78" s="1346"/>
      <c r="M78" s="1346"/>
    </row>
    <row r="79" spans="1:13" s="17" customFormat="1" x14ac:dyDescent="0.2">
      <c r="A79" s="34"/>
      <c r="B79" s="34"/>
      <c r="C79" s="34"/>
      <c r="D79" s="34"/>
      <c r="E79" s="34"/>
      <c r="F79" s="34"/>
      <c r="G79" s="34"/>
      <c r="H79" s="34"/>
      <c r="I79" s="34"/>
      <c r="J79" s="34"/>
    </row>
    <row r="80" spans="1:13" s="17" customFormat="1" ht="12.75" customHeight="1" x14ac:dyDescent="0.2">
      <c r="A80" s="1346" t="s">
        <v>128</v>
      </c>
      <c r="B80" s="1346"/>
      <c r="C80" s="1346"/>
      <c r="D80" s="1346"/>
      <c r="E80" s="1346"/>
      <c r="F80" s="1346"/>
      <c r="G80" s="1346"/>
      <c r="H80" s="1346"/>
      <c r="I80" s="1346"/>
      <c r="J80" s="1346"/>
    </row>
    <row r="81" spans="1:13" s="17" customFormat="1" ht="12.75" customHeight="1" x14ac:dyDescent="0.2">
      <c r="A81" s="36"/>
      <c r="B81" s="1346" t="s">
        <v>129</v>
      </c>
      <c r="C81" s="1346"/>
      <c r="D81" s="1346"/>
      <c r="E81" s="1346"/>
      <c r="F81" s="1346"/>
      <c r="G81" s="1346"/>
      <c r="H81" s="1346"/>
      <c r="I81" s="1346"/>
      <c r="J81" s="1346"/>
    </row>
    <row r="82" spans="1:13" s="17" customFormat="1" ht="12.75" customHeight="1" x14ac:dyDescent="0.2">
      <c r="A82" s="36"/>
      <c r="B82" s="1346" t="s">
        <v>130</v>
      </c>
      <c r="C82" s="1346"/>
      <c r="D82" s="1346"/>
      <c r="E82" s="1346"/>
      <c r="F82" s="1346"/>
      <c r="G82" s="1346"/>
      <c r="H82" s="1346"/>
      <c r="I82" s="1346"/>
      <c r="J82" s="1346"/>
    </row>
    <row r="83" spans="1:13" s="17" customFormat="1" x14ac:dyDescent="0.2">
      <c r="A83" s="34"/>
      <c r="B83" s="34"/>
      <c r="C83" s="34"/>
      <c r="D83" s="34"/>
      <c r="E83" s="34"/>
      <c r="F83" s="34"/>
      <c r="G83" s="34"/>
      <c r="H83" s="34"/>
      <c r="I83" s="34"/>
      <c r="J83" s="34"/>
    </row>
    <row r="84" spans="1:13" s="17" customFormat="1" ht="27" customHeight="1" x14ac:dyDescent="0.2">
      <c r="A84" s="1346" t="s">
        <v>131</v>
      </c>
      <c r="B84" s="1346"/>
      <c r="C84" s="1346"/>
      <c r="D84" s="1346"/>
      <c r="E84" s="1346"/>
      <c r="F84" s="1346"/>
      <c r="G84" s="1346"/>
      <c r="H84" s="1346"/>
      <c r="I84" s="1346"/>
      <c r="J84" s="1346"/>
      <c r="K84" s="1346"/>
      <c r="L84" s="1346"/>
      <c r="M84" s="1346"/>
    </row>
    <row r="85" spans="1:13" s="17" customFormat="1" x14ac:dyDescent="0.2">
      <c r="A85" s="34"/>
      <c r="B85" s="34"/>
      <c r="C85" s="34"/>
      <c r="D85" s="34"/>
      <c r="E85" s="34"/>
      <c r="F85" s="34"/>
      <c r="G85" s="34"/>
      <c r="H85" s="34"/>
      <c r="I85" s="34"/>
      <c r="J85" s="34"/>
    </row>
    <row r="86" spans="1:13" s="17" customFormat="1" x14ac:dyDescent="0.2">
      <c r="A86" s="1346" t="s">
        <v>132</v>
      </c>
      <c r="B86" s="1346"/>
      <c r="C86" s="1346"/>
      <c r="D86" s="1346"/>
      <c r="E86" s="1346"/>
      <c r="F86" s="1346"/>
      <c r="G86" s="1346"/>
      <c r="H86" s="1346"/>
      <c r="I86" s="1346"/>
      <c r="J86" s="1346"/>
    </row>
    <row r="87" spans="1:13" s="17" customFormat="1" x14ac:dyDescent="0.2">
      <c r="A87" s="34"/>
      <c r="B87" s="34"/>
      <c r="C87" s="34"/>
      <c r="D87" s="34"/>
      <c r="E87" s="34"/>
      <c r="F87" s="34"/>
      <c r="G87" s="34"/>
      <c r="H87" s="34"/>
      <c r="I87" s="34"/>
      <c r="J87" s="34"/>
    </row>
    <row r="88" spans="1:13" s="17" customFormat="1" x14ac:dyDescent="0.2">
      <c r="A88" s="38" t="s">
        <v>604</v>
      </c>
      <c r="B88" s="1441" t="s">
        <v>78</v>
      </c>
      <c r="C88" s="1442"/>
      <c r="D88" s="1443"/>
      <c r="E88" s="34"/>
      <c r="F88" s="34"/>
      <c r="G88" s="34"/>
      <c r="H88" s="34"/>
      <c r="I88" s="34"/>
      <c r="J88" s="34"/>
    </row>
    <row r="89" spans="1:13" s="17" customFormat="1" x14ac:dyDescent="0.2">
      <c r="A89" s="56"/>
      <c r="B89" s="1434" t="s">
        <v>222</v>
      </c>
      <c r="C89" s="1434"/>
      <c r="D89" s="1434"/>
      <c r="E89" s="34"/>
      <c r="F89" s="34"/>
      <c r="G89" s="34"/>
      <c r="H89" s="34"/>
      <c r="I89" s="34"/>
      <c r="J89" s="34"/>
    </row>
    <row r="90" spans="1:13" s="17" customFormat="1" x14ac:dyDescent="0.2">
      <c r="A90" s="56"/>
      <c r="B90" s="1434" t="s">
        <v>223</v>
      </c>
      <c r="C90" s="1434"/>
      <c r="D90" s="1434"/>
      <c r="E90" s="34"/>
      <c r="F90" s="34"/>
      <c r="G90" s="34"/>
      <c r="H90" s="34"/>
      <c r="I90" s="34"/>
      <c r="J90" s="34"/>
    </row>
    <row r="91" spans="1:13" s="17" customFormat="1" x14ac:dyDescent="0.2">
      <c r="A91" s="56"/>
      <c r="B91" s="1434" t="s">
        <v>224</v>
      </c>
      <c r="C91" s="1434"/>
      <c r="D91" s="1434"/>
      <c r="E91" s="34"/>
      <c r="F91" s="34"/>
      <c r="G91" s="34"/>
      <c r="H91" s="34"/>
      <c r="I91" s="34"/>
      <c r="J91" s="34"/>
    </row>
    <row r="92" spans="1:13" s="17" customFormat="1" x14ac:dyDescent="0.2">
      <c r="A92" s="56"/>
      <c r="B92" s="1434" t="s">
        <v>225</v>
      </c>
      <c r="C92" s="1434"/>
      <c r="D92" s="1434"/>
      <c r="E92" s="34"/>
      <c r="F92" s="34"/>
      <c r="G92" s="34"/>
      <c r="H92" s="34"/>
      <c r="I92" s="34"/>
      <c r="J92" s="34"/>
    </row>
    <row r="93" spans="1:13" s="17" customFormat="1" x14ac:dyDescent="0.2">
      <c r="A93" s="56"/>
      <c r="B93" s="1434" t="s">
        <v>226</v>
      </c>
      <c r="C93" s="1434"/>
      <c r="D93" s="1434"/>
      <c r="E93" s="34"/>
      <c r="F93" s="34"/>
      <c r="G93" s="34"/>
      <c r="H93" s="34"/>
      <c r="I93" s="34"/>
      <c r="J93" s="34"/>
    </row>
    <row r="94" spans="1:13" s="17" customFormat="1" x14ac:dyDescent="0.2">
      <c r="A94" s="176"/>
      <c r="B94" s="1434" t="s">
        <v>227</v>
      </c>
      <c r="C94" s="1434"/>
      <c r="D94" s="1434"/>
      <c r="E94" s="34"/>
      <c r="F94" s="34"/>
      <c r="G94" s="34"/>
      <c r="H94" s="34"/>
      <c r="I94" s="34"/>
      <c r="J94" s="34"/>
    </row>
    <row r="95" spans="1:13" s="17" customFormat="1" x14ac:dyDescent="0.2">
      <c r="A95" s="34"/>
      <c r="B95" s="34"/>
      <c r="C95" s="34"/>
      <c r="D95" s="34"/>
      <c r="E95" s="34"/>
      <c r="F95" s="34"/>
      <c r="G95" s="34"/>
      <c r="H95" s="34"/>
      <c r="I95" s="34"/>
      <c r="J95" s="34"/>
    </row>
    <row r="96" spans="1:13" s="17" customFormat="1" x14ac:dyDescent="0.2">
      <c r="A96" s="1346" t="s">
        <v>133</v>
      </c>
      <c r="B96" s="1346"/>
      <c r="C96" s="1346"/>
      <c r="D96" s="1346"/>
      <c r="E96" s="34"/>
      <c r="F96" s="34"/>
      <c r="G96" s="34"/>
      <c r="H96" s="34"/>
      <c r="I96" s="34"/>
      <c r="J96" s="34"/>
    </row>
    <row r="97" spans="1:12" s="17" customFormat="1" x14ac:dyDescent="0.2">
      <c r="A97" s="1362"/>
      <c r="B97" s="1362"/>
      <c r="C97" s="1362"/>
      <c r="D97" s="1362"/>
      <c r="E97" s="1362"/>
      <c r="F97" s="1362"/>
      <c r="G97" s="1362"/>
      <c r="H97" s="1362"/>
      <c r="I97" s="1362"/>
      <c r="J97" s="1362"/>
    </row>
    <row r="98" spans="1:12" s="17" customFormat="1" x14ac:dyDescent="0.2">
      <c r="A98" s="34"/>
      <c r="B98" s="34"/>
      <c r="C98" s="34"/>
      <c r="D98" s="34"/>
      <c r="E98" s="34"/>
      <c r="F98" s="34"/>
      <c r="G98" s="34"/>
      <c r="H98" s="34"/>
      <c r="I98" s="34"/>
      <c r="J98" s="34"/>
      <c r="K98" s="34"/>
    </row>
    <row r="99" spans="1:12" s="17" customFormat="1" x14ac:dyDescent="0.2">
      <c r="A99" s="1346" t="s">
        <v>134</v>
      </c>
      <c r="B99" s="1346"/>
      <c r="C99" s="1346"/>
      <c r="D99" s="1346"/>
      <c r="E99" s="1346"/>
      <c r="F99" s="1346"/>
      <c r="G99" s="1346"/>
      <c r="H99" s="1346"/>
      <c r="I99" s="1346"/>
      <c r="J99" s="1346"/>
      <c r="K99" s="1346"/>
    </row>
    <row r="100" spans="1:12" s="17" customFormat="1" x14ac:dyDescent="0.2">
      <c r="A100" s="34"/>
      <c r="B100" s="34"/>
      <c r="C100" s="34"/>
      <c r="D100" s="34"/>
      <c r="E100" s="34"/>
      <c r="F100" s="34"/>
      <c r="G100" s="34"/>
      <c r="H100" s="34"/>
      <c r="I100" s="34"/>
      <c r="J100" s="34"/>
      <c r="K100" s="34"/>
    </row>
    <row r="101" spans="1:12" s="17" customFormat="1" x14ac:dyDescent="0.2">
      <c r="A101" s="1346" t="s">
        <v>135</v>
      </c>
      <c r="B101" s="1346"/>
      <c r="C101" s="1346"/>
      <c r="D101" s="1346"/>
      <c r="E101" s="1346"/>
      <c r="F101" s="1346"/>
      <c r="G101" s="1346"/>
      <c r="H101" s="1346"/>
      <c r="I101" s="1346"/>
      <c r="J101" s="1346"/>
      <c r="K101" s="1346"/>
    </row>
    <row r="102" spans="1:12" s="17" customFormat="1" x14ac:dyDescent="0.2">
      <c r="A102" s="34"/>
      <c r="B102" s="34"/>
      <c r="C102" s="34"/>
      <c r="D102" s="34"/>
      <c r="E102" s="34"/>
      <c r="F102" s="34"/>
      <c r="G102" s="34"/>
      <c r="H102" s="34"/>
      <c r="I102" s="34"/>
      <c r="J102" s="34"/>
      <c r="K102" s="34"/>
    </row>
    <row r="103" spans="1:12" s="17" customFormat="1" x14ac:dyDescent="0.2">
      <c r="A103" s="38" t="s">
        <v>604</v>
      </c>
      <c r="B103" s="1360" t="s">
        <v>78</v>
      </c>
      <c r="C103" s="1360"/>
      <c r="D103" s="1360"/>
      <c r="E103" s="1360"/>
      <c r="F103" s="34"/>
      <c r="G103" s="34"/>
      <c r="H103" s="34"/>
      <c r="I103" s="34"/>
      <c r="J103" s="34"/>
      <c r="K103" s="34"/>
    </row>
    <row r="104" spans="1:12" s="17" customFormat="1" x14ac:dyDescent="0.2">
      <c r="A104" s="56"/>
      <c r="B104" s="1434" t="s">
        <v>414</v>
      </c>
      <c r="C104" s="1434"/>
      <c r="D104" s="1434"/>
      <c r="E104" s="1434"/>
      <c r="F104" s="34"/>
      <c r="G104" s="34"/>
      <c r="H104" s="34"/>
      <c r="I104" s="34"/>
      <c r="J104" s="34"/>
      <c r="K104" s="34"/>
    </row>
    <row r="105" spans="1:12" s="17" customFormat="1" x14ac:dyDescent="0.2">
      <c r="A105" s="56"/>
      <c r="B105" s="1434" t="s">
        <v>415</v>
      </c>
      <c r="C105" s="1434"/>
      <c r="D105" s="1434"/>
      <c r="E105" s="1434"/>
      <c r="F105" s="34"/>
      <c r="G105" s="34"/>
      <c r="H105" s="34"/>
      <c r="I105" s="34"/>
      <c r="J105" s="34"/>
      <c r="K105" s="34"/>
    </row>
    <row r="106" spans="1:12" s="17" customFormat="1" x14ac:dyDescent="0.2">
      <c r="A106" s="56"/>
      <c r="B106" s="1434" t="s">
        <v>391</v>
      </c>
      <c r="C106" s="1434"/>
      <c r="D106" s="1434"/>
      <c r="E106" s="1434"/>
      <c r="F106" s="34"/>
      <c r="G106" s="34"/>
      <c r="H106" s="34"/>
      <c r="I106" s="34"/>
      <c r="J106" s="34"/>
      <c r="K106" s="34"/>
    </row>
    <row r="107" spans="1:12" s="17" customFormat="1" x14ac:dyDescent="0.2">
      <c r="A107" s="34"/>
      <c r="B107" s="34"/>
      <c r="C107" s="34"/>
      <c r="D107" s="34"/>
      <c r="E107" s="34"/>
      <c r="F107" s="34"/>
      <c r="G107" s="34"/>
      <c r="H107" s="34"/>
      <c r="I107" s="34"/>
      <c r="J107" s="34"/>
      <c r="K107" s="34"/>
      <c r="L107" s="34"/>
    </row>
    <row r="108" spans="1:12" s="17" customFormat="1" x14ac:dyDescent="0.2">
      <c r="A108" s="1355" t="s">
        <v>136</v>
      </c>
      <c r="B108" s="1346"/>
      <c r="C108" s="1346"/>
      <c r="D108" s="34"/>
      <c r="E108" s="34"/>
      <c r="F108" s="34"/>
      <c r="G108" s="34"/>
      <c r="H108" s="34"/>
      <c r="I108" s="34"/>
      <c r="J108" s="34"/>
      <c r="K108" s="34"/>
      <c r="L108" s="34"/>
    </row>
    <row r="109" spans="1:12" s="17" customFormat="1" x14ac:dyDescent="0.2">
      <c r="A109" s="250"/>
      <c r="B109" s="34"/>
      <c r="C109" s="34"/>
      <c r="D109" s="34"/>
      <c r="E109" s="34"/>
      <c r="F109" s="34"/>
      <c r="G109" s="34"/>
      <c r="H109" s="34"/>
      <c r="I109" s="34"/>
      <c r="J109" s="34"/>
    </row>
    <row r="110" spans="1:12" s="17" customFormat="1" x14ac:dyDescent="0.2">
      <c r="A110" s="1346" t="s">
        <v>252</v>
      </c>
      <c r="B110" s="1346"/>
      <c r="C110" s="1346"/>
      <c r="D110" s="1346"/>
      <c r="E110" s="1346"/>
      <c r="F110" s="1346"/>
      <c r="G110" s="1346"/>
      <c r="H110" s="1346"/>
      <c r="I110" s="1346"/>
    </row>
    <row r="111" spans="1:12" s="17" customFormat="1" x14ac:dyDescent="0.2">
      <c r="A111" s="1346" t="s">
        <v>253</v>
      </c>
      <c r="B111" s="1346"/>
      <c r="C111" s="1346"/>
      <c r="D111" s="1346"/>
      <c r="E111" s="1346"/>
      <c r="F111" s="1346"/>
      <c r="G111" s="1346"/>
      <c r="H111" s="1346"/>
      <c r="I111" s="1346"/>
    </row>
    <row r="112" spans="1:12" s="17" customFormat="1" x14ac:dyDescent="0.2">
      <c r="A112" s="1346" t="s">
        <v>254</v>
      </c>
      <c r="B112" s="1346"/>
      <c r="C112" s="1346"/>
      <c r="D112" s="1346"/>
      <c r="E112" s="1346"/>
      <c r="F112" s="1346"/>
      <c r="G112" s="1346"/>
      <c r="H112" s="1346"/>
      <c r="I112" s="1346"/>
      <c r="J112" s="34"/>
      <c r="K112" s="34"/>
    </row>
    <row r="113" spans="1:11" s="17" customFormat="1" x14ac:dyDescent="0.2">
      <c r="A113" s="1346" t="s">
        <v>255</v>
      </c>
      <c r="B113" s="1346"/>
      <c r="C113" s="1346"/>
      <c r="D113" s="1346"/>
      <c r="E113" s="1346"/>
      <c r="F113" s="1346"/>
      <c r="G113" s="1346"/>
      <c r="H113" s="1346"/>
      <c r="I113" s="34"/>
      <c r="J113" s="34"/>
      <c r="K113" s="34"/>
    </row>
    <row r="114" spans="1:11" s="17" customFormat="1" x14ac:dyDescent="0.2">
      <c r="A114" s="38" t="s">
        <v>604</v>
      </c>
      <c r="B114" s="1360" t="s">
        <v>440</v>
      </c>
      <c r="C114" s="2123"/>
      <c r="D114" s="2123"/>
      <c r="E114" s="2123"/>
      <c r="F114" s="34"/>
      <c r="G114" s="34"/>
      <c r="H114" s="34"/>
      <c r="I114" s="34"/>
      <c r="J114" s="34"/>
      <c r="K114" s="34"/>
    </row>
    <row r="115" spans="1:11" s="17" customFormat="1" x14ac:dyDescent="0.2">
      <c r="A115" s="61"/>
      <c r="B115" s="1434" t="s">
        <v>416</v>
      </c>
      <c r="C115" s="1434"/>
      <c r="D115" s="1434"/>
      <c r="E115" s="1434"/>
      <c r="F115" s="34"/>
      <c r="G115" s="34"/>
      <c r="H115" s="34"/>
      <c r="I115" s="34"/>
      <c r="J115" s="34"/>
      <c r="K115" s="34"/>
    </row>
    <row r="116" spans="1:11" s="17" customFormat="1" x14ac:dyDescent="0.2">
      <c r="A116" s="61"/>
      <c r="B116" s="1434" t="s">
        <v>417</v>
      </c>
      <c r="C116" s="1434"/>
      <c r="D116" s="1434"/>
      <c r="E116" s="1434"/>
      <c r="F116" s="34"/>
      <c r="G116" s="34"/>
      <c r="H116" s="34"/>
      <c r="I116" s="34"/>
      <c r="J116" s="34"/>
      <c r="K116" s="34"/>
    </row>
    <row r="117" spans="1:11" s="17" customFormat="1" x14ac:dyDescent="0.2">
      <c r="A117" s="61"/>
      <c r="B117" s="1434" t="s">
        <v>418</v>
      </c>
      <c r="C117" s="1434"/>
      <c r="D117" s="1434"/>
      <c r="E117" s="1434"/>
      <c r="F117" s="34"/>
      <c r="G117" s="34"/>
      <c r="H117" s="34"/>
      <c r="I117" s="34"/>
      <c r="J117" s="34"/>
      <c r="K117" s="34"/>
    </row>
    <row r="118" spans="1:11" s="17" customFormat="1" x14ac:dyDescent="0.2">
      <c r="A118" s="61"/>
      <c r="B118" s="1434" t="s">
        <v>419</v>
      </c>
      <c r="C118" s="1434"/>
      <c r="D118" s="1434"/>
      <c r="E118" s="1434"/>
      <c r="F118" s="34"/>
      <c r="G118" s="34"/>
      <c r="H118" s="34"/>
      <c r="I118" s="34"/>
      <c r="J118" s="34"/>
      <c r="K118" s="34"/>
    </row>
    <row r="119" spans="1:11" s="17" customFormat="1" x14ac:dyDescent="0.2">
      <c r="A119" s="61"/>
      <c r="B119" s="1434" t="s">
        <v>391</v>
      </c>
      <c r="C119" s="1434"/>
      <c r="D119" s="1434"/>
      <c r="E119" s="1434"/>
      <c r="F119" s="34"/>
      <c r="G119" s="34"/>
      <c r="H119" s="34"/>
      <c r="I119" s="34"/>
      <c r="J119" s="34"/>
      <c r="K119" s="34"/>
    </row>
    <row r="120" spans="1:11" s="17" customFormat="1" x14ac:dyDescent="0.2">
      <c r="A120" s="34"/>
      <c r="B120" s="34"/>
      <c r="C120" s="34"/>
      <c r="D120" s="34"/>
      <c r="E120" s="34"/>
      <c r="F120" s="34"/>
      <c r="G120" s="34"/>
      <c r="H120" s="34"/>
      <c r="I120" s="34"/>
      <c r="J120" s="34"/>
      <c r="K120" s="34"/>
    </row>
    <row r="121" spans="1:11" s="17" customFormat="1" x14ac:dyDescent="0.2">
      <c r="A121" s="1346" t="s">
        <v>256</v>
      </c>
      <c r="B121" s="1346"/>
      <c r="C121" s="1346"/>
      <c r="D121" s="1346"/>
      <c r="E121" s="1346"/>
      <c r="F121" s="1346"/>
      <c r="G121" s="1346"/>
      <c r="H121" s="1346"/>
      <c r="I121" s="1346"/>
      <c r="J121" s="1346"/>
      <c r="K121" s="1346"/>
    </row>
    <row r="122" spans="1:11" s="17" customFormat="1" x14ac:dyDescent="0.2">
      <c r="A122" s="1346" t="s">
        <v>257</v>
      </c>
      <c r="B122" s="1346"/>
      <c r="C122" s="1346"/>
      <c r="D122" s="1346"/>
      <c r="E122" s="1346"/>
      <c r="F122" s="1346"/>
      <c r="G122" s="1346"/>
      <c r="H122" s="1346"/>
      <c r="I122" s="1346"/>
      <c r="J122" s="1346"/>
      <c r="K122" s="1346"/>
    </row>
    <row r="123" spans="1:11" s="17" customFormat="1" x14ac:dyDescent="0.2">
      <c r="A123" s="1346" t="s">
        <v>258</v>
      </c>
      <c r="B123" s="1346"/>
      <c r="C123" s="1346"/>
      <c r="D123" s="1346"/>
      <c r="E123" s="1346"/>
      <c r="F123" s="1346"/>
      <c r="G123" s="1346"/>
      <c r="H123" s="1346"/>
      <c r="I123" s="1346"/>
      <c r="J123" s="1346"/>
      <c r="K123" s="1346"/>
    </row>
    <row r="124" spans="1:11" s="17" customFormat="1" x14ac:dyDescent="0.2">
      <c r="A124" s="38" t="s">
        <v>604</v>
      </c>
      <c r="B124" s="1360" t="s">
        <v>440</v>
      </c>
      <c r="C124" s="2123"/>
      <c r="D124" s="2123"/>
      <c r="E124" s="2123"/>
      <c r="F124" s="34"/>
      <c r="G124" s="34"/>
      <c r="H124" s="34"/>
      <c r="I124" s="34"/>
      <c r="J124" s="34"/>
      <c r="K124" s="34"/>
    </row>
    <row r="125" spans="1:11" s="17" customFormat="1" x14ac:dyDescent="0.2">
      <c r="A125" s="56"/>
      <c r="B125" s="1426" t="s">
        <v>606</v>
      </c>
      <c r="C125" s="1427"/>
      <c r="D125" s="1427"/>
      <c r="E125" s="1428"/>
      <c r="F125" s="34"/>
      <c r="G125" s="34"/>
      <c r="H125" s="34"/>
      <c r="I125" s="34"/>
      <c r="J125" s="34"/>
      <c r="K125" s="34"/>
    </row>
    <row r="126" spans="1:11" s="17" customFormat="1" x14ac:dyDescent="0.2">
      <c r="A126" s="56"/>
      <c r="B126" s="1426" t="s">
        <v>607</v>
      </c>
      <c r="C126" s="1427"/>
      <c r="D126" s="1427"/>
      <c r="E126" s="1428"/>
      <c r="F126" s="34"/>
      <c r="G126" s="34"/>
      <c r="H126" s="34"/>
      <c r="I126" s="34"/>
      <c r="J126" s="34"/>
      <c r="K126" s="34"/>
    </row>
    <row r="127" spans="1:11" s="17" customFormat="1" x14ac:dyDescent="0.2">
      <c r="A127" s="56"/>
      <c r="B127" s="1426" t="s">
        <v>616</v>
      </c>
      <c r="C127" s="1427"/>
      <c r="D127" s="1427"/>
      <c r="E127" s="1428"/>
      <c r="F127" s="34"/>
      <c r="G127" s="34"/>
      <c r="H127" s="34"/>
      <c r="I127" s="34"/>
      <c r="J127" s="34"/>
      <c r="K127" s="34"/>
    </row>
    <row r="128" spans="1:11" s="17" customFormat="1" x14ac:dyDescent="0.2">
      <c r="A128" s="56"/>
      <c r="B128" s="1426" t="s">
        <v>360</v>
      </c>
      <c r="C128" s="1427"/>
      <c r="D128" s="1427"/>
      <c r="E128" s="1428"/>
      <c r="F128" s="34"/>
      <c r="G128" s="34"/>
      <c r="H128" s="34"/>
      <c r="I128" s="34"/>
      <c r="J128" s="34"/>
      <c r="K128" s="34"/>
    </row>
    <row r="129" spans="1:13" s="17" customFormat="1" x14ac:dyDescent="0.2">
      <c r="A129" s="56"/>
      <c r="B129" s="1426" t="s">
        <v>271</v>
      </c>
      <c r="C129" s="1427"/>
      <c r="D129" s="1427"/>
      <c r="E129" s="1428"/>
      <c r="F129" s="34"/>
      <c r="G129" s="34"/>
      <c r="H129" s="34"/>
      <c r="I129" s="34"/>
      <c r="J129" s="34"/>
      <c r="K129" s="34"/>
    </row>
    <row r="130" spans="1:13" s="17" customFormat="1" x14ac:dyDescent="0.2">
      <c r="A130" s="56"/>
      <c r="B130" s="1426" t="s">
        <v>273</v>
      </c>
      <c r="C130" s="1427"/>
      <c r="D130" s="1427"/>
      <c r="E130" s="1428"/>
      <c r="F130" s="34"/>
      <c r="G130" s="34"/>
      <c r="H130" s="34"/>
      <c r="I130" s="34"/>
      <c r="J130" s="34"/>
      <c r="K130" s="34"/>
    </row>
    <row r="131" spans="1:13" s="17" customFormat="1" x14ac:dyDescent="0.2">
      <c r="A131" s="56"/>
      <c r="B131" s="1426" t="s">
        <v>609</v>
      </c>
      <c r="C131" s="1427"/>
      <c r="D131" s="1427"/>
      <c r="E131" s="1428"/>
      <c r="F131" s="34"/>
      <c r="G131" s="34"/>
      <c r="H131" s="34"/>
      <c r="I131" s="34"/>
      <c r="J131" s="34"/>
      <c r="K131" s="34"/>
    </row>
    <row r="132" spans="1:13" s="17" customFormat="1" x14ac:dyDescent="0.2">
      <c r="A132" s="56"/>
      <c r="B132" s="1426" t="s">
        <v>277</v>
      </c>
      <c r="C132" s="1427"/>
      <c r="D132" s="1427"/>
      <c r="E132" s="1428"/>
      <c r="F132" s="34"/>
      <c r="G132" s="34"/>
      <c r="H132" s="34"/>
      <c r="I132" s="34"/>
      <c r="J132" s="34"/>
      <c r="K132" s="34"/>
    </row>
    <row r="133" spans="1:13" s="17" customFormat="1" x14ac:dyDescent="0.2">
      <c r="A133" s="56"/>
      <c r="B133" s="1426" t="s">
        <v>279</v>
      </c>
      <c r="C133" s="1427"/>
      <c r="D133" s="1427"/>
      <c r="E133" s="1428"/>
      <c r="F133" s="34"/>
      <c r="G133" s="34"/>
      <c r="H133" s="34"/>
      <c r="I133" s="34"/>
      <c r="J133" s="34"/>
      <c r="K133" s="34"/>
    </row>
    <row r="134" spans="1:13" s="17" customFormat="1" x14ac:dyDescent="0.2">
      <c r="A134" s="56"/>
      <c r="B134" s="1426" t="s">
        <v>610</v>
      </c>
      <c r="C134" s="1427"/>
      <c r="D134" s="1427"/>
      <c r="E134" s="1428"/>
      <c r="F134" s="34"/>
      <c r="G134" s="34"/>
      <c r="H134" s="34"/>
      <c r="I134" s="34"/>
      <c r="J134" s="34"/>
      <c r="K134" s="34"/>
    </row>
    <row r="135" spans="1:13" s="17" customFormat="1" x14ac:dyDescent="0.2">
      <c r="A135" s="56"/>
      <c r="B135" s="1426" t="s">
        <v>236</v>
      </c>
      <c r="C135" s="1427"/>
      <c r="D135" s="1427"/>
      <c r="E135" s="1428"/>
      <c r="F135" s="34"/>
      <c r="G135" s="34"/>
      <c r="H135" s="34"/>
      <c r="I135" s="34"/>
      <c r="J135" s="34"/>
      <c r="K135" s="34"/>
    </row>
    <row r="136" spans="1:13" s="17" customFormat="1" x14ac:dyDescent="0.2">
      <c r="A136" s="56"/>
      <c r="B136" s="1426" t="s">
        <v>235</v>
      </c>
      <c r="C136" s="1427"/>
      <c r="D136" s="1427"/>
      <c r="E136" s="1428"/>
      <c r="F136" s="34"/>
      <c r="G136" s="34"/>
      <c r="H136" s="34"/>
      <c r="I136" s="34"/>
      <c r="J136" s="34"/>
      <c r="K136" s="34"/>
    </row>
    <row r="137" spans="1:13" s="17" customFormat="1" x14ac:dyDescent="0.2">
      <c r="A137" s="56"/>
      <c r="B137" s="1426" t="s">
        <v>420</v>
      </c>
      <c r="C137" s="1427"/>
      <c r="D137" s="1427"/>
      <c r="E137" s="1428"/>
      <c r="F137" s="34"/>
      <c r="G137" s="34"/>
      <c r="H137" s="34"/>
      <c r="I137" s="34"/>
      <c r="J137" s="34"/>
      <c r="K137" s="34"/>
    </row>
    <row r="138" spans="1:13" s="17" customFormat="1" x14ac:dyDescent="0.2">
      <c r="A138" s="56"/>
      <c r="B138" s="1426" t="s">
        <v>90</v>
      </c>
      <c r="C138" s="1427"/>
      <c r="D138" s="1427"/>
      <c r="E138" s="1428"/>
      <c r="F138" s="34"/>
      <c r="G138" s="34"/>
      <c r="H138" s="34"/>
      <c r="I138" s="34"/>
      <c r="J138" s="34"/>
      <c r="K138" s="34"/>
    </row>
    <row r="139" spans="1:13" s="17" customFormat="1" x14ac:dyDescent="0.2">
      <c r="A139" s="56"/>
      <c r="B139" s="1426" t="s">
        <v>391</v>
      </c>
      <c r="C139" s="1427"/>
      <c r="D139" s="1427"/>
      <c r="E139" s="1428"/>
      <c r="F139" s="34"/>
      <c r="G139" s="34"/>
      <c r="H139" s="34"/>
      <c r="I139" s="34"/>
      <c r="J139" s="34"/>
      <c r="K139" s="34"/>
    </row>
    <row r="140" spans="1:13" s="17" customFormat="1" x14ac:dyDescent="0.2">
      <c r="A140" s="78"/>
      <c r="B140" s="64"/>
      <c r="C140" s="64"/>
      <c r="D140" s="64"/>
      <c r="E140" s="64"/>
      <c r="F140" s="34"/>
      <c r="G140" s="34"/>
      <c r="H140" s="34"/>
      <c r="I140" s="34"/>
      <c r="J140" s="34"/>
      <c r="K140" s="34"/>
    </row>
    <row r="141" spans="1:13" s="17" customFormat="1" x14ac:dyDescent="0.2">
      <c r="A141" s="78"/>
      <c r="B141" s="64"/>
      <c r="C141" s="64"/>
      <c r="D141" s="64"/>
      <c r="E141" s="64"/>
      <c r="F141" s="34"/>
      <c r="G141" s="34"/>
      <c r="H141" s="34"/>
      <c r="I141" s="34"/>
      <c r="J141" s="34"/>
      <c r="K141" s="34"/>
    </row>
    <row r="142" spans="1:13" s="17" customFormat="1" ht="14.25" x14ac:dyDescent="0.2">
      <c r="A142" s="1546" t="s">
        <v>425</v>
      </c>
      <c r="B142" s="1536"/>
      <c r="C142" s="1536"/>
      <c r="D142" s="1536"/>
      <c r="E142" s="34"/>
      <c r="F142" s="34"/>
      <c r="G142" s="34"/>
      <c r="H142" s="34"/>
      <c r="I142" s="34"/>
      <c r="J142" s="34"/>
      <c r="K142" s="34"/>
      <c r="L142" s="34"/>
      <c r="M142" s="34"/>
    </row>
    <row r="143" spans="1:13" s="17" customFormat="1" x14ac:dyDescent="0.2">
      <c r="A143" s="44"/>
      <c r="B143" s="34"/>
      <c r="C143" s="34"/>
      <c r="D143" s="34"/>
      <c r="E143" s="34"/>
      <c r="F143" s="34"/>
      <c r="G143" s="34"/>
      <c r="H143" s="34"/>
      <c r="I143" s="34"/>
      <c r="J143" s="34"/>
      <c r="K143" s="34"/>
      <c r="L143" s="34"/>
      <c r="M143" s="34"/>
    </row>
    <row r="144" spans="1:13" s="17" customFormat="1" ht="38.25" x14ac:dyDescent="0.2">
      <c r="A144" s="1549" t="s">
        <v>1262</v>
      </c>
      <c r="B144" s="1550"/>
      <c r="C144" s="1550"/>
      <c r="D144" s="1550"/>
      <c r="E144" s="1550"/>
      <c r="F144" s="1551"/>
      <c r="G144" s="43" t="s">
        <v>259</v>
      </c>
      <c r="H144" s="43" t="s">
        <v>1261</v>
      </c>
      <c r="I144" s="1447" t="s">
        <v>492</v>
      </c>
      <c r="J144" s="1447"/>
      <c r="K144" s="1447"/>
      <c r="L144" s="1447" t="s">
        <v>213</v>
      </c>
      <c r="M144" s="1447"/>
    </row>
    <row r="145" spans="1:13" s="17" customFormat="1" ht="12.75" customHeight="1" x14ac:dyDescent="0.2">
      <c r="A145" s="2125" t="s">
        <v>1260</v>
      </c>
      <c r="B145" s="2115"/>
      <c r="C145" s="2115"/>
      <c r="D145" s="2115"/>
      <c r="E145" s="2115"/>
      <c r="F145" s="2116"/>
      <c r="G145" s="61"/>
      <c r="H145" s="56"/>
      <c r="I145" s="1325"/>
      <c r="J145" s="1325"/>
      <c r="K145" s="1325"/>
      <c r="L145" s="1325"/>
      <c r="M145" s="1325"/>
    </row>
    <row r="146" spans="1:13" s="17" customFormat="1" ht="12.75" customHeight="1" x14ac:dyDescent="0.2">
      <c r="A146" s="243"/>
      <c r="B146" s="1427" t="s">
        <v>493</v>
      </c>
      <c r="C146" s="1427"/>
      <c r="D146" s="1427"/>
      <c r="E146" s="1427"/>
      <c r="F146" s="1428"/>
      <c r="G146" s="61"/>
      <c r="H146" s="56"/>
      <c r="I146" s="1325"/>
      <c r="J146" s="1325"/>
      <c r="K146" s="1325"/>
      <c r="L146" s="1325"/>
      <c r="M146" s="1325"/>
    </row>
    <row r="147" spans="1:13" s="17" customFormat="1" ht="12.75" customHeight="1" x14ac:dyDescent="0.2">
      <c r="A147" s="243"/>
      <c r="B147" s="1427" t="s">
        <v>1263</v>
      </c>
      <c r="C147" s="1427"/>
      <c r="D147" s="1427"/>
      <c r="E147" s="1427"/>
      <c r="F147" s="1428"/>
      <c r="G147" s="61"/>
      <c r="H147" s="56"/>
      <c r="I147" s="1325"/>
      <c r="J147" s="1325"/>
      <c r="K147" s="1325"/>
      <c r="L147" s="1325"/>
      <c r="M147" s="1325"/>
    </row>
    <row r="148" spans="1:13" s="17" customFormat="1" ht="12.75" customHeight="1" x14ac:dyDescent="0.2">
      <c r="A148" s="243"/>
      <c r="B148" s="1427" t="s">
        <v>1264</v>
      </c>
      <c r="C148" s="1427"/>
      <c r="D148" s="1427"/>
      <c r="E148" s="1427"/>
      <c r="F148" s="1428"/>
      <c r="G148" s="61"/>
      <c r="H148" s="56"/>
      <c r="I148" s="1325"/>
      <c r="J148" s="1325"/>
      <c r="K148" s="1325"/>
      <c r="L148" s="1325"/>
      <c r="M148" s="1325"/>
    </row>
    <row r="149" spans="1:13" s="17" customFormat="1" ht="12.75" customHeight="1" x14ac:dyDescent="0.2">
      <c r="A149" s="243"/>
      <c r="B149" s="1427" t="s">
        <v>495</v>
      </c>
      <c r="C149" s="1427"/>
      <c r="D149" s="1427"/>
      <c r="E149" s="1427"/>
      <c r="F149" s="1428"/>
      <c r="G149" s="61"/>
      <c r="H149" s="56"/>
      <c r="I149" s="1325"/>
      <c r="J149" s="1325"/>
      <c r="K149" s="1325"/>
      <c r="L149" s="1325"/>
      <c r="M149" s="1325"/>
    </row>
    <row r="150" spans="1:13" s="17" customFormat="1" ht="12.75" customHeight="1" x14ac:dyDescent="0.2">
      <c r="A150" s="1426" t="s">
        <v>234</v>
      </c>
      <c r="B150" s="1427"/>
      <c r="C150" s="1427"/>
      <c r="D150" s="1427"/>
      <c r="E150" s="1427"/>
      <c r="F150" s="1428"/>
      <c r="G150" s="61"/>
      <c r="H150" s="56"/>
      <c r="I150" s="1325"/>
      <c r="J150" s="1325"/>
      <c r="K150" s="1325"/>
      <c r="L150" s="1325"/>
      <c r="M150" s="1325"/>
    </row>
    <row r="151" spans="1:13" s="17" customFormat="1" ht="12.75" customHeight="1" x14ac:dyDescent="0.2">
      <c r="A151" s="1426" t="s">
        <v>496</v>
      </c>
      <c r="B151" s="1427"/>
      <c r="C151" s="1427"/>
      <c r="D151" s="1427"/>
      <c r="E151" s="1427"/>
      <c r="F151" s="1428"/>
      <c r="G151" s="61"/>
      <c r="H151" s="56"/>
      <c r="I151" s="1325"/>
      <c r="J151" s="1325"/>
      <c r="K151" s="1325"/>
      <c r="L151" s="1325"/>
      <c r="M151" s="1325"/>
    </row>
    <row r="152" spans="1:13" s="17" customFormat="1" ht="12.75" customHeight="1" x14ac:dyDescent="0.2">
      <c r="A152" s="1426" t="s">
        <v>497</v>
      </c>
      <c r="B152" s="1427"/>
      <c r="C152" s="1427"/>
      <c r="D152" s="1427"/>
      <c r="E152" s="1427"/>
      <c r="F152" s="1428"/>
      <c r="G152" s="61"/>
      <c r="H152" s="56"/>
      <c r="I152" s="1325"/>
      <c r="J152" s="1325"/>
      <c r="K152" s="1325"/>
      <c r="L152" s="1325"/>
      <c r="M152" s="1325"/>
    </row>
    <row r="153" spans="1:13" s="17" customFormat="1" ht="12.75" customHeight="1" x14ac:dyDescent="0.2">
      <c r="A153" s="1426" t="s">
        <v>498</v>
      </c>
      <c r="B153" s="1427"/>
      <c r="C153" s="1427"/>
      <c r="D153" s="1427"/>
      <c r="E153" s="1427"/>
      <c r="F153" s="1428"/>
      <c r="G153" s="61"/>
      <c r="H153" s="56"/>
      <c r="I153" s="1325"/>
      <c r="J153" s="1325"/>
      <c r="K153" s="1325"/>
      <c r="L153" s="1325"/>
      <c r="M153" s="1325"/>
    </row>
    <row r="154" spans="1:13" s="17" customFormat="1" ht="12.75" customHeight="1" x14ac:dyDescent="0.2">
      <c r="A154" s="1426" t="s">
        <v>499</v>
      </c>
      <c r="B154" s="1427"/>
      <c r="C154" s="1427"/>
      <c r="D154" s="1427"/>
      <c r="E154" s="1427"/>
      <c r="F154" s="1428"/>
      <c r="G154" s="61"/>
      <c r="H154" s="56"/>
      <c r="I154" s="1325"/>
      <c r="J154" s="1325"/>
      <c r="K154" s="1325"/>
      <c r="L154" s="1325"/>
      <c r="M154" s="1325"/>
    </row>
    <row r="155" spans="1:13" s="17" customFormat="1" ht="12.75" customHeight="1" x14ac:dyDescent="0.2">
      <c r="A155" s="1426" t="s">
        <v>500</v>
      </c>
      <c r="B155" s="1427"/>
      <c r="C155" s="1427"/>
      <c r="D155" s="1427"/>
      <c r="E155" s="1427"/>
      <c r="F155" s="1428"/>
      <c r="G155" s="61"/>
      <c r="H155" s="56"/>
      <c r="I155" s="1325"/>
      <c r="J155" s="1325"/>
      <c r="K155" s="1325"/>
      <c r="L155" s="1325"/>
      <c r="M155" s="1325"/>
    </row>
    <row r="156" spans="1:13" s="17" customFormat="1" ht="12.75" customHeight="1" x14ac:dyDescent="0.2">
      <c r="A156" s="1426" t="s">
        <v>501</v>
      </c>
      <c r="B156" s="1427"/>
      <c r="C156" s="1427"/>
      <c r="D156" s="1427"/>
      <c r="E156" s="1427"/>
      <c r="F156" s="1428"/>
      <c r="G156" s="61"/>
      <c r="H156" s="56"/>
      <c r="I156" s="1325"/>
      <c r="J156" s="1325"/>
      <c r="K156" s="1325"/>
      <c r="L156" s="1325"/>
      <c r="M156" s="1325"/>
    </row>
    <row r="157" spans="1:13" s="17" customFormat="1" ht="12.75" customHeight="1" x14ac:dyDescent="0.2">
      <c r="A157" s="1426" t="s">
        <v>502</v>
      </c>
      <c r="B157" s="1427"/>
      <c r="C157" s="1427"/>
      <c r="D157" s="1427"/>
      <c r="E157" s="1427"/>
      <c r="F157" s="1428"/>
      <c r="G157" s="61"/>
      <c r="H157" s="56"/>
      <c r="I157" s="1325"/>
      <c r="J157" s="1325"/>
      <c r="K157" s="1325"/>
      <c r="L157" s="1325"/>
      <c r="M157" s="1325"/>
    </row>
    <row r="158" spans="1:13" s="17" customFormat="1" ht="12.75" customHeight="1" x14ac:dyDescent="0.2">
      <c r="A158" s="1426" t="s">
        <v>503</v>
      </c>
      <c r="B158" s="1427"/>
      <c r="C158" s="1427"/>
      <c r="D158" s="1427"/>
      <c r="E158" s="1427"/>
      <c r="F158" s="1428"/>
      <c r="G158" s="61"/>
      <c r="H158" s="56"/>
      <c r="I158" s="1325"/>
      <c r="J158" s="1325"/>
      <c r="K158" s="1325"/>
      <c r="L158" s="1325"/>
      <c r="M158" s="1325"/>
    </row>
    <row r="159" spans="1:13" s="17" customFormat="1" ht="12.75" customHeight="1" x14ac:dyDescent="0.2">
      <c r="A159" s="1426" t="s">
        <v>504</v>
      </c>
      <c r="B159" s="1427"/>
      <c r="C159" s="1427"/>
      <c r="D159" s="1427"/>
      <c r="E159" s="1427"/>
      <c r="F159" s="1428"/>
      <c r="G159" s="61"/>
      <c r="H159" s="56"/>
      <c r="I159" s="1325"/>
      <c r="J159" s="1325"/>
      <c r="K159" s="1325"/>
      <c r="L159" s="1325"/>
      <c r="M159" s="1325"/>
    </row>
    <row r="160" spans="1:13" s="17" customFormat="1" ht="12.75" customHeight="1" x14ac:dyDescent="0.2">
      <c r="A160" s="1426" t="s">
        <v>505</v>
      </c>
      <c r="B160" s="1427"/>
      <c r="C160" s="1427"/>
      <c r="D160" s="1427"/>
      <c r="E160" s="1427"/>
      <c r="F160" s="1428"/>
      <c r="G160" s="61"/>
      <c r="H160" s="56"/>
      <c r="I160" s="1325"/>
      <c r="J160" s="1325"/>
      <c r="K160" s="1325"/>
      <c r="L160" s="1325"/>
      <c r="M160" s="1325"/>
    </row>
    <row r="161" spans="1:13" s="17" customFormat="1" ht="12.75" customHeight="1" x14ac:dyDescent="0.2">
      <c r="A161" s="1426" t="s">
        <v>506</v>
      </c>
      <c r="B161" s="1427"/>
      <c r="C161" s="1427"/>
      <c r="D161" s="1427"/>
      <c r="E161" s="1427"/>
      <c r="F161" s="1428"/>
      <c r="G161" s="61"/>
      <c r="H161" s="56"/>
      <c r="I161" s="1325"/>
      <c r="J161" s="1325"/>
      <c r="K161" s="1325"/>
      <c r="L161" s="1325"/>
      <c r="M161" s="1325"/>
    </row>
    <row r="162" spans="1:13" s="17" customFormat="1" ht="12.75" customHeight="1" x14ac:dyDescent="0.2">
      <c r="A162" s="1426" t="s">
        <v>507</v>
      </c>
      <c r="B162" s="1427"/>
      <c r="C162" s="1427"/>
      <c r="D162" s="1427"/>
      <c r="E162" s="1427"/>
      <c r="F162" s="1428"/>
      <c r="G162" s="61"/>
      <c r="H162" s="56"/>
      <c r="I162" s="1325"/>
      <c r="J162" s="1325"/>
      <c r="K162" s="1325"/>
      <c r="L162" s="1325"/>
      <c r="M162" s="1325"/>
    </row>
    <row r="163" spans="1:13" s="17" customFormat="1" ht="12.75" customHeight="1" x14ac:dyDescent="0.2">
      <c r="A163" s="1426" t="s">
        <v>508</v>
      </c>
      <c r="B163" s="1427"/>
      <c r="C163" s="1427"/>
      <c r="D163" s="1427"/>
      <c r="E163" s="1427"/>
      <c r="F163" s="1428"/>
      <c r="G163" s="61"/>
      <c r="H163" s="56"/>
      <c r="I163" s="1325"/>
      <c r="J163" s="1325"/>
      <c r="K163" s="1325"/>
      <c r="L163" s="1325"/>
      <c r="M163" s="1325"/>
    </row>
    <row r="164" spans="1:13" s="17" customFormat="1" ht="12.75" customHeight="1" x14ac:dyDescent="0.2">
      <c r="A164" s="1426" t="s">
        <v>509</v>
      </c>
      <c r="B164" s="1427"/>
      <c r="C164" s="1427"/>
      <c r="D164" s="1427"/>
      <c r="E164" s="1427"/>
      <c r="F164" s="1428"/>
      <c r="G164" s="61"/>
      <c r="H164" s="56"/>
      <c r="I164" s="1325"/>
      <c r="J164" s="1325"/>
      <c r="K164" s="1325"/>
      <c r="L164" s="1325"/>
      <c r="M164" s="1325"/>
    </row>
    <row r="165" spans="1:13" s="17" customFormat="1" x14ac:dyDescent="0.2">
      <c r="A165" s="1426" t="s">
        <v>510</v>
      </c>
      <c r="B165" s="1427"/>
      <c r="C165" s="1427"/>
      <c r="D165" s="1427"/>
      <c r="E165" s="1427"/>
      <c r="F165" s="1428"/>
      <c r="G165" s="61"/>
      <c r="H165" s="56"/>
      <c r="I165" s="1325"/>
      <c r="J165" s="1325"/>
      <c r="K165" s="1325"/>
      <c r="L165" s="1325"/>
      <c r="M165" s="1325"/>
    </row>
    <row r="166" spans="1:13" s="17" customFormat="1" ht="12.75" customHeight="1" x14ac:dyDescent="0.2">
      <c r="A166" s="2125" t="s">
        <v>1259</v>
      </c>
      <c r="B166" s="2115"/>
      <c r="C166" s="2115"/>
      <c r="D166" s="2115"/>
      <c r="E166" s="2115"/>
      <c r="F166" s="2116"/>
      <c r="G166" s="61"/>
      <c r="H166" s="56"/>
      <c r="I166" s="1325"/>
      <c r="J166" s="1325"/>
      <c r="K166" s="1325"/>
      <c r="L166" s="1325"/>
      <c r="M166" s="1325"/>
    </row>
    <row r="167" spans="1:13" s="17" customFormat="1" ht="12.75" customHeight="1" x14ac:dyDescent="0.2">
      <c r="A167" s="243"/>
      <c r="B167" s="1427" t="s">
        <v>511</v>
      </c>
      <c r="C167" s="1427"/>
      <c r="D167" s="1427"/>
      <c r="E167" s="1427"/>
      <c r="F167" s="1428"/>
      <c r="G167" s="61"/>
      <c r="H167" s="56"/>
      <c r="I167" s="1325"/>
      <c r="J167" s="1325"/>
      <c r="K167" s="1325"/>
      <c r="L167" s="1325"/>
      <c r="M167" s="1325"/>
    </row>
    <row r="168" spans="1:13" s="17" customFormat="1" ht="12.75" customHeight="1" x14ac:dyDescent="0.2">
      <c r="A168" s="243"/>
      <c r="B168" s="1427" t="s">
        <v>495</v>
      </c>
      <c r="C168" s="1427"/>
      <c r="D168" s="1427"/>
      <c r="E168" s="1427"/>
      <c r="F168" s="1428"/>
      <c r="G168" s="61"/>
      <c r="H168" s="56"/>
      <c r="I168" s="1325"/>
      <c r="J168" s="1325"/>
      <c r="K168" s="1325"/>
      <c r="L168" s="1325"/>
      <c r="M168" s="1325"/>
    </row>
    <row r="169" spans="1:13" s="17" customFormat="1" ht="12.75" customHeight="1" x14ac:dyDescent="0.2">
      <c r="A169" s="243"/>
      <c r="B169" s="1427" t="s">
        <v>458</v>
      </c>
      <c r="C169" s="1427"/>
      <c r="D169" s="1427"/>
      <c r="E169" s="1427"/>
      <c r="F169" s="1428"/>
      <c r="G169" s="61"/>
      <c r="H169" s="56"/>
      <c r="I169" s="1325"/>
      <c r="J169" s="1325"/>
      <c r="K169" s="1325"/>
      <c r="L169" s="1325"/>
      <c r="M169" s="1325"/>
    </row>
    <row r="170" spans="1:13" s="17" customFormat="1" ht="12.75" customHeight="1" x14ac:dyDescent="0.2">
      <c r="A170" s="243"/>
      <c r="B170" s="1427" t="s">
        <v>512</v>
      </c>
      <c r="C170" s="1427"/>
      <c r="D170" s="1427"/>
      <c r="E170" s="1427"/>
      <c r="F170" s="1428"/>
      <c r="G170" s="61"/>
      <c r="H170" s="56"/>
      <c r="I170" s="1325"/>
      <c r="J170" s="1325"/>
      <c r="K170" s="1325"/>
      <c r="L170" s="1325"/>
      <c r="M170" s="1325"/>
    </row>
    <row r="171" spans="1:13" s="17" customFormat="1" ht="12.75" customHeight="1" x14ac:dyDescent="0.2">
      <c r="A171" s="2125" t="s">
        <v>493</v>
      </c>
      <c r="B171" s="2115"/>
      <c r="C171" s="2115"/>
      <c r="D171" s="2115"/>
      <c r="E171" s="2115"/>
      <c r="F171" s="2116"/>
      <c r="G171" s="61"/>
      <c r="H171" s="56"/>
      <c r="I171" s="1325"/>
      <c r="J171" s="1325"/>
      <c r="K171" s="1325"/>
      <c r="L171" s="1325"/>
      <c r="M171" s="1325"/>
    </row>
    <row r="172" spans="1:13" s="17" customFormat="1" ht="12.75" customHeight="1" x14ac:dyDescent="0.2">
      <c r="A172" s="243"/>
      <c r="B172" s="1427" t="s">
        <v>513</v>
      </c>
      <c r="C172" s="1427"/>
      <c r="D172" s="1427"/>
      <c r="E172" s="1427"/>
      <c r="F172" s="1428"/>
      <c r="G172" s="61"/>
      <c r="H172" s="56"/>
      <c r="I172" s="1325"/>
      <c r="J172" s="1325"/>
      <c r="K172" s="1325"/>
      <c r="L172" s="1325"/>
      <c r="M172" s="1325"/>
    </row>
    <row r="173" spans="1:13" s="17" customFormat="1" ht="12.75" customHeight="1" x14ac:dyDescent="0.2">
      <c r="A173" s="243"/>
      <c r="B173" s="1427" t="s">
        <v>514</v>
      </c>
      <c r="C173" s="1427"/>
      <c r="D173" s="1427"/>
      <c r="E173" s="1427"/>
      <c r="F173" s="1428"/>
      <c r="G173" s="61"/>
      <c r="H173" s="56"/>
      <c r="I173" s="1325"/>
      <c r="J173" s="1325"/>
      <c r="K173" s="1325"/>
      <c r="L173" s="1325"/>
      <c r="M173" s="1325"/>
    </row>
    <row r="174" spans="1:13" s="17" customFormat="1" ht="12.75" customHeight="1" x14ac:dyDescent="0.2">
      <c r="A174" s="243"/>
      <c r="B174" s="1427" t="s">
        <v>515</v>
      </c>
      <c r="C174" s="1427"/>
      <c r="D174" s="1427"/>
      <c r="E174" s="1427"/>
      <c r="F174" s="1428"/>
      <c r="G174" s="61"/>
      <c r="H174" s="56"/>
      <c r="I174" s="1325"/>
      <c r="J174" s="1325"/>
      <c r="K174" s="1325"/>
      <c r="L174" s="1325"/>
      <c r="M174" s="1325"/>
    </row>
    <row r="175" spans="1:13" s="17" customFormat="1" ht="12.75" customHeight="1" x14ac:dyDescent="0.2">
      <c r="A175" s="243"/>
      <c r="B175" s="1427" t="s">
        <v>516</v>
      </c>
      <c r="C175" s="1427"/>
      <c r="D175" s="1427"/>
      <c r="E175" s="1427"/>
      <c r="F175" s="1428"/>
      <c r="G175" s="61"/>
      <c r="H175" s="56"/>
      <c r="I175" s="1325"/>
      <c r="J175" s="1325"/>
      <c r="K175" s="1325"/>
      <c r="L175" s="1325"/>
      <c r="M175" s="1325"/>
    </row>
    <row r="176" spans="1:13" s="17" customFormat="1" ht="12.75" customHeight="1" x14ac:dyDescent="0.2">
      <c r="A176" s="2125" t="s">
        <v>494</v>
      </c>
      <c r="B176" s="2115"/>
      <c r="C176" s="2115"/>
      <c r="D176" s="2115"/>
      <c r="E176" s="2115"/>
      <c r="F176" s="2116"/>
      <c r="G176" s="61"/>
      <c r="H176" s="56"/>
      <c r="I176" s="1325"/>
      <c r="J176" s="1325"/>
      <c r="K176" s="1325"/>
      <c r="L176" s="1325"/>
      <c r="M176" s="1325"/>
    </row>
    <row r="177" spans="1:13" s="17" customFormat="1" x14ac:dyDescent="0.2">
      <c r="A177" s="243"/>
      <c r="B177" s="1427" t="s">
        <v>517</v>
      </c>
      <c r="C177" s="1427"/>
      <c r="D177" s="1427"/>
      <c r="E177" s="1427"/>
      <c r="F177" s="1428"/>
      <c r="G177" s="61"/>
      <c r="H177" s="56"/>
      <c r="I177" s="1325"/>
      <c r="J177" s="1325"/>
      <c r="K177" s="1325"/>
      <c r="L177" s="1325"/>
      <c r="M177" s="1325"/>
    </row>
    <row r="178" spans="1:13" s="17" customFormat="1" ht="12.75" customHeight="1" x14ac:dyDescent="0.2">
      <c r="A178" s="243"/>
      <c r="B178" s="1427" t="s">
        <v>518</v>
      </c>
      <c r="C178" s="1427"/>
      <c r="D178" s="1427"/>
      <c r="E178" s="1427"/>
      <c r="F178" s="1428"/>
      <c r="G178" s="61"/>
      <c r="H178" s="56"/>
      <c r="I178" s="1325"/>
      <c r="J178" s="1325"/>
      <c r="K178" s="1325"/>
      <c r="L178" s="1325"/>
      <c r="M178" s="1325"/>
    </row>
    <row r="179" spans="1:13" s="17" customFormat="1" x14ac:dyDescent="0.2">
      <c r="A179" s="2125" t="s">
        <v>458</v>
      </c>
      <c r="B179" s="2115"/>
      <c r="C179" s="2115"/>
      <c r="D179" s="2115"/>
      <c r="E179" s="2115"/>
      <c r="F179" s="2116"/>
      <c r="G179" s="61"/>
      <c r="H179" s="56"/>
      <c r="I179" s="1325"/>
      <c r="J179" s="1325"/>
      <c r="K179" s="1325"/>
      <c r="L179" s="1325"/>
      <c r="M179" s="1325"/>
    </row>
    <row r="180" spans="1:13" s="17" customFormat="1" ht="26.25" customHeight="1" x14ac:dyDescent="0.2">
      <c r="A180" s="243"/>
      <c r="B180" s="1427" t="s">
        <v>519</v>
      </c>
      <c r="C180" s="1427"/>
      <c r="D180" s="1427"/>
      <c r="E180" s="1427"/>
      <c r="F180" s="1428"/>
      <c r="G180" s="61"/>
      <c r="H180" s="56"/>
      <c r="I180" s="1325"/>
      <c r="J180" s="1325"/>
      <c r="K180" s="1325"/>
      <c r="L180" s="1325"/>
      <c r="M180" s="1325"/>
    </row>
    <row r="181" spans="1:13" s="17" customFormat="1" ht="66" customHeight="1" x14ac:dyDescent="0.2">
      <c r="A181" s="243"/>
      <c r="B181" s="1427" t="s">
        <v>520</v>
      </c>
      <c r="C181" s="1427"/>
      <c r="D181" s="1427"/>
      <c r="E181" s="1427"/>
      <c r="F181" s="1428"/>
      <c r="G181" s="61"/>
      <c r="H181" s="56"/>
      <c r="I181" s="1325"/>
      <c r="J181" s="1325"/>
      <c r="K181" s="1325"/>
      <c r="L181" s="1325"/>
      <c r="M181" s="1325"/>
    </row>
    <row r="182" spans="1:13" s="17" customFormat="1" ht="12.75" customHeight="1" x14ac:dyDescent="0.2">
      <c r="A182" s="2135" t="s">
        <v>495</v>
      </c>
      <c r="B182" s="2136"/>
      <c r="C182" s="2136"/>
      <c r="D182" s="2136"/>
      <c r="E182" s="2136"/>
      <c r="F182" s="2137"/>
      <c r="G182" s="61"/>
      <c r="H182" s="56"/>
      <c r="I182" s="1325"/>
      <c r="J182" s="1325"/>
      <c r="K182" s="1325"/>
      <c r="L182" s="1325"/>
      <c r="M182" s="1325"/>
    </row>
    <row r="183" spans="1:13" s="17" customFormat="1" ht="25.5" customHeight="1" x14ac:dyDescent="0.2">
      <c r="A183" s="243"/>
      <c r="B183" s="1427" t="s">
        <v>521</v>
      </c>
      <c r="C183" s="1427"/>
      <c r="D183" s="1427"/>
      <c r="E183" s="1427"/>
      <c r="F183" s="1428"/>
      <c r="G183" s="61"/>
      <c r="H183" s="56"/>
      <c r="I183" s="1325"/>
      <c r="J183" s="1325"/>
      <c r="K183" s="1325"/>
      <c r="L183" s="1325"/>
      <c r="M183" s="1325"/>
    </row>
    <row r="184" spans="1:13" s="17" customFormat="1" ht="12.75" customHeight="1" x14ac:dyDescent="0.2">
      <c r="A184" s="243"/>
      <c r="B184" s="1427" t="s">
        <v>522</v>
      </c>
      <c r="C184" s="1427"/>
      <c r="D184" s="1427"/>
      <c r="E184" s="1427"/>
      <c r="F184" s="1428"/>
      <c r="G184" s="61"/>
      <c r="H184" s="56"/>
      <c r="I184" s="1325"/>
      <c r="J184" s="1325"/>
      <c r="K184" s="1325"/>
      <c r="L184" s="1325"/>
      <c r="M184" s="1325"/>
    </row>
    <row r="185" spans="1:13" s="17" customFormat="1" ht="39.75" customHeight="1" x14ac:dyDescent="0.2">
      <c r="A185" s="243"/>
      <c r="B185" s="1427" t="s">
        <v>523</v>
      </c>
      <c r="C185" s="1427"/>
      <c r="D185" s="1427"/>
      <c r="E185" s="1427"/>
      <c r="F185" s="1428"/>
      <c r="G185" s="61"/>
      <c r="H185" s="56"/>
      <c r="I185" s="1325"/>
      <c r="J185" s="1325"/>
      <c r="K185" s="1325"/>
      <c r="L185" s="1325"/>
      <c r="M185" s="1325"/>
    </row>
    <row r="186" spans="1:13" s="17" customFormat="1" ht="50.25" customHeight="1" x14ac:dyDescent="0.2">
      <c r="A186" s="243"/>
      <c r="B186" s="1427" t="s">
        <v>524</v>
      </c>
      <c r="C186" s="1427"/>
      <c r="D186" s="1427"/>
      <c r="E186" s="1427"/>
      <c r="F186" s="1428"/>
      <c r="G186" s="61"/>
      <c r="H186" s="56"/>
      <c r="I186" s="1325"/>
      <c r="J186" s="1325"/>
      <c r="K186" s="1325"/>
      <c r="L186" s="1325"/>
      <c r="M186" s="1325"/>
    </row>
    <row r="187" spans="1:13" s="17" customFormat="1" ht="12.75" customHeight="1" x14ac:dyDescent="0.2">
      <c r="A187" s="2125" t="s">
        <v>525</v>
      </c>
      <c r="B187" s="2115"/>
      <c r="C187" s="2115"/>
      <c r="D187" s="2115"/>
      <c r="E187" s="2115"/>
      <c r="F187" s="2116"/>
      <c r="G187" s="61"/>
      <c r="H187" s="56"/>
      <c r="I187" s="1325"/>
      <c r="J187" s="1325"/>
      <c r="K187" s="1325"/>
      <c r="L187" s="1325"/>
      <c r="M187" s="1325"/>
    </row>
    <row r="188" spans="1:13" s="17" customFormat="1" ht="12.75" customHeight="1" x14ac:dyDescent="0.2">
      <c r="A188" s="243"/>
      <c r="B188" s="1427" t="s">
        <v>526</v>
      </c>
      <c r="C188" s="1427"/>
      <c r="D188" s="1427"/>
      <c r="E188" s="1427"/>
      <c r="F188" s="1428"/>
      <c r="G188" s="61"/>
      <c r="H188" s="56"/>
      <c r="I188" s="1325"/>
      <c r="J188" s="1325"/>
      <c r="K188" s="1325"/>
      <c r="L188" s="1325"/>
      <c r="M188" s="1325"/>
    </row>
    <row r="189" spans="1:13" s="17" customFormat="1" ht="12.75" customHeight="1" x14ac:dyDescent="0.2">
      <c r="A189" s="243"/>
      <c r="B189" s="1427" t="s">
        <v>527</v>
      </c>
      <c r="C189" s="1427"/>
      <c r="D189" s="1427"/>
      <c r="E189" s="1427"/>
      <c r="F189" s="1428"/>
      <c r="G189" s="61"/>
      <c r="H189" s="56"/>
      <c r="I189" s="1325"/>
      <c r="J189" s="1325"/>
      <c r="K189" s="1325"/>
      <c r="L189" s="1325"/>
      <c r="M189" s="1325"/>
    </row>
    <row r="190" spans="1:13" s="17" customFormat="1" ht="26.25" customHeight="1" x14ac:dyDescent="0.2">
      <c r="A190" s="243"/>
      <c r="B190" s="1427" t="s">
        <v>260</v>
      </c>
      <c r="C190" s="1427"/>
      <c r="D190" s="1427"/>
      <c r="E190" s="1427"/>
      <c r="F190" s="1428"/>
      <c r="G190" s="61"/>
      <c r="H190" s="56"/>
      <c r="I190" s="1325"/>
      <c r="J190" s="1325"/>
      <c r="K190" s="1325"/>
      <c r="L190" s="1325"/>
      <c r="M190" s="1325"/>
    </row>
    <row r="191" spans="1:13" s="17" customFormat="1" ht="26.25" customHeight="1" x14ac:dyDescent="0.2">
      <c r="A191" s="243"/>
      <c r="B191" s="1427" t="s">
        <v>261</v>
      </c>
      <c r="C191" s="1427"/>
      <c r="D191" s="1427"/>
      <c r="E191" s="1427"/>
      <c r="F191" s="1428"/>
      <c r="G191" s="61"/>
      <c r="H191" s="56"/>
      <c r="I191" s="1325"/>
      <c r="J191" s="1325"/>
      <c r="K191" s="1325"/>
      <c r="L191" s="1325"/>
      <c r="M191" s="1325"/>
    </row>
    <row r="192" spans="1:13" s="17" customFormat="1" ht="12.75" customHeight="1" x14ac:dyDescent="0.2">
      <c r="A192" s="2125" t="s">
        <v>546</v>
      </c>
      <c r="B192" s="2115"/>
      <c r="C192" s="2115"/>
      <c r="D192" s="2115"/>
      <c r="E192" s="2115"/>
      <c r="F192" s="2116"/>
      <c r="G192" s="61"/>
      <c r="H192" s="56"/>
      <c r="I192" s="1325"/>
      <c r="J192" s="1325"/>
      <c r="K192" s="1325"/>
      <c r="L192" s="1325"/>
      <c r="M192" s="1325"/>
    </row>
    <row r="193" spans="1:13" s="17" customFormat="1" ht="12.75" customHeight="1" x14ac:dyDescent="0.2">
      <c r="A193" s="243"/>
      <c r="B193" s="1427" t="s">
        <v>547</v>
      </c>
      <c r="C193" s="1427"/>
      <c r="D193" s="1427"/>
      <c r="E193" s="1427"/>
      <c r="F193" s="1428"/>
      <c r="G193" s="61"/>
      <c r="H193" s="56"/>
      <c r="I193" s="1325"/>
      <c r="J193" s="1325"/>
      <c r="K193" s="1325"/>
      <c r="L193" s="1325"/>
      <c r="M193" s="1325"/>
    </row>
    <row r="194" spans="1:13" s="17" customFormat="1" ht="12.75" customHeight="1" x14ac:dyDescent="0.2">
      <c r="A194" s="243"/>
      <c r="B194" s="1427" t="s">
        <v>548</v>
      </c>
      <c r="C194" s="1427"/>
      <c r="D194" s="1427"/>
      <c r="E194" s="1427"/>
      <c r="F194" s="1428"/>
      <c r="G194" s="61"/>
      <c r="H194" s="56"/>
      <c r="I194" s="1325"/>
      <c r="J194" s="1325"/>
      <c r="K194" s="1325"/>
      <c r="L194" s="1325"/>
      <c r="M194" s="1325"/>
    </row>
    <row r="195" spans="1:13" s="17" customFormat="1" ht="12.75" customHeight="1" x14ac:dyDescent="0.2">
      <c r="A195" s="243"/>
      <c r="B195" s="1427" t="s">
        <v>549</v>
      </c>
      <c r="C195" s="1427"/>
      <c r="D195" s="1427"/>
      <c r="E195" s="1427"/>
      <c r="F195" s="1428"/>
      <c r="G195" s="61"/>
      <c r="H195" s="56"/>
      <c r="I195" s="1325"/>
      <c r="J195" s="1325"/>
      <c r="K195" s="1325"/>
      <c r="L195" s="1325"/>
      <c r="M195" s="1325"/>
    </row>
    <row r="196" spans="1:13" s="17" customFormat="1" ht="12.75" customHeight="1" x14ac:dyDescent="0.2">
      <c r="A196" s="243"/>
      <c r="B196" s="1427" t="s">
        <v>550</v>
      </c>
      <c r="C196" s="1427"/>
      <c r="D196" s="1427"/>
      <c r="E196" s="1427"/>
      <c r="F196" s="1428"/>
      <c r="G196" s="61"/>
      <c r="H196" s="56"/>
      <c r="I196" s="1325"/>
      <c r="J196" s="1325"/>
      <c r="K196" s="1325"/>
      <c r="L196" s="1325"/>
      <c r="M196" s="1325"/>
    </row>
    <row r="197" spans="1:13" s="17" customFormat="1" ht="12.75" customHeight="1" x14ac:dyDescent="0.2">
      <c r="A197" s="243"/>
      <c r="B197" s="1427" t="s">
        <v>551</v>
      </c>
      <c r="C197" s="1427"/>
      <c r="D197" s="1427"/>
      <c r="E197" s="1427"/>
      <c r="F197" s="1428"/>
      <c r="G197" s="61"/>
      <c r="H197" s="56"/>
      <c r="I197" s="1325"/>
      <c r="J197" s="1325"/>
      <c r="K197" s="1325"/>
      <c r="L197" s="1325"/>
      <c r="M197" s="1325"/>
    </row>
    <row r="198" spans="1:13" s="17" customFormat="1" ht="12.75" customHeight="1" x14ac:dyDescent="0.2">
      <c r="A198" s="243"/>
      <c r="B198" s="1427" t="s">
        <v>552</v>
      </c>
      <c r="C198" s="1427"/>
      <c r="D198" s="1427"/>
      <c r="E198" s="1427"/>
      <c r="F198" s="1428"/>
      <c r="G198" s="61"/>
      <c r="H198" s="56"/>
      <c r="I198" s="1325"/>
      <c r="J198" s="1325"/>
      <c r="K198" s="1325"/>
      <c r="L198" s="1325"/>
      <c r="M198" s="1325"/>
    </row>
    <row r="199" spans="1:13" s="17" customFormat="1" ht="12.75" customHeight="1" x14ac:dyDescent="0.2">
      <c r="A199" s="243"/>
      <c r="B199" s="1427" t="s">
        <v>553</v>
      </c>
      <c r="C199" s="1427"/>
      <c r="D199" s="1427"/>
      <c r="E199" s="1427"/>
      <c r="F199" s="1428"/>
      <c r="G199" s="61"/>
      <c r="H199" s="56"/>
      <c r="I199" s="1325"/>
      <c r="J199" s="1325"/>
      <c r="K199" s="1325"/>
      <c r="L199" s="1325"/>
      <c r="M199" s="1325"/>
    </row>
    <row r="200" spans="1:13" s="17" customFormat="1" ht="12.75" customHeight="1" x14ac:dyDescent="0.2">
      <c r="A200" s="243"/>
      <c r="B200" s="1427" t="s">
        <v>554</v>
      </c>
      <c r="C200" s="1427"/>
      <c r="D200" s="1427"/>
      <c r="E200" s="1427"/>
      <c r="F200" s="1428"/>
      <c r="G200" s="61"/>
      <c r="H200" s="56"/>
      <c r="I200" s="1325"/>
      <c r="J200" s="1325"/>
      <c r="K200" s="1325"/>
      <c r="L200" s="1325"/>
      <c r="M200" s="1325"/>
    </row>
    <row r="201" spans="1:13" s="17" customFormat="1" ht="12.75" customHeight="1" x14ac:dyDescent="0.2">
      <c r="A201" s="243"/>
      <c r="B201" s="1427" t="s">
        <v>555</v>
      </c>
      <c r="C201" s="1427"/>
      <c r="D201" s="1427"/>
      <c r="E201" s="1427"/>
      <c r="F201" s="1428"/>
      <c r="G201" s="61"/>
      <c r="H201" s="56"/>
      <c r="I201" s="1325"/>
      <c r="J201" s="1325"/>
      <c r="K201" s="1325"/>
      <c r="L201" s="1325"/>
      <c r="M201" s="1325"/>
    </row>
    <row r="202" spans="1:13" s="17" customFormat="1" ht="12.75" customHeight="1" x14ac:dyDescent="0.2">
      <c r="A202" s="243"/>
      <c r="B202" s="1427" t="s">
        <v>556</v>
      </c>
      <c r="C202" s="1427"/>
      <c r="D202" s="1427"/>
      <c r="E202" s="1427"/>
      <c r="F202" s="1428"/>
      <c r="G202" s="61"/>
      <c r="H202" s="56"/>
      <c r="I202" s="1325"/>
      <c r="J202" s="1325"/>
      <c r="K202" s="1325"/>
      <c r="L202" s="1325"/>
      <c r="M202" s="1325"/>
    </row>
    <row r="203" spans="1:13" s="17" customFormat="1" ht="12.75" customHeight="1" x14ac:dyDescent="0.2">
      <c r="A203" s="2125" t="s">
        <v>427</v>
      </c>
      <c r="B203" s="2115"/>
      <c r="C203" s="2115"/>
      <c r="D203" s="2115"/>
      <c r="E203" s="2115"/>
      <c r="F203" s="2116"/>
      <c r="G203" s="61"/>
      <c r="H203" s="56"/>
      <c r="I203" s="1325"/>
      <c r="J203" s="1325"/>
      <c r="K203" s="1325"/>
      <c r="L203" s="1325"/>
      <c r="M203" s="1325"/>
    </row>
    <row r="204" spans="1:13" s="17" customFormat="1" x14ac:dyDescent="0.2">
      <c r="A204" s="255"/>
      <c r="B204" s="2133"/>
      <c r="C204" s="2133"/>
      <c r="D204" s="2133"/>
      <c r="E204" s="2133"/>
      <c r="F204" s="2134"/>
      <c r="G204" s="61"/>
      <c r="H204" s="56"/>
      <c r="I204" s="1325"/>
      <c r="J204" s="1325"/>
      <c r="K204" s="1325"/>
      <c r="L204" s="1325"/>
      <c r="M204" s="1325"/>
    </row>
    <row r="205" spans="1:13" s="17" customFormat="1" ht="12.75" customHeight="1" x14ac:dyDescent="0.2">
      <c r="A205" s="2040" t="s">
        <v>428</v>
      </c>
      <c r="B205" s="2041"/>
      <c r="C205" s="2041"/>
      <c r="D205" s="2041"/>
      <c r="E205" s="2041"/>
      <c r="F205" s="2042"/>
      <c r="G205" s="61"/>
      <c r="H205" s="56"/>
      <c r="I205" s="1325"/>
      <c r="J205" s="1325"/>
      <c r="K205" s="1325"/>
      <c r="L205" s="1325"/>
      <c r="M205" s="1325"/>
    </row>
    <row r="206" spans="1:13" s="17" customFormat="1" ht="51.75" customHeight="1" x14ac:dyDescent="0.2">
      <c r="A206" s="243"/>
      <c r="B206" s="1399" t="s">
        <v>429</v>
      </c>
      <c r="C206" s="1399"/>
      <c r="D206" s="1399"/>
      <c r="E206" s="1399"/>
      <c r="F206" s="1388"/>
      <c r="G206" s="61"/>
      <c r="H206" s="56"/>
      <c r="I206" s="1325"/>
      <c r="J206" s="1325"/>
      <c r="K206" s="1325"/>
      <c r="L206" s="1325"/>
      <c r="M206" s="1325"/>
    </row>
    <row r="207" spans="1:13" s="17" customFormat="1" ht="39" customHeight="1" x14ac:dyDescent="0.2">
      <c r="A207" s="243"/>
      <c r="B207" s="1399" t="s">
        <v>430</v>
      </c>
      <c r="C207" s="1399"/>
      <c r="D207" s="1399"/>
      <c r="E207" s="1399"/>
      <c r="F207" s="1388"/>
      <c r="G207" s="61"/>
      <c r="H207" s="56"/>
      <c r="I207" s="1325"/>
      <c r="J207" s="1325"/>
      <c r="K207" s="1325"/>
      <c r="L207" s="1325"/>
      <c r="M207" s="1325"/>
    </row>
    <row r="208" spans="1:13" s="17" customFormat="1" ht="12.75" customHeight="1" x14ac:dyDescent="0.2">
      <c r="A208" s="2040" t="s">
        <v>431</v>
      </c>
      <c r="B208" s="2041"/>
      <c r="C208" s="2041"/>
      <c r="D208" s="2041"/>
      <c r="E208" s="2041"/>
      <c r="F208" s="2042"/>
      <c r="G208" s="61"/>
      <c r="H208" s="56"/>
      <c r="I208" s="1325"/>
      <c r="J208" s="1325"/>
      <c r="K208" s="1325"/>
      <c r="L208" s="1325"/>
      <c r="M208" s="1325"/>
    </row>
    <row r="209" spans="1:13" s="17" customFormat="1" x14ac:dyDescent="0.2">
      <c r="A209" s="118"/>
      <c r="B209" s="1399"/>
      <c r="C209" s="1399"/>
      <c r="D209" s="1399"/>
      <c r="E209" s="1399"/>
      <c r="F209" s="1388"/>
      <c r="G209" s="61"/>
      <c r="H209" s="56"/>
      <c r="I209" s="1325"/>
      <c r="J209" s="1325"/>
      <c r="K209" s="1325"/>
      <c r="L209" s="1325"/>
      <c r="M209" s="1325"/>
    </row>
    <row r="210" spans="1:13" s="17" customFormat="1" x14ac:dyDescent="0.2">
      <c r="A210" s="34"/>
      <c r="B210" s="34"/>
      <c r="C210" s="34"/>
      <c r="D210" s="34"/>
      <c r="E210" s="34"/>
      <c r="F210" s="34"/>
      <c r="G210" s="34"/>
      <c r="H210" s="34"/>
      <c r="I210" s="34"/>
      <c r="J210" s="34"/>
      <c r="K210" s="34"/>
      <c r="L210" s="34"/>
      <c r="M210" s="34"/>
    </row>
    <row r="211" spans="1:13" s="17" customFormat="1" x14ac:dyDescent="0.2">
      <c r="A211" s="34"/>
      <c r="B211" s="44"/>
      <c r="C211" s="34"/>
      <c r="D211" s="34"/>
      <c r="E211" s="34"/>
      <c r="F211" s="34"/>
      <c r="G211" s="34"/>
      <c r="H211" s="34"/>
      <c r="I211" s="34"/>
      <c r="J211" s="34"/>
      <c r="K211" s="34"/>
      <c r="L211" s="34"/>
      <c r="M211" s="34"/>
    </row>
    <row r="212" spans="1:13" s="17" customFormat="1" ht="14.25" x14ac:dyDescent="0.2">
      <c r="A212" s="1546" t="s">
        <v>433</v>
      </c>
      <c r="B212" s="1536"/>
      <c r="C212" s="1536"/>
      <c r="D212" s="1536"/>
      <c r="E212" s="1536"/>
      <c r="F212" s="1354"/>
      <c r="G212" s="1354"/>
      <c r="H212" s="34"/>
      <c r="I212" s="34"/>
      <c r="J212" s="34"/>
      <c r="K212" s="34"/>
      <c r="L212" s="34"/>
      <c r="M212" s="34"/>
    </row>
    <row r="213" spans="1:13" s="17" customFormat="1" x14ac:dyDescent="0.2">
      <c r="A213" s="44"/>
      <c r="B213" s="34"/>
      <c r="C213" s="34"/>
      <c r="D213" s="34"/>
      <c r="E213" s="34"/>
      <c r="F213" s="68"/>
      <c r="G213" s="68"/>
      <c r="H213" s="34"/>
      <c r="I213" s="34"/>
      <c r="J213" s="34"/>
      <c r="K213" s="34"/>
      <c r="L213" s="34"/>
      <c r="M213" s="34"/>
    </row>
    <row r="214" spans="1:13" s="17" customFormat="1" x14ac:dyDescent="0.2">
      <c r="A214" s="2114" t="s">
        <v>1265</v>
      </c>
      <c r="B214" s="2114"/>
      <c r="C214" s="1426"/>
      <c r="D214" s="1428"/>
      <c r="E214" s="34"/>
      <c r="F214" s="68"/>
      <c r="G214" s="68"/>
      <c r="H214" s="34"/>
      <c r="I214" s="34"/>
      <c r="J214" s="34"/>
      <c r="K214" s="34"/>
      <c r="L214" s="34"/>
      <c r="M214" s="34"/>
    </row>
    <row r="215" spans="1:13" s="17" customFormat="1" x14ac:dyDescent="0.2">
      <c r="A215" s="251"/>
      <c r="B215" s="251"/>
      <c r="C215" s="64"/>
      <c r="D215" s="64"/>
      <c r="E215" s="34"/>
      <c r="F215" s="68"/>
      <c r="G215" s="68"/>
      <c r="H215" s="34"/>
      <c r="I215" s="34"/>
      <c r="J215" s="34"/>
      <c r="K215" s="34"/>
      <c r="L215" s="34"/>
      <c r="M215" s="34"/>
    </row>
    <row r="216" spans="1:13" s="17" customFormat="1" ht="12.75" customHeight="1" x14ac:dyDescent="0.2">
      <c r="A216" s="1355" t="s">
        <v>421</v>
      </c>
      <c r="B216" s="1355"/>
      <c r="C216" s="1355"/>
      <c r="D216" s="1355"/>
      <c r="E216" s="1355"/>
      <c r="F216" s="1355"/>
      <c r="G216" s="1355"/>
      <c r="H216" s="34"/>
      <c r="I216" s="34"/>
      <c r="J216" s="34"/>
      <c r="K216" s="34"/>
      <c r="L216" s="34"/>
      <c r="M216" s="34"/>
    </row>
    <row r="217" spans="1:13" s="17" customFormat="1" ht="27.75" customHeight="1" x14ac:dyDescent="0.2">
      <c r="A217" s="1346" t="s">
        <v>1266</v>
      </c>
      <c r="B217" s="1346"/>
      <c r="C217" s="1346"/>
      <c r="D217" s="1346"/>
      <c r="E217" s="1346"/>
      <c r="F217" s="1346"/>
      <c r="G217" s="1346"/>
      <c r="H217" s="1346"/>
      <c r="I217" s="1346"/>
      <c r="J217" s="1346"/>
      <c r="K217" s="1346"/>
      <c r="L217" s="1346"/>
      <c r="M217" s="1346"/>
    </row>
    <row r="218" spans="1:13" s="17" customFormat="1" ht="27" customHeight="1" x14ac:dyDescent="0.2">
      <c r="A218" s="1346" t="s">
        <v>1267</v>
      </c>
      <c r="B218" s="1346"/>
      <c r="C218" s="1346"/>
      <c r="D218" s="1346"/>
      <c r="E218" s="1346"/>
      <c r="F218" s="1346"/>
      <c r="G218" s="1346"/>
      <c r="H218" s="1346"/>
      <c r="I218" s="1346"/>
      <c r="J218" s="1346"/>
      <c r="K218" s="1346"/>
      <c r="L218" s="1346"/>
      <c r="M218" s="1346"/>
    </row>
    <row r="219" spans="1:13" s="17" customFormat="1" ht="27" customHeight="1" x14ac:dyDescent="0.2">
      <c r="A219" s="1346" t="s">
        <v>1268</v>
      </c>
      <c r="B219" s="1346"/>
      <c r="C219" s="1346"/>
      <c r="D219" s="1346"/>
      <c r="E219" s="1346"/>
      <c r="F219" s="1346"/>
      <c r="G219" s="1346"/>
      <c r="H219" s="1346"/>
      <c r="I219" s="1346"/>
      <c r="J219" s="1346"/>
      <c r="K219" s="1346"/>
      <c r="L219" s="1346"/>
      <c r="M219" s="1346"/>
    </row>
    <row r="220" spans="1:13" s="17" customFormat="1" ht="27" customHeight="1" x14ac:dyDescent="0.2">
      <c r="A220" s="1346" t="s">
        <v>1269</v>
      </c>
      <c r="B220" s="1346"/>
      <c r="C220" s="1346"/>
      <c r="D220" s="1346"/>
      <c r="E220" s="1346"/>
      <c r="F220" s="1346"/>
      <c r="G220" s="1346"/>
      <c r="H220" s="1346"/>
      <c r="I220" s="1346"/>
      <c r="J220" s="1346"/>
      <c r="K220" s="1346"/>
      <c r="L220" s="1346"/>
      <c r="M220" s="1346"/>
    </row>
    <row r="221" spans="1:13" s="17" customFormat="1" ht="40.5" customHeight="1" x14ac:dyDescent="0.2">
      <c r="A221" s="1346" t="s">
        <v>1270</v>
      </c>
      <c r="B221" s="1346"/>
      <c r="C221" s="1346"/>
      <c r="D221" s="1346"/>
      <c r="E221" s="1346"/>
      <c r="F221" s="1346"/>
      <c r="G221" s="1346"/>
      <c r="H221" s="1346"/>
      <c r="I221" s="1346"/>
      <c r="J221" s="1346"/>
      <c r="K221" s="1346"/>
      <c r="L221" s="1346"/>
      <c r="M221" s="1346"/>
    </row>
    <row r="222" spans="1:13" s="17" customFormat="1" ht="27" customHeight="1" x14ac:dyDescent="0.2">
      <c r="A222" s="1346" t="s">
        <v>1271</v>
      </c>
      <c r="B222" s="1346"/>
      <c r="C222" s="1346"/>
      <c r="D222" s="1346"/>
      <c r="E222" s="1346"/>
      <c r="F222" s="1346"/>
      <c r="G222" s="1346"/>
      <c r="H222" s="1346"/>
      <c r="I222" s="1346"/>
      <c r="J222" s="1346"/>
      <c r="K222" s="1346"/>
      <c r="L222" s="1346"/>
      <c r="M222" s="1346"/>
    </row>
    <row r="223" spans="1:13" s="17" customFormat="1" ht="40.5" customHeight="1" x14ac:dyDescent="0.2">
      <c r="A223" s="1346" t="s">
        <v>1272</v>
      </c>
      <c r="B223" s="1346"/>
      <c r="C223" s="1346"/>
      <c r="D223" s="1346"/>
      <c r="E223" s="1346"/>
      <c r="F223" s="1346"/>
      <c r="G223" s="1346"/>
      <c r="H223" s="1346"/>
      <c r="I223" s="1346"/>
      <c r="J223" s="1346"/>
      <c r="K223" s="1346"/>
      <c r="L223" s="1346"/>
      <c r="M223" s="1346"/>
    </row>
    <row r="224" spans="1:13" s="17" customFormat="1" ht="27" customHeight="1" x14ac:dyDescent="0.2">
      <c r="A224" s="1346" t="s">
        <v>1273</v>
      </c>
      <c r="B224" s="1346"/>
      <c r="C224" s="1346"/>
      <c r="D224" s="1346"/>
      <c r="E224" s="1346"/>
      <c r="F224" s="1346"/>
      <c r="G224" s="1346"/>
      <c r="H224" s="1346"/>
      <c r="I224" s="1346"/>
      <c r="J224" s="1346"/>
      <c r="K224" s="1346"/>
      <c r="L224" s="1346"/>
      <c r="M224" s="1346"/>
    </row>
    <row r="225" spans="1:13" s="17" customFormat="1" x14ac:dyDescent="0.2">
      <c r="A225" s="1346" t="s">
        <v>1274</v>
      </c>
      <c r="B225" s="1346"/>
      <c r="C225" s="1346"/>
      <c r="D225" s="1346"/>
      <c r="E225" s="1346"/>
      <c r="F225" s="1346"/>
      <c r="G225" s="1346"/>
      <c r="H225" s="1346"/>
      <c r="I225" s="1346"/>
      <c r="J225" s="1346"/>
      <c r="K225" s="1346"/>
      <c r="L225" s="1346"/>
      <c r="M225" s="1346"/>
    </row>
    <row r="226" spans="1:13" s="17" customFormat="1" x14ac:dyDescent="0.2">
      <c r="A226" s="34"/>
      <c r="B226" s="34"/>
      <c r="C226" s="34"/>
      <c r="D226" s="34"/>
      <c r="E226" s="34"/>
      <c r="F226" s="34"/>
      <c r="G226" s="34"/>
      <c r="H226" s="34"/>
      <c r="I226" s="34"/>
      <c r="J226" s="34"/>
      <c r="K226" s="34"/>
      <c r="L226" s="34"/>
    </row>
    <row r="227" spans="1:13" s="17" customFormat="1" ht="12.75" customHeight="1" x14ac:dyDescent="0.2">
      <c r="A227" s="1355" t="s">
        <v>1564</v>
      </c>
      <c r="B227" s="1355"/>
      <c r="C227" s="1355"/>
      <c r="D227" s="1355"/>
      <c r="E227" s="1355"/>
      <c r="F227" s="1355"/>
      <c r="G227" s="1355"/>
      <c r="H227" s="34"/>
      <c r="I227" s="34"/>
      <c r="J227" s="34"/>
      <c r="K227" s="34"/>
      <c r="L227" s="34"/>
    </row>
    <row r="228" spans="1:13" s="17" customFormat="1" x14ac:dyDescent="0.2">
      <c r="A228" s="1441" t="s">
        <v>342</v>
      </c>
      <c r="B228" s="1443"/>
      <c r="C228" s="1360" t="s">
        <v>78</v>
      </c>
      <c r="D228" s="1360"/>
      <c r="E228" s="1360"/>
      <c r="F228" s="1360"/>
      <c r="G228" s="34"/>
      <c r="H228" s="34"/>
      <c r="I228" s="34"/>
      <c r="J228" s="34"/>
      <c r="K228" s="34"/>
      <c r="L228" s="34"/>
    </row>
    <row r="229" spans="1:13" s="17" customFormat="1" x14ac:dyDescent="0.2">
      <c r="A229" s="2138" t="s">
        <v>432</v>
      </c>
      <c r="B229" s="2139"/>
      <c r="C229" s="2126" t="s">
        <v>433</v>
      </c>
      <c r="D229" s="2126"/>
      <c r="E229" s="2126"/>
      <c r="F229" s="2126"/>
      <c r="G229" s="34"/>
      <c r="H229" s="34"/>
      <c r="I229" s="34"/>
      <c r="J229" s="34"/>
      <c r="K229" s="34"/>
      <c r="L229" s="34"/>
    </row>
    <row r="230" spans="1:13" s="17" customFormat="1" x14ac:dyDescent="0.2">
      <c r="A230" s="44"/>
      <c r="B230" s="34"/>
      <c r="C230" s="34"/>
      <c r="D230" s="34"/>
      <c r="E230" s="34"/>
      <c r="F230" s="34"/>
      <c r="G230" s="34"/>
      <c r="H230" s="34"/>
      <c r="I230" s="34"/>
      <c r="J230" s="34"/>
      <c r="K230" s="34"/>
      <c r="L230" s="34"/>
    </row>
    <row r="231" spans="1:13" s="17" customFormat="1" ht="12.75" customHeight="1" x14ac:dyDescent="0.2">
      <c r="A231" s="1355" t="s">
        <v>423</v>
      </c>
      <c r="B231" s="1355"/>
      <c r="C231" s="1355"/>
      <c r="D231" s="1355"/>
      <c r="E231" s="1355"/>
      <c r="F231" s="1355"/>
      <c r="G231" s="1355"/>
      <c r="H231" s="1355"/>
      <c r="I231" s="1355"/>
      <c r="J231" s="34"/>
      <c r="K231" s="34"/>
      <c r="L231" s="34"/>
    </row>
    <row r="232" spans="1:13" s="17" customFormat="1" x14ac:dyDescent="0.2">
      <c r="A232" s="1447" t="s">
        <v>528</v>
      </c>
      <c r="B232" s="1447" t="s">
        <v>78</v>
      </c>
      <c r="C232" s="1447"/>
      <c r="D232" s="1447"/>
      <c r="E232" s="2128" t="s">
        <v>314</v>
      </c>
      <c r="F232" s="2129"/>
      <c r="G232" s="1447" t="s">
        <v>382</v>
      </c>
      <c r="H232" s="1447"/>
      <c r="I232" s="2140" t="s">
        <v>529</v>
      </c>
      <c r="J232" s="2140" t="s">
        <v>530</v>
      </c>
      <c r="K232" s="34"/>
      <c r="L232" s="34"/>
    </row>
    <row r="233" spans="1:13" s="17" customFormat="1" ht="12.75" customHeight="1" x14ac:dyDescent="0.2">
      <c r="A233" s="1447"/>
      <c r="B233" s="1447"/>
      <c r="C233" s="1447"/>
      <c r="D233" s="1447"/>
      <c r="E233" s="2130"/>
      <c r="F233" s="2131"/>
      <c r="G233" s="1447"/>
      <c r="H233" s="1447"/>
      <c r="I233" s="2141"/>
      <c r="J233" s="2141"/>
      <c r="K233" s="34"/>
      <c r="L233" s="34"/>
    </row>
    <row r="234" spans="1:13" s="17" customFormat="1" x14ac:dyDescent="0.2">
      <c r="A234" s="55" t="s">
        <v>432</v>
      </c>
      <c r="B234" s="1434" t="s">
        <v>433</v>
      </c>
      <c r="C234" s="1434"/>
      <c r="D234" s="1434"/>
      <c r="E234" s="2142" t="s">
        <v>432</v>
      </c>
      <c r="F234" s="1628"/>
      <c r="G234" s="2127">
        <v>0</v>
      </c>
      <c r="H234" s="1628"/>
      <c r="I234" s="61" t="s">
        <v>91</v>
      </c>
      <c r="J234" s="61" t="s">
        <v>619</v>
      </c>
      <c r="K234" s="34"/>
      <c r="L234" s="34"/>
    </row>
    <row r="235" spans="1:13" s="17" customFormat="1" x14ac:dyDescent="0.2">
      <c r="A235" s="44"/>
      <c r="B235" s="34"/>
      <c r="C235" s="34"/>
      <c r="D235" s="34"/>
      <c r="E235" s="34"/>
      <c r="F235" s="34"/>
      <c r="G235" s="34"/>
      <c r="H235" s="34"/>
      <c r="I235" s="34"/>
      <c r="J235" s="34"/>
      <c r="K235" s="34"/>
      <c r="L235" s="34"/>
    </row>
    <row r="236" spans="1:13" s="17" customFormat="1" ht="12.75" customHeight="1" x14ac:dyDescent="0.2">
      <c r="A236" s="1355" t="s">
        <v>422</v>
      </c>
      <c r="B236" s="1355"/>
      <c r="C236" s="1355"/>
      <c r="D236" s="1355"/>
      <c r="E236" s="1355"/>
      <c r="F236" s="34"/>
      <c r="G236" s="34"/>
      <c r="H236" s="34"/>
      <c r="I236" s="34"/>
      <c r="J236" s="34"/>
      <c r="K236" s="34"/>
      <c r="L236" s="34"/>
    </row>
    <row r="237" spans="1:13" s="17" customFormat="1" ht="12.75" customHeight="1" x14ac:dyDescent="0.2">
      <c r="A237" s="1203" t="s">
        <v>1275</v>
      </c>
      <c r="B237" s="1204"/>
      <c r="C237" s="1447" t="s">
        <v>78</v>
      </c>
      <c r="D237" s="1447"/>
      <c r="E237" s="1447"/>
      <c r="F237" s="1447"/>
      <c r="G237" s="1447" t="s">
        <v>382</v>
      </c>
      <c r="H237" s="1447"/>
      <c r="I237" s="1447" t="s">
        <v>531</v>
      </c>
      <c r="J237" s="1447" t="s">
        <v>424</v>
      </c>
      <c r="K237" s="1447"/>
      <c r="L237" s="34"/>
    </row>
    <row r="238" spans="1:13" s="17" customFormat="1" x14ac:dyDescent="0.2">
      <c r="A238" s="1205"/>
      <c r="B238" s="1206"/>
      <c r="C238" s="1447"/>
      <c r="D238" s="1447"/>
      <c r="E238" s="1447"/>
      <c r="F238" s="1447"/>
      <c r="G238" s="1447"/>
      <c r="H238" s="1447"/>
      <c r="I238" s="1447"/>
      <c r="J238" s="1447"/>
      <c r="K238" s="1447"/>
      <c r="L238" s="34"/>
    </row>
    <row r="239" spans="1:13" s="17" customFormat="1" x14ac:dyDescent="0.2">
      <c r="A239" s="1387"/>
      <c r="B239" s="1388"/>
      <c r="C239" s="1387"/>
      <c r="D239" s="1399"/>
      <c r="E239" s="1399"/>
      <c r="F239" s="1388"/>
      <c r="G239" s="1387"/>
      <c r="H239" s="1388"/>
      <c r="I239" s="176"/>
      <c r="J239" s="1362"/>
      <c r="K239" s="1362"/>
      <c r="L239" s="34"/>
    </row>
    <row r="240" spans="1:13" s="17" customFormat="1" x14ac:dyDescent="0.2">
      <c r="A240" s="1387"/>
      <c r="B240" s="1388"/>
      <c r="C240" s="1387"/>
      <c r="D240" s="1399"/>
      <c r="E240" s="1399"/>
      <c r="F240" s="1388"/>
      <c r="G240" s="1387"/>
      <c r="H240" s="1388"/>
      <c r="I240" s="176"/>
      <c r="J240" s="1362"/>
      <c r="K240" s="1362"/>
      <c r="L240" s="34"/>
    </row>
    <row r="241" spans="1:13" s="17" customFormat="1" x14ac:dyDescent="0.2">
      <c r="A241" s="1387"/>
      <c r="B241" s="1388"/>
      <c r="C241" s="1387"/>
      <c r="D241" s="1399"/>
      <c r="E241" s="1399"/>
      <c r="F241" s="1388"/>
      <c r="G241" s="1387"/>
      <c r="H241" s="1388"/>
      <c r="I241" s="176"/>
      <c r="J241" s="1362"/>
      <c r="K241" s="1362"/>
      <c r="L241" s="34"/>
    </row>
    <row r="242" spans="1:13" s="17" customFormat="1" x14ac:dyDescent="0.2">
      <c r="A242" s="1387"/>
      <c r="B242" s="1388"/>
      <c r="C242" s="1387"/>
      <c r="D242" s="1399"/>
      <c r="E242" s="1399"/>
      <c r="F242" s="1388"/>
      <c r="G242" s="1387"/>
      <c r="H242" s="1388"/>
      <c r="I242" s="176"/>
      <c r="J242" s="1362"/>
      <c r="K242" s="1362"/>
      <c r="L242" s="34"/>
    </row>
    <row r="243" spans="1:13" s="17" customFormat="1" x14ac:dyDescent="0.2">
      <c r="A243" s="250"/>
      <c r="B243" s="34"/>
      <c r="C243" s="34"/>
      <c r="D243" s="34"/>
      <c r="E243" s="34"/>
      <c r="F243" s="34"/>
      <c r="G243" s="34"/>
      <c r="H243" s="34"/>
      <c r="I243" s="34"/>
      <c r="J243" s="34"/>
      <c r="K243" s="34"/>
      <c r="L243" s="34"/>
    </row>
    <row r="244" spans="1:13" s="17" customFormat="1" x14ac:dyDescent="0.2"/>
    <row r="245" spans="1:13" s="17" customFormat="1" ht="14.25" x14ac:dyDescent="0.2">
      <c r="A245" s="1546" t="s">
        <v>1498</v>
      </c>
      <c r="B245" s="1536"/>
      <c r="C245" s="1536"/>
      <c r="D245" s="1536"/>
      <c r="E245" s="34"/>
      <c r="F245" s="34"/>
      <c r="G245" s="34"/>
      <c r="H245" s="34"/>
      <c r="I245" s="34"/>
      <c r="J245" s="34"/>
      <c r="K245" s="34"/>
      <c r="L245" s="34"/>
      <c r="M245" s="34"/>
    </row>
    <row r="246" spans="1:13" s="17" customFormat="1" x14ac:dyDescent="0.2">
      <c r="A246" s="44"/>
      <c r="B246" s="34"/>
      <c r="C246" s="34"/>
      <c r="D246" s="34"/>
      <c r="E246" s="34"/>
      <c r="F246" s="34"/>
      <c r="G246" s="34"/>
      <c r="H246" s="34"/>
      <c r="I246" s="34"/>
      <c r="J246" s="34"/>
      <c r="K246" s="34"/>
      <c r="L246" s="34"/>
      <c r="M246" s="34"/>
    </row>
    <row r="247" spans="1:13" s="17" customFormat="1" x14ac:dyDescent="0.2">
      <c r="A247" s="1310" t="s">
        <v>1416</v>
      </c>
      <c r="B247" s="1310"/>
      <c r="C247" s="1310"/>
      <c r="D247" s="1292" t="s">
        <v>1502</v>
      </c>
      <c r="E247" s="1292"/>
      <c r="F247" s="1292"/>
      <c r="G247" s="1292"/>
      <c r="H247" s="1292"/>
      <c r="I247" s="1292"/>
      <c r="J247" s="1292"/>
      <c r="K247" s="1292"/>
      <c r="L247" s="1292"/>
      <c r="M247" s="34"/>
    </row>
    <row r="248" spans="1:13" s="17" customFormat="1" x14ac:dyDescent="0.2">
      <c r="A248" s="18"/>
      <c r="B248" s="18"/>
      <c r="C248" s="18"/>
      <c r="D248" s="102"/>
      <c r="E248" s="102"/>
      <c r="F248" s="102"/>
      <c r="G248" s="102"/>
      <c r="H248" s="102"/>
      <c r="I248" s="102"/>
      <c r="J248" s="102"/>
      <c r="K248" s="102"/>
      <c r="L248" s="102"/>
      <c r="M248" s="34"/>
    </row>
    <row r="249" spans="1:13" s="17" customFormat="1" ht="27.75" customHeight="1" x14ac:dyDescent="0.2">
      <c r="A249" s="1655" t="s">
        <v>1505</v>
      </c>
      <c r="B249" s="1655"/>
      <c r="C249" s="1655"/>
      <c r="D249" s="1655"/>
      <c r="E249" s="1655"/>
      <c r="F249" s="1655"/>
      <c r="G249" s="1655"/>
      <c r="H249" s="1655"/>
      <c r="I249" s="1655"/>
      <c r="J249" s="1655"/>
      <c r="K249" s="1655"/>
      <c r="L249" s="1655"/>
    </row>
    <row r="250" spans="1:13" s="17" customFormat="1" ht="12.75" customHeight="1" x14ac:dyDescent="0.2">
      <c r="A250" s="1655" t="s">
        <v>1499</v>
      </c>
      <c r="B250" s="1655"/>
      <c r="C250" s="1655"/>
      <c r="D250" s="1655"/>
      <c r="E250" s="1655"/>
      <c r="F250" s="1655"/>
      <c r="G250" s="1655"/>
      <c r="H250" s="1655"/>
      <c r="I250" s="1655"/>
      <c r="J250" s="1655"/>
      <c r="K250" s="1655"/>
      <c r="L250" s="1655"/>
    </row>
    <row r="251" spans="1:13" s="17" customFormat="1" ht="12.75" customHeight="1" x14ac:dyDescent="0.2">
      <c r="A251" s="1655" t="s">
        <v>1500</v>
      </c>
      <c r="B251" s="1655"/>
      <c r="C251" s="1655"/>
      <c r="D251" s="1655"/>
      <c r="E251" s="1655"/>
      <c r="F251" s="1655"/>
      <c r="G251" s="1655"/>
      <c r="H251" s="1655"/>
      <c r="I251" s="1655"/>
      <c r="J251" s="1655"/>
      <c r="K251" s="1655"/>
      <c r="L251" s="1655"/>
    </row>
    <row r="252" spans="1:13" s="17" customFormat="1" ht="12.75" customHeight="1" x14ac:dyDescent="0.2">
      <c r="A252" s="1655" t="s">
        <v>1501</v>
      </c>
      <c r="B252" s="1655"/>
      <c r="C252" s="1655"/>
      <c r="D252" s="1655"/>
      <c r="E252" s="1655"/>
      <c r="F252" s="1655"/>
      <c r="G252" s="1655"/>
      <c r="H252" s="1655"/>
      <c r="I252" s="1655"/>
      <c r="J252" s="1655"/>
      <c r="K252" s="1655"/>
      <c r="L252" s="1655"/>
    </row>
    <row r="253" spans="1:13" s="17" customFormat="1" ht="12.75" customHeight="1" x14ac:dyDescent="0.2">
      <c r="A253" s="1655" t="s">
        <v>1507</v>
      </c>
      <c r="B253" s="1655"/>
      <c r="C253" s="1655"/>
      <c r="D253" s="1655"/>
      <c r="E253" s="1655"/>
      <c r="F253" s="1655"/>
      <c r="G253" s="1655"/>
      <c r="H253" s="1655"/>
      <c r="I253" s="1655"/>
      <c r="J253" s="1655"/>
      <c r="K253" s="1655"/>
      <c r="L253" s="1655"/>
    </row>
    <row r="254" spans="1:13" s="17" customFormat="1" x14ac:dyDescent="0.2"/>
    <row r="255" spans="1:13" s="17" customFormat="1" x14ac:dyDescent="0.2"/>
    <row r="256" spans="1:13" s="17" customFormat="1" ht="14.25" x14ac:dyDescent="0.2">
      <c r="A256" s="1546" t="s">
        <v>1504</v>
      </c>
      <c r="B256" s="1536"/>
      <c r="C256" s="1536"/>
      <c r="D256" s="1536"/>
      <c r="E256" s="34"/>
      <c r="F256" s="34"/>
      <c r="G256" s="34"/>
      <c r="H256" s="34"/>
      <c r="I256" s="34"/>
      <c r="J256" s="34"/>
      <c r="K256" s="34"/>
      <c r="L256" s="34"/>
      <c r="M256" s="34"/>
    </row>
    <row r="257" spans="1:13" s="17" customFormat="1" x14ac:dyDescent="0.2">
      <c r="A257" s="44"/>
      <c r="B257" s="34"/>
      <c r="C257" s="34"/>
      <c r="D257" s="34"/>
      <c r="E257" s="34"/>
      <c r="F257" s="34"/>
      <c r="G257" s="34"/>
      <c r="H257" s="34"/>
      <c r="I257" s="34"/>
      <c r="J257" s="34"/>
      <c r="K257" s="34"/>
      <c r="L257" s="34"/>
      <c r="M257" s="34"/>
    </row>
    <row r="258" spans="1:13" s="17" customFormat="1" x14ac:dyDescent="0.2">
      <c r="A258" s="1310" t="s">
        <v>1416</v>
      </c>
      <c r="B258" s="1310"/>
      <c r="C258" s="1310"/>
      <c r="D258" s="1292" t="s">
        <v>1503</v>
      </c>
      <c r="E258" s="1292"/>
      <c r="F258" s="1292"/>
      <c r="G258" s="1292"/>
      <c r="H258" s="1292"/>
      <c r="I258" s="1292"/>
      <c r="J258" s="1292"/>
      <c r="K258" s="1292"/>
      <c r="L258" s="1292"/>
      <c r="M258" s="34"/>
    </row>
    <row r="259" spans="1:13" s="17" customFormat="1" x14ac:dyDescent="0.2">
      <c r="A259" s="18"/>
      <c r="B259" s="18"/>
      <c r="C259" s="18"/>
      <c r="D259" s="102"/>
      <c r="E259" s="102"/>
      <c r="F259" s="102"/>
      <c r="G259" s="102"/>
      <c r="H259" s="102"/>
      <c r="I259" s="102"/>
      <c r="J259" s="102"/>
      <c r="K259" s="102"/>
      <c r="L259" s="102"/>
      <c r="M259" s="34"/>
    </row>
    <row r="260" spans="1:13" s="17" customFormat="1" ht="78.75" customHeight="1" x14ac:dyDescent="0.2">
      <c r="A260" s="1655" t="s">
        <v>1506</v>
      </c>
      <c r="B260" s="1655"/>
      <c r="C260" s="1655"/>
      <c r="D260" s="1655"/>
      <c r="E260" s="1655"/>
      <c r="F260" s="1655"/>
      <c r="G260" s="1655"/>
      <c r="H260" s="1655"/>
      <c r="I260" s="1655"/>
      <c r="J260" s="1655"/>
      <c r="K260" s="1655"/>
      <c r="L260" s="1655"/>
    </row>
    <row r="261" spans="1:13" s="17" customFormat="1" ht="12.75" customHeight="1" x14ac:dyDescent="0.2">
      <c r="A261" s="1655" t="s">
        <v>1499</v>
      </c>
      <c r="B261" s="1655"/>
      <c r="C261" s="1655"/>
      <c r="D261" s="1655"/>
      <c r="E261" s="1655"/>
      <c r="F261" s="1655"/>
      <c r="G261" s="1655"/>
      <c r="H261" s="1655"/>
      <c r="I261" s="1655"/>
      <c r="J261" s="1655"/>
      <c r="K261" s="1655"/>
      <c r="L261" s="1655"/>
    </row>
    <row r="262" spans="1:13" s="17" customFormat="1" ht="12.75" customHeight="1" x14ac:dyDescent="0.2">
      <c r="A262" s="1655" t="s">
        <v>1500</v>
      </c>
      <c r="B262" s="1655"/>
      <c r="C262" s="1655"/>
      <c r="D262" s="1655"/>
      <c r="E262" s="1655"/>
      <c r="F262" s="1655"/>
      <c r="G262" s="1655"/>
      <c r="H262" s="1655"/>
      <c r="I262" s="1655"/>
      <c r="J262" s="1655"/>
      <c r="K262" s="1655"/>
      <c r="L262" s="1655"/>
    </row>
    <row r="263" spans="1:13" s="17" customFormat="1" ht="12.75" customHeight="1" x14ac:dyDescent="0.2">
      <c r="A263" s="1655" t="s">
        <v>1501</v>
      </c>
      <c r="B263" s="1655"/>
      <c r="C263" s="1655"/>
      <c r="D263" s="1655"/>
      <c r="E263" s="1655"/>
      <c r="F263" s="1655"/>
      <c r="G263" s="1655"/>
      <c r="H263" s="1655"/>
      <c r="I263" s="1655"/>
      <c r="J263" s="1655"/>
      <c r="K263" s="1655"/>
      <c r="L263" s="1655"/>
    </row>
    <row r="264" spans="1:13" s="17" customFormat="1" ht="12.75" customHeight="1" x14ac:dyDescent="0.2">
      <c r="A264" s="1655" t="s">
        <v>1507</v>
      </c>
      <c r="B264" s="1655"/>
      <c r="C264" s="1655"/>
      <c r="D264" s="1655"/>
      <c r="E264" s="1655"/>
      <c r="F264" s="1655"/>
      <c r="G264" s="1655"/>
      <c r="H264" s="1655"/>
      <c r="I264" s="1655"/>
      <c r="J264" s="1655"/>
      <c r="K264" s="1655"/>
      <c r="L264" s="1655"/>
    </row>
    <row r="265" spans="1:13" s="17" customFormat="1" x14ac:dyDescent="0.2"/>
    <row r="266" spans="1:13" s="17" customFormat="1" ht="15" x14ac:dyDescent="0.2">
      <c r="A266" s="465" t="s">
        <v>1697</v>
      </c>
      <c r="B266" s="19"/>
    </row>
    <row r="267" spans="1:13" s="17" customFormat="1" x14ac:dyDescent="0.2"/>
    <row r="268" spans="1:13" s="17" customFormat="1" x14ac:dyDescent="0.2"/>
    <row r="269" spans="1:13" s="17" customFormat="1" x14ac:dyDescent="0.2"/>
    <row r="270" spans="1:13" s="17" customFormat="1" x14ac:dyDescent="0.2"/>
    <row r="271" spans="1:13" s="17" customFormat="1" x14ac:dyDescent="0.2"/>
    <row r="272" spans="1:13" s="17" customFormat="1" x14ac:dyDescent="0.2"/>
    <row r="273" s="17" customFormat="1" x14ac:dyDescent="0.2"/>
    <row r="274" s="17" customFormat="1" x14ac:dyDescent="0.2"/>
    <row r="275" s="17" customFormat="1" x14ac:dyDescent="0.2"/>
    <row r="276" s="17" customFormat="1" x14ac:dyDescent="0.2"/>
    <row r="277" s="17" customFormat="1" x14ac:dyDescent="0.2"/>
    <row r="278" s="17" customFormat="1" x14ac:dyDescent="0.2"/>
    <row r="279" s="17" customFormat="1" x14ac:dyDescent="0.2"/>
    <row r="280" s="17" customFormat="1" x14ac:dyDescent="0.2"/>
    <row r="281" s="17" customFormat="1" x14ac:dyDescent="0.2"/>
    <row r="282" s="17" customFormat="1" x14ac:dyDescent="0.2"/>
    <row r="283" s="17" customFormat="1" x14ac:dyDescent="0.2"/>
    <row r="284" s="17" customFormat="1" x14ac:dyDescent="0.2"/>
    <row r="285" s="17" customFormat="1" x14ac:dyDescent="0.2"/>
    <row r="286" s="17" customFormat="1" x14ac:dyDescent="0.2"/>
    <row r="287" s="17" customFormat="1" x14ac:dyDescent="0.2"/>
    <row r="288" s="17" customFormat="1" x14ac:dyDescent="0.2"/>
    <row r="289" s="17" customFormat="1" x14ac:dyDescent="0.2"/>
    <row r="290" s="17" customFormat="1" x14ac:dyDescent="0.2"/>
    <row r="291" s="17" customFormat="1" x14ac:dyDescent="0.2"/>
    <row r="292" s="17" customFormat="1" x14ac:dyDescent="0.2"/>
    <row r="293" s="17" customFormat="1" x14ac:dyDescent="0.2"/>
    <row r="294" s="17" customFormat="1" x14ac:dyDescent="0.2"/>
    <row r="295" s="17" customFormat="1" x14ac:dyDescent="0.2"/>
    <row r="296" s="17" customFormat="1" x14ac:dyDescent="0.2"/>
    <row r="297" s="17" customFormat="1" x14ac:dyDescent="0.2"/>
    <row r="298" s="17" customFormat="1" x14ac:dyDescent="0.2"/>
    <row r="299" s="17" customFormat="1" x14ac:dyDescent="0.2"/>
    <row r="300" s="17" customFormat="1" x14ac:dyDescent="0.2"/>
    <row r="301" s="17" customFormat="1" x14ac:dyDescent="0.2"/>
    <row r="302" s="17" customFormat="1" x14ac:dyDescent="0.2"/>
    <row r="303" s="17" customFormat="1" x14ac:dyDescent="0.2"/>
    <row r="304" s="17" customFormat="1" x14ac:dyDescent="0.2"/>
    <row r="305" s="17" customFormat="1" x14ac:dyDescent="0.2"/>
    <row r="306" s="17" customFormat="1" x14ac:dyDescent="0.2"/>
    <row r="307" s="17" customFormat="1" x14ac:dyDescent="0.2"/>
    <row r="308" s="17" customFormat="1" x14ac:dyDescent="0.2"/>
    <row r="309" s="17" customFormat="1" x14ac:dyDescent="0.2"/>
    <row r="310" s="17" customFormat="1" x14ac:dyDescent="0.2"/>
    <row r="311" s="17" customFormat="1" x14ac:dyDescent="0.2"/>
    <row r="312" s="17" customFormat="1" x14ac:dyDescent="0.2"/>
    <row r="313" s="17" customFormat="1" x14ac:dyDescent="0.2"/>
    <row r="314" s="17" customFormat="1" x14ac:dyDescent="0.2"/>
    <row r="315" s="17" customFormat="1" x14ac:dyDescent="0.2"/>
    <row r="316" s="17" customFormat="1" x14ac:dyDescent="0.2"/>
    <row r="317" s="17" customFormat="1" x14ac:dyDescent="0.2"/>
    <row r="318" s="17" customFormat="1" x14ac:dyDescent="0.2"/>
    <row r="319" s="17" customFormat="1" x14ac:dyDescent="0.2"/>
    <row r="320" s="17" customFormat="1" x14ac:dyDescent="0.2"/>
    <row r="321" s="17" customFormat="1" x14ac:dyDescent="0.2"/>
    <row r="322" s="17" customFormat="1" x14ac:dyDescent="0.2"/>
    <row r="323" s="17" customFormat="1" x14ac:dyDescent="0.2"/>
    <row r="324" s="17" customFormat="1" x14ac:dyDescent="0.2"/>
    <row r="325" s="17" customFormat="1" x14ac:dyDescent="0.2"/>
    <row r="326" s="17" customFormat="1" x14ac:dyDescent="0.2"/>
    <row r="327" s="17" customFormat="1" x14ac:dyDescent="0.2"/>
    <row r="328" s="17" customFormat="1" x14ac:dyDescent="0.2"/>
    <row r="329" s="17" customFormat="1" x14ac:dyDescent="0.2"/>
    <row r="330" s="17" customFormat="1" x14ac:dyDescent="0.2"/>
    <row r="331" s="17" customFormat="1" x14ac:dyDescent="0.2"/>
    <row r="332" s="17" customFormat="1" x14ac:dyDescent="0.2"/>
    <row r="333" s="17" customFormat="1" x14ac:dyDescent="0.2"/>
    <row r="334" s="17" customFormat="1" x14ac:dyDescent="0.2"/>
    <row r="335" s="17" customFormat="1" x14ac:dyDescent="0.2"/>
    <row r="336" s="17" customFormat="1" x14ac:dyDescent="0.2"/>
    <row r="337" s="17" customFormat="1" x14ac:dyDescent="0.2"/>
    <row r="338" s="17" customFormat="1" x14ac:dyDescent="0.2"/>
    <row r="339" s="17" customFormat="1" x14ac:dyDescent="0.2"/>
    <row r="340" s="17" customFormat="1" x14ac:dyDescent="0.2"/>
    <row r="341" s="17" customFormat="1" x14ac:dyDescent="0.2"/>
    <row r="342" s="17" customFormat="1" x14ac:dyDescent="0.2"/>
    <row r="343" s="17" customFormat="1" x14ac:dyDescent="0.2"/>
    <row r="344" s="17" customFormat="1" x14ac:dyDescent="0.2"/>
    <row r="345" s="17" customFormat="1" x14ac:dyDescent="0.2"/>
    <row r="346" s="17" customFormat="1" x14ac:dyDescent="0.2"/>
    <row r="347" s="17" customFormat="1" x14ac:dyDescent="0.2"/>
    <row r="348" s="17" customFormat="1" x14ac:dyDescent="0.2"/>
    <row r="349" s="17" customFormat="1" x14ac:dyDescent="0.2"/>
    <row r="350" s="17" customFormat="1" x14ac:dyDescent="0.2"/>
    <row r="351" s="17" customFormat="1" x14ac:dyDescent="0.2"/>
    <row r="352" s="17" customFormat="1" x14ac:dyDescent="0.2"/>
    <row r="353" s="17" customFormat="1" x14ac:dyDescent="0.2"/>
    <row r="354" s="17" customFormat="1" x14ac:dyDescent="0.2"/>
    <row r="355" s="17" customFormat="1" x14ac:dyDescent="0.2"/>
    <row r="356" s="17" customFormat="1" x14ac:dyDescent="0.2"/>
    <row r="357" s="17" customFormat="1" x14ac:dyDescent="0.2"/>
    <row r="358" s="17" customFormat="1" x14ac:dyDescent="0.2"/>
    <row r="359" s="17" customFormat="1" x14ac:dyDescent="0.2"/>
    <row r="360" s="17" customFormat="1" x14ac:dyDescent="0.2"/>
    <row r="361" s="17" customFormat="1" x14ac:dyDescent="0.2"/>
    <row r="362" s="17" customFormat="1" x14ac:dyDescent="0.2"/>
    <row r="363" s="17" customFormat="1" x14ac:dyDescent="0.2"/>
    <row r="364" s="17" customFormat="1" x14ac:dyDescent="0.2"/>
    <row r="365" s="17" customFormat="1" x14ac:dyDescent="0.2"/>
    <row r="366" s="17" customFormat="1" x14ac:dyDescent="0.2"/>
    <row r="367" s="17" customFormat="1" x14ac:dyDescent="0.2"/>
    <row r="368" s="17" customFormat="1" x14ac:dyDescent="0.2"/>
    <row r="369" s="17" customFormat="1" x14ac:dyDescent="0.2"/>
    <row r="370" s="17" customFormat="1" x14ac:dyDescent="0.2"/>
    <row r="371" s="17" customFormat="1" x14ac:dyDescent="0.2"/>
    <row r="372" s="17" customFormat="1" x14ac:dyDescent="0.2"/>
    <row r="373" s="17" customFormat="1" x14ac:dyDescent="0.2"/>
    <row r="374" s="17" customFormat="1" x14ac:dyDescent="0.2"/>
    <row r="375" s="17" customFormat="1" x14ac:dyDescent="0.2"/>
    <row r="376" s="17" customFormat="1" x14ac:dyDescent="0.2"/>
    <row r="377" s="17" customFormat="1" x14ac:dyDescent="0.2"/>
    <row r="378" s="17" customFormat="1" x14ac:dyDescent="0.2"/>
    <row r="379" s="17" customFormat="1" x14ac:dyDescent="0.2"/>
    <row r="380" s="17" customFormat="1" x14ac:dyDescent="0.2"/>
    <row r="381" s="17" customFormat="1" x14ac:dyDescent="0.2"/>
    <row r="382" s="17" customFormat="1" x14ac:dyDescent="0.2"/>
    <row r="383" s="17" customFormat="1" x14ac:dyDescent="0.2"/>
    <row r="384" s="17" customFormat="1" x14ac:dyDescent="0.2"/>
    <row r="385" s="17" customFormat="1" x14ac:dyDescent="0.2"/>
    <row r="386" s="17" customFormat="1" x14ac:dyDescent="0.2"/>
    <row r="387" s="17" customFormat="1" x14ac:dyDescent="0.2"/>
    <row r="388" s="17" customFormat="1" x14ac:dyDescent="0.2"/>
    <row r="389" s="17" customFormat="1" x14ac:dyDescent="0.2"/>
    <row r="390" s="17" customFormat="1" x14ac:dyDescent="0.2"/>
    <row r="391" s="17" customFormat="1" x14ac:dyDescent="0.2"/>
    <row r="392" s="17" customFormat="1" x14ac:dyDescent="0.2"/>
    <row r="393" s="17" customFormat="1" x14ac:dyDescent="0.2"/>
    <row r="394" s="17" customFormat="1" x14ac:dyDescent="0.2"/>
    <row r="395" s="17" customFormat="1" x14ac:dyDescent="0.2"/>
    <row r="396" s="17" customFormat="1" x14ac:dyDescent="0.2"/>
    <row r="397" s="17" customFormat="1" x14ac:dyDescent="0.2"/>
    <row r="398" s="17" customFormat="1" x14ac:dyDescent="0.2"/>
    <row r="399" s="17" customFormat="1" x14ac:dyDescent="0.2"/>
    <row r="400" s="17" customFormat="1" x14ac:dyDescent="0.2"/>
    <row r="401" s="17" customFormat="1" x14ac:dyDescent="0.2"/>
    <row r="402" s="17" customFormat="1" x14ac:dyDescent="0.2"/>
    <row r="403" s="17" customFormat="1" x14ac:dyDescent="0.2"/>
    <row r="404" s="17" customFormat="1" x14ac:dyDescent="0.2"/>
    <row r="405" s="17" customFormat="1" x14ac:dyDescent="0.2"/>
    <row r="406" s="17" customFormat="1" x14ac:dyDescent="0.2"/>
    <row r="407" s="17" customFormat="1" x14ac:dyDescent="0.2"/>
    <row r="408" s="17" customFormat="1" x14ac:dyDescent="0.2"/>
    <row r="409" s="17" customFormat="1" x14ac:dyDescent="0.2"/>
    <row r="410" s="17" customFormat="1" x14ac:dyDescent="0.2"/>
    <row r="411" s="17" customFormat="1" x14ac:dyDescent="0.2"/>
    <row r="412" s="17" customFormat="1" x14ac:dyDescent="0.2"/>
    <row r="413" s="17" customFormat="1" x14ac:dyDescent="0.2"/>
    <row r="414" s="17" customFormat="1" x14ac:dyDescent="0.2"/>
    <row r="415" s="17" customFormat="1" x14ac:dyDescent="0.2"/>
    <row r="416" s="17" customFormat="1" x14ac:dyDescent="0.2"/>
    <row r="417" s="17" customFormat="1" x14ac:dyDescent="0.2"/>
    <row r="418" s="17" customFormat="1" x14ac:dyDescent="0.2"/>
    <row r="419" s="17" customFormat="1" x14ac:dyDescent="0.2"/>
    <row r="420" s="17" customFormat="1" x14ac:dyDescent="0.2"/>
    <row r="421" s="17" customFormat="1" x14ac:dyDescent="0.2"/>
    <row r="422" s="17" customFormat="1" x14ac:dyDescent="0.2"/>
    <row r="423" s="17" customFormat="1" x14ac:dyDescent="0.2"/>
    <row r="424" s="17" customFormat="1" x14ac:dyDescent="0.2"/>
    <row r="425" s="17" customFormat="1" x14ac:dyDescent="0.2"/>
    <row r="426" s="17" customFormat="1" x14ac:dyDescent="0.2"/>
    <row r="427" s="17" customFormat="1" x14ac:dyDescent="0.2"/>
    <row r="428" s="17" customFormat="1" x14ac:dyDescent="0.2"/>
    <row r="429" s="17" customFormat="1" x14ac:dyDescent="0.2"/>
    <row r="430" s="17" customFormat="1" x14ac:dyDescent="0.2"/>
    <row r="431" s="17" customFormat="1" x14ac:dyDescent="0.2"/>
    <row r="432" s="17" customFormat="1" x14ac:dyDescent="0.2"/>
    <row r="433" s="17" customFormat="1" x14ac:dyDescent="0.2"/>
    <row r="434" s="17" customFormat="1" x14ac:dyDescent="0.2"/>
    <row r="435" s="17" customFormat="1" x14ac:dyDescent="0.2"/>
  </sheetData>
  <customSheetViews>
    <customSheetView guid="{4892E1C0-7A56-4F81-A857-987D77EC4462}">
      <selection activeCell="K16" sqref="K16"/>
      <pageMargins left="0.7" right="0.7" top="0.75" bottom="0.75" header="0.3" footer="0.3"/>
      <pageSetup orientation="landscape" r:id="rId1"/>
      <headerFooter>
        <oddHeader>&amp;L&amp;G&amp;CShowAcronymGoesHere - PSM&amp;R&amp;P</oddHeader>
        <oddFooter>&amp;L&amp;D&amp;R&amp;Z&amp;F</oddFooter>
      </headerFooter>
    </customSheetView>
    <customSheetView guid="{C29C6423-4E3D-4B08-919E-993C7C45FC31}">
      <selection activeCell="K16" sqref="K16"/>
      <pageMargins left="0.7" right="0.7" top="0.75" bottom="0.75" header="0.3" footer="0.3"/>
      <pageSetup orientation="landscape" r:id="rId2"/>
      <headerFooter>
        <oddHeader>&amp;L&amp;G&amp;CShowAcronymGoesHere - PSM&amp;R&amp;P</oddHeader>
        <oddFooter>&amp;L&amp;D&amp;R&amp;Z&amp;F</oddFooter>
      </headerFooter>
    </customSheetView>
  </customSheetViews>
  <mergeCells count="382">
    <mergeCell ref="A263:L263"/>
    <mergeCell ref="A253:L253"/>
    <mergeCell ref="A264:L264"/>
    <mergeCell ref="A250:L250"/>
    <mergeCell ref="A251:L251"/>
    <mergeCell ref="A252:L252"/>
    <mergeCell ref="A256:D256"/>
    <mergeCell ref="A258:C258"/>
    <mergeCell ref="D258:L258"/>
    <mergeCell ref="A260:L260"/>
    <mergeCell ref="A261:L261"/>
    <mergeCell ref="A262:L262"/>
    <mergeCell ref="A245:D245"/>
    <mergeCell ref="A247:C247"/>
    <mergeCell ref="D247:L247"/>
    <mergeCell ref="A249:L249"/>
    <mergeCell ref="I232:I233"/>
    <mergeCell ref="J232:J233"/>
    <mergeCell ref="A242:B242"/>
    <mergeCell ref="C242:F242"/>
    <mergeCell ref="E234:F234"/>
    <mergeCell ref="C239:F239"/>
    <mergeCell ref="A227:G227"/>
    <mergeCell ref="A228:B228"/>
    <mergeCell ref="A229:B229"/>
    <mergeCell ref="C228:F228"/>
    <mergeCell ref="A241:B241"/>
    <mergeCell ref="A240:B240"/>
    <mergeCell ref="A237:B238"/>
    <mergeCell ref="A239:B239"/>
    <mergeCell ref="C241:F241"/>
    <mergeCell ref="A222:M222"/>
    <mergeCell ref="L206:M206"/>
    <mergeCell ref="L207:M207"/>
    <mergeCell ref="L208:M208"/>
    <mergeCell ref="L209:M209"/>
    <mergeCell ref="A214:B214"/>
    <mergeCell ref="C214:D214"/>
    <mergeCell ref="I208:K208"/>
    <mergeCell ref="I209:K209"/>
    <mergeCell ref="I206:K206"/>
    <mergeCell ref="A216:G216"/>
    <mergeCell ref="A217:M217"/>
    <mergeCell ref="A218:M218"/>
    <mergeCell ref="A219:M219"/>
    <mergeCell ref="A220:M220"/>
    <mergeCell ref="A221:M221"/>
    <mergeCell ref="B206:F206"/>
    <mergeCell ref="B207:F207"/>
    <mergeCell ref="L200:M200"/>
    <mergeCell ref="L201:M201"/>
    <mergeCell ref="L202:M202"/>
    <mergeCell ref="L203:M203"/>
    <mergeCell ref="L204:M204"/>
    <mergeCell ref="L205:M205"/>
    <mergeCell ref="I202:K202"/>
    <mergeCell ref="I203:K203"/>
    <mergeCell ref="I204:K204"/>
    <mergeCell ref="I205:K205"/>
    <mergeCell ref="I200:K200"/>
    <mergeCell ref="L191:M191"/>
    <mergeCell ref="L192:M192"/>
    <mergeCell ref="L193:M193"/>
    <mergeCell ref="L194:M194"/>
    <mergeCell ref="L195:M195"/>
    <mergeCell ref="L196:M196"/>
    <mergeCell ref="L197:M197"/>
    <mergeCell ref="L198:M198"/>
    <mergeCell ref="L199:M199"/>
    <mergeCell ref="L182:M182"/>
    <mergeCell ref="L183:M183"/>
    <mergeCell ref="L184:M184"/>
    <mergeCell ref="L185:M185"/>
    <mergeCell ref="L186:M186"/>
    <mergeCell ref="L187:M187"/>
    <mergeCell ref="L188:M188"/>
    <mergeCell ref="L189:M189"/>
    <mergeCell ref="L190:M190"/>
    <mergeCell ref="L144:M144"/>
    <mergeCell ref="L145:M145"/>
    <mergeCell ref="L146:M146"/>
    <mergeCell ref="L147:M147"/>
    <mergeCell ref="L148:M148"/>
    <mergeCell ref="L149:M149"/>
    <mergeCell ref="L152:M152"/>
    <mergeCell ref="L153:M153"/>
    <mergeCell ref="L154:M154"/>
    <mergeCell ref="L150:M150"/>
    <mergeCell ref="L151:M151"/>
    <mergeCell ref="L164:M164"/>
    <mergeCell ref="L165:M165"/>
    <mergeCell ref="L166:M166"/>
    <mergeCell ref="L167:M167"/>
    <mergeCell ref="L168:M168"/>
    <mergeCell ref="I186:K186"/>
    <mergeCell ref="I187:K187"/>
    <mergeCell ref="I165:K165"/>
    <mergeCell ref="I166:K166"/>
    <mergeCell ref="I167:K167"/>
    <mergeCell ref="I168:K168"/>
    <mergeCell ref="L169:M169"/>
    <mergeCell ref="L170:M170"/>
    <mergeCell ref="L171:M171"/>
    <mergeCell ref="L172:M172"/>
    <mergeCell ref="L173:M173"/>
    <mergeCell ref="L174:M174"/>
    <mergeCell ref="L175:M175"/>
    <mergeCell ref="L176:M176"/>
    <mergeCell ref="L177:M177"/>
    <mergeCell ref="L178:M178"/>
    <mergeCell ref="L179:M179"/>
    <mergeCell ref="L180:M180"/>
    <mergeCell ref="L181:M181"/>
    <mergeCell ref="L155:M155"/>
    <mergeCell ref="L156:M156"/>
    <mergeCell ref="L157:M157"/>
    <mergeCell ref="L158:M158"/>
    <mergeCell ref="L159:M159"/>
    <mergeCell ref="L160:M160"/>
    <mergeCell ref="L161:M161"/>
    <mergeCell ref="L162:M162"/>
    <mergeCell ref="L163:M163"/>
    <mergeCell ref="I144:K144"/>
    <mergeCell ref="I145:K145"/>
    <mergeCell ref="I146:K146"/>
    <mergeCell ref="I147:K147"/>
    <mergeCell ref="I148:K148"/>
    <mergeCell ref="I149:K149"/>
    <mergeCell ref="I154:K154"/>
    <mergeCell ref="I155:K155"/>
    <mergeCell ref="I164:K164"/>
    <mergeCell ref="I150:K150"/>
    <mergeCell ref="I151:K151"/>
    <mergeCell ref="I156:K156"/>
    <mergeCell ref="I157:K157"/>
    <mergeCell ref="I158:K158"/>
    <mergeCell ref="I159:K159"/>
    <mergeCell ref="I152:K152"/>
    <mergeCell ref="I153:K153"/>
    <mergeCell ref="I169:K169"/>
    <mergeCell ref="I171:K171"/>
    <mergeCell ref="I172:K172"/>
    <mergeCell ref="I173:K173"/>
    <mergeCell ref="I174:K174"/>
    <mergeCell ref="I175:K175"/>
    <mergeCell ref="I176:K176"/>
    <mergeCell ref="B209:F209"/>
    <mergeCell ref="B189:F189"/>
    <mergeCell ref="B190:F190"/>
    <mergeCell ref="A187:F187"/>
    <mergeCell ref="B173:F173"/>
    <mergeCell ref="I190:K190"/>
    <mergeCell ref="I191:K191"/>
    <mergeCell ref="I192:K192"/>
    <mergeCell ref="I193:K193"/>
    <mergeCell ref="I207:K207"/>
    <mergeCell ref="I198:K198"/>
    <mergeCell ref="I199:K199"/>
    <mergeCell ref="I196:K196"/>
    <mergeCell ref="I197:K197"/>
    <mergeCell ref="A208:F208"/>
    <mergeCell ref="A192:F192"/>
    <mergeCell ref="A182:F182"/>
    <mergeCell ref="B167:F167"/>
    <mergeCell ref="B185:F185"/>
    <mergeCell ref="B186:F186"/>
    <mergeCell ref="B188:F188"/>
    <mergeCell ref="I160:K160"/>
    <mergeCell ref="I161:K161"/>
    <mergeCell ref="I162:K162"/>
    <mergeCell ref="I163:K163"/>
    <mergeCell ref="I201:K201"/>
    <mergeCell ref="I194:K194"/>
    <mergeCell ref="I195:K195"/>
    <mergeCell ref="I178:K178"/>
    <mergeCell ref="I179:K179"/>
    <mergeCell ref="I180:K180"/>
    <mergeCell ref="I181:K181"/>
    <mergeCell ref="I182:K182"/>
    <mergeCell ref="I183:K183"/>
    <mergeCell ref="I188:K188"/>
    <mergeCell ref="I189:K189"/>
    <mergeCell ref="A166:F166"/>
    <mergeCell ref="I184:K184"/>
    <mergeCell ref="I185:K185"/>
    <mergeCell ref="I177:K177"/>
    <mergeCell ref="I170:K170"/>
    <mergeCell ref="A179:F179"/>
    <mergeCell ref="A176:F176"/>
    <mergeCell ref="A171:F171"/>
    <mergeCell ref="B200:F200"/>
    <mergeCell ref="B180:F180"/>
    <mergeCell ref="B181:F181"/>
    <mergeCell ref="B204:F204"/>
    <mergeCell ref="B184:F184"/>
    <mergeCell ref="B175:F175"/>
    <mergeCell ref="B174:F174"/>
    <mergeCell ref="B195:F195"/>
    <mergeCell ref="B201:F201"/>
    <mergeCell ref="B202:F202"/>
    <mergeCell ref="B199:F199"/>
    <mergeCell ref="A203:F203"/>
    <mergeCell ref="A23:M23"/>
    <mergeCell ref="B193:F193"/>
    <mergeCell ref="B194:F194"/>
    <mergeCell ref="A24:M24"/>
    <mergeCell ref="A28:M28"/>
    <mergeCell ref="A29:M29"/>
    <mergeCell ref="A30:M30"/>
    <mergeCell ref="A31:M31"/>
    <mergeCell ref="A54:C54"/>
    <mergeCell ref="A42:D42"/>
    <mergeCell ref="A43:D43"/>
    <mergeCell ref="B178:F178"/>
    <mergeCell ref="A160:F160"/>
    <mergeCell ref="A161:F161"/>
    <mergeCell ref="A162:F162"/>
    <mergeCell ref="A163:F163"/>
    <mergeCell ref="B172:F172"/>
    <mergeCell ref="B191:F191"/>
    <mergeCell ref="A153:F153"/>
    <mergeCell ref="A155:F155"/>
    <mergeCell ref="B170:F170"/>
    <mergeCell ref="A156:F156"/>
    <mergeCell ref="A164:F164"/>
    <mergeCell ref="A144:F144"/>
    <mergeCell ref="A1:B1"/>
    <mergeCell ref="A2:M2"/>
    <mergeCell ref="G241:H241"/>
    <mergeCell ref="G242:H242"/>
    <mergeCell ref="J237:K238"/>
    <mergeCell ref="J241:K241"/>
    <mergeCell ref="J242:K242"/>
    <mergeCell ref="C237:F238"/>
    <mergeCell ref="G239:H239"/>
    <mergeCell ref="G240:H240"/>
    <mergeCell ref="A5:M5"/>
    <mergeCell ref="A6:M6"/>
    <mergeCell ref="A7:M7"/>
    <mergeCell ref="A8:M8"/>
    <mergeCell ref="A9:M9"/>
    <mergeCell ref="A27:M27"/>
    <mergeCell ref="A12:M12"/>
    <mergeCell ref="A13:M13"/>
    <mergeCell ref="A14:M14"/>
    <mergeCell ref="A15:M15"/>
    <mergeCell ref="A19:M19"/>
    <mergeCell ref="A20:M20"/>
    <mergeCell ref="A152:F152"/>
    <mergeCell ref="B177:F177"/>
    <mergeCell ref="A21:M21"/>
    <mergeCell ref="A22:M22"/>
    <mergeCell ref="C229:F229"/>
    <mergeCell ref="G234:H234"/>
    <mergeCell ref="G232:H233"/>
    <mergeCell ref="B232:D233"/>
    <mergeCell ref="B234:D234"/>
    <mergeCell ref="E232:F233"/>
    <mergeCell ref="C240:F240"/>
    <mergeCell ref="J239:K239"/>
    <mergeCell ref="J240:K240"/>
    <mergeCell ref="I237:I238"/>
    <mergeCell ref="A236:E236"/>
    <mergeCell ref="A232:A233"/>
    <mergeCell ref="G237:H238"/>
    <mergeCell ref="A231:I231"/>
    <mergeCell ref="A212:E212"/>
    <mergeCell ref="F212:G212"/>
    <mergeCell ref="A223:M223"/>
    <mergeCell ref="A224:M224"/>
    <mergeCell ref="A225:M225"/>
    <mergeCell ref="B65:D65"/>
    <mergeCell ref="B64:D64"/>
    <mergeCell ref="A50:M50"/>
    <mergeCell ref="A159:F159"/>
    <mergeCell ref="B168:F168"/>
    <mergeCell ref="B169:F169"/>
    <mergeCell ref="B183:F183"/>
    <mergeCell ref="A58:C58"/>
    <mergeCell ref="A59:C59"/>
    <mergeCell ref="A60:C60"/>
    <mergeCell ref="A101:K101"/>
    <mergeCell ref="B103:E103"/>
    <mergeCell ref="B104:E104"/>
    <mergeCell ref="B105:E105"/>
    <mergeCell ref="B106:E106"/>
    <mergeCell ref="A157:F157"/>
    <mergeCell ref="A158:F158"/>
    <mergeCell ref="A145:F145"/>
    <mergeCell ref="B146:F146"/>
    <mergeCell ref="B147:F147"/>
    <mergeCell ref="B148:F148"/>
    <mergeCell ref="B149:F149"/>
    <mergeCell ref="A154:F154"/>
    <mergeCell ref="A165:F165"/>
    <mergeCell ref="A150:F150"/>
    <mergeCell ref="A151:F151"/>
    <mergeCell ref="B93:D93"/>
    <mergeCell ref="A205:F205"/>
    <mergeCell ref="B196:F196"/>
    <mergeCell ref="B197:F197"/>
    <mergeCell ref="B198:F198"/>
    <mergeCell ref="A37:D37"/>
    <mergeCell ref="H37:J37"/>
    <mergeCell ref="A39:C39"/>
    <mergeCell ref="A40:E40"/>
    <mergeCell ref="B41:E41"/>
    <mergeCell ref="A62:D62"/>
    <mergeCell ref="A45:D45"/>
    <mergeCell ref="A46:D46"/>
    <mergeCell ref="A47:D47"/>
    <mergeCell ref="A48:D48"/>
    <mergeCell ref="A44:D44"/>
    <mergeCell ref="A52:K52"/>
    <mergeCell ref="A108:C108"/>
    <mergeCell ref="A99:K99"/>
    <mergeCell ref="A86:J86"/>
    <mergeCell ref="B88:D88"/>
    <mergeCell ref="B89:D89"/>
    <mergeCell ref="B90:D90"/>
    <mergeCell ref="B91:D91"/>
    <mergeCell ref="B92:D92"/>
    <mergeCell ref="B94:D94"/>
    <mergeCell ref="A97:J97"/>
    <mergeCell ref="A96:D96"/>
    <mergeCell ref="B124:E124"/>
    <mergeCell ref="A111:I111"/>
    <mergeCell ref="A112:I112"/>
    <mergeCell ref="A113:H113"/>
    <mergeCell ref="B114:E114"/>
    <mergeCell ref="B115:E115"/>
    <mergeCell ref="B116:E116"/>
    <mergeCell ref="B117:E117"/>
    <mergeCell ref="B118:E118"/>
    <mergeCell ref="A142:D142"/>
    <mergeCell ref="A32:M32"/>
    <mergeCell ref="A33:M33"/>
    <mergeCell ref="A34:M34"/>
    <mergeCell ref="B137:E137"/>
    <mergeCell ref="B138:E138"/>
    <mergeCell ref="B127:E127"/>
    <mergeCell ref="B131:E131"/>
    <mergeCell ref="B132:E132"/>
    <mergeCell ref="B133:E133"/>
    <mergeCell ref="B135:E135"/>
    <mergeCell ref="B136:E136"/>
    <mergeCell ref="B139:E139"/>
    <mergeCell ref="B134:E134"/>
    <mergeCell ref="B119:E119"/>
    <mergeCell ref="A121:K121"/>
    <mergeCell ref="A122:K122"/>
    <mergeCell ref="A123:K123"/>
    <mergeCell ref="B125:E125"/>
    <mergeCell ref="B126:E126"/>
    <mergeCell ref="B128:E128"/>
    <mergeCell ref="B129:E129"/>
    <mergeCell ref="B130:E130"/>
    <mergeCell ref="A110:I110"/>
    <mergeCell ref="A4:M4"/>
    <mergeCell ref="A18:M18"/>
    <mergeCell ref="A49:M49"/>
    <mergeCell ref="A75:E75"/>
    <mergeCell ref="F75:M75"/>
    <mergeCell ref="A84:M84"/>
    <mergeCell ref="A10:M10"/>
    <mergeCell ref="A11:M11"/>
    <mergeCell ref="B70:D70"/>
    <mergeCell ref="A72:J72"/>
    <mergeCell ref="B81:J81"/>
    <mergeCell ref="B82:J82"/>
    <mergeCell ref="A77:C77"/>
    <mergeCell ref="A78:M78"/>
    <mergeCell ref="B67:D67"/>
    <mergeCell ref="B68:D68"/>
    <mergeCell ref="B69:D69"/>
    <mergeCell ref="A63:J63"/>
    <mergeCell ref="A73:J73"/>
    <mergeCell ref="A80:J80"/>
    <mergeCell ref="B66:D66"/>
    <mergeCell ref="A55:C55"/>
    <mergeCell ref="A56:C56"/>
    <mergeCell ref="A57:C57"/>
  </mergeCells>
  <phoneticPr fontId="6" type="noConversion"/>
  <hyperlinks>
    <hyperlink ref="A1" location="TOC!A1" display="TOC Page"/>
    <hyperlink ref="D258" r:id="rId3"/>
  </hyperlinks>
  <pageMargins left="0.7" right="0.7" top="0.75" bottom="0.75" header="0.3" footer="0.3"/>
  <pageSetup orientation="landscape" r:id="rId4"/>
  <headerFooter>
    <oddHeader>&amp;L&amp;G&amp;CShowAcronymGoesHere - PSM&amp;R&amp;P</oddHeader>
    <oddFooter>&amp;L&amp;D&amp;R&amp;Z&amp;F</oddFooter>
  </headerFooter>
  <customProperties>
    <customPr name="DVSECTIONID" r:id="rId5"/>
  </customProperties>
  <drawing r:id="rId6"/>
  <legacyDrawing r:id="rId7"/>
  <legacyDrawingHF r:id="rId8"/>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M23"/>
  <sheetViews>
    <sheetView workbookViewId="0">
      <pane ySplit="1" topLeftCell="A2" activePane="bottomLeft" state="frozen"/>
      <selection activeCell="U16" sqref="U16"/>
      <selection pane="bottomLeft" activeCell="A16" sqref="A16"/>
    </sheetView>
  </sheetViews>
  <sheetFormatPr defaultRowHeight="12.75" x14ac:dyDescent="0.2"/>
  <cols>
    <col min="2" max="2" width="10.28515625" customWidth="1"/>
    <col min="3" max="3" width="5.28515625" customWidth="1"/>
    <col min="4" max="4" width="10.28515625" customWidth="1"/>
    <col min="5" max="5" width="12.28515625" customWidth="1"/>
    <col min="6" max="6" width="10.28515625" customWidth="1"/>
    <col min="7" max="7" width="13.42578125" customWidth="1"/>
    <col min="8" max="8" width="11.42578125" customWidth="1"/>
  </cols>
  <sheetData>
    <row r="1" spans="1:13" x14ac:dyDescent="0.2">
      <c r="A1" s="1420" t="s">
        <v>639</v>
      </c>
      <c r="B1" s="1420"/>
      <c r="M1" s="16"/>
    </row>
    <row r="2" spans="1:13" s="15" customFormat="1" ht="20.25" customHeight="1" x14ac:dyDescent="0.2">
      <c r="A2" s="1305" t="s">
        <v>1276</v>
      </c>
      <c r="B2" s="1578"/>
      <c r="C2" s="1578"/>
      <c r="D2" s="1578"/>
      <c r="E2" s="1578"/>
      <c r="F2" s="1578"/>
      <c r="G2" s="1578"/>
      <c r="H2" s="1578"/>
      <c r="I2" s="1578"/>
      <c r="J2" s="1578"/>
      <c r="K2" s="1578"/>
      <c r="L2" s="1578"/>
      <c r="M2" s="96"/>
    </row>
    <row r="3" spans="1:13" s="83" customFormat="1" x14ac:dyDescent="0.2">
      <c r="A3" s="122"/>
      <c r="B3" s="122"/>
      <c r="C3" s="122"/>
      <c r="D3" s="122"/>
      <c r="E3" s="122"/>
      <c r="F3" s="122"/>
      <c r="G3" s="122"/>
      <c r="H3" s="122"/>
      <c r="I3" s="122"/>
      <c r="J3" s="122"/>
      <c r="K3" s="122"/>
      <c r="L3" s="122"/>
      <c r="M3" s="220"/>
    </row>
    <row r="4" spans="1:13" s="17" customFormat="1" x14ac:dyDescent="0.2">
      <c r="A4" s="1548" t="s">
        <v>1181</v>
      </c>
      <c r="B4" s="1548"/>
      <c r="C4" s="1548"/>
      <c r="D4" s="1548"/>
      <c r="E4" s="1548"/>
      <c r="F4" s="1548"/>
      <c r="G4" s="1548"/>
      <c r="H4" s="1548"/>
      <c r="I4" s="1548"/>
      <c r="J4" s="1548"/>
    </row>
    <row r="5" spans="1:13" s="17" customFormat="1" x14ac:dyDescent="0.2">
      <c r="A5" s="86"/>
      <c r="B5" s="86"/>
      <c r="C5" s="86"/>
      <c r="D5" s="86"/>
      <c r="E5" s="86"/>
      <c r="F5" s="86"/>
      <c r="G5" s="86"/>
      <c r="H5" s="86"/>
      <c r="I5" s="86"/>
      <c r="J5" s="86"/>
    </row>
    <row r="6" spans="1:13" s="17" customFormat="1" x14ac:dyDescent="0.2">
      <c r="A6" s="241" t="s">
        <v>440</v>
      </c>
      <c r="B6" s="61" t="s">
        <v>355</v>
      </c>
      <c r="C6" s="61" t="s">
        <v>1277</v>
      </c>
      <c r="D6" s="258" t="s">
        <v>276</v>
      </c>
      <c r="E6" s="244" t="s">
        <v>356</v>
      </c>
      <c r="F6" s="61" t="s">
        <v>268</v>
      </c>
      <c r="G6" s="61" t="s">
        <v>264</v>
      </c>
      <c r="H6" s="61" t="s">
        <v>205</v>
      </c>
      <c r="I6" s="63"/>
      <c r="J6" s="63"/>
      <c r="K6" s="63"/>
    </row>
    <row r="7" spans="1:13" s="17" customFormat="1" ht="18.75" customHeight="1" x14ac:dyDescent="0.2">
      <c r="A7" s="257" t="s">
        <v>441</v>
      </c>
      <c r="B7" s="236">
        <v>5</v>
      </c>
      <c r="C7" s="236" t="s">
        <v>1277</v>
      </c>
      <c r="D7" s="259">
        <v>5</v>
      </c>
      <c r="E7" s="247">
        <v>3</v>
      </c>
      <c r="F7" s="236">
        <v>4</v>
      </c>
      <c r="G7" s="236">
        <v>4</v>
      </c>
      <c r="H7" s="236">
        <v>3</v>
      </c>
      <c r="I7" s="63"/>
      <c r="J7" s="63"/>
      <c r="K7" s="63"/>
    </row>
    <row r="8" spans="1:13" s="17" customFormat="1" ht="38.25" x14ac:dyDescent="0.2">
      <c r="A8" s="241" t="s">
        <v>637</v>
      </c>
      <c r="B8" s="61" t="s">
        <v>357</v>
      </c>
      <c r="C8" s="61" t="s">
        <v>1277</v>
      </c>
      <c r="D8" s="258" t="s">
        <v>442</v>
      </c>
      <c r="E8" s="244" t="s">
        <v>443</v>
      </c>
      <c r="F8" s="61" t="s">
        <v>444</v>
      </c>
      <c r="G8" s="61" t="s">
        <v>358</v>
      </c>
      <c r="H8" s="61" t="s">
        <v>445</v>
      </c>
      <c r="I8" s="64"/>
      <c r="J8" s="64"/>
      <c r="K8" s="64"/>
    </row>
    <row r="10" spans="1:13" ht="12.75" customHeight="1" x14ac:dyDescent="0.2">
      <c r="A10" s="1310" t="s">
        <v>934</v>
      </c>
      <c r="B10" s="1310"/>
      <c r="C10" s="1310"/>
      <c r="D10" s="1310"/>
      <c r="E10" s="17" t="s">
        <v>935</v>
      </c>
    </row>
    <row r="12" spans="1:13" ht="12.75" customHeight="1" x14ac:dyDescent="0.2">
      <c r="A12" s="1310" t="s">
        <v>936</v>
      </c>
      <c r="B12" s="1310"/>
      <c r="C12" s="1310"/>
      <c r="D12" s="1310"/>
      <c r="E12" s="17" t="s">
        <v>937</v>
      </c>
    </row>
    <row r="14" spans="1:13" x14ac:dyDescent="0.2">
      <c r="A14" s="1310" t="s">
        <v>1521</v>
      </c>
      <c r="B14" s="1310"/>
      <c r="C14" s="1310"/>
      <c r="D14" s="1310"/>
      <c r="E14" s="1655" t="s">
        <v>1522</v>
      </c>
      <c r="F14" s="1655"/>
      <c r="G14" s="1655"/>
      <c r="H14" s="1655"/>
    </row>
    <row r="15" spans="1:13" x14ac:dyDescent="0.2">
      <c r="E15" s="1655" t="s">
        <v>1523</v>
      </c>
      <c r="F15" s="1655"/>
      <c r="G15" s="1655"/>
      <c r="H15" s="1655"/>
    </row>
    <row r="16" spans="1:13" x14ac:dyDescent="0.2">
      <c r="E16" s="1655" t="s">
        <v>1524</v>
      </c>
      <c r="F16" s="1655"/>
      <c r="G16" s="1655"/>
      <c r="H16" s="1655"/>
    </row>
    <row r="17" spans="1:11" x14ac:dyDescent="0.2">
      <c r="E17" s="1655" t="s">
        <v>1525</v>
      </c>
      <c r="F17" s="1655"/>
      <c r="G17" s="1655"/>
      <c r="H17" s="1655"/>
    </row>
    <row r="19" spans="1:11" x14ac:dyDescent="0.2">
      <c r="A19" s="2118" t="s">
        <v>1558</v>
      </c>
      <c r="B19" s="2118"/>
      <c r="C19" s="2118"/>
      <c r="D19" s="2118"/>
      <c r="E19" s="2118"/>
      <c r="F19" s="2118"/>
      <c r="G19" s="2118"/>
      <c r="H19" s="2118"/>
      <c r="I19" s="2118"/>
      <c r="J19" s="2118"/>
      <c r="K19" s="2118"/>
    </row>
    <row r="20" spans="1:11" x14ac:dyDescent="0.2">
      <c r="A20" s="2118" t="s">
        <v>1559</v>
      </c>
      <c r="B20" s="2118"/>
      <c r="C20" s="2118"/>
      <c r="D20" s="2118"/>
      <c r="E20" s="2118"/>
      <c r="F20" s="2118"/>
      <c r="G20" s="2118"/>
      <c r="H20" s="2118"/>
      <c r="I20" s="2118"/>
      <c r="J20" s="2118"/>
      <c r="K20" s="2118"/>
    </row>
    <row r="21" spans="1:11" s="293" customFormat="1" x14ac:dyDescent="0.2">
      <c r="A21" s="2118" t="s">
        <v>1560</v>
      </c>
      <c r="B21" s="2118"/>
      <c r="C21" s="2118"/>
      <c r="D21" s="2118"/>
      <c r="E21" s="2118"/>
      <c r="F21" s="2118"/>
      <c r="G21" s="2118"/>
      <c r="H21" s="2118"/>
      <c r="I21" s="2118"/>
      <c r="J21" s="2118"/>
      <c r="K21" s="2118"/>
    </row>
    <row r="22" spans="1:11" x14ac:dyDescent="0.2">
      <c r="A22" s="2143" t="s">
        <v>1561</v>
      </c>
      <c r="B22" s="2143"/>
      <c r="C22" s="2143"/>
      <c r="D22" s="2143"/>
      <c r="E22" s="2143"/>
      <c r="F22" s="2143"/>
      <c r="G22" s="2143"/>
      <c r="H22" s="2143"/>
      <c r="I22" s="2143"/>
      <c r="J22" s="2143"/>
      <c r="K22" s="2143"/>
    </row>
    <row r="23" spans="1:11" x14ac:dyDescent="0.2">
      <c r="A23" s="2143" t="s">
        <v>1568</v>
      </c>
      <c r="B23" s="2143"/>
      <c r="C23" s="2143"/>
      <c r="D23" s="2143"/>
      <c r="E23" s="2143"/>
      <c r="F23" s="2143"/>
      <c r="G23" s="2143"/>
      <c r="H23" s="2143"/>
      <c r="I23" s="2143"/>
      <c r="J23" s="2143"/>
      <c r="K23" s="2143"/>
    </row>
  </sheetData>
  <customSheetViews>
    <customSheetView guid="{4892E1C0-7A56-4F81-A857-987D77EC4462}">
      <selection activeCell="H12" sqref="H12"/>
      <pageMargins left="0.7" right="0.7" top="0.75" bottom="0.75" header="0.3" footer="0.3"/>
    </customSheetView>
    <customSheetView guid="{C29C6423-4E3D-4B08-919E-993C7C45FC31}">
      <selection activeCell="H12" sqref="H12"/>
      <pageMargins left="0.7" right="0.7" top="0.75" bottom="0.75" header="0.3" footer="0.3"/>
    </customSheetView>
  </customSheetViews>
  <mergeCells count="15">
    <mergeCell ref="A23:K23"/>
    <mergeCell ref="A22:K22"/>
    <mergeCell ref="A1:B1"/>
    <mergeCell ref="A2:L2"/>
    <mergeCell ref="A19:K19"/>
    <mergeCell ref="A20:K20"/>
    <mergeCell ref="A21:K21"/>
    <mergeCell ref="E16:H16"/>
    <mergeCell ref="E17:H17"/>
    <mergeCell ref="A14:D14"/>
    <mergeCell ref="E14:H14"/>
    <mergeCell ref="E15:H15"/>
    <mergeCell ref="A4:J4"/>
    <mergeCell ref="A12:D12"/>
    <mergeCell ref="A10:D10"/>
  </mergeCells>
  <hyperlinks>
    <hyperlink ref="A1" location="TOC!A1" display="TOC Page"/>
  </hyperlinks>
  <pageMargins left="0.7" right="0.7" top="0.75" bottom="0.75" header="0.3" footer="0.3"/>
  <pageSetup orientation="landscape"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IV309"/>
  <sheetViews>
    <sheetView workbookViewId="0">
      <selection activeCell="BR299" sqref="BR299"/>
    </sheetView>
  </sheetViews>
  <sheetFormatPr defaultRowHeight="12.75" x14ac:dyDescent="0.2"/>
  <sheetData>
    <row r="1" spans="1:256" x14ac:dyDescent="0.2">
      <c r="A1" t="e">
        <f>IF(TOC!#REF!,"AAAAAB7WVgA=",0)</f>
        <v>#REF!</v>
      </c>
      <c r="B1" t="e">
        <f>AND(TOC!#REF!,"AAAAAB7WVgE=")</f>
        <v>#REF!</v>
      </c>
      <c r="C1" t="e">
        <f>AND(TOC!#REF!,"AAAAAB7WVgI=")</f>
        <v>#REF!</v>
      </c>
      <c r="D1" t="e">
        <f>AND(TOC!#REF!,"AAAAAB7WVgM=")</f>
        <v>#REF!</v>
      </c>
      <c r="E1" t="e">
        <f>AND(TOC!#REF!,"AAAAAB7WVgQ=")</f>
        <v>#REF!</v>
      </c>
      <c r="F1" t="e">
        <f>AND(TOC!#REF!,"AAAAAB7WVgU=")</f>
        <v>#REF!</v>
      </c>
      <c r="G1" t="e">
        <f>AND(TOC!#REF!,"AAAAAB7WVgY=")</f>
        <v>#REF!</v>
      </c>
      <c r="H1" t="e">
        <f>AND(TOC!#REF!,"AAAAAB7WVgc=")</f>
        <v>#REF!</v>
      </c>
      <c r="I1" t="e">
        <f>AND(TOC!#REF!,"AAAAAB7WVgg=")</f>
        <v>#REF!</v>
      </c>
      <c r="J1" t="e">
        <f>AND(TOC!#REF!,"AAAAAB7WVgk=")</f>
        <v>#REF!</v>
      </c>
      <c r="K1" t="e">
        <f>AND(TOC!#REF!,"AAAAAB7WVgo=")</f>
        <v>#REF!</v>
      </c>
      <c r="L1" t="e">
        <f>AND(TOC!#REF!,"AAAAAB7WVgs=")</f>
        <v>#REF!</v>
      </c>
      <c r="M1" t="e">
        <f>AND(TOC!#REF!,"AAAAAB7WVgw=")</f>
        <v>#REF!</v>
      </c>
      <c r="N1" t="e">
        <f>AND(TOC!#REF!,"AAAAAB7WVg0=")</f>
        <v>#REF!</v>
      </c>
      <c r="O1" t="e">
        <f>AND(TOC!#REF!,"AAAAAB7WVg4=")</f>
        <v>#REF!</v>
      </c>
      <c r="P1" t="e">
        <f>AND(TOC!#REF!,"AAAAAB7WVg8=")</f>
        <v>#REF!</v>
      </c>
      <c r="Q1" t="e">
        <f>AND(TOC!#REF!,"AAAAAB7WVhA=")</f>
        <v>#REF!</v>
      </c>
      <c r="R1" t="e">
        <f>AND(TOC!#REF!,"AAAAAB7WVhE=")</f>
        <v>#REF!</v>
      </c>
      <c r="S1" t="e">
        <f>AND(TOC!#REF!,"AAAAAB7WVhI=")</f>
        <v>#REF!</v>
      </c>
      <c r="T1" t="e">
        <f>AND(TOC!#REF!,"AAAAAB7WVhM=")</f>
        <v>#REF!</v>
      </c>
      <c r="U1" t="e">
        <f>AND(TOC!#REF!,"AAAAAB7WVhQ=")</f>
        <v>#REF!</v>
      </c>
      <c r="V1" t="e">
        <f>AND(TOC!#REF!,"AAAAAB7WVhU=")</f>
        <v>#REF!</v>
      </c>
      <c r="W1" t="e">
        <f>AND(TOC!#REF!,"AAAAAB7WVhY=")</f>
        <v>#REF!</v>
      </c>
      <c r="X1" t="e">
        <f>AND(TOC!#REF!,"AAAAAB7WVhc=")</f>
        <v>#REF!</v>
      </c>
      <c r="Y1" t="e">
        <f>AND(TOC!#REF!,"AAAAAB7WVhg=")</f>
        <v>#REF!</v>
      </c>
      <c r="Z1" t="e">
        <f>AND(TOC!#REF!,"AAAAAB7WVhk=")</f>
        <v>#REF!</v>
      </c>
      <c r="AA1" t="e">
        <f>AND(TOC!#REF!,"AAAAAB7WVho=")</f>
        <v>#REF!</v>
      </c>
      <c r="AB1" t="e">
        <f>AND(TOC!#REF!,"AAAAAB7WVhs=")</f>
        <v>#REF!</v>
      </c>
      <c r="AC1" t="e">
        <f>AND(TOC!#REF!,"AAAAAB7WVhw=")</f>
        <v>#REF!</v>
      </c>
      <c r="AD1" t="e">
        <f>AND(TOC!#REF!,"AAAAAB7WVh0=")</f>
        <v>#REF!</v>
      </c>
      <c r="AE1" t="e">
        <f>AND(TOC!#REF!,"AAAAAB7WVh4=")</f>
        <v>#REF!</v>
      </c>
      <c r="AF1" t="e">
        <f>AND(TOC!#REF!,"AAAAAB7WVh8=")</f>
        <v>#REF!</v>
      </c>
      <c r="AG1" t="e">
        <f>AND(TOC!#REF!,"AAAAAB7WViA=")</f>
        <v>#REF!</v>
      </c>
      <c r="AH1" t="e">
        <f>AND(TOC!#REF!,"AAAAAB7WViE=")</f>
        <v>#REF!</v>
      </c>
      <c r="AI1" t="e">
        <f>AND(TOC!#REF!,"AAAAAB7WViI=")</f>
        <v>#REF!</v>
      </c>
      <c r="AJ1" t="e">
        <f>AND(TOC!#REF!,"AAAAAB7WViM=")</f>
        <v>#REF!</v>
      </c>
      <c r="AK1" t="e">
        <f>AND(TOC!#REF!,"AAAAAB7WViQ=")</f>
        <v>#REF!</v>
      </c>
      <c r="AL1">
        <f>IF(TOC!1:1,"AAAAAB7WViU=",0)</f>
        <v>0</v>
      </c>
      <c r="AM1" t="e">
        <f>AND(TOC!A1,"AAAAAB7WViY=")</f>
        <v>#VALUE!</v>
      </c>
      <c r="AN1" t="e">
        <f>AND(TOC!#REF!,"AAAAAB7WVic=")</f>
        <v>#REF!</v>
      </c>
      <c r="AO1" t="e">
        <f>AND(TOC!#REF!,"AAAAAB7WVig=")</f>
        <v>#REF!</v>
      </c>
      <c r="AP1" t="e">
        <f>AND(TOC!#REF!,"AAAAAB7WVik=")</f>
        <v>#REF!</v>
      </c>
      <c r="AQ1" t="e">
        <f>AND(TOC!#REF!,"AAAAAB7WVio=")</f>
        <v>#REF!</v>
      </c>
      <c r="AR1" t="e">
        <f>AND(TOC!#REF!,"AAAAAB7WVis=")</f>
        <v>#REF!</v>
      </c>
      <c r="AS1" t="e">
        <f>AND(TOC!B1,"AAAAAB7WViw=")</f>
        <v>#VALUE!</v>
      </c>
      <c r="AT1" t="e">
        <f>AND(TOC!#REF!,"AAAAAB7WVi0=")</f>
        <v>#REF!</v>
      </c>
      <c r="AU1" t="e">
        <f>AND(TOC!#REF!,"AAAAAB7WVi4=")</f>
        <v>#REF!</v>
      </c>
      <c r="AV1" t="e">
        <f>AND(TOC!#REF!,"AAAAAB7WVi8=")</f>
        <v>#REF!</v>
      </c>
      <c r="AW1" t="e">
        <f>AND(TOC!#REF!,"AAAAAB7WVjA=")</f>
        <v>#REF!</v>
      </c>
      <c r="AX1" t="e">
        <f>AND(TOC!#REF!,"AAAAAB7WVjE=")</f>
        <v>#REF!</v>
      </c>
      <c r="AY1" t="e">
        <f>AND(TOC!#REF!,"AAAAAB7WVjI=")</f>
        <v>#REF!</v>
      </c>
      <c r="AZ1" t="e">
        <f>AND(TOC!#REF!,"AAAAAB7WVjM=")</f>
        <v>#REF!</v>
      </c>
      <c r="BA1" t="e">
        <f>AND(TOC!#REF!,"AAAAAB7WVjQ=")</f>
        <v>#REF!</v>
      </c>
      <c r="BB1" t="e">
        <f>AND(TOC!#REF!,"AAAAAB7WVjU=")</f>
        <v>#REF!</v>
      </c>
      <c r="BC1" t="e">
        <f>AND(TOC!#REF!,"AAAAAB7WVjY=")</f>
        <v>#REF!</v>
      </c>
      <c r="BD1" t="e">
        <f>AND(TOC!#REF!,"AAAAAB7WVjc=")</f>
        <v>#REF!</v>
      </c>
      <c r="BE1" t="e">
        <f>AND(TOC!#REF!,"AAAAAB7WVjg=")</f>
        <v>#REF!</v>
      </c>
      <c r="BF1" t="e">
        <f>AND(TOC!#REF!,"AAAAAB7WVjk=")</f>
        <v>#REF!</v>
      </c>
      <c r="BG1" t="e">
        <f>AND(TOC!#REF!,"AAAAAB7WVjo=")</f>
        <v>#REF!</v>
      </c>
      <c r="BH1" t="e">
        <f>AND(TOC!#REF!,"AAAAAB7WVjs=")</f>
        <v>#REF!</v>
      </c>
      <c r="BI1" t="e">
        <f>AND(TOC!C1,"AAAAAB7WVjw=")</f>
        <v>#VALUE!</v>
      </c>
      <c r="BJ1" t="e">
        <f>AND(TOC!D1,"AAAAAB7WVj0=")</f>
        <v>#VALUE!</v>
      </c>
      <c r="BK1" t="e">
        <f>AND(TOC!E1,"AAAAAB7WVj4=")</f>
        <v>#VALUE!</v>
      </c>
      <c r="BL1" t="e">
        <f>AND(TOC!F1,"AAAAAB7WVj8=")</f>
        <v>#VALUE!</v>
      </c>
      <c r="BM1" t="e">
        <f>AND(TOC!G1,"AAAAAB7WVkA=")</f>
        <v>#VALUE!</v>
      </c>
      <c r="BN1" t="e">
        <f>AND(TOC!H1,"AAAAAB7WVkE=")</f>
        <v>#VALUE!</v>
      </c>
      <c r="BO1" t="e">
        <f>AND(TOC!I1,"AAAAAB7WVkI=")</f>
        <v>#VALUE!</v>
      </c>
      <c r="BP1" t="e">
        <f>AND(TOC!J1,"AAAAAB7WVkM=")</f>
        <v>#VALUE!</v>
      </c>
      <c r="BQ1" t="e">
        <f>AND(TOC!K1,"AAAAAB7WVkQ=")</f>
        <v>#VALUE!</v>
      </c>
      <c r="BR1" t="e">
        <f>AND(TOC!L1,"AAAAAB7WVkU=")</f>
        <v>#VALUE!</v>
      </c>
      <c r="BS1" t="e">
        <f>AND(TOC!M1,"AAAAAB7WVkY=")</f>
        <v>#VALUE!</v>
      </c>
      <c r="BT1" t="e">
        <f>AND(TOC!N1,"AAAAAB7WVkc=")</f>
        <v>#VALUE!</v>
      </c>
      <c r="BU1" t="e">
        <f>AND(TOC!O1,"AAAAAB7WVkg=")</f>
        <v>#VALUE!</v>
      </c>
      <c r="BV1" t="e">
        <f>AND(TOC!P1,"AAAAAB7WVkk=")</f>
        <v>#VALUE!</v>
      </c>
      <c r="BW1">
        <f>IF(TOC!2:2,"AAAAAB7WVko=",0)</f>
        <v>0</v>
      </c>
      <c r="BX1" t="e">
        <f>AND(TOC!A2,"AAAAAB7WVks=")</f>
        <v>#VALUE!</v>
      </c>
      <c r="BY1" t="e">
        <f>AND(TOC!#REF!,"AAAAAB7WVkw=")</f>
        <v>#REF!</v>
      </c>
      <c r="BZ1" t="e">
        <f>AND(TOC!#REF!,"AAAAAB7WVk0=")</f>
        <v>#REF!</v>
      </c>
      <c r="CA1" t="e">
        <f>AND(TOC!#REF!,"AAAAAB7WVk4=")</f>
        <v>#REF!</v>
      </c>
      <c r="CB1" t="e">
        <f>AND(TOC!#REF!,"AAAAAB7WVk8=")</f>
        <v>#REF!</v>
      </c>
      <c r="CC1" t="e">
        <f>AND(TOC!#REF!,"AAAAAB7WVlA=")</f>
        <v>#REF!</v>
      </c>
      <c r="CD1" t="e">
        <f>AND(TOC!B2,"AAAAAB7WVlE=")</f>
        <v>#VALUE!</v>
      </c>
      <c r="CE1" t="e">
        <f>AND(TOC!#REF!,"AAAAAB7WVlI=")</f>
        <v>#REF!</v>
      </c>
      <c r="CF1" t="e">
        <f>AND(TOC!#REF!,"AAAAAB7WVlM=")</f>
        <v>#REF!</v>
      </c>
      <c r="CG1" t="e">
        <f>AND(TOC!#REF!,"AAAAAB7WVlQ=")</f>
        <v>#REF!</v>
      </c>
      <c r="CH1" t="e">
        <f>AND(TOC!#REF!,"AAAAAB7WVlU=")</f>
        <v>#REF!</v>
      </c>
      <c r="CI1" t="e">
        <f>AND(TOC!#REF!,"AAAAAB7WVlY=")</f>
        <v>#REF!</v>
      </c>
      <c r="CJ1" t="e">
        <f>AND(TOC!#REF!,"AAAAAB7WVlc=")</f>
        <v>#REF!</v>
      </c>
      <c r="CK1" t="e">
        <f>AND(TOC!#REF!,"AAAAAB7WVlg=")</f>
        <v>#REF!</v>
      </c>
      <c r="CL1" t="e">
        <f>AND(TOC!#REF!,"AAAAAB7WVlk=")</f>
        <v>#REF!</v>
      </c>
      <c r="CM1" t="e">
        <f>AND(TOC!#REF!,"AAAAAB7WVlo=")</f>
        <v>#REF!</v>
      </c>
      <c r="CN1" t="e">
        <f>AND(TOC!#REF!,"AAAAAB7WVls=")</f>
        <v>#REF!</v>
      </c>
      <c r="CO1" t="e">
        <f>AND(TOC!#REF!,"AAAAAB7WVlw=")</f>
        <v>#REF!</v>
      </c>
      <c r="CP1" t="e">
        <f>AND(TOC!#REF!,"AAAAAB7WVl0=")</f>
        <v>#REF!</v>
      </c>
      <c r="CQ1" t="e">
        <f>AND(TOC!#REF!,"AAAAAB7WVl4=")</f>
        <v>#REF!</v>
      </c>
      <c r="CR1" t="e">
        <f>AND(TOC!#REF!,"AAAAAB7WVl8=")</f>
        <v>#REF!</v>
      </c>
      <c r="CS1" t="e">
        <f>AND(TOC!#REF!,"AAAAAB7WVmA=")</f>
        <v>#REF!</v>
      </c>
      <c r="CT1" t="e">
        <f>AND(TOC!C2,"AAAAAB7WVmE=")</f>
        <v>#VALUE!</v>
      </c>
      <c r="CU1" t="e">
        <f>AND(TOC!D2,"AAAAAB7WVmI=")</f>
        <v>#VALUE!</v>
      </c>
      <c r="CV1" t="e">
        <f>AND(TOC!E2,"AAAAAB7WVmM=")</f>
        <v>#VALUE!</v>
      </c>
      <c r="CW1" t="e">
        <f>AND(TOC!F2,"AAAAAB7WVmQ=")</f>
        <v>#VALUE!</v>
      </c>
      <c r="CX1" t="e">
        <f>AND(TOC!G2,"AAAAAB7WVmU=")</f>
        <v>#VALUE!</v>
      </c>
      <c r="CY1" t="e">
        <f>AND(TOC!H2,"AAAAAB7WVmY=")</f>
        <v>#VALUE!</v>
      </c>
      <c r="CZ1" t="e">
        <f>AND(TOC!I2,"AAAAAB7WVmc=")</f>
        <v>#VALUE!</v>
      </c>
      <c r="DA1" t="e">
        <f>AND(TOC!J2,"AAAAAB7WVmg=")</f>
        <v>#VALUE!</v>
      </c>
      <c r="DB1" t="e">
        <f>AND(TOC!K2,"AAAAAB7WVmk=")</f>
        <v>#VALUE!</v>
      </c>
      <c r="DC1" t="e">
        <f>AND(TOC!L2,"AAAAAB7WVmo=")</f>
        <v>#VALUE!</v>
      </c>
      <c r="DD1" t="e">
        <f>AND(TOC!M2,"AAAAAB7WVms=")</f>
        <v>#VALUE!</v>
      </c>
      <c r="DE1" t="e">
        <f>AND(TOC!N2,"AAAAAB7WVmw=")</f>
        <v>#VALUE!</v>
      </c>
      <c r="DF1" t="e">
        <f>AND(TOC!O2,"AAAAAB7WVm0=")</f>
        <v>#VALUE!</v>
      </c>
      <c r="DG1" t="e">
        <f>AND(TOC!P2,"AAAAAB7WVm4=")</f>
        <v>#VALUE!</v>
      </c>
      <c r="DH1" t="e">
        <f>IF(TOC!#REF!,"AAAAAB7WVm8=",0)</f>
        <v>#REF!</v>
      </c>
      <c r="DI1" t="e">
        <f>AND(TOC!#REF!,"AAAAAB7WVnA=")</f>
        <v>#REF!</v>
      </c>
      <c r="DJ1" t="e">
        <f>AND(TOC!#REF!,"AAAAAB7WVnE=")</f>
        <v>#REF!</v>
      </c>
      <c r="DK1" t="e">
        <f>AND(TOC!#REF!,"AAAAAB7WVnI=")</f>
        <v>#REF!</v>
      </c>
      <c r="DL1" t="e">
        <f>AND(TOC!#REF!,"AAAAAB7WVnM=")</f>
        <v>#REF!</v>
      </c>
      <c r="DM1" t="e">
        <f>AND(TOC!#REF!,"AAAAAB7WVnQ=")</f>
        <v>#REF!</v>
      </c>
      <c r="DN1" t="e">
        <f>AND(TOC!#REF!,"AAAAAB7WVnU=")</f>
        <v>#REF!</v>
      </c>
      <c r="DO1" t="e">
        <f>AND(TOC!#REF!,"AAAAAB7WVnY=")</f>
        <v>#REF!</v>
      </c>
      <c r="DP1" t="e">
        <f>AND(TOC!#REF!,"AAAAAB7WVnc=")</f>
        <v>#REF!</v>
      </c>
      <c r="DQ1" t="e">
        <f>AND(TOC!#REF!,"AAAAAB7WVng=")</f>
        <v>#REF!</v>
      </c>
      <c r="DR1" t="e">
        <f>AND(TOC!#REF!,"AAAAAB7WVnk=")</f>
        <v>#REF!</v>
      </c>
      <c r="DS1" t="e">
        <f>AND(TOC!#REF!,"AAAAAB7WVno=")</f>
        <v>#REF!</v>
      </c>
      <c r="DT1" t="e">
        <f>AND(TOC!#REF!,"AAAAAB7WVns=")</f>
        <v>#REF!</v>
      </c>
      <c r="DU1" t="e">
        <f>AND(TOC!#REF!,"AAAAAB7WVnw=")</f>
        <v>#REF!</v>
      </c>
      <c r="DV1" t="e">
        <f>AND(TOC!#REF!,"AAAAAB7WVn0=")</f>
        <v>#REF!</v>
      </c>
      <c r="DW1" t="e">
        <f>AND(TOC!#REF!,"AAAAAB7WVn4=")</f>
        <v>#REF!</v>
      </c>
      <c r="DX1" t="e">
        <f>AND(TOC!#REF!,"AAAAAB7WVn8=")</f>
        <v>#REF!</v>
      </c>
      <c r="DY1" t="e">
        <f>AND(TOC!#REF!,"AAAAAB7WVoA=")</f>
        <v>#REF!</v>
      </c>
      <c r="DZ1" t="e">
        <f>AND(TOC!#REF!,"AAAAAB7WVoE=")</f>
        <v>#REF!</v>
      </c>
      <c r="EA1" t="e">
        <f>AND(TOC!#REF!,"AAAAAB7WVoI=")</f>
        <v>#REF!</v>
      </c>
      <c r="EB1" t="e">
        <f>AND(TOC!#REF!,"AAAAAB7WVoM=")</f>
        <v>#REF!</v>
      </c>
      <c r="EC1" t="e">
        <f>AND(TOC!#REF!,"AAAAAB7WVoQ=")</f>
        <v>#REF!</v>
      </c>
      <c r="ED1" t="e">
        <f>AND(TOC!#REF!,"AAAAAB7WVoU=")</f>
        <v>#REF!</v>
      </c>
      <c r="EE1" t="e">
        <f>AND(TOC!#REF!,"AAAAAB7WVoY=")</f>
        <v>#REF!</v>
      </c>
      <c r="EF1" t="e">
        <f>AND(TOC!#REF!,"AAAAAB7WVoc=")</f>
        <v>#REF!</v>
      </c>
      <c r="EG1" t="e">
        <f>AND(TOC!#REF!,"AAAAAB7WVog=")</f>
        <v>#REF!</v>
      </c>
      <c r="EH1" t="e">
        <f>AND(TOC!#REF!,"AAAAAB7WVok=")</f>
        <v>#REF!</v>
      </c>
      <c r="EI1" t="e">
        <f>AND(TOC!#REF!,"AAAAAB7WVoo=")</f>
        <v>#REF!</v>
      </c>
      <c r="EJ1" t="e">
        <f>AND(TOC!#REF!,"AAAAAB7WVos=")</f>
        <v>#REF!</v>
      </c>
      <c r="EK1" t="e">
        <f>AND(TOC!#REF!,"AAAAAB7WVow=")</f>
        <v>#REF!</v>
      </c>
      <c r="EL1" t="e">
        <f>AND(TOC!#REF!,"AAAAAB7WVo0=")</f>
        <v>#REF!</v>
      </c>
      <c r="EM1" t="e">
        <f>AND(TOC!#REF!,"AAAAAB7WVo4=")</f>
        <v>#REF!</v>
      </c>
      <c r="EN1" t="e">
        <f>AND(TOC!#REF!,"AAAAAB7WVo8=")</f>
        <v>#REF!</v>
      </c>
      <c r="EO1" t="e">
        <f>AND(TOC!#REF!,"AAAAAB7WVpA=")</f>
        <v>#REF!</v>
      </c>
      <c r="EP1" t="e">
        <f>AND(TOC!#REF!,"AAAAAB7WVpE=")</f>
        <v>#REF!</v>
      </c>
      <c r="EQ1" t="e">
        <f>AND(TOC!#REF!,"AAAAAB7WVpI=")</f>
        <v>#REF!</v>
      </c>
      <c r="ER1" t="e">
        <f>AND(TOC!#REF!,"AAAAAB7WVpM=")</f>
        <v>#REF!</v>
      </c>
      <c r="ES1" t="e">
        <f>IF(TOC!#REF!,"AAAAAB7WVpQ=",0)</f>
        <v>#REF!</v>
      </c>
      <c r="ET1" t="e">
        <f>AND(TOC!#REF!,"AAAAAB7WVpU=")</f>
        <v>#REF!</v>
      </c>
      <c r="EU1" t="e">
        <f>AND(TOC!#REF!,"AAAAAB7WVpY=")</f>
        <v>#REF!</v>
      </c>
      <c r="EV1" t="e">
        <f>AND(TOC!#REF!,"AAAAAB7WVpc=")</f>
        <v>#REF!</v>
      </c>
      <c r="EW1" t="e">
        <f>AND(TOC!#REF!,"AAAAAB7WVpg=")</f>
        <v>#REF!</v>
      </c>
      <c r="EX1" t="e">
        <f>AND(TOC!#REF!,"AAAAAB7WVpk=")</f>
        <v>#REF!</v>
      </c>
      <c r="EY1" t="e">
        <f>AND(TOC!#REF!,"AAAAAB7WVpo=")</f>
        <v>#REF!</v>
      </c>
      <c r="EZ1" t="e">
        <f>AND(TOC!#REF!,"AAAAAB7WVps=")</f>
        <v>#REF!</v>
      </c>
      <c r="FA1" t="e">
        <f>AND(TOC!#REF!,"AAAAAB7WVpw=")</f>
        <v>#REF!</v>
      </c>
      <c r="FB1" t="e">
        <f>AND(TOC!#REF!,"AAAAAB7WVp0=")</f>
        <v>#REF!</v>
      </c>
      <c r="FC1" t="e">
        <f>AND(TOC!#REF!,"AAAAAB7WVp4=")</f>
        <v>#REF!</v>
      </c>
      <c r="FD1" t="e">
        <f>AND(TOC!#REF!,"AAAAAB7WVp8=")</f>
        <v>#REF!</v>
      </c>
      <c r="FE1" t="e">
        <f>AND(TOC!#REF!,"AAAAAB7WVqA=")</f>
        <v>#REF!</v>
      </c>
      <c r="FF1" t="e">
        <f>AND(TOC!#REF!,"AAAAAB7WVqE=")</f>
        <v>#REF!</v>
      </c>
      <c r="FG1" t="e">
        <f>AND(TOC!#REF!,"AAAAAB7WVqI=")</f>
        <v>#REF!</v>
      </c>
      <c r="FH1" t="e">
        <f>AND(TOC!#REF!,"AAAAAB7WVqM=")</f>
        <v>#REF!</v>
      </c>
      <c r="FI1" t="e">
        <f>AND(TOC!#REF!,"AAAAAB7WVqQ=")</f>
        <v>#REF!</v>
      </c>
      <c r="FJ1" t="e">
        <f>AND(TOC!#REF!,"AAAAAB7WVqU=")</f>
        <v>#REF!</v>
      </c>
      <c r="FK1" t="e">
        <f>AND(TOC!#REF!,"AAAAAB7WVqY=")</f>
        <v>#REF!</v>
      </c>
      <c r="FL1" t="e">
        <f>AND(TOC!#REF!,"AAAAAB7WVqc=")</f>
        <v>#REF!</v>
      </c>
      <c r="FM1" t="e">
        <f>AND(TOC!#REF!,"AAAAAB7WVqg=")</f>
        <v>#REF!</v>
      </c>
      <c r="FN1" t="e">
        <f>AND(TOC!#REF!,"AAAAAB7WVqk=")</f>
        <v>#REF!</v>
      </c>
      <c r="FO1" t="e">
        <f>AND(TOC!#REF!,"AAAAAB7WVqo=")</f>
        <v>#REF!</v>
      </c>
      <c r="FP1" t="e">
        <f>AND(TOC!#REF!,"AAAAAB7WVqs=")</f>
        <v>#REF!</v>
      </c>
      <c r="FQ1" t="e">
        <f>AND(TOC!#REF!,"AAAAAB7WVqw=")</f>
        <v>#REF!</v>
      </c>
      <c r="FR1" t="e">
        <f>AND(TOC!#REF!,"AAAAAB7WVq0=")</f>
        <v>#REF!</v>
      </c>
      <c r="FS1" t="e">
        <f>AND(TOC!#REF!,"AAAAAB7WVq4=")</f>
        <v>#REF!</v>
      </c>
      <c r="FT1" t="e">
        <f>AND(TOC!#REF!,"AAAAAB7WVq8=")</f>
        <v>#REF!</v>
      </c>
      <c r="FU1" t="e">
        <f>AND(TOC!#REF!,"AAAAAB7WVrA=")</f>
        <v>#REF!</v>
      </c>
      <c r="FV1" t="e">
        <f>AND(TOC!#REF!,"AAAAAB7WVrE=")</f>
        <v>#REF!</v>
      </c>
      <c r="FW1" t="e">
        <f>AND(TOC!#REF!,"AAAAAB7WVrI=")</f>
        <v>#REF!</v>
      </c>
      <c r="FX1" t="e">
        <f>AND(TOC!#REF!,"AAAAAB7WVrM=")</f>
        <v>#REF!</v>
      </c>
      <c r="FY1" t="e">
        <f>AND(TOC!#REF!,"AAAAAB7WVrQ=")</f>
        <v>#REF!</v>
      </c>
      <c r="FZ1" t="e">
        <f>AND(TOC!#REF!,"AAAAAB7WVrU=")</f>
        <v>#REF!</v>
      </c>
      <c r="GA1" t="e">
        <f>AND(TOC!#REF!,"AAAAAB7WVrY=")</f>
        <v>#REF!</v>
      </c>
      <c r="GB1" t="e">
        <f>AND(TOC!#REF!,"AAAAAB7WVrc=")</f>
        <v>#REF!</v>
      </c>
      <c r="GC1" t="e">
        <f>AND(TOC!#REF!,"AAAAAB7WVrg=")</f>
        <v>#REF!</v>
      </c>
      <c r="GD1" t="e">
        <f>IF(TOC!#REF!,"AAAAAB7WVrk=",0)</f>
        <v>#REF!</v>
      </c>
      <c r="GE1" t="e">
        <f>AND(TOC!#REF!,"AAAAAB7WVro=")</f>
        <v>#REF!</v>
      </c>
      <c r="GF1" t="e">
        <f>AND(TOC!#REF!,"AAAAAB7WVrs=")</f>
        <v>#REF!</v>
      </c>
      <c r="GG1" t="e">
        <f>AND(TOC!#REF!,"AAAAAB7WVrw=")</f>
        <v>#REF!</v>
      </c>
      <c r="GH1" t="e">
        <f>AND(TOC!#REF!,"AAAAAB7WVr0=")</f>
        <v>#REF!</v>
      </c>
      <c r="GI1" t="e">
        <f>AND(TOC!#REF!,"AAAAAB7WVr4=")</f>
        <v>#REF!</v>
      </c>
      <c r="GJ1" t="e">
        <f>AND(TOC!#REF!,"AAAAAB7WVr8=")</f>
        <v>#REF!</v>
      </c>
      <c r="GK1" t="e">
        <f>AND(TOC!#REF!,"AAAAAB7WVsA=")</f>
        <v>#REF!</v>
      </c>
      <c r="GL1" t="e">
        <f>AND(TOC!#REF!,"AAAAAB7WVsE=")</f>
        <v>#REF!</v>
      </c>
      <c r="GM1" t="e">
        <f>AND(TOC!#REF!,"AAAAAB7WVsI=")</f>
        <v>#REF!</v>
      </c>
      <c r="GN1" t="e">
        <f>AND(TOC!#REF!,"AAAAAB7WVsM=")</f>
        <v>#REF!</v>
      </c>
      <c r="GO1" t="e">
        <f>AND(TOC!#REF!,"AAAAAB7WVsQ=")</f>
        <v>#REF!</v>
      </c>
      <c r="GP1" t="e">
        <f>AND(TOC!#REF!,"AAAAAB7WVsU=")</f>
        <v>#REF!</v>
      </c>
      <c r="GQ1" t="e">
        <f>AND(TOC!#REF!,"AAAAAB7WVsY=")</f>
        <v>#REF!</v>
      </c>
      <c r="GR1" t="e">
        <f>AND(TOC!#REF!,"AAAAAB7WVsc=")</f>
        <v>#REF!</v>
      </c>
      <c r="GS1" t="e">
        <f>AND(TOC!#REF!,"AAAAAB7WVsg=")</f>
        <v>#REF!</v>
      </c>
      <c r="GT1" t="e">
        <f>AND(TOC!#REF!,"AAAAAB7WVsk=")</f>
        <v>#REF!</v>
      </c>
      <c r="GU1" t="e">
        <f>AND(TOC!#REF!,"AAAAAB7WVso=")</f>
        <v>#REF!</v>
      </c>
      <c r="GV1" t="e">
        <f>AND(TOC!#REF!,"AAAAAB7WVss=")</f>
        <v>#REF!</v>
      </c>
      <c r="GW1" t="e">
        <f>AND(TOC!#REF!,"AAAAAB7WVsw=")</f>
        <v>#REF!</v>
      </c>
      <c r="GX1" t="e">
        <f>AND(TOC!#REF!,"AAAAAB7WVs0=")</f>
        <v>#REF!</v>
      </c>
      <c r="GY1" t="e">
        <f>AND(TOC!#REF!,"AAAAAB7WVs4=")</f>
        <v>#REF!</v>
      </c>
      <c r="GZ1" t="e">
        <f>AND(TOC!#REF!,"AAAAAB7WVs8=")</f>
        <v>#REF!</v>
      </c>
      <c r="HA1" t="e">
        <f>AND(TOC!#REF!,"AAAAAB7WVtA=")</f>
        <v>#REF!</v>
      </c>
      <c r="HB1" t="e">
        <f>AND(TOC!#REF!,"AAAAAB7WVtE=")</f>
        <v>#REF!</v>
      </c>
      <c r="HC1" t="e">
        <f>AND(TOC!#REF!,"AAAAAB7WVtI=")</f>
        <v>#REF!</v>
      </c>
      <c r="HD1" t="e">
        <f>AND(TOC!#REF!,"AAAAAB7WVtM=")</f>
        <v>#REF!</v>
      </c>
      <c r="HE1" t="e">
        <f>AND(TOC!#REF!,"AAAAAB7WVtQ=")</f>
        <v>#REF!</v>
      </c>
      <c r="HF1" t="e">
        <f>AND(TOC!#REF!,"AAAAAB7WVtU=")</f>
        <v>#REF!</v>
      </c>
      <c r="HG1" t="e">
        <f>AND(TOC!#REF!,"AAAAAB7WVtY=")</f>
        <v>#REF!</v>
      </c>
      <c r="HH1" t="e">
        <f>AND(TOC!#REF!,"AAAAAB7WVtc=")</f>
        <v>#REF!</v>
      </c>
      <c r="HI1" t="e">
        <f>AND(TOC!#REF!,"AAAAAB7WVtg=")</f>
        <v>#REF!</v>
      </c>
      <c r="HJ1" t="e">
        <f>AND(TOC!#REF!,"AAAAAB7WVtk=")</f>
        <v>#REF!</v>
      </c>
      <c r="HK1" t="e">
        <f>AND(TOC!#REF!,"AAAAAB7WVto=")</f>
        <v>#REF!</v>
      </c>
      <c r="HL1" t="e">
        <f>AND(TOC!#REF!,"AAAAAB7WVts=")</f>
        <v>#REF!</v>
      </c>
      <c r="HM1" t="e">
        <f>AND(TOC!#REF!,"AAAAAB7WVtw=")</f>
        <v>#REF!</v>
      </c>
      <c r="HN1" t="e">
        <f>AND(TOC!#REF!,"AAAAAB7WVt0=")</f>
        <v>#REF!</v>
      </c>
      <c r="HO1" t="e">
        <f>IF(TOC!#REF!,"AAAAAB7WVt4=",0)</f>
        <v>#REF!</v>
      </c>
      <c r="HP1" t="e">
        <f>AND(TOC!#REF!,"AAAAAB7WVt8=")</f>
        <v>#REF!</v>
      </c>
      <c r="HQ1" t="e">
        <f>AND(TOC!#REF!,"AAAAAB7WVuA=")</f>
        <v>#REF!</v>
      </c>
      <c r="HR1" t="e">
        <f>AND(TOC!#REF!,"AAAAAB7WVuE=")</f>
        <v>#REF!</v>
      </c>
      <c r="HS1" t="e">
        <f>AND(TOC!#REF!,"AAAAAB7WVuI=")</f>
        <v>#REF!</v>
      </c>
      <c r="HT1" t="e">
        <f>AND(TOC!#REF!,"AAAAAB7WVuM=")</f>
        <v>#REF!</v>
      </c>
      <c r="HU1" t="e">
        <f>AND(TOC!#REF!,"AAAAAB7WVuQ=")</f>
        <v>#REF!</v>
      </c>
      <c r="HV1" t="e">
        <f>AND(TOC!#REF!,"AAAAAB7WVuU=")</f>
        <v>#REF!</v>
      </c>
      <c r="HW1" t="e">
        <f>AND(TOC!#REF!,"AAAAAB7WVuY=")</f>
        <v>#REF!</v>
      </c>
      <c r="HX1" t="e">
        <f>AND(TOC!#REF!,"AAAAAB7WVuc=")</f>
        <v>#REF!</v>
      </c>
      <c r="HY1" t="e">
        <f>AND(TOC!#REF!,"AAAAAB7WVug=")</f>
        <v>#REF!</v>
      </c>
      <c r="HZ1" t="e">
        <f>AND(TOC!#REF!,"AAAAAB7WVuk=")</f>
        <v>#REF!</v>
      </c>
      <c r="IA1" t="e">
        <f>AND(TOC!#REF!,"AAAAAB7WVuo=")</f>
        <v>#REF!</v>
      </c>
      <c r="IB1" t="e">
        <f>AND(TOC!#REF!,"AAAAAB7WVus=")</f>
        <v>#REF!</v>
      </c>
      <c r="IC1" t="e">
        <f>AND(TOC!#REF!,"AAAAAB7WVuw=")</f>
        <v>#REF!</v>
      </c>
      <c r="ID1" t="e">
        <f>AND(TOC!#REF!,"AAAAAB7WVu0=")</f>
        <v>#REF!</v>
      </c>
      <c r="IE1" t="e">
        <f>AND(TOC!#REF!,"AAAAAB7WVu4=")</f>
        <v>#REF!</v>
      </c>
      <c r="IF1" t="e">
        <f>AND(TOC!#REF!,"AAAAAB7WVu8=")</f>
        <v>#REF!</v>
      </c>
      <c r="IG1" t="e">
        <f>AND(TOC!#REF!,"AAAAAB7WVvA=")</f>
        <v>#REF!</v>
      </c>
      <c r="IH1" t="e">
        <f>AND(TOC!#REF!,"AAAAAB7WVvE=")</f>
        <v>#REF!</v>
      </c>
      <c r="II1" t="e">
        <f>AND(TOC!#REF!,"AAAAAB7WVvI=")</f>
        <v>#REF!</v>
      </c>
      <c r="IJ1" t="e">
        <f>AND(TOC!#REF!,"AAAAAB7WVvM=")</f>
        <v>#REF!</v>
      </c>
      <c r="IK1" t="e">
        <f>AND(TOC!#REF!,"AAAAAB7WVvQ=")</f>
        <v>#REF!</v>
      </c>
      <c r="IL1" t="e">
        <f>AND(TOC!#REF!,"AAAAAB7WVvU=")</f>
        <v>#REF!</v>
      </c>
      <c r="IM1" t="e">
        <f>AND(TOC!#REF!,"AAAAAB7WVvY=")</f>
        <v>#REF!</v>
      </c>
      <c r="IN1" t="e">
        <f>AND(TOC!#REF!,"AAAAAB7WVvc=")</f>
        <v>#REF!</v>
      </c>
      <c r="IO1" t="e">
        <f>AND(TOC!#REF!,"AAAAAB7WVvg=")</f>
        <v>#REF!</v>
      </c>
      <c r="IP1" t="e">
        <f>AND(TOC!#REF!,"AAAAAB7WVvk=")</f>
        <v>#REF!</v>
      </c>
      <c r="IQ1" t="e">
        <f>AND(TOC!#REF!,"AAAAAB7WVvo=")</f>
        <v>#REF!</v>
      </c>
      <c r="IR1" t="e">
        <f>AND(TOC!#REF!,"AAAAAB7WVvs=")</f>
        <v>#REF!</v>
      </c>
      <c r="IS1" t="e">
        <f>AND(TOC!#REF!,"AAAAAB7WVvw=")</f>
        <v>#REF!</v>
      </c>
      <c r="IT1" t="e">
        <f>AND(TOC!#REF!,"AAAAAB7WVv0=")</f>
        <v>#REF!</v>
      </c>
      <c r="IU1" t="e">
        <f>AND(TOC!#REF!,"AAAAAB7WVv4=")</f>
        <v>#REF!</v>
      </c>
      <c r="IV1" t="e">
        <f>AND(TOC!#REF!,"AAAAAB7WVv8=")</f>
        <v>#REF!</v>
      </c>
    </row>
    <row r="2" spans="1:256" x14ac:dyDescent="0.2">
      <c r="A2" t="e">
        <f>AND(TOC!#REF!,"AAAAAGz/VwA=")</f>
        <v>#REF!</v>
      </c>
      <c r="B2" t="e">
        <f>AND(TOC!#REF!,"AAAAAGz/VwE=")</f>
        <v>#REF!</v>
      </c>
      <c r="C2" t="e">
        <f>AND(TOC!#REF!,"AAAAAGz/VwI=")</f>
        <v>#REF!</v>
      </c>
      <c r="D2" t="e">
        <f>IF(TOC!#REF!,"AAAAAGz/VwM=",0)</f>
        <v>#REF!</v>
      </c>
      <c r="E2" t="e">
        <f>AND(TOC!#REF!,"AAAAAGz/VwQ=")</f>
        <v>#REF!</v>
      </c>
      <c r="F2" t="e">
        <f>AND(TOC!#REF!,"AAAAAGz/VwU=")</f>
        <v>#REF!</v>
      </c>
      <c r="G2" t="e">
        <f>AND(TOC!#REF!,"AAAAAGz/VwY=")</f>
        <v>#REF!</v>
      </c>
      <c r="H2" t="e">
        <f>AND(TOC!#REF!,"AAAAAGz/Vwc=")</f>
        <v>#REF!</v>
      </c>
      <c r="I2" t="e">
        <f>AND(TOC!#REF!,"AAAAAGz/Vwg=")</f>
        <v>#REF!</v>
      </c>
      <c r="J2" t="e">
        <f>AND(TOC!#REF!,"AAAAAGz/Vwk=")</f>
        <v>#REF!</v>
      </c>
      <c r="K2" t="e">
        <f>AND(TOC!#REF!,"AAAAAGz/Vwo=")</f>
        <v>#REF!</v>
      </c>
      <c r="L2" t="e">
        <f>AND(TOC!#REF!,"AAAAAGz/Vws=")</f>
        <v>#REF!</v>
      </c>
      <c r="M2" t="e">
        <f>AND(TOC!#REF!,"AAAAAGz/Vww=")</f>
        <v>#REF!</v>
      </c>
      <c r="N2" t="e">
        <f>AND(TOC!#REF!,"AAAAAGz/Vw0=")</f>
        <v>#REF!</v>
      </c>
      <c r="O2" t="e">
        <f>AND(TOC!#REF!,"AAAAAGz/Vw4=")</f>
        <v>#REF!</v>
      </c>
      <c r="P2" t="e">
        <f>AND(TOC!#REF!,"AAAAAGz/Vw8=")</f>
        <v>#REF!</v>
      </c>
      <c r="Q2" t="e">
        <f>AND(TOC!#REF!,"AAAAAGz/VxA=")</f>
        <v>#REF!</v>
      </c>
      <c r="R2" t="e">
        <f>AND(TOC!#REF!,"AAAAAGz/VxE=")</f>
        <v>#REF!</v>
      </c>
      <c r="S2" t="e">
        <f>AND(TOC!#REF!,"AAAAAGz/VxI=")</f>
        <v>#REF!</v>
      </c>
      <c r="T2" t="e">
        <f>AND(TOC!#REF!,"AAAAAGz/VxM=")</f>
        <v>#REF!</v>
      </c>
      <c r="U2" t="e">
        <f>AND(TOC!#REF!,"AAAAAGz/VxQ=")</f>
        <v>#REF!</v>
      </c>
      <c r="V2" t="e">
        <f>AND(TOC!#REF!,"AAAAAGz/VxU=")</f>
        <v>#REF!</v>
      </c>
      <c r="W2" t="e">
        <f>AND(TOC!#REF!,"AAAAAGz/VxY=")</f>
        <v>#REF!</v>
      </c>
      <c r="X2" t="e">
        <f>AND(TOC!#REF!,"AAAAAGz/Vxc=")</f>
        <v>#REF!</v>
      </c>
      <c r="Y2" t="e">
        <f>AND(TOC!#REF!,"AAAAAGz/Vxg=")</f>
        <v>#REF!</v>
      </c>
      <c r="Z2" t="e">
        <f>AND(TOC!#REF!,"AAAAAGz/Vxk=")</f>
        <v>#REF!</v>
      </c>
      <c r="AA2" t="e">
        <f>AND(TOC!#REF!,"AAAAAGz/Vxo=")</f>
        <v>#REF!</v>
      </c>
      <c r="AB2" t="e">
        <f>AND(TOC!#REF!,"AAAAAGz/Vxs=")</f>
        <v>#REF!</v>
      </c>
      <c r="AC2" t="e">
        <f>AND(TOC!#REF!,"AAAAAGz/Vxw=")</f>
        <v>#REF!</v>
      </c>
      <c r="AD2" t="e">
        <f>AND(TOC!#REF!,"AAAAAGz/Vx0=")</f>
        <v>#REF!</v>
      </c>
      <c r="AE2" t="e">
        <f>AND(TOC!#REF!,"AAAAAGz/Vx4=")</f>
        <v>#REF!</v>
      </c>
      <c r="AF2" t="e">
        <f>AND(TOC!#REF!,"AAAAAGz/Vx8=")</f>
        <v>#REF!</v>
      </c>
      <c r="AG2" t="e">
        <f>AND(TOC!#REF!,"AAAAAGz/VyA=")</f>
        <v>#REF!</v>
      </c>
      <c r="AH2" t="e">
        <f>AND(TOC!#REF!,"AAAAAGz/VyE=")</f>
        <v>#REF!</v>
      </c>
      <c r="AI2" t="e">
        <f>AND(TOC!#REF!,"AAAAAGz/VyI=")</f>
        <v>#REF!</v>
      </c>
      <c r="AJ2" t="e">
        <f>AND(TOC!#REF!,"AAAAAGz/VyM=")</f>
        <v>#REF!</v>
      </c>
      <c r="AK2" t="e">
        <f>AND(TOC!#REF!,"AAAAAGz/VyQ=")</f>
        <v>#REF!</v>
      </c>
      <c r="AL2" t="e">
        <f>AND(TOC!#REF!,"AAAAAGz/VyU=")</f>
        <v>#REF!</v>
      </c>
      <c r="AM2" t="e">
        <f>AND(TOC!#REF!,"AAAAAGz/VyY=")</f>
        <v>#REF!</v>
      </c>
      <c r="AN2" t="e">
        <f>AND(TOC!#REF!,"AAAAAGz/Vyc=")</f>
        <v>#REF!</v>
      </c>
      <c r="AO2" t="e">
        <f>IF(TOC!#REF!,"AAAAAGz/Vyg=",0)</f>
        <v>#REF!</v>
      </c>
      <c r="AP2" t="e">
        <f>AND(TOC!#REF!,"AAAAAGz/Vyk=")</f>
        <v>#REF!</v>
      </c>
      <c r="AQ2" t="e">
        <f>AND(TOC!#REF!,"AAAAAGz/Vyo=")</f>
        <v>#REF!</v>
      </c>
      <c r="AR2" t="e">
        <f>AND(TOC!#REF!,"AAAAAGz/Vys=")</f>
        <v>#REF!</v>
      </c>
      <c r="AS2" t="e">
        <f>AND(TOC!#REF!,"AAAAAGz/Vyw=")</f>
        <v>#REF!</v>
      </c>
      <c r="AT2" t="e">
        <f>AND(TOC!#REF!,"AAAAAGz/Vy0=")</f>
        <v>#REF!</v>
      </c>
      <c r="AU2" t="e">
        <f>AND(TOC!#REF!,"AAAAAGz/Vy4=")</f>
        <v>#REF!</v>
      </c>
      <c r="AV2" t="e">
        <f>AND(TOC!#REF!,"AAAAAGz/Vy8=")</f>
        <v>#REF!</v>
      </c>
      <c r="AW2" t="e">
        <f>AND(TOC!#REF!,"AAAAAGz/VzA=")</f>
        <v>#REF!</v>
      </c>
      <c r="AX2" t="e">
        <f>AND(TOC!#REF!,"AAAAAGz/VzE=")</f>
        <v>#REF!</v>
      </c>
      <c r="AY2" t="e">
        <f>AND(TOC!#REF!,"AAAAAGz/VzI=")</f>
        <v>#REF!</v>
      </c>
      <c r="AZ2" t="e">
        <f>AND(TOC!#REF!,"AAAAAGz/VzM=")</f>
        <v>#REF!</v>
      </c>
      <c r="BA2" t="e">
        <f>AND(TOC!#REF!,"AAAAAGz/VzQ=")</f>
        <v>#REF!</v>
      </c>
      <c r="BB2" t="e">
        <f>AND(TOC!#REF!,"AAAAAGz/VzU=")</f>
        <v>#REF!</v>
      </c>
      <c r="BC2" t="e">
        <f>AND(TOC!#REF!,"AAAAAGz/VzY=")</f>
        <v>#REF!</v>
      </c>
      <c r="BD2" t="e">
        <f>AND(TOC!#REF!,"AAAAAGz/Vzc=")</f>
        <v>#REF!</v>
      </c>
      <c r="BE2" t="e">
        <f>AND(TOC!#REF!,"AAAAAGz/Vzg=")</f>
        <v>#REF!</v>
      </c>
      <c r="BF2" t="e">
        <f>AND(TOC!#REF!,"AAAAAGz/Vzk=")</f>
        <v>#REF!</v>
      </c>
      <c r="BG2" t="e">
        <f>AND(TOC!#REF!,"AAAAAGz/Vzo=")</f>
        <v>#REF!</v>
      </c>
      <c r="BH2" t="e">
        <f>AND(TOC!#REF!,"AAAAAGz/Vzs=")</f>
        <v>#REF!</v>
      </c>
      <c r="BI2" t="e">
        <f>AND(TOC!#REF!,"AAAAAGz/Vzw=")</f>
        <v>#REF!</v>
      </c>
      <c r="BJ2" t="e">
        <f>AND(TOC!#REF!,"AAAAAGz/Vz0=")</f>
        <v>#REF!</v>
      </c>
      <c r="BK2" t="e">
        <f>AND(TOC!#REF!,"AAAAAGz/Vz4=")</f>
        <v>#REF!</v>
      </c>
      <c r="BL2" t="e">
        <f>AND(TOC!#REF!,"AAAAAGz/Vz8=")</f>
        <v>#REF!</v>
      </c>
      <c r="BM2" t="e">
        <f>AND(TOC!#REF!,"AAAAAGz/V0A=")</f>
        <v>#REF!</v>
      </c>
      <c r="BN2" t="e">
        <f>AND(TOC!#REF!,"AAAAAGz/V0E=")</f>
        <v>#REF!</v>
      </c>
      <c r="BO2" t="e">
        <f>AND(TOC!#REF!,"AAAAAGz/V0I=")</f>
        <v>#REF!</v>
      </c>
      <c r="BP2" t="e">
        <f>AND(TOC!#REF!,"AAAAAGz/V0M=")</f>
        <v>#REF!</v>
      </c>
      <c r="BQ2" t="e">
        <f>AND(TOC!#REF!,"AAAAAGz/V0Q=")</f>
        <v>#REF!</v>
      </c>
      <c r="BR2" t="e">
        <f>AND(TOC!#REF!,"AAAAAGz/V0U=")</f>
        <v>#REF!</v>
      </c>
      <c r="BS2" t="e">
        <f>AND(TOC!#REF!,"AAAAAGz/V0Y=")</f>
        <v>#REF!</v>
      </c>
      <c r="BT2" t="e">
        <f>AND(TOC!#REF!,"AAAAAGz/V0c=")</f>
        <v>#REF!</v>
      </c>
      <c r="BU2" t="e">
        <f>AND(TOC!#REF!,"AAAAAGz/V0g=")</f>
        <v>#REF!</v>
      </c>
      <c r="BV2" t="e">
        <f>AND(TOC!#REF!,"AAAAAGz/V0k=")</f>
        <v>#REF!</v>
      </c>
      <c r="BW2" t="e">
        <f>AND(TOC!#REF!,"AAAAAGz/V0o=")</f>
        <v>#REF!</v>
      </c>
      <c r="BX2" t="e">
        <f>AND(TOC!#REF!,"AAAAAGz/V0s=")</f>
        <v>#REF!</v>
      </c>
      <c r="BY2" t="e">
        <f>AND(TOC!#REF!,"AAAAAGz/V0w=")</f>
        <v>#REF!</v>
      </c>
      <c r="BZ2" t="e">
        <f>IF(TOC!#REF!,"AAAAAGz/V00=",0)</f>
        <v>#REF!</v>
      </c>
      <c r="CA2" t="e">
        <f>AND(TOC!#REF!,"AAAAAGz/V04=")</f>
        <v>#REF!</v>
      </c>
      <c r="CB2" t="e">
        <f>AND(TOC!#REF!,"AAAAAGz/V08=")</f>
        <v>#REF!</v>
      </c>
      <c r="CC2" t="e">
        <f>AND(TOC!#REF!,"AAAAAGz/V1A=")</f>
        <v>#REF!</v>
      </c>
      <c r="CD2" t="e">
        <f>AND(TOC!#REF!,"AAAAAGz/V1E=")</f>
        <v>#REF!</v>
      </c>
      <c r="CE2" t="e">
        <f>AND(TOC!#REF!,"AAAAAGz/V1I=")</f>
        <v>#REF!</v>
      </c>
      <c r="CF2" t="e">
        <f>AND(TOC!#REF!,"AAAAAGz/V1M=")</f>
        <v>#REF!</v>
      </c>
      <c r="CG2" t="e">
        <f>AND(TOC!#REF!,"AAAAAGz/V1Q=")</f>
        <v>#REF!</v>
      </c>
      <c r="CH2" t="e">
        <f>AND(TOC!#REF!,"AAAAAGz/V1U=")</f>
        <v>#REF!</v>
      </c>
      <c r="CI2" t="e">
        <f>AND(TOC!#REF!,"AAAAAGz/V1Y=")</f>
        <v>#REF!</v>
      </c>
      <c r="CJ2" t="e">
        <f>AND(TOC!#REF!,"AAAAAGz/V1c=")</f>
        <v>#REF!</v>
      </c>
      <c r="CK2" t="e">
        <f>AND(TOC!#REF!,"AAAAAGz/V1g=")</f>
        <v>#REF!</v>
      </c>
      <c r="CL2" t="e">
        <f>AND(TOC!#REF!,"AAAAAGz/V1k=")</f>
        <v>#REF!</v>
      </c>
      <c r="CM2" t="e">
        <f>AND(TOC!#REF!,"AAAAAGz/V1o=")</f>
        <v>#REF!</v>
      </c>
      <c r="CN2" t="e">
        <f>AND(TOC!#REF!,"AAAAAGz/V1s=")</f>
        <v>#REF!</v>
      </c>
      <c r="CO2" t="e">
        <f>AND(TOC!#REF!,"AAAAAGz/V1w=")</f>
        <v>#REF!</v>
      </c>
      <c r="CP2" t="e">
        <f>AND(TOC!#REF!,"AAAAAGz/V10=")</f>
        <v>#REF!</v>
      </c>
      <c r="CQ2" t="e">
        <f>AND(TOC!#REF!,"AAAAAGz/V14=")</f>
        <v>#REF!</v>
      </c>
      <c r="CR2" t="e">
        <f>AND(TOC!#REF!,"AAAAAGz/V18=")</f>
        <v>#REF!</v>
      </c>
      <c r="CS2" t="e">
        <f>AND(TOC!#REF!,"AAAAAGz/V2A=")</f>
        <v>#REF!</v>
      </c>
      <c r="CT2" t="e">
        <f>AND(TOC!#REF!,"AAAAAGz/V2E=")</f>
        <v>#REF!</v>
      </c>
      <c r="CU2" t="e">
        <f>AND(TOC!#REF!,"AAAAAGz/V2I=")</f>
        <v>#REF!</v>
      </c>
      <c r="CV2" t="e">
        <f>AND(TOC!#REF!,"AAAAAGz/V2M=")</f>
        <v>#REF!</v>
      </c>
      <c r="CW2" t="e">
        <f>AND(TOC!#REF!,"AAAAAGz/V2Q=")</f>
        <v>#REF!</v>
      </c>
      <c r="CX2" t="e">
        <f>AND(TOC!#REF!,"AAAAAGz/V2U=")</f>
        <v>#REF!</v>
      </c>
      <c r="CY2" t="e">
        <f>AND(TOC!#REF!,"AAAAAGz/V2Y=")</f>
        <v>#REF!</v>
      </c>
      <c r="CZ2" t="e">
        <f>AND(TOC!#REF!,"AAAAAGz/V2c=")</f>
        <v>#REF!</v>
      </c>
      <c r="DA2" t="e">
        <f>AND(TOC!#REF!,"AAAAAGz/V2g=")</f>
        <v>#REF!</v>
      </c>
      <c r="DB2" t="e">
        <f>AND(TOC!#REF!,"AAAAAGz/V2k=")</f>
        <v>#REF!</v>
      </c>
      <c r="DC2" t="e">
        <f>AND(TOC!#REF!,"AAAAAGz/V2o=")</f>
        <v>#REF!</v>
      </c>
      <c r="DD2" t="e">
        <f>AND(TOC!#REF!,"AAAAAGz/V2s=")</f>
        <v>#REF!</v>
      </c>
      <c r="DE2" t="e">
        <f>AND(TOC!#REF!,"AAAAAGz/V2w=")</f>
        <v>#REF!</v>
      </c>
      <c r="DF2" t="e">
        <f>AND(TOC!#REF!,"AAAAAGz/V20=")</f>
        <v>#REF!</v>
      </c>
      <c r="DG2" t="e">
        <f>AND(TOC!#REF!,"AAAAAGz/V24=")</f>
        <v>#REF!</v>
      </c>
      <c r="DH2" t="e">
        <f>AND(TOC!#REF!,"AAAAAGz/V28=")</f>
        <v>#REF!</v>
      </c>
      <c r="DI2" t="e">
        <f>AND(TOC!#REF!,"AAAAAGz/V3A=")</f>
        <v>#REF!</v>
      </c>
      <c r="DJ2" t="e">
        <f>AND(TOC!#REF!,"AAAAAGz/V3E=")</f>
        <v>#REF!</v>
      </c>
      <c r="DK2" t="e">
        <f>IF(TOC!#REF!,"AAAAAGz/V3I=",0)</f>
        <v>#REF!</v>
      </c>
      <c r="DL2" t="e">
        <f>AND(TOC!#REF!,"AAAAAGz/V3M=")</f>
        <v>#REF!</v>
      </c>
      <c r="DM2" t="e">
        <f>AND(TOC!#REF!,"AAAAAGz/V3Q=")</f>
        <v>#REF!</v>
      </c>
      <c r="DN2" t="e">
        <f>AND(TOC!#REF!,"AAAAAGz/V3U=")</f>
        <v>#REF!</v>
      </c>
      <c r="DO2" t="e">
        <f>AND(TOC!#REF!,"AAAAAGz/V3Y=")</f>
        <v>#REF!</v>
      </c>
      <c r="DP2" t="e">
        <f>AND(TOC!#REF!,"AAAAAGz/V3c=")</f>
        <v>#REF!</v>
      </c>
      <c r="DQ2" t="e">
        <f>AND(TOC!#REF!,"AAAAAGz/V3g=")</f>
        <v>#REF!</v>
      </c>
      <c r="DR2" t="e">
        <f>AND(TOC!#REF!,"AAAAAGz/V3k=")</f>
        <v>#REF!</v>
      </c>
      <c r="DS2" t="e">
        <f>AND(TOC!#REF!,"AAAAAGz/V3o=")</f>
        <v>#REF!</v>
      </c>
      <c r="DT2" t="e">
        <f>AND(TOC!#REF!,"AAAAAGz/V3s=")</f>
        <v>#REF!</v>
      </c>
      <c r="DU2" t="e">
        <f>AND(TOC!#REF!,"AAAAAGz/V3w=")</f>
        <v>#REF!</v>
      </c>
      <c r="DV2" t="e">
        <f>AND(TOC!#REF!,"AAAAAGz/V30=")</f>
        <v>#REF!</v>
      </c>
      <c r="DW2" t="e">
        <f>AND(TOC!#REF!,"AAAAAGz/V34=")</f>
        <v>#REF!</v>
      </c>
      <c r="DX2" t="e">
        <f>AND(TOC!#REF!,"AAAAAGz/V38=")</f>
        <v>#REF!</v>
      </c>
      <c r="DY2" t="e">
        <f>AND(TOC!#REF!,"AAAAAGz/V4A=")</f>
        <v>#REF!</v>
      </c>
      <c r="DZ2" t="e">
        <f>AND(TOC!#REF!,"AAAAAGz/V4E=")</f>
        <v>#REF!</v>
      </c>
      <c r="EA2" t="e">
        <f>AND(TOC!#REF!,"AAAAAGz/V4I=")</f>
        <v>#REF!</v>
      </c>
      <c r="EB2" t="e">
        <f>AND(TOC!#REF!,"AAAAAGz/V4M=")</f>
        <v>#REF!</v>
      </c>
      <c r="EC2" t="e">
        <f>AND(TOC!#REF!,"AAAAAGz/V4Q=")</f>
        <v>#REF!</v>
      </c>
      <c r="ED2" t="e">
        <f>AND(TOC!#REF!,"AAAAAGz/V4U=")</f>
        <v>#REF!</v>
      </c>
      <c r="EE2" t="e">
        <f>AND(TOC!#REF!,"AAAAAGz/V4Y=")</f>
        <v>#REF!</v>
      </c>
      <c r="EF2" t="e">
        <f>AND(TOC!#REF!,"AAAAAGz/V4c=")</f>
        <v>#REF!</v>
      </c>
      <c r="EG2" t="e">
        <f>AND(TOC!#REF!,"AAAAAGz/V4g=")</f>
        <v>#REF!</v>
      </c>
      <c r="EH2" t="e">
        <f>AND(TOC!#REF!,"AAAAAGz/V4k=")</f>
        <v>#REF!</v>
      </c>
      <c r="EI2" t="e">
        <f>AND(TOC!#REF!,"AAAAAGz/V4o=")</f>
        <v>#REF!</v>
      </c>
      <c r="EJ2" t="e">
        <f>AND(TOC!#REF!,"AAAAAGz/V4s=")</f>
        <v>#REF!</v>
      </c>
      <c r="EK2" t="e">
        <f>AND(TOC!#REF!,"AAAAAGz/V4w=")</f>
        <v>#REF!</v>
      </c>
      <c r="EL2" t="e">
        <f>AND(TOC!#REF!,"AAAAAGz/V40=")</f>
        <v>#REF!</v>
      </c>
      <c r="EM2" t="e">
        <f>AND(TOC!#REF!,"AAAAAGz/V44=")</f>
        <v>#REF!</v>
      </c>
      <c r="EN2" t="e">
        <f>AND(TOC!#REF!,"AAAAAGz/V48=")</f>
        <v>#REF!</v>
      </c>
      <c r="EO2" t="e">
        <f>AND(TOC!#REF!,"AAAAAGz/V5A=")</f>
        <v>#REF!</v>
      </c>
      <c r="EP2" t="e">
        <f>AND(TOC!#REF!,"AAAAAGz/V5E=")</f>
        <v>#REF!</v>
      </c>
      <c r="EQ2" t="e">
        <f>AND(TOC!#REF!,"AAAAAGz/V5I=")</f>
        <v>#REF!</v>
      </c>
      <c r="ER2" t="e">
        <f>AND(TOC!#REF!,"AAAAAGz/V5M=")</f>
        <v>#REF!</v>
      </c>
      <c r="ES2" t="e">
        <f>AND(TOC!#REF!,"AAAAAGz/V5Q=")</f>
        <v>#REF!</v>
      </c>
      <c r="ET2" t="e">
        <f>AND(TOC!#REF!,"AAAAAGz/V5U=")</f>
        <v>#REF!</v>
      </c>
      <c r="EU2" t="e">
        <f>AND(TOC!#REF!,"AAAAAGz/V5Y=")</f>
        <v>#REF!</v>
      </c>
      <c r="EV2" t="e">
        <f>IF(TOC!#REF!,"AAAAAGz/V5c=",0)</f>
        <v>#REF!</v>
      </c>
      <c r="EW2" t="e">
        <f>AND(TOC!#REF!,"AAAAAGz/V5g=")</f>
        <v>#REF!</v>
      </c>
      <c r="EX2" t="e">
        <f>AND(TOC!#REF!,"AAAAAGz/V5k=")</f>
        <v>#REF!</v>
      </c>
      <c r="EY2" t="e">
        <f>AND(TOC!#REF!,"AAAAAGz/V5o=")</f>
        <v>#REF!</v>
      </c>
      <c r="EZ2" t="e">
        <f>AND(TOC!#REF!,"AAAAAGz/V5s=")</f>
        <v>#REF!</v>
      </c>
      <c r="FA2" t="e">
        <f>AND(TOC!#REF!,"AAAAAGz/V5w=")</f>
        <v>#REF!</v>
      </c>
      <c r="FB2" t="e">
        <f>AND(TOC!#REF!,"AAAAAGz/V50=")</f>
        <v>#REF!</v>
      </c>
      <c r="FC2" t="e">
        <f>AND(TOC!#REF!,"AAAAAGz/V54=")</f>
        <v>#REF!</v>
      </c>
      <c r="FD2" t="e">
        <f>AND(TOC!#REF!,"AAAAAGz/V58=")</f>
        <v>#REF!</v>
      </c>
      <c r="FE2" t="e">
        <f>AND(TOC!#REF!,"AAAAAGz/V6A=")</f>
        <v>#REF!</v>
      </c>
      <c r="FF2" t="e">
        <f>AND(TOC!#REF!,"AAAAAGz/V6E=")</f>
        <v>#REF!</v>
      </c>
      <c r="FG2" t="e">
        <f>AND(TOC!#REF!,"AAAAAGz/V6I=")</f>
        <v>#REF!</v>
      </c>
      <c r="FH2" t="e">
        <f>AND(TOC!#REF!,"AAAAAGz/V6M=")</f>
        <v>#REF!</v>
      </c>
      <c r="FI2" t="e">
        <f>AND(TOC!#REF!,"AAAAAGz/V6Q=")</f>
        <v>#REF!</v>
      </c>
      <c r="FJ2" t="e">
        <f>AND(TOC!#REF!,"AAAAAGz/V6U=")</f>
        <v>#REF!</v>
      </c>
      <c r="FK2" t="e">
        <f>AND(TOC!#REF!,"AAAAAGz/V6Y=")</f>
        <v>#REF!</v>
      </c>
      <c r="FL2" t="e">
        <f>AND(TOC!#REF!,"AAAAAGz/V6c=")</f>
        <v>#REF!</v>
      </c>
      <c r="FM2" t="e">
        <f>AND(TOC!#REF!,"AAAAAGz/V6g=")</f>
        <v>#REF!</v>
      </c>
      <c r="FN2" t="e">
        <f>AND(TOC!#REF!,"AAAAAGz/V6k=")</f>
        <v>#REF!</v>
      </c>
      <c r="FO2" t="e">
        <f>AND(TOC!#REF!,"AAAAAGz/V6o=")</f>
        <v>#REF!</v>
      </c>
      <c r="FP2" t="e">
        <f>AND(TOC!#REF!,"AAAAAGz/V6s=")</f>
        <v>#REF!</v>
      </c>
      <c r="FQ2" t="e">
        <f>AND(TOC!#REF!,"AAAAAGz/V6w=")</f>
        <v>#REF!</v>
      </c>
      <c r="FR2" t="e">
        <f>AND(TOC!#REF!,"AAAAAGz/V60=")</f>
        <v>#REF!</v>
      </c>
      <c r="FS2" t="e">
        <f>AND(TOC!#REF!,"AAAAAGz/V64=")</f>
        <v>#REF!</v>
      </c>
      <c r="FT2" t="e">
        <f>AND(TOC!#REF!,"AAAAAGz/V68=")</f>
        <v>#REF!</v>
      </c>
      <c r="FU2" t="e">
        <f>AND(TOC!#REF!,"AAAAAGz/V7A=")</f>
        <v>#REF!</v>
      </c>
      <c r="FV2" t="e">
        <f>AND(TOC!#REF!,"AAAAAGz/V7E=")</f>
        <v>#REF!</v>
      </c>
      <c r="FW2" t="e">
        <f>AND(TOC!#REF!,"AAAAAGz/V7I=")</f>
        <v>#REF!</v>
      </c>
      <c r="FX2" t="e">
        <f>AND(TOC!#REF!,"AAAAAGz/V7M=")</f>
        <v>#REF!</v>
      </c>
      <c r="FY2" t="e">
        <f>AND(TOC!#REF!,"AAAAAGz/V7Q=")</f>
        <v>#REF!</v>
      </c>
      <c r="FZ2" t="e">
        <f>AND(TOC!#REF!,"AAAAAGz/V7U=")</f>
        <v>#REF!</v>
      </c>
      <c r="GA2" t="e">
        <f>AND(TOC!#REF!,"AAAAAGz/V7Y=")</f>
        <v>#REF!</v>
      </c>
      <c r="GB2" t="e">
        <f>AND(TOC!#REF!,"AAAAAGz/V7c=")</f>
        <v>#REF!</v>
      </c>
      <c r="GC2" t="e">
        <f>AND(TOC!#REF!,"AAAAAGz/V7g=")</f>
        <v>#REF!</v>
      </c>
      <c r="GD2" t="e">
        <f>AND(TOC!#REF!,"AAAAAGz/V7k=")</f>
        <v>#REF!</v>
      </c>
      <c r="GE2" t="e">
        <f>AND(TOC!#REF!,"AAAAAGz/V7o=")</f>
        <v>#REF!</v>
      </c>
      <c r="GF2" t="e">
        <f>AND(TOC!#REF!,"AAAAAGz/V7s=")</f>
        <v>#REF!</v>
      </c>
      <c r="GG2" t="e">
        <f>IF(TOC!#REF!,"AAAAAGz/V7w=",0)</f>
        <v>#REF!</v>
      </c>
      <c r="GH2" t="e">
        <f>AND(TOC!#REF!,"AAAAAGz/V70=")</f>
        <v>#REF!</v>
      </c>
      <c r="GI2" t="e">
        <f>AND(TOC!#REF!,"AAAAAGz/V74=")</f>
        <v>#REF!</v>
      </c>
      <c r="GJ2" t="e">
        <f>AND(TOC!#REF!,"AAAAAGz/V78=")</f>
        <v>#REF!</v>
      </c>
      <c r="GK2" t="e">
        <f>AND(TOC!#REF!,"AAAAAGz/V8A=")</f>
        <v>#REF!</v>
      </c>
      <c r="GL2" t="e">
        <f>AND(TOC!#REF!,"AAAAAGz/V8E=")</f>
        <v>#REF!</v>
      </c>
      <c r="GM2" t="e">
        <f>AND(TOC!#REF!,"AAAAAGz/V8I=")</f>
        <v>#REF!</v>
      </c>
      <c r="GN2" t="e">
        <f>AND(TOC!#REF!,"AAAAAGz/V8M=")</f>
        <v>#REF!</v>
      </c>
      <c r="GO2" t="e">
        <f>AND(TOC!#REF!,"AAAAAGz/V8Q=")</f>
        <v>#REF!</v>
      </c>
      <c r="GP2" t="e">
        <f>AND(TOC!#REF!,"AAAAAGz/V8U=")</f>
        <v>#REF!</v>
      </c>
      <c r="GQ2" t="e">
        <f>AND(TOC!#REF!,"AAAAAGz/V8Y=")</f>
        <v>#REF!</v>
      </c>
      <c r="GR2" t="e">
        <f>AND(TOC!#REF!,"AAAAAGz/V8c=")</f>
        <v>#REF!</v>
      </c>
      <c r="GS2" t="e">
        <f>AND(TOC!#REF!,"AAAAAGz/V8g=")</f>
        <v>#REF!</v>
      </c>
      <c r="GT2" t="e">
        <f>AND(TOC!#REF!,"AAAAAGz/V8k=")</f>
        <v>#REF!</v>
      </c>
      <c r="GU2" t="e">
        <f>AND(TOC!#REF!,"AAAAAGz/V8o=")</f>
        <v>#REF!</v>
      </c>
      <c r="GV2" t="e">
        <f>AND(TOC!#REF!,"AAAAAGz/V8s=")</f>
        <v>#REF!</v>
      </c>
      <c r="GW2" t="e">
        <f>AND(TOC!#REF!,"AAAAAGz/V8w=")</f>
        <v>#REF!</v>
      </c>
      <c r="GX2" t="e">
        <f>AND(TOC!#REF!,"AAAAAGz/V80=")</f>
        <v>#REF!</v>
      </c>
      <c r="GY2" t="e">
        <f>AND(TOC!#REF!,"AAAAAGz/V84=")</f>
        <v>#REF!</v>
      </c>
      <c r="GZ2" t="e">
        <f>AND(TOC!#REF!,"AAAAAGz/V88=")</f>
        <v>#REF!</v>
      </c>
      <c r="HA2" t="e">
        <f>AND(TOC!#REF!,"AAAAAGz/V9A=")</f>
        <v>#REF!</v>
      </c>
      <c r="HB2" t="e">
        <f>AND(TOC!#REF!,"AAAAAGz/V9E=")</f>
        <v>#REF!</v>
      </c>
      <c r="HC2" t="e">
        <f>AND(TOC!#REF!,"AAAAAGz/V9I=")</f>
        <v>#REF!</v>
      </c>
      <c r="HD2" t="e">
        <f>AND(TOC!#REF!,"AAAAAGz/V9M=")</f>
        <v>#REF!</v>
      </c>
      <c r="HE2" t="e">
        <f>AND(TOC!#REF!,"AAAAAGz/V9Q=")</f>
        <v>#REF!</v>
      </c>
      <c r="HF2" t="e">
        <f>AND(TOC!#REF!,"AAAAAGz/V9U=")</f>
        <v>#REF!</v>
      </c>
      <c r="HG2" t="e">
        <f>AND(TOC!#REF!,"AAAAAGz/V9Y=")</f>
        <v>#REF!</v>
      </c>
      <c r="HH2" t="e">
        <f>AND(TOC!#REF!,"AAAAAGz/V9c=")</f>
        <v>#REF!</v>
      </c>
      <c r="HI2" t="e">
        <f>AND(TOC!#REF!,"AAAAAGz/V9g=")</f>
        <v>#REF!</v>
      </c>
      <c r="HJ2" t="e">
        <f>AND(TOC!#REF!,"AAAAAGz/V9k=")</f>
        <v>#REF!</v>
      </c>
      <c r="HK2" t="e">
        <f>AND(TOC!#REF!,"AAAAAGz/V9o=")</f>
        <v>#REF!</v>
      </c>
      <c r="HL2" t="e">
        <f>AND(TOC!#REF!,"AAAAAGz/V9s=")</f>
        <v>#REF!</v>
      </c>
      <c r="HM2" t="e">
        <f>AND(TOC!#REF!,"AAAAAGz/V9w=")</f>
        <v>#REF!</v>
      </c>
      <c r="HN2" t="e">
        <f>AND(TOC!#REF!,"AAAAAGz/V90=")</f>
        <v>#REF!</v>
      </c>
      <c r="HO2" t="e">
        <f>AND(TOC!#REF!,"AAAAAGz/V94=")</f>
        <v>#REF!</v>
      </c>
      <c r="HP2" t="e">
        <f>AND(TOC!#REF!,"AAAAAGz/V98=")</f>
        <v>#REF!</v>
      </c>
      <c r="HQ2" t="e">
        <f>AND(TOC!#REF!,"AAAAAGz/V+A=")</f>
        <v>#REF!</v>
      </c>
      <c r="HR2" t="e">
        <f>IF(TOC!#REF!,"AAAAAGz/V+E=",0)</f>
        <v>#REF!</v>
      </c>
      <c r="HS2" t="e">
        <f>AND(TOC!#REF!,"AAAAAGz/V+I=")</f>
        <v>#REF!</v>
      </c>
      <c r="HT2" t="e">
        <f>AND(TOC!#REF!,"AAAAAGz/V+M=")</f>
        <v>#REF!</v>
      </c>
      <c r="HU2" t="e">
        <f>AND(TOC!#REF!,"AAAAAGz/V+Q=")</f>
        <v>#REF!</v>
      </c>
      <c r="HV2" t="e">
        <f>AND(TOC!#REF!,"AAAAAGz/V+U=")</f>
        <v>#REF!</v>
      </c>
      <c r="HW2" t="e">
        <f>AND(TOC!#REF!,"AAAAAGz/V+Y=")</f>
        <v>#REF!</v>
      </c>
      <c r="HX2" t="e">
        <f>AND(TOC!#REF!,"AAAAAGz/V+c=")</f>
        <v>#REF!</v>
      </c>
      <c r="HY2" t="e">
        <f>AND(TOC!#REF!,"AAAAAGz/V+g=")</f>
        <v>#REF!</v>
      </c>
      <c r="HZ2" t="e">
        <f>AND(TOC!#REF!,"AAAAAGz/V+k=")</f>
        <v>#REF!</v>
      </c>
      <c r="IA2" t="e">
        <f>AND(TOC!#REF!,"AAAAAGz/V+o=")</f>
        <v>#REF!</v>
      </c>
      <c r="IB2" t="e">
        <f>AND(TOC!#REF!,"AAAAAGz/V+s=")</f>
        <v>#REF!</v>
      </c>
      <c r="IC2" t="e">
        <f>AND(TOC!#REF!,"AAAAAGz/V+w=")</f>
        <v>#REF!</v>
      </c>
      <c r="ID2" t="e">
        <f>AND(TOC!#REF!,"AAAAAGz/V+0=")</f>
        <v>#REF!</v>
      </c>
      <c r="IE2" t="e">
        <f>AND(TOC!#REF!,"AAAAAGz/V+4=")</f>
        <v>#REF!</v>
      </c>
      <c r="IF2" t="e">
        <f>AND(TOC!#REF!,"AAAAAGz/V+8=")</f>
        <v>#REF!</v>
      </c>
      <c r="IG2" t="e">
        <f>AND(TOC!#REF!,"AAAAAGz/V/A=")</f>
        <v>#REF!</v>
      </c>
      <c r="IH2" t="e">
        <f>AND(TOC!#REF!,"AAAAAGz/V/E=")</f>
        <v>#REF!</v>
      </c>
      <c r="II2" t="e">
        <f>AND(TOC!#REF!,"AAAAAGz/V/I=")</f>
        <v>#REF!</v>
      </c>
      <c r="IJ2" t="e">
        <f>AND(TOC!#REF!,"AAAAAGz/V/M=")</f>
        <v>#REF!</v>
      </c>
      <c r="IK2" t="e">
        <f>AND(TOC!#REF!,"AAAAAGz/V/Q=")</f>
        <v>#REF!</v>
      </c>
      <c r="IL2" t="e">
        <f>AND(TOC!#REF!,"AAAAAGz/V/U=")</f>
        <v>#REF!</v>
      </c>
      <c r="IM2" t="e">
        <f>AND(TOC!#REF!,"AAAAAGz/V/Y=")</f>
        <v>#REF!</v>
      </c>
      <c r="IN2" t="e">
        <f>AND(TOC!#REF!,"AAAAAGz/V/c=")</f>
        <v>#REF!</v>
      </c>
      <c r="IO2" t="e">
        <f>AND(TOC!#REF!,"AAAAAGz/V/g=")</f>
        <v>#REF!</v>
      </c>
      <c r="IP2" t="e">
        <f>AND(TOC!#REF!,"AAAAAGz/V/k=")</f>
        <v>#REF!</v>
      </c>
      <c r="IQ2" t="e">
        <f>AND(TOC!#REF!,"AAAAAGz/V/o=")</f>
        <v>#REF!</v>
      </c>
      <c r="IR2" t="e">
        <f>AND(TOC!#REF!,"AAAAAGz/V/s=")</f>
        <v>#REF!</v>
      </c>
      <c r="IS2" t="e">
        <f>AND(TOC!#REF!,"AAAAAGz/V/w=")</f>
        <v>#REF!</v>
      </c>
      <c r="IT2" t="e">
        <f>AND(TOC!#REF!,"AAAAAGz/V/0=")</f>
        <v>#REF!</v>
      </c>
      <c r="IU2" t="e">
        <f>AND(TOC!#REF!,"AAAAAGz/V/4=")</f>
        <v>#REF!</v>
      </c>
      <c r="IV2" t="e">
        <f>AND(TOC!#REF!,"AAAAAGz/V/8=")</f>
        <v>#REF!</v>
      </c>
    </row>
    <row r="3" spans="1:256" x14ac:dyDescent="0.2">
      <c r="A3" t="e">
        <f>AND(TOC!#REF!,"AAAAAH7+/wA=")</f>
        <v>#REF!</v>
      </c>
      <c r="B3" t="e">
        <f>AND(TOC!#REF!,"AAAAAH7+/wE=")</f>
        <v>#REF!</v>
      </c>
      <c r="C3" t="e">
        <f>AND(TOC!#REF!,"AAAAAH7+/wI=")</f>
        <v>#REF!</v>
      </c>
      <c r="D3" t="e">
        <f>AND(TOC!#REF!,"AAAAAH7+/wM=")</f>
        <v>#REF!</v>
      </c>
      <c r="E3" t="e">
        <f>AND(TOC!#REF!,"AAAAAH7+/wQ=")</f>
        <v>#REF!</v>
      </c>
      <c r="F3" t="e">
        <f>AND(TOC!#REF!,"AAAAAH7+/wU=")</f>
        <v>#REF!</v>
      </c>
      <c r="G3" t="e">
        <f>IF(TOC!#REF!,"AAAAAH7+/wY=",0)</f>
        <v>#REF!</v>
      </c>
      <c r="H3" t="e">
        <f>AND(TOC!#REF!,"AAAAAH7+/wc=")</f>
        <v>#REF!</v>
      </c>
      <c r="I3" t="e">
        <f>AND(TOC!#REF!,"AAAAAH7+/wg=")</f>
        <v>#REF!</v>
      </c>
      <c r="J3" t="e">
        <f>AND(TOC!#REF!,"AAAAAH7+/wk=")</f>
        <v>#REF!</v>
      </c>
      <c r="K3" t="e">
        <f>AND(TOC!#REF!,"AAAAAH7+/wo=")</f>
        <v>#REF!</v>
      </c>
      <c r="L3" t="e">
        <f>AND(TOC!#REF!,"AAAAAH7+/ws=")</f>
        <v>#REF!</v>
      </c>
      <c r="M3" t="e">
        <f>AND(TOC!#REF!,"AAAAAH7+/ww=")</f>
        <v>#REF!</v>
      </c>
      <c r="N3" t="e">
        <f>AND(TOC!#REF!,"AAAAAH7+/w0=")</f>
        <v>#REF!</v>
      </c>
      <c r="O3" t="e">
        <f>AND(TOC!#REF!,"AAAAAH7+/w4=")</f>
        <v>#REF!</v>
      </c>
      <c r="P3" t="e">
        <f>AND(TOC!#REF!,"AAAAAH7+/w8=")</f>
        <v>#REF!</v>
      </c>
      <c r="Q3" t="e">
        <f>AND(TOC!#REF!,"AAAAAH7+/xA=")</f>
        <v>#REF!</v>
      </c>
      <c r="R3" t="e">
        <f>AND(TOC!#REF!,"AAAAAH7+/xE=")</f>
        <v>#REF!</v>
      </c>
      <c r="S3" t="e">
        <f>AND(TOC!#REF!,"AAAAAH7+/xI=")</f>
        <v>#REF!</v>
      </c>
      <c r="T3" t="e">
        <f>AND(TOC!#REF!,"AAAAAH7+/xM=")</f>
        <v>#REF!</v>
      </c>
      <c r="U3" t="e">
        <f>AND(TOC!#REF!,"AAAAAH7+/xQ=")</f>
        <v>#REF!</v>
      </c>
      <c r="V3" t="e">
        <f>AND(TOC!#REF!,"AAAAAH7+/xU=")</f>
        <v>#REF!</v>
      </c>
      <c r="W3" t="e">
        <f>AND(TOC!#REF!,"AAAAAH7+/xY=")</f>
        <v>#REF!</v>
      </c>
      <c r="X3" t="e">
        <f>AND(TOC!#REF!,"AAAAAH7+/xc=")</f>
        <v>#REF!</v>
      </c>
      <c r="Y3" t="e">
        <f>AND(TOC!#REF!,"AAAAAH7+/xg=")</f>
        <v>#REF!</v>
      </c>
      <c r="Z3" t="e">
        <f>AND(TOC!#REF!,"AAAAAH7+/xk=")</f>
        <v>#REF!</v>
      </c>
      <c r="AA3" t="e">
        <f>AND(TOC!#REF!,"AAAAAH7+/xo=")</f>
        <v>#REF!</v>
      </c>
      <c r="AB3" t="e">
        <f>AND(TOC!#REF!,"AAAAAH7+/xs=")</f>
        <v>#REF!</v>
      </c>
      <c r="AC3" t="e">
        <f>AND(TOC!#REF!,"AAAAAH7+/xw=")</f>
        <v>#REF!</v>
      </c>
      <c r="AD3" t="e">
        <f>AND(TOC!#REF!,"AAAAAH7+/x0=")</f>
        <v>#REF!</v>
      </c>
      <c r="AE3" t="e">
        <f>AND(TOC!#REF!,"AAAAAH7+/x4=")</f>
        <v>#REF!</v>
      </c>
      <c r="AF3" t="e">
        <f>AND(TOC!#REF!,"AAAAAH7+/x8=")</f>
        <v>#REF!</v>
      </c>
      <c r="AG3" t="e">
        <f>AND(TOC!#REF!,"AAAAAH7+/yA=")</f>
        <v>#REF!</v>
      </c>
      <c r="AH3" t="e">
        <f>AND(TOC!#REF!,"AAAAAH7+/yE=")</f>
        <v>#REF!</v>
      </c>
      <c r="AI3" t="e">
        <f>AND(TOC!#REF!,"AAAAAH7+/yI=")</f>
        <v>#REF!</v>
      </c>
      <c r="AJ3" t="e">
        <f>AND(TOC!#REF!,"AAAAAH7+/yM=")</f>
        <v>#REF!</v>
      </c>
      <c r="AK3" t="e">
        <f>AND(TOC!#REF!,"AAAAAH7+/yQ=")</f>
        <v>#REF!</v>
      </c>
      <c r="AL3" t="e">
        <f>AND(TOC!#REF!,"AAAAAH7+/yU=")</f>
        <v>#REF!</v>
      </c>
      <c r="AM3" t="e">
        <f>AND(TOC!#REF!,"AAAAAH7+/yY=")</f>
        <v>#REF!</v>
      </c>
      <c r="AN3" t="e">
        <f>AND(TOC!#REF!,"AAAAAH7+/yc=")</f>
        <v>#REF!</v>
      </c>
      <c r="AO3" t="e">
        <f>AND(TOC!#REF!,"AAAAAH7+/yg=")</f>
        <v>#REF!</v>
      </c>
      <c r="AP3" t="e">
        <f>AND(TOC!#REF!,"AAAAAH7+/yk=")</f>
        <v>#REF!</v>
      </c>
      <c r="AQ3" t="e">
        <f>AND(TOC!#REF!,"AAAAAH7+/yo=")</f>
        <v>#REF!</v>
      </c>
      <c r="AR3" t="e">
        <f>IF(TOC!#REF!,"AAAAAH7+/ys=",0)</f>
        <v>#REF!</v>
      </c>
      <c r="AS3" t="e">
        <f>AND(TOC!#REF!,"AAAAAH7+/yw=")</f>
        <v>#REF!</v>
      </c>
      <c r="AT3" t="e">
        <f>AND(TOC!#REF!,"AAAAAH7+/y0=")</f>
        <v>#REF!</v>
      </c>
      <c r="AU3" t="e">
        <f>AND(TOC!#REF!,"AAAAAH7+/y4=")</f>
        <v>#REF!</v>
      </c>
      <c r="AV3" t="e">
        <f>AND(TOC!#REF!,"AAAAAH7+/y8=")</f>
        <v>#REF!</v>
      </c>
      <c r="AW3" t="e">
        <f>AND(TOC!#REF!,"AAAAAH7+/zA=")</f>
        <v>#REF!</v>
      </c>
      <c r="AX3" t="e">
        <f>AND(TOC!#REF!,"AAAAAH7+/zE=")</f>
        <v>#REF!</v>
      </c>
      <c r="AY3" t="e">
        <f>AND(TOC!#REF!,"AAAAAH7+/zI=")</f>
        <v>#REF!</v>
      </c>
      <c r="AZ3" t="e">
        <f>AND(TOC!#REF!,"AAAAAH7+/zM=")</f>
        <v>#REF!</v>
      </c>
      <c r="BA3" t="e">
        <f>AND(TOC!#REF!,"AAAAAH7+/zQ=")</f>
        <v>#REF!</v>
      </c>
      <c r="BB3" t="e">
        <f>AND(TOC!#REF!,"AAAAAH7+/zU=")</f>
        <v>#REF!</v>
      </c>
      <c r="BC3" t="e">
        <f>AND(TOC!#REF!,"AAAAAH7+/zY=")</f>
        <v>#REF!</v>
      </c>
      <c r="BD3" t="e">
        <f>AND(TOC!#REF!,"AAAAAH7+/zc=")</f>
        <v>#REF!</v>
      </c>
      <c r="BE3" t="e">
        <f>AND(TOC!#REF!,"AAAAAH7+/zg=")</f>
        <v>#REF!</v>
      </c>
      <c r="BF3" t="e">
        <f>AND(TOC!#REF!,"AAAAAH7+/zk=")</f>
        <v>#REF!</v>
      </c>
      <c r="BG3" t="e">
        <f>AND(TOC!#REF!,"AAAAAH7+/zo=")</f>
        <v>#REF!</v>
      </c>
      <c r="BH3" t="e">
        <f>AND(TOC!#REF!,"AAAAAH7+/zs=")</f>
        <v>#REF!</v>
      </c>
      <c r="BI3" t="e">
        <f>AND(TOC!#REF!,"AAAAAH7+/zw=")</f>
        <v>#REF!</v>
      </c>
      <c r="BJ3" t="e">
        <f>AND(TOC!#REF!,"AAAAAH7+/z0=")</f>
        <v>#REF!</v>
      </c>
      <c r="BK3" t="e">
        <f>AND(TOC!#REF!,"AAAAAH7+/z4=")</f>
        <v>#REF!</v>
      </c>
      <c r="BL3" t="e">
        <f>AND(TOC!#REF!,"AAAAAH7+/z8=")</f>
        <v>#REF!</v>
      </c>
      <c r="BM3" t="e">
        <f>AND(TOC!#REF!,"AAAAAH7+/0A=")</f>
        <v>#REF!</v>
      </c>
      <c r="BN3" t="e">
        <f>AND(TOC!#REF!,"AAAAAH7+/0E=")</f>
        <v>#REF!</v>
      </c>
      <c r="BO3" t="e">
        <f>AND(TOC!#REF!,"AAAAAH7+/0I=")</f>
        <v>#REF!</v>
      </c>
      <c r="BP3" t="e">
        <f>AND(TOC!#REF!,"AAAAAH7+/0M=")</f>
        <v>#REF!</v>
      </c>
      <c r="BQ3" t="e">
        <f>AND(TOC!#REF!,"AAAAAH7+/0Q=")</f>
        <v>#REF!</v>
      </c>
      <c r="BR3" t="e">
        <f>AND(TOC!#REF!,"AAAAAH7+/0U=")</f>
        <v>#REF!</v>
      </c>
      <c r="BS3" t="e">
        <f>AND(TOC!#REF!,"AAAAAH7+/0Y=")</f>
        <v>#REF!</v>
      </c>
      <c r="BT3" t="e">
        <f>AND(TOC!#REF!,"AAAAAH7+/0c=")</f>
        <v>#REF!</v>
      </c>
      <c r="BU3" t="e">
        <f>AND(TOC!#REF!,"AAAAAH7+/0g=")</f>
        <v>#REF!</v>
      </c>
      <c r="BV3" t="e">
        <f>AND(TOC!#REF!,"AAAAAH7+/0k=")</f>
        <v>#REF!</v>
      </c>
      <c r="BW3" t="e">
        <f>AND(TOC!#REF!,"AAAAAH7+/0o=")</f>
        <v>#REF!</v>
      </c>
      <c r="BX3" t="e">
        <f>AND(TOC!#REF!,"AAAAAH7+/0s=")</f>
        <v>#REF!</v>
      </c>
      <c r="BY3" t="e">
        <f>AND(TOC!#REF!,"AAAAAH7+/0w=")</f>
        <v>#REF!</v>
      </c>
      <c r="BZ3" t="e">
        <f>AND(TOC!#REF!,"AAAAAH7+/00=")</f>
        <v>#REF!</v>
      </c>
      <c r="CA3" t="e">
        <f>AND(TOC!#REF!,"AAAAAH7+/04=")</f>
        <v>#REF!</v>
      </c>
      <c r="CB3" t="e">
        <f>AND(TOC!#REF!,"AAAAAH7+/08=")</f>
        <v>#REF!</v>
      </c>
      <c r="CC3" t="e">
        <f>IF(TOC!#REF!,"AAAAAH7+/1A=",0)</f>
        <v>#REF!</v>
      </c>
      <c r="CD3" t="e">
        <f>AND(TOC!#REF!,"AAAAAH7+/1E=")</f>
        <v>#REF!</v>
      </c>
      <c r="CE3" t="e">
        <f>AND(TOC!#REF!,"AAAAAH7+/1I=")</f>
        <v>#REF!</v>
      </c>
      <c r="CF3" t="e">
        <f>AND(TOC!#REF!,"AAAAAH7+/1M=")</f>
        <v>#REF!</v>
      </c>
      <c r="CG3" t="e">
        <f>AND(TOC!#REF!,"AAAAAH7+/1Q=")</f>
        <v>#REF!</v>
      </c>
      <c r="CH3" t="e">
        <f>AND(TOC!#REF!,"AAAAAH7+/1U=")</f>
        <v>#REF!</v>
      </c>
      <c r="CI3" t="e">
        <f>AND(TOC!#REF!,"AAAAAH7+/1Y=")</f>
        <v>#REF!</v>
      </c>
      <c r="CJ3" t="e">
        <f>AND(TOC!#REF!,"AAAAAH7+/1c=")</f>
        <v>#REF!</v>
      </c>
      <c r="CK3" t="e">
        <f>AND(TOC!#REF!,"AAAAAH7+/1g=")</f>
        <v>#REF!</v>
      </c>
      <c r="CL3" t="e">
        <f>AND(TOC!#REF!,"AAAAAH7+/1k=")</f>
        <v>#REF!</v>
      </c>
      <c r="CM3" t="e">
        <f>AND(TOC!#REF!,"AAAAAH7+/1o=")</f>
        <v>#REF!</v>
      </c>
      <c r="CN3" t="e">
        <f>AND(TOC!#REF!,"AAAAAH7+/1s=")</f>
        <v>#REF!</v>
      </c>
      <c r="CO3" t="e">
        <f>AND(TOC!#REF!,"AAAAAH7+/1w=")</f>
        <v>#REF!</v>
      </c>
      <c r="CP3" t="e">
        <f>AND(TOC!#REF!,"AAAAAH7+/10=")</f>
        <v>#REF!</v>
      </c>
      <c r="CQ3" t="e">
        <f>AND(TOC!#REF!,"AAAAAH7+/14=")</f>
        <v>#REF!</v>
      </c>
      <c r="CR3" t="e">
        <f>AND(TOC!#REF!,"AAAAAH7+/18=")</f>
        <v>#REF!</v>
      </c>
      <c r="CS3" t="e">
        <f>AND(TOC!#REF!,"AAAAAH7+/2A=")</f>
        <v>#REF!</v>
      </c>
      <c r="CT3" t="e">
        <f>AND(TOC!#REF!,"AAAAAH7+/2E=")</f>
        <v>#REF!</v>
      </c>
      <c r="CU3" t="e">
        <f>AND(TOC!#REF!,"AAAAAH7+/2I=")</f>
        <v>#REF!</v>
      </c>
      <c r="CV3" t="e">
        <f>AND(TOC!#REF!,"AAAAAH7+/2M=")</f>
        <v>#REF!</v>
      </c>
      <c r="CW3" t="e">
        <f>AND(TOC!#REF!,"AAAAAH7+/2Q=")</f>
        <v>#REF!</v>
      </c>
      <c r="CX3" t="e">
        <f>AND(TOC!#REF!,"AAAAAH7+/2U=")</f>
        <v>#REF!</v>
      </c>
      <c r="CY3" t="e">
        <f>AND(TOC!#REF!,"AAAAAH7+/2Y=")</f>
        <v>#REF!</v>
      </c>
      <c r="CZ3" t="e">
        <f>AND(TOC!#REF!,"AAAAAH7+/2c=")</f>
        <v>#REF!</v>
      </c>
      <c r="DA3" t="e">
        <f>AND(TOC!#REF!,"AAAAAH7+/2g=")</f>
        <v>#REF!</v>
      </c>
      <c r="DB3" t="e">
        <f>AND(TOC!#REF!,"AAAAAH7+/2k=")</f>
        <v>#REF!</v>
      </c>
      <c r="DC3" t="e">
        <f>AND(TOC!#REF!,"AAAAAH7+/2o=")</f>
        <v>#REF!</v>
      </c>
      <c r="DD3" t="e">
        <f>AND(TOC!#REF!,"AAAAAH7+/2s=")</f>
        <v>#REF!</v>
      </c>
      <c r="DE3" t="e">
        <f>AND(TOC!#REF!,"AAAAAH7+/2w=")</f>
        <v>#REF!</v>
      </c>
      <c r="DF3" t="e">
        <f>AND(TOC!#REF!,"AAAAAH7+/20=")</f>
        <v>#REF!</v>
      </c>
      <c r="DG3" t="e">
        <f>AND(TOC!#REF!,"AAAAAH7+/24=")</f>
        <v>#REF!</v>
      </c>
      <c r="DH3" t="e">
        <f>AND(TOC!#REF!,"AAAAAH7+/28=")</f>
        <v>#REF!</v>
      </c>
      <c r="DI3" t="e">
        <f>AND(TOC!#REF!,"AAAAAH7+/3A=")</f>
        <v>#REF!</v>
      </c>
      <c r="DJ3" t="e">
        <f>AND(TOC!#REF!,"AAAAAH7+/3E=")</f>
        <v>#REF!</v>
      </c>
      <c r="DK3" t="e">
        <f>AND(TOC!#REF!,"AAAAAH7+/3I=")</f>
        <v>#REF!</v>
      </c>
      <c r="DL3" t="e">
        <f>AND(TOC!#REF!,"AAAAAH7+/3M=")</f>
        <v>#REF!</v>
      </c>
      <c r="DM3" t="e">
        <f>AND(TOC!#REF!,"AAAAAH7+/3Q=")</f>
        <v>#REF!</v>
      </c>
      <c r="DN3" t="e">
        <f>IF(TOC!#REF!,"AAAAAH7+/3U=",0)</f>
        <v>#REF!</v>
      </c>
      <c r="DO3" t="e">
        <f>AND(TOC!#REF!,"AAAAAH7+/3Y=")</f>
        <v>#REF!</v>
      </c>
      <c r="DP3" t="e">
        <f>AND(TOC!#REF!,"AAAAAH7+/3c=")</f>
        <v>#REF!</v>
      </c>
      <c r="DQ3" t="e">
        <f>AND(TOC!#REF!,"AAAAAH7+/3g=")</f>
        <v>#REF!</v>
      </c>
      <c r="DR3" t="e">
        <f>AND(TOC!#REF!,"AAAAAH7+/3k=")</f>
        <v>#REF!</v>
      </c>
      <c r="DS3" t="e">
        <f>AND(TOC!#REF!,"AAAAAH7+/3o=")</f>
        <v>#REF!</v>
      </c>
      <c r="DT3" t="e">
        <f>AND(TOC!#REF!,"AAAAAH7+/3s=")</f>
        <v>#REF!</v>
      </c>
      <c r="DU3" t="e">
        <f>AND(TOC!#REF!,"AAAAAH7+/3w=")</f>
        <v>#REF!</v>
      </c>
      <c r="DV3" t="e">
        <f>AND(TOC!#REF!,"AAAAAH7+/30=")</f>
        <v>#REF!</v>
      </c>
      <c r="DW3" t="e">
        <f>AND(TOC!#REF!,"AAAAAH7+/34=")</f>
        <v>#REF!</v>
      </c>
      <c r="DX3" t="e">
        <f>AND(TOC!#REF!,"AAAAAH7+/38=")</f>
        <v>#REF!</v>
      </c>
      <c r="DY3" t="e">
        <f>AND(TOC!#REF!,"AAAAAH7+/4A=")</f>
        <v>#REF!</v>
      </c>
      <c r="DZ3" t="e">
        <f>AND(TOC!#REF!,"AAAAAH7+/4E=")</f>
        <v>#REF!</v>
      </c>
      <c r="EA3" t="e">
        <f>AND(TOC!#REF!,"AAAAAH7+/4I=")</f>
        <v>#REF!</v>
      </c>
      <c r="EB3" t="e">
        <f>AND(TOC!#REF!,"AAAAAH7+/4M=")</f>
        <v>#REF!</v>
      </c>
      <c r="EC3" t="e">
        <f>AND(TOC!#REF!,"AAAAAH7+/4Q=")</f>
        <v>#REF!</v>
      </c>
      <c r="ED3" t="e">
        <f>AND(TOC!#REF!,"AAAAAH7+/4U=")</f>
        <v>#REF!</v>
      </c>
      <c r="EE3" t="e">
        <f>AND(TOC!#REF!,"AAAAAH7+/4Y=")</f>
        <v>#REF!</v>
      </c>
      <c r="EF3" t="e">
        <f>AND(TOC!#REF!,"AAAAAH7+/4c=")</f>
        <v>#REF!</v>
      </c>
      <c r="EG3" t="e">
        <f>AND(TOC!#REF!,"AAAAAH7+/4g=")</f>
        <v>#REF!</v>
      </c>
      <c r="EH3" t="e">
        <f>AND(TOC!#REF!,"AAAAAH7+/4k=")</f>
        <v>#REF!</v>
      </c>
      <c r="EI3" t="e">
        <f>AND(TOC!#REF!,"AAAAAH7+/4o=")</f>
        <v>#REF!</v>
      </c>
      <c r="EJ3" t="e">
        <f>AND(TOC!#REF!,"AAAAAH7+/4s=")</f>
        <v>#REF!</v>
      </c>
      <c r="EK3" t="e">
        <f>AND(TOC!#REF!,"AAAAAH7+/4w=")</f>
        <v>#REF!</v>
      </c>
      <c r="EL3" t="e">
        <f>AND(TOC!#REF!,"AAAAAH7+/40=")</f>
        <v>#REF!</v>
      </c>
      <c r="EM3" t="e">
        <f>AND(TOC!#REF!,"AAAAAH7+/44=")</f>
        <v>#REF!</v>
      </c>
      <c r="EN3" t="e">
        <f>AND(TOC!#REF!,"AAAAAH7+/48=")</f>
        <v>#REF!</v>
      </c>
      <c r="EO3" t="e">
        <f>AND(TOC!#REF!,"AAAAAH7+/5A=")</f>
        <v>#REF!</v>
      </c>
      <c r="EP3" t="e">
        <f>AND(TOC!#REF!,"AAAAAH7+/5E=")</f>
        <v>#REF!</v>
      </c>
      <c r="EQ3" t="e">
        <f>AND(TOC!#REF!,"AAAAAH7+/5I=")</f>
        <v>#REF!</v>
      </c>
      <c r="ER3" t="e">
        <f>AND(TOC!#REF!,"AAAAAH7+/5M=")</f>
        <v>#REF!</v>
      </c>
      <c r="ES3" t="e">
        <f>AND(TOC!#REF!,"AAAAAH7+/5Q=")</f>
        <v>#REF!</v>
      </c>
      <c r="ET3" t="e">
        <f>AND(TOC!#REF!,"AAAAAH7+/5U=")</f>
        <v>#REF!</v>
      </c>
      <c r="EU3" t="e">
        <f>AND(TOC!#REF!,"AAAAAH7+/5Y=")</f>
        <v>#REF!</v>
      </c>
      <c r="EV3" t="e">
        <f>AND(TOC!#REF!,"AAAAAH7+/5c=")</f>
        <v>#REF!</v>
      </c>
      <c r="EW3" t="e">
        <f>AND(TOC!#REF!,"AAAAAH7+/5g=")</f>
        <v>#REF!</v>
      </c>
      <c r="EX3" t="e">
        <f>AND(TOC!#REF!,"AAAAAH7+/5k=")</f>
        <v>#REF!</v>
      </c>
      <c r="EY3" t="e">
        <f>IF(TOC!#REF!,"AAAAAH7+/5o=",0)</f>
        <v>#REF!</v>
      </c>
      <c r="EZ3" t="e">
        <f>AND(TOC!#REF!,"AAAAAH7+/5s=")</f>
        <v>#REF!</v>
      </c>
      <c r="FA3" t="e">
        <f>AND(TOC!#REF!,"AAAAAH7+/5w=")</f>
        <v>#REF!</v>
      </c>
      <c r="FB3" t="e">
        <f>AND(TOC!#REF!,"AAAAAH7+/50=")</f>
        <v>#REF!</v>
      </c>
      <c r="FC3" t="e">
        <f>AND(TOC!#REF!,"AAAAAH7+/54=")</f>
        <v>#REF!</v>
      </c>
      <c r="FD3" t="e">
        <f>AND(TOC!#REF!,"AAAAAH7+/58=")</f>
        <v>#REF!</v>
      </c>
      <c r="FE3" t="e">
        <f>AND(TOC!#REF!,"AAAAAH7+/6A=")</f>
        <v>#REF!</v>
      </c>
      <c r="FF3" t="e">
        <f>AND(TOC!#REF!,"AAAAAH7+/6E=")</f>
        <v>#REF!</v>
      </c>
      <c r="FG3" t="e">
        <f>AND(TOC!#REF!,"AAAAAH7+/6I=")</f>
        <v>#REF!</v>
      </c>
      <c r="FH3" t="e">
        <f>AND(TOC!#REF!,"AAAAAH7+/6M=")</f>
        <v>#REF!</v>
      </c>
      <c r="FI3" t="e">
        <f>AND(TOC!#REF!,"AAAAAH7+/6Q=")</f>
        <v>#REF!</v>
      </c>
      <c r="FJ3" t="e">
        <f>AND(TOC!#REF!,"AAAAAH7+/6U=")</f>
        <v>#REF!</v>
      </c>
      <c r="FK3" t="e">
        <f>AND(TOC!#REF!,"AAAAAH7+/6Y=")</f>
        <v>#REF!</v>
      </c>
      <c r="FL3" t="e">
        <f>AND(TOC!#REF!,"AAAAAH7+/6c=")</f>
        <v>#REF!</v>
      </c>
      <c r="FM3" t="e">
        <f>AND(TOC!#REF!,"AAAAAH7+/6g=")</f>
        <v>#REF!</v>
      </c>
      <c r="FN3" t="e">
        <f>AND(TOC!#REF!,"AAAAAH7+/6k=")</f>
        <v>#REF!</v>
      </c>
      <c r="FO3" t="e">
        <f>AND(TOC!#REF!,"AAAAAH7+/6o=")</f>
        <v>#REF!</v>
      </c>
      <c r="FP3" t="e">
        <f>AND(TOC!#REF!,"AAAAAH7+/6s=")</f>
        <v>#REF!</v>
      </c>
      <c r="FQ3" t="e">
        <f>AND(TOC!#REF!,"AAAAAH7+/6w=")</f>
        <v>#REF!</v>
      </c>
      <c r="FR3" t="e">
        <f>AND(TOC!#REF!,"AAAAAH7+/60=")</f>
        <v>#REF!</v>
      </c>
      <c r="FS3" t="e">
        <f>AND(TOC!#REF!,"AAAAAH7+/64=")</f>
        <v>#REF!</v>
      </c>
      <c r="FT3" t="e">
        <f>AND(TOC!#REF!,"AAAAAH7+/68=")</f>
        <v>#REF!</v>
      </c>
      <c r="FU3" t="e">
        <f>AND(TOC!#REF!,"AAAAAH7+/7A=")</f>
        <v>#REF!</v>
      </c>
      <c r="FV3" t="e">
        <f>AND(TOC!#REF!,"AAAAAH7+/7E=")</f>
        <v>#REF!</v>
      </c>
      <c r="FW3" t="e">
        <f>AND(TOC!#REF!,"AAAAAH7+/7I=")</f>
        <v>#REF!</v>
      </c>
      <c r="FX3" t="e">
        <f>AND(TOC!#REF!,"AAAAAH7+/7M=")</f>
        <v>#REF!</v>
      </c>
      <c r="FY3" t="e">
        <f>AND(TOC!#REF!,"AAAAAH7+/7Q=")</f>
        <v>#REF!</v>
      </c>
      <c r="FZ3" t="e">
        <f>AND(TOC!#REF!,"AAAAAH7+/7U=")</f>
        <v>#REF!</v>
      </c>
      <c r="GA3" t="e">
        <f>AND(TOC!#REF!,"AAAAAH7+/7Y=")</f>
        <v>#REF!</v>
      </c>
      <c r="GB3" t="e">
        <f>AND(TOC!#REF!,"AAAAAH7+/7c=")</f>
        <v>#REF!</v>
      </c>
      <c r="GC3" t="e">
        <f>AND(TOC!#REF!,"AAAAAH7+/7g=")</f>
        <v>#REF!</v>
      </c>
      <c r="GD3" t="e">
        <f>AND(TOC!#REF!,"AAAAAH7+/7k=")</f>
        <v>#REF!</v>
      </c>
      <c r="GE3" t="e">
        <f>AND(TOC!#REF!,"AAAAAH7+/7o=")</f>
        <v>#REF!</v>
      </c>
      <c r="GF3" t="e">
        <f>AND(TOC!#REF!,"AAAAAH7+/7s=")</f>
        <v>#REF!</v>
      </c>
      <c r="GG3" t="e">
        <f>AND(TOC!#REF!,"AAAAAH7+/7w=")</f>
        <v>#REF!</v>
      </c>
      <c r="GH3" t="e">
        <f>AND(TOC!#REF!,"AAAAAH7+/70=")</f>
        <v>#REF!</v>
      </c>
      <c r="GI3" t="e">
        <f>AND(TOC!#REF!,"AAAAAH7+/74=")</f>
        <v>#REF!</v>
      </c>
      <c r="GJ3" t="e">
        <f>IF(TOC!#REF!,"AAAAAH7+/78=",0)</f>
        <v>#REF!</v>
      </c>
      <c r="GK3" t="e">
        <f>AND(TOC!#REF!,"AAAAAH7+/8A=")</f>
        <v>#REF!</v>
      </c>
      <c r="GL3" t="e">
        <f>AND(TOC!#REF!,"AAAAAH7+/8E=")</f>
        <v>#REF!</v>
      </c>
      <c r="GM3" t="e">
        <f>AND(TOC!#REF!,"AAAAAH7+/8I=")</f>
        <v>#REF!</v>
      </c>
      <c r="GN3" t="e">
        <f>AND(TOC!#REF!,"AAAAAH7+/8M=")</f>
        <v>#REF!</v>
      </c>
      <c r="GO3" t="e">
        <f>AND(TOC!#REF!,"AAAAAH7+/8Q=")</f>
        <v>#REF!</v>
      </c>
      <c r="GP3" t="e">
        <f>AND(TOC!#REF!,"AAAAAH7+/8U=")</f>
        <v>#REF!</v>
      </c>
      <c r="GQ3" t="e">
        <f>AND(TOC!#REF!,"AAAAAH7+/8Y=")</f>
        <v>#REF!</v>
      </c>
      <c r="GR3" t="e">
        <f>AND(TOC!#REF!,"AAAAAH7+/8c=")</f>
        <v>#REF!</v>
      </c>
      <c r="GS3" t="e">
        <f>AND(TOC!#REF!,"AAAAAH7+/8g=")</f>
        <v>#REF!</v>
      </c>
      <c r="GT3" t="e">
        <f>AND(TOC!#REF!,"AAAAAH7+/8k=")</f>
        <v>#REF!</v>
      </c>
      <c r="GU3" t="e">
        <f>AND(TOC!#REF!,"AAAAAH7+/8o=")</f>
        <v>#REF!</v>
      </c>
      <c r="GV3" t="e">
        <f>AND(TOC!#REF!,"AAAAAH7+/8s=")</f>
        <v>#REF!</v>
      </c>
      <c r="GW3" t="e">
        <f>AND(TOC!#REF!,"AAAAAH7+/8w=")</f>
        <v>#REF!</v>
      </c>
      <c r="GX3" t="e">
        <f>AND(TOC!#REF!,"AAAAAH7+/80=")</f>
        <v>#REF!</v>
      </c>
      <c r="GY3" t="e">
        <f>AND(TOC!#REF!,"AAAAAH7+/84=")</f>
        <v>#REF!</v>
      </c>
      <c r="GZ3" t="e">
        <f>AND(TOC!#REF!,"AAAAAH7+/88=")</f>
        <v>#REF!</v>
      </c>
      <c r="HA3" t="e">
        <f>AND(TOC!#REF!,"AAAAAH7+/9A=")</f>
        <v>#REF!</v>
      </c>
      <c r="HB3" t="e">
        <f>AND(TOC!#REF!,"AAAAAH7+/9E=")</f>
        <v>#REF!</v>
      </c>
      <c r="HC3" t="e">
        <f>AND(TOC!#REF!,"AAAAAH7+/9I=")</f>
        <v>#REF!</v>
      </c>
      <c r="HD3" t="e">
        <f>AND(TOC!#REF!,"AAAAAH7+/9M=")</f>
        <v>#REF!</v>
      </c>
      <c r="HE3" t="e">
        <f>AND(TOC!#REF!,"AAAAAH7+/9Q=")</f>
        <v>#REF!</v>
      </c>
      <c r="HF3" t="e">
        <f>AND(TOC!#REF!,"AAAAAH7+/9U=")</f>
        <v>#REF!</v>
      </c>
      <c r="HG3" t="e">
        <f>AND(TOC!#REF!,"AAAAAH7+/9Y=")</f>
        <v>#REF!</v>
      </c>
      <c r="HH3" t="e">
        <f>AND(TOC!#REF!,"AAAAAH7+/9c=")</f>
        <v>#REF!</v>
      </c>
      <c r="HI3" t="e">
        <f>AND(TOC!#REF!,"AAAAAH7+/9g=")</f>
        <v>#REF!</v>
      </c>
      <c r="HJ3" t="e">
        <f>AND(TOC!#REF!,"AAAAAH7+/9k=")</f>
        <v>#REF!</v>
      </c>
      <c r="HK3" t="e">
        <f>AND(TOC!#REF!,"AAAAAH7+/9o=")</f>
        <v>#REF!</v>
      </c>
      <c r="HL3" t="e">
        <f>AND(TOC!#REF!,"AAAAAH7+/9s=")</f>
        <v>#REF!</v>
      </c>
      <c r="HM3" t="e">
        <f>AND(TOC!#REF!,"AAAAAH7+/9w=")</f>
        <v>#REF!</v>
      </c>
      <c r="HN3" t="e">
        <f>AND(TOC!#REF!,"AAAAAH7+/90=")</f>
        <v>#REF!</v>
      </c>
      <c r="HO3" t="e">
        <f>AND(TOC!#REF!,"AAAAAH7+/94=")</f>
        <v>#REF!</v>
      </c>
      <c r="HP3" t="e">
        <f>AND(TOC!#REF!,"AAAAAH7+/98=")</f>
        <v>#REF!</v>
      </c>
      <c r="HQ3" t="e">
        <f>AND(TOC!#REF!,"AAAAAH7+/+A=")</f>
        <v>#REF!</v>
      </c>
      <c r="HR3" t="e">
        <f>AND(TOC!#REF!,"AAAAAH7+/+E=")</f>
        <v>#REF!</v>
      </c>
      <c r="HS3" t="e">
        <f>AND(TOC!#REF!,"AAAAAH7+/+I=")</f>
        <v>#REF!</v>
      </c>
      <c r="HT3" t="e">
        <f>AND(TOC!#REF!,"AAAAAH7+/+M=")</f>
        <v>#REF!</v>
      </c>
      <c r="HU3" t="e">
        <f>IF(TOC!#REF!,"AAAAAH7+/+Q=",0)</f>
        <v>#REF!</v>
      </c>
      <c r="HV3" t="e">
        <f>AND(TOC!#REF!,"AAAAAH7+/+U=")</f>
        <v>#REF!</v>
      </c>
      <c r="HW3" t="e">
        <f>AND(TOC!#REF!,"AAAAAH7+/+Y=")</f>
        <v>#REF!</v>
      </c>
      <c r="HX3" t="e">
        <f>AND(TOC!#REF!,"AAAAAH7+/+c=")</f>
        <v>#REF!</v>
      </c>
      <c r="HY3" t="e">
        <f>AND(TOC!#REF!,"AAAAAH7+/+g=")</f>
        <v>#REF!</v>
      </c>
      <c r="HZ3" t="e">
        <f>AND(TOC!#REF!,"AAAAAH7+/+k=")</f>
        <v>#REF!</v>
      </c>
      <c r="IA3" t="e">
        <f>AND(TOC!#REF!,"AAAAAH7+/+o=")</f>
        <v>#REF!</v>
      </c>
      <c r="IB3" t="e">
        <f>AND(TOC!#REF!,"AAAAAH7+/+s=")</f>
        <v>#REF!</v>
      </c>
      <c r="IC3" t="e">
        <f>AND(TOC!#REF!,"AAAAAH7+/+w=")</f>
        <v>#REF!</v>
      </c>
      <c r="ID3" t="e">
        <f>AND(TOC!#REF!,"AAAAAH7+/+0=")</f>
        <v>#REF!</v>
      </c>
      <c r="IE3" t="e">
        <f>AND(TOC!#REF!,"AAAAAH7+/+4=")</f>
        <v>#REF!</v>
      </c>
      <c r="IF3" t="e">
        <f>AND(TOC!#REF!,"AAAAAH7+/+8=")</f>
        <v>#REF!</v>
      </c>
      <c r="IG3" t="e">
        <f>AND(TOC!#REF!,"AAAAAH7+//A=")</f>
        <v>#REF!</v>
      </c>
      <c r="IH3" t="e">
        <f>AND(TOC!#REF!,"AAAAAH7+//E=")</f>
        <v>#REF!</v>
      </c>
      <c r="II3" t="e">
        <f>AND(TOC!#REF!,"AAAAAH7+//I=")</f>
        <v>#REF!</v>
      </c>
      <c r="IJ3" t="e">
        <f>AND(TOC!#REF!,"AAAAAH7+//M=")</f>
        <v>#REF!</v>
      </c>
      <c r="IK3" t="e">
        <f>AND(TOC!#REF!,"AAAAAH7+//Q=")</f>
        <v>#REF!</v>
      </c>
      <c r="IL3" t="e">
        <f>AND(TOC!#REF!,"AAAAAH7+//U=")</f>
        <v>#REF!</v>
      </c>
      <c r="IM3" t="e">
        <f>AND(TOC!#REF!,"AAAAAH7+//Y=")</f>
        <v>#REF!</v>
      </c>
      <c r="IN3" t="e">
        <f>AND(TOC!#REF!,"AAAAAH7+//c=")</f>
        <v>#REF!</v>
      </c>
      <c r="IO3" t="e">
        <f>AND(TOC!#REF!,"AAAAAH7+//g=")</f>
        <v>#REF!</v>
      </c>
      <c r="IP3" t="e">
        <f>AND(TOC!#REF!,"AAAAAH7+//k=")</f>
        <v>#REF!</v>
      </c>
      <c r="IQ3" t="e">
        <f>AND(TOC!#REF!,"AAAAAH7+//o=")</f>
        <v>#REF!</v>
      </c>
      <c r="IR3" t="e">
        <f>AND(TOC!#REF!,"AAAAAH7+//s=")</f>
        <v>#REF!</v>
      </c>
      <c r="IS3" t="e">
        <f>AND(TOC!#REF!,"AAAAAH7+//w=")</f>
        <v>#REF!</v>
      </c>
      <c r="IT3" t="e">
        <f>AND(TOC!#REF!,"AAAAAH7+//0=")</f>
        <v>#REF!</v>
      </c>
      <c r="IU3" t="e">
        <f>AND(TOC!#REF!,"AAAAAH7+//4=")</f>
        <v>#REF!</v>
      </c>
      <c r="IV3" t="e">
        <f>AND(TOC!#REF!,"AAAAAH7+//8=")</f>
        <v>#REF!</v>
      </c>
    </row>
    <row r="4" spans="1:256" x14ac:dyDescent="0.2">
      <c r="A4" t="e">
        <f>AND(TOC!#REF!,"AAAAAEP/5wA=")</f>
        <v>#REF!</v>
      </c>
      <c r="B4" t="e">
        <f>AND(TOC!#REF!,"AAAAAEP/5wE=")</f>
        <v>#REF!</v>
      </c>
      <c r="C4" t="e">
        <f>AND(TOC!#REF!,"AAAAAEP/5wI=")</f>
        <v>#REF!</v>
      </c>
      <c r="D4" t="e">
        <f>AND(TOC!#REF!,"AAAAAEP/5wM=")</f>
        <v>#REF!</v>
      </c>
      <c r="E4" t="e">
        <f>AND(TOC!#REF!,"AAAAAEP/5wQ=")</f>
        <v>#REF!</v>
      </c>
      <c r="F4" t="e">
        <f>AND(TOC!#REF!,"AAAAAEP/5wU=")</f>
        <v>#REF!</v>
      </c>
      <c r="G4" t="e">
        <f>AND(TOC!#REF!,"AAAAAEP/5wY=")</f>
        <v>#REF!</v>
      </c>
      <c r="H4" t="e">
        <f>AND(TOC!#REF!,"AAAAAEP/5wc=")</f>
        <v>#REF!</v>
      </c>
      <c r="I4" t="e">
        <f>AND(TOC!#REF!,"AAAAAEP/5wg=")</f>
        <v>#REF!</v>
      </c>
      <c r="J4" t="e">
        <f>IF(TOC!#REF!,"AAAAAEP/5wk=",0)</f>
        <v>#REF!</v>
      </c>
      <c r="K4" t="e">
        <f>AND(TOC!#REF!,"AAAAAEP/5wo=")</f>
        <v>#REF!</v>
      </c>
      <c r="L4" t="e">
        <f>AND(TOC!#REF!,"AAAAAEP/5ws=")</f>
        <v>#REF!</v>
      </c>
      <c r="M4" t="e">
        <f>AND(TOC!#REF!,"AAAAAEP/5ww=")</f>
        <v>#REF!</v>
      </c>
      <c r="N4" t="e">
        <f>AND(TOC!#REF!,"AAAAAEP/5w0=")</f>
        <v>#REF!</v>
      </c>
      <c r="O4" t="e">
        <f>AND(TOC!#REF!,"AAAAAEP/5w4=")</f>
        <v>#REF!</v>
      </c>
      <c r="P4" t="e">
        <f>AND(TOC!#REF!,"AAAAAEP/5w8=")</f>
        <v>#REF!</v>
      </c>
      <c r="Q4" t="e">
        <f>AND(TOC!#REF!,"AAAAAEP/5xA=")</f>
        <v>#REF!</v>
      </c>
      <c r="R4" t="e">
        <f>AND(TOC!#REF!,"AAAAAEP/5xE=")</f>
        <v>#REF!</v>
      </c>
      <c r="S4" t="e">
        <f>AND(TOC!#REF!,"AAAAAEP/5xI=")</f>
        <v>#REF!</v>
      </c>
      <c r="T4" t="e">
        <f>AND(TOC!#REF!,"AAAAAEP/5xM=")</f>
        <v>#REF!</v>
      </c>
      <c r="U4" t="e">
        <f>AND(TOC!#REF!,"AAAAAEP/5xQ=")</f>
        <v>#REF!</v>
      </c>
      <c r="V4" t="e">
        <f>AND(TOC!#REF!,"AAAAAEP/5xU=")</f>
        <v>#REF!</v>
      </c>
      <c r="W4" t="e">
        <f>AND(TOC!#REF!,"AAAAAEP/5xY=")</f>
        <v>#REF!</v>
      </c>
      <c r="X4" t="e">
        <f>AND(TOC!#REF!,"AAAAAEP/5xc=")</f>
        <v>#REF!</v>
      </c>
      <c r="Y4" t="e">
        <f>AND(TOC!#REF!,"AAAAAEP/5xg=")</f>
        <v>#REF!</v>
      </c>
      <c r="Z4" t="e">
        <f>AND(TOC!#REF!,"AAAAAEP/5xk=")</f>
        <v>#REF!</v>
      </c>
      <c r="AA4" t="e">
        <f>AND(TOC!#REF!,"AAAAAEP/5xo=")</f>
        <v>#REF!</v>
      </c>
      <c r="AB4" t="e">
        <f>AND(TOC!#REF!,"AAAAAEP/5xs=")</f>
        <v>#REF!</v>
      </c>
      <c r="AC4" t="e">
        <f>AND(TOC!#REF!,"AAAAAEP/5xw=")</f>
        <v>#REF!</v>
      </c>
      <c r="AD4" t="e">
        <f>AND(TOC!#REF!,"AAAAAEP/5x0=")</f>
        <v>#REF!</v>
      </c>
      <c r="AE4" t="e">
        <f>AND(TOC!#REF!,"AAAAAEP/5x4=")</f>
        <v>#REF!</v>
      </c>
      <c r="AF4" t="e">
        <f>AND(TOC!#REF!,"AAAAAEP/5x8=")</f>
        <v>#REF!</v>
      </c>
      <c r="AG4" t="e">
        <f>AND(TOC!#REF!,"AAAAAEP/5yA=")</f>
        <v>#REF!</v>
      </c>
      <c r="AH4" t="e">
        <f>AND(TOC!#REF!,"AAAAAEP/5yE=")</f>
        <v>#REF!</v>
      </c>
      <c r="AI4" t="e">
        <f>AND(TOC!#REF!,"AAAAAEP/5yI=")</f>
        <v>#REF!</v>
      </c>
      <c r="AJ4" t="e">
        <f>AND(TOC!#REF!,"AAAAAEP/5yM=")</f>
        <v>#REF!</v>
      </c>
      <c r="AK4" t="e">
        <f>AND(TOC!#REF!,"AAAAAEP/5yQ=")</f>
        <v>#REF!</v>
      </c>
      <c r="AL4" t="e">
        <f>AND(TOC!#REF!,"AAAAAEP/5yU=")</f>
        <v>#REF!</v>
      </c>
      <c r="AM4" t="e">
        <f>AND(TOC!#REF!,"AAAAAEP/5yY=")</f>
        <v>#REF!</v>
      </c>
      <c r="AN4" t="e">
        <f>AND(TOC!#REF!,"AAAAAEP/5yc=")</f>
        <v>#REF!</v>
      </c>
      <c r="AO4" t="e">
        <f>AND(TOC!#REF!,"AAAAAEP/5yg=")</f>
        <v>#REF!</v>
      </c>
      <c r="AP4" t="e">
        <f>AND(TOC!#REF!,"AAAAAEP/5yk=")</f>
        <v>#REF!</v>
      </c>
      <c r="AQ4" t="e">
        <f>AND(TOC!#REF!,"AAAAAEP/5yo=")</f>
        <v>#REF!</v>
      </c>
      <c r="AR4" t="e">
        <f>AND(TOC!#REF!,"AAAAAEP/5ys=")</f>
        <v>#REF!</v>
      </c>
      <c r="AS4" t="e">
        <f>AND(TOC!#REF!,"AAAAAEP/5yw=")</f>
        <v>#REF!</v>
      </c>
      <c r="AT4" t="e">
        <f>AND(TOC!#REF!,"AAAAAEP/5y0=")</f>
        <v>#REF!</v>
      </c>
      <c r="AU4" t="e">
        <f>IF(TOC!#REF!,"AAAAAEP/5y4=",0)</f>
        <v>#REF!</v>
      </c>
      <c r="AV4" t="e">
        <f>AND(TOC!#REF!,"AAAAAEP/5y8=")</f>
        <v>#REF!</v>
      </c>
      <c r="AW4" t="e">
        <f>AND(TOC!#REF!,"AAAAAEP/5zA=")</f>
        <v>#REF!</v>
      </c>
      <c r="AX4" t="e">
        <f>AND(TOC!#REF!,"AAAAAEP/5zE=")</f>
        <v>#REF!</v>
      </c>
      <c r="AY4" t="e">
        <f>AND(TOC!#REF!,"AAAAAEP/5zI=")</f>
        <v>#REF!</v>
      </c>
      <c r="AZ4" t="e">
        <f>AND(TOC!#REF!,"AAAAAEP/5zM=")</f>
        <v>#REF!</v>
      </c>
      <c r="BA4" t="e">
        <f>AND(TOC!#REF!,"AAAAAEP/5zQ=")</f>
        <v>#REF!</v>
      </c>
      <c r="BB4" t="e">
        <f>AND(TOC!#REF!,"AAAAAEP/5zU=")</f>
        <v>#REF!</v>
      </c>
      <c r="BC4" t="e">
        <f>AND(TOC!#REF!,"AAAAAEP/5zY=")</f>
        <v>#REF!</v>
      </c>
      <c r="BD4" t="e">
        <f>AND(TOC!#REF!,"AAAAAEP/5zc=")</f>
        <v>#REF!</v>
      </c>
      <c r="BE4" t="e">
        <f>AND(TOC!#REF!,"AAAAAEP/5zg=")</f>
        <v>#REF!</v>
      </c>
      <c r="BF4" t="e">
        <f>AND(TOC!#REF!,"AAAAAEP/5zk=")</f>
        <v>#REF!</v>
      </c>
      <c r="BG4" t="e">
        <f>AND(TOC!#REF!,"AAAAAEP/5zo=")</f>
        <v>#REF!</v>
      </c>
      <c r="BH4" t="e">
        <f>AND(TOC!#REF!,"AAAAAEP/5zs=")</f>
        <v>#REF!</v>
      </c>
      <c r="BI4" t="e">
        <f>AND(TOC!#REF!,"AAAAAEP/5zw=")</f>
        <v>#REF!</v>
      </c>
      <c r="BJ4" t="e">
        <f>AND(TOC!#REF!,"AAAAAEP/5z0=")</f>
        <v>#REF!</v>
      </c>
      <c r="BK4" t="e">
        <f>AND(TOC!#REF!,"AAAAAEP/5z4=")</f>
        <v>#REF!</v>
      </c>
      <c r="BL4" t="e">
        <f>AND(TOC!#REF!,"AAAAAEP/5z8=")</f>
        <v>#REF!</v>
      </c>
      <c r="BM4" t="e">
        <f>AND(TOC!#REF!,"AAAAAEP/50A=")</f>
        <v>#REF!</v>
      </c>
      <c r="BN4" t="e">
        <f>AND(TOC!#REF!,"AAAAAEP/50E=")</f>
        <v>#REF!</v>
      </c>
      <c r="BO4" t="e">
        <f>AND(TOC!#REF!,"AAAAAEP/50I=")</f>
        <v>#REF!</v>
      </c>
      <c r="BP4" t="e">
        <f>AND(TOC!#REF!,"AAAAAEP/50M=")</f>
        <v>#REF!</v>
      </c>
      <c r="BQ4" t="e">
        <f>AND(TOC!#REF!,"AAAAAEP/50Q=")</f>
        <v>#REF!</v>
      </c>
      <c r="BR4" t="e">
        <f>AND(TOC!#REF!,"AAAAAEP/50U=")</f>
        <v>#REF!</v>
      </c>
      <c r="BS4" t="e">
        <f>AND(TOC!#REF!,"AAAAAEP/50Y=")</f>
        <v>#REF!</v>
      </c>
      <c r="BT4" t="e">
        <f>AND(TOC!#REF!,"AAAAAEP/50c=")</f>
        <v>#REF!</v>
      </c>
      <c r="BU4" t="e">
        <f>AND(TOC!#REF!,"AAAAAEP/50g=")</f>
        <v>#REF!</v>
      </c>
      <c r="BV4" t="e">
        <f>AND(TOC!#REF!,"AAAAAEP/50k=")</f>
        <v>#REF!</v>
      </c>
      <c r="BW4" t="e">
        <f>AND(TOC!#REF!,"AAAAAEP/50o=")</f>
        <v>#REF!</v>
      </c>
      <c r="BX4" t="e">
        <f>AND(TOC!#REF!,"AAAAAEP/50s=")</f>
        <v>#REF!</v>
      </c>
      <c r="BY4" t="e">
        <f>AND(TOC!#REF!,"AAAAAEP/50w=")</f>
        <v>#REF!</v>
      </c>
      <c r="BZ4" t="e">
        <f>AND(TOC!#REF!,"AAAAAEP/500=")</f>
        <v>#REF!</v>
      </c>
      <c r="CA4" t="e">
        <f>AND(TOC!#REF!,"AAAAAEP/504=")</f>
        <v>#REF!</v>
      </c>
      <c r="CB4" t="e">
        <f>AND(TOC!#REF!,"AAAAAEP/508=")</f>
        <v>#REF!</v>
      </c>
      <c r="CC4" t="e">
        <f>AND(TOC!#REF!,"AAAAAEP/51A=")</f>
        <v>#REF!</v>
      </c>
      <c r="CD4" t="e">
        <f>AND(TOC!#REF!,"AAAAAEP/51E=")</f>
        <v>#REF!</v>
      </c>
      <c r="CE4" t="e">
        <f>AND(TOC!#REF!,"AAAAAEP/51I=")</f>
        <v>#REF!</v>
      </c>
      <c r="CF4" t="e">
        <f>IF(TOC!#REF!,"AAAAAEP/51M=",0)</f>
        <v>#REF!</v>
      </c>
      <c r="CG4" t="e">
        <f>AND(TOC!#REF!,"AAAAAEP/51Q=")</f>
        <v>#REF!</v>
      </c>
      <c r="CH4" t="e">
        <f>AND(TOC!#REF!,"AAAAAEP/51U=")</f>
        <v>#REF!</v>
      </c>
      <c r="CI4" t="e">
        <f>AND(TOC!#REF!,"AAAAAEP/51Y=")</f>
        <v>#REF!</v>
      </c>
      <c r="CJ4" t="e">
        <f>AND(TOC!#REF!,"AAAAAEP/51c=")</f>
        <v>#REF!</v>
      </c>
      <c r="CK4" t="e">
        <f>AND(TOC!#REF!,"AAAAAEP/51g=")</f>
        <v>#REF!</v>
      </c>
      <c r="CL4" t="e">
        <f>AND(TOC!#REF!,"AAAAAEP/51k=")</f>
        <v>#REF!</v>
      </c>
      <c r="CM4" t="e">
        <f>AND(TOC!#REF!,"AAAAAEP/51o=")</f>
        <v>#REF!</v>
      </c>
      <c r="CN4" t="e">
        <f>AND(TOC!#REF!,"AAAAAEP/51s=")</f>
        <v>#REF!</v>
      </c>
      <c r="CO4" t="e">
        <f>AND(TOC!#REF!,"AAAAAEP/51w=")</f>
        <v>#REF!</v>
      </c>
      <c r="CP4" t="e">
        <f>AND(TOC!#REF!,"AAAAAEP/510=")</f>
        <v>#REF!</v>
      </c>
      <c r="CQ4" t="e">
        <f>AND(TOC!#REF!,"AAAAAEP/514=")</f>
        <v>#REF!</v>
      </c>
      <c r="CR4" t="e">
        <f>AND(TOC!#REF!,"AAAAAEP/518=")</f>
        <v>#REF!</v>
      </c>
      <c r="CS4" t="e">
        <f>AND(TOC!#REF!,"AAAAAEP/52A=")</f>
        <v>#REF!</v>
      </c>
      <c r="CT4" t="e">
        <f>AND(TOC!#REF!,"AAAAAEP/52E=")</f>
        <v>#REF!</v>
      </c>
      <c r="CU4" t="e">
        <f>AND(TOC!#REF!,"AAAAAEP/52I=")</f>
        <v>#REF!</v>
      </c>
      <c r="CV4" t="e">
        <f>AND(TOC!#REF!,"AAAAAEP/52M=")</f>
        <v>#REF!</v>
      </c>
      <c r="CW4" t="e">
        <f>AND(TOC!#REF!,"AAAAAEP/52Q=")</f>
        <v>#REF!</v>
      </c>
      <c r="CX4" t="e">
        <f>AND(TOC!#REF!,"AAAAAEP/52U=")</f>
        <v>#REF!</v>
      </c>
      <c r="CY4" t="e">
        <f>AND(TOC!#REF!,"AAAAAEP/52Y=")</f>
        <v>#REF!</v>
      </c>
      <c r="CZ4" t="e">
        <f>AND(TOC!#REF!,"AAAAAEP/52c=")</f>
        <v>#REF!</v>
      </c>
      <c r="DA4" t="e">
        <f>AND(TOC!#REF!,"AAAAAEP/52g=")</f>
        <v>#REF!</v>
      </c>
      <c r="DB4" t="e">
        <f>AND(TOC!#REF!,"AAAAAEP/52k=")</f>
        <v>#REF!</v>
      </c>
      <c r="DC4" t="e">
        <f>AND(TOC!#REF!,"AAAAAEP/52o=")</f>
        <v>#REF!</v>
      </c>
      <c r="DD4" t="e">
        <f>AND(TOC!#REF!,"AAAAAEP/52s=")</f>
        <v>#REF!</v>
      </c>
      <c r="DE4" t="e">
        <f>AND(TOC!#REF!,"AAAAAEP/52w=")</f>
        <v>#REF!</v>
      </c>
      <c r="DF4" t="e">
        <f>AND(TOC!#REF!,"AAAAAEP/520=")</f>
        <v>#REF!</v>
      </c>
      <c r="DG4" t="e">
        <f>AND(TOC!#REF!,"AAAAAEP/524=")</f>
        <v>#REF!</v>
      </c>
      <c r="DH4" t="e">
        <f>AND(TOC!#REF!,"AAAAAEP/528=")</f>
        <v>#REF!</v>
      </c>
      <c r="DI4" t="e">
        <f>AND(TOC!#REF!,"AAAAAEP/53A=")</f>
        <v>#REF!</v>
      </c>
      <c r="DJ4" t="e">
        <f>AND(TOC!#REF!,"AAAAAEP/53E=")</f>
        <v>#REF!</v>
      </c>
      <c r="DK4" t="e">
        <f>AND(TOC!#REF!,"AAAAAEP/53I=")</f>
        <v>#REF!</v>
      </c>
      <c r="DL4" t="e">
        <f>AND(TOC!#REF!,"AAAAAEP/53M=")</f>
        <v>#REF!</v>
      </c>
      <c r="DM4" t="e">
        <f>AND(TOC!#REF!,"AAAAAEP/53Q=")</f>
        <v>#REF!</v>
      </c>
      <c r="DN4" t="e">
        <f>AND(TOC!#REF!,"AAAAAEP/53U=")</f>
        <v>#REF!</v>
      </c>
      <c r="DO4" t="e">
        <f>AND(TOC!#REF!,"AAAAAEP/53Y=")</f>
        <v>#REF!</v>
      </c>
      <c r="DP4" t="e">
        <f>AND(TOC!#REF!,"AAAAAEP/53c=")</f>
        <v>#REF!</v>
      </c>
      <c r="DQ4" t="e">
        <f>IF(TOC!#REF!,"AAAAAEP/53g=",0)</f>
        <v>#REF!</v>
      </c>
      <c r="DR4" t="e">
        <f>AND(TOC!#REF!,"AAAAAEP/53k=")</f>
        <v>#REF!</v>
      </c>
      <c r="DS4" t="e">
        <f>AND(TOC!#REF!,"AAAAAEP/53o=")</f>
        <v>#REF!</v>
      </c>
      <c r="DT4" t="e">
        <f>AND(TOC!#REF!,"AAAAAEP/53s=")</f>
        <v>#REF!</v>
      </c>
      <c r="DU4" t="e">
        <f>AND(TOC!#REF!,"AAAAAEP/53w=")</f>
        <v>#REF!</v>
      </c>
      <c r="DV4" t="e">
        <f>AND(TOC!#REF!,"AAAAAEP/530=")</f>
        <v>#REF!</v>
      </c>
      <c r="DW4" t="e">
        <f>AND(TOC!#REF!,"AAAAAEP/534=")</f>
        <v>#REF!</v>
      </c>
      <c r="DX4" t="e">
        <f>AND(TOC!#REF!,"AAAAAEP/538=")</f>
        <v>#REF!</v>
      </c>
      <c r="DY4" t="e">
        <f>AND(TOC!#REF!,"AAAAAEP/54A=")</f>
        <v>#REF!</v>
      </c>
      <c r="DZ4" t="e">
        <f>AND(TOC!#REF!,"AAAAAEP/54E=")</f>
        <v>#REF!</v>
      </c>
      <c r="EA4" t="e">
        <f>AND(TOC!#REF!,"AAAAAEP/54I=")</f>
        <v>#REF!</v>
      </c>
      <c r="EB4" t="e">
        <f>AND(TOC!#REF!,"AAAAAEP/54M=")</f>
        <v>#REF!</v>
      </c>
      <c r="EC4" t="e">
        <f>AND(TOC!#REF!,"AAAAAEP/54Q=")</f>
        <v>#REF!</v>
      </c>
      <c r="ED4" t="e">
        <f>AND(TOC!#REF!,"AAAAAEP/54U=")</f>
        <v>#REF!</v>
      </c>
      <c r="EE4" t="e">
        <f>AND(TOC!#REF!,"AAAAAEP/54Y=")</f>
        <v>#REF!</v>
      </c>
      <c r="EF4" t="e">
        <f>AND(TOC!#REF!,"AAAAAEP/54c=")</f>
        <v>#REF!</v>
      </c>
      <c r="EG4" t="e">
        <f>AND(TOC!#REF!,"AAAAAEP/54g=")</f>
        <v>#REF!</v>
      </c>
      <c r="EH4" t="e">
        <f>AND(TOC!#REF!,"AAAAAEP/54k=")</f>
        <v>#REF!</v>
      </c>
      <c r="EI4" t="e">
        <f>AND(TOC!#REF!,"AAAAAEP/54o=")</f>
        <v>#REF!</v>
      </c>
      <c r="EJ4" t="e">
        <f>AND(TOC!#REF!,"AAAAAEP/54s=")</f>
        <v>#REF!</v>
      </c>
      <c r="EK4" t="e">
        <f>AND(TOC!#REF!,"AAAAAEP/54w=")</f>
        <v>#REF!</v>
      </c>
      <c r="EL4" t="e">
        <f>AND(TOC!#REF!,"AAAAAEP/540=")</f>
        <v>#REF!</v>
      </c>
      <c r="EM4" t="e">
        <f>AND(TOC!#REF!,"AAAAAEP/544=")</f>
        <v>#REF!</v>
      </c>
      <c r="EN4" t="e">
        <f>AND(TOC!#REF!,"AAAAAEP/548=")</f>
        <v>#REF!</v>
      </c>
      <c r="EO4" t="e">
        <f>AND(TOC!#REF!,"AAAAAEP/55A=")</f>
        <v>#REF!</v>
      </c>
      <c r="EP4" t="e">
        <f>AND(TOC!#REF!,"AAAAAEP/55E=")</f>
        <v>#REF!</v>
      </c>
      <c r="EQ4" t="e">
        <f>AND(TOC!#REF!,"AAAAAEP/55I=")</f>
        <v>#REF!</v>
      </c>
      <c r="ER4" t="e">
        <f>AND(TOC!#REF!,"AAAAAEP/55M=")</f>
        <v>#REF!</v>
      </c>
      <c r="ES4" t="e">
        <f>AND(TOC!#REF!,"AAAAAEP/55Q=")</f>
        <v>#REF!</v>
      </c>
      <c r="ET4" t="e">
        <f>AND(TOC!#REF!,"AAAAAEP/55U=")</f>
        <v>#REF!</v>
      </c>
      <c r="EU4" t="e">
        <f>AND(TOC!#REF!,"AAAAAEP/55Y=")</f>
        <v>#REF!</v>
      </c>
      <c r="EV4" t="e">
        <f>AND(TOC!#REF!,"AAAAAEP/55c=")</f>
        <v>#REF!</v>
      </c>
      <c r="EW4" t="e">
        <f>AND(TOC!#REF!,"AAAAAEP/55g=")</f>
        <v>#REF!</v>
      </c>
      <c r="EX4" t="e">
        <f>AND(TOC!#REF!,"AAAAAEP/55k=")</f>
        <v>#REF!</v>
      </c>
      <c r="EY4" t="e">
        <f>AND(TOC!#REF!,"AAAAAEP/55o=")</f>
        <v>#REF!</v>
      </c>
      <c r="EZ4" t="e">
        <f>AND(TOC!#REF!,"AAAAAEP/55s=")</f>
        <v>#REF!</v>
      </c>
      <c r="FA4" t="e">
        <f>AND(TOC!#REF!,"AAAAAEP/55w=")</f>
        <v>#REF!</v>
      </c>
      <c r="FB4" t="e">
        <f>IF(TOC!#REF!,"AAAAAEP/550=",0)</f>
        <v>#REF!</v>
      </c>
      <c r="FC4" t="e">
        <f>AND(TOC!#REF!,"AAAAAEP/554=")</f>
        <v>#REF!</v>
      </c>
      <c r="FD4" t="e">
        <f>AND(TOC!#REF!,"AAAAAEP/558=")</f>
        <v>#REF!</v>
      </c>
      <c r="FE4" t="e">
        <f>AND(TOC!#REF!,"AAAAAEP/56A=")</f>
        <v>#REF!</v>
      </c>
      <c r="FF4" t="e">
        <f>AND(TOC!#REF!,"AAAAAEP/56E=")</f>
        <v>#REF!</v>
      </c>
      <c r="FG4" t="e">
        <f>AND(TOC!#REF!,"AAAAAEP/56I=")</f>
        <v>#REF!</v>
      </c>
      <c r="FH4" t="e">
        <f>AND(TOC!#REF!,"AAAAAEP/56M=")</f>
        <v>#REF!</v>
      </c>
      <c r="FI4" t="e">
        <f>AND(TOC!#REF!,"AAAAAEP/56Q=")</f>
        <v>#REF!</v>
      </c>
      <c r="FJ4" t="e">
        <f>AND(TOC!#REF!,"AAAAAEP/56U=")</f>
        <v>#REF!</v>
      </c>
      <c r="FK4" t="e">
        <f>AND(TOC!#REF!,"AAAAAEP/56Y=")</f>
        <v>#REF!</v>
      </c>
      <c r="FL4" t="e">
        <f>AND(TOC!#REF!,"AAAAAEP/56c=")</f>
        <v>#REF!</v>
      </c>
      <c r="FM4" t="e">
        <f>AND(TOC!#REF!,"AAAAAEP/56g=")</f>
        <v>#REF!</v>
      </c>
      <c r="FN4" t="e">
        <f>AND(TOC!#REF!,"AAAAAEP/56k=")</f>
        <v>#REF!</v>
      </c>
      <c r="FO4" t="e">
        <f>AND(TOC!#REF!,"AAAAAEP/56o=")</f>
        <v>#REF!</v>
      </c>
      <c r="FP4" t="e">
        <f>AND(TOC!#REF!,"AAAAAEP/56s=")</f>
        <v>#REF!</v>
      </c>
      <c r="FQ4" t="e">
        <f>AND(TOC!#REF!,"AAAAAEP/56w=")</f>
        <v>#REF!</v>
      </c>
      <c r="FR4" t="e">
        <f>AND(TOC!#REF!,"AAAAAEP/560=")</f>
        <v>#REF!</v>
      </c>
      <c r="FS4" t="e">
        <f>AND(TOC!#REF!,"AAAAAEP/564=")</f>
        <v>#REF!</v>
      </c>
      <c r="FT4" t="e">
        <f>AND(TOC!#REF!,"AAAAAEP/568=")</f>
        <v>#REF!</v>
      </c>
      <c r="FU4" t="e">
        <f>AND(TOC!#REF!,"AAAAAEP/57A=")</f>
        <v>#REF!</v>
      </c>
      <c r="FV4" t="e">
        <f>AND(TOC!#REF!,"AAAAAEP/57E=")</f>
        <v>#REF!</v>
      </c>
      <c r="FW4" t="e">
        <f>AND(TOC!#REF!,"AAAAAEP/57I=")</f>
        <v>#REF!</v>
      </c>
      <c r="FX4" t="e">
        <f>AND(TOC!#REF!,"AAAAAEP/57M=")</f>
        <v>#REF!</v>
      </c>
      <c r="FY4" t="e">
        <f>AND(TOC!#REF!,"AAAAAEP/57Q=")</f>
        <v>#REF!</v>
      </c>
      <c r="FZ4" t="e">
        <f>AND(TOC!#REF!,"AAAAAEP/57U=")</f>
        <v>#REF!</v>
      </c>
      <c r="GA4" t="e">
        <f>AND(TOC!#REF!,"AAAAAEP/57Y=")</f>
        <v>#REF!</v>
      </c>
      <c r="GB4" t="e">
        <f>AND(TOC!#REF!,"AAAAAEP/57c=")</f>
        <v>#REF!</v>
      </c>
      <c r="GC4" t="e">
        <f>AND(TOC!#REF!,"AAAAAEP/57g=")</f>
        <v>#REF!</v>
      </c>
      <c r="GD4" t="e">
        <f>AND(TOC!#REF!,"AAAAAEP/57k=")</f>
        <v>#REF!</v>
      </c>
      <c r="GE4" t="e">
        <f>AND(TOC!#REF!,"AAAAAEP/57o=")</f>
        <v>#REF!</v>
      </c>
      <c r="GF4" t="e">
        <f>AND(TOC!#REF!,"AAAAAEP/57s=")</f>
        <v>#REF!</v>
      </c>
      <c r="GG4" t="e">
        <f>AND(TOC!#REF!,"AAAAAEP/57w=")</f>
        <v>#REF!</v>
      </c>
      <c r="GH4" t="e">
        <f>AND(TOC!#REF!,"AAAAAEP/570=")</f>
        <v>#REF!</v>
      </c>
      <c r="GI4" t="e">
        <f>AND(TOC!#REF!,"AAAAAEP/574=")</f>
        <v>#REF!</v>
      </c>
      <c r="GJ4" t="e">
        <f>AND(TOC!#REF!,"AAAAAEP/578=")</f>
        <v>#REF!</v>
      </c>
      <c r="GK4" t="e">
        <f>AND(TOC!#REF!,"AAAAAEP/58A=")</f>
        <v>#REF!</v>
      </c>
      <c r="GL4" t="e">
        <f>AND(TOC!#REF!,"AAAAAEP/58E=")</f>
        <v>#REF!</v>
      </c>
      <c r="GM4" t="e">
        <f>IF(TOC!#REF!,"AAAAAEP/58I=",0)</f>
        <v>#REF!</v>
      </c>
      <c r="GN4" t="e">
        <f>AND(TOC!#REF!,"AAAAAEP/58M=")</f>
        <v>#REF!</v>
      </c>
      <c r="GO4" t="e">
        <f>AND(TOC!#REF!,"AAAAAEP/58Q=")</f>
        <v>#REF!</v>
      </c>
      <c r="GP4" t="e">
        <f>AND(TOC!#REF!,"AAAAAEP/58U=")</f>
        <v>#REF!</v>
      </c>
      <c r="GQ4" t="e">
        <f>AND(TOC!#REF!,"AAAAAEP/58Y=")</f>
        <v>#REF!</v>
      </c>
      <c r="GR4" t="e">
        <f>AND(TOC!#REF!,"AAAAAEP/58c=")</f>
        <v>#REF!</v>
      </c>
      <c r="GS4" t="e">
        <f>AND(TOC!#REF!,"AAAAAEP/58g=")</f>
        <v>#REF!</v>
      </c>
      <c r="GT4" t="e">
        <f>AND(TOC!#REF!,"AAAAAEP/58k=")</f>
        <v>#REF!</v>
      </c>
      <c r="GU4" t="e">
        <f>AND(TOC!#REF!,"AAAAAEP/58o=")</f>
        <v>#REF!</v>
      </c>
      <c r="GV4" t="e">
        <f>AND(TOC!#REF!,"AAAAAEP/58s=")</f>
        <v>#REF!</v>
      </c>
      <c r="GW4" t="e">
        <f>AND(TOC!#REF!,"AAAAAEP/58w=")</f>
        <v>#REF!</v>
      </c>
      <c r="GX4" t="e">
        <f>AND(TOC!#REF!,"AAAAAEP/580=")</f>
        <v>#REF!</v>
      </c>
      <c r="GY4" t="e">
        <f>AND(TOC!#REF!,"AAAAAEP/584=")</f>
        <v>#REF!</v>
      </c>
      <c r="GZ4" t="e">
        <f>AND(TOC!#REF!,"AAAAAEP/588=")</f>
        <v>#REF!</v>
      </c>
      <c r="HA4" t="e">
        <f>AND(TOC!#REF!,"AAAAAEP/59A=")</f>
        <v>#REF!</v>
      </c>
      <c r="HB4" t="e">
        <f>AND(TOC!#REF!,"AAAAAEP/59E=")</f>
        <v>#REF!</v>
      </c>
      <c r="HC4" t="e">
        <f>AND(TOC!#REF!,"AAAAAEP/59I=")</f>
        <v>#REF!</v>
      </c>
      <c r="HD4" t="e">
        <f>AND(TOC!#REF!,"AAAAAEP/59M=")</f>
        <v>#REF!</v>
      </c>
      <c r="HE4" t="e">
        <f>AND(TOC!#REF!,"AAAAAEP/59Q=")</f>
        <v>#REF!</v>
      </c>
      <c r="HF4" t="e">
        <f>AND(TOC!#REF!,"AAAAAEP/59U=")</f>
        <v>#REF!</v>
      </c>
      <c r="HG4" t="e">
        <f>AND(TOC!#REF!,"AAAAAEP/59Y=")</f>
        <v>#REF!</v>
      </c>
      <c r="HH4" t="e">
        <f>AND(TOC!#REF!,"AAAAAEP/59c=")</f>
        <v>#REF!</v>
      </c>
      <c r="HI4" t="e">
        <f>AND(TOC!#REF!,"AAAAAEP/59g=")</f>
        <v>#REF!</v>
      </c>
      <c r="HJ4" t="e">
        <f>AND(TOC!#REF!,"AAAAAEP/59k=")</f>
        <v>#REF!</v>
      </c>
      <c r="HK4" t="e">
        <f>AND(TOC!#REF!,"AAAAAEP/59o=")</f>
        <v>#REF!</v>
      </c>
      <c r="HL4" t="e">
        <f>AND(TOC!#REF!,"AAAAAEP/59s=")</f>
        <v>#REF!</v>
      </c>
      <c r="HM4" t="e">
        <f>AND(TOC!#REF!,"AAAAAEP/59w=")</f>
        <v>#REF!</v>
      </c>
      <c r="HN4" t="e">
        <f>AND(TOC!#REF!,"AAAAAEP/590=")</f>
        <v>#REF!</v>
      </c>
      <c r="HO4" t="e">
        <f>AND(TOC!#REF!,"AAAAAEP/594=")</f>
        <v>#REF!</v>
      </c>
      <c r="HP4" t="e">
        <f>AND(TOC!#REF!,"AAAAAEP/598=")</f>
        <v>#REF!</v>
      </c>
      <c r="HQ4" t="e">
        <f>AND(TOC!#REF!,"AAAAAEP/5+A=")</f>
        <v>#REF!</v>
      </c>
      <c r="HR4" t="e">
        <f>AND(TOC!#REF!,"AAAAAEP/5+E=")</f>
        <v>#REF!</v>
      </c>
      <c r="HS4" t="e">
        <f>AND(TOC!#REF!,"AAAAAEP/5+I=")</f>
        <v>#REF!</v>
      </c>
      <c r="HT4" t="e">
        <f>AND(TOC!#REF!,"AAAAAEP/5+M=")</f>
        <v>#REF!</v>
      </c>
      <c r="HU4" t="e">
        <f>AND(TOC!#REF!,"AAAAAEP/5+Q=")</f>
        <v>#REF!</v>
      </c>
      <c r="HV4" t="e">
        <f>AND(TOC!#REF!,"AAAAAEP/5+U=")</f>
        <v>#REF!</v>
      </c>
      <c r="HW4" t="e">
        <f>AND(TOC!#REF!,"AAAAAEP/5+Y=")</f>
        <v>#REF!</v>
      </c>
      <c r="HX4" t="e">
        <f>IF(TOC!#REF!,"AAAAAEP/5+c=",0)</f>
        <v>#REF!</v>
      </c>
      <c r="HY4" t="e">
        <f>AND(TOC!#REF!,"AAAAAEP/5+g=")</f>
        <v>#REF!</v>
      </c>
      <c r="HZ4" t="e">
        <f>AND(TOC!#REF!,"AAAAAEP/5+k=")</f>
        <v>#REF!</v>
      </c>
      <c r="IA4" t="e">
        <f>AND(TOC!#REF!,"AAAAAEP/5+o=")</f>
        <v>#REF!</v>
      </c>
      <c r="IB4" t="e">
        <f>AND(TOC!#REF!,"AAAAAEP/5+s=")</f>
        <v>#REF!</v>
      </c>
      <c r="IC4" t="e">
        <f>AND(TOC!#REF!,"AAAAAEP/5+w=")</f>
        <v>#REF!</v>
      </c>
      <c r="ID4" t="e">
        <f>AND(TOC!#REF!,"AAAAAEP/5+0=")</f>
        <v>#REF!</v>
      </c>
      <c r="IE4" t="e">
        <f>AND(TOC!#REF!,"AAAAAEP/5+4=")</f>
        <v>#REF!</v>
      </c>
      <c r="IF4" t="e">
        <f>AND(TOC!#REF!,"AAAAAEP/5+8=")</f>
        <v>#REF!</v>
      </c>
      <c r="IG4" t="e">
        <f>AND(TOC!#REF!,"AAAAAEP/5/A=")</f>
        <v>#REF!</v>
      </c>
      <c r="IH4" t="e">
        <f>AND(TOC!#REF!,"AAAAAEP/5/E=")</f>
        <v>#REF!</v>
      </c>
      <c r="II4" t="e">
        <f>AND(TOC!#REF!,"AAAAAEP/5/I=")</f>
        <v>#REF!</v>
      </c>
      <c r="IJ4" t="e">
        <f>AND(TOC!#REF!,"AAAAAEP/5/M=")</f>
        <v>#REF!</v>
      </c>
      <c r="IK4" t="e">
        <f>AND(TOC!#REF!,"AAAAAEP/5/Q=")</f>
        <v>#REF!</v>
      </c>
      <c r="IL4" t="e">
        <f>AND(TOC!#REF!,"AAAAAEP/5/U=")</f>
        <v>#REF!</v>
      </c>
      <c r="IM4" t="e">
        <f>AND(TOC!#REF!,"AAAAAEP/5/Y=")</f>
        <v>#REF!</v>
      </c>
      <c r="IN4" t="e">
        <f>AND(TOC!#REF!,"AAAAAEP/5/c=")</f>
        <v>#REF!</v>
      </c>
      <c r="IO4" t="e">
        <f>AND(TOC!#REF!,"AAAAAEP/5/g=")</f>
        <v>#REF!</v>
      </c>
      <c r="IP4" t="e">
        <f>AND(TOC!#REF!,"AAAAAEP/5/k=")</f>
        <v>#REF!</v>
      </c>
      <c r="IQ4" t="e">
        <f>AND(TOC!#REF!,"AAAAAEP/5/o=")</f>
        <v>#REF!</v>
      </c>
      <c r="IR4" t="e">
        <f>AND(TOC!#REF!,"AAAAAEP/5/s=")</f>
        <v>#REF!</v>
      </c>
      <c r="IS4" t="e">
        <f>AND(TOC!#REF!,"AAAAAEP/5/w=")</f>
        <v>#REF!</v>
      </c>
      <c r="IT4" t="e">
        <f>AND(TOC!#REF!,"AAAAAEP/5/0=")</f>
        <v>#REF!</v>
      </c>
      <c r="IU4" t="e">
        <f>AND(TOC!#REF!,"AAAAAEP/5/4=")</f>
        <v>#REF!</v>
      </c>
      <c r="IV4" t="e">
        <f>AND(TOC!#REF!,"AAAAAEP/5/8=")</f>
        <v>#REF!</v>
      </c>
    </row>
    <row r="5" spans="1:256" x14ac:dyDescent="0.2">
      <c r="A5" t="e">
        <f>AND(TOC!#REF!,"AAAAAF+99wA=")</f>
        <v>#REF!</v>
      </c>
      <c r="B5" t="e">
        <f>AND(TOC!#REF!,"AAAAAF+99wE=")</f>
        <v>#REF!</v>
      </c>
      <c r="C5" t="e">
        <f>AND(TOC!#REF!,"AAAAAF+99wI=")</f>
        <v>#REF!</v>
      </c>
      <c r="D5" t="e">
        <f>AND(TOC!#REF!,"AAAAAF+99wM=")</f>
        <v>#REF!</v>
      </c>
      <c r="E5" t="e">
        <f>AND(TOC!#REF!,"AAAAAF+99wQ=")</f>
        <v>#REF!</v>
      </c>
      <c r="F5" t="e">
        <f>AND(TOC!#REF!,"AAAAAF+99wU=")</f>
        <v>#REF!</v>
      </c>
      <c r="G5" t="e">
        <f>AND(TOC!#REF!,"AAAAAF+99wY=")</f>
        <v>#REF!</v>
      </c>
      <c r="H5" t="e">
        <f>AND(TOC!#REF!,"AAAAAF+99wc=")</f>
        <v>#REF!</v>
      </c>
      <c r="I5" t="e">
        <f>AND(TOC!#REF!,"AAAAAF+99wg=")</f>
        <v>#REF!</v>
      </c>
      <c r="J5" t="e">
        <f>AND(TOC!#REF!,"AAAAAF+99wk=")</f>
        <v>#REF!</v>
      </c>
      <c r="K5" t="e">
        <f>AND(TOC!#REF!,"AAAAAF+99wo=")</f>
        <v>#REF!</v>
      </c>
      <c r="L5" t="e">
        <f>AND(TOC!#REF!,"AAAAAF+99ws=")</f>
        <v>#REF!</v>
      </c>
      <c r="M5" t="e">
        <f>IF(TOC!#REF!,"AAAAAF+99ww=",0)</f>
        <v>#REF!</v>
      </c>
      <c r="N5" t="e">
        <f>AND(TOC!#REF!,"AAAAAF+99w0=")</f>
        <v>#REF!</v>
      </c>
      <c r="O5" t="e">
        <f>AND(TOC!#REF!,"AAAAAF+99w4=")</f>
        <v>#REF!</v>
      </c>
      <c r="P5" t="e">
        <f>AND(TOC!#REF!,"AAAAAF+99w8=")</f>
        <v>#REF!</v>
      </c>
      <c r="Q5" t="e">
        <f>AND(TOC!#REF!,"AAAAAF+99xA=")</f>
        <v>#REF!</v>
      </c>
      <c r="R5" t="e">
        <f>AND(TOC!#REF!,"AAAAAF+99xE=")</f>
        <v>#REF!</v>
      </c>
      <c r="S5" t="e">
        <f>AND(TOC!#REF!,"AAAAAF+99xI=")</f>
        <v>#REF!</v>
      </c>
      <c r="T5" t="e">
        <f>AND(TOC!#REF!,"AAAAAF+99xM=")</f>
        <v>#REF!</v>
      </c>
      <c r="U5" t="e">
        <f>AND(TOC!#REF!,"AAAAAF+99xQ=")</f>
        <v>#REF!</v>
      </c>
      <c r="V5" t="e">
        <f>AND(TOC!#REF!,"AAAAAF+99xU=")</f>
        <v>#REF!</v>
      </c>
      <c r="W5" t="e">
        <f>AND(TOC!#REF!,"AAAAAF+99xY=")</f>
        <v>#REF!</v>
      </c>
      <c r="X5" t="e">
        <f>AND(TOC!#REF!,"AAAAAF+99xc=")</f>
        <v>#REF!</v>
      </c>
      <c r="Y5" t="e">
        <f>AND(TOC!#REF!,"AAAAAF+99xg=")</f>
        <v>#REF!</v>
      </c>
      <c r="Z5" t="e">
        <f>AND(TOC!#REF!,"AAAAAF+99xk=")</f>
        <v>#REF!</v>
      </c>
      <c r="AA5" t="e">
        <f>AND(TOC!#REF!,"AAAAAF+99xo=")</f>
        <v>#REF!</v>
      </c>
      <c r="AB5" t="e">
        <f>AND(TOC!#REF!,"AAAAAF+99xs=")</f>
        <v>#REF!</v>
      </c>
      <c r="AC5" t="e">
        <f>AND(TOC!#REF!,"AAAAAF+99xw=")</f>
        <v>#REF!</v>
      </c>
      <c r="AD5" t="e">
        <f>AND(TOC!#REF!,"AAAAAF+99x0=")</f>
        <v>#REF!</v>
      </c>
      <c r="AE5" t="e">
        <f>AND(TOC!#REF!,"AAAAAF+99x4=")</f>
        <v>#REF!</v>
      </c>
      <c r="AF5" t="e">
        <f>AND(TOC!#REF!,"AAAAAF+99x8=")</f>
        <v>#REF!</v>
      </c>
      <c r="AG5" t="e">
        <f>AND(TOC!#REF!,"AAAAAF+99yA=")</f>
        <v>#REF!</v>
      </c>
      <c r="AH5" t="e">
        <f>AND(TOC!#REF!,"AAAAAF+99yE=")</f>
        <v>#REF!</v>
      </c>
      <c r="AI5" t="e">
        <f>AND(TOC!#REF!,"AAAAAF+99yI=")</f>
        <v>#REF!</v>
      </c>
      <c r="AJ5" t="e">
        <f>AND(TOC!#REF!,"AAAAAF+99yM=")</f>
        <v>#REF!</v>
      </c>
      <c r="AK5" t="e">
        <f>AND(TOC!#REF!,"AAAAAF+99yQ=")</f>
        <v>#REF!</v>
      </c>
      <c r="AL5" t="e">
        <f>AND(TOC!#REF!,"AAAAAF+99yU=")</f>
        <v>#REF!</v>
      </c>
      <c r="AM5" t="e">
        <f>AND(TOC!#REF!,"AAAAAF+99yY=")</f>
        <v>#REF!</v>
      </c>
      <c r="AN5" t="e">
        <f>AND(TOC!#REF!,"AAAAAF+99yc=")</f>
        <v>#REF!</v>
      </c>
      <c r="AO5" t="e">
        <f>AND(TOC!#REF!,"AAAAAF+99yg=")</f>
        <v>#REF!</v>
      </c>
      <c r="AP5" t="e">
        <f>AND(TOC!#REF!,"AAAAAF+99yk=")</f>
        <v>#REF!</v>
      </c>
      <c r="AQ5" t="e">
        <f>AND(TOC!#REF!,"AAAAAF+99yo=")</f>
        <v>#REF!</v>
      </c>
      <c r="AR5" t="e">
        <f>AND(TOC!#REF!,"AAAAAF+99ys=")</f>
        <v>#REF!</v>
      </c>
      <c r="AS5" t="e">
        <f>AND(TOC!#REF!,"AAAAAF+99yw=")</f>
        <v>#REF!</v>
      </c>
      <c r="AT5" t="e">
        <f>AND(TOC!#REF!,"AAAAAF+99y0=")</f>
        <v>#REF!</v>
      </c>
      <c r="AU5" t="e">
        <f>AND(TOC!#REF!,"AAAAAF+99y4=")</f>
        <v>#REF!</v>
      </c>
      <c r="AV5" t="e">
        <f>AND(TOC!#REF!,"AAAAAF+99y8=")</f>
        <v>#REF!</v>
      </c>
      <c r="AW5" t="e">
        <f>AND(TOC!#REF!,"AAAAAF+99zA=")</f>
        <v>#REF!</v>
      </c>
      <c r="AX5" t="e">
        <f>IF(TOC!#REF!,"AAAAAF+99zE=",0)</f>
        <v>#REF!</v>
      </c>
      <c r="AY5" t="e">
        <f>AND(TOC!#REF!,"AAAAAF+99zI=")</f>
        <v>#REF!</v>
      </c>
      <c r="AZ5" t="e">
        <f>AND(TOC!#REF!,"AAAAAF+99zM=")</f>
        <v>#REF!</v>
      </c>
      <c r="BA5" t="e">
        <f>AND(TOC!#REF!,"AAAAAF+99zQ=")</f>
        <v>#REF!</v>
      </c>
      <c r="BB5" t="e">
        <f>AND(TOC!#REF!,"AAAAAF+99zU=")</f>
        <v>#REF!</v>
      </c>
      <c r="BC5" t="e">
        <f>AND(TOC!#REF!,"AAAAAF+99zY=")</f>
        <v>#REF!</v>
      </c>
      <c r="BD5" t="e">
        <f>AND(TOC!#REF!,"AAAAAF+99zc=")</f>
        <v>#REF!</v>
      </c>
      <c r="BE5" t="e">
        <f>AND(TOC!#REF!,"AAAAAF+99zg=")</f>
        <v>#REF!</v>
      </c>
      <c r="BF5" t="e">
        <f>AND(TOC!#REF!,"AAAAAF+99zk=")</f>
        <v>#REF!</v>
      </c>
      <c r="BG5" t="e">
        <f>AND(TOC!#REF!,"AAAAAF+99zo=")</f>
        <v>#REF!</v>
      </c>
      <c r="BH5" t="e">
        <f>AND(TOC!#REF!,"AAAAAF+99zs=")</f>
        <v>#REF!</v>
      </c>
      <c r="BI5" t="e">
        <f>AND(TOC!#REF!,"AAAAAF+99zw=")</f>
        <v>#REF!</v>
      </c>
      <c r="BJ5" t="e">
        <f>AND(TOC!#REF!,"AAAAAF+99z0=")</f>
        <v>#REF!</v>
      </c>
      <c r="BK5" t="e">
        <f>AND(TOC!#REF!,"AAAAAF+99z4=")</f>
        <v>#REF!</v>
      </c>
      <c r="BL5" t="e">
        <f>AND(TOC!#REF!,"AAAAAF+99z8=")</f>
        <v>#REF!</v>
      </c>
      <c r="BM5" t="e">
        <f>AND(TOC!#REF!,"AAAAAF+990A=")</f>
        <v>#REF!</v>
      </c>
      <c r="BN5" t="e">
        <f>AND(TOC!#REF!,"AAAAAF+990E=")</f>
        <v>#REF!</v>
      </c>
      <c r="BO5" t="e">
        <f>AND(TOC!#REF!,"AAAAAF+990I=")</f>
        <v>#REF!</v>
      </c>
      <c r="BP5" t="e">
        <f>AND(TOC!#REF!,"AAAAAF+990M=")</f>
        <v>#REF!</v>
      </c>
      <c r="BQ5" t="e">
        <f>AND(TOC!#REF!,"AAAAAF+990Q=")</f>
        <v>#REF!</v>
      </c>
      <c r="BR5" t="e">
        <f>AND(TOC!#REF!,"AAAAAF+990U=")</f>
        <v>#REF!</v>
      </c>
      <c r="BS5" t="e">
        <f>AND(TOC!#REF!,"AAAAAF+990Y=")</f>
        <v>#REF!</v>
      </c>
      <c r="BT5" t="e">
        <f>AND(TOC!#REF!,"AAAAAF+990c=")</f>
        <v>#REF!</v>
      </c>
      <c r="BU5" t="e">
        <f>AND(TOC!#REF!,"AAAAAF+990g=")</f>
        <v>#REF!</v>
      </c>
      <c r="BV5" t="e">
        <f>AND(TOC!#REF!,"AAAAAF+990k=")</f>
        <v>#REF!</v>
      </c>
      <c r="BW5" t="e">
        <f>AND(TOC!#REF!,"AAAAAF+990o=")</f>
        <v>#REF!</v>
      </c>
      <c r="BX5" t="e">
        <f>AND(TOC!#REF!,"AAAAAF+990s=")</f>
        <v>#REF!</v>
      </c>
      <c r="BY5" t="e">
        <f>AND(TOC!#REF!,"AAAAAF+990w=")</f>
        <v>#REF!</v>
      </c>
      <c r="BZ5" t="e">
        <f>AND(TOC!#REF!,"AAAAAF+9900=")</f>
        <v>#REF!</v>
      </c>
      <c r="CA5" t="e">
        <f>AND(TOC!#REF!,"AAAAAF+9904=")</f>
        <v>#REF!</v>
      </c>
      <c r="CB5" t="e">
        <f>AND(TOC!#REF!,"AAAAAF+9908=")</f>
        <v>#REF!</v>
      </c>
      <c r="CC5" t="e">
        <f>AND(TOC!#REF!,"AAAAAF+991A=")</f>
        <v>#REF!</v>
      </c>
      <c r="CD5" t="e">
        <f>AND(TOC!#REF!,"AAAAAF+991E=")</f>
        <v>#REF!</v>
      </c>
      <c r="CE5" t="e">
        <f>AND(TOC!#REF!,"AAAAAF+991I=")</f>
        <v>#REF!</v>
      </c>
      <c r="CF5" t="e">
        <f>AND(TOC!#REF!,"AAAAAF+991M=")</f>
        <v>#REF!</v>
      </c>
      <c r="CG5" t="e">
        <f>AND(TOC!#REF!,"AAAAAF+991Q=")</f>
        <v>#REF!</v>
      </c>
      <c r="CH5" t="e">
        <f>AND(TOC!#REF!,"AAAAAF+991U=")</f>
        <v>#REF!</v>
      </c>
      <c r="CI5" t="e">
        <f>IF(TOC!#REF!,"AAAAAF+991Y=",0)</f>
        <v>#REF!</v>
      </c>
      <c r="CJ5" t="e">
        <f>AND(TOC!#REF!,"AAAAAF+991c=")</f>
        <v>#REF!</v>
      </c>
      <c r="CK5" t="e">
        <f>AND(TOC!#REF!,"AAAAAF+991g=")</f>
        <v>#REF!</v>
      </c>
      <c r="CL5" t="e">
        <f>AND(TOC!#REF!,"AAAAAF+991k=")</f>
        <v>#REF!</v>
      </c>
      <c r="CM5" t="e">
        <f>AND(TOC!#REF!,"AAAAAF+991o=")</f>
        <v>#REF!</v>
      </c>
      <c r="CN5" t="e">
        <f>AND(TOC!#REF!,"AAAAAF+991s=")</f>
        <v>#REF!</v>
      </c>
      <c r="CO5" t="e">
        <f>AND(TOC!#REF!,"AAAAAF+991w=")</f>
        <v>#REF!</v>
      </c>
      <c r="CP5" t="e">
        <f>AND(TOC!#REF!,"AAAAAF+9910=")</f>
        <v>#REF!</v>
      </c>
      <c r="CQ5" t="e">
        <f>AND(TOC!#REF!,"AAAAAF+9914=")</f>
        <v>#REF!</v>
      </c>
      <c r="CR5" t="e">
        <f>AND(TOC!#REF!,"AAAAAF+9918=")</f>
        <v>#REF!</v>
      </c>
      <c r="CS5" t="e">
        <f>AND(TOC!#REF!,"AAAAAF+992A=")</f>
        <v>#REF!</v>
      </c>
      <c r="CT5" t="e">
        <f>AND(TOC!#REF!,"AAAAAF+992E=")</f>
        <v>#REF!</v>
      </c>
      <c r="CU5" t="e">
        <f>AND(TOC!#REF!,"AAAAAF+992I=")</f>
        <v>#REF!</v>
      </c>
      <c r="CV5" t="e">
        <f>AND(TOC!#REF!,"AAAAAF+992M=")</f>
        <v>#REF!</v>
      </c>
      <c r="CW5" t="e">
        <f>AND(TOC!#REF!,"AAAAAF+992Q=")</f>
        <v>#REF!</v>
      </c>
      <c r="CX5" t="e">
        <f>AND(TOC!#REF!,"AAAAAF+992U=")</f>
        <v>#REF!</v>
      </c>
      <c r="CY5" t="e">
        <f>AND(TOC!#REF!,"AAAAAF+992Y=")</f>
        <v>#REF!</v>
      </c>
      <c r="CZ5" t="e">
        <f>AND(TOC!#REF!,"AAAAAF+992c=")</f>
        <v>#REF!</v>
      </c>
      <c r="DA5" t="e">
        <f>AND(TOC!#REF!,"AAAAAF+992g=")</f>
        <v>#REF!</v>
      </c>
      <c r="DB5" t="e">
        <f>AND(TOC!#REF!,"AAAAAF+992k=")</f>
        <v>#REF!</v>
      </c>
      <c r="DC5" t="e">
        <f>AND(TOC!#REF!,"AAAAAF+992o=")</f>
        <v>#REF!</v>
      </c>
      <c r="DD5" t="e">
        <f>AND(TOC!#REF!,"AAAAAF+992s=")</f>
        <v>#REF!</v>
      </c>
      <c r="DE5" t="e">
        <f>AND(TOC!#REF!,"AAAAAF+992w=")</f>
        <v>#REF!</v>
      </c>
      <c r="DF5" t="e">
        <f>AND(TOC!#REF!,"AAAAAF+9920=")</f>
        <v>#REF!</v>
      </c>
      <c r="DG5" t="e">
        <f>AND(TOC!#REF!,"AAAAAF+9924=")</f>
        <v>#REF!</v>
      </c>
      <c r="DH5" t="e">
        <f>AND(TOC!#REF!,"AAAAAF+9928=")</f>
        <v>#REF!</v>
      </c>
      <c r="DI5" t="e">
        <f>AND(TOC!#REF!,"AAAAAF+993A=")</f>
        <v>#REF!</v>
      </c>
      <c r="DJ5" t="e">
        <f>AND(TOC!#REF!,"AAAAAF+993E=")</f>
        <v>#REF!</v>
      </c>
      <c r="DK5" t="e">
        <f>AND(TOC!#REF!,"AAAAAF+993I=")</f>
        <v>#REF!</v>
      </c>
      <c r="DL5" t="e">
        <f>AND(TOC!#REF!,"AAAAAF+993M=")</f>
        <v>#REF!</v>
      </c>
      <c r="DM5" t="e">
        <f>AND(TOC!#REF!,"AAAAAF+993Q=")</f>
        <v>#REF!</v>
      </c>
      <c r="DN5" t="e">
        <f>AND(TOC!#REF!,"AAAAAF+993U=")</f>
        <v>#REF!</v>
      </c>
      <c r="DO5" t="e">
        <f>AND(TOC!#REF!,"AAAAAF+993Y=")</f>
        <v>#REF!</v>
      </c>
      <c r="DP5" t="e">
        <f>AND(TOC!#REF!,"AAAAAF+993c=")</f>
        <v>#REF!</v>
      </c>
      <c r="DQ5" t="e">
        <f>AND(TOC!#REF!,"AAAAAF+993g=")</f>
        <v>#REF!</v>
      </c>
      <c r="DR5" t="e">
        <f>AND(TOC!#REF!,"AAAAAF+993k=")</f>
        <v>#REF!</v>
      </c>
      <c r="DS5" t="e">
        <f>AND(TOC!#REF!,"AAAAAF+993o=")</f>
        <v>#REF!</v>
      </c>
      <c r="DT5" t="e">
        <f>IF(TOC!#REF!,"AAAAAF+993s=",0)</f>
        <v>#REF!</v>
      </c>
      <c r="DU5" t="e">
        <f>AND(TOC!#REF!,"AAAAAF+993w=")</f>
        <v>#REF!</v>
      </c>
      <c r="DV5" t="e">
        <f>AND(TOC!#REF!,"AAAAAF+9930=")</f>
        <v>#REF!</v>
      </c>
      <c r="DW5" t="e">
        <f>AND(TOC!#REF!,"AAAAAF+9934=")</f>
        <v>#REF!</v>
      </c>
      <c r="DX5" t="e">
        <f>AND(TOC!#REF!,"AAAAAF+9938=")</f>
        <v>#REF!</v>
      </c>
      <c r="DY5" t="e">
        <f>AND(TOC!#REF!,"AAAAAF+994A=")</f>
        <v>#REF!</v>
      </c>
      <c r="DZ5" t="e">
        <f>AND(TOC!#REF!,"AAAAAF+994E=")</f>
        <v>#REF!</v>
      </c>
      <c r="EA5" t="e">
        <f>AND(TOC!#REF!,"AAAAAF+994I=")</f>
        <v>#REF!</v>
      </c>
      <c r="EB5" t="e">
        <f>AND(TOC!#REF!,"AAAAAF+994M=")</f>
        <v>#REF!</v>
      </c>
      <c r="EC5" t="e">
        <f>AND(TOC!#REF!,"AAAAAF+994Q=")</f>
        <v>#REF!</v>
      </c>
      <c r="ED5" t="e">
        <f>AND(TOC!#REF!,"AAAAAF+994U=")</f>
        <v>#REF!</v>
      </c>
      <c r="EE5" t="e">
        <f>AND(TOC!#REF!,"AAAAAF+994Y=")</f>
        <v>#REF!</v>
      </c>
      <c r="EF5" t="e">
        <f>AND(TOC!#REF!,"AAAAAF+994c=")</f>
        <v>#REF!</v>
      </c>
      <c r="EG5" t="e">
        <f>AND(TOC!#REF!,"AAAAAF+994g=")</f>
        <v>#REF!</v>
      </c>
      <c r="EH5" t="e">
        <f>AND(TOC!#REF!,"AAAAAF+994k=")</f>
        <v>#REF!</v>
      </c>
      <c r="EI5" t="e">
        <f>AND(TOC!#REF!,"AAAAAF+994o=")</f>
        <v>#REF!</v>
      </c>
      <c r="EJ5" t="e">
        <f>AND(TOC!#REF!,"AAAAAF+994s=")</f>
        <v>#REF!</v>
      </c>
      <c r="EK5" t="e">
        <f>AND(TOC!#REF!,"AAAAAF+994w=")</f>
        <v>#REF!</v>
      </c>
      <c r="EL5" t="e">
        <f>AND(TOC!#REF!,"AAAAAF+9940=")</f>
        <v>#REF!</v>
      </c>
      <c r="EM5" t="e">
        <f>AND(TOC!#REF!,"AAAAAF+9944=")</f>
        <v>#REF!</v>
      </c>
      <c r="EN5" t="e">
        <f>AND(TOC!#REF!,"AAAAAF+9948=")</f>
        <v>#REF!</v>
      </c>
      <c r="EO5" t="e">
        <f>AND(TOC!#REF!,"AAAAAF+995A=")</f>
        <v>#REF!</v>
      </c>
      <c r="EP5" t="e">
        <f>AND(TOC!#REF!,"AAAAAF+995E=")</f>
        <v>#REF!</v>
      </c>
      <c r="EQ5" t="e">
        <f>AND(TOC!#REF!,"AAAAAF+995I=")</f>
        <v>#REF!</v>
      </c>
      <c r="ER5" t="e">
        <f>AND(TOC!#REF!,"AAAAAF+995M=")</f>
        <v>#REF!</v>
      </c>
      <c r="ES5" t="e">
        <f>AND(TOC!#REF!,"AAAAAF+995Q=")</f>
        <v>#REF!</v>
      </c>
      <c r="ET5" t="e">
        <f>AND(TOC!#REF!,"AAAAAF+995U=")</f>
        <v>#REF!</v>
      </c>
      <c r="EU5" t="e">
        <f>AND(TOC!#REF!,"AAAAAF+995Y=")</f>
        <v>#REF!</v>
      </c>
      <c r="EV5" t="e">
        <f>AND(TOC!#REF!,"AAAAAF+995c=")</f>
        <v>#REF!</v>
      </c>
      <c r="EW5" t="e">
        <f>AND(TOC!#REF!,"AAAAAF+995g=")</f>
        <v>#REF!</v>
      </c>
      <c r="EX5" t="e">
        <f>AND(TOC!#REF!,"AAAAAF+995k=")</f>
        <v>#REF!</v>
      </c>
      <c r="EY5" t="e">
        <f>AND(TOC!#REF!,"AAAAAF+995o=")</f>
        <v>#REF!</v>
      </c>
      <c r="EZ5" t="e">
        <f>AND(TOC!#REF!,"AAAAAF+995s=")</f>
        <v>#REF!</v>
      </c>
      <c r="FA5" t="e">
        <f>AND(TOC!#REF!,"AAAAAF+995w=")</f>
        <v>#REF!</v>
      </c>
      <c r="FB5" t="e">
        <f>AND(TOC!#REF!,"AAAAAF+9950=")</f>
        <v>#REF!</v>
      </c>
      <c r="FC5" t="e">
        <f>AND(TOC!#REF!,"AAAAAF+9954=")</f>
        <v>#REF!</v>
      </c>
      <c r="FD5" t="e">
        <f>AND(TOC!#REF!,"AAAAAF+9958=")</f>
        <v>#REF!</v>
      </c>
      <c r="FE5" t="e">
        <f>IF(TOC!#REF!,"AAAAAF+996A=",0)</f>
        <v>#REF!</v>
      </c>
      <c r="FF5" t="e">
        <f>AND(TOC!#REF!,"AAAAAF+996E=")</f>
        <v>#REF!</v>
      </c>
      <c r="FG5" t="e">
        <f>AND(TOC!#REF!,"AAAAAF+996I=")</f>
        <v>#REF!</v>
      </c>
      <c r="FH5" t="e">
        <f>AND(TOC!#REF!,"AAAAAF+996M=")</f>
        <v>#REF!</v>
      </c>
      <c r="FI5" t="e">
        <f>AND(TOC!#REF!,"AAAAAF+996Q=")</f>
        <v>#REF!</v>
      </c>
      <c r="FJ5" t="e">
        <f>AND(TOC!#REF!,"AAAAAF+996U=")</f>
        <v>#REF!</v>
      </c>
      <c r="FK5" t="e">
        <f>AND(TOC!#REF!,"AAAAAF+996Y=")</f>
        <v>#REF!</v>
      </c>
      <c r="FL5" t="e">
        <f>AND(TOC!#REF!,"AAAAAF+996c=")</f>
        <v>#REF!</v>
      </c>
      <c r="FM5" t="e">
        <f>AND(TOC!#REF!,"AAAAAF+996g=")</f>
        <v>#REF!</v>
      </c>
      <c r="FN5" t="e">
        <f>AND(TOC!#REF!,"AAAAAF+996k=")</f>
        <v>#REF!</v>
      </c>
      <c r="FO5" t="e">
        <f>AND(TOC!#REF!,"AAAAAF+996o=")</f>
        <v>#REF!</v>
      </c>
      <c r="FP5" t="e">
        <f>AND(TOC!#REF!,"AAAAAF+996s=")</f>
        <v>#REF!</v>
      </c>
      <c r="FQ5" t="e">
        <f>AND(TOC!#REF!,"AAAAAF+996w=")</f>
        <v>#REF!</v>
      </c>
      <c r="FR5" t="e">
        <f>AND(TOC!#REF!,"AAAAAF+9960=")</f>
        <v>#REF!</v>
      </c>
      <c r="FS5" t="e">
        <f>AND(TOC!#REF!,"AAAAAF+9964=")</f>
        <v>#REF!</v>
      </c>
      <c r="FT5" t="e">
        <f>AND(TOC!#REF!,"AAAAAF+9968=")</f>
        <v>#REF!</v>
      </c>
      <c r="FU5" t="e">
        <f>AND(TOC!#REF!,"AAAAAF+997A=")</f>
        <v>#REF!</v>
      </c>
      <c r="FV5" t="e">
        <f>AND(TOC!#REF!,"AAAAAF+997E=")</f>
        <v>#REF!</v>
      </c>
      <c r="FW5" t="e">
        <f>AND(TOC!#REF!,"AAAAAF+997I=")</f>
        <v>#REF!</v>
      </c>
      <c r="FX5" t="e">
        <f>AND(TOC!#REF!,"AAAAAF+997M=")</f>
        <v>#REF!</v>
      </c>
      <c r="FY5" t="e">
        <f>AND(TOC!#REF!,"AAAAAF+997Q=")</f>
        <v>#REF!</v>
      </c>
      <c r="FZ5" t="e">
        <f>AND(TOC!#REF!,"AAAAAF+997U=")</f>
        <v>#REF!</v>
      </c>
      <c r="GA5" t="e">
        <f>AND(TOC!#REF!,"AAAAAF+997Y=")</f>
        <v>#REF!</v>
      </c>
      <c r="GB5" t="e">
        <f>AND(TOC!#REF!,"AAAAAF+997c=")</f>
        <v>#REF!</v>
      </c>
      <c r="GC5" t="e">
        <f>AND(TOC!#REF!,"AAAAAF+997g=")</f>
        <v>#REF!</v>
      </c>
      <c r="GD5" t="e">
        <f>AND(TOC!#REF!,"AAAAAF+997k=")</f>
        <v>#REF!</v>
      </c>
      <c r="GE5" t="e">
        <f>AND(TOC!#REF!,"AAAAAF+997o=")</f>
        <v>#REF!</v>
      </c>
      <c r="GF5" t="e">
        <f>AND(TOC!#REF!,"AAAAAF+997s=")</f>
        <v>#REF!</v>
      </c>
      <c r="GG5" t="e">
        <f>AND(TOC!#REF!,"AAAAAF+997w=")</f>
        <v>#REF!</v>
      </c>
      <c r="GH5" t="e">
        <f>AND(TOC!#REF!,"AAAAAF+9970=")</f>
        <v>#REF!</v>
      </c>
      <c r="GI5" t="e">
        <f>AND(TOC!#REF!,"AAAAAF+9974=")</f>
        <v>#REF!</v>
      </c>
      <c r="GJ5" t="e">
        <f>AND(TOC!#REF!,"AAAAAF+9978=")</f>
        <v>#REF!</v>
      </c>
      <c r="GK5" t="e">
        <f>AND(TOC!#REF!,"AAAAAF+998A=")</f>
        <v>#REF!</v>
      </c>
      <c r="GL5" t="e">
        <f>AND(TOC!#REF!,"AAAAAF+998E=")</f>
        <v>#REF!</v>
      </c>
      <c r="GM5" t="e">
        <f>AND(TOC!#REF!,"AAAAAF+998I=")</f>
        <v>#REF!</v>
      </c>
      <c r="GN5" t="e">
        <f>AND(TOC!#REF!,"AAAAAF+998M=")</f>
        <v>#REF!</v>
      </c>
      <c r="GO5" t="e">
        <f>AND(TOC!#REF!,"AAAAAF+998Q=")</f>
        <v>#REF!</v>
      </c>
      <c r="GP5" t="e">
        <f>IF(TOC!#REF!,"AAAAAF+998U=",0)</f>
        <v>#REF!</v>
      </c>
      <c r="GQ5" t="e">
        <f>AND(TOC!#REF!,"AAAAAF+998Y=")</f>
        <v>#REF!</v>
      </c>
      <c r="GR5" t="e">
        <f>AND(TOC!#REF!,"AAAAAF+998c=")</f>
        <v>#REF!</v>
      </c>
      <c r="GS5" t="e">
        <f>AND(TOC!#REF!,"AAAAAF+998g=")</f>
        <v>#REF!</v>
      </c>
      <c r="GT5" t="e">
        <f>AND(TOC!#REF!,"AAAAAF+998k=")</f>
        <v>#REF!</v>
      </c>
      <c r="GU5" t="e">
        <f>AND(TOC!#REF!,"AAAAAF+998o=")</f>
        <v>#REF!</v>
      </c>
      <c r="GV5" t="e">
        <f>AND(TOC!#REF!,"AAAAAF+998s=")</f>
        <v>#REF!</v>
      </c>
      <c r="GW5" t="e">
        <f>AND(TOC!#REF!,"AAAAAF+998w=")</f>
        <v>#REF!</v>
      </c>
      <c r="GX5" t="e">
        <f>AND(TOC!#REF!,"AAAAAF+9980=")</f>
        <v>#REF!</v>
      </c>
      <c r="GY5" t="e">
        <f>AND(TOC!#REF!,"AAAAAF+9984=")</f>
        <v>#REF!</v>
      </c>
      <c r="GZ5" t="e">
        <f>AND(TOC!#REF!,"AAAAAF+9988=")</f>
        <v>#REF!</v>
      </c>
      <c r="HA5" t="e">
        <f>AND(TOC!#REF!,"AAAAAF+999A=")</f>
        <v>#REF!</v>
      </c>
      <c r="HB5" t="e">
        <f>AND(TOC!#REF!,"AAAAAF+999E=")</f>
        <v>#REF!</v>
      </c>
      <c r="HC5" t="e">
        <f>AND(TOC!#REF!,"AAAAAF+999I=")</f>
        <v>#REF!</v>
      </c>
      <c r="HD5" t="e">
        <f>AND(TOC!#REF!,"AAAAAF+999M=")</f>
        <v>#REF!</v>
      </c>
      <c r="HE5" t="e">
        <f>AND(TOC!#REF!,"AAAAAF+999Q=")</f>
        <v>#REF!</v>
      </c>
      <c r="HF5" t="e">
        <f>AND(TOC!#REF!,"AAAAAF+999U=")</f>
        <v>#REF!</v>
      </c>
      <c r="HG5" t="e">
        <f>AND(TOC!#REF!,"AAAAAF+999Y=")</f>
        <v>#REF!</v>
      </c>
      <c r="HH5" t="e">
        <f>AND(TOC!#REF!,"AAAAAF+999c=")</f>
        <v>#REF!</v>
      </c>
      <c r="HI5" t="e">
        <f>AND(TOC!#REF!,"AAAAAF+999g=")</f>
        <v>#REF!</v>
      </c>
      <c r="HJ5" t="e">
        <f>AND(TOC!#REF!,"AAAAAF+999k=")</f>
        <v>#REF!</v>
      </c>
      <c r="HK5" t="e">
        <f>AND(TOC!#REF!,"AAAAAF+999o=")</f>
        <v>#REF!</v>
      </c>
      <c r="HL5" t="e">
        <f>AND(TOC!#REF!,"AAAAAF+999s=")</f>
        <v>#REF!</v>
      </c>
      <c r="HM5" t="e">
        <f>AND(TOC!#REF!,"AAAAAF+999w=")</f>
        <v>#REF!</v>
      </c>
      <c r="HN5" t="e">
        <f>AND(TOC!#REF!,"AAAAAF+9990=")</f>
        <v>#REF!</v>
      </c>
      <c r="HO5" t="e">
        <f>AND(TOC!#REF!,"AAAAAF+9994=")</f>
        <v>#REF!</v>
      </c>
      <c r="HP5" t="e">
        <f>AND(TOC!#REF!,"AAAAAF+9998=")</f>
        <v>#REF!</v>
      </c>
      <c r="HQ5" t="e">
        <f>AND(TOC!#REF!,"AAAAAF+99+A=")</f>
        <v>#REF!</v>
      </c>
      <c r="HR5" t="e">
        <f>AND(TOC!#REF!,"AAAAAF+99+E=")</f>
        <v>#REF!</v>
      </c>
      <c r="HS5" t="e">
        <f>AND(TOC!#REF!,"AAAAAF+99+I=")</f>
        <v>#REF!</v>
      </c>
      <c r="HT5" t="e">
        <f>AND(TOC!#REF!,"AAAAAF+99+M=")</f>
        <v>#REF!</v>
      </c>
      <c r="HU5" t="e">
        <f>AND(TOC!#REF!,"AAAAAF+99+Q=")</f>
        <v>#REF!</v>
      </c>
      <c r="HV5" t="e">
        <f>AND(TOC!#REF!,"AAAAAF+99+U=")</f>
        <v>#REF!</v>
      </c>
      <c r="HW5" t="e">
        <f>AND(TOC!#REF!,"AAAAAF+99+Y=")</f>
        <v>#REF!</v>
      </c>
      <c r="HX5" t="e">
        <f>AND(TOC!#REF!,"AAAAAF+99+c=")</f>
        <v>#REF!</v>
      </c>
      <c r="HY5" t="e">
        <f>AND(TOC!#REF!,"AAAAAF+99+g=")</f>
        <v>#REF!</v>
      </c>
      <c r="HZ5" t="e">
        <f>AND(TOC!#REF!,"AAAAAF+99+k=")</f>
        <v>#REF!</v>
      </c>
      <c r="IA5" t="e">
        <f>IF(TOC!#REF!,"AAAAAF+99+o=",0)</f>
        <v>#REF!</v>
      </c>
      <c r="IB5" t="e">
        <f>AND(TOC!#REF!,"AAAAAF+99+s=")</f>
        <v>#REF!</v>
      </c>
      <c r="IC5" t="e">
        <f>AND(TOC!#REF!,"AAAAAF+99+w=")</f>
        <v>#REF!</v>
      </c>
      <c r="ID5" t="e">
        <f>AND(TOC!#REF!,"AAAAAF+99+0=")</f>
        <v>#REF!</v>
      </c>
      <c r="IE5" t="e">
        <f>AND(TOC!#REF!,"AAAAAF+99+4=")</f>
        <v>#REF!</v>
      </c>
      <c r="IF5" t="e">
        <f>AND(TOC!#REF!,"AAAAAF+99+8=")</f>
        <v>#REF!</v>
      </c>
      <c r="IG5" t="e">
        <f>AND(TOC!#REF!,"AAAAAF+99/A=")</f>
        <v>#REF!</v>
      </c>
      <c r="IH5" t="e">
        <f>AND(TOC!#REF!,"AAAAAF+99/E=")</f>
        <v>#REF!</v>
      </c>
      <c r="II5" t="e">
        <f>AND(TOC!#REF!,"AAAAAF+99/I=")</f>
        <v>#REF!</v>
      </c>
      <c r="IJ5" t="e">
        <f>AND(TOC!#REF!,"AAAAAF+99/M=")</f>
        <v>#REF!</v>
      </c>
      <c r="IK5" t="e">
        <f>AND(TOC!#REF!,"AAAAAF+99/Q=")</f>
        <v>#REF!</v>
      </c>
      <c r="IL5" t="e">
        <f>AND(TOC!#REF!,"AAAAAF+99/U=")</f>
        <v>#REF!</v>
      </c>
      <c r="IM5" t="e">
        <f>AND(TOC!#REF!,"AAAAAF+99/Y=")</f>
        <v>#REF!</v>
      </c>
      <c r="IN5" t="e">
        <f>AND(TOC!#REF!,"AAAAAF+99/c=")</f>
        <v>#REF!</v>
      </c>
      <c r="IO5" t="e">
        <f>AND(TOC!#REF!,"AAAAAF+99/g=")</f>
        <v>#REF!</v>
      </c>
      <c r="IP5" t="e">
        <f>AND(TOC!#REF!,"AAAAAF+99/k=")</f>
        <v>#REF!</v>
      </c>
      <c r="IQ5" t="e">
        <f>AND(TOC!#REF!,"AAAAAF+99/o=")</f>
        <v>#REF!</v>
      </c>
      <c r="IR5" t="e">
        <f>AND(TOC!#REF!,"AAAAAF+99/s=")</f>
        <v>#REF!</v>
      </c>
      <c r="IS5" t="e">
        <f>AND(TOC!#REF!,"AAAAAF+99/w=")</f>
        <v>#REF!</v>
      </c>
      <c r="IT5" t="e">
        <f>AND(TOC!#REF!,"AAAAAF+99/0=")</f>
        <v>#REF!</v>
      </c>
      <c r="IU5" t="e">
        <f>AND(TOC!#REF!,"AAAAAF+99/4=")</f>
        <v>#REF!</v>
      </c>
      <c r="IV5" t="e">
        <f>AND(TOC!#REF!,"AAAAAF+99/8=")</f>
        <v>#REF!</v>
      </c>
    </row>
    <row r="6" spans="1:256" x14ac:dyDescent="0.2">
      <c r="A6" t="e">
        <f>AND(TOC!#REF!,"AAAAAH/7/wA=")</f>
        <v>#REF!</v>
      </c>
      <c r="B6" t="e">
        <f>AND(TOC!#REF!,"AAAAAH/7/wE=")</f>
        <v>#REF!</v>
      </c>
      <c r="C6" t="e">
        <f>AND(TOC!#REF!,"AAAAAH/7/wI=")</f>
        <v>#REF!</v>
      </c>
      <c r="D6" t="e">
        <f>AND(TOC!#REF!,"AAAAAH/7/wM=")</f>
        <v>#REF!</v>
      </c>
      <c r="E6" t="e">
        <f>AND(TOC!#REF!,"AAAAAH/7/wQ=")</f>
        <v>#REF!</v>
      </c>
      <c r="F6" t="e">
        <f>AND(TOC!#REF!,"AAAAAH/7/wU=")</f>
        <v>#REF!</v>
      </c>
      <c r="G6" t="e">
        <f>AND(TOC!#REF!,"AAAAAH/7/wY=")</f>
        <v>#REF!</v>
      </c>
      <c r="H6" t="e">
        <f>AND(TOC!#REF!,"AAAAAH/7/wc=")</f>
        <v>#REF!</v>
      </c>
      <c r="I6" t="e">
        <f>AND(TOC!#REF!,"AAAAAH/7/wg=")</f>
        <v>#REF!</v>
      </c>
      <c r="J6" t="e">
        <f>AND(TOC!#REF!,"AAAAAH/7/wk=")</f>
        <v>#REF!</v>
      </c>
      <c r="K6" t="e">
        <f>AND(TOC!#REF!,"AAAAAH/7/wo=")</f>
        <v>#REF!</v>
      </c>
      <c r="L6" t="e">
        <f>AND(TOC!#REF!,"AAAAAH/7/ws=")</f>
        <v>#REF!</v>
      </c>
      <c r="M6" t="e">
        <f>AND(TOC!#REF!,"AAAAAH/7/ww=")</f>
        <v>#REF!</v>
      </c>
      <c r="N6" t="e">
        <f>AND(TOC!#REF!,"AAAAAH/7/w0=")</f>
        <v>#REF!</v>
      </c>
      <c r="O6" t="e">
        <f>AND(TOC!#REF!,"AAAAAH/7/w4=")</f>
        <v>#REF!</v>
      </c>
      <c r="P6" t="e">
        <f>IF(TOC!#REF!,"AAAAAH/7/w8=",0)</f>
        <v>#REF!</v>
      </c>
      <c r="Q6" t="e">
        <f>AND(TOC!#REF!,"AAAAAH/7/xA=")</f>
        <v>#REF!</v>
      </c>
      <c r="R6" t="e">
        <f>AND(TOC!#REF!,"AAAAAH/7/xE=")</f>
        <v>#REF!</v>
      </c>
      <c r="S6" t="e">
        <f>AND(TOC!#REF!,"AAAAAH/7/xI=")</f>
        <v>#REF!</v>
      </c>
      <c r="T6" t="e">
        <f>AND(TOC!#REF!,"AAAAAH/7/xM=")</f>
        <v>#REF!</v>
      </c>
      <c r="U6" t="e">
        <f>AND(TOC!#REF!,"AAAAAH/7/xQ=")</f>
        <v>#REF!</v>
      </c>
      <c r="V6" t="e">
        <f>AND(TOC!#REF!,"AAAAAH/7/xU=")</f>
        <v>#REF!</v>
      </c>
      <c r="W6" t="e">
        <f>AND(TOC!#REF!,"AAAAAH/7/xY=")</f>
        <v>#REF!</v>
      </c>
      <c r="X6" t="e">
        <f>AND(TOC!#REF!,"AAAAAH/7/xc=")</f>
        <v>#REF!</v>
      </c>
      <c r="Y6" t="e">
        <f>AND(TOC!#REF!,"AAAAAH/7/xg=")</f>
        <v>#REF!</v>
      </c>
      <c r="Z6" t="e">
        <f>AND(TOC!#REF!,"AAAAAH/7/xk=")</f>
        <v>#REF!</v>
      </c>
      <c r="AA6" t="e">
        <f>AND(TOC!#REF!,"AAAAAH/7/xo=")</f>
        <v>#REF!</v>
      </c>
      <c r="AB6" t="e">
        <f>AND(TOC!#REF!,"AAAAAH/7/xs=")</f>
        <v>#REF!</v>
      </c>
      <c r="AC6" t="e">
        <f>AND(TOC!#REF!,"AAAAAH/7/xw=")</f>
        <v>#REF!</v>
      </c>
      <c r="AD6" t="e">
        <f>AND(TOC!#REF!,"AAAAAH/7/x0=")</f>
        <v>#REF!</v>
      </c>
      <c r="AE6" t="e">
        <f>AND(TOC!#REF!,"AAAAAH/7/x4=")</f>
        <v>#REF!</v>
      </c>
      <c r="AF6" t="e">
        <f>AND(TOC!#REF!,"AAAAAH/7/x8=")</f>
        <v>#REF!</v>
      </c>
      <c r="AG6" t="e">
        <f>AND(TOC!#REF!,"AAAAAH/7/yA=")</f>
        <v>#REF!</v>
      </c>
      <c r="AH6" t="e">
        <f>AND(TOC!#REF!,"AAAAAH/7/yE=")</f>
        <v>#REF!</v>
      </c>
      <c r="AI6" t="e">
        <f>AND(TOC!#REF!,"AAAAAH/7/yI=")</f>
        <v>#REF!</v>
      </c>
      <c r="AJ6" t="e">
        <f>AND(TOC!#REF!,"AAAAAH/7/yM=")</f>
        <v>#REF!</v>
      </c>
      <c r="AK6" t="e">
        <f>AND(TOC!#REF!,"AAAAAH/7/yQ=")</f>
        <v>#REF!</v>
      </c>
      <c r="AL6" t="e">
        <f>AND(TOC!#REF!,"AAAAAH/7/yU=")</f>
        <v>#REF!</v>
      </c>
      <c r="AM6" t="e">
        <f>AND(TOC!#REF!,"AAAAAH/7/yY=")</f>
        <v>#REF!</v>
      </c>
      <c r="AN6" t="e">
        <f>AND(TOC!#REF!,"AAAAAH/7/yc=")</f>
        <v>#REF!</v>
      </c>
      <c r="AO6" t="e">
        <f>AND(TOC!#REF!,"AAAAAH/7/yg=")</f>
        <v>#REF!</v>
      </c>
      <c r="AP6" t="e">
        <f>AND(TOC!#REF!,"AAAAAH/7/yk=")</f>
        <v>#REF!</v>
      </c>
      <c r="AQ6" t="e">
        <f>AND(TOC!#REF!,"AAAAAH/7/yo=")</f>
        <v>#REF!</v>
      </c>
      <c r="AR6" t="e">
        <f>AND(TOC!#REF!,"AAAAAH/7/ys=")</f>
        <v>#REF!</v>
      </c>
      <c r="AS6" t="e">
        <f>AND(TOC!#REF!,"AAAAAH/7/yw=")</f>
        <v>#REF!</v>
      </c>
      <c r="AT6" t="e">
        <f>AND(TOC!#REF!,"AAAAAH/7/y0=")</f>
        <v>#REF!</v>
      </c>
      <c r="AU6" t="e">
        <f>AND(TOC!#REF!,"AAAAAH/7/y4=")</f>
        <v>#REF!</v>
      </c>
      <c r="AV6" t="e">
        <f>AND(TOC!#REF!,"AAAAAH/7/y8=")</f>
        <v>#REF!</v>
      </c>
      <c r="AW6" t="e">
        <f>AND(TOC!#REF!,"AAAAAH/7/zA=")</f>
        <v>#REF!</v>
      </c>
      <c r="AX6" t="e">
        <f>AND(TOC!#REF!,"AAAAAH/7/zE=")</f>
        <v>#REF!</v>
      </c>
      <c r="AY6" t="e">
        <f>AND(TOC!#REF!,"AAAAAH/7/zI=")</f>
        <v>#REF!</v>
      </c>
      <c r="AZ6" t="e">
        <f>AND(TOC!#REF!,"AAAAAH/7/zM=")</f>
        <v>#REF!</v>
      </c>
      <c r="BA6" t="e">
        <f>IF(TOC!#REF!,"AAAAAH/7/zQ=",0)</f>
        <v>#REF!</v>
      </c>
      <c r="BB6" t="e">
        <f>AND(TOC!#REF!,"AAAAAH/7/zU=")</f>
        <v>#REF!</v>
      </c>
      <c r="BC6" t="e">
        <f>AND(TOC!#REF!,"AAAAAH/7/zY=")</f>
        <v>#REF!</v>
      </c>
      <c r="BD6" t="e">
        <f>AND(TOC!#REF!,"AAAAAH/7/zc=")</f>
        <v>#REF!</v>
      </c>
      <c r="BE6" t="e">
        <f>AND(TOC!#REF!,"AAAAAH/7/zg=")</f>
        <v>#REF!</v>
      </c>
      <c r="BF6" t="e">
        <f>AND(TOC!#REF!,"AAAAAH/7/zk=")</f>
        <v>#REF!</v>
      </c>
      <c r="BG6" t="e">
        <f>AND(TOC!#REF!,"AAAAAH/7/zo=")</f>
        <v>#REF!</v>
      </c>
      <c r="BH6" t="e">
        <f>AND(TOC!#REF!,"AAAAAH/7/zs=")</f>
        <v>#REF!</v>
      </c>
      <c r="BI6" t="e">
        <f>AND(TOC!#REF!,"AAAAAH/7/zw=")</f>
        <v>#REF!</v>
      </c>
      <c r="BJ6" t="e">
        <f>AND(TOC!#REF!,"AAAAAH/7/z0=")</f>
        <v>#REF!</v>
      </c>
      <c r="BK6" t="e">
        <f>AND(TOC!#REF!,"AAAAAH/7/z4=")</f>
        <v>#REF!</v>
      </c>
      <c r="BL6" t="e">
        <f>AND(TOC!#REF!,"AAAAAH/7/z8=")</f>
        <v>#REF!</v>
      </c>
      <c r="BM6" t="e">
        <f>AND(TOC!#REF!,"AAAAAH/7/0A=")</f>
        <v>#REF!</v>
      </c>
      <c r="BN6" t="e">
        <f>AND(TOC!#REF!,"AAAAAH/7/0E=")</f>
        <v>#REF!</v>
      </c>
      <c r="BO6" t="e">
        <f>AND(TOC!#REF!,"AAAAAH/7/0I=")</f>
        <v>#REF!</v>
      </c>
      <c r="BP6" t="e">
        <f>AND(TOC!#REF!,"AAAAAH/7/0M=")</f>
        <v>#REF!</v>
      </c>
      <c r="BQ6" t="e">
        <f>AND(TOC!#REF!,"AAAAAH/7/0Q=")</f>
        <v>#REF!</v>
      </c>
      <c r="BR6" t="e">
        <f>AND(TOC!#REF!,"AAAAAH/7/0U=")</f>
        <v>#REF!</v>
      </c>
      <c r="BS6" t="e">
        <f>AND(TOC!#REF!,"AAAAAH/7/0Y=")</f>
        <v>#REF!</v>
      </c>
      <c r="BT6" t="e">
        <f>AND(TOC!#REF!,"AAAAAH/7/0c=")</f>
        <v>#REF!</v>
      </c>
      <c r="BU6" t="e">
        <f>AND(TOC!#REF!,"AAAAAH/7/0g=")</f>
        <v>#REF!</v>
      </c>
      <c r="BV6" t="e">
        <f>AND(TOC!#REF!,"AAAAAH/7/0k=")</f>
        <v>#REF!</v>
      </c>
      <c r="BW6" t="e">
        <f>AND(TOC!#REF!,"AAAAAH/7/0o=")</f>
        <v>#REF!</v>
      </c>
      <c r="BX6" t="e">
        <f>AND(TOC!#REF!,"AAAAAH/7/0s=")</f>
        <v>#REF!</v>
      </c>
      <c r="BY6" t="e">
        <f>AND(TOC!#REF!,"AAAAAH/7/0w=")</f>
        <v>#REF!</v>
      </c>
      <c r="BZ6" t="e">
        <f>AND(TOC!#REF!,"AAAAAH/7/00=")</f>
        <v>#REF!</v>
      </c>
      <c r="CA6" t="e">
        <f>AND(TOC!#REF!,"AAAAAH/7/04=")</f>
        <v>#REF!</v>
      </c>
      <c r="CB6" t="e">
        <f>AND(TOC!#REF!,"AAAAAH/7/08=")</f>
        <v>#REF!</v>
      </c>
      <c r="CC6" t="e">
        <f>AND(TOC!#REF!,"AAAAAH/7/1A=")</f>
        <v>#REF!</v>
      </c>
      <c r="CD6" t="e">
        <f>AND(TOC!#REF!,"AAAAAH/7/1E=")</f>
        <v>#REF!</v>
      </c>
      <c r="CE6" t="e">
        <f>AND(TOC!#REF!,"AAAAAH/7/1I=")</f>
        <v>#REF!</v>
      </c>
      <c r="CF6" t="e">
        <f>AND(TOC!#REF!,"AAAAAH/7/1M=")</f>
        <v>#REF!</v>
      </c>
      <c r="CG6" t="e">
        <f>AND(TOC!#REF!,"AAAAAH/7/1Q=")</f>
        <v>#REF!</v>
      </c>
      <c r="CH6" t="e">
        <f>AND(TOC!#REF!,"AAAAAH/7/1U=")</f>
        <v>#REF!</v>
      </c>
      <c r="CI6" t="e">
        <f>AND(TOC!#REF!,"AAAAAH/7/1Y=")</f>
        <v>#REF!</v>
      </c>
      <c r="CJ6" t="e">
        <f>AND(TOC!#REF!,"AAAAAH/7/1c=")</f>
        <v>#REF!</v>
      </c>
      <c r="CK6" t="e">
        <f>AND(TOC!#REF!,"AAAAAH/7/1g=")</f>
        <v>#REF!</v>
      </c>
      <c r="CL6" t="e">
        <f>IF(TOC!#REF!,"AAAAAH/7/1k=",0)</f>
        <v>#REF!</v>
      </c>
      <c r="CM6" t="e">
        <f>AND(TOC!#REF!,"AAAAAH/7/1o=")</f>
        <v>#REF!</v>
      </c>
      <c r="CN6" t="e">
        <f>AND(TOC!#REF!,"AAAAAH/7/1s=")</f>
        <v>#REF!</v>
      </c>
      <c r="CO6" t="e">
        <f>AND(TOC!#REF!,"AAAAAH/7/1w=")</f>
        <v>#REF!</v>
      </c>
      <c r="CP6" t="e">
        <f>AND(TOC!#REF!,"AAAAAH/7/10=")</f>
        <v>#REF!</v>
      </c>
      <c r="CQ6" t="e">
        <f>AND(TOC!#REF!,"AAAAAH/7/14=")</f>
        <v>#REF!</v>
      </c>
      <c r="CR6" t="e">
        <f>AND(TOC!#REF!,"AAAAAH/7/18=")</f>
        <v>#REF!</v>
      </c>
      <c r="CS6" t="e">
        <f>AND(TOC!#REF!,"AAAAAH/7/2A=")</f>
        <v>#REF!</v>
      </c>
      <c r="CT6" t="e">
        <f>AND(TOC!#REF!,"AAAAAH/7/2E=")</f>
        <v>#REF!</v>
      </c>
      <c r="CU6" t="e">
        <f>AND(TOC!#REF!,"AAAAAH/7/2I=")</f>
        <v>#REF!</v>
      </c>
      <c r="CV6" t="e">
        <f>AND(TOC!#REF!,"AAAAAH/7/2M=")</f>
        <v>#REF!</v>
      </c>
      <c r="CW6" t="e">
        <f>AND(TOC!#REF!,"AAAAAH/7/2Q=")</f>
        <v>#REF!</v>
      </c>
      <c r="CX6" t="e">
        <f>AND(TOC!#REF!,"AAAAAH/7/2U=")</f>
        <v>#REF!</v>
      </c>
      <c r="CY6" t="e">
        <f>AND(TOC!#REF!,"AAAAAH/7/2Y=")</f>
        <v>#REF!</v>
      </c>
      <c r="CZ6" t="e">
        <f>AND(TOC!#REF!,"AAAAAH/7/2c=")</f>
        <v>#REF!</v>
      </c>
      <c r="DA6" t="e">
        <f>AND(TOC!#REF!,"AAAAAH/7/2g=")</f>
        <v>#REF!</v>
      </c>
      <c r="DB6" t="e">
        <f>AND(TOC!#REF!,"AAAAAH/7/2k=")</f>
        <v>#REF!</v>
      </c>
      <c r="DC6" t="e">
        <f>AND(TOC!#REF!,"AAAAAH/7/2o=")</f>
        <v>#REF!</v>
      </c>
      <c r="DD6" t="e">
        <f>AND(TOC!#REF!,"AAAAAH/7/2s=")</f>
        <v>#REF!</v>
      </c>
      <c r="DE6" t="e">
        <f>AND(TOC!#REF!,"AAAAAH/7/2w=")</f>
        <v>#REF!</v>
      </c>
      <c r="DF6" t="e">
        <f>AND(TOC!#REF!,"AAAAAH/7/20=")</f>
        <v>#REF!</v>
      </c>
      <c r="DG6" t="e">
        <f>AND(TOC!#REF!,"AAAAAH/7/24=")</f>
        <v>#REF!</v>
      </c>
      <c r="DH6" t="e">
        <f>AND(TOC!#REF!,"AAAAAH/7/28=")</f>
        <v>#REF!</v>
      </c>
      <c r="DI6" t="e">
        <f>AND(TOC!#REF!,"AAAAAH/7/3A=")</f>
        <v>#REF!</v>
      </c>
      <c r="DJ6" t="e">
        <f>AND(TOC!#REF!,"AAAAAH/7/3E=")</f>
        <v>#REF!</v>
      </c>
      <c r="DK6" t="e">
        <f>AND(TOC!#REF!,"AAAAAH/7/3I=")</f>
        <v>#REF!</v>
      </c>
      <c r="DL6" t="e">
        <f>AND(TOC!#REF!,"AAAAAH/7/3M=")</f>
        <v>#REF!</v>
      </c>
      <c r="DM6" t="e">
        <f>AND(TOC!#REF!,"AAAAAH/7/3Q=")</f>
        <v>#REF!</v>
      </c>
      <c r="DN6" t="e">
        <f>AND(TOC!#REF!,"AAAAAH/7/3U=")</f>
        <v>#REF!</v>
      </c>
      <c r="DO6" t="e">
        <f>AND(TOC!#REF!,"AAAAAH/7/3Y=")</f>
        <v>#REF!</v>
      </c>
      <c r="DP6" t="e">
        <f>AND(TOC!#REF!,"AAAAAH/7/3c=")</f>
        <v>#REF!</v>
      </c>
      <c r="DQ6" t="e">
        <f>AND(TOC!#REF!,"AAAAAH/7/3g=")</f>
        <v>#REF!</v>
      </c>
      <c r="DR6" t="e">
        <f>AND(TOC!#REF!,"AAAAAH/7/3k=")</f>
        <v>#REF!</v>
      </c>
      <c r="DS6" t="e">
        <f>AND(TOC!#REF!,"AAAAAH/7/3o=")</f>
        <v>#REF!</v>
      </c>
      <c r="DT6" t="e">
        <f>AND(TOC!#REF!,"AAAAAH/7/3s=")</f>
        <v>#REF!</v>
      </c>
      <c r="DU6" t="e">
        <f>AND(TOC!#REF!,"AAAAAH/7/3w=")</f>
        <v>#REF!</v>
      </c>
      <c r="DV6" t="e">
        <f>AND(TOC!#REF!,"AAAAAH/7/30=")</f>
        <v>#REF!</v>
      </c>
      <c r="DW6" t="e">
        <f>IF(TOC!#REF!,"AAAAAH/7/34=",0)</f>
        <v>#REF!</v>
      </c>
      <c r="DX6" t="e">
        <f>AND(TOC!#REF!,"AAAAAH/7/38=")</f>
        <v>#REF!</v>
      </c>
      <c r="DY6" t="e">
        <f>AND(TOC!#REF!,"AAAAAH/7/4A=")</f>
        <v>#REF!</v>
      </c>
      <c r="DZ6" t="e">
        <f>AND(TOC!#REF!,"AAAAAH/7/4E=")</f>
        <v>#REF!</v>
      </c>
      <c r="EA6" t="e">
        <f>AND(TOC!#REF!,"AAAAAH/7/4I=")</f>
        <v>#REF!</v>
      </c>
      <c r="EB6" t="e">
        <f>AND(TOC!#REF!,"AAAAAH/7/4M=")</f>
        <v>#REF!</v>
      </c>
      <c r="EC6" t="e">
        <f>AND(TOC!#REF!,"AAAAAH/7/4Q=")</f>
        <v>#REF!</v>
      </c>
      <c r="ED6" t="e">
        <f>AND(TOC!#REF!,"AAAAAH/7/4U=")</f>
        <v>#REF!</v>
      </c>
      <c r="EE6" t="e">
        <f>AND(TOC!#REF!,"AAAAAH/7/4Y=")</f>
        <v>#REF!</v>
      </c>
      <c r="EF6" t="e">
        <f>AND(TOC!#REF!,"AAAAAH/7/4c=")</f>
        <v>#REF!</v>
      </c>
      <c r="EG6" t="e">
        <f>AND(TOC!#REF!,"AAAAAH/7/4g=")</f>
        <v>#REF!</v>
      </c>
      <c r="EH6" t="e">
        <f>AND(TOC!#REF!,"AAAAAH/7/4k=")</f>
        <v>#REF!</v>
      </c>
      <c r="EI6" t="e">
        <f>AND(TOC!#REF!,"AAAAAH/7/4o=")</f>
        <v>#REF!</v>
      </c>
      <c r="EJ6" t="e">
        <f>AND(TOC!#REF!,"AAAAAH/7/4s=")</f>
        <v>#REF!</v>
      </c>
      <c r="EK6" t="e">
        <f>AND(TOC!#REF!,"AAAAAH/7/4w=")</f>
        <v>#REF!</v>
      </c>
      <c r="EL6" t="e">
        <f>AND(TOC!#REF!,"AAAAAH/7/40=")</f>
        <v>#REF!</v>
      </c>
      <c r="EM6" t="e">
        <f>AND(TOC!#REF!,"AAAAAH/7/44=")</f>
        <v>#REF!</v>
      </c>
      <c r="EN6" t="e">
        <f>AND(TOC!#REF!,"AAAAAH/7/48=")</f>
        <v>#REF!</v>
      </c>
      <c r="EO6" t="e">
        <f>AND(TOC!#REF!,"AAAAAH/7/5A=")</f>
        <v>#REF!</v>
      </c>
      <c r="EP6" t="e">
        <f>AND(TOC!#REF!,"AAAAAH/7/5E=")</f>
        <v>#REF!</v>
      </c>
      <c r="EQ6" t="e">
        <f>AND(TOC!#REF!,"AAAAAH/7/5I=")</f>
        <v>#REF!</v>
      </c>
      <c r="ER6" t="e">
        <f>AND(TOC!#REF!,"AAAAAH/7/5M=")</f>
        <v>#REF!</v>
      </c>
      <c r="ES6" t="e">
        <f>AND(TOC!#REF!,"AAAAAH/7/5Q=")</f>
        <v>#REF!</v>
      </c>
      <c r="ET6" t="e">
        <f>AND(TOC!#REF!,"AAAAAH/7/5U=")</f>
        <v>#REF!</v>
      </c>
      <c r="EU6" t="e">
        <f>AND(TOC!#REF!,"AAAAAH/7/5Y=")</f>
        <v>#REF!</v>
      </c>
      <c r="EV6" t="e">
        <f>AND(TOC!#REF!,"AAAAAH/7/5c=")</f>
        <v>#REF!</v>
      </c>
      <c r="EW6" t="e">
        <f>AND(TOC!#REF!,"AAAAAH/7/5g=")</f>
        <v>#REF!</v>
      </c>
      <c r="EX6" t="e">
        <f>AND(TOC!#REF!,"AAAAAH/7/5k=")</f>
        <v>#REF!</v>
      </c>
      <c r="EY6" t="e">
        <f>AND(TOC!#REF!,"AAAAAH/7/5o=")</f>
        <v>#REF!</v>
      </c>
      <c r="EZ6" t="e">
        <f>AND(TOC!#REF!,"AAAAAH/7/5s=")</f>
        <v>#REF!</v>
      </c>
      <c r="FA6" t="e">
        <f>AND(TOC!#REF!,"AAAAAH/7/5w=")</f>
        <v>#REF!</v>
      </c>
      <c r="FB6" t="e">
        <f>AND(TOC!#REF!,"AAAAAH/7/50=")</f>
        <v>#REF!</v>
      </c>
      <c r="FC6" t="e">
        <f>AND(TOC!#REF!,"AAAAAH/7/54=")</f>
        <v>#REF!</v>
      </c>
      <c r="FD6" t="e">
        <f>AND(TOC!#REF!,"AAAAAH/7/58=")</f>
        <v>#REF!</v>
      </c>
      <c r="FE6" t="e">
        <f>AND(TOC!#REF!,"AAAAAH/7/6A=")</f>
        <v>#REF!</v>
      </c>
      <c r="FF6" t="e">
        <f>AND(TOC!#REF!,"AAAAAH/7/6E=")</f>
        <v>#REF!</v>
      </c>
      <c r="FG6" t="e">
        <f>AND(TOC!#REF!,"AAAAAH/7/6I=")</f>
        <v>#REF!</v>
      </c>
      <c r="FH6" t="e">
        <f>IF(TOC!#REF!,"AAAAAH/7/6M=",0)</f>
        <v>#REF!</v>
      </c>
      <c r="FI6" t="e">
        <f>AND(TOC!#REF!,"AAAAAH/7/6Q=")</f>
        <v>#REF!</v>
      </c>
      <c r="FJ6" t="e">
        <f>AND(TOC!#REF!,"AAAAAH/7/6U=")</f>
        <v>#REF!</v>
      </c>
      <c r="FK6" t="e">
        <f>AND(TOC!#REF!,"AAAAAH/7/6Y=")</f>
        <v>#REF!</v>
      </c>
      <c r="FL6" t="e">
        <f>AND(TOC!#REF!,"AAAAAH/7/6c=")</f>
        <v>#REF!</v>
      </c>
      <c r="FM6" t="e">
        <f>AND(TOC!#REF!,"AAAAAH/7/6g=")</f>
        <v>#REF!</v>
      </c>
      <c r="FN6" t="e">
        <f>AND(TOC!#REF!,"AAAAAH/7/6k=")</f>
        <v>#REF!</v>
      </c>
      <c r="FO6" t="e">
        <f>AND(TOC!#REF!,"AAAAAH/7/6o=")</f>
        <v>#REF!</v>
      </c>
      <c r="FP6" t="e">
        <f>AND(TOC!#REF!,"AAAAAH/7/6s=")</f>
        <v>#REF!</v>
      </c>
      <c r="FQ6" t="e">
        <f>AND(TOC!#REF!,"AAAAAH/7/6w=")</f>
        <v>#REF!</v>
      </c>
      <c r="FR6" t="e">
        <f>AND(TOC!#REF!,"AAAAAH/7/60=")</f>
        <v>#REF!</v>
      </c>
      <c r="FS6" t="e">
        <f>AND(TOC!#REF!,"AAAAAH/7/64=")</f>
        <v>#REF!</v>
      </c>
      <c r="FT6" t="e">
        <f>AND(TOC!#REF!,"AAAAAH/7/68=")</f>
        <v>#REF!</v>
      </c>
      <c r="FU6" t="e">
        <f>AND(TOC!#REF!,"AAAAAH/7/7A=")</f>
        <v>#REF!</v>
      </c>
      <c r="FV6" t="e">
        <f>AND(TOC!#REF!,"AAAAAH/7/7E=")</f>
        <v>#REF!</v>
      </c>
      <c r="FW6" t="e">
        <f>AND(TOC!#REF!,"AAAAAH/7/7I=")</f>
        <v>#REF!</v>
      </c>
      <c r="FX6" t="e">
        <f>AND(TOC!#REF!,"AAAAAH/7/7M=")</f>
        <v>#REF!</v>
      </c>
      <c r="FY6" t="e">
        <f>AND(TOC!#REF!,"AAAAAH/7/7Q=")</f>
        <v>#REF!</v>
      </c>
      <c r="FZ6" t="e">
        <f>AND(TOC!#REF!,"AAAAAH/7/7U=")</f>
        <v>#REF!</v>
      </c>
      <c r="GA6" t="e">
        <f>AND(TOC!#REF!,"AAAAAH/7/7Y=")</f>
        <v>#REF!</v>
      </c>
      <c r="GB6" t="e">
        <f>AND(TOC!#REF!,"AAAAAH/7/7c=")</f>
        <v>#REF!</v>
      </c>
      <c r="GC6" t="e">
        <f>AND(TOC!#REF!,"AAAAAH/7/7g=")</f>
        <v>#REF!</v>
      </c>
      <c r="GD6" t="e">
        <f>AND(TOC!#REF!,"AAAAAH/7/7k=")</f>
        <v>#REF!</v>
      </c>
      <c r="GE6" t="e">
        <f>AND(TOC!#REF!,"AAAAAH/7/7o=")</f>
        <v>#REF!</v>
      </c>
      <c r="GF6" t="e">
        <f>AND(TOC!#REF!,"AAAAAH/7/7s=")</f>
        <v>#REF!</v>
      </c>
      <c r="GG6" t="e">
        <f>AND(TOC!#REF!,"AAAAAH/7/7w=")</f>
        <v>#REF!</v>
      </c>
      <c r="GH6" t="e">
        <f>AND(TOC!#REF!,"AAAAAH/7/70=")</f>
        <v>#REF!</v>
      </c>
      <c r="GI6" t="e">
        <f>AND(TOC!#REF!,"AAAAAH/7/74=")</f>
        <v>#REF!</v>
      </c>
      <c r="GJ6" t="e">
        <f>AND(TOC!#REF!,"AAAAAH/7/78=")</f>
        <v>#REF!</v>
      </c>
      <c r="GK6" t="e">
        <f>AND(TOC!#REF!,"AAAAAH/7/8A=")</f>
        <v>#REF!</v>
      </c>
      <c r="GL6" t="e">
        <f>AND(TOC!#REF!,"AAAAAH/7/8E=")</f>
        <v>#REF!</v>
      </c>
      <c r="GM6" t="e">
        <f>AND(TOC!#REF!,"AAAAAH/7/8I=")</f>
        <v>#REF!</v>
      </c>
      <c r="GN6" t="e">
        <f>AND(TOC!#REF!,"AAAAAH/7/8M=")</f>
        <v>#REF!</v>
      </c>
      <c r="GO6" t="e">
        <f>AND(TOC!#REF!,"AAAAAH/7/8Q=")</f>
        <v>#REF!</v>
      </c>
      <c r="GP6" t="e">
        <f>AND(TOC!#REF!,"AAAAAH/7/8U=")</f>
        <v>#REF!</v>
      </c>
      <c r="GQ6" t="e">
        <f>AND(TOC!#REF!,"AAAAAH/7/8Y=")</f>
        <v>#REF!</v>
      </c>
      <c r="GR6" t="e">
        <f>AND(TOC!#REF!,"AAAAAH/7/8c=")</f>
        <v>#REF!</v>
      </c>
      <c r="GS6" t="e">
        <f>IF(TOC!#REF!,"AAAAAH/7/8g=",0)</f>
        <v>#REF!</v>
      </c>
      <c r="GT6" t="e">
        <f>AND(TOC!#REF!,"AAAAAH/7/8k=")</f>
        <v>#REF!</v>
      </c>
      <c r="GU6" t="e">
        <f>AND(TOC!#REF!,"AAAAAH/7/8o=")</f>
        <v>#REF!</v>
      </c>
      <c r="GV6" t="e">
        <f>AND(TOC!#REF!,"AAAAAH/7/8s=")</f>
        <v>#REF!</v>
      </c>
      <c r="GW6" t="e">
        <f>AND(TOC!#REF!,"AAAAAH/7/8w=")</f>
        <v>#REF!</v>
      </c>
      <c r="GX6" t="e">
        <f>AND(TOC!#REF!,"AAAAAH/7/80=")</f>
        <v>#REF!</v>
      </c>
      <c r="GY6" t="e">
        <f>AND(TOC!#REF!,"AAAAAH/7/84=")</f>
        <v>#REF!</v>
      </c>
      <c r="GZ6" t="e">
        <f>AND(TOC!#REF!,"AAAAAH/7/88=")</f>
        <v>#REF!</v>
      </c>
      <c r="HA6" t="e">
        <f>AND(TOC!#REF!,"AAAAAH/7/9A=")</f>
        <v>#REF!</v>
      </c>
      <c r="HB6" t="e">
        <f>AND(TOC!#REF!,"AAAAAH/7/9E=")</f>
        <v>#REF!</v>
      </c>
      <c r="HC6" t="e">
        <f>AND(TOC!#REF!,"AAAAAH/7/9I=")</f>
        <v>#REF!</v>
      </c>
      <c r="HD6" t="e">
        <f>AND(TOC!#REF!,"AAAAAH/7/9M=")</f>
        <v>#REF!</v>
      </c>
      <c r="HE6" t="e">
        <f>AND(TOC!#REF!,"AAAAAH/7/9Q=")</f>
        <v>#REF!</v>
      </c>
      <c r="HF6" t="e">
        <f>AND(TOC!#REF!,"AAAAAH/7/9U=")</f>
        <v>#REF!</v>
      </c>
      <c r="HG6" t="e">
        <f>AND(TOC!#REF!,"AAAAAH/7/9Y=")</f>
        <v>#REF!</v>
      </c>
      <c r="HH6" t="e">
        <f>AND(TOC!#REF!,"AAAAAH/7/9c=")</f>
        <v>#REF!</v>
      </c>
      <c r="HI6" t="e">
        <f>AND(TOC!#REF!,"AAAAAH/7/9g=")</f>
        <v>#REF!</v>
      </c>
      <c r="HJ6" t="e">
        <f>AND(TOC!#REF!,"AAAAAH/7/9k=")</f>
        <v>#REF!</v>
      </c>
      <c r="HK6" t="e">
        <f>AND(TOC!#REF!,"AAAAAH/7/9o=")</f>
        <v>#REF!</v>
      </c>
      <c r="HL6" t="e">
        <f>AND(TOC!#REF!,"AAAAAH/7/9s=")</f>
        <v>#REF!</v>
      </c>
      <c r="HM6" t="e">
        <f>AND(TOC!#REF!,"AAAAAH/7/9w=")</f>
        <v>#REF!</v>
      </c>
      <c r="HN6" t="e">
        <f>AND(TOC!#REF!,"AAAAAH/7/90=")</f>
        <v>#REF!</v>
      </c>
      <c r="HO6" t="e">
        <f>AND(TOC!#REF!,"AAAAAH/7/94=")</f>
        <v>#REF!</v>
      </c>
      <c r="HP6" t="e">
        <f>AND(TOC!#REF!,"AAAAAH/7/98=")</f>
        <v>#REF!</v>
      </c>
      <c r="HQ6" t="e">
        <f>AND(TOC!#REF!,"AAAAAH/7/+A=")</f>
        <v>#REF!</v>
      </c>
      <c r="HR6" t="e">
        <f>AND(TOC!#REF!,"AAAAAH/7/+E=")</f>
        <v>#REF!</v>
      </c>
      <c r="HS6" t="e">
        <f>AND(TOC!#REF!,"AAAAAH/7/+I=")</f>
        <v>#REF!</v>
      </c>
      <c r="HT6" t="e">
        <f>AND(TOC!#REF!,"AAAAAH/7/+M=")</f>
        <v>#REF!</v>
      </c>
      <c r="HU6" t="e">
        <f>AND(TOC!#REF!,"AAAAAH/7/+Q=")</f>
        <v>#REF!</v>
      </c>
      <c r="HV6" t="e">
        <f>AND(TOC!#REF!,"AAAAAH/7/+U=")</f>
        <v>#REF!</v>
      </c>
      <c r="HW6" t="e">
        <f>AND(TOC!#REF!,"AAAAAH/7/+Y=")</f>
        <v>#REF!</v>
      </c>
      <c r="HX6" t="e">
        <f>AND(TOC!#REF!,"AAAAAH/7/+c=")</f>
        <v>#REF!</v>
      </c>
      <c r="HY6" t="e">
        <f>AND(TOC!#REF!,"AAAAAH/7/+g=")</f>
        <v>#REF!</v>
      </c>
      <c r="HZ6" t="e">
        <f>AND(TOC!#REF!,"AAAAAH/7/+k=")</f>
        <v>#REF!</v>
      </c>
      <c r="IA6" t="e">
        <f>AND(TOC!#REF!,"AAAAAH/7/+o=")</f>
        <v>#REF!</v>
      </c>
      <c r="IB6" t="e">
        <f>AND(TOC!#REF!,"AAAAAH/7/+s=")</f>
        <v>#REF!</v>
      </c>
      <c r="IC6" t="e">
        <f>AND(TOC!#REF!,"AAAAAH/7/+w=")</f>
        <v>#REF!</v>
      </c>
      <c r="ID6" t="e">
        <f>IF(TOC!#REF!,"AAAAAH/7/+0=",0)</f>
        <v>#REF!</v>
      </c>
      <c r="IE6" t="e">
        <f>AND(TOC!#REF!,"AAAAAH/7/+4=")</f>
        <v>#REF!</v>
      </c>
      <c r="IF6" t="e">
        <f>AND(TOC!#REF!,"AAAAAH/7/+8=")</f>
        <v>#REF!</v>
      </c>
      <c r="IG6" t="e">
        <f>AND(TOC!#REF!,"AAAAAH/7//A=")</f>
        <v>#REF!</v>
      </c>
      <c r="IH6" t="e">
        <f>AND(TOC!#REF!,"AAAAAH/7//E=")</f>
        <v>#REF!</v>
      </c>
      <c r="II6" t="e">
        <f>AND(TOC!#REF!,"AAAAAH/7//I=")</f>
        <v>#REF!</v>
      </c>
      <c r="IJ6" t="e">
        <f>AND(TOC!#REF!,"AAAAAH/7//M=")</f>
        <v>#REF!</v>
      </c>
      <c r="IK6" t="e">
        <f>AND(TOC!#REF!,"AAAAAH/7//Q=")</f>
        <v>#REF!</v>
      </c>
      <c r="IL6" t="e">
        <f>AND(TOC!#REF!,"AAAAAH/7//U=")</f>
        <v>#REF!</v>
      </c>
      <c r="IM6" t="e">
        <f>AND(TOC!#REF!,"AAAAAH/7//Y=")</f>
        <v>#REF!</v>
      </c>
      <c r="IN6" t="e">
        <f>AND(TOC!#REF!,"AAAAAH/7//c=")</f>
        <v>#REF!</v>
      </c>
      <c r="IO6" t="e">
        <f>AND(TOC!#REF!,"AAAAAH/7//g=")</f>
        <v>#REF!</v>
      </c>
      <c r="IP6" t="e">
        <f>AND(TOC!#REF!,"AAAAAH/7//k=")</f>
        <v>#REF!</v>
      </c>
      <c r="IQ6" t="e">
        <f>AND(TOC!#REF!,"AAAAAH/7//o=")</f>
        <v>#REF!</v>
      </c>
      <c r="IR6" t="e">
        <f>AND(TOC!#REF!,"AAAAAH/7//s=")</f>
        <v>#REF!</v>
      </c>
      <c r="IS6" t="e">
        <f>AND(TOC!#REF!,"AAAAAH/7//w=")</f>
        <v>#REF!</v>
      </c>
      <c r="IT6" t="e">
        <f>AND(TOC!#REF!,"AAAAAH/7//0=")</f>
        <v>#REF!</v>
      </c>
      <c r="IU6" t="e">
        <f>AND(TOC!#REF!,"AAAAAH/7//4=")</f>
        <v>#REF!</v>
      </c>
      <c r="IV6" t="e">
        <f>AND(TOC!#REF!,"AAAAAH/7//8=")</f>
        <v>#REF!</v>
      </c>
    </row>
    <row r="7" spans="1:256" x14ac:dyDescent="0.2">
      <c r="A7" t="e">
        <f>AND(TOC!#REF!,"AAAAAHu+PwA=")</f>
        <v>#REF!</v>
      </c>
      <c r="B7" t="e">
        <f>AND(TOC!#REF!,"AAAAAHu+PwE=")</f>
        <v>#REF!</v>
      </c>
      <c r="C7" t="e">
        <f>AND(TOC!#REF!,"AAAAAHu+PwI=")</f>
        <v>#REF!</v>
      </c>
      <c r="D7" t="e">
        <f>AND(TOC!#REF!,"AAAAAHu+PwM=")</f>
        <v>#REF!</v>
      </c>
      <c r="E7" t="e">
        <f>AND(TOC!#REF!,"AAAAAHu+PwQ=")</f>
        <v>#REF!</v>
      </c>
      <c r="F7" t="e">
        <f>AND(TOC!#REF!,"AAAAAHu+PwU=")</f>
        <v>#REF!</v>
      </c>
      <c r="G7" t="e">
        <f>AND(TOC!#REF!,"AAAAAHu+PwY=")</f>
        <v>#REF!</v>
      </c>
      <c r="H7" t="e">
        <f>AND(TOC!#REF!,"AAAAAHu+Pwc=")</f>
        <v>#REF!</v>
      </c>
      <c r="I7" t="e">
        <f>AND(TOC!#REF!,"AAAAAHu+Pwg=")</f>
        <v>#REF!</v>
      </c>
      <c r="J7" t="e">
        <f>AND(TOC!#REF!,"AAAAAHu+Pwk=")</f>
        <v>#REF!</v>
      </c>
      <c r="K7" t="e">
        <f>AND(TOC!#REF!,"AAAAAHu+Pwo=")</f>
        <v>#REF!</v>
      </c>
      <c r="L7" t="e">
        <f>AND(TOC!#REF!,"AAAAAHu+Pws=")</f>
        <v>#REF!</v>
      </c>
      <c r="M7" t="e">
        <f>AND(TOC!#REF!,"AAAAAHu+Pww=")</f>
        <v>#REF!</v>
      </c>
      <c r="N7" t="e">
        <f>AND(TOC!#REF!,"AAAAAHu+Pw0=")</f>
        <v>#REF!</v>
      </c>
      <c r="O7" t="e">
        <f>AND(TOC!#REF!,"AAAAAHu+Pw4=")</f>
        <v>#REF!</v>
      </c>
      <c r="P7" t="e">
        <f>AND(TOC!#REF!,"AAAAAHu+Pw8=")</f>
        <v>#REF!</v>
      </c>
      <c r="Q7" t="e">
        <f>AND(TOC!#REF!,"AAAAAHu+PxA=")</f>
        <v>#REF!</v>
      </c>
      <c r="R7" t="e">
        <f>AND(TOC!#REF!,"AAAAAHu+PxE=")</f>
        <v>#REF!</v>
      </c>
      <c r="S7" t="e">
        <f>IF(TOC!#REF!,"AAAAAHu+PxI=",0)</f>
        <v>#REF!</v>
      </c>
      <c r="T7" t="e">
        <f>AND(TOC!#REF!,"AAAAAHu+PxM=")</f>
        <v>#REF!</v>
      </c>
      <c r="U7" t="e">
        <f>AND(TOC!#REF!,"AAAAAHu+PxQ=")</f>
        <v>#REF!</v>
      </c>
      <c r="V7" t="e">
        <f>AND(TOC!#REF!,"AAAAAHu+PxU=")</f>
        <v>#REF!</v>
      </c>
      <c r="W7" t="e">
        <f>AND(TOC!#REF!,"AAAAAHu+PxY=")</f>
        <v>#REF!</v>
      </c>
      <c r="X7" t="e">
        <f>AND(TOC!#REF!,"AAAAAHu+Pxc=")</f>
        <v>#REF!</v>
      </c>
      <c r="Y7" t="e">
        <f>AND(TOC!#REF!,"AAAAAHu+Pxg=")</f>
        <v>#REF!</v>
      </c>
      <c r="Z7" t="e">
        <f>AND(TOC!#REF!,"AAAAAHu+Pxk=")</f>
        <v>#REF!</v>
      </c>
      <c r="AA7" t="e">
        <f>AND(TOC!#REF!,"AAAAAHu+Pxo=")</f>
        <v>#REF!</v>
      </c>
      <c r="AB7" t="e">
        <f>AND(TOC!#REF!,"AAAAAHu+Pxs=")</f>
        <v>#REF!</v>
      </c>
      <c r="AC7" t="e">
        <f>AND(TOC!#REF!,"AAAAAHu+Pxw=")</f>
        <v>#REF!</v>
      </c>
      <c r="AD7" t="e">
        <f>AND(TOC!#REF!,"AAAAAHu+Px0=")</f>
        <v>#REF!</v>
      </c>
      <c r="AE7" t="e">
        <f>AND(TOC!#REF!,"AAAAAHu+Px4=")</f>
        <v>#REF!</v>
      </c>
      <c r="AF7" t="e">
        <f>AND(TOC!#REF!,"AAAAAHu+Px8=")</f>
        <v>#REF!</v>
      </c>
      <c r="AG7" t="e">
        <f>AND(TOC!#REF!,"AAAAAHu+PyA=")</f>
        <v>#REF!</v>
      </c>
      <c r="AH7" t="e">
        <f>AND(TOC!#REF!,"AAAAAHu+PyE=")</f>
        <v>#REF!</v>
      </c>
      <c r="AI7" t="e">
        <f>AND(TOC!#REF!,"AAAAAHu+PyI=")</f>
        <v>#REF!</v>
      </c>
      <c r="AJ7" t="e">
        <f>AND(TOC!#REF!,"AAAAAHu+PyM=")</f>
        <v>#REF!</v>
      </c>
      <c r="AK7" t="e">
        <f>AND(TOC!#REF!,"AAAAAHu+PyQ=")</f>
        <v>#REF!</v>
      </c>
      <c r="AL7" t="e">
        <f>AND(TOC!#REF!,"AAAAAHu+PyU=")</f>
        <v>#REF!</v>
      </c>
      <c r="AM7" t="e">
        <f>AND(TOC!#REF!,"AAAAAHu+PyY=")</f>
        <v>#REF!</v>
      </c>
      <c r="AN7" t="e">
        <f>AND(TOC!#REF!,"AAAAAHu+Pyc=")</f>
        <v>#REF!</v>
      </c>
      <c r="AO7" t="e">
        <f>AND(TOC!#REF!,"AAAAAHu+Pyg=")</f>
        <v>#REF!</v>
      </c>
      <c r="AP7" t="e">
        <f>AND(TOC!#REF!,"AAAAAHu+Pyk=")</f>
        <v>#REF!</v>
      </c>
      <c r="AQ7" t="e">
        <f>AND(TOC!#REF!,"AAAAAHu+Pyo=")</f>
        <v>#REF!</v>
      </c>
      <c r="AR7" t="e">
        <f>AND(TOC!#REF!,"AAAAAHu+Pys=")</f>
        <v>#REF!</v>
      </c>
      <c r="AS7" t="e">
        <f>AND(TOC!#REF!,"AAAAAHu+Pyw=")</f>
        <v>#REF!</v>
      </c>
      <c r="AT7" t="e">
        <f>AND(TOC!#REF!,"AAAAAHu+Py0=")</f>
        <v>#REF!</v>
      </c>
      <c r="AU7" t="e">
        <f>AND(TOC!#REF!,"AAAAAHu+Py4=")</f>
        <v>#REF!</v>
      </c>
      <c r="AV7" t="e">
        <f>AND(TOC!#REF!,"AAAAAHu+Py8=")</f>
        <v>#REF!</v>
      </c>
      <c r="AW7" t="e">
        <f>AND(TOC!#REF!,"AAAAAHu+PzA=")</f>
        <v>#REF!</v>
      </c>
      <c r="AX7" t="e">
        <f>AND(TOC!#REF!,"AAAAAHu+PzE=")</f>
        <v>#REF!</v>
      </c>
      <c r="AY7" t="e">
        <f>AND(TOC!#REF!,"AAAAAHu+PzI=")</f>
        <v>#REF!</v>
      </c>
      <c r="AZ7" t="e">
        <f>AND(TOC!#REF!,"AAAAAHu+PzM=")</f>
        <v>#REF!</v>
      </c>
      <c r="BA7" t="e">
        <f>AND(TOC!#REF!,"AAAAAHu+PzQ=")</f>
        <v>#REF!</v>
      </c>
      <c r="BB7" t="e">
        <f>AND(TOC!#REF!,"AAAAAHu+PzU=")</f>
        <v>#REF!</v>
      </c>
      <c r="BC7" t="e">
        <f>AND(TOC!#REF!,"AAAAAHu+PzY=")</f>
        <v>#REF!</v>
      </c>
      <c r="BD7" t="e">
        <f>IF(TOC!#REF!,"AAAAAHu+Pzc=",0)</f>
        <v>#REF!</v>
      </c>
      <c r="BE7" t="e">
        <f>AND(TOC!#REF!,"AAAAAHu+Pzg=")</f>
        <v>#REF!</v>
      </c>
      <c r="BF7" t="e">
        <f>AND(TOC!#REF!,"AAAAAHu+Pzk=")</f>
        <v>#REF!</v>
      </c>
      <c r="BG7" t="e">
        <f>AND(TOC!#REF!,"AAAAAHu+Pzo=")</f>
        <v>#REF!</v>
      </c>
      <c r="BH7" t="e">
        <f>AND(TOC!#REF!,"AAAAAHu+Pzs=")</f>
        <v>#REF!</v>
      </c>
      <c r="BI7" t="e">
        <f>AND(TOC!#REF!,"AAAAAHu+Pzw=")</f>
        <v>#REF!</v>
      </c>
      <c r="BJ7" t="e">
        <f>AND(TOC!#REF!,"AAAAAHu+Pz0=")</f>
        <v>#REF!</v>
      </c>
      <c r="BK7" t="e">
        <f>AND(TOC!#REF!,"AAAAAHu+Pz4=")</f>
        <v>#REF!</v>
      </c>
      <c r="BL7" t="e">
        <f>AND(TOC!#REF!,"AAAAAHu+Pz8=")</f>
        <v>#REF!</v>
      </c>
      <c r="BM7" t="e">
        <f>AND(TOC!#REF!,"AAAAAHu+P0A=")</f>
        <v>#REF!</v>
      </c>
      <c r="BN7" t="e">
        <f>AND(TOC!#REF!,"AAAAAHu+P0E=")</f>
        <v>#REF!</v>
      </c>
      <c r="BO7" t="e">
        <f>AND(TOC!#REF!,"AAAAAHu+P0I=")</f>
        <v>#REF!</v>
      </c>
      <c r="BP7" t="e">
        <f>AND(TOC!#REF!,"AAAAAHu+P0M=")</f>
        <v>#REF!</v>
      </c>
      <c r="BQ7" t="e">
        <f>AND(TOC!#REF!,"AAAAAHu+P0Q=")</f>
        <v>#REF!</v>
      </c>
      <c r="BR7" t="e">
        <f>AND(TOC!#REF!,"AAAAAHu+P0U=")</f>
        <v>#REF!</v>
      </c>
      <c r="BS7" t="e">
        <f>AND(TOC!#REF!,"AAAAAHu+P0Y=")</f>
        <v>#REF!</v>
      </c>
      <c r="BT7" t="e">
        <f>AND(TOC!#REF!,"AAAAAHu+P0c=")</f>
        <v>#REF!</v>
      </c>
      <c r="BU7" t="e">
        <f>AND(TOC!#REF!,"AAAAAHu+P0g=")</f>
        <v>#REF!</v>
      </c>
      <c r="BV7" t="e">
        <f>AND(TOC!#REF!,"AAAAAHu+P0k=")</f>
        <v>#REF!</v>
      </c>
      <c r="BW7" t="e">
        <f>AND(TOC!#REF!,"AAAAAHu+P0o=")</f>
        <v>#REF!</v>
      </c>
      <c r="BX7" t="e">
        <f>AND(TOC!#REF!,"AAAAAHu+P0s=")</f>
        <v>#REF!</v>
      </c>
      <c r="BY7" t="e">
        <f>AND(TOC!#REF!,"AAAAAHu+P0w=")</f>
        <v>#REF!</v>
      </c>
      <c r="BZ7" t="e">
        <f>AND(TOC!#REF!,"AAAAAHu+P00=")</f>
        <v>#REF!</v>
      </c>
      <c r="CA7" t="e">
        <f>AND(TOC!#REF!,"AAAAAHu+P04=")</f>
        <v>#REF!</v>
      </c>
      <c r="CB7" t="e">
        <f>AND(TOC!#REF!,"AAAAAHu+P08=")</f>
        <v>#REF!</v>
      </c>
      <c r="CC7" t="e">
        <f>AND(TOC!#REF!,"AAAAAHu+P1A=")</f>
        <v>#REF!</v>
      </c>
      <c r="CD7" t="e">
        <f>AND(TOC!#REF!,"AAAAAHu+P1E=")</f>
        <v>#REF!</v>
      </c>
      <c r="CE7" t="e">
        <f>AND(TOC!#REF!,"AAAAAHu+P1I=")</f>
        <v>#REF!</v>
      </c>
      <c r="CF7" t="e">
        <f>AND(TOC!#REF!,"AAAAAHu+P1M=")</f>
        <v>#REF!</v>
      </c>
      <c r="CG7" t="e">
        <f>AND(TOC!#REF!,"AAAAAHu+P1Q=")</f>
        <v>#REF!</v>
      </c>
      <c r="CH7" t="e">
        <f>AND(TOC!#REF!,"AAAAAHu+P1U=")</f>
        <v>#REF!</v>
      </c>
      <c r="CI7" t="e">
        <f>AND(TOC!#REF!,"AAAAAHu+P1Y=")</f>
        <v>#REF!</v>
      </c>
      <c r="CJ7" t="e">
        <f>AND(TOC!#REF!,"AAAAAHu+P1c=")</f>
        <v>#REF!</v>
      </c>
      <c r="CK7" t="e">
        <f>AND(TOC!#REF!,"AAAAAHu+P1g=")</f>
        <v>#REF!</v>
      </c>
      <c r="CL7" t="e">
        <f>AND(TOC!#REF!,"AAAAAHu+P1k=")</f>
        <v>#REF!</v>
      </c>
      <c r="CM7" t="e">
        <f>AND(TOC!#REF!,"AAAAAHu+P1o=")</f>
        <v>#REF!</v>
      </c>
      <c r="CN7" t="e">
        <f>AND(TOC!#REF!,"AAAAAHu+P1s=")</f>
        <v>#REF!</v>
      </c>
      <c r="CO7" t="e">
        <f>IF(TOC!#REF!,"AAAAAHu+P1w=",0)</f>
        <v>#REF!</v>
      </c>
      <c r="CP7" t="e">
        <f>AND(TOC!#REF!,"AAAAAHu+P10=")</f>
        <v>#REF!</v>
      </c>
      <c r="CQ7" t="e">
        <f>AND(TOC!#REF!,"AAAAAHu+P14=")</f>
        <v>#REF!</v>
      </c>
      <c r="CR7" t="e">
        <f>AND(TOC!#REF!,"AAAAAHu+P18=")</f>
        <v>#REF!</v>
      </c>
      <c r="CS7" t="e">
        <f>AND(TOC!#REF!,"AAAAAHu+P2A=")</f>
        <v>#REF!</v>
      </c>
      <c r="CT7" t="e">
        <f>AND(TOC!#REF!,"AAAAAHu+P2E=")</f>
        <v>#REF!</v>
      </c>
      <c r="CU7" t="e">
        <f>AND(TOC!#REF!,"AAAAAHu+P2I=")</f>
        <v>#REF!</v>
      </c>
      <c r="CV7" t="e">
        <f>AND(TOC!#REF!,"AAAAAHu+P2M=")</f>
        <v>#REF!</v>
      </c>
      <c r="CW7" t="e">
        <f>AND(TOC!#REF!,"AAAAAHu+P2Q=")</f>
        <v>#REF!</v>
      </c>
      <c r="CX7" t="e">
        <f>AND(TOC!#REF!,"AAAAAHu+P2U=")</f>
        <v>#REF!</v>
      </c>
      <c r="CY7" t="e">
        <f>AND(TOC!#REF!,"AAAAAHu+P2Y=")</f>
        <v>#REF!</v>
      </c>
      <c r="CZ7" t="e">
        <f>AND(TOC!#REF!,"AAAAAHu+P2c=")</f>
        <v>#REF!</v>
      </c>
      <c r="DA7" t="e">
        <f>AND(TOC!#REF!,"AAAAAHu+P2g=")</f>
        <v>#REF!</v>
      </c>
      <c r="DB7" t="e">
        <f>AND(TOC!#REF!,"AAAAAHu+P2k=")</f>
        <v>#REF!</v>
      </c>
      <c r="DC7" t="e">
        <f>AND(TOC!#REF!,"AAAAAHu+P2o=")</f>
        <v>#REF!</v>
      </c>
      <c r="DD7" t="e">
        <f>AND(TOC!#REF!,"AAAAAHu+P2s=")</f>
        <v>#REF!</v>
      </c>
      <c r="DE7" t="e">
        <f>AND(TOC!#REF!,"AAAAAHu+P2w=")</f>
        <v>#REF!</v>
      </c>
      <c r="DF7" t="e">
        <f>AND(TOC!#REF!,"AAAAAHu+P20=")</f>
        <v>#REF!</v>
      </c>
      <c r="DG7" t="e">
        <f>AND(TOC!#REF!,"AAAAAHu+P24=")</f>
        <v>#REF!</v>
      </c>
      <c r="DH7" t="e">
        <f>AND(TOC!#REF!,"AAAAAHu+P28=")</f>
        <v>#REF!</v>
      </c>
      <c r="DI7" t="e">
        <f>AND(TOC!#REF!,"AAAAAHu+P3A=")</f>
        <v>#REF!</v>
      </c>
      <c r="DJ7" t="e">
        <f>AND(TOC!#REF!,"AAAAAHu+P3E=")</f>
        <v>#REF!</v>
      </c>
      <c r="DK7" t="e">
        <f>AND(TOC!#REF!,"AAAAAHu+P3I=")</f>
        <v>#REF!</v>
      </c>
      <c r="DL7" t="e">
        <f>AND(TOC!#REF!,"AAAAAHu+P3M=")</f>
        <v>#REF!</v>
      </c>
      <c r="DM7" t="e">
        <f>AND(TOC!#REF!,"AAAAAHu+P3Q=")</f>
        <v>#REF!</v>
      </c>
      <c r="DN7" t="e">
        <f>AND(TOC!#REF!,"AAAAAHu+P3U=")</f>
        <v>#REF!</v>
      </c>
      <c r="DO7" t="e">
        <f>AND(TOC!#REF!,"AAAAAHu+P3Y=")</f>
        <v>#REF!</v>
      </c>
      <c r="DP7" t="e">
        <f>AND(TOC!#REF!,"AAAAAHu+P3c=")</f>
        <v>#REF!</v>
      </c>
      <c r="DQ7" t="e">
        <f>AND(TOC!#REF!,"AAAAAHu+P3g=")</f>
        <v>#REF!</v>
      </c>
      <c r="DR7" t="e">
        <f>AND(TOC!#REF!,"AAAAAHu+P3k=")</f>
        <v>#REF!</v>
      </c>
      <c r="DS7" t="e">
        <f>AND(TOC!#REF!,"AAAAAHu+P3o=")</f>
        <v>#REF!</v>
      </c>
      <c r="DT7" t="e">
        <f>AND(TOC!#REF!,"AAAAAHu+P3s=")</f>
        <v>#REF!</v>
      </c>
      <c r="DU7" t="e">
        <f>AND(TOC!#REF!,"AAAAAHu+P3w=")</f>
        <v>#REF!</v>
      </c>
      <c r="DV7" t="e">
        <f>AND(TOC!#REF!,"AAAAAHu+P30=")</f>
        <v>#REF!</v>
      </c>
      <c r="DW7" t="e">
        <f>AND(TOC!#REF!,"AAAAAHu+P34=")</f>
        <v>#REF!</v>
      </c>
      <c r="DX7" t="e">
        <f>AND(TOC!#REF!,"AAAAAHu+P38=")</f>
        <v>#REF!</v>
      </c>
      <c r="DY7" t="e">
        <f>AND(TOC!#REF!,"AAAAAHu+P4A=")</f>
        <v>#REF!</v>
      </c>
      <c r="DZ7" t="e">
        <f>IF(TOC!#REF!,"AAAAAHu+P4E=",0)</f>
        <v>#REF!</v>
      </c>
      <c r="EA7" t="e">
        <f>AND(TOC!#REF!,"AAAAAHu+P4I=")</f>
        <v>#REF!</v>
      </c>
      <c r="EB7" t="e">
        <f>AND(TOC!#REF!,"AAAAAHu+P4M=")</f>
        <v>#REF!</v>
      </c>
      <c r="EC7" t="e">
        <f>AND(TOC!#REF!,"AAAAAHu+P4Q=")</f>
        <v>#REF!</v>
      </c>
      <c r="ED7" t="e">
        <f>AND(TOC!#REF!,"AAAAAHu+P4U=")</f>
        <v>#REF!</v>
      </c>
      <c r="EE7" t="e">
        <f>AND(TOC!#REF!,"AAAAAHu+P4Y=")</f>
        <v>#REF!</v>
      </c>
      <c r="EF7" t="e">
        <f>AND(TOC!#REF!,"AAAAAHu+P4c=")</f>
        <v>#REF!</v>
      </c>
      <c r="EG7" t="e">
        <f>AND(TOC!#REF!,"AAAAAHu+P4g=")</f>
        <v>#REF!</v>
      </c>
      <c r="EH7" t="e">
        <f>AND(TOC!#REF!,"AAAAAHu+P4k=")</f>
        <v>#REF!</v>
      </c>
      <c r="EI7" t="e">
        <f>AND(TOC!#REF!,"AAAAAHu+P4o=")</f>
        <v>#REF!</v>
      </c>
      <c r="EJ7" t="e">
        <f>AND(TOC!#REF!,"AAAAAHu+P4s=")</f>
        <v>#REF!</v>
      </c>
      <c r="EK7" t="e">
        <f>AND(TOC!#REF!,"AAAAAHu+P4w=")</f>
        <v>#REF!</v>
      </c>
      <c r="EL7" t="e">
        <f>AND(TOC!#REF!,"AAAAAHu+P40=")</f>
        <v>#REF!</v>
      </c>
      <c r="EM7" t="e">
        <f>AND(TOC!#REF!,"AAAAAHu+P44=")</f>
        <v>#REF!</v>
      </c>
      <c r="EN7" t="e">
        <f>AND(TOC!#REF!,"AAAAAHu+P48=")</f>
        <v>#REF!</v>
      </c>
      <c r="EO7" t="e">
        <f>AND(TOC!#REF!,"AAAAAHu+P5A=")</f>
        <v>#REF!</v>
      </c>
      <c r="EP7" t="e">
        <f>AND(TOC!#REF!,"AAAAAHu+P5E=")</f>
        <v>#REF!</v>
      </c>
      <c r="EQ7" t="e">
        <f>AND(TOC!#REF!,"AAAAAHu+P5I=")</f>
        <v>#REF!</v>
      </c>
      <c r="ER7" t="e">
        <f>AND(TOC!#REF!,"AAAAAHu+P5M=")</f>
        <v>#REF!</v>
      </c>
      <c r="ES7" t="e">
        <f>AND(TOC!#REF!,"AAAAAHu+P5Q=")</f>
        <v>#REF!</v>
      </c>
      <c r="ET7" t="e">
        <f>AND(TOC!#REF!,"AAAAAHu+P5U=")</f>
        <v>#REF!</v>
      </c>
      <c r="EU7" t="e">
        <f>AND(TOC!#REF!,"AAAAAHu+P5Y=")</f>
        <v>#REF!</v>
      </c>
      <c r="EV7" t="e">
        <f>AND(TOC!#REF!,"AAAAAHu+P5c=")</f>
        <v>#REF!</v>
      </c>
      <c r="EW7" t="e">
        <f>AND(TOC!#REF!,"AAAAAHu+P5g=")</f>
        <v>#REF!</v>
      </c>
      <c r="EX7" t="e">
        <f>AND(TOC!#REF!,"AAAAAHu+P5k=")</f>
        <v>#REF!</v>
      </c>
      <c r="EY7" t="e">
        <f>AND(TOC!#REF!,"AAAAAHu+P5o=")</f>
        <v>#REF!</v>
      </c>
      <c r="EZ7" t="e">
        <f>AND(TOC!#REF!,"AAAAAHu+P5s=")</f>
        <v>#REF!</v>
      </c>
      <c r="FA7" t="e">
        <f>AND(TOC!#REF!,"AAAAAHu+P5w=")</f>
        <v>#REF!</v>
      </c>
      <c r="FB7" t="e">
        <f>AND(TOC!#REF!,"AAAAAHu+P50=")</f>
        <v>#REF!</v>
      </c>
      <c r="FC7" t="e">
        <f>AND(TOC!#REF!,"AAAAAHu+P54=")</f>
        <v>#REF!</v>
      </c>
      <c r="FD7" t="e">
        <f>AND(TOC!#REF!,"AAAAAHu+P58=")</f>
        <v>#REF!</v>
      </c>
      <c r="FE7" t="e">
        <f>AND(TOC!#REF!,"AAAAAHu+P6A=")</f>
        <v>#REF!</v>
      </c>
      <c r="FF7" t="e">
        <f>AND(TOC!#REF!,"AAAAAHu+P6E=")</f>
        <v>#REF!</v>
      </c>
      <c r="FG7" t="e">
        <f>AND(TOC!#REF!,"AAAAAHu+P6I=")</f>
        <v>#REF!</v>
      </c>
      <c r="FH7" t="e">
        <f>AND(TOC!#REF!,"AAAAAHu+P6M=")</f>
        <v>#REF!</v>
      </c>
      <c r="FI7" t="e">
        <f>AND(TOC!#REF!,"AAAAAHu+P6Q=")</f>
        <v>#REF!</v>
      </c>
      <c r="FJ7" t="e">
        <f>AND(TOC!#REF!,"AAAAAHu+P6U=")</f>
        <v>#REF!</v>
      </c>
      <c r="FK7" t="e">
        <f>IF(TOC!#REF!,"AAAAAHu+P6Y=",0)</f>
        <v>#REF!</v>
      </c>
      <c r="FL7" t="e">
        <f>AND(TOC!#REF!,"AAAAAHu+P6c=")</f>
        <v>#REF!</v>
      </c>
      <c r="FM7" t="e">
        <f>AND(TOC!#REF!,"AAAAAHu+P6g=")</f>
        <v>#REF!</v>
      </c>
      <c r="FN7" t="e">
        <f>AND(TOC!#REF!,"AAAAAHu+P6k=")</f>
        <v>#REF!</v>
      </c>
      <c r="FO7" t="e">
        <f>AND(TOC!#REF!,"AAAAAHu+P6o=")</f>
        <v>#REF!</v>
      </c>
      <c r="FP7" t="e">
        <f>AND(TOC!#REF!,"AAAAAHu+P6s=")</f>
        <v>#REF!</v>
      </c>
      <c r="FQ7" t="e">
        <f>AND(TOC!#REF!,"AAAAAHu+P6w=")</f>
        <v>#REF!</v>
      </c>
      <c r="FR7" t="e">
        <f>AND(TOC!#REF!,"AAAAAHu+P60=")</f>
        <v>#REF!</v>
      </c>
      <c r="FS7" t="e">
        <f>AND(TOC!#REF!,"AAAAAHu+P64=")</f>
        <v>#REF!</v>
      </c>
      <c r="FT7" t="e">
        <f>AND(TOC!#REF!,"AAAAAHu+P68=")</f>
        <v>#REF!</v>
      </c>
      <c r="FU7" t="e">
        <f>AND(TOC!#REF!,"AAAAAHu+P7A=")</f>
        <v>#REF!</v>
      </c>
      <c r="FV7" t="e">
        <f>AND(TOC!#REF!,"AAAAAHu+P7E=")</f>
        <v>#REF!</v>
      </c>
      <c r="FW7" t="e">
        <f>AND(TOC!#REF!,"AAAAAHu+P7I=")</f>
        <v>#REF!</v>
      </c>
      <c r="FX7" t="e">
        <f>AND(TOC!#REF!,"AAAAAHu+P7M=")</f>
        <v>#REF!</v>
      </c>
      <c r="FY7" t="e">
        <f>AND(TOC!#REF!,"AAAAAHu+P7Q=")</f>
        <v>#REF!</v>
      </c>
      <c r="FZ7" t="e">
        <f>AND(TOC!#REF!,"AAAAAHu+P7U=")</f>
        <v>#REF!</v>
      </c>
      <c r="GA7" t="e">
        <f>AND(TOC!#REF!,"AAAAAHu+P7Y=")</f>
        <v>#REF!</v>
      </c>
      <c r="GB7" t="e">
        <f>AND(TOC!#REF!,"AAAAAHu+P7c=")</f>
        <v>#REF!</v>
      </c>
      <c r="GC7" t="e">
        <f>AND(TOC!#REF!,"AAAAAHu+P7g=")</f>
        <v>#REF!</v>
      </c>
      <c r="GD7" t="e">
        <f>AND(TOC!#REF!,"AAAAAHu+P7k=")</f>
        <v>#REF!</v>
      </c>
      <c r="GE7" t="e">
        <f>AND(TOC!#REF!,"AAAAAHu+P7o=")</f>
        <v>#REF!</v>
      </c>
      <c r="GF7" t="e">
        <f>AND(TOC!#REF!,"AAAAAHu+P7s=")</f>
        <v>#REF!</v>
      </c>
      <c r="GG7" t="e">
        <f>AND(TOC!#REF!,"AAAAAHu+P7w=")</f>
        <v>#REF!</v>
      </c>
      <c r="GH7" t="e">
        <f>AND(TOC!#REF!,"AAAAAHu+P70=")</f>
        <v>#REF!</v>
      </c>
      <c r="GI7" t="e">
        <f>AND(TOC!#REF!,"AAAAAHu+P74=")</f>
        <v>#REF!</v>
      </c>
      <c r="GJ7" t="e">
        <f>AND(TOC!#REF!,"AAAAAHu+P78=")</f>
        <v>#REF!</v>
      </c>
      <c r="GK7" t="e">
        <f>AND(TOC!#REF!,"AAAAAHu+P8A=")</f>
        <v>#REF!</v>
      </c>
      <c r="GL7" t="e">
        <f>AND(TOC!#REF!,"AAAAAHu+P8E=")</f>
        <v>#REF!</v>
      </c>
      <c r="GM7" t="e">
        <f>AND(TOC!#REF!,"AAAAAHu+P8I=")</f>
        <v>#REF!</v>
      </c>
      <c r="GN7" t="e">
        <f>AND(TOC!#REF!,"AAAAAHu+P8M=")</f>
        <v>#REF!</v>
      </c>
      <c r="GO7" t="e">
        <f>AND(TOC!#REF!,"AAAAAHu+P8Q=")</f>
        <v>#REF!</v>
      </c>
      <c r="GP7" t="e">
        <f>AND(TOC!#REF!,"AAAAAHu+P8U=")</f>
        <v>#REF!</v>
      </c>
      <c r="GQ7" t="e">
        <f>AND(TOC!#REF!,"AAAAAHu+P8Y=")</f>
        <v>#REF!</v>
      </c>
      <c r="GR7" t="e">
        <f>AND(TOC!#REF!,"AAAAAHu+P8c=")</f>
        <v>#REF!</v>
      </c>
      <c r="GS7" t="e">
        <f>AND(TOC!#REF!,"AAAAAHu+P8g=")</f>
        <v>#REF!</v>
      </c>
      <c r="GT7" t="e">
        <f>AND(TOC!#REF!,"AAAAAHu+P8k=")</f>
        <v>#REF!</v>
      </c>
      <c r="GU7" t="e">
        <f>AND(TOC!#REF!,"AAAAAHu+P8o=")</f>
        <v>#REF!</v>
      </c>
      <c r="GV7" t="e">
        <f>IF(TOC!#REF!,"AAAAAHu+P8s=",0)</f>
        <v>#REF!</v>
      </c>
      <c r="GW7" t="e">
        <f>AND(TOC!#REF!,"AAAAAHu+P8w=")</f>
        <v>#REF!</v>
      </c>
      <c r="GX7" t="e">
        <f>AND(TOC!#REF!,"AAAAAHu+P80=")</f>
        <v>#REF!</v>
      </c>
      <c r="GY7" t="e">
        <f>AND(TOC!#REF!,"AAAAAHu+P84=")</f>
        <v>#REF!</v>
      </c>
      <c r="GZ7" t="e">
        <f>AND(TOC!#REF!,"AAAAAHu+P88=")</f>
        <v>#REF!</v>
      </c>
      <c r="HA7" t="e">
        <f>AND(TOC!#REF!,"AAAAAHu+P9A=")</f>
        <v>#REF!</v>
      </c>
      <c r="HB7" t="e">
        <f>AND(TOC!#REF!,"AAAAAHu+P9E=")</f>
        <v>#REF!</v>
      </c>
      <c r="HC7" t="e">
        <f>AND(TOC!#REF!,"AAAAAHu+P9I=")</f>
        <v>#REF!</v>
      </c>
      <c r="HD7" t="e">
        <f>AND(TOC!#REF!,"AAAAAHu+P9M=")</f>
        <v>#REF!</v>
      </c>
      <c r="HE7" t="e">
        <f>AND(TOC!#REF!,"AAAAAHu+P9Q=")</f>
        <v>#REF!</v>
      </c>
      <c r="HF7" t="e">
        <f>AND(TOC!#REF!,"AAAAAHu+P9U=")</f>
        <v>#REF!</v>
      </c>
      <c r="HG7" t="e">
        <f>AND(TOC!#REF!,"AAAAAHu+P9Y=")</f>
        <v>#REF!</v>
      </c>
      <c r="HH7" t="e">
        <f>AND(TOC!#REF!,"AAAAAHu+P9c=")</f>
        <v>#REF!</v>
      </c>
      <c r="HI7" t="e">
        <f>AND(TOC!#REF!,"AAAAAHu+P9g=")</f>
        <v>#REF!</v>
      </c>
      <c r="HJ7" t="e">
        <f>AND(TOC!#REF!,"AAAAAHu+P9k=")</f>
        <v>#REF!</v>
      </c>
      <c r="HK7" t="e">
        <f>AND(TOC!#REF!,"AAAAAHu+P9o=")</f>
        <v>#REF!</v>
      </c>
      <c r="HL7" t="e">
        <f>AND(TOC!#REF!,"AAAAAHu+P9s=")</f>
        <v>#REF!</v>
      </c>
      <c r="HM7" t="e">
        <f>AND(TOC!#REF!,"AAAAAHu+P9w=")</f>
        <v>#REF!</v>
      </c>
      <c r="HN7" t="e">
        <f>AND(TOC!#REF!,"AAAAAHu+P90=")</f>
        <v>#REF!</v>
      </c>
      <c r="HO7" t="e">
        <f>AND(TOC!#REF!,"AAAAAHu+P94=")</f>
        <v>#REF!</v>
      </c>
      <c r="HP7" t="e">
        <f>AND(TOC!#REF!,"AAAAAHu+P98=")</f>
        <v>#REF!</v>
      </c>
      <c r="HQ7" t="e">
        <f>AND(TOC!#REF!,"AAAAAHu+P+A=")</f>
        <v>#REF!</v>
      </c>
      <c r="HR7" t="e">
        <f>AND(TOC!#REF!,"AAAAAHu+P+E=")</f>
        <v>#REF!</v>
      </c>
      <c r="HS7" t="e">
        <f>AND(TOC!#REF!,"AAAAAHu+P+I=")</f>
        <v>#REF!</v>
      </c>
      <c r="HT7" t="e">
        <f>AND(TOC!#REF!,"AAAAAHu+P+M=")</f>
        <v>#REF!</v>
      </c>
      <c r="HU7" t="e">
        <f>AND(TOC!#REF!,"AAAAAHu+P+Q=")</f>
        <v>#REF!</v>
      </c>
      <c r="HV7" t="e">
        <f>AND(TOC!#REF!,"AAAAAHu+P+U=")</f>
        <v>#REF!</v>
      </c>
      <c r="HW7" t="e">
        <f>AND(TOC!#REF!,"AAAAAHu+P+Y=")</f>
        <v>#REF!</v>
      </c>
      <c r="HX7" t="e">
        <f>AND(TOC!#REF!,"AAAAAHu+P+c=")</f>
        <v>#REF!</v>
      </c>
      <c r="HY7" t="e">
        <f>AND(TOC!#REF!,"AAAAAHu+P+g=")</f>
        <v>#REF!</v>
      </c>
      <c r="HZ7" t="e">
        <f>AND(TOC!#REF!,"AAAAAHu+P+k=")</f>
        <v>#REF!</v>
      </c>
      <c r="IA7" t="e">
        <f>AND(TOC!#REF!,"AAAAAHu+P+o=")</f>
        <v>#REF!</v>
      </c>
      <c r="IB7" t="e">
        <f>AND(TOC!#REF!,"AAAAAHu+P+s=")</f>
        <v>#REF!</v>
      </c>
      <c r="IC7" t="e">
        <f>AND(TOC!#REF!,"AAAAAHu+P+w=")</f>
        <v>#REF!</v>
      </c>
      <c r="ID7" t="e">
        <f>AND(TOC!#REF!,"AAAAAHu+P+0=")</f>
        <v>#REF!</v>
      </c>
      <c r="IE7" t="e">
        <f>AND(TOC!#REF!,"AAAAAHu+P+4=")</f>
        <v>#REF!</v>
      </c>
      <c r="IF7" t="e">
        <f>AND(TOC!#REF!,"AAAAAHu+P+8=")</f>
        <v>#REF!</v>
      </c>
      <c r="IG7" t="e">
        <f>IF(TOC!#REF!,"AAAAAHu+P/A=",0)</f>
        <v>#REF!</v>
      </c>
      <c r="IH7" t="e">
        <f>AND(TOC!#REF!,"AAAAAHu+P/E=")</f>
        <v>#REF!</v>
      </c>
      <c r="II7" t="e">
        <f>AND(TOC!#REF!,"AAAAAHu+P/I=")</f>
        <v>#REF!</v>
      </c>
      <c r="IJ7" t="e">
        <f>AND(TOC!#REF!,"AAAAAHu+P/M=")</f>
        <v>#REF!</v>
      </c>
      <c r="IK7" t="e">
        <f>AND(TOC!#REF!,"AAAAAHu+P/Q=")</f>
        <v>#REF!</v>
      </c>
      <c r="IL7" t="e">
        <f>AND(TOC!#REF!,"AAAAAHu+P/U=")</f>
        <v>#REF!</v>
      </c>
      <c r="IM7" t="e">
        <f>AND(TOC!#REF!,"AAAAAHu+P/Y=")</f>
        <v>#REF!</v>
      </c>
      <c r="IN7" t="e">
        <f>AND(TOC!#REF!,"AAAAAHu+P/c=")</f>
        <v>#REF!</v>
      </c>
      <c r="IO7" t="e">
        <f>AND(TOC!#REF!,"AAAAAHu+P/g=")</f>
        <v>#REF!</v>
      </c>
      <c r="IP7" t="e">
        <f>AND(TOC!#REF!,"AAAAAHu+P/k=")</f>
        <v>#REF!</v>
      </c>
      <c r="IQ7" t="e">
        <f>AND(TOC!#REF!,"AAAAAHu+P/o=")</f>
        <v>#REF!</v>
      </c>
      <c r="IR7" t="e">
        <f>AND(TOC!#REF!,"AAAAAHu+P/s=")</f>
        <v>#REF!</v>
      </c>
      <c r="IS7" t="e">
        <f>AND(TOC!#REF!,"AAAAAHu+P/w=")</f>
        <v>#REF!</v>
      </c>
      <c r="IT7" t="e">
        <f>AND(TOC!#REF!,"AAAAAHu+P/0=")</f>
        <v>#REF!</v>
      </c>
      <c r="IU7" t="e">
        <f>AND(TOC!#REF!,"AAAAAHu+P/4=")</f>
        <v>#REF!</v>
      </c>
      <c r="IV7" t="e">
        <f>AND(TOC!#REF!,"AAAAAHu+P/8=")</f>
        <v>#REF!</v>
      </c>
    </row>
    <row r="8" spans="1:256" x14ac:dyDescent="0.2">
      <c r="A8" t="e">
        <f>AND(TOC!#REF!,"AAAAAGf/uAA=")</f>
        <v>#REF!</v>
      </c>
      <c r="B8" t="e">
        <f>AND(TOC!#REF!,"AAAAAGf/uAE=")</f>
        <v>#REF!</v>
      </c>
      <c r="C8" t="e">
        <f>AND(TOC!#REF!,"AAAAAGf/uAI=")</f>
        <v>#REF!</v>
      </c>
      <c r="D8" t="e">
        <f>AND(TOC!#REF!,"AAAAAGf/uAM=")</f>
        <v>#REF!</v>
      </c>
      <c r="E8" t="e">
        <f>AND(TOC!#REF!,"AAAAAGf/uAQ=")</f>
        <v>#REF!</v>
      </c>
      <c r="F8" t="e">
        <f>AND(TOC!#REF!,"AAAAAGf/uAU=")</f>
        <v>#REF!</v>
      </c>
      <c r="G8" t="e">
        <f>AND(TOC!#REF!,"AAAAAGf/uAY=")</f>
        <v>#REF!</v>
      </c>
      <c r="H8" t="e">
        <f>AND(TOC!#REF!,"AAAAAGf/uAc=")</f>
        <v>#REF!</v>
      </c>
      <c r="I8" t="e">
        <f>AND(TOC!#REF!,"AAAAAGf/uAg=")</f>
        <v>#REF!</v>
      </c>
      <c r="J8" t="e">
        <f>AND(TOC!#REF!,"AAAAAGf/uAk=")</f>
        <v>#REF!</v>
      </c>
      <c r="K8" t="e">
        <f>AND(TOC!#REF!,"AAAAAGf/uAo=")</f>
        <v>#REF!</v>
      </c>
      <c r="L8" t="e">
        <f>AND(TOC!#REF!,"AAAAAGf/uAs=")</f>
        <v>#REF!</v>
      </c>
      <c r="M8" t="e">
        <f>AND(TOC!#REF!,"AAAAAGf/uAw=")</f>
        <v>#REF!</v>
      </c>
      <c r="N8" t="e">
        <f>AND(TOC!#REF!,"AAAAAGf/uA0=")</f>
        <v>#REF!</v>
      </c>
      <c r="O8" t="e">
        <f>AND(TOC!#REF!,"AAAAAGf/uA4=")</f>
        <v>#REF!</v>
      </c>
      <c r="P8" t="e">
        <f>AND(TOC!#REF!,"AAAAAGf/uA8=")</f>
        <v>#REF!</v>
      </c>
      <c r="Q8" t="e">
        <f>AND(TOC!#REF!,"AAAAAGf/uBA=")</f>
        <v>#REF!</v>
      </c>
      <c r="R8" t="e">
        <f>AND(TOC!#REF!,"AAAAAGf/uBE=")</f>
        <v>#REF!</v>
      </c>
      <c r="S8" t="e">
        <f>AND(TOC!#REF!,"AAAAAGf/uBI=")</f>
        <v>#REF!</v>
      </c>
      <c r="T8" t="e">
        <f>AND(TOC!#REF!,"AAAAAGf/uBM=")</f>
        <v>#REF!</v>
      </c>
      <c r="U8" t="e">
        <f>AND(TOC!#REF!,"AAAAAGf/uBQ=")</f>
        <v>#REF!</v>
      </c>
      <c r="V8" t="e">
        <f>IF(TOC!#REF!,"AAAAAGf/uBU=",0)</f>
        <v>#REF!</v>
      </c>
      <c r="W8" t="e">
        <f>AND(TOC!#REF!,"AAAAAGf/uBY=")</f>
        <v>#REF!</v>
      </c>
      <c r="X8" t="e">
        <f>AND(TOC!#REF!,"AAAAAGf/uBc=")</f>
        <v>#REF!</v>
      </c>
      <c r="Y8" t="e">
        <f>AND(TOC!#REF!,"AAAAAGf/uBg=")</f>
        <v>#REF!</v>
      </c>
      <c r="Z8" t="e">
        <f>AND(TOC!#REF!,"AAAAAGf/uBk=")</f>
        <v>#REF!</v>
      </c>
      <c r="AA8" t="e">
        <f>AND(TOC!#REF!,"AAAAAGf/uBo=")</f>
        <v>#REF!</v>
      </c>
      <c r="AB8" t="e">
        <f>AND(TOC!#REF!,"AAAAAGf/uBs=")</f>
        <v>#REF!</v>
      </c>
      <c r="AC8" t="e">
        <f>AND(TOC!#REF!,"AAAAAGf/uBw=")</f>
        <v>#REF!</v>
      </c>
      <c r="AD8" t="e">
        <f>AND(TOC!#REF!,"AAAAAGf/uB0=")</f>
        <v>#REF!</v>
      </c>
      <c r="AE8" t="e">
        <f>AND(TOC!#REF!,"AAAAAGf/uB4=")</f>
        <v>#REF!</v>
      </c>
      <c r="AF8" t="e">
        <f>AND(TOC!#REF!,"AAAAAGf/uB8=")</f>
        <v>#REF!</v>
      </c>
      <c r="AG8" t="e">
        <f>AND(TOC!#REF!,"AAAAAGf/uCA=")</f>
        <v>#REF!</v>
      </c>
      <c r="AH8" t="e">
        <f>AND(TOC!#REF!,"AAAAAGf/uCE=")</f>
        <v>#REF!</v>
      </c>
      <c r="AI8" t="e">
        <f>AND(TOC!#REF!,"AAAAAGf/uCI=")</f>
        <v>#REF!</v>
      </c>
      <c r="AJ8" t="e">
        <f>AND(TOC!#REF!,"AAAAAGf/uCM=")</f>
        <v>#REF!</v>
      </c>
      <c r="AK8" t="e">
        <f>AND(TOC!#REF!,"AAAAAGf/uCQ=")</f>
        <v>#REF!</v>
      </c>
      <c r="AL8" t="e">
        <f>AND(TOC!#REF!,"AAAAAGf/uCU=")</f>
        <v>#REF!</v>
      </c>
      <c r="AM8" t="e">
        <f>AND(TOC!#REF!,"AAAAAGf/uCY=")</f>
        <v>#REF!</v>
      </c>
      <c r="AN8" t="e">
        <f>AND(TOC!#REF!,"AAAAAGf/uCc=")</f>
        <v>#REF!</v>
      </c>
      <c r="AO8" t="e">
        <f>AND(TOC!#REF!,"AAAAAGf/uCg=")</f>
        <v>#REF!</v>
      </c>
      <c r="AP8" t="e">
        <f>AND(TOC!#REF!,"AAAAAGf/uCk=")</f>
        <v>#REF!</v>
      </c>
      <c r="AQ8" t="e">
        <f>AND(TOC!#REF!,"AAAAAGf/uCo=")</f>
        <v>#REF!</v>
      </c>
      <c r="AR8" t="e">
        <f>AND(TOC!#REF!,"AAAAAGf/uCs=")</f>
        <v>#REF!</v>
      </c>
      <c r="AS8" t="e">
        <f>AND(TOC!#REF!,"AAAAAGf/uCw=")</f>
        <v>#REF!</v>
      </c>
      <c r="AT8" t="e">
        <f>AND(TOC!#REF!,"AAAAAGf/uC0=")</f>
        <v>#REF!</v>
      </c>
      <c r="AU8" t="e">
        <f>AND(TOC!#REF!,"AAAAAGf/uC4=")</f>
        <v>#REF!</v>
      </c>
      <c r="AV8" t="e">
        <f>AND(TOC!#REF!,"AAAAAGf/uC8=")</f>
        <v>#REF!</v>
      </c>
      <c r="AW8" t="e">
        <f>AND(TOC!#REF!,"AAAAAGf/uDA=")</f>
        <v>#REF!</v>
      </c>
      <c r="AX8" t="e">
        <f>AND(TOC!#REF!,"AAAAAGf/uDE=")</f>
        <v>#REF!</v>
      </c>
      <c r="AY8" t="e">
        <f>AND(TOC!#REF!,"AAAAAGf/uDI=")</f>
        <v>#REF!</v>
      </c>
      <c r="AZ8" t="e">
        <f>AND(TOC!#REF!,"AAAAAGf/uDM=")</f>
        <v>#REF!</v>
      </c>
      <c r="BA8" t="e">
        <f>AND(TOC!#REF!,"AAAAAGf/uDQ=")</f>
        <v>#REF!</v>
      </c>
      <c r="BB8" t="e">
        <f>AND(TOC!#REF!,"AAAAAGf/uDU=")</f>
        <v>#REF!</v>
      </c>
      <c r="BC8" t="e">
        <f>AND(TOC!#REF!,"AAAAAGf/uDY=")</f>
        <v>#REF!</v>
      </c>
      <c r="BD8" t="e">
        <f>AND(TOC!#REF!,"AAAAAGf/uDc=")</f>
        <v>#REF!</v>
      </c>
      <c r="BE8" t="e">
        <f>AND(TOC!#REF!,"AAAAAGf/uDg=")</f>
        <v>#REF!</v>
      </c>
      <c r="BF8" t="e">
        <f>AND(TOC!#REF!,"AAAAAGf/uDk=")</f>
        <v>#REF!</v>
      </c>
      <c r="BG8" t="e">
        <f>IF(TOC!#REF!,"AAAAAGf/uDo=",0)</f>
        <v>#REF!</v>
      </c>
      <c r="BH8" t="e">
        <f>AND(TOC!#REF!,"AAAAAGf/uDs=")</f>
        <v>#REF!</v>
      </c>
      <c r="BI8" t="e">
        <f>AND(TOC!#REF!,"AAAAAGf/uDw=")</f>
        <v>#REF!</v>
      </c>
      <c r="BJ8" t="e">
        <f>AND(TOC!#REF!,"AAAAAGf/uD0=")</f>
        <v>#REF!</v>
      </c>
      <c r="BK8" t="e">
        <f>AND(TOC!#REF!,"AAAAAGf/uD4=")</f>
        <v>#REF!</v>
      </c>
      <c r="BL8" t="e">
        <f>AND(TOC!#REF!,"AAAAAGf/uD8=")</f>
        <v>#REF!</v>
      </c>
      <c r="BM8" t="e">
        <f>AND(TOC!#REF!,"AAAAAGf/uEA=")</f>
        <v>#REF!</v>
      </c>
      <c r="BN8" t="e">
        <f>AND(TOC!#REF!,"AAAAAGf/uEE=")</f>
        <v>#REF!</v>
      </c>
      <c r="BO8" t="e">
        <f>AND(TOC!#REF!,"AAAAAGf/uEI=")</f>
        <v>#REF!</v>
      </c>
      <c r="BP8" t="e">
        <f>AND(TOC!#REF!,"AAAAAGf/uEM=")</f>
        <v>#REF!</v>
      </c>
      <c r="BQ8" t="e">
        <f>AND(TOC!#REF!,"AAAAAGf/uEQ=")</f>
        <v>#REF!</v>
      </c>
      <c r="BR8" t="e">
        <f>AND(TOC!#REF!,"AAAAAGf/uEU=")</f>
        <v>#REF!</v>
      </c>
      <c r="BS8" t="e">
        <f>AND(TOC!#REF!,"AAAAAGf/uEY=")</f>
        <v>#REF!</v>
      </c>
      <c r="BT8" t="e">
        <f>AND(TOC!#REF!,"AAAAAGf/uEc=")</f>
        <v>#REF!</v>
      </c>
      <c r="BU8" t="e">
        <f>AND(TOC!#REF!,"AAAAAGf/uEg=")</f>
        <v>#REF!</v>
      </c>
      <c r="BV8" t="e">
        <f>AND(TOC!#REF!,"AAAAAGf/uEk=")</f>
        <v>#REF!</v>
      </c>
      <c r="BW8" t="e">
        <f>AND(TOC!#REF!,"AAAAAGf/uEo=")</f>
        <v>#REF!</v>
      </c>
      <c r="BX8" t="e">
        <f>AND(TOC!#REF!,"AAAAAGf/uEs=")</f>
        <v>#REF!</v>
      </c>
      <c r="BY8" t="e">
        <f>AND(TOC!#REF!,"AAAAAGf/uEw=")</f>
        <v>#REF!</v>
      </c>
      <c r="BZ8" t="e">
        <f>AND(TOC!#REF!,"AAAAAGf/uE0=")</f>
        <v>#REF!</v>
      </c>
      <c r="CA8" t="e">
        <f>AND(TOC!#REF!,"AAAAAGf/uE4=")</f>
        <v>#REF!</v>
      </c>
      <c r="CB8" t="e">
        <f>AND(TOC!#REF!,"AAAAAGf/uE8=")</f>
        <v>#REF!</v>
      </c>
      <c r="CC8" t="e">
        <f>AND(TOC!#REF!,"AAAAAGf/uFA=")</f>
        <v>#REF!</v>
      </c>
      <c r="CD8" t="e">
        <f>AND(TOC!#REF!,"AAAAAGf/uFE=")</f>
        <v>#REF!</v>
      </c>
      <c r="CE8" t="e">
        <f>AND(TOC!#REF!,"AAAAAGf/uFI=")</f>
        <v>#REF!</v>
      </c>
      <c r="CF8" t="e">
        <f>AND(TOC!#REF!,"AAAAAGf/uFM=")</f>
        <v>#REF!</v>
      </c>
      <c r="CG8" t="e">
        <f>AND(TOC!#REF!,"AAAAAGf/uFQ=")</f>
        <v>#REF!</v>
      </c>
      <c r="CH8" t="e">
        <f>AND(TOC!#REF!,"AAAAAGf/uFU=")</f>
        <v>#REF!</v>
      </c>
      <c r="CI8" t="e">
        <f>AND(TOC!#REF!,"AAAAAGf/uFY=")</f>
        <v>#REF!</v>
      </c>
      <c r="CJ8" t="e">
        <f>AND(TOC!#REF!,"AAAAAGf/uFc=")</f>
        <v>#REF!</v>
      </c>
      <c r="CK8" t="e">
        <f>AND(TOC!#REF!,"AAAAAGf/uFg=")</f>
        <v>#REF!</v>
      </c>
      <c r="CL8" t="e">
        <f>AND(TOC!#REF!,"AAAAAGf/uFk=")</f>
        <v>#REF!</v>
      </c>
      <c r="CM8" t="e">
        <f>AND(TOC!#REF!,"AAAAAGf/uFo=")</f>
        <v>#REF!</v>
      </c>
      <c r="CN8" t="e">
        <f>AND(TOC!#REF!,"AAAAAGf/uFs=")</f>
        <v>#REF!</v>
      </c>
      <c r="CO8" t="e">
        <f>AND(TOC!#REF!,"AAAAAGf/uFw=")</f>
        <v>#REF!</v>
      </c>
      <c r="CP8" t="e">
        <f>AND(TOC!#REF!,"AAAAAGf/uF0=")</f>
        <v>#REF!</v>
      </c>
      <c r="CQ8" t="e">
        <f>AND(TOC!#REF!,"AAAAAGf/uF4=")</f>
        <v>#REF!</v>
      </c>
      <c r="CR8" t="e">
        <f>IF(TOC!#REF!,"AAAAAGf/uF8=",0)</f>
        <v>#REF!</v>
      </c>
      <c r="CS8" t="e">
        <f>AND(TOC!#REF!,"AAAAAGf/uGA=")</f>
        <v>#REF!</v>
      </c>
      <c r="CT8" t="e">
        <f>AND(TOC!#REF!,"AAAAAGf/uGE=")</f>
        <v>#REF!</v>
      </c>
      <c r="CU8" t="e">
        <f>AND(TOC!#REF!,"AAAAAGf/uGI=")</f>
        <v>#REF!</v>
      </c>
      <c r="CV8" t="e">
        <f>AND(TOC!#REF!,"AAAAAGf/uGM=")</f>
        <v>#REF!</v>
      </c>
      <c r="CW8" t="e">
        <f>AND(TOC!#REF!,"AAAAAGf/uGQ=")</f>
        <v>#REF!</v>
      </c>
      <c r="CX8" t="e">
        <f>AND(TOC!#REF!,"AAAAAGf/uGU=")</f>
        <v>#REF!</v>
      </c>
      <c r="CY8" t="e">
        <f>AND(TOC!#REF!,"AAAAAGf/uGY=")</f>
        <v>#REF!</v>
      </c>
      <c r="CZ8" t="e">
        <f>AND(TOC!#REF!,"AAAAAGf/uGc=")</f>
        <v>#REF!</v>
      </c>
      <c r="DA8" t="e">
        <f>AND(TOC!#REF!,"AAAAAGf/uGg=")</f>
        <v>#REF!</v>
      </c>
      <c r="DB8" t="e">
        <f>AND(TOC!#REF!,"AAAAAGf/uGk=")</f>
        <v>#REF!</v>
      </c>
      <c r="DC8" t="e">
        <f>AND(TOC!#REF!,"AAAAAGf/uGo=")</f>
        <v>#REF!</v>
      </c>
      <c r="DD8" t="e">
        <f>AND(TOC!#REF!,"AAAAAGf/uGs=")</f>
        <v>#REF!</v>
      </c>
      <c r="DE8" t="e">
        <f>AND(TOC!#REF!,"AAAAAGf/uGw=")</f>
        <v>#REF!</v>
      </c>
      <c r="DF8" t="e">
        <f>AND(TOC!#REF!,"AAAAAGf/uG0=")</f>
        <v>#REF!</v>
      </c>
      <c r="DG8" t="e">
        <f>AND(TOC!#REF!,"AAAAAGf/uG4=")</f>
        <v>#REF!</v>
      </c>
      <c r="DH8" t="e">
        <f>AND(TOC!#REF!,"AAAAAGf/uG8=")</f>
        <v>#REF!</v>
      </c>
      <c r="DI8" t="e">
        <f>AND(TOC!#REF!,"AAAAAGf/uHA=")</f>
        <v>#REF!</v>
      </c>
      <c r="DJ8" t="e">
        <f>AND(TOC!#REF!,"AAAAAGf/uHE=")</f>
        <v>#REF!</v>
      </c>
      <c r="DK8" t="e">
        <f>AND(TOC!#REF!,"AAAAAGf/uHI=")</f>
        <v>#REF!</v>
      </c>
      <c r="DL8" t="e">
        <f>AND(TOC!#REF!,"AAAAAGf/uHM=")</f>
        <v>#REF!</v>
      </c>
      <c r="DM8" t="e">
        <f>AND(TOC!#REF!,"AAAAAGf/uHQ=")</f>
        <v>#REF!</v>
      </c>
      <c r="DN8" t="e">
        <f>AND(TOC!#REF!,"AAAAAGf/uHU=")</f>
        <v>#REF!</v>
      </c>
      <c r="DO8" t="e">
        <f>AND(TOC!#REF!,"AAAAAGf/uHY=")</f>
        <v>#REF!</v>
      </c>
      <c r="DP8" t="e">
        <f>AND(TOC!#REF!,"AAAAAGf/uHc=")</f>
        <v>#REF!</v>
      </c>
      <c r="DQ8" t="e">
        <f>AND(TOC!#REF!,"AAAAAGf/uHg=")</f>
        <v>#REF!</v>
      </c>
      <c r="DR8" t="e">
        <f>AND(TOC!#REF!,"AAAAAGf/uHk=")</f>
        <v>#REF!</v>
      </c>
      <c r="DS8" t="e">
        <f>AND(TOC!#REF!,"AAAAAGf/uHo=")</f>
        <v>#REF!</v>
      </c>
      <c r="DT8" t="e">
        <f>AND(TOC!#REF!,"AAAAAGf/uHs=")</f>
        <v>#REF!</v>
      </c>
      <c r="DU8" t="e">
        <f>AND(TOC!#REF!,"AAAAAGf/uHw=")</f>
        <v>#REF!</v>
      </c>
      <c r="DV8" t="e">
        <f>AND(TOC!#REF!,"AAAAAGf/uH0=")</f>
        <v>#REF!</v>
      </c>
      <c r="DW8" t="e">
        <f>AND(TOC!#REF!,"AAAAAGf/uH4=")</f>
        <v>#REF!</v>
      </c>
      <c r="DX8" t="e">
        <f>AND(TOC!#REF!,"AAAAAGf/uH8=")</f>
        <v>#REF!</v>
      </c>
      <c r="DY8" t="e">
        <f>AND(TOC!#REF!,"AAAAAGf/uIA=")</f>
        <v>#REF!</v>
      </c>
      <c r="DZ8" t="e">
        <f>AND(TOC!#REF!,"AAAAAGf/uIE=")</f>
        <v>#REF!</v>
      </c>
      <c r="EA8" t="e">
        <f>AND(TOC!#REF!,"AAAAAGf/uII=")</f>
        <v>#REF!</v>
      </c>
      <c r="EB8" t="e">
        <f>AND(TOC!#REF!,"AAAAAGf/uIM=")</f>
        <v>#REF!</v>
      </c>
      <c r="EC8" t="e">
        <f>IF(TOC!#REF!,"AAAAAGf/uIQ=",0)</f>
        <v>#REF!</v>
      </c>
      <c r="ED8" t="e">
        <f>AND(TOC!#REF!,"AAAAAGf/uIU=")</f>
        <v>#REF!</v>
      </c>
      <c r="EE8" t="e">
        <f>AND(TOC!#REF!,"AAAAAGf/uIY=")</f>
        <v>#REF!</v>
      </c>
      <c r="EF8" t="e">
        <f>AND(TOC!#REF!,"AAAAAGf/uIc=")</f>
        <v>#REF!</v>
      </c>
      <c r="EG8" t="e">
        <f>AND(TOC!#REF!,"AAAAAGf/uIg=")</f>
        <v>#REF!</v>
      </c>
      <c r="EH8" t="e">
        <f>AND(TOC!#REF!,"AAAAAGf/uIk=")</f>
        <v>#REF!</v>
      </c>
      <c r="EI8" t="e">
        <f>AND(TOC!#REF!,"AAAAAGf/uIo=")</f>
        <v>#REF!</v>
      </c>
      <c r="EJ8" t="e">
        <f>AND(TOC!#REF!,"AAAAAGf/uIs=")</f>
        <v>#REF!</v>
      </c>
      <c r="EK8" t="e">
        <f>AND(TOC!#REF!,"AAAAAGf/uIw=")</f>
        <v>#REF!</v>
      </c>
      <c r="EL8" t="e">
        <f>AND(TOC!#REF!,"AAAAAGf/uI0=")</f>
        <v>#REF!</v>
      </c>
      <c r="EM8" t="e">
        <f>AND(TOC!#REF!,"AAAAAGf/uI4=")</f>
        <v>#REF!</v>
      </c>
      <c r="EN8" t="e">
        <f>AND(TOC!#REF!,"AAAAAGf/uI8=")</f>
        <v>#REF!</v>
      </c>
      <c r="EO8" t="e">
        <f>AND(TOC!#REF!,"AAAAAGf/uJA=")</f>
        <v>#REF!</v>
      </c>
      <c r="EP8" t="e">
        <f>AND(TOC!#REF!,"AAAAAGf/uJE=")</f>
        <v>#REF!</v>
      </c>
      <c r="EQ8" t="e">
        <f>AND(TOC!#REF!,"AAAAAGf/uJI=")</f>
        <v>#REF!</v>
      </c>
      <c r="ER8" t="e">
        <f>AND(TOC!#REF!,"AAAAAGf/uJM=")</f>
        <v>#REF!</v>
      </c>
      <c r="ES8" t="e">
        <f>AND(TOC!#REF!,"AAAAAGf/uJQ=")</f>
        <v>#REF!</v>
      </c>
      <c r="ET8" t="e">
        <f>AND(TOC!#REF!,"AAAAAGf/uJU=")</f>
        <v>#REF!</v>
      </c>
      <c r="EU8" t="e">
        <f>AND(TOC!#REF!,"AAAAAGf/uJY=")</f>
        <v>#REF!</v>
      </c>
      <c r="EV8" t="e">
        <f>AND(TOC!#REF!,"AAAAAGf/uJc=")</f>
        <v>#REF!</v>
      </c>
      <c r="EW8" t="e">
        <f>AND(TOC!#REF!,"AAAAAGf/uJg=")</f>
        <v>#REF!</v>
      </c>
      <c r="EX8" t="e">
        <f>AND(TOC!#REF!,"AAAAAGf/uJk=")</f>
        <v>#REF!</v>
      </c>
      <c r="EY8" t="e">
        <f>AND(TOC!#REF!,"AAAAAGf/uJo=")</f>
        <v>#REF!</v>
      </c>
      <c r="EZ8" t="e">
        <f>AND(TOC!#REF!,"AAAAAGf/uJs=")</f>
        <v>#REF!</v>
      </c>
      <c r="FA8" t="e">
        <f>AND(TOC!#REF!,"AAAAAGf/uJw=")</f>
        <v>#REF!</v>
      </c>
      <c r="FB8" t="e">
        <f>AND(TOC!#REF!,"AAAAAGf/uJ0=")</f>
        <v>#REF!</v>
      </c>
      <c r="FC8" t="e">
        <f>AND(TOC!#REF!,"AAAAAGf/uJ4=")</f>
        <v>#REF!</v>
      </c>
      <c r="FD8" t="e">
        <f>AND(TOC!#REF!,"AAAAAGf/uJ8=")</f>
        <v>#REF!</v>
      </c>
      <c r="FE8" t="e">
        <f>AND(TOC!#REF!,"AAAAAGf/uKA=")</f>
        <v>#REF!</v>
      </c>
      <c r="FF8" t="e">
        <f>AND(TOC!#REF!,"AAAAAGf/uKE=")</f>
        <v>#REF!</v>
      </c>
      <c r="FG8" t="e">
        <f>AND(TOC!#REF!,"AAAAAGf/uKI=")</f>
        <v>#REF!</v>
      </c>
      <c r="FH8" t="e">
        <f>AND(TOC!#REF!,"AAAAAGf/uKM=")</f>
        <v>#REF!</v>
      </c>
      <c r="FI8" t="e">
        <f>AND(TOC!#REF!,"AAAAAGf/uKQ=")</f>
        <v>#REF!</v>
      </c>
      <c r="FJ8" t="e">
        <f>AND(TOC!#REF!,"AAAAAGf/uKU=")</f>
        <v>#REF!</v>
      </c>
      <c r="FK8" t="e">
        <f>AND(TOC!#REF!,"AAAAAGf/uKY=")</f>
        <v>#REF!</v>
      </c>
      <c r="FL8" t="e">
        <f>AND(TOC!#REF!,"AAAAAGf/uKc=")</f>
        <v>#REF!</v>
      </c>
      <c r="FM8" t="e">
        <f>AND(TOC!#REF!,"AAAAAGf/uKg=")</f>
        <v>#REF!</v>
      </c>
      <c r="FN8" t="e">
        <f>IF(TOC!#REF!,"AAAAAGf/uKk=",0)</f>
        <v>#REF!</v>
      </c>
      <c r="FO8" t="e">
        <f>AND(TOC!#REF!,"AAAAAGf/uKo=")</f>
        <v>#REF!</v>
      </c>
      <c r="FP8" t="e">
        <f>AND(TOC!#REF!,"AAAAAGf/uKs=")</f>
        <v>#REF!</v>
      </c>
      <c r="FQ8" t="e">
        <f>AND(TOC!#REF!,"AAAAAGf/uKw=")</f>
        <v>#REF!</v>
      </c>
      <c r="FR8" t="e">
        <f>AND(TOC!#REF!,"AAAAAGf/uK0=")</f>
        <v>#REF!</v>
      </c>
      <c r="FS8" t="e">
        <f>AND(TOC!#REF!,"AAAAAGf/uK4=")</f>
        <v>#REF!</v>
      </c>
      <c r="FT8" t="e">
        <f>AND(TOC!#REF!,"AAAAAGf/uK8=")</f>
        <v>#REF!</v>
      </c>
      <c r="FU8" t="e">
        <f>AND(TOC!#REF!,"AAAAAGf/uLA=")</f>
        <v>#REF!</v>
      </c>
      <c r="FV8" t="e">
        <f>AND(TOC!#REF!,"AAAAAGf/uLE=")</f>
        <v>#REF!</v>
      </c>
      <c r="FW8" t="e">
        <f>AND(TOC!#REF!,"AAAAAGf/uLI=")</f>
        <v>#REF!</v>
      </c>
      <c r="FX8" t="e">
        <f>AND(TOC!#REF!,"AAAAAGf/uLM=")</f>
        <v>#REF!</v>
      </c>
      <c r="FY8" t="e">
        <f>AND(TOC!#REF!,"AAAAAGf/uLQ=")</f>
        <v>#REF!</v>
      </c>
      <c r="FZ8" t="e">
        <f>AND(TOC!#REF!,"AAAAAGf/uLU=")</f>
        <v>#REF!</v>
      </c>
      <c r="GA8" t="e">
        <f>AND(TOC!#REF!,"AAAAAGf/uLY=")</f>
        <v>#REF!</v>
      </c>
      <c r="GB8" t="e">
        <f>AND(TOC!#REF!,"AAAAAGf/uLc=")</f>
        <v>#REF!</v>
      </c>
      <c r="GC8" t="e">
        <f>AND(TOC!#REF!,"AAAAAGf/uLg=")</f>
        <v>#REF!</v>
      </c>
      <c r="GD8" t="e">
        <f>AND(TOC!#REF!,"AAAAAGf/uLk=")</f>
        <v>#REF!</v>
      </c>
      <c r="GE8" t="e">
        <f>AND(TOC!#REF!,"AAAAAGf/uLo=")</f>
        <v>#REF!</v>
      </c>
      <c r="GF8" t="e">
        <f>AND(TOC!#REF!,"AAAAAGf/uLs=")</f>
        <v>#REF!</v>
      </c>
      <c r="GG8" t="e">
        <f>AND(TOC!#REF!,"AAAAAGf/uLw=")</f>
        <v>#REF!</v>
      </c>
      <c r="GH8" t="e">
        <f>AND(TOC!#REF!,"AAAAAGf/uL0=")</f>
        <v>#REF!</v>
      </c>
      <c r="GI8" t="e">
        <f>AND(TOC!#REF!,"AAAAAGf/uL4=")</f>
        <v>#REF!</v>
      </c>
      <c r="GJ8" t="e">
        <f>AND(TOC!#REF!,"AAAAAGf/uL8=")</f>
        <v>#REF!</v>
      </c>
      <c r="GK8" t="e">
        <f>AND(TOC!#REF!,"AAAAAGf/uMA=")</f>
        <v>#REF!</v>
      </c>
      <c r="GL8" t="e">
        <f>AND(TOC!#REF!,"AAAAAGf/uME=")</f>
        <v>#REF!</v>
      </c>
      <c r="GM8" t="e">
        <f>AND(TOC!#REF!,"AAAAAGf/uMI=")</f>
        <v>#REF!</v>
      </c>
      <c r="GN8" t="e">
        <f>AND(TOC!#REF!,"AAAAAGf/uMM=")</f>
        <v>#REF!</v>
      </c>
      <c r="GO8" t="e">
        <f>AND(TOC!#REF!,"AAAAAGf/uMQ=")</f>
        <v>#REF!</v>
      </c>
      <c r="GP8" t="e">
        <f>AND(TOC!#REF!,"AAAAAGf/uMU=")</f>
        <v>#REF!</v>
      </c>
      <c r="GQ8" t="e">
        <f>AND(TOC!#REF!,"AAAAAGf/uMY=")</f>
        <v>#REF!</v>
      </c>
      <c r="GR8" t="e">
        <f>AND(TOC!#REF!,"AAAAAGf/uMc=")</f>
        <v>#REF!</v>
      </c>
      <c r="GS8" t="e">
        <f>AND(TOC!#REF!,"AAAAAGf/uMg=")</f>
        <v>#REF!</v>
      </c>
      <c r="GT8" t="e">
        <f>AND(TOC!#REF!,"AAAAAGf/uMk=")</f>
        <v>#REF!</v>
      </c>
      <c r="GU8" t="e">
        <f>AND(TOC!#REF!,"AAAAAGf/uMo=")</f>
        <v>#REF!</v>
      </c>
      <c r="GV8" t="e">
        <f>AND(TOC!#REF!,"AAAAAGf/uMs=")</f>
        <v>#REF!</v>
      </c>
      <c r="GW8" t="e">
        <f>AND(TOC!#REF!,"AAAAAGf/uMw=")</f>
        <v>#REF!</v>
      </c>
      <c r="GX8" t="e">
        <f>AND(TOC!#REF!,"AAAAAGf/uM0=")</f>
        <v>#REF!</v>
      </c>
      <c r="GY8" t="e">
        <f>IF(TOC!#REF!,"AAAAAGf/uM4=",0)</f>
        <v>#REF!</v>
      </c>
      <c r="GZ8" t="e">
        <f>AND(TOC!#REF!,"AAAAAGf/uM8=")</f>
        <v>#REF!</v>
      </c>
      <c r="HA8" t="e">
        <f>AND(TOC!#REF!,"AAAAAGf/uNA=")</f>
        <v>#REF!</v>
      </c>
      <c r="HB8" t="e">
        <f>AND(TOC!#REF!,"AAAAAGf/uNE=")</f>
        <v>#REF!</v>
      </c>
      <c r="HC8" t="e">
        <f>AND(TOC!#REF!,"AAAAAGf/uNI=")</f>
        <v>#REF!</v>
      </c>
      <c r="HD8" t="e">
        <f>AND(TOC!#REF!,"AAAAAGf/uNM=")</f>
        <v>#REF!</v>
      </c>
      <c r="HE8" t="e">
        <f>AND(TOC!#REF!,"AAAAAGf/uNQ=")</f>
        <v>#REF!</v>
      </c>
      <c r="HF8" t="e">
        <f>AND(TOC!#REF!,"AAAAAGf/uNU=")</f>
        <v>#REF!</v>
      </c>
      <c r="HG8" t="e">
        <f>AND(TOC!#REF!,"AAAAAGf/uNY=")</f>
        <v>#REF!</v>
      </c>
      <c r="HH8" t="e">
        <f>AND(TOC!#REF!,"AAAAAGf/uNc=")</f>
        <v>#REF!</v>
      </c>
      <c r="HI8" t="e">
        <f>AND(TOC!#REF!,"AAAAAGf/uNg=")</f>
        <v>#REF!</v>
      </c>
      <c r="HJ8" t="e">
        <f>AND(TOC!#REF!,"AAAAAGf/uNk=")</f>
        <v>#REF!</v>
      </c>
      <c r="HK8" t="e">
        <f>AND(TOC!#REF!,"AAAAAGf/uNo=")</f>
        <v>#REF!</v>
      </c>
      <c r="HL8" t="e">
        <f>AND(TOC!#REF!,"AAAAAGf/uNs=")</f>
        <v>#REF!</v>
      </c>
      <c r="HM8" t="e">
        <f>AND(TOC!#REF!,"AAAAAGf/uNw=")</f>
        <v>#REF!</v>
      </c>
      <c r="HN8" t="e">
        <f>AND(TOC!#REF!,"AAAAAGf/uN0=")</f>
        <v>#REF!</v>
      </c>
      <c r="HO8" t="e">
        <f>AND(TOC!#REF!,"AAAAAGf/uN4=")</f>
        <v>#REF!</v>
      </c>
      <c r="HP8" t="e">
        <f>AND(TOC!#REF!,"AAAAAGf/uN8=")</f>
        <v>#REF!</v>
      </c>
      <c r="HQ8" t="e">
        <f>AND(TOC!#REF!,"AAAAAGf/uOA=")</f>
        <v>#REF!</v>
      </c>
      <c r="HR8" t="e">
        <f>AND(TOC!#REF!,"AAAAAGf/uOE=")</f>
        <v>#REF!</v>
      </c>
      <c r="HS8" t="e">
        <f>AND(TOC!#REF!,"AAAAAGf/uOI=")</f>
        <v>#REF!</v>
      </c>
      <c r="HT8" t="e">
        <f>AND(TOC!#REF!,"AAAAAGf/uOM=")</f>
        <v>#REF!</v>
      </c>
      <c r="HU8" t="e">
        <f>AND(TOC!#REF!,"AAAAAGf/uOQ=")</f>
        <v>#REF!</v>
      </c>
      <c r="HV8" t="e">
        <f>AND(TOC!#REF!,"AAAAAGf/uOU=")</f>
        <v>#REF!</v>
      </c>
      <c r="HW8" t="e">
        <f>AND(TOC!#REF!,"AAAAAGf/uOY=")</f>
        <v>#REF!</v>
      </c>
      <c r="HX8" t="e">
        <f>AND(TOC!#REF!,"AAAAAGf/uOc=")</f>
        <v>#REF!</v>
      </c>
      <c r="HY8" t="e">
        <f>AND(TOC!#REF!,"AAAAAGf/uOg=")</f>
        <v>#REF!</v>
      </c>
      <c r="HZ8" t="e">
        <f>AND(TOC!#REF!,"AAAAAGf/uOk=")</f>
        <v>#REF!</v>
      </c>
      <c r="IA8" t="e">
        <f>AND(TOC!#REF!,"AAAAAGf/uOo=")</f>
        <v>#REF!</v>
      </c>
      <c r="IB8" t="e">
        <f>AND(TOC!#REF!,"AAAAAGf/uOs=")</f>
        <v>#REF!</v>
      </c>
      <c r="IC8" t="e">
        <f>AND(TOC!#REF!,"AAAAAGf/uOw=")</f>
        <v>#REF!</v>
      </c>
      <c r="ID8" t="e">
        <f>AND(TOC!#REF!,"AAAAAGf/uO0=")</f>
        <v>#REF!</v>
      </c>
      <c r="IE8" t="e">
        <f>AND(TOC!#REF!,"AAAAAGf/uO4=")</f>
        <v>#REF!</v>
      </c>
      <c r="IF8" t="e">
        <f>AND(TOC!#REF!,"AAAAAGf/uO8=")</f>
        <v>#REF!</v>
      </c>
      <c r="IG8" t="e">
        <f>AND(TOC!#REF!,"AAAAAGf/uPA=")</f>
        <v>#REF!</v>
      </c>
      <c r="IH8" t="e">
        <f>AND(TOC!#REF!,"AAAAAGf/uPE=")</f>
        <v>#REF!</v>
      </c>
      <c r="II8" t="e">
        <f>AND(TOC!#REF!,"AAAAAGf/uPI=")</f>
        <v>#REF!</v>
      </c>
      <c r="IJ8" t="e">
        <f>IF(TOC!#REF!,"AAAAAGf/uPM=",0)</f>
        <v>#REF!</v>
      </c>
      <c r="IK8" t="e">
        <f>AND(TOC!#REF!,"AAAAAGf/uPQ=")</f>
        <v>#REF!</v>
      </c>
      <c r="IL8" t="e">
        <f>AND(TOC!#REF!,"AAAAAGf/uPU=")</f>
        <v>#REF!</v>
      </c>
      <c r="IM8" t="e">
        <f>AND(TOC!#REF!,"AAAAAGf/uPY=")</f>
        <v>#REF!</v>
      </c>
      <c r="IN8" t="e">
        <f>AND(TOC!#REF!,"AAAAAGf/uPc=")</f>
        <v>#REF!</v>
      </c>
      <c r="IO8" t="e">
        <f>AND(TOC!#REF!,"AAAAAGf/uPg=")</f>
        <v>#REF!</v>
      </c>
      <c r="IP8" t="e">
        <f>AND(TOC!#REF!,"AAAAAGf/uPk=")</f>
        <v>#REF!</v>
      </c>
      <c r="IQ8" t="e">
        <f>AND(TOC!#REF!,"AAAAAGf/uPo=")</f>
        <v>#REF!</v>
      </c>
      <c r="IR8" t="e">
        <f>AND(TOC!#REF!,"AAAAAGf/uPs=")</f>
        <v>#REF!</v>
      </c>
      <c r="IS8" t="e">
        <f>AND(TOC!#REF!,"AAAAAGf/uPw=")</f>
        <v>#REF!</v>
      </c>
      <c r="IT8" t="e">
        <f>AND(TOC!#REF!,"AAAAAGf/uP0=")</f>
        <v>#REF!</v>
      </c>
      <c r="IU8" t="e">
        <f>AND(TOC!#REF!,"AAAAAGf/uP4=")</f>
        <v>#REF!</v>
      </c>
      <c r="IV8" t="e">
        <f>AND(TOC!#REF!,"AAAAAGf/uP8=")</f>
        <v>#REF!</v>
      </c>
    </row>
    <row r="9" spans="1:256" x14ac:dyDescent="0.2">
      <c r="A9" t="e">
        <f>AND(TOC!#REF!,"AAAAAH7dfwA=")</f>
        <v>#REF!</v>
      </c>
      <c r="B9" t="e">
        <f>AND(TOC!#REF!,"AAAAAH7dfwE=")</f>
        <v>#REF!</v>
      </c>
      <c r="C9" t="e">
        <f>AND(TOC!#REF!,"AAAAAH7dfwI=")</f>
        <v>#REF!</v>
      </c>
      <c r="D9" t="e">
        <f>AND(TOC!#REF!,"AAAAAH7dfwM=")</f>
        <v>#REF!</v>
      </c>
      <c r="E9" t="e">
        <f>AND(TOC!#REF!,"AAAAAH7dfwQ=")</f>
        <v>#REF!</v>
      </c>
      <c r="F9" t="e">
        <f>AND(TOC!#REF!,"AAAAAH7dfwU=")</f>
        <v>#REF!</v>
      </c>
      <c r="G9" t="e">
        <f>AND(TOC!#REF!,"AAAAAH7dfwY=")</f>
        <v>#REF!</v>
      </c>
      <c r="H9" t="e">
        <f>AND(TOC!#REF!,"AAAAAH7dfwc=")</f>
        <v>#REF!</v>
      </c>
      <c r="I9" t="e">
        <f>AND(TOC!#REF!,"AAAAAH7dfwg=")</f>
        <v>#REF!</v>
      </c>
      <c r="J9" t="e">
        <f>AND(TOC!#REF!,"AAAAAH7dfwk=")</f>
        <v>#REF!</v>
      </c>
      <c r="K9" t="e">
        <f>AND(TOC!#REF!,"AAAAAH7dfwo=")</f>
        <v>#REF!</v>
      </c>
      <c r="L9" t="e">
        <f>AND(TOC!#REF!,"AAAAAH7dfws=")</f>
        <v>#REF!</v>
      </c>
      <c r="M9" t="e">
        <f>AND(TOC!#REF!,"AAAAAH7dfww=")</f>
        <v>#REF!</v>
      </c>
      <c r="N9" t="e">
        <f>AND(TOC!#REF!,"AAAAAH7dfw0=")</f>
        <v>#REF!</v>
      </c>
      <c r="O9" t="e">
        <f>AND(TOC!#REF!,"AAAAAH7dfw4=")</f>
        <v>#REF!</v>
      </c>
      <c r="P9" t="e">
        <f>AND(TOC!#REF!,"AAAAAH7dfw8=")</f>
        <v>#REF!</v>
      </c>
      <c r="Q9" t="e">
        <f>AND(TOC!#REF!,"AAAAAH7dfxA=")</f>
        <v>#REF!</v>
      </c>
      <c r="R9" t="e">
        <f>AND(TOC!#REF!,"AAAAAH7dfxE=")</f>
        <v>#REF!</v>
      </c>
      <c r="S9" t="e">
        <f>AND(TOC!#REF!,"AAAAAH7dfxI=")</f>
        <v>#REF!</v>
      </c>
      <c r="T9" t="e">
        <f>AND(TOC!#REF!,"AAAAAH7dfxM=")</f>
        <v>#REF!</v>
      </c>
      <c r="U9" t="e">
        <f>AND(TOC!#REF!,"AAAAAH7dfxQ=")</f>
        <v>#REF!</v>
      </c>
      <c r="V9" t="e">
        <f>AND(TOC!#REF!,"AAAAAH7dfxU=")</f>
        <v>#REF!</v>
      </c>
      <c r="W9" t="e">
        <f>AND(TOC!#REF!,"AAAAAH7dfxY=")</f>
        <v>#REF!</v>
      </c>
      <c r="X9" t="e">
        <f>AND(TOC!#REF!,"AAAAAH7dfxc=")</f>
        <v>#REF!</v>
      </c>
      <c r="Y9" t="e">
        <f>IF(TOC!#REF!,"AAAAAH7dfxg=",0)</f>
        <v>#REF!</v>
      </c>
      <c r="Z9" t="e">
        <f>AND(TOC!#REF!,"AAAAAH7dfxk=")</f>
        <v>#REF!</v>
      </c>
      <c r="AA9" t="e">
        <f>AND(TOC!#REF!,"AAAAAH7dfxo=")</f>
        <v>#REF!</v>
      </c>
      <c r="AB9" t="e">
        <f>AND(TOC!#REF!,"AAAAAH7dfxs=")</f>
        <v>#REF!</v>
      </c>
      <c r="AC9" t="e">
        <f>AND(TOC!#REF!,"AAAAAH7dfxw=")</f>
        <v>#REF!</v>
      </c>
      <c r="AD9" t="e">
        <f>AND(TOC!#REF!,"AAAAAH7dfx0=")</f>
        <v>#REF!</v>
      </c>
      <c r="AE9" t="e">
        <f>AND(TOC!#REF!,"AAAAAH7dfx4=")</f>
        <v>#REF!</v>
      </c>
      <c r="AF9" t="e">
        <f>AND(TOC!#REF!,"AAAAAH7dfx8=")</f>
        <v>#REF!</v>
      </c>
      <c r="AG9" t="e">
        <f>AND(TOC!#REF!,"AAAAAH7dfyA=")</f>
        <v>#REF!</v>
      </c>
      <c r="AH9" t="e">
        <f>AND(TOC!#REF!,"AAAAAH7dfyE=")</f>
        <v>#REF!</v>
      </c>
      <c r="AI9" t="e">
        <f>AND(TOC!#REF!,"AAAAAH7dfyI=")</f>
        <v>#REF!</v>
      </c>
      <c r="AJ9" t="e">
        <f>AND(TOC!#REF!,"AAAAAH7dfyM=")</f>
        <v>#REF!</v>
      </c>
      <c r="AK9" t="e">
        <f>AND(TOC!#REF!,"AAAAAH7dfyQ=")</f>
        <v>#REF!</v>
      </c>
      <c r="AL9" t="e">
        <f>AND(TOC!#REF!,"AAAAAH7dfyU=")</f>
        <v>#REF!</v>
      </c>
      <c r="AM9" t="e">
        <f>AND(TOC!#REF!,"AAAAAH7dfyY=")</f>
        <v>#REF!</v>
      </c>
      <c r="AN9" t="e">
        <f>AND(TOC!#REF!,"AAAAAH7dfyc=")</f>
        <v>#REF!</v>
      </c>
      <c r="AO9" t="e">
        <f>AND(TOC!#REF!,"AAAAAH7dfyg=")</f>
        <v>#REF!</v>
      </c>
      <c r="AP9" t="e">
        <f>AND(TOC!#REF!,"AAAAAH7dfyk=")</f>
        <v>#REF!</v>
      </c>
      <c r="AQ9" t="e">
        <f>AND(TOC!#REF!,"AAAAAH7dfyo=")</f>
        <v>#REF!</v>
      </c>
      <c r="AR9" t="e">
        <f>AND(TOC!#REF!,"AAAAAH7dfys=")</f>
        <v>#REF!</v>
      </c>
      <c r="AS9" t="e">
        <f>AND(TOC!#REF!,"AAAAAH7dfyw=")</f>
        <v>#REF!</v>
      </c>
      <c r="AT9" t="e">
        <f>AND(TOC!#REF!,"AAAAAH7dfy0=")</f>
        <v>#REF!</v>
      </c>
      <c r="AU9" t="e">
        <f>AND(TOC!#REF!,"AAAAAH7dfy4=")</f>
        <v>#REF!</v>
      </c>
      <c r="AV9" t="e">
        <f>AND(TOC!#REF!,"AAAAAH7dfy8=")</f>
        <v>#REF!</v>
      </c>
      <c r="AW9" t="e">
        <f>AND(TOC!#REF!,"AAAAAH7dfzA=")</f>
        <v>#REF!</v>
      </c>
      <c r="AX9" t="e">
        <f>AND(TOC!#REF!,"AAAAAH7dfzE=")</f>
        <v>#REF!</v>
      </c>
      <c r="AY9" t="e">
        <f>AND(TOC!#REF!,"AAAAAH7dfzI=")</f>
        <v>#REF!</v>
      </c>
      <c r="AZ9" t="e">
        <f>AND(TOC!#REF!,"AAAAAH7dfzM=")</f>
        <v>#REF!</v>
      </c>
      <c r="BA9" t="e">
        <f>AND(TOC!#REF!,"AAAAAH7dfzQ=")</f>
        <v>#REF!</v>
      </c>
      <c r="BB9" t="e">
        <f>AND(TOC!#REF!,"AAAAAH7dfzU=")</f>
        <v>#REF!</v>
      </c>
      <c r="BC9" t="e">
        <f>AND(TOC!#REF!,"AAAAAH7dfzY=")</f>
        <v>#REF!</v>
      </c>
      <c r="BD9" t="e">
        <f>AND(TOC!#REF!,"AAAAAH7dfzc=")</f>
        <v>#REF!</v>
      </c>
      <c r="BE9" t="e">
        <f>AND(TOC!#REF!,"AAAAAH7dfzg=")</f>
        <v>#REF!</v>
      </c>
      <c r="BF9" t="e">
        <f>AND(TOC!#REF!,"AAAAAH7dfzk=")</f>
        <v>#REF!</v>
      </c>
      <c r="BG9" t="e">
        <f>AND(TOC!#REF!,"AAAAAH7dfzo=")</f>
        <v>#REF!</v>
      </c>
      <c r="BH9" t="e">
        <f>AND(TOC!#REF!,"AAAAAH7dfzs=")</f>
        <v>#REF!</v>
      </c>
      <c r="BI9" t="e">
        <f>AND(TOC!#REF!,"AAAAAH7dfzw=")</f>
        <v>#REF!</v>
      </c>
      <c r="BJ9" t="e">
        <f>IF(TOC!#REF!,"AAAAAH7dfz0=",0)</f>
        <v>#REF!</v>
      </c>
      <c r="BK9" t="e">
        <f>AND(TOC!#REF!,"AAAAAH7dfz4=")</f>
        <v>#REF!</v>
      </c>
      <c r="BL9" t="e">
        <f>AND(TOC!#REF!,"AAAAAH7dfz8=")</f>
        <v>#REF!</v>
      </c>
      <c r="BM9" t="e">
        <f>AND(TOC!#REF!,"AAAAAH7df0A=")</f>
        <v>#REF!</v>
      </c>
      <c r="BN9" t="e">
        <f>AND(TOC!#REF!,"AAAAAH7df0E=")</f>
        <v>#REF!</v>
      </c>
      <c r="BO9" t="e">
        <f>AND(TOC!#REF!,"AAAAAH7df0I=")</f>
        <v>#REF!</v>
      </c>
      <c r="BP9" t="e">
        <f>AND(TOC!#REF!,"AAAAAH7df0M=")</f>
        <v>#REF!</v>
      </c>
      <c r="BQ9" t="e">
        <f>AND(TOC!#REF!,"AAAAAH7df0Q=")</f>
        <v>#REF!</v>
      </c>
      <c r="BR9" t="e">
        <f>AND(TOC!#REF!,"AAAAAH7df0U=")</f>
        <v>#REF!</v>
      </c>
      <c r="BS9" t="e">
        <f>AND(TOC!#REF!,"AAAAAH7df0Y=")</f>
        <v>#REF!</v>
      </c>
      <c r="BT9" t="e">
        <f>AND(TOC!#REF!,"AAAAAH7df0c=")</f>
        <v>#REF!</v>
      </c>
      <c r="BU9" t="e">
        <f>AND(TOC!#REF!,"AAAAAH7df0g=")</f>
        <v>#REF!</v>
      </c>
      <c r="BV9" t="e">
        <f>AND(TOC!#REF!,"AAAAAH7df0k=")</f>
        <v>#REF!</v>
      </c>
      <c r="BW9" t="e">
        <f>AND(TOC!#REF!,"AAAAAH7df0o=")</f>
        <v>#REF!</v>
      </c>
      <c r="BX9" t="e">
        <f>AND(TOC!#REF!,"AAAAAH7df0s=")</f>
        <v>#REF!</v>
      </c>
      <c r="BY9" t="e">
        <f>AND(TOC!#REF!,"AAAAAH7df0w=")</f>
        <v>#REF!</v>
      </c>
      <c r="BZ9" t="e">
        <f>AND(TOC!#REF!,"AAAAAH7df00=")</f>
        <v>#REF!</v>
      </c>
      <c r="CA9" t="e">
        <f>AND(TOC!#REF!,"AAAAAH7df04=")</f>
        <v>#REF!</v>
      </c>
      <c r="CB9" t="e">
        <f>AND(TOC!#REF!,"AAAAAH7df08=")</f>
        <v>#REF!</v>
      </c>
      <c r="CC9" t="e">
        <f>AND(TOC!#REF!,"AAAAAH7df1A=")</f>
        <v>#REF!</v>
      </c>
      <c r="CD9" t="e">
        <f>AND(TOC!#REF!,"AAAAAH7df1E=")</f>
        <v>#REF!</v>
      </c>
      <c r="CE9" t="e">
        <f>AND(TOC!#REF!,"AAAAAH7df1I=")</f>
        <v>#REF!</v>
      </c>
      <c r="CF9" t="e">
        <f>AND(TOC!#REF!,"AAAAAH7df1M=")</f>
        <v>#REF!</v>
      </c>
      <c r="CG9" t="e">
        <f>AND(TOC!#REF!,"AAAAAH7df1Q=")</f>
        <v>#REF!</v>
      </c>
      <c r="CH9" t="e">
        <f>AND(TOC!#REF!,"AAAAAH7df1U=")</f>
        <v>#REF!</v>
      </c>
      <c r="CI9" t="e">
        <f>AND(TOC!#REF!,"AAAAAH7df1Y=")</f>
        <v>#REF!</v>
      </c>
      <c r="CJ9" t="e">
        <f>AND(TOC!#REF!,"AAAAAH7df1c=")</f>
        <v>#REF!</v>
      </c>
      <c r="CK9" t="e">
        <f>AND(TOC!#REF!,"AAAAAH7df1g=")</f>
        <v>#REF!</v>
      </c>
      <c r="CL9" t="e">
        <f>AND(TOC!#REF!,"AAAAAH7df1k=")</f>
        <v>#REF!</v>
      </c>
      <c r="CM9" t="e">
        <f>AND(TOC!#REF!,"AAAAAH7df1o=")</f>
        <v>#REF!</v>
      </c>
      <c r="CN9" t="e">
        <f>AND(TOC!#REF!,"AAAAAH7df1s=")</f>
        <v>#REF!</v>
      </c>
      <c r="CO9" t="e">
        <f>AND(TOC!#REF!,"AAAAAH7df1w=")</f>
        <v>#REF!</v>
      </c>
      <c r="CP9" t="e">
        <f>AND(TOC!#REF!,"AAAAAH7df10=")</f>
        <v>#REF!</v>
      </c>
      <c r="CQ9" t="e">
        <f>AND(TOC!#REF!,"AAAAAH7df14=")</f>
        <v>#REF!</v>
      </c>
      <c r="CR9" t="e">
        <f>AND(TOC!#REF!,"AAAAAH7df18=")</f>
        <v>#REF!</v>
      </c>
      <c r="CS9" t="e">
        <f>AND(TOC!#REF!,"AAAAAH7df2A=")</f>
        <v>#REF!</v>
      </c>
      <c r="CT9" t="e">
        <f>AND(TOC!#REF!,"AAAAAH7df2E=")</f>
        <v>#REF!</v>
      </c>
      <c r="CU9" t="e">
        <f>IF(TOC!#REF!,"AAAAAH7df2I=",0)</f>
        <v>#REF!</v>
      </c>
      <c r="CV9" t="e">
        <f>AND(TOC!#REF!,"AAAAAH7df2M=")</f>
        <v>#REF!</v>
      </c>
      <c r="CW9" t="e">
        <f>AND(TOC!#REF!,"AAAAAH7df2Q=")</f>
        <v>#REF!</v>
      </c>
      <c r="CX9" t="e">
        <f>AND(TOC!#REF!,"AAAAAH7df2U=")</f>
        <v>#REF!</v>
      </c>
      <c r="CY9" t="e">
        <f>AND(TOC!#REF!,"AAAAAH7df2Y=")</f>
        <v>#REF!</v>
      </c>
      <c r="CZ9" t="e">
        <f>AND(TOC!#REF!,"AAAAAH7df2c=")</f>
        <v>#REF!</v>
      </c>
      <c r="DA9" t="e">
        <f>AND(TOC!#REF!,"AAAAAH7df2g=")</f>
        <v>#REF!</v>
      </c>
      <c r="DB9" t="e">
        <f>AND(TOC!#REF!,"AAAAAH7df2k=")</f>
        <v>#REF!</v>
      </c>
      <c r="DC9" t="e">
        <f>AND(TOC!#REF!,"AAAAAH7df2o=")</f>
        <v>#REF!</v>
      </c>
      <c r="DD9" t="e">
        <f>AND(TOC!#REF!,"AAAAAH7df2s=")</f>
        <v>#REF!</v>
      </c>
      <c r="DE9" t="e">
        <f>AND(TOC!#REF!,"AAAAAH7df2w=")</f>
        <v>#REF!</v>
      </c>
      <c r="DF9" t="e">
        <f>AND(TOC!#REF!,"AAAAAH7df20=")</f>
        <v>#REF!</v>
      </c>
      <c r="DG9" t="e">
        <f>AND(TOC!#REF!,"AAAAAH7df24=")</f>
        <v>#REF!</v>
      </c>
      <c r="DH9" t="e">
        <f>AND(TOC!#REF!,"AAAAAH7df28=")</f>
        <v>#REF!</v>
      </c>
      <c r="DI9" t="e">
        <f>AND(TOC!#REF!,"AAAAAH7df3A=")</f>
        <v>#REF!</v>
      </c>
      <c r="DJ9" t="e">
        <f>AND(TOC!#REF!,"AAAAAH7df3E=")</f>
        <v>#REF!</v>
      </c>
      <c r="DK9" t="e">
        <f>AND(TOC!#REF!,"AAAAAH7df3I=")</f>
        <v>#REF!</v>
      </c>
      <c r="DL9" t="e">
        <f>AND(TOC!#REF!,"AAAAAH7df3M=")</f>
        <v>#REF!</v>
      </c>
      <c r="DM9" t="e">
        <f>AND(TOC!#REF!,"AAAAAH7df3Q=")</f>
        <v>#REF!</v>
      </c>
      <c r="DN9" t="e">
        <f>AND(TOC!#REF!,"AAAAAH7df3U=")</f>
        <v>#REF!</v>
      </c>
      <c r="DO9" t="e">
        <f>AND(TOC!#REF!,"AAAAAH7df3Y=")</f>
        <v>#REF!</v>
      </c>
      <c r="DP9" t="e">
        <f>AND(TOC!#REF!,"AAAAAH7df3c=")</f>
        <v>#REF!</v>
      </c>
      <c r="DQ9" t="e">
        <f>AND(TOC!#REF!,"AAAAAH7df3g=")</f>
        <v>#REF!</v>
      </c>
      <c r="DR9" t="e">
        <f>AND(TOC!#REF!,"AAAAAH7df3k=")</f>
        <v>#REF!</v>
      </c>
      <c r="DS9" t="e">
        <f>AND(TOC!#REF!,"AAAAAH7df3o=")</f>
        <v>#REF!</v>
      </c>
      <c r="DT9" t="e">
        <f>AND(TOC!#REF!,"AAAAAH7df3s=")</f>
        <v>#REF!</v>
      </c>
      <c r="DU9" t="e">
        <f>AND(TOC!#REF!,"AAAAAH7df3w=")</f>
        <v>#REF!</v>
      </c>
      <c r="DV9" t="e">
        <f>AND(TOC!#REF!,"AAAAAH7df30=")</f>
        <v>#REF!</v>
      </c>
      <c r="DW9" t="e">
        <f>AND(TOC!#REF!,"AAAAAH7df34=")</f>
        <v>#REF!</v>
      </c>
      <c r="DX9" t="e">
        <f>AND(TOC!#REF!,"AAAAAH7df38=")</f>
        <v>#REF!</v>
      </c>
      <c r="DY9" t="e">
        <f>AND(TOC!#REF!,"AAAAAH7df4A=")</f>
        <v>#REF!</v>
      </c>
      <c r="DZ9" t="e">
        <f>AND(TOC!#REF!,"AAAAAH7df4E=")</f>
        <v>#REF!</v>
      </c>
      <c r="EA9" t="e">
        <f>AND(TOC!#REF!,"AAAAAH7df4I=")</f>
        <v>#REF!</v>
      </c>
      <c r="EB9" t="e">
        <f>AND(TOC!#REF!,"AAAAAH7df4M=")</f>
        <v>#REF!</v>
      </c>
      <c r="EC9" t="e">
        <f>AND(TOC!#REF!,"AAAAAH7df4Q=")</f>
        <v>#REF!</v>
      </c>
      <c r="ED9" t="e">
        <f>AND(TOC!#REF!,"AAAAAH7df4U=")</f>
        <v>#REF!</v>
      </c>
      <c r="EE9" t="e">
        <f>AND(TOC!#REF!,"AAAAAH7df4Y=")</f>
        <v>#REF!</v>
      </c>
      <c r="EF9" t="e">
        <f>IF(TOC!#REF!,"AAAAAH7df4c=",0)</f>
        <v>#REF!</v>
      </c>
      <c r="EG9" t="e">
        <f>AND(TOC!#REF!,"AAAAAH7df4g=")</f>
        <v>#REF!</v>
      </c>
      <c r="EH9" t="e">
        <f>AND(TOC!#REF!,"AAAAAH7df4k=")</f>
        <v>#REF!</v>
      </c>
      <c r="EI9" t="e">
        <f>AND(TOC!#REF!,"AAAAAH7df4o=")</f>
        <v>#REF!</v>
      </c>
      <c r="EJ9" t="e">
        <f>AND(TOC!#REF!,"AAAAAH7df4s=")</f>
        <v>#REF!</v>
      </c>
      <c r="EK9" t="e">
        <f>AND(TOC!#REF!,"AAAAAH7df4w=")</f>
        <v>#REF!</v>
      </c>
      <c r="EL9" t="e">
        <f>AND(TOC!#REF!,"AAAAAH7df40=")</f>
        <v>#REF!</v>
      </c>
      <c r="EM9" t="e">
        <f>AND(TOC!#REF!,"AAAAAH7df44=")</f>
        <v>#REF!</v>
      </c>
      <c r="EN9" t="e">
        <f>AND(TOC!#REF!,"AAAAAH7df48=")</f>
        <v>#REF!</v>
      </c>
      <c r="EO9" t="e">
        <f>AND(TOC!#REF!,"AAAAAH7df5A=")</f>
        <v>#REF!</v>
      </c>
      <c r="EP9" t="e">
        <f>AND(TOC!#REF!,"AAAAAH7df5E=")</f>
        <v>#REF!</v>
      </c>
      <c r="EQ9" t="e">
        <f>AND(TOC!#REF!,"AAAAAH7df5I=")</f>
        <v>#REF!</v>
      </c>
      <c r="ER9" t="e">
        <f>AND(TOC!#REF!,"AAAAAH7df5M=")</f>
        <v>#REF!</v>
      </c>
      <c r="ES9" t="e">
        <f>AND(TOC!#REF!,"AAAAAH7df5Q=")</f>
        <v>#REF!</v>
      </c>
      <c r="ET9" t="e">
        <f>AND(TOC!#REF!,"AAAAAH7df5U=")</f>
        <v>#REF!</v>
      </c>
      <c r="EU9" t="e">
        <f>AND(TOC!#REF!,"AAAAAH7df5Y=")</f>
        <v>#REF!</v>
      </c>
      <c r="EV9" t="e">
        <f>AND(TOC!#REF!,"AAAAAH7df5c=")</f>
        <v>#REF!</v>
      </c>
      <c r="EW9" t="e">
        <f>AND(TOC!#REF!,"AAAAAH7df5g=")</f>
        <v>#REF!</v>
      </c>
      <c r="EX9" t="e">
        <f>AND(TOC!#REF!,"AAAAAH7df5k=")</f>
        <v>#REF!</v>
      </c>
      <c r="EY9" t="e">
        <f>AND(TOC!#REF!,"AAAAAH7df5o=")</f>
        <v>#REF!</v>
      </c>
      <c r="EZ9" t="e">
        <f>AND(TOC!#REF!,"AAAAAH7df5s=")</f>
        <v>#REF!</v>
      </c>
      <c r="FA9" t="e">
        <f>AND(TOC!#REF!,"AAAAAH7df5w=")</f>
        <v>#REF!</v>
      </c>
      <c r="FB9" t="e">
        <f>AND(TOC!#REF!,"AAAAAH7df50=")</f>
        <v>#REF!</v>
      </c>
      <c r="FC9" t="e">
        <f>AND(TOC!#REF!,"AAAAAH7df54=")</f>
        <v>#REF!</v>
      </c>
      <c r="FD9" t="e">
        <f>AND(TOC!#REF!,"AAAAAH7df58=")</f>
        <v>#REF!</v>
      </c>
      <c r="FE9" t="e">
        <f>AND(TOC!#REF!,"AAAAAH7df6A=")</f>
        <v>#REF!</v>
      </c>
      <c r="FF9" t="e">
        <f>AND(TOC!#REF!,"AAAAAH7df6E=")</f>
        <v>#REF!</v>
      </c>
      <c r="FG9" t="e">
        <f>AND(TOC!#REF!,"AAAAAH7df6I=")</f>
        <v>#REF!</v>
      </c>
      <c r="FH9" t="e">
        <f>AND(TOC!#REF!,"AAAAAH7df6M=")</f>
        <v>#REF!</v>
      </c>
      <c r="FI9" t="e">
        <f>AND(TOC!#REF!,"AAAAAH7df6Q=")</f>
        <v>#REF!</v>
      </c>
      <c r="FJ9" t="e">
        <f>AND(TOC!#REF!,"AAAAAH7df6U=")</f>
        <v>#REF!</v>
      </c>
      <c r="FK9" t="e">
        <f>AND(TOC!#REF!,"AAAAAH7df6Y=")</f>
        <v>#REF!</v>
      </c>
      <c r="FL9" t="e">
        <f>AND(TOC!#REF!,"AAAAAH7df6c=")</f>
        <v>#REF!</v>
      </c>
      <c r="FM9" t="e">
        <f>AND(TOC!#REF!,"AAAAAH7df6g=")</f>
        <v>#REF!</v>
      </c>
      <c r="FN9" t="e">
        <f>AND(TOC!#REF!,"AAAAAH7df6k=")</f>
        <v>#REF!</v>
      </c>
      <c r="FO9" t="e">
        <f>AND(TOC!#REF!,"AAAAAH7df6o=")</f>
        <v>#REF!</v>
      </c>
      <c r="FP9" t="e">
        <f>AND(TOC!#REF!,"AAAAAH7df6s=")</f>
        <v>#REF!</v>
      </c>
      <c r="FQ9" t="e">
        <f>IF(TOC!#REF!,"AAAAAH7df6w=",0)</f>
        <v>#REF!</v>
      </c>
      <c r="FR9" t="e">
        <f>AND(TOC!#REF!,"AAAAAH7df60=")</f>
        <v>#REF!</v>
      </c>
      <c r="FS9" t="e">
        <f>AND(TOC!#REF!,"AAAAAH7df64=")</f>
        <v>#REF!</v>
      </c>
      <c r="FT9" t="e">
        <f>AND(TOC!#REF!,"AAAAAH7df68=")</f>
        <v>#REF!</v>
      </c>
      <c r="FU9" t="e">
        <f>AND(TOC!#REF!,"AAAAAH7df7A=")</f>
        <v>#REF!</v>
      </c>
      <c r="FV9" t="e">
        <f>AND(TOC!#REF!,"AAAAAH7df7E=")</f>
        <v>#REF!</v>
      </c>
      <c r="FW9" t="e">
        <f>AND(TOC!#REF!,"AAAAAH7df7I=")</f>
        <v>#REF!</v>
      </c>
      <c r="FX9" t="e">
        <f>AND(TOC!#REF!,"AAAAAH7df7M=")</f>
        <v>#REF!</v>
      </c>
      <c r="FY9" t="e">
        <f>AND(TOC!#REF!,"AAAAAH7df7Q=")</f>
        <v>#REF!</v>
      </c>
      <c r="FZ9" t="e">
        <f>AND(TOC!#REF!,"AAAAAH7df7U=")</f>
        <v>#REF!</v>
      </c>
      <c r="GA9" t="e">
        <f>AND(TOC!#REF!,"AAAAAH7df7Y=")</f>
        <v>#REF!</v>
      </c>
      <c r="GB9" t="e">
        <f>AND(TOC!#REF!,"AAAAAH7df7c=")</f>
        <v>#REF!</v>
      </c>
      <c r="GC9" t="e">
        <f>AND(TOC!#REF!,"AAAAAH7df7g=")</f>
        <v>#REF!</v>
      </c>
      <c r="GD9" t="e">
        <f>AND(TOC!#REF!,"AAAAAH7df7k=")</f>
        <v>#REF!</v>
      </c>
      <c r="GE9" t="e">
        <f>AND(TOC!#REF!,"AAAAAH7df7o=")</f>
        <v>#REF!</v>
      </c>
      <c r="GF9" t="e">
        <f>AND(TOC!#REF!,"AAAAAH7df7s=")</f>
        <v>#REF!</v>
      </c>
      <c r="GG9" t="e">
        <f>AND(TOC!#REF!,"AAAAAH7df7w=")</f>
        <v>#REF!</v>
      </c>
      <c r="GH9" t="e">
        <f>AND(TOC!#REF!,"AAAAAH7df70=")</f>
        <v>#REF!</v>
      </c>
      <c r="GI9" t="e">
        <f>AND(TOC!#REF!,"AAAAAH7df74=")</f>
        <v>#REF!</v>
      </c>
      <c r="GJ9" t="e">
        <f>AND(TOC!#REF!,"AAAAAH7df78=")</f>
        <v>#REF!</v>
      </c>
      <c r="GK9" t="e">
        <f>AND(TOC!#REF!,"AAAAAH7df8A=")</f>
        <v>#REF!</v>
      </c>
      <c r="GL9" t="e">
        <f>AND(TOC!#REF!,"AAAAAH7df8E=")</f>
        <v>#REF!</v>
      </c>
      <c r="GM9" t="e">
        <f>AND(TOC!#REF!,"AAAAAH7df8I=")</f>
        <v>#REF!</v>
      </c>
      <c r="GN9" t="e">
        <f>AND(TOC!#REF!,"AAAAAH7df8M=")</f>
        <v>#REF!</v>
      </c>
      <c r="GO9" t="e">
        <f>AND(TOC!#REF!,"AAAAAH7df8Q=")</f>
        <v>#REF!</v>
      </c>
      <c r="GP9" t="e">
        <f>AND(TOC!#REF!,"AAAAAH7df8U=")</f>
        <v>#REF!</v>
      </c>
      <c r="GQ9" t="e">
        <f>AND(TOC!#REF!,"AAAAAH7df8Y=")</f>
        <v>#REF!</v>
      </c>
      <c r="GR9" t="e">
        <f>AND(TOC!#REF!,"AAAAAH7df8c=")</f>
        <v>#REF!</v>
      </c>
      <c r="GS9" t="e">
        <f>AND(TOC!#REF!,"AAAAAH7df8g=")</f>
        <v>#REF!</v>
      </c>
      <c r="GT9" t="e">
        <f>AND(TOC!#REF!,"AAAAAH7df8k=")</f>
        <v>#REF!</v>
      </c>
      <c r="GU9" t="e">
        <f>AND(TOC!#REF!,"AAAAAH7df8o=")</f>
        <v>#REF!</v>
      </c>
      <c r="GV9" t="e">
        <f>AND(TOC!#REF!,"AAAAAH7df8s=")</f>
        <v>#REF!</v>
      </c>
      <c r="GW9" t="e">
        <f>AND(TOC!#REF!,"AAAAAH7df8w=")</f>
        <v>#REF!</v>
      </c>
      <c r="GX9" t="e">
        <f>AND(TOC!#REF!,"AAAAAH7df80=")</f>
        <v>#REF!</v>
      </c>
      <c r="GY9" t="e">
        <f>AND(TOC!#REF!,"AAAAAH7df84=")</f>
        <v>#REF!</v>
      </c>
      <c r="GZ9" t="e">
        <f>AND(TOC!#REF!,"AAAAAH7df88=")</f>
        <v>#REF!</v>
      </c>
      <c r="HA9" t="e">
        <f>AND(TOC!#REF!,"AAAAAH7df9A=")</f>
        <v>#REF!</v>
      </c>
      <c r="HB9" t="e">
        <f>IF(TOC!#REF!,"AAAAAH7df9E=",0)</f>
        <v>#REF!</v>
      </c>
      <c r="HC9" t="e">
        <f>AND(TOC!#REF!,"AAAAAH7df9I=")</f>
        <v>#REF!</v>
      </c>
      <c r="HD9" t="e">
        <f>AND(TOC!#REF!,"AAAAAH7df9M=")</f>
        <v>#REF!</v>
      </c>
      <c r="HE9" t="e">
        <f>AND(TOC!#REF!,"AAAAAH7df9Q=")</f>
        <v>#REF!</v>
      </c>
      <c r="HF9" t="e">
        <f>AND(TOC!#REF!,"AAAAAH7df9U=")</f>
        <v>#REF!</v>
      </c>
      <c r="HG9" t="e">
        <f>AND(TOC!#REF!,"AAAAAH7df9Y=")</f>
        <v>#REF!</v>
      </c>
      <c r="HH9" t="e">
        <f>AND(TOC!#REF!,"AAAAAH7df9c=")</f>
        <v>#REF!</v>
      </c>
      <c r="HI9" t="e">
        <f>AND(TOC!#REF!,"AAAAAH7df9g=")</f>
        <v>#REF!</v>
      </c>
      <c r="HJ9" t="e">
        <f>AND(TOC!#REF!,"AAAAAH7df9k=")</f>
        <v>#REF!</v>
      </c>
      <c r="HK9" t="e">
        <f>AND(TOC!#REF!,"AAAAAH7df9o=")</f>
        <v>#REF!</v>
      </c>
      <c r="HL9" t="e">
        <f>AND(TOC!#REF!,"AAAAAH7df9s=")</f>
        <v>#REF!</v>
      </c>
      <c r="HM9" t="e">
        <f>AND(TOC!#REF!,"AAAAAH7df9w=")</f>
        <v>#REF!</v>
      </c>
      <c r="HN9" t="e">
        <f>AND(TOC!#REF!,"AAAAAH7df90=")</f>
        <v>#REF!</v>
      </c>
      <c r="HO9" t="e">
        <f>AND(TOC!#REF!,"AAAAAH7df94=")</f>
        <v>#REF!</v>
      </c>
      <c r="HP9" t="e">
        <f>AND(TOC!#REF!,"AAAAAH7df98=")</f>
        <v>#REF!</v>
      </c>
      <c r="HQ9" t="e">
        <f>AND(TOC!#REF!,"AAAAAH7df+A=")</f>
        <v>#REF!</v>
      </c>
      <c r="HR9" t="e">
        <f>AND(TOC!#REF!,"AAAAAH7df+E=")</f>
        <v>#REF!</v>
      </c>
      <c r="HS9" t="e">
        <f>AND(TOC!#REF!,"AAAAAH7df+I=")</f>
        <v>#REF!</v>
      </c>
      <c r="HT9" t="e">
        <f>AND(TOC!#REF!,"AAAAAH7df+M=")</f>
        <v>#REF!</v>
      </c>
      <c r="HU9" t="e">
        <f>AND(TOC!#REF!,"AAAAAH7df+Q=")</f>
        <v>#REF!</v>
      </c>
      <c r="HV9" t="e">
        <f>AND(TOC!#REF!,"AAAAAH7df+U=")</f>
        <v>#REF!</v>
      </c>
      <c r="HW9" t="e">
        <f>AND(TOC!#REF!,"AAAAAH7df+Y=")</f>
        <v>#REF!</v>
      </c>
      <c r="HX9" t="e">
        <f>AND(TOC!#REF!,"AAAAAH7df+c=")</f>
        <v>#REF!</v>
      </c>
      <c r="HY9" t="e">
        <f>AND(TOC!#REF!,"AAAAAH7df+g=")</f>
        <v>#REF!</v>
      </c>
      <c r="HZ9" t="e">
        <f>AND(TOC!#REF!,"AAAAAH7df+k=")</f>
        <v>#REF!</v>
      </c>
      <c r="IA9" t="e">
        <f>AND(TOC!#REF!,"AAAAAH7df+o=")</f>
        <v>#REF!</v>
      </c>
      <c r="IB9" t="e">
        <f>AND(TOC!#REF!,"AAAAAH7df+s=")</f>
        <v>#REF!</v>
      </c>
      <c r="IC9" t="e">
        <f>AND(TOC!#REF!,"AAAAAH7df+w=")</f>
        <v>#REF!</v>
      </c>
      <c r="ID9" t="e">
        <f>AND(TOC!#REF!,"AAAAAH7df+0=")</f>
        <v>#REF!</v>
      </c>
      <c r="IE9" t="e">
        <f>AND(TOC!#REF!,"AAAAAH7df+4=")</f>
        <v>#REF!</v>
      </c>
      <c r="IF9" t="e">
        <f>AND(TOC!#REF!,"AAAAAH7df+8=")</f>
        <v>#REF!</v>
      </c>
      <c r="IG9" t="e">
        <f>AND(TOC!#REF!,"AAAAAH7df/A=")</f>
        <v>#REF!</v>
      </c>
      <c r="IH9" t="e">
        <f>AND(TOC!#REF!,"AAAAAH7df/E=")</f>
        <v>#REF!</v>
      </c>
      <c r="II9" t="e">
        <f>AND(TOC!#REF!,"AAAAAH7df/I=")</f>
        <v>#REF!</v>
      </c>
      <c r="IJ9" t="e">
        <f>AND(TOC!#REF!,"AAAAAH7df/M=")</f>
        <v>#REF!</v>
      </c>
      <c r="IK9" t="e">
        <f>AND(TOC!#REF!,"AAAAAH7df/Q=")</f>
        <v>#REF!</v>
      </c>
      <c r="IL9" t="e">
        <f>AND(TOC!#REF!,"AAAAAH7df/U=")</f>
        <v>#REF!</v>
      </c>
      <c r="IM9" t="e">
        <f>IF(TOC!#REF!,"AAAAAH7df/Y=",0)</f>
        <v>#REF!</v>
      </c>
      <c r="IN9" t="e">
        <f>AND(TOC!#REF!,"AAAAAH7df/c=")</f>
        <v>#REF!</v>
      </c>
      <c r="IO9" t="e">
        <f>AND(TOC!#REF!,"AAAAAH7df/g=")</f>
        <v>#REF!</v>
      </c>
      <c r="IP9" t="e">
        <f>AND(TOC!#REF!,"AAAAAH7df/k=")</f>
        <v>#REF!</v>
      </c>
      <c r="IQ9" t="e">
        <f>AND(TOC!#REF!,"AAAAAH7df/o=")</f>
        <v>#REF!</v>
      </c>
      <c r="IR9" t="e">
        <f>AND(TOC!#REF!,"AAAAAH7df/s=")</f>
        <v>#REF!</v>
      </c>
      <c r="IS9" t="e">
        <f>AND(TOC!#REF!,"AAAAAH7df/w=")</f>
        <v>#REF!</v>
      </c>
      <c r="IT9" t="e">
        <f>AND(TOC!#REF!,"AAAAAH7df/0=")</f>
        <v>#REF!</v>
      </c>
      <c r="IU9" t="e">
        <f>AND(TOC!#REF!,"AAAAAH7df/4=")</f>
        <v>#REF!</v>
      </c>
      <c r="IV9" t="e">
        <f>AND(TOC!#REF!,"AAAAAH7df/8=")</f>
        <v>#REF!</v>
      </c>
    </row>
    <row r="10" spans="1:256" x14ac:dyDescent="0.2">
      <c r="A10" t="e">
        <f>AND(TOC!#REF!,"AAAAAH///gA=")</f>
        <v>#REF!</v>
      </c>
      <c r="B10" t="e">
        <f>AND(TOC!#REF!,"AAAAAH///gE=")</f>
        <v>#REF!</v>
      </c>
      <c r="C10" t="e">
        <f>AND(TOC!#REF!,"AAAAAH///gI=")</f>
        <v>#REF!</v>
      </c>
      <c r="D10" t="e">
        <f>AND(TOC!#REF!,"AAAAAH///gM=")</f>
        <v>#REF!</v>
      </c>
      <c r="E10" t="e">
        <f>AND(TOC!#REF!,"AAAAAH///gQ=")</f>
        <v>#REF!</v>
      </c>
      <c r="F10" t="e">
        <f>AND(TOC!#REF!,"AAAAAH///gU=")</f>
        <v>#REF!</v>
      </c>
      <c r="G10" t="e">
        <f>AND(TOC!#REF!,"AAAAAH///gY=")</f>
        <v>#REF!</v>
      </c>
      <c r="H10" t="e">
        <f>AND(TOC!#REF!,"AAAAAH///gc=")</f>
        <v>#REF!</v>
      </c>
      <c r="I10" t="e">
        <f>AND(TOC!#REF!,"AAAAAH///gg=")</f>
        <v>#REF!</v>
      </c>
      <c r="J10" t="e">
        <f>AND(TOC!#REF!,"AAAAAH///gk=")</f>
        <v>#REF!</v>
      </c>
      <c r="K10" t="e">
        <f>AND(TOC!#REF!,"AAAAAH///go=")</f>
        <v>#REF!</v>
      </c>
      <c r="L10" t="e">
        <f>AND(TOC!#REF!,"AAAAAH///gs=")</f>
        <v>#REF!</v>
      </c>
      <c r="M10" t="e">
        <f>AND(TOC!#REF!,"AAAAAH///gw=")</f>
        <v>#REF!</v>
      </c>
      <c r="N10" t="e">
        <f>AND(TOC!#REF!,"AAAAAH///g0=")</f>
        <v>#REF!</v>
      </c>
      <c r="O10" t="e">
        <f>AND(TOC!#REF!,"AAAAAH///g4=")</f>
        <v>#REF!</v>
      </c>
      <c r="P10" t="e">
        <f>AND(TOC!#REF!,"AAAAAH///g8=")</f>
        <v>#REF!</v>
      </c>
      <c r="Q10" t="e">
        <f>AND(TOC!#REF!,"AAAAAH///hA=")</f>
        <v>#REF!</v>
      </c>
      <c r="R10" t="e">
        <f>AND(TOC!#REF!,"AAAAAH///hE=")</f>
        <v>#REF!</v>
      </c>
      <c r="S10" t="e">
        <f>AND(TOC!#REF!,"AAAAAH///hI=")</f>
        <v>#REF!</v>
      </c>
      <c r="T10" t="e">
        <f>AND(TOC!#REF!,"AAAAAH///hM=")</f>
        <v>#REF!</v>
      </c>
      <c r="U10" t="e">
        <f>AND(TOC!#REF!,"AAAAAH///hQ=")</f>
        <v>#REF!</v>
      </c>
      <c r="V10" t="e">
        <f>AND(TOC!#REF!,"AAAAAH///hU=")</f>
        <v>#REF!</v>
      </c>
      <c r="W10" t="e">
        <f>AND(TOC!#REF!,"AAAAAH///hY=")</f>
        <v>#REF!</v>
      </c>
      <c r="X10" t="e">
        <f>AND(TOC!#REF!,"AAAAAH///hc=")</f>
        <v>#REF!</v>
      </c>
      <c r="Y10" t="e">
        <f>AND(TOC!#REF!,"AAAAAH///hg=")</f>
        <v>#REF!</v>
      </c>
      <c r="Z10" t="e">
        <f>AND(TOC!#REF!,"AAAAAH///hk=")</f>
        <v>#REF!</v>
      </c>
      <c r="AA10" t="e">
        <f>AND(TOC!#REF!,"AAAAAH///ho=")</f>
        <v>#REF!</v>
      </c>
      <c r="AB10" t="e">
        <f>IF(TOC!#REF!,"AAAAAH///hs=",0)</f>
        <v>#REF!</v>
      </c>
      <c r="AC10" t="e">
        <f>AND(TOC!#REF!,"AAAAAH///hw=")</f>
        <v>#REF!</v>
      </c>
      <c r="AD10" t="e">
        <f>AND(TOC!#REF!,"AAAAAH///h0=")</f>
        <v>#REF!</v>
      </c>
      <c r="AE10" t="e">
        <f>AND(TOC!#REF!,"AAAAAH///h4=")</f>
        <v>#REF!</v>
      </c>
      <c r="AF10" t="e">
        <f>AND(TOC!#REF!,"AAAAAH///h8=")</f>
        <v>#REF!</v>
      </c>
      <c r="AG10" t="e">
        <f>AND(TOC!#REF!,"AAAAAH///iA=")</f>
        <v>#REF!</v>
      </c>
      <c r="AH10" t="e">
        <f>AND(TOC!#REF!,"AAAAAH///iE=")</f>
        <v>#REF!</v>
      </c>
      <c r="AI10" t="e">
        <f>AND(TOC!#REF!,"AAAAAH///iI=")</f>
        <v>#REF!</v>
      </c>
      <c r="AJ10" t="e">
        <f>AND(TOC!#REF!,"AAAAAH///iM=")</f>
        <v>#REF!</v>
      </c>
      <c r="AK10" t="e">
        <f>AND(TOC!#REF!,"AAAAAH///iQ=")</f>
        <v>#REF!</v>
      </c>
      <c r="AL10" t="e">
        <f>AND(TOC!#REF!,"AAAAAH///iU=")</f>
        <v>#REF!</v>
      </c>
      <c r="AM10" t="e">
        <f>AND(TOC!#REF!,"AAAAAH///iY=")</f>
        <v>#REF!</v>
      </c>
      <c r="AN10" t="e">
        <f>AND(TOC!#REF!,"AAAAAH///ic=")</f>
        <v>#REF!</v>
      </c>
      <c r="AO10" t="e">
        <f>AND(TOC!#REF!,"AAAAAH///ig=")</f>
        <v>#REF!</v>
      </c>
      <c r="AP10" t="e">
        <f>AND(TOC!#REF!,"AAAAAH///ik=")</f>
        <v>#REF!</v>
      </c>
      <c r="AQ10" t="e">
        <f>AND(TOC!#REF!,"AAAAAH///io=")</f>
        <v>#REF!</v>
      </c>
      <c r="AR10" t="e">
        <f>AND(TOC!#REF!,"AAAAAH///is=")</f>
        <v>#REF!</v>
      </c>
      <c r="AS10" t="e">
        <f>AND(TOC!#REF!,"AAAAAH///iw=")</f>
        <v>#REF!</v>
      </c>
      <c r="AT10" t="e">
        <f>AND(TOC!#REF!,"AAAAAH///i0=")</f>
        <v>#REF!</v>
      </c>
      <c r="AU10" t="e">
        <f>AND(TOC!#REF!,"AAAAAH///i4=")</f>
        <v>#REF!</v>
      </c>
      <c r="AV10" t="e">
        <f>AND(TOC!#REF!,"AAAAAH///i8=")</f>
        <v>#REF!</v>
      </c>
      <c r="AW10" t="e">
        <f>AND(TOC!#REF!,"AAAAAH///jA=")</f>
        <v>#REF!</v>
      </c>
      <c r="AX10" t="e">
        <f>AND(TOC!#REF!,"AAAAAH///jE=")</f>
        <v>#REF!</v>
      </c>
      <c r="AY10" t="e">
        <f>AND(TOC!#REF!,"AAAAAH///jI=")</f>
        <v>#REF!</v>
      </c>
      <c r="AZ10" t="e">
        <f>AND(TOC!#REF!,"AAAAAH///jM=")</f>
        <v>#REF!</v>
      </c>
      <c r="BA10" t="e">
        <f>AND(TOC!#REF!,"AAAAAH///jQ=")</f>
        <v>#REF!</v>
      </c>
      <c r="BB10" t="e">
        <f>AND(TOC!#REF!,"AAAAAH///jU=")</f>
        <v>#REF!</v>
      </c>
      <c r="BC10" t="e">
        <f>AND(TOC!#REF!,"AAAAAH///jY=")</f>
        <v>#REF!</v>
      </c>
      <c r="BD10" t="e">
        <f>AND(TOC!#REF!,"AAAAAH///jc=")</f>
        <v>#REF!</v>
      </c>
      <c r="BE10" t="e">
        <f>AND(TOC!#REF!,"AAAAAH///jg=")</f>
        <v>#REF!</v>
      </c>
      <c r="BF10" t="e">
        <f>AND(TOC!#REF!,"AAAAAH///jk=")</f>
        <v>#REF!</v>
      </c>
      <c r="BG10" t="e">
        <f>AND(TOC!#REF!,"AAAAAH///jo=")</f>
        <v>#REF!</v>
      </c>
      <c r="BH10" t="e">
        <f>AND(TOC!#REF!,"AAAAAH///js=")</f>
        <v>#REF!</v>
      </c>
      <c r="BI10" t="e">
        <f>AND(TOC!#REF!,"AAAAAH///jw=")</f>
        <v>#REF!</v>
      </c>
      <c r="BJ10" t="e">
        <f>AND(TOC!#REF!,"AAAAAH///j0=")</f>
        <v>#REF!</v>
      </c>
      <c r="BK10" t="e">
        <f>AND(TOC!#REF!,"AAAAAH///j4=")</f>
        <v>#REF!</v>
      </c>
      <c r="BL10" t="e">
        <f>AND(TOC!#REF!,"AAAAAH///j8=")</f>
        <v>#REF!</v>
      </c>
      <c r="BM10" t="e">
        <f>IF(TOC!#REF!,"AAAAAH///kA=",0)</f>
        <v>#REF!</v>
      </c>
      <c r="BN10" t="e">
        <f>AND(TOC!#REF!,"AAAAAH///kE=")</f>
        <v>#REF!</v>
      </c>
      <c r="BO10" t="e">
        <f>AND(TOC!#REF!,"AAAAAH///kI=")</f>
        <v>#REF!</v>
      </c>
      <c r="BP10" t="e">
        <f>AND(TOC!#REF!,"AAAAAH///kM=")</f>
        <v>#REF!</v>
      </c>
      <c r="BQ10" t="e">
        <f>AND(TOC!#REF!,"AAAAAH///kQ=")</f>
        <v>#REF!</v>
      </c>
      <c r="BR10" t="e">
        <f>AND(TOC!#REF!,"AAAAAH///kU=")</f>
        <v>#REF!</v>
      </c>
      <c r="BS10" t="e">
        <f>AND(TOC!#REF!,"AAAAAH///kY=")</f>
        <v>#REF!</v>
      </c>
      <c r="BT10" t="e">
        <f>AND(TOC!#REF!,"AAAAAH///kc=")</f>
        <v>#REF!</v>
      </c>
      <c r="BU10" t="e">
        <f>AND(TOC!#REF!,"AAAAAH///kg=")</f>
        <v>#REF!</v>
      </c>
      <c r="BV10" t="e">
        <f>AND(TOC!#REF!,"AAAAAH///kk=")</f>
        <v>#REF!</v>
      </c>
      <c r="BW10" t="e">
        <f>AND(TOC!#REF!,"AAAAAH///ko=")</f>
        <v>#REF!</v>
      </c>
      <c r="BX10" t="e">
        <f>AND(TOC!#REF!,"AAAAAH///ks=")</f>
        <v>#REF!</v>
      </c>
      <c r="BY10" t="e">
        <f>AND(TOC!#REF!,"AAAAAH///kw=")</f>
        <v>#REF!</v>
      </c>
      <c r="BZ10" t="e">
        <f>AND(TOC!#REF!,"AAAAAH///k0=")</f>
        <v>#REF!</v>
      </c>
      <c r="CA10" t="e">
        <f>AND(TOC!#REF!,"AAAAAH///k4=")</f>
        <v>#REF!</v>
      </c>
      <c r="CB10" t="e">
        <f>AND(TOC!#REF!,"AAAAAH///k8=")</f>
        <v>#REF!</v>
      </c>
      <c r="CC10" t="e">
        <f>AND(TOC!#REF!,"AAAAAH///lA=")</f>
        <v>#REF!</v>
      </c>
      <c r="CD10" t="e">
        <f>AND(TOC!#REF!,"AAAAAH///lE=")</f>
        <v>#REF!</v>
      </c>
      <c r="CE10" t="e">
        <f>AND(TOC!#REF!,"AAAAAH///lI=")</f>
        <v>#REF!</v>
      </c>
      <c r="CF10" t="e">
        <f>AND(TOC!#REF!,"AAAAAH///lM=")</f>
        <v>#REF!</v>
      </c>
      <c r="CG10" t="e">
        <f>AND(TOC!#REF!,"AAAAAH///lQ=")</f>
        <v>#REF!</v>
      </c>
      <c r="CH10" t="e">
        <f>AND(TOC!#REF!,"AAAAAH///lU=")</f>
        <v>#REF!</v>
      </c>
      <c r="CI10" t="e">
        <f>AND(TOC!#REF!,"AAAAAH///lY=")</f>
        <v>#REF!</v>
      </c>
      <c r="CJ10" t="e">
        <f>AND(TOC!#REF!,"AAAAAH///lc=")</f>
        <v>#REF!</v>
      </c>
      <c r="CK10" t="e">
        <f>AND(TOC!#REF!,"AAAAAH///lg=")</f>
        <v>#REF!</v>
      </c>
      <c r="CL10" t="e">
        <f>AND(TOC!#REF!,"AAAAAH///lk=")</f>
        <v>#REF!</v>
      </c>
      <c r="CM10" t="e">
        <f>AND(TOC!#REF!,"AAAAAH///lo=")</f>
        <v>#REF!</v>
      </c>
      <c r="CN10" t="e">
        <f>AND(TOC!#REF!,"AAAAAH///ls=")</f>
        <v>#REF!</v>
      </c>
      <c r="CO10" t="e">
        <f>AND(TOC!#REF!,"AAAAAH///lw=")</f>
        <v>#REF!</v>
      </c>
      <c r="CP10" t="e">
        <f>AND(TOC!#REF!,"AAAAAH///l0=")</f>
        <v>#REF!</v>
      </c>
      <c r="CQ10" t="e">
        <f>AND(TOC!#REF!,"AAAAAH///l4=")</f>
        <v>#REF!</v>
      </c>
      <c r="CR10" t="e">
        <f>AND(TOC!#REF!,"AAAAAH///l8=")</f>
        <v>#REF!</v>
      </c>
      <c r="CS10" t="e">
        <f>AND(TOC!#REF!,"AAAAAH///mA=")</f>
        <v>#REF!</v>
      </c>
      <c r="CT10" t="e">
        <f>AND(TOC!#REF!,"AAAAAH///mE=")</f>
        <v>#REF!</v>
      </c>
      <c r="CU10" t="e">
        <f>AND(TOC!#REF!,"AAAAAH///mI=")</f>
        <v>#REF!</v>
      </c>
      <c r="CV10" t="e">
        <f>AND(TOC!#REF!,"AAAAAH///mM=")</f>
        <v>#REF!</v>
      </c>
      <c r="CW10" t="e">
        <f>AND(TOC!#REF!,"AAAAAH///mQ=")</f>
        <v>#REF!</v>
      </c>
      <c r="CX10" t="e">
        <f>IF(TOC!#REF!,"AAAAAH///mU=",0)</f>
        <v>#REF!</v>
      </c>
      <c r="CY10" t="e">
        <f>AND(TOC!#REF!,"AAAAAH///mY=")</f>
        <v>#REF!</v>
      </c>
      <c r="CZ10" t="e">
        <f>AND(TOC!#REF!,"AAAAAH///mc=")</f>
        <v>#REF!</v>
      </c>
      <c r="DA10" t="e">
        <f>AND(TOC!#REF!,"AAAAAH///mg=")</f>
        <v>#REF!</v>
      </c>
      <c r="DB10" t="e">
        <f>AND(TOC!#REF!,"AAAAAH///mk=")</f>
        <v>#REF!</v>
      </c>
      <c r="DC10" t="e">
        <f>AND(TOC!#REF!,"AAAAAH///mo=")</f>
        <v>#REF!</v>
      </c>
      <c r="DD10" t="e">
        <f>AND(TOC!#REF!,"AAAAAH///ms=")</f>
        <v>#REF!</v>
      </c>
      <c r="DE10" t="e">
        <f>AND(TOC!#REF!,"AAAAAH///mw=")</f>
        <v>#REF!</v>
      </c>
      <c r="DF10" t="e">
        <f>AND(TOC!#REF!,"AAAAAH///m0=")</f>
        <v>#REF!</v>
      </c>
      <c r="DG10" t="e">
        <f>AND(TOC!#REF!,"AAAAAH///m4=")</f>
        <v>#REF!</v>
      </c>
      <c r="DH10" t="e">
        <f>AND(TOC!#REF!,"AAAAAH///m8=")</f>
        <v>#REF!</v>
      </c>
      <c r="DI10" t="e">
        <f>AND(TOC!#REF!,"AAAAAH///nA=")</f>
        <v>#REF!</v>
      </c>
      <c r="DJ10" t="e">
        <f>AND(TOC!#REF!,"AAAAAH///nE=")</f>
        <v>#REF!</v>
      </c>
      <c r="DK10" t="e">
        <f>AND(TOC!#REF!,"AAAAAH///nI=")</f>
        <v>#REF!</v>
      </c>
      <c r="DL10" t="e">
        <f>AND(TOC!#REF!,"AAAAAH///nM=")</f>
        <v>#REF!</v>
      </c>
      <c r="DM10" t="e">
        <f>AND(TOC!#REF!,"AAAAAH///nQ=")</f>
        <v>#REF!</v>
      </c>
      <c r="DN10" t="e">
        <f>AND(TOC!#REF!,"AAAAAH///nU=")</f>
        <v>#REF!</v>
      </c>
      <c r="DO10" t="e">
        <f>AND(TOC!#REF!,"AAAAAH///nY=")</f>
        <v>#REF!</v>
      </c>
      <c r="DP10" t="e">
        <f>AND(TOC!#REF!,"AAAAAH///nc=")</f>
        <v>#REF!</v>
      </c>
      <c r="DQ10" t="e">
        <f>AND(TOC!#REF!,"AAAAAH///ng=")</f>
        <v>#REF!</v>
      </c>
      <c r="DR10" t="e">
        <f>AND(TOC!#REF!,"AAAAAH///nk=")</f>
        <v>#REF!</v>
      </c>
      <c r="DS10" t="e">
        <f>AND(TOC!#REF!,"AAAAAH///no=")</f>
        <v>#REF!</v>
      </c>
      <c r="DT10" t="e">
        <f>AND(TOC!#REF!,"AAAAAH///ns=")</f>
        <v>#REF!</v>
      </c>
      <c r="DU10" t="e">
        <f>AND(TOC!#REF!,"AAAAAH///nw=")</f>
        <v>#REF!</v>
      </c>
      <c r="DV10" t="e">
        <f>AND(TOC!#REF!,"AAAAAH///n0=")</f>
        <v>#REF!</v>
      </c>
      <c r="DW10" t="e">
        <f>AND(TOC!#REF!,"AAAAAH///n4=")</f>
        <v>#REF!</v>
      </c>
      <c r="DX10" t="e">
        <f>AND(TOC!#REF!,"AAAAAH///n8=")</f>
        <v>#REF!</v>
      </c>
      <c r="DY10" t="e">
        <f>AND(TOC!#REF!,"AAAAAH///oA=")</f>
        <v>#REF!</v>
      </c>
      <c r="DZ10" t="e">
        <f>AND(TOC!#REF!,"AAAAAH///oE=")</f>
        <v>#REF!</v>
      </c>
      <c r="EA10" t="e">
        <f>AND(TOC!#REF!,"AAAAAH///oI=")</f>
        <v>#REF!</v>
      </c>
      <c r="EB10" t="e">
        <f>AND(TOC!#REF!,"AAAAAH///oM=")</f>
        <v>#REF!</v>
      </c>
      <c r="EC10" t="e">
        <f>AND(TOC!#REF!,"AAAAAH///oQ=")</f>
        <v>#REF!</v>
      </c>
      <c r="ED10" t="e">
        <f>AND(TOC!#REF!,"AAAAAH///oU=")</f>
        <v>#REF!</v>
      </c>
      <c r="EE10" t="e">
        <f>AND(TOC!#REF!,"AAAAAH///oY=")</f>
        <v>#REF!</v>
      </c>
      <c r="EF10" t="e">
        <f>AND(TOC!#REF!,"AAAAAH///oc=")</f>
        <v>#REF!</v>
      </c>
      <c r="EG10" t="e">
        <f>AND(TOC!#REF!,"AAAAAH///og=")</f>
        <v>#REF!</v>
      </c>
      <c r="EH10" t="e">
        <f>AND(TOC!#REF!,"AAAAAH///ok=")</f>
        <v>#REF!</v>
      </c>
      <c r="EI10" t="e">
        <f>IF(TOC!#REF!,"AAAAAH///oo=",0)</f>
        <v>#REF!</v>
      </c>
      <c r="EJ10" t="e">
        <f>AND(TOC!#REF!,"AAAAAH///os=")</f>
        <v>#REF!</v>
      </c>
      <c r="EK10" t="e">
        <f>AND(TOC!#REF!,"AAAAAH///ow=")</f>
        <v>#REF!</v>
      </c>
      <c r="EL10" t="e">
        <f>AND(TOC!#REF!,"AAAAAH///o0=")</f>
        <v>#REF!</v>
      </c>
      <c r="EM10" t="e">
        <f>AND(TOC!#REF!,"AAAAAH///o4=")</f>
        <v>#REF!</v>
      </c>
      <c r="EN10" t="e">
        <f>AND(TOC!#REF!,"AAAAAH///o8=")</f>
        <v>#REF!</v>
      </c>
      <c r="EO10" t="e">
        <f>AND(TOC!#REF!,"AAAAAH///pA=")</f>
        <v>#REF!</v>
      </c>
      <c r="EP10" t="e">
        <f>AND(TOC!#REF!,"AAAAAH///pE=")</f>
        <v>#REF!</v>
      </c>
      <c r="EQ10" t="e">
        <f>AND(TOC!#REF!,"AAAAAH///pI=")</f>
        <v>#REF!</v>
      </c>
      <c r="ER10" t="e">
        <f>AND(TOC!#REF!,"AAAAAH///pM=")</f>
        <v>#REF!</v>
      </c>
      <c r="ES10" t="e">
        <f>AND(TOC!#REF!,"AAAAAH///pQ=")</f>
        <v>#REF!</v>
      </c>
      <c r="ET10" t="e">
        <f>AND(TOC!#REF!,"AAAAAH///pU=")</f>
        <v>#REF!</v>
      </c>
      <c r="EU10" t="e">
        <f>AND(TOC!#REF!,"AAAAAH///pY=")</f>
        <v>#REF!</v>
      </c>
      <c r="EV10" t="e">
        <f>AND(TOC!#REF!,"AAAAAH///pc=")</f>
        <v>#REF!</v>
      </c>
      <c r="EW10" t="e">
        <f>AND(TOC!#REF!,"AAAAAH///pg=")</f>
        <v>#REF!</v>
      </c>
      <c r="EX10" t="e">
        <f>AND(TOC!#REF!,"AAAAAH///pk=")</f>
        <v>#REF!</v>
      </c>
      <c r="EY10" t="e">
        <f>AND(TOC!#REF!,"AAAAAH///po=")</f>
        <v>#REF!</v>
      </c>
      <c r="EZ10" t="e">
        <f>AND(TOC!#REF!,"AAAAAH///ps=")</f>
        <v>#REF!</v>
      </c>
      <c r="FA10" t="e">
        <f>AND(TOC!#REF!,"AAAAAH///pw=")</f>
        <v>#REF!</v>
      </c>
      <c r="FB10" t="e">
        <f>AND(TOC!#REF!,"AAAAAH///p0=")</f>
        <v>#REF!</v>
      </c>
      <c r="FC10" t="e">
        <f>AND(TOC!#REF!,"AAAAAH///p4=")</f>
        <v>#REF!</v>
      </c>
      <c r="FD10" t="e">
        <f>AND(TOC!#REF!,"AAAAAH///p8=")</f>
        <v>#REF!</v>
      </c>
      <c r="FE10" t="e">
        <f>AND(TOC!#REF!,"AAAAAH///qA=")</f>
        <v>#REF!</v>
      </c>
      <c r="FF10" t="e">
        <f>AND(TOC!#REF!,"AAAAAH///qE=")</f>
        <v>#REF!</v>
      </c>
      <c r="FG10" t="e">
        <f>AND(TOC!#REF!,"AAAAAH///qI=")</f>
        <v>#REF!</v>
      </c>
      <c r="FH10" t="e">
        <f>AND(TOC!#REF!,"AAAAAH///qM=")</f>
        <v>#REF!</v>
      </c>
      <c r="FI10" t="e">
        <f>AND(TOC!#REF!,"AAAAAH///qQ=")</f>
        <v>#REF!</v>
      </c>
      <c r="FJ10" t="e">
        <f>AND(TOC!#REF!,"AAAAAH///qU=")</f>
        <v>#REF!</v>
      </c>
      <c r="FK10" t="e">
        <f>AND(TOC!#REF!,"AAAAAH///qY=")</f>
        <v>#REF!</v>
      </c>
      <c r="FL10" t="e">
        <f>AND(TOC!#REF!,"AAAAAH///qc=")</f>
        <v>#REF!</v>
      </c>
      <c r="FM10" t="e">
        <f>AND(TOC!#REF!,"AAAAAH///qg=")</f>
        <v>#REF!</v>
      </c>
      <c r="FN10" t="e">
        <f>AND(TOC!#REF!,"AAAAAH///qk=")</f>
        <v>#REF!</v>
      </c>
      <c r="FO10" t="e">
        <f>AND(TOC!#REF!,"AAAAAH///qo=")</f>
        <v>#REF!</v>
      </c>
      <c r="FP10" t="e">
        <f>AND(TOC!#REF!,"AAAAAH///qs=")</f>
        <v>#REF!</v>
      </c>
      <c r="FQ10" t="e">
        <f>AND(TOC!#REF!,"AAAAAH///qw=")</f>
        <v>#REF!</v>
      </c>
      <c r="FR10" t="e">
        <f>AND(TOC!#REF!,"AAAAAH///q0=")</f>
        <v>#REF!</v>
      </c>
      <c r="FS10" t="e">
        <f>AND(TOC!#REF!,"AAAAAH///q4=")</f>
        <v>#REF!</v>
      </c>
      <c r="FT10" t="e">
        <f>IF(TOC!#REF!,"AAAAAH///q8=",0)</f>
        <v>#REF!</v>
      </c>
      <c r="FU10" t="e">
        <f>AND(TOC!#REF!,"AAAAAH///rA=")</f>
        <v>#REF!</v>
      </c>
      <c r="FV10" t="e">
        <f>AND(TOC!#REF!,"AAAAAH///rE=")</f>
        <v>#REF!</v>
      </c>
      <c r="FW10" t="e">
        <f>AND(TOC!#REF!,"AAAAAH///rI=")</f>
        <v>#REF!</v>
      </c>
      <c r="FX10" t="e">
        <f>AND(TOC!#REF!,"AAAAAH///rM=")</f>
        <v>#REF!</v>
      </c>
      <c r="FY10" t="e">
        <f>AND(TOC!#REF!,"AAAAAH///rQ=")</f>
        <v>#REF!</v>
      </c>
      <c r="FZ10" t="e">
        <f>AND(TOC!#REF!,"AAAAAH///rU=")</f>
        <v>#REF!</v>
      </c>
      <c r="GA10" t="e">
        <f>AND(TOC!#REF!,"AAAAAH///rY=")</f>
        <v>#REF!</v>
      </c>
      <c r="GB10" t="e">
        <f>AND(TOC!#REF!,"AAAAAH///rc=")</f>
        <v>#REF!</v>
      </c>
      <c r="GC10" t="e">
        <f>AND(TOC!#REF!,"AAAAAH///rg=")</f>
        <v>#REF!</v>
      </c>
      <c r="GD10" t="e">
        <f>AND(TOC!#REF!,"AAAAAH///rk=")</f>
        <v>#REF!</v>
      </c>
      <c r="GE10" t="e">
        <f>AND(TOC!#REF!,"AAAAAH///ro=")</f>
        <v>#REF!</v>
      </c>
      <c r="GF10" t="e">
        <f>AND(TOC!#REF!,"AAAAAH///rs=")</f>
        <v>#REF!</v>
      </c>
      <c r="GG10" t="e">
        <f>AND(TOC!#REF!,"AAAAAH///rw=")</f>
        <v>#REF!</v>
      </c>
      <c r="GH10" t="e">
        <f>AND(TOC!#REF!,"AAAAAH///r0=")</f>
        <v>#REF!</v>
      </c>
      <c r="GI10" t="e">
        <f>AND(TOC!#REF!,"AAAAAH///r4=")</f>
        <v>#REF!</v>
      </c>
      <c r="GJ10" t="e">
        <f>AND(TOC!#REF!,"AAAAAH///r8=")</f>
        <v>#REF!</v>
      </c>
      <c r="GK10" t="e">
        <f>AND(TOC!#REF!,"AAAAAH///sA=")</f>
        <v>#REF!</v>
      </c>
      <c r="GL10" t="e">
        <f>AND(TOC!#REF!,"AAAAAH///sE=")</f>
        <v>#REF!</v>
      </c>
      <c r="GM10" t="e">
        <f>AND(TOC!#REF!,"AAAAAH///sI=")</f>
        <v>#REF!</v>
      </c>
      <c r="GN10" t="e">
        <f>AND(TOC!#REF!,"AAAAAH///sM=")</f>
        <v>#REF!</v>
      </c>
      <c r="GO10" t="e">
        <f>AND(TOC!#REF!,"AAAAAH///sQ=")</f>
        <v>#REF!</v>
      </c>
      <c r="GP10" t="e">
        <f>AND(TOC!#REF!,"AAAAAH///sU=")</f>
        <v>#REF!</v>
      </c>
      <c r="GQ10" t="e">
        <f>AND(TOC!#REF!,"AAAAAH///sY=")</f>
        <v>#REF!</v>
      </c>
      <c r="GR10" t="e">
        <f>AND(TOC!#REF!,"AAAAAH///sc=")</f>
        <v>#REF!</v>
      </c>
      <c r="GS10" t="e">
        <f>AND(TOC!#REF!,"AAAAAH///sg=")</f>
        <v>#REF!</v>
      </c>
      <c r="GT10" t="e">
        <f>AND(TOC!#REF!,"AAAAAH///sk=")</f>
        <v>#REF!</v>
      </c>
      <c r="GU10" t="e">
        <f>AND(TOC!#REF!,"AAAAAH///so=")</f>
        <v>#REF!</v>
      </c>
      <c r="GV10" t="e">
        <f>AND(TOC!#REF!,"AAAAAH///ss=")</f>
        <v>#REF!</v>
      </c>
      <c r="GW10" t="e">
        <f>AND(TOC!#REF!,"AAAAAH///sw=")</f>
        <v>#REF!</v>
      </c>
      <c r="GX10" t="e">
        <f>AND(TOC!#REF!,"AAAAAH///s0=")</f>
        <v>#REF!</v>
      </c>
      <c r="GY10" t="e">
        <f>AND(TOC!#REF!,"AAAAAH///s4=")</f>
        <v>#REF!</v>
      </c>
      <c r="GZ10" t="e">
        <f>AND(TOC!#REF!,"AAAAAH///s8=")</f>
        <v>#REF!</v>
      </c>
      <c r="HA10" t="e">
        <f>AND(TOC!#REF!,"AAAAAH///tA=")</f>
        <v>#REF!</v>
      </c>
      <c r="HB10" t="e">
        <f>AND(TOC!#REF!,"AAAAAH///tE=")</f>
        <v>#REF!</v>
      </c>
      <c r="HC10" t="e">
        <f>AND(TOC!#REF!,"AAAAAH///tI=")</f>
        <v>#REF!</v>
      </c>
      <c r="HD10" t="e">
        <f>AND(TOC!#REF!,"AAAAAH///tM=")</f>
        <v>#REF!</v>
      </c>
      <c r="HE10" t="e">
        <f>IF(TOC!#REF!,"AAAAAH///tQ=",0)</f>
        <v>#REF!</v>
      </c>
      <c r="HF10" t="e">
        <f>AND(TOC!#REF!,"AAAAAH///tU=")</f>
        <v>#REF!</v>
      </c>
      <c r="HG10" t="e">
        <f>AND(TOC!#REF!,"AAAAAH///tY=")</f>
        <v>#REF!</v>
      </c>
      <c r="HH10" t="e">
        <f>AND(TOC!#REF!,"AAAAAH///tc=")</f>
        <v>#REF!</v>
      </c>
      <c r="HI10" t="e">
        <f>AND(TOC!#REF!,"AAAAAH///tg=")</f>
        <v>#REF!</v>
      </c>
      <c r="HJ10" t="e">
        <f>AND(TOC!#REF!,"AAAAAH///tk=")</f>
        <v>#REF!</v>
      </c>
      <c r="HK10" t="e">
        <f>AND(TOC!#REF!,"AAAAAH///to=")</f>
        <v>#REF!</v>
      </c>
      <c r="HL10" t="e">
        <f>AND(TOC!#REF!,"AAAAAH///ts=")</f>
        <v>#REF!</v>
      </c>
      <c r="HM10" t="e">
        <f>AND(TOC!#REF!,"AAAAAH///tw=")</f>
        <v>#REF!</v>
      </c>
      <c r="HN10" t="e">
        <f>AND(TOC!#REF!,"AAAAAH///t0=")</f>
        <v>#REF!</v>
      </c>
      <c r="HO10" t="e">
        <f>AND(TOC!#REF!,"AAAAAH///t4=")</f>
        <v>#REF!</v>
      </c>
      <c r="HP10" t="e">
        <f>AND(TOC!#REF!,"AAAAAH///t8=")</f>
        <v>#REF!</v>
      </c>
      <c r="HQ10" t="e">
        <f>AND(TOC!#REF!,"AAAAAH///uA=")</f>
        <v>#REF!</v>
      </c>
      <c r="HR10" t="e">
        <f>AND(TOC!#REF!,"AAAAAH///uE=")</f>
        <v>#REF!</v>
      </c>
      <c r="HS10" t="e">
        <f>AND(TOC!#REF!,"AAAAAH///uI=")</f>
        <v>#REF!</v>
      </c>
      <c r="HT10" t="e">
        <f>AND(TOC!#REF!,"AAAAAH///uM=")</f>
        <v>#REF!</v>
      </c>
      <c r="HU10" t="e">
        <f>AND(TOC!#REF!,"AAAAAH///uQ=")</f>
        <v>#REF!</v>
      </c>
      <c r="HV10" t="e">
        <f>AND(TOC!#REF!,"AAAAAH///uU=")</f>
        <v>#REF!</v>
      </c>
      <c r="HW10" t="e">
        <f>AND(TOC!#REF!,"AAAAAH///uY=")</f>
        <v>#REF!</v>
      </c>
      <c r="HX10" t="e">
        <f>AND(TOC!#REF!,"AAAAAH///uc=")</f>
        <v>#REF!</v>
      </c>
      <c r="HY10" t="e">
        <f>AND(TOC!#REF!,"AAAAAH///ug=")</f>
        <v>#REF!</v>
      </c>
      <c r="HZ10" t="e">
        <f>AND(TOC!#REF!,"AAAAAH///uk=")</f>
        <v>#REF!</v>
      </c>
      <c r="IA10" t="e">
        <f>AND(TOC!#REF!,"AAAAAH///uo=")</f>
        <v>#REF!</v>
      </c>
      <c r="IB10" t="e">
        <f>AND(TOC!#REF!,"AAAAAH///us=")</f>
        <v>#REF!</v>
      </c>
      <c r="IC10" t="e">
        <f>AND(TOC!#REF!,"AAAAAH///uw=")</f>
        <v>#REF!</v>
      </c>
      <c r="ID10" t="e">
        <f>AND(TOC!#REF!,"AAAAAH///u0=")</f>
        <v>#REF!</v>
      </c>
      <c r="IE10" t="e">
        <f>AND(TOC!#REF!,"AAAAAH///u4=")</f>
        <v>#REF!</v>
      </c>
      <c r="IF10" t="e">
        <f>AND(TOC!#REF!,"AAAAAH///u8=")</f>
        <v>#REF!</v>
      </c>
      <c r="IG10" t="e">
        <f>AND(TOC!#REF!,"AAAAAH///vA=")</f>
        <v>#REF!</v>
      </c>
      <c r="IH10" t="e">
        <f>AND(TOC!#REF!,"AAAAAH///vE=")</f>
        <v>#REF!</v>
      </c>
      <c r="II10" t="e">
        <f>AND(TOC!#REF!,"AAAAAH///vI=")</f>
        <v>#REF!</v>
      </c>
      <c r="IJ10" t="e">
        <f>AND(TOC!#REF!,"AAAAAH///vM=")</f>
        <v>#REF!</v>
      </c>
      <c r="IK10" t="e">
        <f>AND(TOC!#REF!,"AAAAAH///vQ=")</f>
        <v>#REF!</v>
      </c>
      <c r="IL10" t="e">
        <f>AND(TOC!#REF!,"AAAAAH///vU=")</f>
        <v>#REF!</v>
      </c>
      <c r="IM10" t="e">
        <f>AND(TOC!#REF!,"AAAAAH///vY=")</f>
        <v>#REF!</v>
      </c>
      <c r="IN10" t="e">
        <f>AND(TOC!#REF!,"AAAAAH///vc=")</f>
        <v>#REF!</v>
      </c>
      <c r="IO10" t="e">
        <f>AND(TOC!#REF!,"AAAAAH///vg=")</f>
        <v>#REF!</v>
      </c>
      <c r="IP10" t="e">
        <f>IF(TOC!#REF!,"AAAAAH///vk=",0)</f>
        <v>#REF!</v>
      </c>
      <c r="IQ10" t="e">
        <f>AND(TOC!#REF!,"AAAAAH///vo=")</f>
        <v>#REF!</v>
      </c>
      <c r="IR10" t="e">
        <f>AND(TOC!#REF!,"AAAAAH///vs=")</f>
        <v>#REF!</v>
      </c>
      <c r="IS10" t="e">
        <f>AND(TOC!#REF!,"AAAAAH///vw=")</f>
        <v>#REF!</v>
      </c>
      <c r="IT10" t="e">
        <f>AND(TOC!#REF!,"AAAAAH///v0=")</f>
        <v>#REF!</v>
      </c>
      <c r="IU10" t="e">
        <f>AND(TOC!#REF!,"AAAAAH///v4=")</f>
        <v>#REF!</v>
      </c>
      <c r="IV10" t="e">
        <f>AND(TOC!#REF!,"AAAAAH///v8=")</f>
        <v>#REF!</v>
      </c>
    </row>
    <row r="11" spans="1:256" x14ac:dyDescent="0.2">
      <c r="A11" t="e">
        <f>AND(TOC!#REF!,"AAAAAD9fnwA=")</f>
        <v>#REF!</v>
      </c>
      <c r="B11" t="e">
        <f>AND(TOC!#REF!,"AAAAAD9fnwE=")</f>
        <v>#REF!</v>
      </c>
      <c r="C11" t="e">
        <f>AND(TOC!#REF!,"AAAAAD9fnwI=")</f>
        <v>#REF!</v>
      </c>
      <c r="D11" t="e">
        <f>AND(TOC!#REF!,"AAAAAD9fnwM=")</f>
        <v>#REF!</v>
      </c>
      <c r="E11" t="e">
        <f>AND(TOC!#REF!,"AAAAAD9fnwQ=")</f>
        <v>#REF!</v>
      </c>
      <c r="F11" t="e">
        <f>AND(TOC!#REF!,"AAAAAD9fnwU=")</f>
        <v>#REF!</v>
      </c>
      <c r="G11" t="e">
        <f>AND(TOC!#REF!,"AAAAAD9fnwY=")</f>
        <v>#REF!</v>
      </c>
      <c r="H11" t="e">
        <f>AND(TOC!#REF!,"AAAAAD9fnwc=")</f>
        <v>#REF!</v>
      </c>
      <c r="I11" t="e">
        <f>AND(TOC!#REF!,"AAAAAD9fnwg=")</f>
        <v>#REF!</v>
      </c>
      <c r="J11" t="e">
        <f>AND(TOC!#REF!,"AAAAAD9fnwk=")</f>
        <v>#REF!</v>
      </c>
      <c r="K11" t="e">
        <f>AND(TOC!#REF!,"AAAAAD9fnwo=")</f>
        <v>#REF!</v>
      </c>
      <c r="L11" t="e">
        <f>AND(TOC!#REF!,"AAAAAD9fnws=")</f>
        <v>#REF!</v>
      </c>
      <c r="M11" t="e">
        <f>AND(TOC!#REF!,"AAAAAD9fnww=")</f>
        <v>#REF!</v>
      </c>
      <c r="N11" t="e">
        <f>AND(TOC!#REF!,"AAAAAD9fnw0=")</f>
        <v>#REF!</v>
      </c>
      <c r="O11" t="e">
        <f>AND(TOC!#REF!,"AAAAAD9fnw4=")</f>
        <v>#REF!</v>
      </c>
      <c r="P11" t="e">
        <f>AND(TOC!#REF!,"AAAAAD9fnw8=")</f>
        <v>#REF!</v>
      </c>
      <c r="Q11" t="e">
        <f>AND(TOC!#REF!,"AAAAAD9fnxA=")</f>
        <v>#REF!</v>
      </c>
      <c r="R11" t="e">
        <f>AND(TOC!#REF!,"AAAAAD9fnxE=")</f>
        <v>#REF!</v>
      </c>
      <c r="S11" t="e">
        <f>AND(TOC!#REF!,"AAAAAD9fnxI=")</f>
        <v>#REF!</v>
      </c>
      <c r="T11" t="e">
        <f>AND(TOC!#REF!,"AAAAAD9fnxM=")</f>
        <v>#REF!</v>
      </c>
      <c r="U11" t="e">
        <f>AND(TOC!#REF!,"AAAAAD9fnxQ=")</f>
        <v>#REF!</v>
      </c>
      <c r="V11" t="e">
        <f>AND(TOC!#REF!,"AAAAAD9fnxU=")</f>
        <v>#REF!</v>
      </c>
      <c r="W11" t="e">
        <f>AND(TOC!#REF!,"AAAAAD9fnxY=")</f>
        <v>#REF!</v>
      </c>
      <c r="X11" t="e">
        <f>AND(TOC!#REF!,"AAAAAD9fnxc=")</f>
        <v>#REF!</v>
      </c>
      <c r="Y11" t="e">
        <f>AND(TOC!#REF!,"AAAAAD9fnxg=")</f>
        <v>#REF!</v>
      </c>
      <c r="Z11" t="e">
        <f>AND(TOC!#REF!,"AAAAAD9fnxk=")</f>
        <v>#REF!</v>
      </c>
      <c r="AA11" t="e">
        <f>AND(TOC!#REF!,"AAAAAD9fnxo=")</f>
        <v>#REF!</v>
      </c>
      <c r="AB11" t="e">
        <f>AND(TOC!#REF!,"AAAAAD9fnxs=")</f>
        <v>#REF!</v>
      </c>
      <c r="AC11" t="e">
        <f>AND(TOC!#REF!,"AAAAAD9fnxw=")</f>
        <v>#REF!</v>
      </c>
      <c r="AD11" t="e">
        <f>AND(TOC!#REF!,"AAAAAD9fnx0=")</f>
        <v>#REF!</v>
      </c>
      <c r="AE11" t="e">
        <f>IF(TOC!#REF!,"AAAAAD9fnx4=",0)</f>
        <v>#REF!</v>
      </c>
      <c r="AF11" t="e">
        <f>AND(TOC!#REF!,"AAAAAD9fnx8=")</f>
        <v>#REF!</v>
      </c>
      <c r="AG11" t="e">
        <f>AND(TOC!#REF!,"AAAAAD9fnyA=")</f>
        <v>#REF!</v>
      </c>
      <c r="AH11" t="e">
        <f>AND(TOC!#REF!,"AAAAAD9fnyE=")</f>
        <v>#REF!</v>
      </c>
      <c r="AI11" t="e">
        <f>AND(TOC!#REF!,"AAAAAD9fnyI=")</f>
        <v>#REF!</v>
      </c>
      <c r="AJ11" t="e">
        <f>AND(TOC!#REF!,"AAAAAD9fnyM=")</f>
        <v>#REF!</v>
      </c>
      <c r="AK11" t="e">
        <f>AND(TOC!#REF!,"AAAAAD9fnyQ=")</f>
        <v>#REF!</v>
      </c>
      <c r="AL11" t="e">
        <f>AND(TOC!#REF!,"AAAAAD9fnyU=")</f>
        <v>#REF!</v>
      </c>
      <c r="AM11" t="e">
        <f>AND(TOC!#REF!,"AAAAAD9fnyY=")</f>
        <v>#REF!</v>
      </c>
      <c r="AN11" t="e">
        <f>AND(TOC!#REF!,"AAAAAD9fnyc=")</f>
        <v>#REF!</v>
      </c>
      <c r="AO11" t="e">
        <f>AND(TOC!#REF!,"AAAAAD9fnyg=")</f>
        <v>#REF!</v>
      </c>
      <c r="AP11" t="e">
        <f>AND(TOC!#REF!,"AAAAAD9fnyk=")</f>
        <v>#REF!</v>
      </c>
      <c r="AQ11" t="e">
        <f>AND(TOC!#REF!,"AAAAAD9fnyo=")</f>
        <v>#REF!</v>
      </c>
      <c r="AR11" t="e">
        <f>AND(TOC!#REF!,"AAAAAD9fnys=")</f>
        <v>#REF!</v>
      </c>
      <c r="AS11" t="e">
        <f>AND(TOC!#REF!,"AAAAAD9fnyw=")</f>
        <v>#REF!</v>
      </c>
      <c r="AT11" t="e">
        <f>AND(TOC!#REF!,"AAAAAD9fny0=")</f>
        <v>#REF!</v>
      </c>
      <c r="AU11" t="e">
        <f>AND(TOC!#REF!,"AAAAAD9fny4=")</f>
        <v>#REF!</v>
      </c>
      <c r="AV11" t="e">
        <f>AND(TOC!#REF!,"AAAAAD9fny8=")</f>
        <v>#REF!</v>
      </c>
      <c r="AW11" t="e">
        <f>AND(TOC!#REF!,"AAAAAD9fnzA=")</f>
        <v>#REF!</v>
      </c>
      <c r="AX11" t="e">
        <f>AND(TOC!#REF!,"AAAAAD9fnzE=")</f>
        <v>#REF!</v>
      </c>
      <c r="AY11" t="e">
        <f>AND(TOC!#REF!,"AAAAAD9fnzI=")</f>
        <v>#REF!</v>
      </c>
      <c r="AZ11" t="e">
        <f>AND(TOC!#REF!,"AAAAAD9fnzM=")</f>
        <v>#REF!</v>
      </c>
      <c r="BA11" t="e">
        <f>AND(TOC!#REF!,"AAAAAD9fnzQ=")</f>
        <v>#REF!</v>
      </c>
      <c r="BB11" t="e">
        <f>AND(TOC!#REF!,"AAAAAD9fnzU=")</f>
        <v>#REF!</v>
      </c>
      <c r="BC11" t="e">
        <f>AND(TOC!#REF!,"AAAAAD9fnzY=")</f>
        <v>#REF!</v>
      </c>
      <c r="BD11" t="e">
        <f>AND(TOC!#REF!,"AAAAAD9fnzc=")</f>
        <v>#REF!</v>
      </c>
      <c r="BE11" t="e">
        <f>AND(TOC!#REF!,"AAAAAD9fnzg=")</f>
        <v>#REF!</v>
      </c>
      <c r="BF11" t="e">
        <f>AND(TOC!#REF!,"AAAAAD9fnzk=")</f>
        <v>#REF!</v>
      </c>
      <c r="BG11" t="e">
        <f>AND(TOC!#REF!,"AAAAAD9fnzo=")</f>
        <v>#REF!</v>
      </c>
      <c r="BH11" t="e">
        <f>AND(TOC!#REF!,"AAAAAD9fnzs=")</f>
        <v>#REF!</v>
      </c>
      <c r="BI11" t="e">
        <f>AND(TOC!#REF!,"AAAAAD9fnzw=")</f>
        <v>#REF!</v>
      </c>
      <c r="BJ11" t="e">
        <f>AND(TOC!#REF!,"AAAAAD9fnz0=")</f>
        <v>#REF!</v>
      </c>
      <c r="BK11" t="e">
        <f>AND(TOC!#REF!,"AAAAAD9fnz4=")</f>
        <v>#REF!</v>
      </c>
      <c r="BL11" t="e">
        <f>AND(TOC!#REF!,"AAAAAD9fnz8=")</f>
        <v>#REF!</v>
      </c>
      <c r="BM11" t="e">
        <f>AND(TOC!#REF!,"AAAAAD9fn0A=")</f>
        <v>#REF!</v>
      </c>
      <c r="BN11" t="e">
        <f>AND(TOC!#REF!,"AAAAAD9fn0E=")</f>
        <v>#REF!</v>
      </c>
      <c r="BO11" t="e">
        <f>AND(TOC!#REF!,"AAAAAD9fn0I=")</f>
        <v>#REF!</v>
      </c>
      <c r="BP11" t="e">
        <f>IF(TOC!#REF!,"AAAAAD9fn0M=",0)</f>
        <v>#REF!</v>
      </c>
      <c r="BQ11" t="e">
        <f>AND(TOC!#REF!,"AAAAAD9fn0Q=")</f>
        <v>#REF!</v>
      </c>
      <c r="BR11" t="e">
        <f>AND(TOC!#REF!,"AAAAAD9fn0U=")</f>
        <v>#REF!</v>
      </c>
      <c r="BS11" t="e">
        <f>AND(TOC!#REF!,"AAAAAD9fn0Y=")</f>
        <v>#REF!</v>
      </c>
      <c r="BT11" t="e">
        <f>AND(TOC!#REF!,"AAAAAD9fn0c=")</f>
        <v>#REF!</v>
      </c>
      <c r="BU11" t="e">
        <f>AND(TOC!#REF!,"AAAAAD9fn0g=")</f>
        <v>#REF!</v>
      </c>
      <c r="BV11" t="e">
        <f>AND(TOC!#REF!,"AAAAAD9fn0k=")</f>
        <v>#REF!</v>
      </c>
      <c r="BW11" t="e">
        <f>AND(TOC!#REF!,"AAAAAD9fn0o=")</f>
        <v>#REF!</v>
      </c>
      <c r="BX11" t="e">
        <f>AND(TOC!#REF!,"AAAAAD9fn0s=")</f>
        <v>#REF!</v>
      </c>
      <c r="BY11" t="e">
        <f>AND(TOC!#REF!,"AAAAAD9fn0w=")</f>
        <v>#REF!</v>
      </c>
      <c r="BZ11" t="e">
        <f>AND(TOC!#REF!,"AAAAAD9fn00=")</f>
        <v>#REF!</v>
      </c>
      <c r="CA11" t="e">
        <f>AND(TOC!#REF!,"AAAAAD9fn04=")</f>
        <v>#REF!</v>
      </c>
      <c r="CB11" t="e">
        <f>AND(TOC!#REF!,"AAAAAD9fn08=")</f>
        <v>#REF!</v>
      </c>
      <c r="CC11" t="e">
        <f>AND(TOC!#REF!,"AAAAAD9fn1A=")</f>
        <v>#REF!</v>
      </c>
      <c r="CD11" t="e">
        <f>AND(TOC!#REF!,"AAAAAD9fn1E=")</f>
        <v>#REF!</v>
      </c>
      <c r="CE11" t="e">
        <f>AND(TOC!#REF!,"AAAAAD9fn1I=")</f>
        <v>#REF!</v>
      </c>
      <c r="CF11" t="e">
        <f>AND(TOC!#REF!,"AAAAAD9fn1M=")</f>
        <v>#REF!</v>
      </c>
      <c r="CG11" t="e">
        <f>AND(TOC!#REF!,"AAAAAD9fn1Q=")</f>
        <v>#REF!</v>
      </c>
      <c r="CH11" t="e">
        <f>AND(TOC!#REF!,"AAAAAD9fn1U=")</f>
        <v>#REF!</v>
      </c>
      <c r="CI11" t="e">
        <f>AND(TOC!#REF!,"AAAAAD9fn1Y=")</f>
        <v>#REF!</v>
      </c>
      <c r="CJ11" t="e">
        <f>AND(TOC!#REF!,"AAAAAD9fn1c=")</f>
        <v>#REF!</v>
      </c>
      <c r="CK11" t="e">
        <f>AND(TOC!#REF!,"AAAAAD9fn1g=")</f>
        <v>#REF!</v>
      </c>
      <c r="CL11" t="e">
        <f>AND(TOC!#REF!,"AAAAAD9fn1k=")</f>
        <v>#REF!</v>
      </c>
      <c r="CM11" t="e">
        <f>AND(TOC!#REF!,"AAAAAD9fn1o=")</f>
        <v>#REF!</v>
      </c>
      <c r="CN11" t="e">
        <f>AND(TOC!#REF!,"AAAAAD9fn1s=")</f>
        <v>#REF!</v>
      </c>
      <c r="CO11" t="e">
        <f>AND(TOC!#REF!,"AAAAAD9fn1w=")</f>
        <v>#REF!</v>
      </c>
      <c r="CP11" t="e">
        <f>AND(TOC!#REF!,"AAAAAD9fn10=")</f>
        <v>#REF!</v>
      </c>
      <c r="CQ11" t="e">
        <f>AND(TOC!#REF!,"AAAAAD9fn14=")</f>
        <v>#REF!</v>
      </c>
      <c r="CR11" t="e">
        <f>AND(TOC!#REF!,"AAAAAD9fn18=")</f>
        <v>#REF!</v>
      </c>
      <c r="CS11" t="e">
        <f>AND(TOC!#REF!,"AAAAAD9fn2A=")</f>
        <v>#REF!</v>
      </c>
      <c r="CT11" t="e">
        <f>AND(TOC!#REF!,"AAAAAD9fn2E=")</f>
        <v>#REF!</v>
      </c>
      <c r="CU11" t="e">
        <f>AND(TOC!#REF!,"AAAAAD9fn2I=")</f>
        <v>#REF!</v>
      </c>
      <c r="CV11" t="e">
        <f>AND(TOC!#REF!,"AAAAAD9fn2M=")</f>
        <v>#REF!</v>
      </c>
      <c r="CW11" t="e">
        <f>AND(TOC!#REF!,"AAAAAD9fn2Q=")</f>
        <v>#REF!</v>
      </c>
      <c r="CX11" t="e">
        <f>AND(TOC!#REF!,"AAAAAD9fn2U=")</f>
        <v>#REF!</v>
      </c>
      <c r="CY11" t="e">
        <f>AND(TOC!#REF!,"AAAAAD9fn2Y=")</f>
        <v>#REF!</v>
      </c>
      <c r="CZ11" t="e">
        <f>AND(TOC!#REF!,"AAAAAD9fn2c=")</f>
        <v>#REF!</v>
      </c>
      <c r="DA11" t="e">
        <f>IF(TOC!#REF!,"AAAAAD9fn2g=",0)</f>
        <v>#REF!</v>
      </c>
      <c r="DB11" t="e">
        <f>AND(TOC!#REF!,"AAAAAD9fn2k=")</f>
        <v>#REF!</v>
      </c>
      <c r="DC11" t="e">
        <f>AND(TOC!#REF!,"AAAAAD9fn2o=")</f>
        <v>#REF!</v>
      </c>
      <c r="DD11" t="e">
        <f>AND(TOC!#REF!,"AAAAAD9fn2s=")</f>
        <v>#REF!</v>
      </c>
      <c r="DE11" t="e">
        <f>AND(TOC!#REF!,"AAAAAD9fn2w=")</f>
        <v>#REF!</v>
      </c>
      <c r="DF11" t="e">
        <f>AND(TOC!#REF!,"AAAAAD9fn20=")</f>
        <v>#REF!</v>
      </c>
      <c r="DG11" t="e">
        <f>AND(TOC!#REF!,"AAAAAD9fn24=")</f>
        <v>#REF!</v>
      </c>
      <c r="DH11" t="e">
        <f>AND(TOC!#REF!,"AAAAAD9fn28=")</f>
        <v>#REF!</v>
      </c>
      <c r="DI11" t="e">
        <f>AND(TOC!#REF!,"AAAAAD9fn3A=")</f>
        <v>#REF!</v>
      </c>
      <c r="DJ11" t="e">
        <f>AND(TOC!#REF!,"AAAAAD9fn3E=")</f>
        <v>#REF!</v>
      </c>
      <c r="DK11" t="e">
        <f>AND(TOC!#REF!,"AAAAAD9fn3I=")</f>
        <v>#REF!</v>
      </c>
      <c r="DL11" t="e">
        <f>AND(TOC!#REF!,"AAAAAD9fn3M=")</f>
        <v>#REF!</v>
      </c>
      <c r="DM11" t="e">
        <f>AND(TOC!#REF!,"AAAAAD9fn3Q=")</f>
        <v>#REF!</v>
      </c>
      <c r="DN11" t="e">
        <f>AND(TOC!#REF!,"AAAAAD9fn3U=")</f>
        <v>#REF!</v>
      </c>
      <c r="DO11" t="e">
        <f>AND(TOC!#REF!,"AAAAAD9fn3Y=")</f>
        <v>#REF!</v>
      </c>
      <c r="DP11" t="e">
        <f>AND(TOC!#REF!,"AAAAAD9fn3c=")</f>
        <v>#REF!</v>
      </c>
      <c r="DQ11" t="e">
        <f>AND(TOC!#REF!,"AAAAAD9fn3g=")</f>
        <v>#REF!</v>
      </c>
      <c r="DR11" t="e">
        <f>AND(TOC!#REF!,"AAAAAD9fn3k=")</f>
        <v>#REF!</v>
      </c>
      <c r="DS11" t="e">
        <f>AND(TOC!#REF!,"AAAAAD9fn3o=")</f>
        <v>#REF!</v>
      </c>
      <c r="DT11" t="e">
        <f>AND(TOC!#REF!,"AAAAAD9fn3s=")</f>
        <v>#REF!</v>
      </c>
      <c r="DU11" t="e">
        <f>AND(TOC!#REF!,"AAAAAD9fn3w=")</f>
        <v>#REF!</v>
      </c>
      <c r="DV11" t="e">
        <f>AND(TOC!#REF!,"AAAAAD9fn30=")</f>
        <v>#REF!</v>
      </c>
      <c r="DW11" t="e">
        <f>AND(TOC!#REF!,"AAAAAD9fn34=")</f>
        <v>#REF!</v>
      </c>
      <c r="DX11" t="e">
        <f>AND(TOC!#REF!,"AAAAAD9fn38=")</f>
        <v>#REF!</v>
      </c>
      <c r="DY11" t="e">
        <f>AND(TOC!#REF!,"AAAAAD9fn4A=")</f>
        <v>#REF!</v>
      </c>
      <c r="DZ11" t="e">
        <f>AND(TOC!#REF!,"AAAAAD9fn4E=")</f>
        <v>#REF!</v>
      </c>
      <c r="EA11" t="e">
        <f>AND(TOC!#REF!,"AAAAAD9fn4I=")</f>
        <v>#REF!</v>
      </c>
      <c r="EB11" t="e">
        <f>AND(TOC!#REF!,"AAAAAD9fn4M=")</f>
        <v>#REF!</v>
      </c>
      <c r="EC11" t="e">
        <f>AND(TOC!#REF!,"AAAAAD9fn4Q=")</f>
        <v>#REF!</v>
      </c>
      <c r="ED11" t="e">
        <f>AND(TOC!#REF!,"AAAAAD9fn4U=")</f>
        <v>#REF!</v>
      </c>
      <c r="EE11" t="e">
        <f>AND(TOC!#REF!,"AAAAAD9fn4Y=")</f>
        <v>#REF!</v>
      </c>
      <c r="EF11" t="e">
        <f>AND(TOC!#REF!,"AAAAAD9fn4c=")</f>
        <v>#REF!</v>
      </c>
      <c r="EG11" t="e">
        <f>AND(TOC!#REF!,"AAAAAD9fn4g=")</f>
        <v>#REF!</v>
      </c>
      <c r="EH11" t="e">
        <f>AND(TOC!#REF!,"AAAAAD9fn4k=")</f>
        <v>#REF!</v>
      </c>
      <c r="EI11" t="e">
        <f>AND(TOC!#REF!,"AAAAAD9fn4o=")</f>
        <v>#REF!</v>
      </c>
      <c r="EJ11" t="e">
        <f>AND(TOC!#REF!,"AAAAAD9fn4s=")</f>
        <v>#REF!</v>
      </c>
      <c r="EK11" t="e">
        <f>AND(TOC!#REF!,"AAAAAD9fn4w=")</f>
        <v>#REF!</v>
      </c>
      <c r="EL11" t="e">
        <f>IF(TOC!#REF!,"AAAAAD9fn40=",0)</f>
        <v>#REF!</v>
      </c>
      <c r="EM11" t="e">
        <f>AND(TOC!#REF!,"AAAAAD9fn44=")</f>
        <v>#REF!</v>
      </c>
      <c r="EN11" t="e">
        <f>AND(TOC!#REF!,"AAAAAD9fn48=")</f>
        <v>#REF!</v>
      </c>
      <c r="EO11" t="e">
        <f>AND(TOC!#REF!,"AAAAAD9fn5A=")</f>
        <v>#REF!</v>
      </c>
      <c r="EP11" t="e">
        <f>AND(TOC!#REF!,"AAAAAD9fn5E=")</f>
        <v>#REF!</v>
      </c>
      <c r="EQ11" t="e">
        <f>AND(TOC!#REF!,"AAAAAD9fn5I=")</f>
        <v>#REF!</v>
      </c>
      <c r="ER11" t="e">
        <f>AND(TOC!#REF!,"AAAAAD9fn5M=")</f>
        <v>#REF!</v>
      </c>
      <c r="ES11" t="e">
        <f>AND(TOC!#REF!,"AAAAAD9fn5Q=")</f>
        <v>#REF!</v>
      </c>
      <c r="ET11" t="e">
        <f>AND(TOC!#REF!,"AAAAAD9fn5U=")</f>
        <v>#REF!</v>
      </c>
      <c r="EU11" t="e">
        <f>AND(TOC!#REF!,"AAAAAD9fn5Y=")</f>
        <v>#REF!</v>
      </c>
      <c r="EV11" t="e">
        <f>AND(TOC!#REF!,"AAAAAD9fn5c=")</f>
        <v>#REF!</v>
      </c>
      <c r="EW11" t="e">
        <f>AND(TOC!#REF!,"AAAAAD9fn5g=")</f>
        <v>#REF!</v>
      </c>
      <c r="EX11" t="e">
        <f>AND(TOC!#REF!,"AAAAAD9fn5k=")</f>
        <v>#REF!</v>
      </c>
      <c r="EY11" t="e">
        <f>AND(TOC!#REF!,"AAAAAD9fn5o=")</f>
        <v>#REF!</v>
      </c>
      <c r="EZ11" t="e">
        <f>AND(TOC!#REF!,"AAAAAD9fn5s=")</f>
        <v>#REF!</v>
      </c>
      <c r="FA11" t="e">
        <f>AND(TOC!#REF!,"AAAAAD9fn5w=")</f>
        <v>#REF!</v>
      </c>
      <c r="FB11" t="e">
        <f>AND(TOC!#REF!,"AAAAAD9fn50=")</f>
        <v>#REF!</v>
      </c>
      <c r="FC11" t="e">
        <f>AND(TOC!#REF!,"AAAAAD9fn54=")</f>
        <v>#REF!</v>
      </c>
      <c r="FD11" t="e">
        <f>AND(TOC!#REF!,"AAAAAD9fn58=")</f>
        <v>#REF!</v>
      </c>
      <c r="FE11" t="e">
        <f>AND(TOC!#REF!,"AAAAAD9fn6A=")</f>
        <v>#REF!</v>
      </c>
      <c r="FF11" t="e">
        <f>AND(TOC!#REF!,"AAAAAD9fn6E=")</f>
        <v>#REF!</v>
      </c>
      <c r="FG11" t="e">
        <f>AND(TOC!#REF!,"AAAAAD9fn6I=")</f>
        <v>#REF!</v>
      </c>
      <c r="FH11" t="e">
        <f>AND(TOC!#REF!,"AAAAAD9fn6M=")</f>
        <v>#REF!</v>
      </c>
      <c r="FI11" t="e">
        <f>AND(TOC!#REF!,"AAAAAD9fn6Q=")</f>
        <v>#REF!</v>
      </c>
      <c r="FJ11" t="e">
        <f>AND(TOC!#REF!,"AAAAAD9fn6U=")</f>
        <v>#REF!</v>
      </c>
      <c r="FK11" t="e">
        <f>AND(TOC!#REF!,"AAAAAD9fn6Y=")</f>
        <v>#REF!</v>
      </c>
      <c r="FL11" t="e">
        <f>AND(TOC!#REF!,"AAAAAD9fn6c=")</f>
        <v>#REF!</v>
      </c>
      <c r="FM11" t="e">
        <f>AND(TOC!#REF!,"AAAAAD9fn6g=")</f>
        <v>#REF!</v>
      </c>
      <c r="FN11" t="e">
        <f>AND(TOC!#REF!,"AAAAAD9fn6k=")</f>
        <v>#REF!</v>
      </c>
      <c r="FO11" t="e">
        <f>AND(TOC!#REF!,"AAAAAD9fn6o=")</f>
        <v>#REF!</v>
      </c>
      <c r="FP11" t="e">
        <f>AND(TOC!#REF!,"AAAAAD9fn6s=")</f>
        <v>#REF!</v>
      </c>
      <c r="FQ11" t="e">
        <f>AND(TOC!#REF!,"AAAAAD9fn6w=")</f>
        <v>#REF!</v>
      </c>
      <c r="FR11" t="e">
        <f>AND(TOC!#REF!,"AAAAAD9fn60=")</f>
        <v>#REF!</v>
      </c>
      <c r="FS11" t="e">
        <f>AND(TOC!#REF!,"AAAAAD9fn64=")</f>
        <v>#REF!</v>
      </c>
      <c r="FT11" t="e">
        <f>AND(TOC!#REF!,"AAAAAD9fn68=")</f>
        <v>#REF!</v>
      </c>
      <c r="FU11" t="e">
        <f>AND(TOC!#REF!,"AAAAAD9fn7A=")</f>
        <v>#REF!</v>
      </c>
      <c r="FV11" t="e">
        <f>AND(TOC!#REF!,"AAAAAD9fn7E=")</f>
        <v>#REF!</v>
      </c>
      <c r="FW11" t="e">
        <f>IF(TOC!#REF!,"AAAAAD9fn7I=",0)</f>
        <v>#REF!</v>
      </c>
      <c r="FX11" t="e">
        <f>AND(TOC!#REF!,"AAAAAD9fn7M=")</f>
        <v>#REF!</v>
      </c>
      <c r="FY11" t="e">
        <f>AND(TOC!#REF!,"AAAAAD9fn7Q=")</f>
        <v>#REF!</v>
      </c>
      <c r="FZ11" t="e">
        <f>AND(TOC!#REF!,"AAAAAD9fn7U=")</f>
        <v>#REF!</v>
      </c>
      <c r="GA11" t="e">
        <f>AND(TOC!#REF!,"AAAAAD9fn7Y=")</f>
        <v>#REF!</v>
      </c>
      <c r="GB11" t="e">
        <f>AND(TOC!#REF!,"AAAAAD9fn7c=")</f>
        <v>#REF!</v>
      </c>
      <c r="GC11" t="e">
        <f>AND(TOC!#REF!,"AAAAAD9fn7g=")</f>
        <v>#REF!</v>
      </c>
      <c r="GD11" t="e">
        <f>AND(TOC!#REF!,"AAAAAD9fn7k=")</f>
        <v>#REF!</v>
      </c>
      <c r="GE11" t="e">
        <f>AND(TOC!#REF!,"AAAAAD9fn7o=")</f>
        <v>#REF!</v>
      </c>
      <c r="GF11" t="e">
        <f>AND(TOC!#REF!,"AAAAAD9fn7s=")</f>
        <v>#REF!</v>
      </c>
      <c r="GG11" t="e">
        <f>AND(TOC!#REF!,"AAAAAD9fn7w=")</f>
        <v>#REF!</v>
      </c>
      <c r="GH11" t="e">
        <f>AND(TOC!#REF!,"AAAAAD9fn70=")</f>
        <v>#REF!</v>
      </c>
      <c r="GI11" t="e">
        <f>AND(TOC!#REF!,"AAAAAD9fn74=")</f>
        <v>#REF!</v>
      </c>
      <c r="GJ11" t="e">
        <f>AND(TOC!#REF!,"AAAAAD9fn78=")</f>
        <v>#REF!</v>
      </c>
      <c r="GK11" t="e">
        <f>AND(TOC!#REF!,"AAAAAD9fn8A=")</f>
        <v>#REF!</v>
      </c>
      <c r="GL11" t="e">
        <f>AND(TOC!#REF!,"AAAAAD9fn8E=")</f>
        <v>#REF!</v>
      </c>
      <c r="GM11" t="e">
        <f>AND(TOC!#REF!,"AAAAAD9fn8I=")</f>
        <v>#REF!</v>
      </c>
      <c r="GN11" t="e">
        <f>AND(TOC!#REF!,"AAAAAD9fn8M=")</f>
        <v>#REF!</v>
      </c>
      <c r="GO11" t="e">
        <f>AND(TOC!#REF!,"AAAAAD9fn8Q=")</f>
        <v>#REF!</v>
      </c>
      <c r="GP11" t="e">
        <f>AND(TOC!#REF!,"AAAAAD9fn8U=")</f>
        <v>#REF!</v>
      </c>
      <c r="GQ11" t="e">
        <f>AND(TOC!#REF!,"AAAAAD9fn8Y=")</f>
        <v>#REF!</v>
      </c>
      <c r="GR11" t="e">
        <f>AND(TOC!#REF!,"AAAAAD9fn8c=")</f>
        <v>#REF!</v>
      </c>
      <c r="GS11" t="e">
        <f>AND(TOC!#REF!,"AAAAAD9fn8g=")</f>
        <v>#REF!</v>
      </c>
      <c r="GT11" t="e">
        <f>AND(TOC!#REF!,"AAAAAD9fn8k=")</f>
        <v>#REF!</v>
      </c>
      <c r="GU11" t="e">
        <f>AND(TOC!#REF!,"AAAAAD9fn8o=")</f>
        <v>#REF!</v>
      </c>
      <c r="GV11" t="e">
        <f>AND(TOC!#REF!,"AAAAAD9fn8s=")</f>
        <v>#REF!</v>
      </c>
      <c r="GW11" t="e">
        <f>AND(TOC!#REF!,"AAAAAD9fn8w=")</f>
        <v>#REF!</v>
      </c>
      <c r="GX11" t="e">
        <f>AND(TOC!#REF!,"AAAAAD9fn80=")</f>
        <v>#REF!</v>
      </c>
      <c r="GY11" t="e">
        <f>AND(TOC!#REF!,"AAAAAD9fn84=")</f>
        <v>#REF!</v>
      </c>
      <c r="GZ11" t="e">
        <f>AND(TOC!#REF!,"AAAAAD9fn88=")</f>
        <v>#REF!</v>
      </c>
      <c r="HA11" t="e">
        <f>AND(TOC!#REF!,"AAAAAD9fn9A=")</f>
        <v>#REF!</v>
      </c>
      <c r="HB11" t="e">
        <f>AND(TOC!#REF!,"AAAAAD9fn9E=")</f>
        <v>#REF!</v>
      </c>
      <c r="HC11" t="e">
        <f>AND(TOC!#REF!,"AAAAAD9fn9I=")</f>
        <v>#REF!</v>
      </c>
      <c r="HD11" t="e">
        <f>AND(TOC!#REF!,"AAAAAD9fn9M=")</f>
        <v>#REF!</v>
      </c>
      <c r="HE11" t="e">
        <f>AND(TOC!#REF!,"AAAAAD9fn9Q=")</f>
        <v>#REF!</v>
      </c>
      <c r="HF11" t="e">
        <f>AND(TOC!#REF!,"AAAAAD9fn9U=")</f>
        <v>#REF!</v>
      </c>
      <c r="HG11" t="e">
        <f>AND(TOC!#REF!,"AAAAAD9fn9Y=")</f>
        <v>#REF!</v>
      </c>
      <c r="HH11" t="e">
        <f>IF(TOC!#REF!,"AAAAAD9fn9c=",0)</f>
        <v>#REF!</v>
      </c>
      <c r="HI11" t="e">
        <f>AND(TOC!#REF!,"AAAAAD9fn9g=")</f>
        <v>#REF!</v>
      </c>
      <c r="HJ11" t="e">
        <f>AND(TOC!#REF!,"AAAAAD9fn9k=")</f>
        <v>#REF!</v>
      </c>
      <c r="HK11" t="e">
        <f>AND(TOC!#REF!,"AAAAAD9fn9o=")</f>
        <v>#REF!</v>
      </c>
      <c r="HL11" t="e">
        <f>AND(TOC!#REF!,"AAAAAD9fn9s=")</f>
        <v>#REF!</v>
      </c>
      <c r="HM11" t="e">
        <f>AND(TOC!#REF!,"AAAAAD9fn9w=")</f>
        <v>#REF!</v>
      </c>
      <c r="HN11" t="e">
        <f>AND(TOC!#REF!,"AAAAAD9fn90=")</f>
        <v>#REF!</v>
      </c>
      <c r="HO11" t="e">
        <f>AND(TOC!#REF!,"AAAAAD9fn94=")</f>
        <v>#REF!</v>
      </c>
      <c r="HP11" t="e">
        <f>AND(TOC!#REF!,"AAAAAD9fn98=")</f>
        <v>#REF!</v>
      </c>
      <c r="HQ11" t="e">
        <f>AND(TOC!#REF!,"AAAAAD9fn+A=")</f>
        <v>#REF!</v>
      </c>
      <c r="HR11" t="e">
        <f>AND(TOC!#REF!,"AAAAAD9fn+E=")</f>
        <v>#REF!</v>
      </c>
      <c r="HS11" t="e">
        <f>AND(TOC!#REF!,"AAAAAD9fn+I=")</f>
        <v>#REF!</v>
      </c>
      <c r="HT11" t="e">
        <f>AND(TOC!#REF!,"AAAAAD9fn+M=")</f>
        <v>#REF!</v>
      </c>
      <c r="HU11" t="e">
        <f>AND(TOC!#REF!,"AAAAAD9fn+Q=")</f>
        <v>#REF!</v>
      </c>
      <c r="HV11" t="e">
        <f>AND(TOC!#REF!,"AAAAAD9fn+U=")</f>
        <v>#REF!</v>
      </c>
      <c r="HW11" t="e">
        <f>AND(TOC!#REF!,"AAAAAD9fn+Y=")</f>
        <v>#REF!</v>
      </c>
      <c r="HX11" t="e">
        <f>AND(TOC!#REF!,"AAAAAD9fn+c=")</f>
        <v>#REF!</v>
      </c>
      <c r="HY11" t="e">
        <f>AND(TOC!#REF!,"AAAAAD9fn+g=")</f>
        <v>#REF!</v>
      </c>
      <c r="HZ11" t="e">
        <f>AND(TOC!#REF!,"AAAAAD9fn+k=")</f>
        <v>#REF!</v>
      </c>
      <c r="IA11" t="e">
        <f>AND(TOC!#REF!,"AAAAAD9fn+o=")</f>
        <v>#REF!</v>
      </c>
      <c r="IB11" t="e">
        <f>AND(TOC!#REF!,"AAAAAD9fn+s=")</f>
        <v>#REF!</v>
      </c>
      <c r="IC11" t="e">
        <f>AND(TOC!#REF!,"AAAAAD9fn+w=")</f>
        <v>#REF!</v>
      </c>
      <c r="ID11" t="e">
        <f>AND(TOC!#REF!,"AAAAAD9fn+0=")</f>
        <v>#REF!</v>
      </c>
      <c r="IE11" t="e">
        <f>AND(TOC!#REF!,"AAAAAD9fn+4=")</f>
        <v>#REF!</v>
      </c>
      <c r="IF11" t="e">
        <f>AND(TOC!#REF!,"AAAAAD9fn+8=")</f>
        <v>#REF!</v>
      </c>
      <c r="IG11" t="e">
        <f>AND(TOC!#REF!,"AAAAAD9fn/A=")</f>
        <v>#REF!</v>
      </c>
      <c r="IH11" t="e">
        <f>AND(TOC!#REF!,"AAAAAD9fn/E=")</f>
        <v>#REF!</v>
      </c>
      <c r="II11" t="e">
        <f>AND(TOC!#REF!,"AAAAAD9fn/I=")</f>
        <v>#REF!</v>
      </c>
      <c r="IJ11" t="e">
        <f>AND(TOC!#REF!,"AAAAAD9fn/M=")</f>
        <v>#REF!</v>
      </c>
      <c r="IK11" t="e">
        <f>AND(TOC!#REF!,"AAAAAD9fn/Q=")</f>
        <v>#REF!</v>
      </c>
      <c r="IL11" t="e">
        <f>AND(TOC!#REF!,"AAAAAD9fn/U=")</f>
        <v>#REF!</v>
      </c>
      <c r="IM11" t="e">
        <f>AND(TOC!#REF!,"AAAAAD9fn/Y=")</f>
        <v>#REF!</v>
      </c>
      <c r="IN11" t="e">
        <f>AND(TOC!#REF!,"AAAAAD9fn/c=")</f>
        <v>#REF!</v>
      </c>
      <c r="IO11" t="e">
        <f>AND(TOC!#REF!,"AAAAAD9fn/g=")</f>
        <v>#REF!</v>
      </c>
      <c r="IP11" t="e">
        <f>AND(TOC!#REF!,"AAAAAD9fn/k=")</f>
        <v>#REF!</v>
      </c>
      <c r="IQ11" t="e">
        <f>AND(TOC!#REF!,"AAAAAD9fn/o=")</f>
        <v>#REF!</v>
      </c>
      <c r="IR11" t="e">
        <f>AND(TOC!#REF!,"AAAAAD9fn/s=")</f>
        <v>#REF!</v>
      </c>
      <c r="IS11" t="e">
        <f>IF(TOC!#REF!,"AAAAAD9fn/w=",0)</f>
        <v>#REF!</v>
      </c>
      <c r="IT11" t="e">
        <f>AND(TOC!#REF!,"AAAAAD9fn/0=")</f>
        <v>#REF!</v>
      </c>
      <c r="IU11" t="e">
        <f>AND(TOC!#REF!,"AAAAAD9fn/4=")</f>
        <v>#REF!</v>
      </c>
      <c r="IV11" t="e">
        <f>AND(TOC!#REF!,"AAAAAD9fn/8=")</f>
        <v>#REF!</v>
      </c>
    </row>
    <row r="12" spans="1:256" x14ac:dyDescent="0.2">
      <c r="A12" t="e">
        <f>AND(TOC!#REF!,"AAAAAD6uEwA=")</f>
        <v>#REF!</v>
      </c>
      <c r="B12" t="e">
        <f>AND(TOC!#REF!,"AAAAAD6uEwE=")</f>
        <v>#REF!</v>
      </c>
      <c r="C12" t="e">
        <f>AND(TOC!#REF!,"AAAAAD6uEwI=")</f>
        <v>#REF!</v>
      </c>
      <c r="D12" t="e">
        <f>AND(TOC!#REF!,"AAAAAD6uEwM=")</f>
        <v>#REF!</v>
      </c>
      <c r="E12" t="e">
        <f>AND(TOC!#REF!,"AAAAAD6uEwQ=")</f>
        <v>#REF!</v>
      </c>
      <c r="F12" t="e">
        <f>AND(TOC!#REF!,"AAAAAD6uEwU=")</f>
        <v>#REF!</v>
      </c>
      <c r="G12" t="e">
        <f>AND(TOC!#REF!,"AAAAAD6uEwY=")</f>
        <v>#REF!</v>
      </c>
      <c r="H12" t="e">
        <f>AND(TOC!#REF!,"AAAAAD6uEwc=")</f>
        <v>#REF!</v>
      </c>
      <c r="I12" t="e">
        <f>AND(TOC!#REF!,"AAAAAD6uEwg=")</f>
        <v>#REF!</v>
      </c>
      <c r="J12" t="e">
        <f>AND(TOC!#REF!,"AAAAAD6uEwk=")</f>
        <v>#REF!</v>
      </c>
      <c r="K12" t="e">
        <f>AND(TOC!#REF!,"AAAAAD6uEwo=")</f>
        <v>#REF!</v>
      </c>
      <c r="L12" t="e">
        <f>AND(TOC!#REF!,"AAAAAD6uEws=")</f>
        <v>#REF!</v>
      </c>
      <c r="M12" t="e">
        <f>AND(TOC!#REF!,"AAAAAD6uEww=")</f>
        <v>#REF!</v>
      </c>
      <c r="N12" t="e">
        <f>AND(TOC!#REF!,"AAAAAD6uEw0=")</f>
        <v>#REF!</v>
      </c>
      <c r="O12" t="e">
        <f>AND(TOC!#REF!,"AAAAAD6uEw4=")</f>
        <v>#REF!</v>
      </c>
      <c r="P12" t="e">
        <f>AND(TOC!#REF!,"AAAAAD6uEw8=")</f>
        <v>#REF!</v>
      </c>
      <c r="Q12" t="e">
        <f>AND(TOC!#REF!,"AAAAAD6uExA=")</f>
        <v>#REF!</v>
      </c>
      <c r="R12" t="e">
        <f>AND(TOC!#REF!,"AAAAAD6uExE=")</f>
        <v>#REF!</v>
      </c>
      <c r="S12" t="e">
        <f>AND(TOC!#REF!,"AAAAAD6uExI=")</f>
        <v>#REF!</v>
      </c>
      <c r="T12" t="e">
        <f>AND(TOC!#REF!,"AAAAAD6uExM=")</f>
        <v>#REF!</v>
      </c>
      <c r="U12" t="e">
        <f>AND(TOC!#REF!,"AAAAAD6uExQ=")</f>
        <v>#REF!</v>
      </c>
      <c r="V12" t="e">
        <f>AND(TOC!#REF!,"AAAAAD6uExU=")</f>
        <v>#REF!</v>
      </c>
      <c r="W12" t="e">
        <f>AND(TOC!#REF!,"AAAAAD6uExY=")</f>
        <v>#REF!</v>
      </c>
      <c r="X12" t="e">
        <f>AND(TOC!#REF!,"AAAAAD6uExc=")</f>
        <v>#REF!</v>
      </c>
      <c r="Y12" t="e">
        <f>AND(TOC!#REF!,"AAAAAD6uExg=")</f>
        <v>#REF!</v>
      </c>
      <c r="Z12" t="e">
        <f>AND(TOC!#REF!,"AAAAAD6uExk=")</f>
        <v>#REF!</v>
      </c>
      <c r="AA12" t="e">
        <f>AND(TOC!#REF!,"AAAAAD6uExo=")</f>
        <v>#REF!</v>
      </c>
      <c r="AB12" t="e">
        <f>AND(TOC!#REF!,"AAAAAD6uExs=")</f>
        <v>#REF!</v>
      </c>
      <c r="AC12" t="e">
        <f>AND(TOC!#REF!,"AAAAAD6uExw=")</f>
        <v>#REF!</v>
      </c>
      <c r="AD12" t="e">
        <f>AND(TOC!#REF!,"AAAAAD6uEx0=")</f>
        <v>#REF!</v>
      </c>
      <c r="AE12" t="e">
        <f>AND(TOC!#REF!,"AAAAAD6uEx4=")</f>
        <v>#REF!</v>
      </c>
      <c r="AF12" t="e">
        <f>AND(TOC!#REF!,"AAAAAD6uEx8=")</f>
        <v>#REF!</v>
      </c>
      <c r="AG12" t="e">
        <f>AND(TOC!#REF!,"AAAAAD6uEyA=")</f>
        <v>#REF!</v>
      </c>
      <c r="AH12" t="e">
        <f>IF(TOC!#REF!,"AAAAAD6uEyE=",0)</f>
        <v>#REF!</v>
      </c>
      <c r="AI12" t="e">
        <f>AND(TOC!#REF!,"AAAAAD6uEyI=")</f>
        <v>#REF!</v>
      </c>
      <c r="AJ12" t="e">
        <f>AND(TOC!#REF!,"AAAAAD6uEyM=")</f>
        <v>#REF!</v>
      </c>
      <c r="AK12" t="e">
        <f>AND(TOC!#REF!,"AAAAAD6uEyQ=")</f>
        <v>#REF!</v>
      </c>
      <c r="AL12" t="e">
        <f>AND(TOC!#REF!,"AAAAAD6uEyU=")</f>
        <v>#REF!</v>
      </c>
      <c r="AM12" t="e">
        <f>AND(TOC!#REF!,"AAAAAD6uEyY=")</f>
        <v>#REF!</v>
      </c>
      <c r="AN12" t="e">
        <f>AND(TOC!#REF!,"AAAAAD6uEyc=")</f>
        <v>#REF!</v>
      </c>
      <c r="AO12" t="e">
        <f>AND(TOC!#REF!,"AAAAAD6uEyg=")</f>
        <v>#REF!</v>
      </c>
      <c r="AP12" t="e">
        <f>AND(TOC!#REF!,"AAAAAD6uEyk=")</f>
        <v>#REF!</v>
      </c>
      <c r="AQ12" t="e">
        <f>AND(TOC!#REF!,"AAAAAD6uEyo=")</f>
        <v>#REF!</v>
      </c>
      <c r="AR12" t="e">
        <f>AND(TOC!#REF!,"AAAAAD6uEys=")</f>
        <v>#REF!</v>
      </c>
      <c r="AS12" t="e">
        <f>AND(TOC!#REF!,"AAAAAD6uEyw=")</f>
        <v>#REF!</v>
      </c>
      <c r="AT12" t="e">
        <f>AND(TOC!#REF!,"AAAAAD6uEy0=")</f>
        <v>#REF!</v>
      </c>
      <c r="AU12" t="e">
        <f>AND(TOC!#REF!,"AAAAAD6uEy4=")</f>
        <v>#REF!</v>
      </c>
      <c r="AV12" t="e">
        <f>AND(TOC!#REF!,"AAAAAD6uEy8=")</f>
        <v>#REF!</v>
      </c>
      <c r="AW12" t="e">
        <f>AND(TOC!#REF!,"AAAAAD6uEzA=")</f>
        <v>#REF!</v>
      </c>
      <c r="AX12" t="e">
        <f>AND(TOC!#REF!,"AAAAAD6uEzE=")</f>
        <v>#REF!</v>
      </c>
      <c r="AY12" t="e">
        <f>AND(TOC!#REF!,"AAAAAD6uEzI=")</f>
        <v>#REF!</v>
      </c>
      <c r="AZ12" t="e">
        <f>AND(TOC!#REF!,"AAAAAD6uEzM=")</f>
        <v>#REF!</v>
      </c>
      <c r="BA12" t="e">
        <f>AND(TOC!#REF!,"AAAAAD6uEzQ=")</f>
        <v>#REF!</v>
      </c>
      <c r="BB12" t="e">
        <f>AND(TOC!#REF!,"AAAAAD6uEzU=")</f>
        <v>#REF!</v>
      </c>
      <c r="BC12" t="e">
        <f>AND(TOC!#REF!,"AAAAAD6uEzY=")</f>
        <v>#REF!</v>
      </c>
      <c r="BD12" t="e">
        <f>AND(TOC!#REF!,"AAAAAD6uEzc=")</f>
        <v>#REF!</v>
      </c>
      <c r="BE12" t="e">
        <f>AND(TOC!#REF!,"AAAAAD6uEzg=")</f>
        <v>#REF!</v>
      </c>
      <c r="BF12" t="e">
        <f>AND(TOC!#REF!,"AAAAAD6uEzk=")</f>
        <v>#REF!</v>
      </c>
      <c r="BG12" t="e">
        <f>AND(TOC!#REF!,"AAAAAD6uEzo=")</f>
        <v>#REF!</v>
      </c>
      <c r="BH12" t="e">
        <f>AND(TOC!#REF!,"AAAAAD6uEzs=")</f>
        <v>#REF!</v>
      </c>
      <c r="BI12" t="e">
        <f>AND(TOC!#REF!,"AAAAAD6uEzw=")</f>
        <v>#REF!</v>
      </c>
      <c r="BJ12" t="e">
        <f>AND(TOC!#REF!,"AAAAAD6uEz0=")</f>
        <v>#REF!</v>
      </c>
      <c r="BK12" t="e">
        <f>AND(TOC!#REF!,"AAAAAD6uEz4=")</f>
        <v>#REF!</v>
      </c>
      <c r="BL12" t="e">
        <f>AND(TOC!#REF!,"AAAAAD6uEz8=")</f>
        <v>#REF!</v>
      </c>
      <c r="BM12" t="e">
        <f>AND(TOC!#REF!,"AAAAAD6uE0A=")</f>
        <v>#REF!</v>
      </c>
      <c r="BN12" t="e">
        <f>AND(TOC!#REF!,"AAAAAD6uE0E=")</f>
        <v>#REF!</v>
      </c>
      <c r="BO12" t="e">
        <f>AND(TOC!#REF!,"AAAAAD6uE0I=")</f>
        <v>#REF!</v>
      </c>
      <c r="BP12" t="e">
        <f>AND(TOC!#REF!,"AAAAAD6uE0M=")</f>
        <v>#REF!</v>
      </c>
      <c r="BQ12" t="e">
        <f>AND(TOC!#REF!,"AAAAAD6uE0Q=")</f>
        <v>#REF!</v>
      </c>
      <c r="BR12" t="e">
        <f>AND(TOC!#REF!,"AAAAAD6uE0U=")</f>
        <v>#REF!</v>
      </c>
      <c r="BS12" t="e">
        <f>IF(TOC!#REF!,"AAAAAD6uE0Y=",0)</f>
        <v>#REF!</v>
      </c>
      <c r="BT12" t="e">
        <f>AND(TOC!#REF!,"AAAAAD6uE0c=")</f>
        <v>#REF!</v>
      </c>
      <c r="BU12" t="e">
        <f>AND(TOC!#REF!,"AAAAAD6uE0g=")</f>
        <v>#REF!</v>
      </c>
      <c r="BV12" t="e">
        <f>AND(TOC!#REF!,"AAAAAD6uE0k=")</f>
        <v>#REF!</v>
      </c>
      <c r="BW12" t="e">
        <f>AND(TOC!#REF!,"AAAAAD6uE0o=")</f>
        <v>#REF!</v>
      </c>
      <c r="BX12" t="e">
        <f>AND(TOC!#REF!,"AAAAAD6uE0s=")</f>
        <v>#REF!</v>
      </c>
      <c r="BY12" t="e">
        <f>AND(TOC!#REF!,"AAAAAD6uE0w=")</f>
        <v>#REF!</v>
      </c>
      <c r="BZ12" t="e">
        <f>AND(TOC!#REF!,"AAAAAD6uE00=")</f>
        <v>#REF!</v>
      </c>
      <c r="CA12" t="e">
        <f>AND(TOC!#REF!,"AAAAAD6uE04=")</f>
        <v>#REF!</v>
      </c>
      <c r="CB12" t="e">
        <f>AND(TOC!#REF!,"AAAAAD6uE08=")</f>
        <v>#REF!</v>
      </c>
      <c r="CC12" t="e">
        <f>AND(TOC!#REF!,"AAAAAD6uE1A=")</f>
        <v>#REF!</v>
      </c>
      <c r="CD12" t="e">
        <f>AND(TOC!#REF!,"AAAAAD6uE1E=")</f>
        <v>#REF!</v>
      </c>
      <c r="CE12" t="e">
        <f>AND(TOC!#REF!,"AAAAAD6uE1I=")</f>
        <v>#REF!</v>
      </c>
      <c r="CF12" t="e">
        <f>AND(TOC!#REF!,"AAAAAD6uE1M=")</f>
        <v>#REF!</v>
      </c>
      <c r="CG12" t="e">
        <f>AND(TOC!#REF!,"AAAAAD6uE1Q=")</f>
        <v>#REF!</v>
      </c>
      <c r="CH12" t="e">
        <f>AND(TOC!#REF!,"AAAAAD6uE1U=")</f>
        <v>#REF!</v>
      </c>
      <c r="CI12" t="e">
        <f>AND(TOC!#REF!,"AAAAAD6uE1Y=")</f>
        <v>#REF!</v>
      </c>
      <c r="CJ12" t="e">
        <f>AND(TOC!#REF!,"AAAAAD6uE1c=")</f>
        <v>#REF!</v>
      </c>
      <c r="CK12" t="e">
        <f>AND(TOC!#REF!,"AAAAAD6uE1g=")</f>
        <v>#REF!</v>
      </c>
      <c r="CL12" t="e">
        <f>AND(TOC!#REF!,"AAAAAD6uE1k=")</f>
        <v>#REF!</v>
      </c>
      <c r="CM12" t="e">
        <f>AND(TOC!#REF!,"AAAAAD6uE1o=")</f>
        <v>#REF!</v>
      </c>
      <c r="CN12" t="e">
        <f>AND(TOC!#REF!,"AAAAAD6uE1s=")</f>
        <v>#REF!</v>
      </c>
      <c r="CO12" t="e">
        <f>AND(TOC!#REF!,"AAAAAD6uE1w=")</f>
        <v>#REF!</v>
      </c>
      <c r="CP12" t="e">
        <f>AND(TOC!#REF!,"AAAAAD6uE10=")</f>
        <v>#REF!</v>
      </c>
      <c r="CQ12" t="e">
        <f>AND(TOC!#REF!,"AAAAAD6uE14=")</f>
        <v>#REF!</v>
      </c>
      <c r="CR12" t="e">
        <f>AND(TOC!#REF!,"AAAAAD6uE18=")</f>
        <v>#REF!</v>
      </c>
      <c r="CS12" t="e">
        <f>AND(TOC!#REF!,"AAAAAD6uE2A=")</f>
        <v>#REF!</v>
      </c>
      <c r="CT12" t="e">
        <f>AND(TOC!#REF!,"AAAAAD6uE2E=")</f>
        <v>#REF!</v>
      </c>
      <c r="CU12" t="e">
        <f>AND(TOC!#REF!,"AAAAAD6uE2I=")</f>
        <v>#REF!</v>
      </c>
      <c r="CV12" t="e">
        <f>AND(TOC!#REF!,"AAAAAD6uE2M=")</f>
        <v>#REF!</v>
      </c>
      <c r="CW12" t="e">
        <f>AND(TOC!#REF!,"AAAAAD6uE2Q=")</f>
        <v>#REF!</v>
      </c>
      <c r="CX12" t="e">
        <f>AND(TOC!#REF!,"AAAAAD6uE2U=")</f>
        <v>#REF!</v>
      </c>
      <c r="CY12" t="e">
        <f>AND(TOC!#REF!,"AAAAAD6uE2Y=")</f>
        <v>#REF!</v>
      </c>
      <c r="CZ12" t="e">
        <f>AND(TOC!#REF!,"AAAAAD6uE2c=")</f>
        <v>#REF!</v>
      </c>
      <c r="DA12" t="e">
        <f>AND(TOC!#REF!,"AAAAAD6uE2g=")</f>
        <v>#REF!</v>
      </c>
      <c r="DB12" t="e">
        <f>AND(TOC!#REF!,"AAAAAD6uE2k=")</f>
        <v>#REF!</v>
      </c>
      <c r="DC12" t="e">
        <f>AND(TOC!#REF!,"AAAAAD6uE2o=")</f>
        <v>#REF!</v>
      </c>
      <c r="DD12" t="e">
        <f>IF(TOC!#REF!,"AAAAAD6uE2s=",0)</f>
        <v>#REF!</v>
      </c>
      <c r="DE12" t="e">
        <f>AND(TOC!#REF!,"AAAAAD6uE2w=")</f>
        <v>#REF!</v>
      </c>
      <c r="DF12" t="e">
        <f>AND(TOC!#REF!,"AAAAAD6uE20=")</f>
        <v>#REF!</v>
      </c>
      <c r="DG12" t="e">
        <f>AND(TOC!#REF!,"AAAAAD6uE24=")</f>
        <v>#REF!</v>
      </c>
      <c r="DH12" t="e">
        <f>AND(TOC!#REF!,"AAAAAD6uE28=")</f>
        <v>#REF!</v>
      </c>
      <c r="DI12" t="e">
        <f>AND(TOC!#REF!,"AAAAAD6uE3A=")</f>
        <v>#REF!</v>
      </c>
      <c r="DJ12" t="e">
        <f>AND(TOC!#REF!,"AAAAAD6uE3E=")</f>
        <v>#REF!</v>
      </c>
      <c r="DK12" t="e">
        <f>AND(TOC!#REF!,"AAAAAD6uE3I=")</f>
        <v>#REF!</v>
      </c>
      <c r="DL12" t="e">
        <f>AND(TOC!#REF!,"AAAAAD6uE3M=")</f>
        <v>#REF!</v>
      </c>
      <c r="DM12" t="e">
        <f>AND(TOC!#REF!,"AAAAAD6uE3Q=")</f>
        <v>#REF!</v>
      </c>
      <c r="DN12" t="e">
        <f>AND(TOC!#REF!,"AAAAAD6uE3U=")</f>
        <v>#REF!</v>
      </c>
      <c r="DO12" t="e">
        <f>AND(TOC!#REF!,"AAAAAD6uE3Y=")</f>
        <v>#REF!</v>
      </c>
      <c r="DP12" t="e">
        <f>AND(TOC!#REF!,"AAAAAD6uE3c=")</f>
        <v>#REF!</v>
      </c>
      <c r="DQ12" t="e">
        <f>AND(TOC!#REF!,"AAAAAD6uE3g=")</f>
        <v>#REF!</v>
      </c>
      <c r="DR12" t="e">
        <f>AND(TOC!#REF!,"AAAAAD6uE3k=")</f>
        <v>#REF!</v>
      </c>
      <c r="DS12" t="e">
        <f>AND(TOC!#REF!,"AAAAAD6uE3o=")</f>
        <v>#REF!</v>
      </c>
      <c r="DT12" t="e">
        <f>AND(TOC!#REF!,"AAAAAD6uE3s=")</f>
        <v>#REF!</v>
      </c>
      <c r="DU12" t="e">
        <f>AND(TOC!#REF!,"AAAAAD6uE3w=")</f>
        <v>#REF!</v>
      </c>
      <c r="DV12" t="e">
        <f>AND(TOC!#REF!,"AAAAAD6uE30=")</f>
        <v>#REF!</v>
      </c>
      <c r="DW12" t="e">
        <f>AND(TOC!#REF!,"AAAAAD6uE34=")</f>
        <v>#REF!</v>
      </c>
      <c r="DX12" t="e">
        <f>AND(TOC!#REF!,"AAAAAD6uE38=")</f>
        <v>#REF!</v>
      </c>
      <c r="DY12" t="e">
        <f>AND(TOC!#REF!,"AAAAAD6uE4A=")</f>
        <v>#REF!</v>
      </c>
      <c r="DZ12" t="e">
        <f>AND(TOC!#REF!,"AAAAAD6uE4E=")</f>
        <v>#REF!</v>
      </c>
      <c r="EA12" t="e">
        <f>AND(TOC!#REF!,"AAAAAD6uE4I=")</f>
        <v>#REF!</v>
      </c>
      <c r="EB12" t="e">
        <f>AND(TOC!#REF!,"AAAAAD6uE4M=")</f>
        <v>#REF!</v>
      </c>
      <c r="EC12" t="e">
        <f>AND(TOC!#REF!,"AAAAAD6uE4Q=")</f>
        <v>#REF!</v>
      </c>
      <c r="ED12" t="e">
        <f>AND(TOC!#REF!,"AAAAAD6uE4U=")</f>
        <v>#REF!</v>
      </c>
      <c r="EE12" t="e">
        <f>AND(TOC!#REF!,"AAAAAD6uE4Y=")</f>
        <v>#REF!</v>
      </c>
      <c r="EF12" t="e">
        <f>AND(TOC!#REF!,"AAAAAD6uE4c=")</f>
        <v>#REF!</v>
      </c>
      <c r="EG12" t="e">
        <f>AND(TOC!#REF!,"AAAAAD6uE4g=")</f>
        <v>#REF!</v>
      </c>
      <c r="EH12" t="e">
        <f>AND(TOC!#REF!,"AAAAAD6uE4k=")</f>
        <v>#REF!</v>
      </c>
      <c r="EI12" t="e">
        <f>AND(TOC!#REF!,"AAAAAD6uE4o=")</f>
        <v>#REF!</v>
      </c>
      <c r="EJ12" t="e">
        <f>AND(TOC!#REF!,"AAAAAD6uE4s=")</f>
        <v>#REF!</v>
      </c>
      <c r="EK12" t="e">
        <f>AND(TOC!#REF!,"AAAAAD6uE4w=")</f>
        <v>#REF!</v>
      </c>
      <c r="EL12" t="e">
        <f>AND(TOC!#REF!,"AAAAAD6uE40=")</f>
        <v>#REF!</v>
      </c>
      <c r="EM12" t="e">
        <f>AND(TOC!#REF!,"AAAAAD6uE44=")</f>
        <v>#REF!</v>
      </c>
      <c r="EN12" t="e">
        <f>AND(TOC!#REF!,"AAAAAD6uE48=")</f>
        <v>#REF!</v>
      </c>
      <c r="EO12" t="e">
        <f>IF(TOC!#REF!,"AAAAAD6uE5A=",0)</f>
        <v>#REF!</v>
      </c>
      <c r="EP12" t="e">
        <f>AND(TOC!#REF!,"AAAAAD6uE5E=")</f>
        <v>#REF!</v>
      </c>
      <c r="EQ12" t="e">
        <f>AND(TOC!#REF!,"AAAAAD6uE5I=")</f>
        <v>#REF!</v>
      </c>
      <c r="ER12" t="e">
        <f>AND(TOC!#REF!,"AAAAAD6uE5M=")</f>
        <v>#REF!</v>
      </c>
      <c r="ES12" t="e">
        <f>AND(TOC!#REF!,"AAAAAD6uE5Q=")</f>
        <v>#REF!</v>
      </c>
      <c r="ET12" t="e">
        <f>AND(TOC!#REF!,"AAAAAD6uE5U=")</f>
        <v>#REF!</v>
      </c>
      <c r="EU12" t="e">
        <f>AND(TOC!#REF!,"AAAAAD6uE5Y=")</f>
        <v>#REF!</v>
      </c>
      <c r="EV12" t="e">
        <f>AND(TOC!#REF!,"AAAAAD6uE5c=")</f>
        <v>#REF!</v>
      </c>
      <c r="EW12" t="e">
        <f>AND(TOC!#REF!,"AAAAAD6uE5g=")</f>
        <v>#REF!</v>
      </c>
      <c r="EX12" t="e">
        <f>AND(TOC!#REF!,"AAAAAD6uE5k=")</f>
        <v>#REF!</v>
      </c>
      <c r="EY12" t="e">
        <f>AND(TOC!#REF!,"AAAAAD6uE5o=")</f>
        <v>#REF!</v>
      </c>
      <c r="EZ12" t="e">
        <f>AND(TOC!#REF!,"AAAAAD6uE5s=")</f>
        <v>#REF!</v>
      </c>
      <c r="FA12" t="e">
        <f>AND(TOC!#REF!,"AAAAAD6uE5w=")</f>
        <v>#REF!</v>
      </c>
      <c r="FB12" t="e">
        <f>AND(TOC!#REF!,"AAAAAD6uE50=")</f>
        <v>#REF!</v>
      </c>
      <c r="FC12" t="e">
        <f>AND(TOC!#REF!,"AAAAAD6uE54=")</f>
        <v>#REF!</v>
      </c>
      <c r="FD12" t="e">
        <f>AND(TOC!#REF!,"AAAAAD6uE58=")</f>
        <v>#REF!</v>
      </c>
      <c r="FE12" t="e">
        <f>AND(TOC!#REF!,"AAAAAD6uE6A=")</f>
        <v>#REF!</v>
      </c>
      <c r="FF12" t="e">
        <f>AND(TOC!#REF!,"AAAAAD6uE6E=")</f>
        <v>#REF!</v>
      </c>
      <c r="FG12" t="e">
        <f>AND(TOC!#REF!,"AAAAAD6uE6I=")</f>
        <v>#REF!</v>
      </c>
      <c r="FH12" t="e">
        <f>AND(TOC!#REF!,"AAAAAD6uE6M=")</f>
        <v>#REF!</v>
      </c>
      <c r="FI12" t="e">
        <f>AND(TOC!#REF!,"AAAAAD6uE6Q=")</f>
        <v>#REF!</v>
      </c>
      <c r="FJ12" t="e">
        <f>AND(TOC!#REF!,"AAAAAD6uE6U=")</f>
        <v>#REF!</v>
      </c>
      <c r="FK12" t="e">
        <f>AND(TOC!#REF!,"AAAAAD6uE6Y=")</f>
        <v>#REF!</v>
      </c>
      <c r="FL12" t="e">
        <f>AND(TOC!#REF!,"AAAAAD6uE6c=")</f>
        <v>#REF!</v>
      </c>
      <c r="FM12" t="e">
        <f>AND(TOC!#REF!,"AAAAAD6uE6g=")</f>
        <v>#REF!</v>
      </c>
      <c r="FN12" t="e">
        <f>AND(TOC!#REF!,"AAAAAD6uE6k=")</f>
        <v>#REF!</v>
      </c>
      <c r="FO12" t="e">
        <f>AND(TOC!#REF!,"AAAAAD6uE6o=")</f>
        <v>#REF!</v>
      </c>
      <c r="FP12" t="e">
        <f>AND(TOC!#REF!,"AAAAAD6uE6s=")</f>
        <v>#REF!</v>
      </c>
      <c r="FQ12" t="e">
        <f>AND(TOC!#REF!,"AAAAAD6uE6w=")</f>
        <v>#REF!</v>
      </c>
      <c r="FR12" t="e">
        <f>AND(TOC!#REF!,"AAAAAD6uE60=")</f>
        <v>#REF!</v>
      </c>
      <c r="FS12" t="e">
        <f>AND(TOC!#REF!,"AAAAAD6uE64=")</f>
        <v>#REF!</v>
      </c>
      <c r="FT12" t="e">
        <f>AND(TOC!#REF!,"AAAAAD6uE68=")</f>
        <v>#REF!</v>
      </c>
      <c r="FU12" t="e">
        <f>AND(TOC!#REF!,"AAAAAD6uE7A=")</f>
        <v>#REF!</v>
      </c>
      <c r="FV12" t="e">
        <f>AND(TOC!#REF!,"AAAAAD6uE7E=")</f>
        <v>#REF!</v>
      </c>
      <c r="FW12" t="e">
        <f>AND(TOC!#REF!,"AAAAAD6uE7I=")</f>
        <v>#REF!</v>
      </c>
      <c r="FX12" t="e">
        <f>AND(TOC!#REF!,"AAAAAD6uE7M=")</f>
        <v>#REF!</v>
      </c>
      <c r="FY12" t="e">
        <f>AND(TOC!#REF!,"AAAAAD6uE7Q=")</f>
        <v>#REF!</v>
      </c>
      <c r="FZ12" t="e">
        <f>IF(TOC!#REF!,"AAAAAD6uE7U=",0)</f>
        <v>#REF!</v>
      </c>
      <c r="GA12" t="e">
        <f>AND(TOC!#REF!,"AAAAAD6uE7Y=")</f>
        <v>#REF!</v>
      </c>
      <c r="GB12" t="e">
        <f>AND(TOC!#REF!,"AAAAAD6uE7c=")</f>
        <v>#REF!</v>
      </c>
      <c r="GC12" t="e">
        <f>AND(TOC!#REF!,"AAAAAD6uE7g=")</f>
        <v>#REF!</v>
      </c>
      <c r="GD12" t="e">
        <f>AND(TOC!#REF!,"AAAAAD6uE7k=")</f>
        <v>#REF!</v>
      </c>
      <c r="GE12" t="e">
        <f>AND(TOC!#REF!,"AAAAAD6uE7o=")</f>
        <v>#REF!</v>
      </c>
      <c r="GF12" t="e">
        <f>AND(TOC!#REF!,"AAAAAD6uE7s=")</f>
        <v>#REF!</v>
      </c>
      <c r="GG12" t="e">
        <f>AND(TOC!#REF!,"AAAAAD6uE7w=")</f>
        <v>#REF!</v>
      </c>
      <c r="GH12" t="e">
        <f>AND(TOC!#REF!,"AAAAAD6uE70=")</f>
        <v>#REF!</v>
      </c>
      <c r="GI12" t="e">
        <f>AND(TOC!#REF!,"AAAAAD6uE74=")</f>
        <v>#REF!</v>
      </c>
      <c r="GJ12" t="e">
        <f>AND(TOC!#REF!,"AAAAAD6uE78=")</f>
        <v>#REF!</v>
      </c>
      <c r="GK12" t="e">
        <f>AND(TOC!#REF!,"AAAAAD6uE8A=")</f>
        <v>#REF!</v>
      </c>
      <c r="GL12" t="e">
        <f>AND(TOC!#REF!,"AAAAAD6uE8E=")</f>
        <v>#REF!</v>
      </c>
      <c r="GM12" t="e">
        <f>AND(TOC!#REF!,"AAAAAD6uE8I=")</f>
        <v>#REF!</v>
      </c>
      <c r="GN12" t="e">
        <f>AND(TOC!#REF!,"AAAAAD6uE8M=")</f>
        <v>#REF!</v>
      </c>
      <c r="GO12" t="e">
        <f>AND(TOC!#REF!,"AAAAAD6uE8Q=")</f>
        <v>#REF!</v>
      </c>
      <c r="GP12" t="e">
        <f>AND(TOC!#REF!,"AAAAAD6uE8U=")</f>
        <v>#REF!</v>
      </c>
      <c r="GQ12" t="e">
        <f>AND(TOC!#REF!,"AAAAAD6uE8Y=")</f>
        <v>#REF!</v>
      </c>
      <c r="GR12" t="e">
        <f>AND(TOC!#REF!,"AAAAAD6uE8c=")</f>
        <v>#REF!</v>
      </c>
      <c r="GS12" t="e">
        <f>AND(TOC!#REF!,"AAAAAD6uE8g=")</f>
        <v>#REF!</v>
      </c>
      <c r="GT12" t="e">
        <f>AND(TOC!#REF!,"AAAAAD6uE8k=")</f>
        <v>#REF!</v>
      </c>
      <c r="GU12" t="e">
        <f>AND(TOC!#REF!,"AAAAAD6uE8o=")</f>
        <v>#REF!</v>
      </c>
      <c r="GV12" t="e">
        <f>AND(TOC!#REF!,"AAAAAD6uE8s=")</f>
        <v>#REF!</v>
      </c>
      <c r="GW12" t="e">
        <f>AND(TOC!#REF!,"AAAAAD6uE8w=")</f>
        <v>#REF!</v>
      </c>
      <c r="GX12" t="e">
        <f>AND(TOC!#REF!,"AAAAAD6uE80=")</f>
        <v>#REF!</v>
      </c>
      <c r="GY12" t="e">
        <f>AND(TOC!#REF!,"AAAAAD6uE84=")</f>
        <v>#REF!</v>
      </c>
      <c r="GZ12" t="e">
        <f>AND(TOC!#REF!,"AAAAAD6uE88=")</f>
        <v>#REF!</v>
      </c>
      <c r="HA12" t="e">
        <f>AND(TOC!#REF!,"AAAAAD6uE9A=")</f>
        <v>#REF!</v>
      </c>
      <c r="HB12" t="e">
        <f>AND(TOC!#REF!,"AAAAAD6uE9E=")</f>
        <v>#REF!</v>
      </c>
      <c r="HC12" t="e">
        <f>AND(TOC!#REF!,"AAAAAD6uE9I=")</f>
        <v>#REF!</v>
      </c>
      <c r="HD12" t="e">
        <f>AND(TOC!#REF!,"AAAAAD6uE9M=")</f>
        <v>#REF!</v>
      </c>
      <c r="HE12" t="e">
        <f>AND(TOC!#REF!,"AAAAAD6uE9Q=")</f>
        <v>#REF!</v>
      </c>
      <c r="HF12" t="e">
        <f>AND(TOC!#REF!,"AAAAAD6uE9U=")</f>
        <v>#REF!</v>
      </c>
      <c r="HG12" t="e">
        <f>AND(TOC!#REF!,"AAAAAD6uE9Y=")</f>
        <v>#REF!</v>
      </c>
      <c r="HH12" t="e">
        <f>AND(TOC!#REF!,"AAAAAD6uE9c=")</f>
        <v>#REF!</v>
      </c>
      <c r="HI12" t="e">
        <f>AND(TOC!#REF!,"AAAAAD6uE9g=")</f>
        <v>#REF!</v>
      </c>
      <c r="HJ12" t="e">
        <f>AND(TOC!#REF!,"AAAAAD6uE9k=")</f>
        <v>#REF!</v>
      </c>
      <c r="HK12" t="e">
        <f>IF(TOC!#REF!,"AAAAAD6uE9o=",0)</f>
        <v>#REF!</v>
      </c>
      <c r="HL12" t="e">
        <f>AND(TOC!#REF!,"AAAAAD6uE9s=")</f>
        <v>#REF!</v>
      </c>
      <c r="HM12" t="e">
        <f>AND(TOC!#REF!,"AAAAAD6uE9w=")</f>
        <v>#REF!</v>
      </c>
      <c r="HN12" t="e">
        <f>AND(TOC!#REF!,"AAAAAD6uE90=")</f>
        <v>#REF!</v>
      </c>
      <c r="HO12" t="e">
        <f>AND(TOC!#REF!,"AAAAAD6uE94=")</f>
        <v>#REF!</v>
      </c>
      <c r="HP12" t="e">
        <f>AND(TOC!#REF!,"AAAAAD6uE98=")</f>
        <v>#REF!</v>
      </c>
      <c r="HQ12" t="e">
        <f>AND(TOC!#REF!,"AAAAAD6uE+A=")</f>
        <v>#REF!</v>
      </c>
      <c r="HR12" t="e">
        <f>AND(TOC!#REF!,"AAAAAD6uE+E=")</f>
        <v>#REF!</v>
      </c>
      <c r="HS12" t="e">
        <f>AND(TOC!#REF!,"AAAAAD6uE+I=")</f>
        <v>#REF!</v>
      </c>
      <c r="HT12" t="e">
        <f>AND(TOC!#REF!,"AAAAAD6uE+M=")</f>
        <v>#REF!</v>
      </c>
      <c r="HU12" t="e">
        <f>AND(TOC!#REF!,"AAAAAD6uE+Q=")</f>
        <v>#REF!</v>
      </c>
      <c r="HV12" t="e">
        <f>AND(TOC!#REF!,"AAAAAD6uE+U=")</f>
        <v>#REF!</v>
      </c>
      <c r="HW12" t="e">
        <f>AND(TOC!#REF!,"AAAAAD6uE+Y=")</f>
        <v>#REF!</v>
      </c>
      <c r="HX12" t="e">
        <f>AND(TOC!#REF!,"AAAAAD6uE+c=")</f>
        <v>#REF!</v>
      </c>
      <c r="HY12" t="e">
        <f>AND(TOC!#REF!,"AAAAAD6uE+g=")</f>
        <v>#REF!</v>
      </c>
      <c r="HZ12" t="e">
        <f>AND(TOC!#REF!,"AAAAAD6uE+k=")</f>
        <v>#REF!</v>
      </c>
      <c r="IA12" t="e">
        <f>AND(TOC!#REF!,"AAAAAD6uE+o=")</f>
        <v>#REF!</v>
      </c>
      <c r="IB12" t="e">
        <f>AND(TOC!#REF!,"AAAAAD6uE+s=")</f>
        <v>#REF!</v>
      </c>
      <c r="IC12" t="e">
        <f>AND(TOC!#REF!,"AAAAAD6uE+w=")</f>
        <v>#REF!</v>
      </c>
      <c r="ID12" t="e">
        <f>AND(TOC!#REF!,"AAAAAD6uE+0=")</f>
        <v>#REF!</v>
      </c>
      <c r="IE12" t="e">
        <f>AND(TOC!#REF!,"AAAAAD6uE+4=")</f>
        <v>#REF!</v>
      </c>
      <c r="IF12" t="e">
        <f>AND(TOC!#REF!,"AAAAAD6uE+8=")</f>
        <v>#REF!</v>
      </c>
      <c r="IG12" t="e">
        <f>AND(TOC!#REF!,"AAAAAD6uE/A=")</f>
        <v>#REF!</v>
      </c>
      <c r="IH12" t="e">
        <f>AND(TOC!#REF!,"AAAAAD6uE/E=")</f>
        <v>#REF!</v>
      </c>
      <c r="II12" t="e">
        <f>AND(TOC!#REF!,"AAAAAD6uE/I=")</f>
        <v>#REF!</v>
      </c>
      <c r="IJ12" t="e">
        <f>AND(TOC!#REF!,"AAAAAD6uE/M=")</f>
        <v>#REF!</v>
      </c>
      <c r="IK12" t="e">
        <f>AND(TOC!#REF!,"AAAAAD6uE/Q=")</f>
        <v>#REF!</v>
      </c>
      <c r="IL12" t="e">
        <f>AND(TOC!#REF!,"AAAAAD6uE/U=")</f>
        <v>#REF!</v>
      </c>
      <c r="IM12" t="e">
        <f>AND(TOC!#REF!,"AAAAAD6uE/Y=")</f>
        <v>#REF!</v>
      </c>
      <c r="IN12" t="e">
        <f>AND(TOC!#REF!,"AAAAAD6uE/c=")</f>
        <v>#REF!</v>
      </c>
      <c r="IO12" t="e">
        <f>AND(TOC!#REF!,"AAAAAD6uE/g=")</f>
        <v>#REF!</v>
      </c>
      <c r="IP12" t="e">
        <f>AND(TOC!#REF!,"AAAAAD6uE/k=")</f>
        <v>#REF!</v>
      </c>
      <c r="IQ12" t="e">
        <f>AND(TOC!#REF!,"AAAAAD6uE/o=")</f>
        <v>#REF!</v>
      </c>
      <c r="IR12" t="e">
        <f>AND(TOC!#REF!,"AAAAAD6uE/s=")</f>
        <v>#REF!</v>
      </c>
      <c r="IS12" t="e">
        <f>AND(TOC!#REF!,"AAAAAD6uE/w=")</f>
        <v>#REF!</v>
      </c>
      <c r="IT12" t="e">
        <f>AND(TOC!#REF!,"AAAAAD6uE/0=")</f>
        <v>#REF!</v>
      </c>
      <c r="IU12" t="e">
        <f>AND(TOC!#REF!,"AAAAAD6uE/4=")</f>
        <v>#REF!</v>
      </c>
      <c r="IV12" t="e">
        <f>IF(TOC!#REF!,"AAAAAD6uE/8=",0)</f>
        <v>#REF!</v>
      </c>
    </row>
    <row r="13" spans="1:256" x14ac:dyDescent="0.2">
      <c r="A13" t="e">
        <f>AND(TOC!#REF!,"AAAAAF1nOwA=")</f>
        <v>#REF!</v>
      </c>
      <c r="B13" t="e">
        <f>AND(TOC!#REF!,"AAAAAF1nOwE=")</f>
        <v>#REF!</v>
      </c>
      <c r="C13" t="e">
        <f>AND(TOC!#REF!,"AAAAAF1nOwI=")</f>
        <v>#REF!</v>
      </c>
      <c r="D13" t="e">
        <f>AND(TOC!#REF!,"AAAAAF1nOwM=")</f>
        <v>#REF!</v>
      </c>
      <c r="E13" t="e">
        <f>AND(TOC!#REF!,"AAAAAF1nOwQ=")</f>
        <v>#REF!</v>
      </c>
      <c r="F13" t="e">
        <f>AND(TOC!#REF!,"AAAAAF1nOwU=")</f>
        <v>#REF!</v>
      </c>
      <c r="G13" t="e">
        <f>AND(TOC!#REF!,"AAAAAF1nOwY=")</f>
        <v>#REF!</v>
      </c>
      <c r="H13" t="e">
        <f>AND(TOC!#REF!,"AAAAAF1nOwc=")</f>
        <v>#REF!</v>
      </c>
      <c r="I13" t="e">
        <f>AND(TOC!#REF!,"AAAAAF1nOwg=")</f>
        <v>#REF!</v>
      </c>
      <c r="J13" t="e">
        <f>AND(TOC!#REF!,"AAAAAF1nOwk=")</f>
        <v>#REF!</v>
      </c>
      <c r="K13" t="e">
        <f>AND(TOC!#REF!,"AAAAAF1nOwo=")</f>
        <v>#REF!</v>
      </c>
      <c r="L13" t="e">
        <f>AND(TOC!#REF!,"AAAAAF1nOws=")</f>
        <v>#REF!</v>
      </c>
      <c r="M13" t="e">
        <f>AND(TOC!#REF!,"AAAAAF1nOww=")</f>
        <v>#REF!</v>
      </c>
      <c r="N13" t="e">
        <f>AND(TOC!#REF!,"AAAAAF1nOw0=")</f>
        <v>#REF!</v>
      </c>
      <c r="O13" t="e">
        <f>AND(TOC!#REF!,"AAAAAF1nOw4=")</f>
        <v>#REF!</v>
      </c>
      <c r="P13" t="e">
        <f>AND(TOC!#REF!,"AAAAAF1nOw8=")</f>
        <v>#REF!</v>
      </c>
      <c r="Q13" t="e">
        <f>AND(TOC!#REF!,"AAAAAF1nOxA=")</f>
        <v>#REF!</v>
      </c>
      <c r="R13" t="e">
        <f>AND(TOC!#REF!,"AAAAAF1nOxE=")</f>
        <v>#REF!</v>
      </c>
      <c r="S13" t="e">
        <f>AND(TOC!#REF!,"AAAAAF1nOxI=")</f>
        <v>#REF!</v>
      </c>
      <c r="T13" t="e">
        <f>AND(TOC!#REF!,"AAAAAF1nOxM=")</f>
        <v>#REF!</v>
      </c>
      <c r="U13" t="e">
        <f>AND(TOC!#REF!,"AAAAAF1nOxQ=")</f>
        <v>#REF!</v>
      </c>
      <c r="V13" t="e">
        <f>AND(TOC!#REF!,"AAAAAF1nOxU=")</f>
        <v>#REF!</v>
      </c>
      <c r="W13" t="e">
        <f>AND(TOC!#REF!,"AAAAAF1nOxY=")</f>
        <v>#REF!</v>
      </c>
      <c r="X13" t="e">
        <f>AND(TOC!#REF!,"AAAAAF1nOxc=")</f>
        <v>#REF!</v>
      </c>
      <c r="Y13" t="e">
        <f>AND(TOC!#REF!,"AAAAAF1nOxg=")</f>
        <v>#REF!</v>
      </c>
      <c r="Z13" t="e">
        <f>AND(TOC!#REF!,"AAAAAF1nOxk=")</f>
        <v>#REF!</v>
      </c>
      <c r="AA13" t="e">
        <f>AND(TOC!#REF!,"AAAAAF1nOxo=")</f>
        <v>#REF!</v>
      </c>
      <c r="AB13" t="e">
        <f>AND(TOC!#REF!,"AAAAAF1nOxs=")</f>
        <v>#REF!</v>
      </c>
      <c r="AC13" t="e">
        <f>AND(TOC!#REF!,"AAAAAF1nOxw=")</f>
        <v>#REF!</v>
      </c>
      <c r="AD13" t="e">
        <f>AND(TOC!#REF!,"AAAAAF1nOx0=")</f>
        <v>#REF!</v>
      </c>
      <c r="AE13" t="e">
        <f>AND(TOC!#REF!,"AAAAAF1nOx4=")</f>
        <v>#REF!</v>
      </c>
      <c r="AF13" t="e">
        <f>AND(TOC!#REF!,"AAAAAF1nOx8=")</f>
        <v>#REF!</v>
      </c>
      <c r="AG13" t="e">
        <f>AND(TOC!#REF!,"AAAAAF1nOyA=")</f>
        <v>#REF!</v>
      </c>
      <c r="AH13" t="e">
        <f>AND(TOC!#REF!,"AAAAAF1nOyE=")</f>
        <v>#REF!</v>
      </c>
      <c r="AI13" t="e">
        <f>AND(TOC!#REF!,"AAAAAF1nOyI=")</f>
        <v>#REF!</v>
      </c>
      <c r="AJ13" t="e">
        <f>AND(TOC!#REF!,"AAAAAF1nOyM=")</f>
        <v>#REF!</v>
      </c>
      <c r="AK13" t="e">
        <f>IF(TOC!#REF!,"AAAAAF1nOyQ=",0)</f>
        <v>#REF!</v>
      </c>
      <c r="AL13" t="e">
        <f>AND(TOC!#REF!,"AAAAAF1nOyU=")</f>
        <v>#REF!</v>
      </c>
      <c r="AM13" t="e">
        <f>AND(TOC!#REF!,"AAAAAF1nOyY=")</f>
        <v>#REF!</v>
      </c>
      <c r="AN13" t="e">
        <f>AND(TOC!#REF!,"AAAAAF1nOyc=")</f>
        <v>#REF!</v>
      </c>
      <c r="AO13" t="e">
        <f>AND(TOC!#REF!,"AAAAAF1nOyg=")</f>
        <v>#REF!</v>
      </c>
      <c r="AP13" t="e">
        <f>AND(TOC!#REF!,"AAAAAF1nOyk=")</f>
        <v>#REF!</v>
      </c>
      <c r="AQ13" t="e">
        <f>AND(TOC!#REF!,"AAAAAF1nOyo=")</f>
        <v>#REF!</v>
      </c>
      <c r="AR13" t="e">
        <f>AND(TOC!#REF!,"AAAAAF1nOys=")</f>
        <v>#REF!</v>
      </c>
      <c r="AS13" t="e">
        <f>AND(TOC!#REF!,"AAAAAF1nOyw=")</f>
        <v>#REF!</v>
      </c>
      <c r="AT13" t="e">
        <f>AND(TOC!#REF!,"AAAAAF1nOy0=")</f>
        <v>#REF!</v>
      </c>
      <c r="AU13" t="e">
        <f>AND(TOC!#REF!,"AAAAAF1nOy4=")</f>
        <v>#REF!</v>
      </c>
      <c r="AV13" t="e">
        <f>AND(TOC!#REF!,"AAAAAF1nOy8=")</f>
        <v>#REF!</v>
      </c>
      <c r="AW13" t="e">
        <f>AND(TOC!#REF!,"AAAAAF1nOzA=")</f>
        <v>#REF!</v>
      </c>
      <c r="AX13" t="e">
        <f>AND(TOC!#REF!,"AAAAAF1nOzE=")</f>
        <v>#REF!</v>
      </c>
      <c r="AY13" t="e">
        <f>AND(TOC!#REF!,"AAAAAF1nOzI=")</f>
        <v>#REF!</v>
      </c>
      <c r="AZ13" t="e">
        <f>AND(TOC!#REF!,"AAAAAF1nOzM=")</f>
        <v>#REF!</v>
      </c>
      <c r="BA13" t="e">
        <f>AND(TOC!#REF!,"AAAAAF1nOzQ=")</f>
        <v>#REF!</v>
      </c>
      <c r="BB13" t="e">
        <f>AND(TOC!#REF!,"AAAAAF1nOzU=")</f>
        <v>#REF!</v>
      </c>
      <c r="BC13" t="e">
        <f>AND(TOC!#REF!,"AAAAAF1nOzY=")</f>
        <v>#REF!</v>
      </c>
      <c r="BD13" t="e">
        <f>AND(TOC!#REF!,"AAAAAF1nOzc=")</f>
        <v>#REF!</v>
      </c>
      <c r="BE13" t="e">
        <f>AND(TOC!#REF!,"AAAAAF1nOzg=")</f>
        <v>#REF!</v>
      </c>
      <c r="BF13" t="e">
        <f>AND(TOC!#REF!,"AAAAAF1nOzk=")</f>
        <v>#REF!</v>
      </c>
      <c r="BG13" t="e">
        <f>AND(TOC!#REF!,"AAAAAF1nOzo=")</f>
        <v>#REF!</v>
      </c>
      <c r="BH13" t="e">
        <f>AND(TOC!#REF!,"AAAAAF1nOzs=")</f>
        <v>#REF!</v>
      </c>
      <c r="BI13" t="e">
        <f>AND(TOC!#REF!,"AAAAAF1nOzw=")</f>
        <v>#REF!</v>
      </c>
      <c r="BJ13" t="e">
        <f>AND(TOC!#REF!,"AAAAAF1nOz0=")</f>
        <v>#REF!</v>
      </c>
      <c r="BK13" t="e">
        <f>AND(TOC!#REF!,"AAAAAF1nOz4=")</f>
        <v>#REF!</v>
      </c>
      <c r="BL13" t="e">
        <f>AND(TOC!#REF!,"AAAAAF1nOz8=")</f>
        <v>#REF!</v>
      </c>
      <c r="BM13" t="e">
        <f>AND(TOC!#REF!,"AAAAAF1nO0A=")</f>
        <v>#REF!</v>
      </c>
      <c r="BN13" t="e">
        <f>AND(TOC!#REF!,"AAAAAF1nO0E=")</f>
        <v>#REF!</v>
      </c>
      <c r="BO13" t="e">
        <f>AND(TOC!#REF!,"AAAAAF1nO0I=")</f>
        <v>#REF!</v>
      </c>
      <c r="BP13" t="e">
        <f>AND(TOC!#REF!,"AAAAAF1nO0M=")</f>
        <v>#REF!</v>
      </c>
      <c r="BQ13" t="e">
        <f>AND(TOC!#REF!,"AAAAAF1nO0Q=")</f>
        <v>#REF!</v>
      </c>
      <c r="BR13" t="e">
        <f>AND(TOC!#REF!,"AAAAAF1nO0U=")</f>
        <v>#REF!</v>
      </c>
      <c r="BS13" t="e">
        <f>AND(TOC!#REF!,"AAAAAF1nO0Y=")</f>
        <v>#REF!</v>
      </c>
      <c r="BT13" t="e">
        <f>AND(TOC!#REF!,"AAAAAF1nO0c=")</f>
        <v>#REF!</v>
      </c>
      <c r="BU13" t="e">
        <f>AND(TOC!#REF!,"AAAAAF1nO0g=")</f>
        <v>#REF!</v>
      </c>
      <c r="BV13" t="e">
        <f>IF(TOC!#REF!,"AAAAAF1nO0k=",0)</f>
        <v>#REF!</v>
      </c>
      <c r="BW13" t="e">
        <f>AND(TOC!#REF!,"AAAAAF1nO0o=")</f>
        <v>#REF!</v>
      </c>
      <c r="BX13" t="e">
        <f>AND(TOC!#REF!,"AAAAAF1nO0s=")</f>
        <v>#REF!</v>
      </c>
      <c r="BY13" t="e">
        <f>AND(TOC!#REF!,"AAAAAF1nO0w=")</f>
        <v>#REF!</v>
      </c>
      <c r="BZ13" t="e">
        <f>AND(TOC!#REF!,"AAAAAF1nO00=")</f>
        <v>#REF!</v>
      </c>
      <c r="CA13" t="e">
        <f>AND(TOC!#REF!,"AAAAAF1nO04=")</f>
        <v>#REF!</v>
      </c>
      <c r="CB13" t="e">
        <f>AND(TOC!#REF!,"AAAAAF1nO08=")</f>
        <v>#REF!</v>
      </c>
      <c r="CC13" t="e">
        <f>AND(TOC!#REF!,"AAAAAF1nO1A=")</f>
        <v>#REF!</v>
      </c>
      <c r="CD13" t="e">
        <f>AND(TOC!#REF!,"AAAAAF1nO1E=")</f>
        <v>#REF!</v>
      </c>
      <c r="CE13" t="e">
        <f>AND(TOC!#REF!,"AAAAAF1nO1I=")</f>
        <v>#REF!</v>
      </c>
      <c r="CF13" t="e">
        <f>AND(TOC!#REF!,"AAAAAF1nO1M=")</f>
        <v>#REF!</v>
      </c>
      <c r="CG13" t="e">
        <f>AND(TOC!#REF!,"AAAAAF1nO1Q=")</f>
        <v>#REF!</v>
      </c>
      <c r="CH13" t="e">
        <f>AND(TOC!#REF!,"AAAAAF1nO1U=")</f>
        <v>#REF!</v>
      </c>
      <c r="CI13" t="e">
        <f>AND(TOC!#REF!,"AAAAAF1nO1Y=")</f>
        <v>#REF!</v>
      </c>
      <c r="CJ13" t="e">
        <f>AND(TOC!#REF!,"AAAAAF1nO1c=")</f>
        <v>#REF!</v>
      </c>
      <c r="CK13" t="e">
        <f>AND(TOC!#REF!,"AAAAAF1nO1g=")</f>
        <v>#REF!</v>
      </c>
      <c r="CL13" t="e">
        <f>AND(TOC!#REF!,"AAAAAF1nO1k=")</f>
        <v>#REF!</v>
      </c>
      <c r="CM13" t="e">
        <f>AND(TOC!#REF!,"AAAAAF1nO1o=")</f>
        <v>#REF!</v>
      </c>
      <c r="CN13" t="e">
        <f>AND(TOC!#REF!,"AAAAAF1nO1s=")</f>
        <v>#REF!</v>
      </c>
      <c r="CO13" t="e">
        <f>AND(TOC!#REF!,"AAAAAF1nO1w=")</f>
        <v>#REF!</v>
      </c>
      <c r="CP13" t="e">
        <f>AND(TOC!#REF!,"AAAAAF1nO10=")</f>
        <v>#REF!</v>
      </c>
      <c r="CQ13" t="e">
        <f>AND(TOC!#REF!,"AAAAAF1nO14=")</f>
        <v>#REF!</v>
      </c>
      <c r="CR13" t="e">
        <f>AND(TOC!#REF!,"AAAAAF1nO18=")</f>
        <v>#REF!</v>
      </c>
      <c r="CS13" t="e">
        <f>AND(TOC!#REF!,"AAAAAF1nO2A=")</f>
        <v>#REF!</v>
      </c>
      <c r="CT13" t="e">
        <f>AND(TOC!#REF!,"AAAAAF1nO2E=")</f>
        <v>#REF!</v>
      </c>
      <c r="CU13" t="e">
        <f>AND(TOC!#REF!,"AAAAAF1nO2I=")</f>
        <v>#REF!</v>
      </c>
      <c r="CV13" t="e">
        <f>AND(TOC!#REF!,"AAAAAF1nO2M=")</f>
        <v>#REF!</v>
      </c>
      <c r="CW13" t="e">
        <f>AND(TOC!#REF!,"AAAAAF1nO2Q=")</f>
        <v>#REF!</v>
      </c>
      <c r="CX13" t="e">
        <f>AND(TOC!#REF!,"AAAAAF1nO2U=")</f>
        <v>#REF!</v>
      </c>
      <c r="CY13" t="e">
        <f>AND(TOC!#REF!,"AAAAAF1nO2Y=")</f>
        <v>#REF!</v>
      </c>
      <c r="CZ13" t="e">
        <f>AND(TOC!#REF!,"AAAAAF1nO2c=")</f>
        <v>#REF!</v>
      </c>
      <c r="DA13" t="e">
        <f>AND(TOC!#REF!,"AAAAAF1nO2g=")</f>
        <v>#REF!</v>
      </c>
      <c r="DB13" t="e">
        <f>AND(TOC!#REF!,"AAAAAF1nO2k=")</f>
        <v>#REF!</v>
      </c>
      <c r="DC13" t="e">
        <f>AND(TOC!#REF!,"AAAAAF1nO2o=")</f>
        <v>#REF!</v>
      </c>
      <c r="DD13" t="e">
        <f>AND(TOC!#REF!,"AAAAAF1nO2s=")</f>
        <v>#REF!</v>
      </c>
      <c r="DE13" t="e">
        <f>AND(TOC!#REF!,"AAAAAF1nO2w=")</f>
        <v>#REF!</v>
      </c>
      <c r="DF13" t="e">
        <f>AND(TOC!#REF!,"AAAAAF1nO20=")</f>
        <v>#REF!</v>
      </c>
      <c r="DG13" t="e">
        <f>IF(TOC!#REF!,"AAAAAF1nO24=",0)</f>
        <v>#REF!</v>
      </c>
      <c r="DH13" t="e">
        <f>AND(TOC!#REF!,"AAAAAF1nO28=")</f>
        <v>#REF!</v>
      </c>
      <c r="DI13" t="e">
        <f>AND(TOC!#REF!,"AAAAAF1nO3A=")</f>
        <v>#REF!</v>
      </c>
      <c r="DJ13" t="e">
        <f>AND(TOC!#REF!,"AAAAAF1nO3E=")</f>
        <v>#REF!</v>
      </c>
      <c r="DK13" t="e">
        <f>AND(TOC!#REF!,"AAAAAF1nO3I=")</f>
        <v>#REF!</v>
      </c>
      <c r="DL13" t="e">
        <f>AND(TOC!#REF!,"AAAAAF1nO3M=")</f>
        <v>#REF!</v>
      </c>
      <c r="DM13" t="e">
        <f>AND(TOC!#REF!,"AAAAAF1nO3Q=")</f>
        <v>#REF!</v>
      </c>
      <c r="DN13" t="e">
        <f>AND(TOC!#REF!,"AAAAAF1nO3U=")</f>
        <v>#REF!</v>
      </c>
      <c r="DO13" t="e">
        <f>AND(TOC!#REF!,"AAAAAF1nO3Y=")</f>
        <v>#REF!</v>
      </c>
      <c r="DP13" t="e">
        <f>AND(TOC!#REF!,"AAAAAF1nO3c=")</f>
        <v>#REF!</v>
      </c>
      <c r="DQ13" t="e">
        <f>AND(TOC!#REF!,"AAAAAF1nO3g=")</f>
        <v>#REF!</v>
      </c>
      <c r="DR13" t="e">
        <f>AND(TOC!#REF!,"AAAAAF1nO3k=")</f>
        <v>#REF!</v>
      </c>
      <c r="DS13" t="e">
        <f>AND(TOC!#REF!,"AAAAAF1nO3o=")</f>
        <v>#REF!</v>
      </c>
      <c r="DT13" t="e">
        <f>AND(TOC!#REF!,"AAAAAF1nO3s=")</f>
        <v>#REF!</v>
      </c>
      <c r="DU13" t="e">
        <f>AND(TOC!#REF!,"AAAAAF1nO3w=")</f>
        <v>#REF!</v>
      </c>
      <c r="DV13" t="e">
        <f>AND(TOC!#REF!,"AAAAAF1nO30=")</f>
        <v>#REF!</v>
      </c>
      <c r="DW13" t="e">
        <f>AND(TOC!#REF!,"AAAAAF1nO34=")</f>
        <v>#REF!</v>
      </c>
      <c r="DX13" t="e">
        <f>AND(TOC!#REF!,"AAAAAF1nO38=")</f>
        <v>#REF!</v>
      </c>
      <c r="DY13" t="e">
        <f>AND(TOC!#REF!,"AAAAAF1nO4A=")</f>
        <v>#REF!</v>
      </c>
      <c r="DZ13" t="e">
        <f>AND(TOC!#REF!,"AAAAAF1nO4E=")</f>
        <v>#REF!</v>
      </c>
      <c r="EA13" t="e">
        <f>AND(TOC!#REF!,"AAAAAF1nO4I=")</f>
        <v>#REF!</v>
      </c>
      <c r="EB13" t="e">
        <f>AND(TOC!#REF!,"AAAAAF1nO4M=")</f>
        <v>#REF!</v>
      </c>
      <c r="EC13" t="e">
        <f>AND(TOC!#REF!,"AAAAAF1nO4Q=")</f>
        <v>#REF!</v>
      </c>
      <c r="ED13" t="e">
        <f>AND(TOC!#REF!,"AAAAAF1nO4U=")</f>
        <v>#REF!</v>
      </c>
      <c r="EE13" t="e">
        <f>AND(TOC!#REF!,"AAAAAF1nO4Y=")</f>
        <v>#REF!</v>
      </c>
      <c r="EF13" t="e">
        <f>AND(TOC!#REF!,"AAAAAF1nO4c=")</f>
        <v>#REF!</v>
      </c>
      <c r="EG13" t="e">
        <f>AND(TOC!#REF!,"AAAAAF1nO4g=")</f>
        <v>#REF!</v>
      </c>
      <c r="EH13" t="e">
        <f>AND(TOC!#REF!,"AAAAAF1nO4k=")</f>
        <v>#REF!</v>
      </c>
      <c r="EI13" t="e">
        <f>AND(TOC!#REF!,"AAAAAF1nO4o=")</f>
        <v>#REF!</v>
      </c>
      <c r="EJ13" t="e">
        <f>AND(TOC!#REF!,"AAAAAF1nO4s=")</f>
        <v>#REF!</v>
      </c>
      <c r="EK13" t="e">
        <f>AND(TOC!#REF!,"AAAAAF1nO4w=")</f>
        <v>#REF!</v>
      </c>
      <c r="EL13" t="e">
        <f>AND(TOC!#REF!,"AAAAAF1nO40=")</f>
        <v>#REF!</v>
      </c>
      <c r="EM13" t="e">
        <f>AND(TOC!#REF!,"AAAAAF1nO44=")</f>
        <v>#REF!</v>
      </c>
      <c r="EN13" t="e">
        <f>AND(TOC!#REF!,"AAAAAF1nO48=")</f>
        <v>#REF!</v>
      </c>
      <c r="EO13" t="e">
        <f>AND(TOC!#REF!,"AAAAAF1nO5A=")</f>
        <v>#REF!</v>
      </c>
      <c r="EP13" t="e">
        <f>AND(TOC!#REF!,"AAAAAF1nO5E=")</f>
        <v>#REF!</v>
      </c>
      <c r="EQ13" t="e">
        <f>AND(TOC!#REF!,"AAAAAF1nO5I=")</f>
        <v>#REF!</v>
      </c>
      <c r="ER13" t="e">
        <f>IF(TOC!#REF!,"AAAAAF1nO5M=",0)</f>
        <v>#REF!</v>
      </c>
      <c r="ES13" t="e">
        <f>AND(TOC!#REF!,"AAAAAF1nO5Q=")</f>
        <v>#REF!</v>
      </c>
      <c r="ET13" t="e">
        <f>AND(TOC!#REF!,"AAAAAF1nO5U=")</f>
        <v>#REF!</v>
      </c>
      <c r="EU13" t="e">
        <f>AND(TOC!#REF!,"AAAAAF1nO5Y=")</f>
        <v>#REF!</v>
      </c>
      <c r="EV13" t="e">
        <f>AND(TOC!#REF!,"AAAAAF1nO5c=")</f>
        <v>#REF!</v>
      </c>
      <c r="EW13" t="e">
        <f>AND(TOC!#REF!,"AAAAAF1nO5g=")</f>
        <v>#REF!</v>
      </c>
      <c r="EX13" t="e">
        <f>AND(TOC!#REF!,"AAAAAF1nO5k=")</f>
        <v>#REF!</v>
      </c>
      <c r="EY13" t="e">
        <f>AND(TOC!#REF!,"AAAAAF1nO5o=")</f>
        <v>#REF!</v>
      </c>
      <c r="EZ13" t="e">
        <f>AND(TOC!#REF!,"AAAAAF1nO5s=")</f>
        <v>#REF!</v>
      </c>
      <c r="FA13" t="e">
        <f>AND(TOC!#REF!,"AAAAAF1nO5w=")</f>
        <v>#REF!</v>
      </c>
      <c r="FB13" t="e">
        <f>AND(TOC!#REF!,"AAAAAF1nO50=")</f>
        <v>#REF!</v>
      </c>
      <c r="FC13" t="e">
        <f>AND(TOC!#REF!,"AAAAAF1nO54=")</f>
        <v>#REF!</v>
      </c>
      <c r="FD13" t="e">
        <f>AND(TOC!#REF!,"AAAAAF1nO58=")</f>
        <v>#REF!</v>
      </c>
      <c r="FE13" t="e">
        <f>AND(TOC!#REF!,"AAAAAF1nO6A=")</f>
        <v>#REF!</v>
      </c>
      <c r="FF13" t="e">
        <f>AND(TOC!#REF!,"AAAAAF1nO6E=")</f>
        <v>#REF!</v>
      </c>
      <c r="FG13" t="e">
        <f>AND(TOC!#REF!,"AAAAAF1nO6I=")</f>
        <v>#REF!</v>
      </c>
      <c r="FH13" t="e">
        <f>AND(TOC!#REF!,"AAAAAF1nO6M=")</f>
        <v>#REF!</v>
      </c>
      <c r="FI13" t="e">
        <f>AND(TOC!#REF!,"AAAAAF1nO6Q=")</f>
        <v>#REF!</v>
      </c>
      <c r="FJ13" t="e">
        <f>AND(TOC!#REF!,"AAAAAF1nO6U=")</f>
        <v>#REF!</v>
      </c>
      <c r="FK13" t="e">
        <f>AND(TOC!#REF!,"AAAAAF1nO6Y=")</f>
        <v>#REF!</v>
      </c>
      <c r="FL13" t="e">
        <f>AND(TOC!#REF!,"AAAAAF1nO6c=")</f>
        <v>#REF!</v>
      </c>
      <c r="FM13" t="e">
        <f>AND(TOC!#REF!,"AAAAAF1nO6g=")</f>
        <v>#REF!</v>
      </c>
      <c r="FN13" t="e">
        <f>AND(TOC!#REF!,"AAAAAF1nO6k=")</f>
        <v>#REF!</v>
      </c>
      <c r="FO13" t="e">
        <f>AND(TOC!#REF!,"AAAAAF1nO6o=")</f>
        <v>#REF!</v>
      </c>
      <c r="FP13" t="e">
        <f>AND(TOC!#REF!,"AAAAAF1nO6s=")</f>
        <v>#REF!</v>
      </c>
      <c r="FQ13" t="e">
        <f>AND(TOC!#REF!,"AAAAAF1nO6w=")</f>
        <v>#REF!</v>
      </c>
      <c r="FR13" t="e">
        <f>AND(TOC!#REF!,"AAAAAF1nO60=")</f>
        <v>#REF!</v>
      </c>
      <c r="FS13" t="e">
        <f>AND(TOC!#REF!,"AAAAAF1nO64=")</f>
        <v>#REF!</v>
      </c>
      <c r="FT13" t="e">
        <f>AND(TOC!#REF!,"AAAAAF1nO68=")</f>
        <v>#REF!</v>
      </c>
      <c r="FU13" t="e">
        <f>AND(TOC!#REF!,"AAAAAF1nO7A=")</f>
        <v>#REF!</v>
      </c>
      <c r="FV13" t="e">
        <f>AND(TOC!#REF!,"AAAAAF1nO7E=")</f>
        <v>#REF!</v>
      </c>
      <c r="FW13" t="e">
        <f>AND(TOC!#REF!,"AAAAAF1nO7I=")</f>
        <v>#REF!</v>
      </c>
      <c r="FX13" t="e">
        <f>AND(TOC!#REF!,"AAAAAF1nO7M=")</f>
        <v>#REF!</v>
      </c>
      <c r="FY13" t="e">
        <f>AND(TOC!#REF!,"AAAAAF1nO7Q=")</f>
        <v>#REF!</v>
      </c>
      <c r="FZ13" t="e">
        <f>AND(TOC!#REF!,"AAAAAF1nO7U=")</f>
        <v>#REF!</v>
      </c>
      <c r="GA13" t="e">
        <f>AND(TOC!#REF!,"AAAAAF1nO7Y=")</f>
        <v>#REF!</v>
      </c>
      <c r="GB13" t="e">
        <f>AND(TOC!#REF!,"AAAAAF1nO7c=")</f>
        <v>#REF!</v>
      </c>
      <c r="GC13" t="e">
        <f>IF(TOC!#REF!,"AAAAAF1nO7g=",0)</f>
        <v>#REF!</v>
      </c>
      <c r="GD13" t="e">
        <f>AND(TOC!#REF!,"AAAAAF1nO7k=")</f>
        <v>#REF!</v>
      </c>
      <c r="GE13" t="e">
        <f>AND(TOC!#REF!,"AAAAAF1nO7o=")</f>
        <v>#REF!</v>
      </c>
      <c r="GF13" t="e">
        <f>AND(TOC!#REF!,"AAAAAF1nO7s=")</f>
        <v>#REF!</v>
      </c>
      <c r="GG13" t="e">
        <f>AND(TOC!#REF!,"AAAAAF1nO7w=")</f>
        <v>#REF!</v>
      </c>
      <c r="GH13" t="e">
        <f>AND(TOC!#REF!,"AAAAAF1nO70=")</f>
        <v>#REF!</v>
      </c>
      <c r="GI13" t="e">
        <f>AND(TOC!#REF!,"AAAAAF1nO74=")</f>
        <v>#REF!</v>
      </c>
      <c r="GJ13" t="e">
        <f>AND(TOC!#REF!,"AAAAAF1nO78=")</f>
        <v>#REF!</v>
      </c>
      <c r="GK13" t="e">
        <f>AND(TOC!#REF!,"AAAAAF1nO8A=")</f>
        <v>#REF!</v>
      </c>
      <c r="GL13" t="e">
        <f>AND(TOC!#REF!,"AAAAAF1nO8E=")</f>
        <v>#REF!</v>
      </c>
      <c r="GM13" t="e">
        <f>AND(TOC!#REF!,"AAAAAF1nO8I=")</f>
        <v>#REF!</v>
      </c>
      <c r="GN13" t="e">
        <f>AND(TOC!#REF!,"AAAAAF1nO8M=")</f>
        <v>#REF!</v>
      </c>
      <c r="GO13" t="e">
        <f>AND(TOC!#REF!,"AAAAAF1nO8Q=")</f>
        <v>#REF!</v>
      </c>
      <c r="GP13" t="e">
        <f>AND(TOC!#REF!,"AAAAAF1nO8U=")</f>
        <v>#REF!</v>
      </c>
      <c r="GQ13" t="e">
        <f>AND(TOC!#REF!,"AAAAAF1nO8Y=")</f>
        <v>#REF!</v>
      </c>
      <c r="GR13" t="e">
        <f>AND(TOC!#REF!,"AAAAAF1nO8c=")</f>
        <v>#REF!</v>
      </c>
      <c r="GS13" t="e">
        <f>AND(TOC!#REF!,"AAAAAF1nO8g=")</f>
        <v>#REF!</v>
      </c>
      <c r="GT13" t="e">
        <f>AND(TOC!#REF!,"AAAAAF1nO8k=")</f>
        <v>#REF!</v>
      </c>
      <c r="GU13" t="e">
        <f>AND(TOC!#REF!,"AAAAAF1nO8o=")</f>
        <v>#REF!</v>
      </c>
      <c r="GV13" t="e">
        <f>AND(TOC!#REF!,"AAAAAF1nO8s=")</f>
        <v>#REF!</v>
      </c>
      <c r="GW13" t="e">
        <f>AND(TOC!#REF!,"AAAAAF1nO8w=")</f>
        <v>#REF!</v>
      </c>
      <c r="GX13" t="e">
        <f>AND(TOC!#REF!,"AAAAAF1nO80=")</f>
        <v>#REF!</v>
      </c>
      <c r="GY13" t="e">
        <f>AND(TOC!#REF!,"AAAAAF1nO84=")</f>
        <v>#REF!</v>
      </c>
      <c r="GZ13" t="e">
        <f>AND(TOC!#REF!,"AAAAAF1nO88=")</f>
        <v>#REF!</v>
      </c>
      <c r="HA13" t="e">
        <f>AND(TOC!#REF!,"AAAAAF1nO9A=")</f>
        <v>#REF!</v>
      </c>
      <c r="HB13" t="e">
        <f>AND(TOC!#REF!,"AAAAAF1nO9E=")</f>
        <v>#REF!</v>
      </c>
      <c r="HC13" t="e">
        <f>AND(TOC!#REF!,"AAAAAF1nO9I=")</f>
        <v>#REF!</v>
      </c>
      <c r="HD13" t="e">
        <f>AND(TOC!#REF!,"AAAAAF1nO9M=")</f>
        <v>#REF!</v>
      </c>
      <c r="HE13" t="e">
        <f>AND(TOC!#REF!,"AAAAAF1nO9Q=")</f>
        <v>#REF!</v>
      </c>
      <c r="HF13" t="e">
        <f>AND(TOC!#REF!,"AAAAAF1nO9U=")</f>
        <v>#REF!</v>
      </c>
      <c r="HG13" t="e">
        <f>AND(TOC!#REF!,"AAAAAF1nO9Y=")</f>
        <v>#REF!</v>
      </c>
      <c r="HH13" t="e">
        <f>AND(TOC!#REF!,"AAAAAF1nO9c=")</f>
        <v>#REF!</v>
      </c>
      <c r="HI13" t="e">
        <f>AND(TOC!#REF!,"AAAAAF1nO9g=")</f>
        <v>#REF!</v>
      </c>
      <c r="HJ13" t="e">
        <f>AND(TOC!#REF!,"AAAAAF1nO9k=")</f>
        <v>#REF!</v>
      </c>
      <c r="HK13" t="e">
        <f>AND(TOC!#REF!,"AAAAAF1nO9o=")</f>
        <v>#REF!</v>
      </c>
      <c r="HL13" t="e">
        <f>AND(TOC!#REF!,"AAAAAF1nO9s=")</f>
        <v>#REF!</v>
      </c>
      <c r="HM13" t="e">
        <f>AND(TOC!#REF!,"AAAAAF1nO9w=")</f>
        <v>#REF!</v>
      </c>
      <c r="HN13" t="e">
        <f>IF(TOC!#REF!,"AAAAAF1nO90=",0)</f>
        <v>#REF!</v>
      </c>
      <c r="HO13" t="e">
        <f>AND(TOC!#REF!,"AAAAAF1nO94=")</f>
        <v>#REF!</v>
      </c>
      <c r="HP13" t="e">
        <f>AND(TOC!#REF!,"AAAAAF1nO98=")</f>
        <v>#REF!</v>
      </c>
      <c r="HQ13" t="e">
        <f>AND(TOC!#REF!,"AAAAAF1nO+A=")</f>
        <v>#REF!</v>
      </c>
      <c r="HR13" t="e">
        <f>AND(TOC!#REF!,"AAAAAF1nO+E=")</f>
        <v>#REF!</v>
      </c>
      <c r="HS13" t="e">
        <f>AND(TOC!#REF!,"AAAAAF1nO+I=")</f>
        <v>#REF!</v>
      </c>
      <c r="HT13" t="e">
        <f>AND(TOC!#REF!,"AAAAAF1nO+M=")</f>
        <v>#REF!</v>
      </c>
      <c r="HU13" t="e">
        <f>AND(TOC!#REF!,"AAAAAF1nO+Q=")</f>
        <v>#REF!</v>
      </c>
      <c r="HV13" t="e">
        <f>AND(TOC!#REF!,"AAAAAF1nO+U=")</f>
        <v>#REF!</v>
      </c>
      <c r="HW13" t="e">
        <f>AND(TOC!#REF!,"AAAAAF1nO+Y=")</f>
        <v>#REF!</v>
      </c>
      <c r="HX13" t="e">
        <f>AND(TOC!#REF!,"AAAAAF1nO+c=")</f>
        <v>#REF!</v>
      </c>
      <c r="HY13" t="e">
        <f>AND(TOC!#REF!,"AAAAAF1nO+g=")</f>
        <v>#REF!</v>
      </c>
      <c r="HZ13" t="e">
        <f>AND(TOC!#REF!,"AAAAAF1nO+k=")</f>
        <v>#REF!</v>
      </c>
      <c r="IA13" t="e">
        <f>AND(TOC!#REF!,"AAAAAF1nO+o=")</f>
        <v>#REF!</v>
      </c>
      <c r="IB13" t="e">
        <f>AND(TOC!#REF!,"AAAAAF1nO+s=")</f>
        <v>#REF!</v>
      </c>
      <c r="IC13" t="e">
        <f>AND(TOC!#REF!,"AAAAAF1nO+w=")</f>
        <v>#REF!</v>
      </c>
      <c r="ID13" t="e">
        <f>AND(TOC!#REF!,"AAAAAF1nO+0=")</f>
        <v>#REF!</v>
      </c>
      <c r="IE13" t="e">
        <f>AND(TOC!#REF!,"AAAAAF1nO+4=")</f>
        <v>#REF!</v>
      </c>
      <c r="IF13" t="e">
        <f>AND(TOC!#REF!,"AAAAAF1nO+8=")</f>
        <v>#REF!</v>
      </c>
      <c r="IG13" t="e">
        <f>AND(TOC!#REF!,"AAAAAF1nO/A=")</f>
        <v>#REF!</v>
      </c>
      <c r="IH13" t="e">
        <f>AND(TOC!#REF!,"AAAAAF1nO/E=")</f>
        <v>#REF!</v>
      </c>
      <c r="II13" t="e">
        <f>AND(TOC!#REF!,"AAAAAF1nO/I=")</f>
        <v>#REF!</v>
      </c>
      <c r="IJ13" t="e">
        <f>AND(TOC!#REF!,"AAAAAF1nO/M=")</f>
        <v>#REF!</v>
      </c>
      <c r="IK13" t="e">
        <f>AND(TOC!#REF!,"AAAAAF1nO/Q=")</f>
        <v>#REF!</v>
      </c>
      <c r="IL13" t="e">
        <f>AND(TOC!#REF!,"AAAAAF1nO/U=")</f>
        <v>#REF!</v>
      </c>
      <c r="IM13" t="e">
        <f>AND(TOC!#REF!,"AAAAAF1nO/Y=")</f>
        <v>#REF!</v>
      </c>
      <c r="IN13" t="e">
        <f>AND(TOC!#REF!,"AAAAAF1nO/c=")</f>
        <v>#REF!</v>
      </c>
      <c r="IO13" t="e">
        <f>AND(TOC!#REF!,"AAAAAF1nO/g=")</f>
        <v>#REF!</v>
      </c>
      <c r="IP13" t="e">
        <f>AND(TOC!#REF!,"AAAAAF1nO/k=")</f>
        <v>#REF!</v>
      </c>
      <c r="IQ13" t="e">
        <f>AND(TOC!#REF!,"AAAAAF1nO/o=")</f>
        <v>#REF!</v>
      </c>
      <c r="IR13" t="e">
        <f>AND(TOC!#REF!,"AAAAAF1nO/s=")</f>
        <v>#REF!</v>
      </c>
      <c r="IS13" t="e">
        <f>AND(TOC!#REF!,"AAAAAF1nO/w=")</f>
        <v>#REF!</v>
      </c>
      <c r="IT13" t="e">
        <f>AND(TOC!#REF!,"AAAAAF1nO/0=")</f>
        <v>#REF!</v>
      </c>
      <c r="IU13" t="e">
        <f>AND(TOC!#REF!,"AAAAAF1nO/4=")</f>
        <v>#REF!</v>
      </c>
      <c r="IV13" t="e">
        <f>AND(TOC!#REF!,"AAAAAF1nO/8=")</f>
        <v>#REF!</v>
      </c>
    </row>
    <row r="14" spans="1:256" x14ac:dyDescent="0.2">
      <c r="A14" t="e">
        <f>AND(TOC!#REF!,"AAAAAHvsTwA=")</f>
        <v>#REF!</v>
      </c>
      <c r="B14" t="e">
        <f>AND(TOC!#REF!,"AAAAAHvsTwE=")</f>
        <v>#REF!</v>
      </c>
      <c r="C14" t="e">
        <f>IF(TOC!#REF!,"AAAAAHvsTwI=",0)</f>
        <v>#REF!</v>
      </c>
      <c r="D14" t="e">
        <f>AND(TOC!#REF!,"AAAAAHvsTwM=")</f>
        <v>#REF!</v>
      </c>
      <c r="E14" t="e">
        <f>AND(TOC!#REF!,"AAAAAHvsTwQ=")</f>
        <v>#REF!</v>
      </c>
      <c r="F14" t="e">
        <f>AND(TOC!#REF!,"AAAAAHvsTwU=")</f>
        <v>#REF!</v>
      </c>
      <c r="G14" t="e">
        <f>AND(TOC!#REF!,"AAAAAHvsTwY=")</f>
        <v>#REF!</v>
      </c>
      <c r="H14" t="e">
        <f>AND(TOC!#REF!,"AAAAAHvsTwc=")</f>
        <v>#REF!</v>
      </c>
      <c r="I14" t="e">
        <f>AND(TOC!#REF!,"AAAAAHvsTwg=")</f>
        <v>#REF!</v>
      </c>
      <c r="J14" t="e">
        <f>AND(TOC!#REF!,"AAAAAHvsTwk=")</f>
        <v>#REF!</v>
      </c>
      <c r="K14" t="e">
        <f>AND(TOC!#REF!,"AAAAAHvsTwo=")</f>
        <v>#REF!</v>
      </c>
      <c r="L14" t="e">
        <f>AND(TOC!#REF!,"AAAAAHvsTws=")</f>
        <v>#REF!</v>
      </c>
      <c r="M14" t="e">
        <f>AND(TOC!#REF!,"AAAAAHvsTww=")</f>
        <v>#REF!</v>
      </c>
      <c r="N14" t="e">
        <f>AND(TOC!#REF!,"AAAAAHvsTw0=")</f>
        <v>#REF!</v>
      </c>
      <c r="O14" t="e">
        <f>AND(TOC!#REF!,"AAAAAHvsTw4=")</f>
        <v>#REF!</v>
      </c>
      <c r="P14" t="e">
        <f>AND(TOC!#REF!,"AAAAAHvsTw8=")</f>
        <v>#REF!</v>
      </c>
      <c r="Q14" t="e">
        <f>AND(TOC!#REF!,"AAAAAHvsTxA=")</f>
        <v>#REF!</v>
      </c>
      <c r="R14" t="e">
        <f>AND(TOC!#REF!,"AAAAAHvsTxE=")</f>
        <v>#REF!</v>
      </c>
      <c r="S14" t="e">
        <f>AND(TOC!#REF!,"AAAAAHvsTxI=")</f>
        <v>#REF!</v>
      </c>
      <c r="T14" t="e">
        <f>AND(TOC!#REF!,"AAAAAHvsTxM=")</f>
        <v>#REF!</v>
      </c>
      <c r="U14" t="e">
        <f>AND(TOC!#REF!,"AAAAAHvsTxQ=")</f>
        <v>#REF!</v>
      </c>
      <c r="V14" t="e">
        <f>AND(TOC!#REF!,"AAAAAHvsTxU=")</f>
        <v>#REF!</v>
      </c>
      <c r="W14" t="e">
        <f>AND(TOC!#REF!,"AAAAAHvsTxY=")</f>
        <v>#REF!</v>
      </c>
      <c r="X14" t="e">
        <f>AND(TOC!#REF!,"AAAAAHvsTxc=")</f>
        <v>#REF!</v>
      </c>
      <c r="Y14" t="e">
        <f>AND(TOC!#REF!,"AAAAAHvsTxg=")</f>
        <v>#REF!</v>
      </c>
      <c r="Z14" t="e">
        <f>AND(TOC!#REF!,"AAAAAHvsTxk=")</f>
        <v>#REF!</v>
      </c>
      <c r="AA14" t="e">
        <f>AND(TOC!#REF!,"AAAAAHvsTxo=")</f>
        <v>#REF!</v>
      </c>
      <c r="AB14" t="e">
        <f>AND(TOC!#REF!,"AAAAAHvsTxs=")</f>
        <v>#REF!</v>
      </c>
      <c r="AC14" t="e">
        <f>AND(TOC!#REF!,"AAAAAHvsTxw=")</f>
        <v>#REF!</v>
      </c>
      <c r="AD14" t="e">
        <f>AND(TOC!#REF!,"AAAAAHvsTx0=")</f>
        <v>#REF!</v>
      </c>
      <c r="AE14" t="e">
        <f>AND(TOC!#REF!,"AAAAAHvsTx4=")</f>
        <v>#REF!</v>
      </c>
      <c r="AF14" t="e">
        <f>AND(TOC!#REF!,"AAAAAHvsTx8=")</f>
        <v>#REF!</v>
      </c>
      <c r="AG14" t="e">
        <f>AND(TOC!#REF!,"AAAAAHvsTyA=")</f>
        <v>#REF!</v>
      </c>
      <c r="AH14" t="e">
        <f>AND(TOC!#REF!,"AAAAAHvsTyE=")</f>
        <v>#REF!</v>
      </c>
      <c r="AI14" t="e">
        <f>AND(TOC!#REF!,"AAAAAHvsTyI=")</f>
        <v>#REF!</v>
      </c>
      <c r="AJ14" t="e">
        <f>AND(TOC!#REF!,"AAAAAHvsTyM=")</f>
        <v>#REF!</v>
      </c>
      <c r="AK14" t="e">
        <f>AND(TOC!#REF!,"AAAAAHvsTyQ=")</f>
        <v>#REF!</v>
      </c>
      <c r="AL14" t="e">
        <f>AND(TOC!#REF!,"AAAAAHvsTyU=")</f>
        <v>#REF!</v>
      </c>
      <c r="AM14" t="e">
        <f>AND(TOC!#REF!,"AAAAAHvsTyY=")</f>
        <v>#REF!</v>
      </c>
      <c r="AN14" t="e">
        <f>IF(TOC!#REF!,"AAAAAHvsTyc=",0)</f>
        <v>#REF!</v>
      </c>
      <c r="AO14" t="e">
        <f>AND(TOC!#REF!,"AAAAAHvsTyg=")</f>
        <v>#REF!</v>
      </c>
      <c r="AP14" t="e">
        <f>AND(TOC!#REF!,"AAAAAHvsTyk=")</f>
        <v>#REF!</v>
      </c>
      <c r="AQ14" t="e">
        <f>AND(TOC!#REF!,"AAAAAHvsTyo=")</f>
        <v>#REF!</v>
      </c>
      <c r="AR14" t="e">
        <f>AND(TOC!#REF!,"AAAAAHvsTys=")</f>
        <v>#REF!</v>
      </c>
      <c r="AS14" t="e">
        <f>AND(TOC!#REF!,"AAAAAHvsTyw=")</f>
        <v>#REF!</v>
      </c>
      <c r="AT14" t="e">
        <f>AND(TOC!#REF!,"AAAAAHvsTy0=")</f>
        <v>#REF!</v>
      </c>
      <c r="AU14" t="e">
        <f>AND(TOC!#REF!,"AAAAAHvsTy4=")</f>
        <v>#REF!</v>
      </c>
      <c r="AV14" t="e">
        <f>AND(TOC!#REF!,"AAAAAHvsTy8=")</f>
        <v>#REF!</v>
      </c>
      <c r="AW14" t="e">
        <f>AND(TOC!#REF!,"AAAAAHvsTzA=")</f>
        <v>#REF!</v>
      </c>
      <c r="AX14" t="e">
        <f>AND(TOC!#REF!,"AAAAAHvsTzE=")</f>
        <v>#REF!</v>
      </c>
      <c r="AY14" t="e">
        <f>AND(TOC!#REF!,"AAAAAHvsTzI=")</f>
        <v>#REF!</v>
      </c>
      <c r="AZ14" t="e">
        <f>AND(TOC!#REF!,"AAAAAHvsTzM=")</f>
        <v>#REF!</v>
      </c>
      <c r="BA14" t="e">
        <f>AND(TOC!#REF!,"AAAAAHvsTzQ=")</f>
        <v>#REF!</v>
      </c>
      <c r="BB14" t="e">
        <f>AND(TOC!#REF!,"AAAAAHvsTzU=")</f>
        <v>#REF!</v>
      </c>
      <c r="BC14" t="e">
        <f>AND(TOC!#REF!,"AAAAAHvsTzY=")</f>
        <v>#REF!</v>
      </c>
      <c r="BD14" t="e">
        <f>AND(TOC!#REF!,"AAAAAHvsTzc=")</f>
        <v>#REF!</v>
      </c>
      <c r="BE14" t="e">
        <f>AND(TOC!#REF!,"AAAAAHvsTzg=")</f>
        <v>#REF!</v>
      </c>
      <c r="BF14" t="e">
        <f>AND(TOC!#REF!,"AAAAAHvsTzk=")</f>
        <v>#REF!</v>
      </c>
      <c r="BG14" t="e">
        <f>AND(TOC!#REF!,"AAAAAHvsTzo=")</f>
        <v>#REF!</v>
      </c>
      <c r="BH14" t="e">
        <f>AND(TOC!#REF!,"AAAAAHvsTzs=")</f>
        <v>#REF!</v>
      </c>
      <c r="BI14" t="e">
        <f>AND(TOC!#REF!,"AAAAAHvsTzw=")</f>
        <v>#REF!</v>
      </c>
      <c r="BJ14" t="e">
        <f>AND(TOC!#REF!,"AAAAAHvsTz0=")</f>
        <v>#REF!</v>
      </c>
      <c r="BK14" t="e">
        <f>AND(TOC!#REF!,"AAAAAHvsTz4=")</f>
        <v>#REF!</v>
      </c>
      <c r="BL14" t="e">
        <f>AND(TOC!#REF!,"AAAAAHvsTz8=")</f>
        <v>#REF!</v>
      </c>
      <c r="BM14" t="e">
        <f>AND(TOC!#REF!,"AAAAAHvsT0A=")</f>
        <v>#REF!</v>
      </c>
      <c r="BN14" t="e">
        <f>AND(TOC!#REF!,"AAAAAHvsT0E=")</f>
        <v>#REF!</v>
      </c>
      <c r="BO14" t="e">
        <f>AND(TOC!#REF!,"AAAAAHvsT0I=")</f>
        <v>#REF!</v>
      </c>
      <c r="BP14" t="e">
        <f>AND(TOC!#REF!,"AAAAAHvsT0M=")</f>
        <v>#REF!</v>
      </c>
      <c r="BQ14" t="e">
        <f>AND(TOC!#REF!,"AAAAAHvsT0Q=")</f>
        <v>#REF!</v>
      </c>
      <c r="BR14" t="e">
        <f>AND(TOC!#REF!,"AAAAAHvsT0U=")</f>
        <v>#REF!</v>
      </c>
      <c r="BS14" t="e">
        <f>AND(TOC!#REF!,"AAAAAHvsT0Y=")</f>
        <v>#REF!</v>
      </c>
      <c r="BT14" t="e">
        <f>AND(TOC!#REF!,"AAAAAHvsT0c=")</f>
        <v>#REF!</v>
      </c>
      <c r="BU14" t="e">
        <f>AND(TOC!#REF!,"AAAAAHvsT0g=")</f>
        <v>#REF!</v>
      </c>
      <c r="BV14" t="e">
        <f>AND(TOC!#REF!,"AAAAAHvsT0k=")</f>
        <v>#REF!</v>
      </c>
      <c r="BW14" t="e">
        <f>AND(TOC!#REF!,"AAAAAHvsT0o=")</f>
        <v>#REF!</v>
      </c>
      <c r="BX14" t="e">
        <f>AND(TOC!#REF!,"AAAAAHvsT0s=")</f>
        <v>#REF!</v>
      </c>
      <c r="BY14" t="e">
        <f>IF(TOC!#REF!,"AAAAAHvsT0w=",0)</f>
        <v>#REF!</v>
      </c>
      <c r="BZ14" t="e">
        <f>AND(TOC!#REF!,"AAAAAHvsT00=")</f>
        <v>#REF!</v>
      </c>
      <c r="CA14" t="e">
        <f>AND(TOC!#REF!,"AAAAAHvsT04=")</f>
        <v>#REF!</v>
      </c>
      <c r="CB14" t="e">
        <f>AND(TOC!#REF!,"AAAAAHvsT08=")</f>
        <v>#REF!</v>
      </c>
      <c r="CC14" t="e">
        <f>AND(TOC!#REF!,"AAAAAHvsT1A=")</f>
        <v>#REF!</v>
      </c>
      <c r="CD14" t="e">
        <f>AND(TOC!#REF!,"AAAAAHvsT1E=")</f>
        <v>#REF!</v>
      </c>
      <c r="CE14" t="e">
        <f>AND(TOC!#REF!,"AAAAAHvsT1I=")</f>
        <v>#REF!</v>
      </c>
      <c r="CF14" t="e">
        <f>AND(TOC!#REF!,"AAAAAHvsT1M=")</f>
        <v>#REF!</v>
      </c>
      <c r="CG14" t="e">
        <f>AND(TOC!#REF!,"AAAAAHvsT1Q=")</f>
        <v>#REF!</v>
      </c>
      <c r="CH14" t="e">
        <f>AND(TOC!#REF!,"AAAAAHvsT1U=")</f>
        <v>#REF!</v>
      </c>
      <c r="CI14" t="e">
        <f>AND(TOC!#REF!,"AAAAAHvsT1Y=")</f>
        <v>#REF!</v>
      </c>
      <c r="CJ14" t="e">
        <f>AND(TOC!#REF!,"AAAAAHvsT1c=")</f>
        <v>#REF!</v>
      </c>
      <c r="CK14" t="e">
        <f>AND(TOC!#REF!,"AAAAAHvsT1g=")</f>
        <v>#REF!</v>
      </c>
      <c r="CL14" t="e">
        <f>AND(TOC!#REF!,"AAAAAHvsT1k=")</f>
        <v>#REF!</v>
      </c>
      <c r="CM14" t="e">
        <f>AND(TOC!#REF!,"AAAAAHvsT1o=")</f>
        <v>#REF!</v>
      </c>
      <c r="CN14" t="e">
        <f>AND(TOC!#REF!,"AAAAAHvsT1s=")</f>
        <v>#REF!</v>
      </c>
      <c r="CO14" t="e">
        <f>AND(TOC!#REF!,"AAAAAHvsT1w=")</f>
        <v>#REF!</v>
      </c>
      <c r="CP14" t="e">
        <f>AND(TOC!#REF!,"AAAAAHvsT10=")</f>
        <v>#REF!</v>
      </c>
      <c r="CQ14" t="e">
        <f>AND(TOC!#REF!,"AAAAAHvsT14=")</f>
        <v>#REF!</v>
      </c>
      <c r="CR14" t="e">
        <f>AND(TOC!#REF!,"AAAAAHvsT18=")</f>
        <v>#REF!</v>
      </c>
      <c r="CS14" t="e">
        <f>AND(TOC!#REF!,"AAAAAHvsT2A=")</f>
        <v>#REF!</v>
      </c>
      <c r="CT14" t="e">
        <f>AND(TOC!#REF!,"AAAAAHvsT2E=")</f>
        <v>#REF!</v>
      </c>
      <c r="CU14" t="e">
        <f>AND(TOC!#REF!,"AAAAAHvsT2I=")</f>
        <v>#REF!</v>
      </c>
      <c r="CV14" t="e">
        <f>AND(TOC!#REF!,"AAAAAHvsT2M=")</f>
        <v>#REF!</v>
      </c>
      <c r="CW14" t="e">
        <f>AND(TOC!#REF!,"AAAAAHvsT2Q=")</f>
        <v>#REF!</v>
      </c>
      <c r="CX14" t="e">
        <f>AND(TOC!#REF!,"AAAAAHvsT2U=")</f>
        <v>#REF!</v>
      </c>
      <c r="CY14" t="e">
        <f>AND(TOC!#REF!,"AAAAAHvsT2Y=")</f>
        <v>#REF!</v>
      </c>
      <c r="CZ14" t="e">
        <f>AND(TOC!#REF!,"AAAAAHvsT2c=")</f>
        <v>#REF!</v>
      </c>
      <c r="DA14" t="e">
        <f>AND(TOC!#REF!,"AAAAAHvsT2g=")</f>
        <v>#REF!</v>
      </c>
      <c r="DB14" t="e">
        <f>AND(TOC!#REF!,"AAAAAHvsT2k=")</f>
        <v>#REF!</v>
      </c>
      <c r="DC14" t="e">
        <f>AND(TOC!#REF!,"AAAAAHvsT2o=")</f>
        <v>#REF!</v>
      </c>
      <c r="DD14" t="e">
        <f>AND(TOC!#REF!,"AAAAAHvsT2s=")</f>
        <v>#REF!</v>
      </c>
      <c r="DE14" t="e">
        <f>AND(TOC!#REF!,"AAAAAHvsT2w=")</f>
        <v>#REF!</v>
      </c>
      <c r="DF14" t="e">
        <f>AND(TOC!#REF!,"AAAAAHvsT20=")</f>
        <v>#REF!</v>
      </c>
      <c r="DG14" t="e">
        <f>AND(TOC!#REF!,"AAAAAHvsT24=")</f>
        <v>#REF!</v>
      </c>
      <c r="DH14" t="e">
        <f>AND(TOC!#REF!,"AAAAAHvsT28=")</f>
        <v>#REF!</v>
      </c>
      <c r="DI14" t="e">
        <f>AND(TOC!#REF!,"AAAAAHvsT3A=")</f>
        <v>#REF!</v>
      </c>
      <c r="DJ14" t="e">
        <f>IF(TOC!#REF!,"AAAAAHvsT3E=",0)</f>
        <v>#REF!</v>
      </c>
      <c r="DK14" t="e">
        <f>AND(TOC!#REF!,"AAAAAHvsT3I=")</f>
        <v>#REF!</v>
      </c>
      <c r="DL14" t="e">
        <f>AND(TOC!#REF!,"AAAAAHvsT3M=")</f>
        <v>#REF!</v>
      </c>
      <c r="DM14" t="e">
        <f>AND(TOC!#REF!,"AAAAAHvsT3Q=")</f>
        <v>#REF!</v>
      </c>
      <c r="DN14" t="e">
        <f>AND(TOC!#REF!,"AAAAAHvsT3U=")</f>
        <v>#REF!</v>
      </c>
      <c r="DO14" t="e">
        <f>AND(TOC!#REF!,"AAAAAHvsT3Y=")</f>
        <v>#REF!</v>
      </c>
      <c r="DP14" t="e">
        <f>AND(TOC!#REF!,"AAAAAHvsT3c=")</f>
        <v>#REF!</v>
      </c>
      <c r="DQ14" t="e">
        <f>AND(TOC!#REF!,"AAAAAHvsT3g=")</f>
        <v>#REF!</v>
      </c>
      <c r="DR14" t="e">
        <f>AND(TOC!#REF!,"AAAAAHvsT3k=")</f>
        <v>#REF!</v>
      </c>
      <c r="DS14" t="e">
        <f>AND(TOC!#REF!,"AAAAAHvsT3o=")</f>
        <v>#REF!</v>
      </c>
      <c r="DT14" t="e">
        <f>AND(TOC!#REF!,"AAAAAHvsT3s=")</f>
        <v>#REF!</v>
      </c>
      <c r="DU14" t="e">
        <f>AND(TOC!#REF!,"AAAAAHvsT3w=")</f>
        <v>#REF!</v>
      </c>
      <c r="DV14" t="e">
        <f>AND(TOC!#REF!,"AAAAAHvsT30=")</f>
        <v>#REF!</v>
      </c>
      <c r="DW14" t="e">
        <f>AND(TOC!#REF!,"AAAAAHvsT34=")</f>
        <v>#REF!</v>
      </c>
      <c r="DX14" t="e">
        <f>AND(TOC!#REF!,"AAAAAHvsT38=")</f>
        <v>#REF!</v>
      </c>
      <c r="DY14" t="e">
        <f>AND(TOC!#REF!,"AAAAAHvsT4A=")</f>
        <v>#REF!</v>
      </c>
      <c r="DZ14" t="e">
        <f>AND(TOC!#REF!,"AAAAAHvsT4E=")</f>
        <v>#REF!</v>
      </c>
      <c r="EA14" t="e">
        <f>AND(TOC!#REF!,"AAAAAHvsT4I=")</f>
        <v>#REF!</v>
      </c>
      <c r="EB14" t="e">
        <f>AND(TOC!#REF!,"AAAAAHvsT4M=")</f>
        <v>#REF!</v>
      </c>
      <c r="EC14" t="e">
        <f>AND(TOC!#REF!,"AAAAAHvsT4Q=")</f>
        <v>#REF!</v>
      </c>
      <c r="ED14" t="e">
        <f>AND(TOC!#REF!,"AAAAAHvsT4U=")</f>
        <v>#REF!</v>
      </c>
      <c r="EE14" t="e">
        <f>AND(TOC!#REF!,"AAAAAHvsT4Y=")</f>
        <v>#REF!</v>
      </c>
      <c r="EF14" t="e">
        <f>AND(TOC!#REF!,"AAAAAHvsT4c=")</f>
        <v>#REF!</v>
      </c>
      <c r="EG14" t="e">
        <f>AND(TOC!#REF!,"AAAAAHvsT4g=")</f>
        <v>#REF!</v>
      </c>
      <c r="EH14" t="e">
        <f>AND(TOC!#REF!,"AAAAAHvsT4k=")</f>
        <v>#REF!</v>
      </c>
      <c r="EI14" t="e">
        <f>AND(TOC!#REF!,"AAAAAHvsT4o=")</f>
        <v>#REF!</v>
      </c>
      <c r="EJ14" t="e">
        <f>AND(TOC!#REF!,"AAAAAHvsT4s=")</f>
        <v>#REF!</v>
      </c>
      <c r="EK14" t="e">
        <f>AND(TOC!#REF!,"AAAAAHvsT4w=")</f>
        <v>#REF!</v>
      </c>
      <c r="EL14" t="e">
        <f>AND(TOC!#REF!,"AAAAAHvsT40=")</f>
        <v>#REF!</v>
      </c>
      <c r="EM14" t="e">
        <f>AND(TOC!#REF!,"AAAAAHvsT44=")</f>
        <v>#REF!</v>
      </c>
      <c r="EN14" t="e">
        <f>AND(TOC!#REF!,"AAAAAHvsT48=")</f>
        <v>#REF!</v>
      </c>
      <c r="EO14" t="e">
        <f>AND(TOC!#REF!,"AAAAAHvsT5A=")</f>
        <v>#REF!</v>
      </c>
      <c r="EP14" t="e">
        <f>AND(TOC!#REF!,"AAAAAHvsT5E=")</f>
        <v>#REF!</v>
      </c>
      <c r="EQ14" t="e">
        <f>AND(TOC!#REF!,"AAAAAHvsT5I=")</f>
        <v>#REF!</v>
      </c>
      <c r="ER14" t="e">
        <f>AND(TOC!#REF!,"AAAAAHvsT5M=")</f>
        <v>#REF!</v>
      </c>
      <c r="ES14" t="e">
        <f>AND(TOC!#REF!,"AAAAAHvsT5Q=")</f>
        <v>#REF!</v>
      </c>
      <c r="ET14" t="e">
        <f>AND(TOC!#REF!,"AAAAAHvsT5U=")</f>
        <v>#REF!</v>
      </c>
      <c r="EU14" t="e">
        <f>IF(TOC!#REF!,"AAAAAHvsT5Y=",0)</f>
        <v>#REF!</v>
      </c>
      <c r="EV14" t="e">
        <f>AND(TOC!#REF!,"AAAAAHvsT5c=")</f>
        <v>#REF!</v>
      </c>
      <c r="EW14" t="e">
        <f>AND(TOC!#REF!,"AAAAAHvsT5g=")</f>
        <v>#REF!</v>
      </c>
      <c r="EX14" t="e">
        <f>AND(TOC!#REF!,"AAAAAHvsT5k=")</f>
        <v>#REF!</v>
      </c>
      <c r="EY14" t="e">
        <f>AND(TOC!#REF!,"AAAAAHvsT5o=")</f>
        <v>#REF!</v>
      </c>
      <c r="EZ14" t="e">
        <f>AND(TOC!#REF!,"AAAAAHvsT5s=")</f>
        <v>#REF!</v>
      </c>
      <c r="FA14" t="e">
        <f>AND(TOC!#REF!,"AAAAAHvsT5w=")</f>
        <v>#REF!</v>
      </c>
      <c r="FB14" t="e">
        <f>AND(TOC!#REF!,"AAAAAHvsT50=")</f>
        <v>#REF!</v>
      </c>
      <c r="FC14" t="e">
        <f>AND(TOC!#REF!,"AAAAAHvsT54=")</f>
        <v>#REF!</v>
      </c>
      <c r="FD14" t="e">
        <f>AND(TOC!#REF!,"AAAAAHvsT58=")</f>
        <v>#REF!</v>
      </c>
      <c r="FE14" t="e">
        <f>AND(TOC!#REF!,"AAAAAHvsT6A=")</f>
        <v>#REF!</v>
      </c>
      <c r="FF14" t="e">
        <f>AND(TOC!#REF!,"AAAAAHvsT6E=")</f>
        <v>#REF!</v>
      </c>
      <c r="FG14" t="e">
        <f>AND(TOC!#REF!,"AAAAAHvsT6I=")</f>
        <v>#REF!</v>
      </c>
      <c r="FH14" t="e">
        <f>AND(TOC!#REF!,"AAAAAHvsT6M=")</f>
        <v>#REF!</v>
      </c>
      <c r="FI14" t="e">
        <f>AND(TOC!#REF!,"AAAAAHvsT6Q=")</f>
        <v>#REF!</v>
      </c>
      <c r="FJ14" t="e">
        <f>AND(TOC!#REF!,"AAAAAHvsT6U=")</f>
        <v>#REF!</v>
      </c>
      <c r="FK14" t="e">
        <f>AND(TOC!#REF!,"AAAAAHvsT6Y=")</f>
        <v>#REF!</v>
      </c>
      <c r="FL14" t="e">
        <f>AND(TOC!#REF!,"AAAAAHvsT6c=")</f>
        <v>#REF!</v>
      </c>
      <c r="FM14" t="e">
        <f>AND(TOC!#REF!,"AAAAAHvsT6g=")</f>
        <v>#REF!</v>
      </c>
      <c r="FN14" t="e">
        <f>AND(TOC!#REF!,"AAAAAHvsT6k=")</f>
        <v>#REF!</v>
      </c>
      <c r="FO14" t="e">
        <f>AND(TOC!#REF!,"AAAAAHvsT6o=")</f>
        <v>#REF!</v>
      </c>
      <c r="FP14" t="e">
        <f>AND(TOC!#REF!,"AAAAAHvsT6s=")</f>
        <v>#REF!</v>
      </c>
      <c r="FQ14" t="e">
        <f>AND(TOC!#REF!,"AAAAAHvsT6w=")</f>
        <v>#REF!</v>
      </c>
      <c r="FR14" t="e">
        <f>AND(TOC!#REF!,"AAAAAHvsT60=")</f>
        <v>#REF!</v>
      </c>
      <c r="FS14" t="e">
        <f>AND(TOC!#REF!,"AAAAAHvsT64=")</f>
        <v>#REF!</v>
      </c>
      <c r="FT14" t="e">
        <f>AND(TOC!#REF!,"AAAAAHvsT68=")</f>
        <v>#REF!</v>
      </c>
      <c r="FU14" t="e">
        <f>AND(TOC!#REF!,"AAAAAHvsT7A=")</f>
        <v>#REF!</v>
      </c>
      <c r="FV14" t="e">
        <f>AND(TOC!#REF!,"AAAAAHvsT7E=")</f>
        <v>#REF!</v>
      </c>
      <c r="FW14" t="e">
        <f>AND(TOC!#REF!,"AAAAAHvsT7I=")</f>
        <v>#REF!</v>
      </c>
      <c r="FX14" t="e">
        <f>AND(TOC!#REF!,"AAAAAHvsT7M=")</f>
        <v>#REF!</v>
      </c>
      <c r="FY14" t="e">
        <f>AND(TOC!#REF!,"AAAAAHvsT7Q=")</f>
        <v>#REF!</v>
      </c>
      <c r="FZ14" t="e">
        <f>AND(TOC!#REF!,"AAAAAHvsT7U=")</f>
        <v>#REF!</v>
      </c>
      <c r="GA14" t="e">
        <f>AND(TOC!#REF!,"AAAAAHvsT7Y=")</f>
        <v>#REF!</v>
      </c>
      <c r="GB14" t="e">
        <f>AND(TOC!#REF!,"AAAAAHvsT7c=")</f>
        <v>#REF!</v>
      </c>
      <c r="GC14" t="e">
        <f>AND(TOC!#REF!,"AAAAAHvsT7g=")</f>
        <v>#REF!</v>
      </c>
      <c r="GD14" t="e">
        <f>AND(TOC!#REF!,"AAAAAHvsT7k=")</f>
        <v>#REF!</v>
      </c>
      <c r="GE14" t="e">
        <f>AND(TOC!#REF!,"AAAAAHvsT7o=")</f>
        <v>#REF!</v>
      </c>
      <c r="GF14" t="e">
        <f>IF(TOC!#REF!,"AAAAAHvsT7s=",0)</f>
        <v>#REF!</v>
      </c>
      <c r="GG14" t="e">
        <f>AND(TOC!#REF!,"AAAAAHvsT7w=")</f>
        <v>#REF!</v>
      </c>
      <c r="GH14" t="e">
        <f>AND(TOC!#REF!,"AAAAAHvsT70=")</f>
        <v>#REF!</v>
      </c>
      <c r="GI14" t="e">
        <f>AND(TOC!#REF!,"AAAAAHvsT74=")</f>
        <v>#REF!</v>
      </c>
      <c r="GJ14" t="e">
        <f>AND(TOC!#REF!,"AAAAAHvsT78=")</f>
        <v>#REF!</v>
      </c>
      <c r="GK14" t="e">
        <f>AND(TOC!#REF!,"AAAAAHvsT8A=")</f>
        <v>#REF!</v>
      </c>
      <c r="GL14" t="e">
        <f>AND(TOC!#REF!,"AAAAAHvsT8E=")</f>
        <v>#REF!</v>
      </c>
      <c r="GM14" t="e">
        <f>AND(TOC!#REF!,"AAAAAHvsT8I=")</f>
        <v>#REF!</v>
      </c>
      <c r="GN14" t="e">
        <f>AND(TOC!#REF!,"AAAAAHvsT8M=")</f>
        <v>#REF!</v>
      </c>
      <c r="GO14" t="e">
        <f>AND(TOC!#REF!,"AAAAAHvsT8Q=")</f>
        <v>#REF!</v>
      </c>
      <c r="GP14" t="e">
        <f>AND(TOC!#REF!,"AAAAAHvsT8U=")</f>
        <v>#REF!</v>
      </c>
      <c r="GQ14" t="e">
        <f>AND(TOC!#REF!,"AAAAAHvsT8Y=")</f>
        <v>#REF!</v>
      </c>
      <c r="GR14" t="e">
        <f>AND(TOC!#REF!,"AAAAAHvsT8c=")</f>
        <v>#REF!</v>
      </c>
      <c r="GS14" t="e">
        <f>AND(TOC!#REF!,"AAAAAHvsT8g=")</f>
        <v>#REF!</v>
      </c>
      <c r="GT14" t="e">
        <f>AND(TOC!#REF!,"AAAAAHvsT8k=")</f>
        <v>#REF!</v>
      </c>
      <c r="GU14" t="e">
        <f>AND(TOC!#REF!,"AAAAAHvsT8o=")</f>
        <v>#REF!</v>
      </c>
      <c r="GV14" t="e">
        <f>AND(TOC!#REF!,"AAAAAHvsT8s=")</f>
        <v>#REF!</v>
      </c>
      <c r="GW14" t="e">
        <f>AND(TOC!#REF!,"AAAAAHvsT8w=")</f>
        <v>#REF!</v>
      </c>
      <c r="GX14" t="e">
        <f>AND(TOC!#REF!,"AAAAAHvsT80=")</f>
        <v>#REF!</v>
      </c>
      <c r="GY14" t="e">
        <f>AND(TOC!#REF!,"AAAAAHvsT84=")</f>
        <v>#REF!</v>
      </c>
      <c r="GZ14" t="e">
        <f>AND(TOC!#REF!,"AAAAAHvsT88=")</f>
        <v>#REF!</v>
      </c>
      <c r="HA14" t="e">
        <f>AND(TOC!#REF!,"AAAAAHvsT9A=")</f>
        <v>#REF!</v>
      </c>
      <c r="HB14" t="e">
        <f>AND(TOC!#REF!,"AAAAAHvsT9E=")</f>
        <v>#REF!</v>
      </c>
      <c r="HC14" t="e">
        <f>AND(TOC!#REF!,"AAAAAHvsT9I=")</f>
        <v>#REF!</v>
      </c>
      <c r="HD14" t="e">
        <f>AND(TOC!#REF!,"AAAAAHvsT9M=")</f>
        <v>#REF!</v>
      </c>
      <c r="HE14" t="e">
        <f>AND(TOC!#REF!,"AAAAAHvsT9Q=")</f>
        <v>#REF!</v>
      </c>
      <c r="HF14" t="e">
        <f>AND(TOC!#REF!,"AAAAAHvsT9U=")</f>
        <v>#REF!</v>
      </c>
      <c r="HG14" t="e">
        <f>AND(TOC!#REF!,"AAAAAHvsT9Y=")</f>
        <v>#REF!</v>
      </c>
      <c r="HH14" t="e">
        <f>AND(TOC!#REF!,"AAAAAHvsT9c=")</f>
        <v>#REF!</v>
      </c>
      <c r="HI14" t="e">
        <f>AND(TOC!#REF!,"AAAAAHvsT9g=")</f>
        <v>#REF!</v>
      </c>
      <c r="HJ14" t="e">
        <f>AND(TOC!#REF!,"AAAAAHvsT9k=")</f>
        <v>#REF!</v>
      </c>
      <c r="HK14" t="e">
        <f>AND(TOC!#REF!,"AAAAAHvsT9o=")</f>
        <v>#REF!</v>
      </c>
      <c r="HL14" t="e">
        <f>AND(TOC!#REF!,"AAAAAHvsT9s=")</f>
        <v>#REF!</v>
      </c>
      <c r="HM14" t="e">
        <f>AND(TOC!#REF!,"AAAAAHvsT9w=")</f>
        <v>#REF!</v>
      </c>
      <c r="HN14" t="e">
        <f>AND(TOC!#REF!,"AAAAAHvsT90=")</f>
        <v>#REF!</v>
      </c>
      <c r="HO14" t="e">
        <f>AND(TOC!#REF!,"AAAAAHvsT94=")</f>
        <v>#REF!</v>
      </c>
      <c r="HP14" t="e">
        <f>AND(TOC!#REF!,"AAAAAHvsT98=")</f>
        <v>#REF!</v>
      </c>
      <c r="HQ14" t="e">
        <f>IF(TOC!#REF!,"AAAAAHvsT+A=",0)</f>
        <v>#REF!</v>
      </c>
      <c r="HR14" t="e">
        <f>AND(TOC!#REF!,"AAAAAHvsT+E=")</f>
        <v>#REF!</v>
      </c>
      <c r="HS14" t="e">
        <f>AND(TOC!#REF!,"AAAAAHvsT+I=")</f>
        <v>#REF!</v>
      </c>
      <c r="HT14" t="e">
        <f>AND(TOC!#REF!,"AAAAAHvsT+M=")</f>
        <v>#REF!</v>
      </c>
      <c r="HU14" t="e">
        <f>AND(TOC!#REF!,"AAAAAHvsT+Q=")</f>
        <v>#REF!</v>
      </c>
      <c r="HV14" t="e">
        <f>AND(TOC!#REF!,"AAAAAHvsT+U=")</f>
        <v>#REF!</v>
      </c>
      <c r="HW14" t="e">
        <f>AND(TOC!#REF!,"AAAAAHvsT+Y=")</f>
        <v>#REF!</v>
      </c>
      <c r="HX14" t="e">
        <f>AND(TOC!#REF!,"AAAAAHvsT+c=")</f>
        <v>#REF!</v>
      </c>
      <c r="HY14" t="e">
        <f>AND(TOC!#REF!,"AAAAAHvsT+g=")</f>
        <v>#REF!</v>
      </c>
      <c r="HZ14" t="e">
        <f>AND(TOC!#REF!,"AAAAAHvsT+k=")</f>
        <v>#REF!</v>
      </c>
      <c r="IA14" t="e">
        <f>AND(TOC!#REF!,"AAAAAHvsT+o=")</f>
        <v>#REF!</v>
      </c>
      <c r="IB14" t="e">
        <f>AND(TOC!#REF!,"AAAAAHvsT+s=")</f>
        <v>#REF!</v>
      </c>
      <c r="IC14" t="e">
        <f>AND(TOC!#REF!,"AAAAAHvsT+w=")</f>
        <v>#REF!</v>
      </c>
      <c r="ID14" t="e">
        <f>AND(TOC!#REF!,"AAAAAHvsT+0=")</f>
        <v>#REF!</v>
      </c>
      <c r="IE14" t="e">
        <f>AND(TOC!#REF!,"AAAAAHvsT+4=")</f>
        <v>#REF!</v>
      </c>
      <c r="IF14" t="e">
        <f>AND(TOC!#REF!,"AAAAAHvsT+8=")</f>
        <v>#REF!</v>
      </c>
      <c r="IG14" t="e">
        <f>AND(TOC!#REF!,"AAAAAHvsT/A=")</f>
        <v>#REF!</v>
      </c>
      <c r="IH14" t="e">
        <f>AND(TOC!#REF!,"AAAAAHvsT/E=")</f>
        <v>#REF!</v>
      </c>
      <c r="II14" t="e">
        <f>AND(TOC!#REF!,"AAAAAHvsT/I=")</f>
        <v>#REF!</v>
      </c>
      <c r="IJ14" t="e">
        <f>AND(TOC!#REF!,"AAAAAHvsT/M=")</f>
        <v>#REF!</v>
      </c>
      <c r="IK14" t="e">
        <f>AND(TOC!#REF!,"AAAAAHvsT/Q=")</f>
        <v>#REF!</v>
      </c>
      <c r="IL14" t="e">
        <f>AND(TOC!#REF!,"AAAAAHvsT/U=")</f>
        <v>#REF!</v>
      </c>
      <c r="IM14" t="e">
        <f>AND(TOC!#REF!,"AAAAAHvsT/Y=")</f>
        <v>#REF!</v>
      </c>
      <c r="IN14" t="e">
        <f>AND(TOC!#REF!,"AAAAAHvsT/c=")</f>
        <v>#REF!</v>
      </c>
      <c r="IO14" t="e">
        <f>AND(TOC!#REF!,"AAAAAHvsT/g=")</f>
        <v>#REF!</v>
      </c>
      <c r="IP14" t="e">
        <f>AND(TOC!#REF!,"AAAAAHvsT/k=")</f>
        <v>#REF!</v>
      </c>
      <c r="IQ14" t="e">
        <f>AND(TOC!#REF!,"AAAAAHvsT/o=")</f>
        <v>#REF!</v>
      </c>
      <c r="IR14" t="e">
        <f>AND(TOC!#REF!,"AAAAAHvsT/s=")</f>
        <v>#REF!</v>
      </c>
      <c r="IS14" t="e">
        <f>AND(TOC!#REF!,"AAAAAHvsT/w=")</f>
        <v>#REF!</v>
      </c>
      <c r="IT14" t="e">
        <f>AND(TOC!#REF!,"AAAAAHvsT/0=")</f>
        <v>#REF!</v>
      </c>
      <c r="IU14" t="e">
        <f>AND(TOC!#REF!,"AAAAAHvsT/4=")</f>
        <v>#REF!</v>
      </c>
      <c r="IV14" t="e">
        <f>AND(TOC!#REF!,"AAAAAHvsT/8=")</f>
        <v>#REF!</v>
      </c>
    </row>
    <row r="15" spans="1:256" x14ac:dyDescent="0.2">
      <c r="A15" t="e">
        <f>AND(TOC!#REF!,"AAAAAHXL/wA=")</f>
        <v>#REF!</v>
      </c>
      <c r="B15" t="e">
        <f>AND(TOC!#REF!,"AAAAAHXL/wE=")</f>
        <v>#REF!</v>
      </c>
      <c r="C15" t="e">
        <f>AND(TOC!#REF!,"AAAAAHXL/wI=")</f>
        <v>#REF!</v>
      </c>
      <c r="D15" t="e">
        <f>AND(TOC!#REF!,"AAAAAHXL/wM=")</f>
        <v>#REF!</v>
      </c>
      <c r="E15" t="e">
        <f>AND(TOC!#REF!,"AAAAAHXL/wQ=")</f>
        <v>#REF!</v>
      </c>
      <c r="F15" t="e">
        <f>IF(TOC!#REF!,"AAAAAHXL/wU=",0)</f>
        <v>#REF!</v>
      </c>
      <c r="G15" t="e">
        <f>AND(TOC!#REF!,"AAAAAHXL/wY=")</f>
        <v>#REF!</v>
      </c>
      <c r="H15" t="e">
        <f>AND(TOC!#REF!,"AAAAAHXL/wc=")</f>
        <v>#REF!</v>
      </c>
      <c r="I15" t="e">
        <f>AND(TOC!#REF!,"AAAAAHXL/wg=")</f>
        <v>#REF!</v>
      </c>
      <c r="J15" t="e">
        <f>AND(TOC!#REF!,"AAAAAHXL/wk=")</f>
        <v>#REF!</v>
      </c>
      <c r="K15" t="e">
        <f>AND(TOC!#REF!,"AAAAAHXL/wo=")</f>
        <v>#REF!</v>
      </c>
      <c r="L15" t="e">
        <f>AND(TOC!#REF!,"AAAAAHXL/ws=")</f>
        <v>#REF!</v>
      </c>
      <c r="M15" t="e">
        <f>AND(TOC!#REF!,"AAAAAHXL/ww=")</f>
        <v>#REF!</v>
      </c>
      <c r="N15" t="e">
        <f>AND(TOC!#REF!,"AAAAAHXL/w0=")</f>
        <v>#REF!</v>
      </c>
      <c r="O15" t="e">
        <f>AND(TOC!#REF!,"AAAAAHXL/w4=")</f>
        <v>#REF!</v>
      </c>
      <c r="P15" t="e">
        <f>AND(TOC!#REF!,"AAAAAHXL/w8=")</f>
        <v>#REF!</v>
      </c>
      <c r="Q15" t="e">
        <f>AND(TOC!#REF!,"AAAAAHXL/xA=")</f>
        <v>#REF!</v>
      </c>
      <c r="R15" t="e">
        <f>AND(TOC!#REF!,"AAAAAHXL/xE=")</f>
        <v>#REF!</v>
      </c>
      <c r="S15" t="e">
        <f>AND(TOC!#REF!,"AAAAAHXL/xI=")</f>
        <v>#REF!</v>
      </c>
      <c r="T15" t="e">
        <f>AND(TOC!#REF!,"AAAAAHXL/xM=")</f>
        <v>#REF!</v>
      </c>
      <c r="U15" t="e">
        <f>AND(TOC!#REF!,"AAAAAHXL/xQ=")</f>
        <v>#REF!</v>
      </c>
      <c r="V15" t="e">
        <f>AND(TOC!#REF!,"AAAAAHXL/xU=")</f>
        <v>#REF!</v>
      </c>
      <c r="W15" t="e">
        <f>AND(TOC!#REF!,"AAAAAHXL/xY=")</f>
        <v>#REF!</v>
      </c>
      <c r="X15" t="e">
        <f>AND(TOC!#REF!,"AAAAAHXL/xc=")</f>
        <v>#REF!</v>
      </c>
      <c r="Y15" t="e">
        <f>AND(TOC!#REF!,"AAAAAHXL/xg=")</f>
        <v>#REF!</v>
      </c>
      <c r="Z15" t="e">
        <f>AND(TOC!#REF!,"AAAAAHXL/xk=")</f>
        <v>#REF!</v>
      </c>
      <c r="AA15" t="e">
        <f>AND(TOC!#REF!,"AAAAAHXL/xo=")</f>
        <v>#REF!</v>
      </c>
      <c r="AB15" t="e">
        <f>AND(TOC!#REF!,"AAAAAHXL/xs=")</f>
        <v>#REF!</v>
      </c>
      <c r="AC15" t="e">
        <f>AND(TOC!#REF!,"AAAAAHXL/xw=")</f>
        <v>#REF!</v>
      </c>
      <c r="AD15" t="e">
        <f>AND(TOC!#REF!,"AAAAAHXL/x0=")</f>
        <v>#REF!</v>
      </c>
      <c r="AE15" t="e">
        <f>AND(TOC!#REF!,"AAAAAHXL/x4=")</f>
        <v>#REF!</v>
      </c>
      <c r="AF15" t="e">
        <f>AND(TOC!#REF!,"AAAAAHXL/x8=")</f>
        <v>#REF!</v>
      </c>
      <c r="AG15" t="e">
        <f>AND(TOC!#REF!,"AAAAAHXL/yA=")</f>
        <v>#REF!</v>
      </c>
      <c r="AH15" t="e">
        <f>AND(TOC!#REF!,"AAAAAHXL/yE=")</f>
        <v>#REF!</v>
      </c>
      <c r="AI15" t="e">
        <f>AND(TOC!#REF!,"AAAAAHXL/yI=")</f>
        <v>#REF!</v>
      </c>
      <c r="AJ15" t="e">
        <f>AND(TOC!#REF!,"AAAAAHXL/yM=")</f>
        <v>#REF!</v>
      </c>
      <c r="AK15" t="e">
        <f>AND(TOC!#REF!,"AAAAAHXL/yQ=")</f>
        <v>#REF!</v>
      </c>
      <c r="AL15" t="e">
        <f>AND(TOC!#REF!,"AAAAAHXL/yU=")</f>
        <v>#REF!</v>
      </c>
      <c r="AM15" t="e">
        <f>AND(TOC!#REF!,"AAAAAHXL/yY=")</f>
        <v>#REF!</v>
      </c>
      <c r="AN15" t="e">
        <f>AND(TOC!#REF!,"AAAAAHXL/yc=")</f>
        <v>#REF!</v>
      </c>
      <c r="AO15" t="e">
        <f>AND(TOC!#REF!,"AAAAAHXL/yg=")</f>
        <v>#REF!</v>
      </c>
      <c r="AP15" t="e">
        <f>AND(TOC!#REF!,"AAAAAHXL/yk=")</f>
        <v>#REF!</v>
      </c>
      <c r="AQ15" t="e">
        <f>IF(TOC!#REF!,"AAAAAHXL/yo=",0)</f>
        <v>#REF!</v>
      </c>
      <c r="AR15" t="e">
        <f>AND(TOC!#REF!,"AAAAAHXL/ys=")</f>
        <v>#REF!</v>
      </c>
      <c r="AS15" t="e">
        <f>AND(TOC!#REF!,"AAAAAHXL/yw=")</f>
        <v>#REF!</v>
      </c>
      <c r="AT15" t="e">
        <f>AND(TOC!#REF!,"AAAAAHXL/y0=")</f>
        <v>#REF!</v>
      </c>
      <c r="AU15" t="e">
        <f>AND(TOC!#REF!,"AAAAAHXL/y4=")</f>
        <v>#REF!</v>
      </c>
      <c r="AV15" t="e">
        <f>AND(TOC!#REF!,"AAAAAHXL/y8=")</f>
        <v>#REF!</v>
      </c>
      <c r="AW15" t="e">
        <f>AND(TOC!#REF!,"AAAAAHXL/zA=")</f>
        <v>#REF!</v>
      </c>
      <c r="AX15" t="e">
        <f>AND(TOC!#REF!,"AAAAAHXL/zE=")</f>
        <v>#REF!</v>
      </c>
      <c r="AY15" t="e">
        <f>AND(TOC!#REF!,"AAAAAHXL/zI=")</f>
        <v>#REF!</v>
      </c>
      <c r="AZ15" t="e">
        <f>AND(TOC!#REF!,"AAAAAHXL/zM=")</f>
        <v>#REF!</v>
      </c>
      <c r="BA15" t="e">
        <f>AND(TOC!#REF!,"AAAAAHXL/zQ=")</f>
        <v>#REF!</v>
      </c>
      <c r="BB15" t="e">
        <f>AND(TOC!#REF!,"AAAAAHXL/zU=")</f>
        <v>#REF!</v>
      </c>
      <c r="BC15" t="e">
        <f>AND(TOC!#REF!,"AAAAAHXL/zY=")</f>
        <v>#REF!</v>
      </c>
      <c r="BD15" t="e">
        <f>AND(TOC!#REF!,"AAAAAHXL/zc=")</f>
        <v>#REF!</v>
      </c>
      <c r="BE15" t="e">
        <f>AND(TOC!#REF!,"AAAAAHXL/zg=")</f>
        <v>#REF!</v>
      </c>
      <c r="BF15" t="e">
        <f>AND(TOC!#REF!,"AAAAAHXL/zk=")</f>
        <v>#REF!</v>
      </c>
      <c r="BG15" t="e">
        <f>AND(TOC!#REF!,"AAAAAHXL/zo=")</f>
        <v>#REF!</v>
      </c>
      <c r="BH15" t="e">
        <f>AND(TOC!#REF!,"AAAAAHXL/zs=")</f>
        <v>#REF!</v>
      </c>
      <c r="BI15" t="e">
        <f>AND(TOC!#REF!,"AAAAAHXL/zw=")</f>
        <v>#REF!</v>
      </c>
      <c r="BJ15" t="e">
        <f>AND(TOC!#REF!,"AAAAAHXL/z0=")</f>
        <v>#REF!</v>
      </c>
      <c r="BK15" t="e">
        <f>AND(TOC!#REF!,"AAAAAHXL/z4=")</f>
        <v>#REF!</v>
      </c>
      <c r="BL15" t="e">
        <f>AND(TOC!#REF!,"AAAAAHXL/z8=")</f>
        <v>#REF!</v>
      </c>
      <c r="BM15" t="e">
        <f>AND(TOC!#REF!,"AAAAAHXL/0A=")</f>
        <v>#REF!</v>
      </c>
      <c r="BN15" t="e">
        <f>AND(TOC!#REF!,"AAAAAHXL/0E=")</f>
        <v>#REF!</v>
      </c>
      <c r="BO15" t="e">
        <f>AND(TOC!#REF!,"AAAAAHXL/0I=")</f>
        <v>#REF!</v>
      </c>
      <c r="BP15" t="e">
        <f>AND(TOC!#REF!,"AAAAAHXL/0M=")</f>
        <v>#REF!</v>
      </c>
      <c r="BQ15" t="e">
        <f>AND(TOC!#REF!,"AAAAAHXL/0Q=")</f>
        <v>#REF!</v>
      </c>
      <c r="BR15" t="e">
        <f>AND(TOC!#REF!,"AAAAAHXL/0U=")</f>
        <v>#REF!</v>
      </c>
      <c r="BS15" t="e">
        <f>AND(TOC!#REF!,"AAAAAHXL/0Y=")</f>
        <v>#REF!</v>
      </c>
      <c r="BT15" t="e">
        <f>AND(TOC!#REF!,"AAAAAHXL/0c=")</f>
        <v>#REF!</v>
      </c>
      <c r="BU15" t="e">
        <f>AND(TOC!#REF!,"AAAAAHXL/0g=")</f>
        <v>#REF!</v>
      </c>
      <c r="BV15" t="e">
        <f>AND(TOC!#REF!,"AAAAAHXL/0k=")</f>
        <v>#REF!</v>
      </c>
      <c r="BW15" t="e">
        <f>AND(TOC!#REF!,"AAAAAHXL/0o=")</f>
        <v>#REF!</v>
      </c>
      <c r="BX15" t="e">
        <f>AND(TOC!#REF!,"AAAAAHXL/0s=")</f>
        <v>#REF!</v>
      </c>
      <c r="BY15" t="e">
        <f>AND(TOC!#REF!,"AAAAAHXL/0w=")</f>
        <v>#REF!</v>
      </c>
      <c r="BZ15" t="e">
        <f>AND(TOC!#REF!,"AAAAAHXL/00=")</f>
        <v>#REF!</v>
      </c>
      <c r="CA15" t="e">
        <f>AND(TOC!#REF!,"AAAAAHXL/04=")</f>
        <v>#REF!</v>
      </c>
      <c r="CB15" t="e">
        <f>IF(TOC!#REF!,"AAAAAHXL/08=",0)</f>
        <v>#REF!</v>
      </c>
      <c r="CC15" t="e">
        <f>AND(TOC!#REF!,"AAAAAHXL/1A=")</f>
        <v>#REF!</v>
      </c>
      <c r="CD15" t="e">
        <f>AND(TOC!#REF!,"AAAAAHXL/1E=")</f>
        <v>#REF!</v>
      </c>
      <c r="CE15" t="e">
        <f>AND(TOC!#REF!,"AAAAAHXL/1I=")</f>
        <v>#REF!</v>
      </c>
      <c r="CF15" t="e">
        <f>AND(TOC!#REF!,"AAAAAHXL/1M=")</f>
        <v>#REF!</v>
      </c>
      <c r="CG15" t="e">
        <f>AND(TOC!#REF!,"AAAAAHXL/1Q=")</f>
        <v>#REF!</v>
      </c>
      <c r="CH15" t="e">
        <f>AND(TOC!#REF!,"AAAAAHXL/1U=")</f>
        <v>#REF!</v>
      </c>
      <c r="CI15" t="e">
        <f>AND(TOC!#REF!,"AAAAAHXL/1Y=")</f>
        <v>#REF!</v>
      </c>
      <c r="CJ15" t="e">
        <f>AND(TOC!#REF!,"AAAAAHXL/1c=")</f>
        <v>#REF!</v>
      </c>
      <c r="CK15" t="e">
        <f>AND(TOC!#REF!,"AAAAAHXL/1g=")</f>
        <v>#REF!</v>
      </c>
      <c r="CL15" t="e">
        <f>AND(TOC!#REF!,"AAAAAHXL/1k=")</f>
        <v>#REF!</v>
      </c>
      <c r="CM15" t="e">
        <f>AND(TOC!#REF!,"AAAAAHXL/1o=")</f>
        <v>#REF!</v>
      </c>
      <c r="CN15" t="e">
        <f>AND(TOC!#REF!,"AAAAAHXL/1s=")</f>
        <v>#REF!</v>
      </c>
      <c r="CO15" t="e">
        <f>AND(TOC!#REF!,"AAAAAHXL/1w=")</f>
        <v>#REF!</v>
      </c>
      <c r="CP15" t="e">
        <f>AND(TOC!#REF!,"AAAAAHXL/10=")</f>
        <v>#REF!</v>
      </c>
      <c r="CQ15" t="e">
        <f>AND(TOC!#REF!,"AAAAAHXL/14=")</f>
        <v>#REF!</v>
      </c>
      <c r="CR15" t="e">
        <f>AND(TOC!#REF!,"AAAAAHXL/18=")</f>
        <v>#REF!</v>
      </c>
      <c r="CS15" t="e">
        <f>AND(TOC!#REF!,"AAAAAHXL/2A=")</f>
        <v>#REF!</v>
      </c>
      <c r="CT15" t="e">
        <f>AND(TOC!#REF!,"AAAAAHXL/2E=")</f>
        <v>#REF!</v>
      </c>
      <c r="CU15" t="e">
        <f>AND(TOC!#REF!,"AAAAAHXL/2I=")</f>
        <v>#REF!</v>
      </c>
      <c r="CV15" t="e">
        <f>AND(TOC!#REF!,"AAAAAHXL/2M=")</f>
        <v>#REF!</v>
      </c>
      <c r="CW15" t="e">
        <f>AND(TOC!#REF!,"AAAAAHXL/2Q=")</f>
        <v>#REF!</v>
      </c>
      <c r="CX15" t="e">
        <f>AND(TOC!#REF!,"AAAAAHXL/2U=")</f>
        <v>#REF!</v>
      </c>
      <c r="CY15" t="e">
        <f>AND(TOC!#REF!,"AAAAAHXL/2Y=")</f>
        <v>#REF!</v>
      </c>
      <c r="CZ15" t="e">
        <f>AND(TOC!#REF!,"AAAAAHXL/2c=")</f>
        <v>#REF!</v>
      </c>
      <c r="DA15" t="e">
        <f>AND(TOC!#REF!,"AAAAAHXL/2g=")</f>
        <v>#REF!</v>
      </c>
      <c r="DB15" t="e">
        <f>AND(TOC!#REF!,"AAAAAHXL/2k=")</f>
        <v>#REF!</v>
      </c>
      <c r="DC15" t="e">
        <f>AND(TOC!#REF!,"AAAAAHXL/2o=")</f>
        <v>#REF!</v>
      </c>
      <c r="DD15" t="e">
        <f>AND(TOC!#REF!,"AAAAAHXL/2s=")</f>
        <v>#REF!</v>
      </c>
      <c r="DE15" t="e">
        <f>AND(TOC!#REF!,"AAAAAHXL/2w=")</f>
        <v>#REF!</v>
      </c>
      <c r="DF15" t="e">
        <f>AND(TOC!#REF!,"AAAAAHXL/20=")</f>
        <v>#REF!</v>
      </c>
      <c r="DG15" t="e">
        <f>AND(TOC!#REF!,"AAAAAHXL/24=")</f>
        <v>#REF!</v>
      </c>
      <c r="DH15" t="e">
        <f>AND(TOC!#REF!,"AAAAAHXL/28=")</f>
        <v>#REF!</v>
      </c>
      <c r="DI15" t="e">
        <f>AND(TOC!#REF!,"AAAAAHXL/3A=")</f>
        <v>#REF!</v>
      </c>
      <c r="DJ15" t="e">
        <f>AND(TOC!#REF!,"AAAAAHXL/3E=")</f>
        <v>#REF!</v>
      </c>
      <c r="DK15" t="e">
        <f>AND(TOC!#REF!,"AAAAAHXL/3I=")</f>
        <v>#REF!</v>
      </c>
      <c r="DL15" t="e">
        <f>AND(TOC!#REF!,"AAAAAHXL/3M=")</f>
        <v>#REF!</v>
      </c>
      <c r="DM15" t="e">
        <f>IF(TOC!#REF!,"AAAAAHXL/3Q=",0)</f>
        <v>#REF!</v>
      </c>
      <c r="DN15" t="e">
        <f>AND(TOC!#REF!,"AAAAAHXL/3U=")</f>
        <v>#REF!</v>
      </c>
      <c r="DO15" t="e">
        <f>AND(TOC!#REF!,"AAAAAHXL/3Y=")</f>
        <v>#REF!</v>
      </c>
      <c r="DP15" t="e">
        <f>AND(TOC!#REF!,"AAAAAHXL/3c=")</f>
        <v>#REF!</v>
      </c>
      <c r="DQ15" t="e">
        <f>AND(TOC!#REF!,"AAAAAHXL/3g=")</f>
        <v>#REF!</v>
      </c>
      <c r="DR15" t="e">
        <f>AND(TOC!#REF!,"AAAAAHXL/3k=")</f>
        <v>#REF!</v>
      </c>
      <c r="DS15" t="e">
        <f>AND(TOC!#REF!,"AAAAAHXL/3o=")</f>
        <v>#REF!</v>
      </c>
      <c r="DT15" t="e">
        <f>AND(TOC!#REF!,"AAAAAHXL/3s=")</f>
        <v>#REF!</v>
      </c>
      <c r="DU15" t="e">
        <f>AND(TOC!#REF!,"AAAAAHXL/3w=")</f>
        <v>#REF!</v>
      </c>
      <c r="DV15" t="e">
        <f>AND(TOC!#REF!,"AAAAAHXL/30=")</f>
        <v>#REF!</v>
      </c>
      <c r="DW15" t="e">
        <f>AND(TOC!#REF!,"AAAAAHXL/34=")</f>
        <v>#REF!</v>
      </c>
      <c r="DX15" t="e">
        <f>AND(TOC!#REF!,"AAAAAHXL/38=")</f>
        <v>#REF!</v>
      </c>
      <c r="DY15" t="e">
        <f>AND(TOC!#REF!,"AAAAAHXL/4A=")</f>
        <v>#REF!</v>
      </c>
      <c r="DZ15" t="e">
        <f>AND(TOC!#REF!,"AAAAAHXL/4E=")</f>
        <v>#REF!</v>
      </c>
      <c r="EA15" t="e">
        <f>AND(TOC!#REF!,"AAAAAHXL/4I=")</f>
        <v>#REF!</v>
      </c>
      <c r="EB15" t="e">
        <f>AND(TOC!#REF!,"AAAAAHXL/4M=")</f>
        <v>#REF!</v>
      </c>
      <c r="EC15" t="e">
        <f>AND(TOC!#REF!,"AAAAAHXL/4Q=")</f>
        <v>#REF!</v>
      </c>
      <c r="ED15" t="e">
        <f>AND(TOC!#REF!,"AAAAAHXL/4U=")</f>
        <v>#REF!</v>
      </c>
      <c r="EE15" t="e">
        <f>AND(TOC!#REF!,"AAAAAHXL/4Y=")</f>
        <v>#REF!</v>
      </c>
      <c r="EF15" t="e">
        <f>AND(TOC!#REF!,"AAAAAHXL/4c=")</f>
        <v>#REF!</v>
      </c>
      <c r="EG15" t="e">
        <f>AND(TOC!#REF!,"AAAAAHXL/4g=")</f>
        <v>#REF!</v>
      </c>
      <c r="EH15" t="e">
        <f>AND(TOC!#REF!,"AAAAAHXL/4k=")</f>
        <v>#REF!</v>
      </c>
      <c r="EI15" t="e">
        <f>AND(TOC!#REF!,"AAAAAHXL/4o=")</f>
        <v>#REF!</v>
      </c>
      <c r="EJ15" t="e">
        <f>AND(TOC!#REF!,"AAAAAHXL/4s=")</f>
        <v>#REF!</v>
      </c>
      <c r="EK15" t="e">
        <f>AND(TOC!#REF!,"AAAAAHXL/4w=")</f>
        <v>#REF!</v>
      </c>
      <c r="EL15" t="e">
        <f>AND(TOC!#REF!,"AAAAAHXL/40=")</f>
        <v>#REF!</v>
      </c>
      <c r="EM15" t="e">
        <f>AND(TOC!#REF!,"AAAAAHXL/44=")</f>
        <v>#REF!</v>
      </c>
      <c r="EN15" t="e">
        <f>AND(TOC!#REF!,"AAAAAHXL/48=")</f>
        <v>#REF!</v>
      </c>
      <c r="EO15" t="e">
        <f>AND(TOC!#REF!,"AAAAAHXL/5A=")</f>
        <v>#REF!</v>
      </c>
      <c r="EP15" t="e">
        <f>AND(TOC!#REF!,"AAAAAHXL/5E=")</f>
        <v>#REF!</v>
      </c>
      <c r="EQ15" t="e">
        <f>AND(TOC!#REF!,"AAAAAHXL/5I=")</f>
        <v>#REF!</v>
      </c>
      <c r="ER15" t="e">
        <f>AND(TOC!#REF!,"AAAAAHXL/5M=")</f>
        <v>#REF!</v>
      </c>
      <c r="ES15" t="e">
        <f>AND(TOC!#REF!,"AAAAAHXL/5Q=")</f>
        <v>#REF!</v>
      </c>
      <c r="ET15" t="e">
        <f>AND(TOC!#REF!,"AAAAAHXL/5U=")</f>
        <v>#REF!</v>
      </c>
      <c r="EU15" t="e">
        <f>AND(TOC!#REF!,"AAAAAHXL/5Y=")</f>
        <v>#REF!</v>
      </c>
      <c r="EV15" t="e">
        <f>AND(TOC!#REF!,"AAAAAHXL/5c=")</f>
        <v>#REF!</v>
      </c>
      <c r="EW15" t="e">
        <f>AND(TOC!#REF!,"AAAAAHXL/5g=")</f>
        <v>#REF!</v>
      </c>
      <c r="EX15" t="e">
        <f>IF(TOC!#REF!,"AAAAAHXL/5k=",0)</f>
        <v>#REF!</v>
      </c>
      <c r="EY15" t="e">
        <f>AND(TOC!#REF!,"AAAAAHXL/5o=")</f>
        <v>#REF!</v>
      </c>
      <c r="EZ15" t="e">
        <f>AND(TOC!#REF!,"AAAAAHXL/5s=")</f>
        <v>#REF!</v>
      </c>
      <c r="FA15" t="e">
        <f>AND(TOC!#REF!,"AAAAAHXL/5w=")</f>
        <v>#REF!</v>
      </c>
      <c r="FB15" t="e">
        <f>AND(TOC!#REF!,"AAAAAHXL/50=")</f>
        <v>#REF!</v>
      </c>
      <c r="FC15" t="e">
        <f>AND(TOC!#REF!,"AAAAAHXL/54=")</f>
        <v>#REF!</v>
      </c>
      <c r="FD15" t="e">
        <f>AND(TOC!#REF!,"AAAAAHXL/58=")</f>
        <v>#REF!</v>
      </c>
      <c r="FE15" t="e">
        <f>AND(TOC!#REF!,"AAAAAHXL/6A=")</f>
        <v>#REF!</v>
      </c>
      <c r="FF15" t="e">
        <f>AND(TOC!#REF!,"AAAAAHXL/6E=")</f>
        <v>#REF!</v>
      </c>
      <c r="FG15" t="e">
        <f>AND(TOC!#REF!,"AAAAAHXL/6I=")</f>
        <v>#REF!</v>
      </c>
      <c r="FH15" t="e">
        <f>AND(TOC!#REF!,"AAAAAHXL/6M=")</f>
        <v>#REF!</v>
      </c>
      <c r="FI15" t="e">
        <f>AND(TOC!#REF!,"AAAAAHXL/6Q=")</f>
        <v>#REF!</v>
      </c>
      <c r="FJ15" t="e">
        <f>AND(TOC!#REF!,"AAAAAHXL/6U=")</f>
        <v>#REF!</v>
      </c>
      <c r="FK15" t="e">
        <f>AND(TOC!#REF!,"AAAAAHXL/6Y=")</f>
        <v>#REF!</v>
      </c>
      <c r="FL15" t="e">
        <f>AND(TOC!#REF!,"AAAAAHXL/6c=")</f>
        <v>#REF!</v>
      </c>
      <c r="FM15" t="e">
        <f>AND(TOC!#REF!,"AAAAAHXL/6g=")</f>
        <v>#REF!</v>
      </c>
      <c r="FN15" t="e">
        <f>AND(TOC!#REF!,"AAAAAHXL/6k=")</f>
        <v>#REF!</v>
      </c>
      <c r="FO15" t="e">
        <f>AND(TOC!#REF!,"AAAAAHXL/6o=")</f>
        <v>#REF!</v>
      </c>
      <c r="FP15" t="e">
        <f>AND(TOC!#REF!,"AAAAAHXL/6s=")</f>
        <v>#REF!</v>
      </c>
      <c r="FQ15" t="e">
        <f>AND(TOC!#REF!,"AAAAAHXL/6w=")</f>
        <v>#REF!</v>
      </c>
      <c r="FR15" t="e">
        <f>AND(TOC!#REF!,"AAAAAHXL/60=")</f>
        <v>#REF!</v>
      </c>
      <c r="FS15" t="e">
        <f>AND(TOC!#REF!,"AAAAAHXL/64=")</f>
        <v>#REF!</v>
      </c>
      <c r="FT15" t="e">
        <f>AND(TOC!#REF!,"AAAAAHXL/68=")</f>
        <v>#REF!</v>
      </c>
      <c r="FU15" t="e">
        <f>AND(TOC!#REF!,"AAAAAHXL/7A=")</f>
        <v>#REF!</v>
      </c>
      <c r="FV15" t="e">
        <f>AND(TOC!#REF!,"AAAAAHXL/7E=")</f>
        <v>#REF!</v>
      </c>
      <c r="FW15" t="e">
        <f>AND(TOC!#REF!,"AAAAAHXL/7I=")</f>
        <v>#REF!</v>
      </c>
      <c r="FX15" t="e">
        <f>AND(TOC!#REF!,"AAAAAHXL/7M=")</f>
        <v>#REF!</v>
      </c>
      <c r="FY15" t="e">
        <f>AND(TOC!#REF!,"AAAAAHXL/7Q=")</f>
        <v>#REF!</v>
      </c>
      <c r="FZ15" t="e">
        <f>AND(TOC!#REF!,"AAAAAHXL/7U=")</f>
        <v>#REF!</v>
      </c>
      <c r="GA15" t="e">
        <f>AND(TOC!#REF!,"AAAAAHXL/7Y=")</f>
        <v>#REF!</v>
      </c>
      <c r="GB15" t="e">
        <f>AND(TOC!#REF!,"AAAAAHXL/7c=")</f>
        <v>#REF!</v>
      </c>
      <c r="GC15" t="e">
        <f>AND(TOC!#REF!,"AAAAAHXL/7g=")</f>
        <v>#REF!</v>
      </c>
      <c r="GD15" t="e">
        <f>AND(TOC!#REF!,"AAAAAHXL/7k=")</f>
        <v>#REF!</v>
      </c>
      <c r="GE15" t="e">
        <f>AND(TOC!#REF!,"AAAAAHXL/7o=")</f>
        <v>#REF!</v>
      </c>
      <c r="GF15" t="e">
        <f>AND(TOC!#REF!,"AAAAAHXL/7s=")</f>
        <v>#REF!</v>
      </c>
      <c r="GG15" t="e">
        <f>AND(TOC!#REF!,"AAAAAHXL/7w=")</f>
        <v>#REF!</v>
      </c>
      <c r="GH15" t="e">
        <f>AND(TOC!#REF!,"AAAAAHXL/70=")</f>
        <v>#REF!</v>
      </c>
      <c r="GI15" t="e">
        <f>IF(TOC!#REF!,"AAAAAHXL/74=",0)</f>
        <v>#REF!</v>
      </c>
      <c r="GJ15" t="e">
        <f>AND(TOC!#REF!,"AAAAAHXL/78=")</f>
        <v>#REF!</v>
      </c>
      <c r="GK15" t="e">
        <f>AND(TOC!#REF!,"AAAAAHXL/8A=")</f>
        <v>#REF!</v>
      </c>
      <c r="GL15" t="e">
        <f>AND(TOC!#REF!,"AAAAAHXL/8E=")</f>
        <v>#REF!</v>
      </c>
      <c r="GM15" t="e">
        <f>AND(TOC!#REF!,"AAAAAHXL/8I=")</f>
        <v>#REF!</v>
      </c>
      <c r="GN15" t="e">
        <f>AND(TOC!#REF!,"AAAAAHXL/8M=")</f>
        <v>#REF!</v>
      </c>
      <c r="GO15" t="e">
        <f>AND(TOC!#REF!,"AAAAAHXL/8Q=")</f>
        <v>#REF!</v>
      </c>
      <c r="GP15" t="e">
        <f>AND(TOC!#REF!,"AAAAAHXL/8U=")</f>
        <v>#REF!</v>
      </c>
      <c r="GQ15" t="e">
        <f>AND(TOC!#REF!,"AAAAAHXL/8Y=")</f>
        <v>#REF!</v>
      </c>
      <c r="GR15" t="e">
        <f>AND(TOC!#REF!,"AAAAAHXL/8c=")</f>
        <v>#REF!</v>
      </c>
      <c r="GS15" t="e">
        <f>AND(TOC!#REF!,"AAAAAHXL/8g=")</f>
        <v>#REF!</v>
      </c>
      <c r="GT15" t="e">
        <f>AND(TOC!#REF!,"AAAAAHXL/8k=")</f>
        <v>#REF!</v>
      </c>
      <c r="GU15" t="e">
        <f>AND(TOC!#REF!,"AAAAAHXL/8o=")</f>
        <v>#REF!</v>
      </c>
      <c r="GV15" t="e">
        <f>AND(TOC!#REF!,"AAAAAHXL/8s=")</f>
        <v>#REF!</v>
      </c>
      <c r="GW15" t="e">
        <f>AND(TOC!#REF!,"AAAAAHXL/8w=")</f>
        <v>#REF!</v>
      </c>
      <c r="GX15" t="e">
        <f>AND(TOC!#REF!,"AAAAAHXL/80=")</f>
        <v>#REF!</v>
      </c>
      <c r="GY15" t="e">
        <f>AND(TOC!#REF!,"AAAAAHXL/84=")</f>
        <v>#REF!</v>
      </c>
      <c r="GZ15" t="e">
        <f>AND(TOC!#REF!,"AAAAAHXL/88=")</f>
        <v>#REF!</v>
      </c>
      <c r="HA15" t="e">
        <f>AND(TOC!#REF!,"AAAAAHXL/9A=")</f>
        <v>#REF!</v>
      </c>
      <c r="HB15" t="e">
        <f>AND(TOC!#REF!,"AAAAAHXL/9E=")</f>
        <v>#REF!</v>
      </c>
      <c r="HC15" t="e">
        <f>AND(TOC!#REF!,"AAAAAHXL/9I=")</f>
        <v>#REF!</v>
      </c>
      <c r="HD15" t="e">
        <f>AND(TOC!#REF!,"AAAAAHXL/9M=")</f>
        <v>#REF!</v>
      </c>
      <c r="HE15" t="e">
        <f>AND(TOC!#REF!,"AAAAAHXL/9Q=")</f>
        <v>#REF!</v>
      </c>
      <c r="HF15" t="e">
        <f>AND(TOC!#REF!,"AAAAAHXL/9U=")</f>
        <v>#REF!</v>
      </c>
      <c r="HG15" t="e">
        <f>AND(TOC!#REF!,"AAAAAHXL/9Y=")</f>
        <v>#REF!</v>
      </c>
      <c r="HH15" t="e">
        <f>AND(TOC!#REF!,"AAAAAHXL/9c=")</f>
        <v>#REF!</v>
      </c>
      <c r="HI15" t="e">
        <f>AND(TOC!#REF!,"AAAAAHXL/9g=")</f>
        <v>#REF!</v>
      </c>
      <c r="HJ15" t="e">
        <f>AND(TOC!#REF!,"AAAAAHXL/9k=")</f>
        <v>#REF!</v>
      </c>
      <c r="HK15" t="e">
        <f>AND(TOC!#REF!,"AAAAAHXL/9o=")</f>
        <v>#REF!</v>
      </c>
      <c r="HL15" t="e">
        <f>AND(TOC!#REF!,"AAAAAHXL/9s=")</f>
        <v>#REF!</v>
      </c>
      <c r="HM15" t="e">
        <f>AND(TOC!#REF!,"AAAAAHXL/9w=")</f>
        <v>#REF!</v>
      </c>
      <c r="HN15" t="e">
        <f>AND(TOC!#REF!,"AAAAAHXL/90=")</f>
        <v>#REF!</v>
      </c>
      <c r="HO15" t="e">
        <f>AND(TOC!#REF!,"AAAAAHXL/94=")</f>
        <v>#REF!</v>
      </c>
      <c r="HP15" t="e">
        <f>AND(TOC!#REF!,"AAAAAHXL/98=")</f>
        <v>#REF!</v>
      </c>
      <c r="HQ15" t="e">
        <f>AND(TOC!#REF!,"AAAAAHXL/+A=")</f>
        <v>#REF!</v>
      </c>
      <c r="HR15" t="e">
        <f>AND(TOC!#REF!,"AAAAAHXL/+E=")</f>
        <v>#REF!</v>
      </c>
      <c r="HS15" t="e">
        <f>AND(TOC!#REF!,"AAAAAHXL/+I=")</f>
        <v>#REF!</v>
      </c>
      <c r="HT15" t="e">
        <f>IF(TOC!#REF!,"AAAAAHXL/+M=",0)</f>
        <v>#REF!</v>
      </c>
      <c r="HU15" t="e">
        <f>AND(TOC!#REF!,"AAAAAHXL/+Q=")</f>
        <v>#REF!</v>
      </c>
      <c r="HV15" t="e">
        <f>AND(TOC!#REF!,"AAAAAHXL/+U=")</f>
        <v>#REF!</v>
      </c>
      <c r="HW15" t="e">
        <f>AND(TOC!#REF!,"AAAAAHXL/+Y=")</f>
        <v>#REF!</v>
      </c>
      <c r="HX15" t="e">
        <f>AND(TOC!#REF!,"AAAAAHXL/+c=")</f>
        <v>#REF!</v>
      </c>
      <c r="HY15" t="e">
        <f>AND(TOC!#REF!,"AAAAAHXL/+g=")</f>
        <v>#REF!</v>
      </c>
      <c r="HZ15" t="e">
        <f>AND(TOC!#REF!,"AAAAAHXL/+k=")</f>
        <v>#REF!</v>
      </c>
      <c r="IA15" t="e">
        <f>AND(TOC!#REF!,"AAAAAHXL/+o=")</f>
        <v>#REF!</v>
      </c>
      <c r="IB15" t="e">
        <f>AND(TOC!#REF!,"AAAAAHXL/+s=")</f>
        <v>#REF!</v>
      </c>
      <c r="IC15" t="e">
        <f>AND(TOC!#REF!,"AAAAAHXL/+w=")</f>
        <v>#REF!</v>
      </c>
      <c r="ID15" t="e">
        <f>AND(TOC!#REF!,"AAAAAHXL/+0=")</f>
        <v>#REF!</v>
      </c>
      <c r="IE15" t="e">
        <f>AND(TOC!#REF!,"AAAAAHXL/+4=")</f>
        <v>#REF!</v>
      </c>
      <c r="IF15" t="e">
        <f>AND(TOC!#REF!,"AAAAAHXL/+8=")</f>
        <v>#REF!</v>
      </c>
      <c r="IG15" t="e">
        <f>AND(TOC!#REF!,"AAAAAHXL//A=")</f>
        <v>#REF!</v>
      </c>
      <c r="IH15" t="e">
        <f>AND(TOC!#REF!,"AAAAAHXL//E=")</f>
        <v>#REF!</v>
      </c>
      <c r="II15" t="e">
        <f>AND(TOC!#REF!,"AAAAAHXL//I=")</f>
        <v>#REF!</v>
      </c>
      <c r="IJ15" t="e">
        <f>AND(TOC!#REF!,"AAAAAHXL//M=")</f>
        <v>#REF!</v>
      </c>
      <c r="IK15" t="e">
        <f>AND(TOC!#REF!,"AAAAAHXL//Q=")</f>
        <v>#REF!</v>
      </c>
      <c r="IL15" t="e">
        <f>AND(TOC!#REF!,"AAAAAHXL//U=")</f>
        <v>#REF!</v>
      </c>
      <c r="IM15" t="e">
        <f>AND(TOC!#REF!,"AAAAAHXL//Y=")</f>
        <v>#REF!</v>
      </c>
      <c r="IN15" t="e">
        <f>AND(TOC!#REF!,"AAAAAHXL//c=")</f>
        <v>#REF!</v>
      </c>
      <c r="IO15" t="e">
        <f>AND(TOC!#REF!,"AAAAAHXL//g=")</f>
        <v>#REF!</v>
      </c>
      <c r="IP15" t="e">
        <f>AND(TOC!#REF!,"AAAAAHXL//k=")</f>
        <v>#REF!</v>
      </c>
      <c r="IQ15" t="e">
        <f>AND(TOC!#REF!,"AAAAAHXL//o=")</f>
        <v>#REF!</v>
      </c>
      <c r="IR15" t="e">
        <f>AND(TOC!#REF!,"AAAAAHXL//s=")</f>
        <v>#REF!</v>
      </c>
      <c r="IS15" t="e">
        <f>AND(TOC!#REF!,"AAAAAHXL//w=")</f>
        <v>#REF!</v>
      </c>
      <c r="IT15" t="e">
        <f>AND(TOC!#REF!,"AAAAAHXL//0=")</f>
        <v>#REF!</v>
      </c>
      <c r="IU15" t="e">
        <f>AND(TOC!#REF!,"AAAAAHXL//4=")</f>
        <v>#REF!</v>
      </c>
      <c r="IV15" t="e">
        <f>AND(TOC!#REF!,"AAAAAHXL//8=")</f>
        <v>#REF!</v>
      </c>
    </row>
    <row r="16" spans="1:256" x14ac:dyDescent="0.2">
      <c r="A16" t="e">
        <f>AND(TOC!#REF!,"AAAAAHv3fgA=")</f>
        <v>#REF!</v>
      </c>
      <c r="B16" t="e">
        <f>AND(TOC!#REF!,"AAAAAHv3fgE=")</f>
        <v>#REF!</v>
      </c>
      <c r="C16" t="e">
        <f>AND(TOC!#REF!,"AAAAAHv3fgI=")</f>
        <v>#REF!</v>
      </c>
      <c r="D16" t="e">
        <f>AND(TOC!#REF!,"AAAAAHv3fgM=")</f>
        <v>#REF!</v>
      </c>
      <c r="E16" t="e">
        <f>AND(TOC!#REF!,"AAAAAHv3fgQ=")</f>
        <v>#REF!</v>
      </c>
      <c r="F16" t="e">
        <f>AND(TOC!#REF!,"AAAAAHv3fgU=")</f>
        <v>#REF!</v>
      </c>
      <c r="G16" t="e">
        <f>AND(TOC!#REF!,"AAAAAHv3fgY=")</f>
        <v>#REF!</v>
      </c>
      <c r="H16" t="e">
        <f>AND(TOC!#REF!,"AAAAAHv3fgc=")</f>
        <v>#REF!</v>
      </c>
      <c r="I16" t="e">
        <f>IF(TOC!#REF!,"AAAAAHv3fgg=",0)</f>
        <v>#REF!</v>
      </c>
      <c r="J16" t="e">
        <f>AND(TOC!#REF!,"AAAAAHv3fgk=")</f>
        <v>#REF!</v>
      </c>
      <c r="K16" t="e">
        <f>AND(TOC!#REF!,"AAAAAHv3fgo=")</f>
        <v>#REF!</v>
      </c>
      <c r="L16" t="e">
        <f>AND(TOC!#REF!,"AAAAAHv3fgs=")</f>
        <v>#REF!</v>
      </c>
      <c r="M16" t="e">
        <f>AND(TOC!#REF!,"AAAAAHv3fgw=")</f>
        <v>#REF!</v>
      </c>
      <c r="N16" t="e">
        <f>AND(TOC!#REF!,"AAAAAHv3fg0=")</f>
        <v>#REF!</v>
      </c>
      <c r="O16" t="e">
        <f>AND(TOC!#REF!,"AAAAAHv3fg4=")</f>
        <v>#REF!</v>
      </c>
      <c r="P16" t="e">
        <f>AND(TOC!#REF!,"AAAAAHv3fg8=")</f>
        <v>#REF!</v>
      </c>
      <c r="Q16" t="e">
        <f>AND(TOC!#REF!,"AAAAAHv3fhA=")</f>
        <v>#REF!</v>
      </c>
      <c r="R16" t="e">
        <f>AND(TOC!#REF!,"AAAAAHv3fhE=")</f>
        <v>#REF!</v>
      </c>
      <c r="S16" t="e">
        <f>AND(TOC!#REF!,"AAAAAHv3fhI=")</f>
        <v>#REF!</v>
      </c>
      <c r="T16" t="e">
        <f>AND(TOC!#REF!,"AAAAAHv3fhM=")</f>
        <v>#REF!</v>
      </c>
      <c r="U16" t="e">
        <f>AND(TOC!#REF!,"AAAAAHv3fhQ=")</f>
        <v>#REF!</v>
      </c>
      <c r="V16" t="e">
        <f>AND(TOC!#REF!,"AAAAAHv3fhU=")</f>
        <v>#REF!</v>
      </c>
      <c r="W16" t="e">
        <f>AND(TOC!#REF!,"AAAAAHv3fhY=")</f>
        <v>#REF!</v>
      </c>
      <c r="X16" t="e">
        <f>AND(TOC!#REF!,"AAAAAHv3fhc=")</f>
        <v>#REF!</v>
      </c>
      <c r="Y16" t="e">
        <f>AND(TOC!#REF!,"AAAAAHv3fhg=")</f>
        <v>#REF!</v>
      </c>
      <c r="Z16" t="e">
        <f>AND(TOC!#REF!,"AAAAAHv3fhk=")</f>
        <v>#REF!</v>
      </c>
      <c r="AA16" t="e">
        <f>AND(TOC!#REF!,"AAAAAHv3fho=")</f>
        <v>#REF!</v>
      </c>
      <c r="AB16" t="e">
        <f>AND(TOC!#REF!,"AAAAAHv3fhs=")</f>
        <v>#REF!</v>
      </c>
      <c r="AC16" t="e">
        <f>AND(TOC!#REF!,"AAAAAHv3fhw=")</f>
        <v>#REF!</v>
      </c>
      <c r="AD16" t="e">
        <f>AND(TOC!#REF!,"AAAAAHv3fh0=")</f>
        <v>#REF!</v>
      </c>
      <c r="AE16" t="e">
        <f>AND(TOC!#REF!,"AAAAAHv3fh4=")</f>
        <v>#REF!</v>
      </c>
      <c r="AF16" t="e">
        <f>AND(TOC!#REF!,"AAAAAHv3fh8=")</f>
        <v>#REF!</v>
      </c>
      <c r="AG16" t="e">
        <f>AND(TOC!#REF!,"AAAAAHv3fiA=")</f>
        <v>#REF!</v>
      </c>
      <c r="AH16" t="e">
        <f>AND(TOC!#REF!,"AAAAAHv3fiE=")</f>
        <v>#REF!</v>
      </c>
      <c r="AI16" t="e">
        <f>AND(TOC!#REF!,"AAAAAHv3fiI=")</f>
        <v>#REF!</v>
      </c>
      <c r="AJ16" t="e">
        <f>AND(TOC!#REF!,"AAAAAHv3fiM=")</f>
        <v>#REF!</v>
      </c>
      <c r="AK16" t="e">
        <f>AND(TOC!#REF!,"AAAAAHv3fiQ=")</f>
        <v>#REF!</v>
      </c>
      <c r="AL16" t="e">
        <f>AND(TOC!#REF!,"AAAAAHv3fiU=")</f>
        <v>#REF!</v>
      </c>
      <c r="AM16" t="e">
        <f>AND(TOC!#REF!,"AAAAAHv3fiY=")</f>
        <v>#REF!</v>
      </c>
      <c r="AN16" t="e">
        <f>AND(TOC!#REF!,"AAAAAHv3fic=")</f>
        <v>#REF!</v>
      </c>
      <c r="AO16" t="e">
        <f>AND(TOC!#REF!,"AAAAAHv3fig=")</f>
        <v>#REF!</v>
      </c>
      <c r="AP16" t="e">
        <f>AND(TOC!#REF!,"AAAAAHv3fik=")</f>
        <v>#REF!</v>
      </c>
      <c r="AQ16" t="e">
        <f>AND(TOC!#REF!,"AAAAAHv3fio=")</f>
        <v>#REF!</v>
      </c>
      <c r="AR16" t="e">
        <f>AND(TOC!#REF!,"AAAAAHv3fis=")</f>
        <v>#REF!</v>
      </c>
      <c r="AS16" t="e">
        <f>AND(TOC!#REF!,"AAAAAHv3fiw=")</f>
        <v>#REF!</v>
      </c>
      <c r="AT16" t="e">
        <f>IF(TOC!#REF!,"AAAAAHv3fi0=",0)</f>
        <v>#REF!</v>
      </c>
      <c r="AU16" t="e">
        <f>AND(TOC!#REF!,"AAAAAHv3fi4=")</f>
        <v>#REF!</v>
      </c>
      <c r="AV16" t="e">
        <f>AND(TOC!#REF!,"AAAAAHv3fi8=")</f>
        <v>#REF!</v>
      </c>
      <c r="AW16" t="e">
        <f>AND(TOC!#REF!,"AAAAAHv3fjA=")</f>
        <v>#REF!</v>
      </c>
      <c r="AX16" t="e">
        <f>AND(TOC!#REF!,"AAAAAHv3fjE=")</f>
        <v>#REF!</v>
      </c>
      <c r="AY16" t="e">
        <f>AND(TOC!#REF!,"AAAAAHv3fjI=")</f>
        <v>#REF!</v>
      </c>
      <c r="AZ16" t="e">
        <f>AND(TOC!#REF!,"AAAAAHv3fjM=")</f>
        <v>#REF!</v>
      </c>
      <c r="BA16" t="e">
        <f>AND(TOC!#REF!,"AAAAAHv3fjQ=")</f>
        <v>#REF!</v>
      </c>
      <c r="BB16" t="e">
        <f>AND(TOC!#REF!,"AAAAAHv3fjU=")</f>
        <v>#REF!</v>
      </c>
      <c r="BC16" t="e">
        <f>AND(TOC!#REF!,"AAAAAHv3fjY=")</f>
        <v>#REF!</v>
      </c>
      <c r="BD16" t="e">
        <f>AND(TOC!#REF!,"AAAAAHv3fjc=")</f>
        <v>#REF!</v>
      </c>
      <c r="BE16" t="e">
        <f>AND(TOC!#REF!,"AAAAAHv3fjg=")</f>
        <v>#REF!</v>
      </c>
      <c r="BF16" t="e">
        <f>AND(TOC!#REF!,"AAAAAHv3fjk=")</f>
        <v>#REF!</v>
      </c>
      <c r="BG16" t="e">
        <f>AND(TOC!#REF!,"AAAAAHv3fjo=")</f>
        <v>#REF!</v>
      </c>
      <c r="BH16" t="e">
        <f>AND(TOC!#REF!,"AAAAAHv3fjs=")</f>
        <v>#REF!</v>
      </c>
      <c r="BI16" t="e">
        <f>AND(TOC!#REF!,"AAAAAHv3fjw=")</f>
        <v>#REF!</v>
      </c>
      <c r="BJ16" t="e">
        <f>AND(TOC!#REF!,"AAAAAHv3fj0=")</f>
        <v>#REF!</v>
      </c>
      <c r="BK16" t="e">
        <f>AND(TOC!#REF!,"AAAAAHv3fj4=")</f>
        <v>#REF!</v>
      </c>
      <c r="BL16" t="e">
        <f>AND(TOC!#REF!,"AAAAAHv3fj8=")</f>
        <v>#REF!</v>
      </c>
      <c r="BM16" t="e">
        <f>AND(TOC!#REF!,"AAAAAHv3fkA=")</f>
        <v>#REF!</v>
      </c>
      <c r="BN16" t="e">
        <f>AND(TOC!#REF!,"AAAAAHv3fkE=")</f>
        <v>#REF!</v>
      </c>
      <c r="BO16" t="e">
        <f>AND(TOC!#REF!,"AAAAAHv3fkI=")</f>
        <v>#REF!</v>
      </c>
      <c r="BP16" t="e">
        <f>AND(TOC!#REF!,"AAAAAHv3fkM=")</f>
        <v>#REF!</v>
      </c>
      <c r="BQ16" t="e">
        <f>AND(TOC!#REF!,"AAAAAHv3fkQ=")</f>
        <v>#REF!</v>
      </c>
      <c r="BR16" t="e">
        <f>AND(TOC!#REF!,"AAAAAHv3fkU=")</f>
        <v>#REF!</v>
      </c>
      <c r="BS16" t="e">
        <f>AND(TOC!#REF!,"AAAAAHv3fkY=")</f>
        <v>#REF!</v>
      </c>
      <c r="BT16" t="e">
        <f>AND(TOC!#REF!,"AAAAAHv3fkc=")</f>
        <v>#REF!</v>
      </c>
      <c r="BU16" t="e">
        <f>AND(TOC!#REF!,"AAAAAHv3fkg=")</f>
        <v>#REF!</v>
      </c>
      <c r="BV16" t="e">
        <f>AND(TOC!#REF!,"AAAAAHv3fkk=")</f>
        <v>#REF!</v>
      </c>
      <c r="BW16" t="e">
        <f>AND(TOC!#REF!,"AAAAAHv3fko=")</f>
        <v>#REF!</v>
      </c>
      <c r="BX16" t="e">
        <f>AND(TOC!#REF!,"AAAAAHv3fks=")</f>
        <v>#REF!</v>
      </c>
      <c r="BY16" t="e">
        <f>AND(TOC!#REF!,"AAAAAHv3fkw=")</f>
        <v>#REF!</v>
      </c>
      <c r="BZ16" t="e">
        <f>AND(TOC!#REF!,"AAAAAHv3fk0=")</f>
        <v>#REF!</v>
      </c>
      <c r="CA16" t="e">
        <f>AND(TOC!#REF!,"AAAAAHv3fk4=")</f>
        <v>#REF!</v>
      </c>
      <c r="CB16" t="e">
        <f>AND(TOC!#REF!,"AAAAAHv3fk8=")</f>
        <v>#REF!</v>
      </c>
      <c r="CC16" t="e">
        <f>AND(TOC!#REF!,"AAAAAHv3flA=")</f>
        <v>#REF!</v>
      </c>
      <c r="CD16" t="e">
        <f>AND(TOC!#REF!,"AAAAAHv3flE=")</f>
        <v>#REF!</v>
      </c>
      <c r="CE16" t="e">
        <f>IF(TOC!#REF!,"AAAAAHv3flI=",0)</f>
        <v>#REF!</v>
      </c>
      <c r="CF16" t="e">
        <f>AND(TOC!#REF!,"AAAAAHv3flM=")</f>
        <v>#REF!</v>
      </c>
      <c r="CG16" t="e">
        <f>AND(TOC!#REF!,"AAAAAHv3flQ=")</f>
        <v>#REF!</v>
      </c>
      <c r="CH16" t="e">
        <f>AND(TOC!#REF!,"AAAAAHv3flU=")</f>
        <v>#REF!</v>
      </c>
      <c r="CI16" t="e">
        <f>AND(TOC!#REF!,"AAAAAHv3flY=")</f>
        <v>#REF!</v>
      </c>
      <c r="CJ16" t="e">
        <f>AND(TOC!#REF!,"AAAAAHv3flc=")</f>
        <v>#REF!</v>
      </c>
      <c r="CK16" t="e">
        <f>AND(TOC!#REF!,"AAAAAHv3flg=")</f>
        <v>#REF!</v>
      </c>
      <c r="CL16" t="e">
        <f>AND(TOC!#REF!,"AAAAAHv3flk=")</f>
        <v>#REF!</v>
      </c>
      <c r="CM16" t="e">
        <f>AND(TOC!#REF!,"AAAAAHv3flo=")</f>
        <v>#REF!</v>
      </c>
      <c r="CN16" t="e">
        <f>AND(TOC!#REF!,"AAAAAHv3fls=")</f>
        <v>#REF!</v>
      </c>
      <c r="CO16" t="e">
        <f>AND(TOC!#REF!,"AAAAAHv3flw=")</f>
        <v>#REF!</v>
      </c>
      <c r="CP16" t="e">
        <f>AND(TOC!#REF!,"AAAAAHv3fl0=")</f>
        <v>#REF!</v>
      </c>
      <c r="CQ16" t="e">
        <f>AND(TOC!#REF!,"AAAAAHv3fl4=")</f>
        <v>#REF!</v>
      </c>
      <c r="CR16" t="e">
        <f>AND(TOC!#REF!,"AAAAAHv3fl8=")</f>
        <v>#REF!</v>
      </c>
      <c r="CS16" t="e">
        <f>AND(TOC!#REF!,"AAAAAHv3fmA=")</f>
        <v>#REF!</v>
      </c>
      <c r="CT16" t="e">
        <f>AND(TOC!#REF!,"AAAAAHv3fmE=")</f>
        <v>#REF!</v>
      </c>
      <c r="CU16" t="e">
        <f>AND(TOC!#REF!,"AAAAAHv3fmI=")</f>
        <v>#REF!</v>
      </c>
      <c r="CV16" t="e">
        <f>AND(TOC!#REF!,"AAAAAHv3fmM=")</f>
        <v>#REF!</v>
      </c>
      <c r="CW16" t="e">
        <f>AND(TOC!#REF!,"AAAAAHv3fmQ=")</f>
        <v>#REF!</v>
      </c>
      <c r="CX16" t="e">
        <f>AND(TOC!#REF!,"AAAAAHv3fmU=")</f>
        <v>#REF!</v>
      </c>
      <c r="CY16" t="e">
        <f>AND(TOC!#REF!,"AAAAAHv3fmY=")</f>
        <v>#REF!</v>
      </c>
      <c r="CZ16" t="e">
        <f>AND(TOC!#REF!,"AAAAAHv3fmc=")</f>
        <v>#REF!</v>
      </c>
      <c r="DA16" t="e">
        <f>AND(TOC!#REF!,"AAAAAHv3fmg=")</f>
        <v>#REF!</v>
      </c>
      <c r="DB16" t="e">
        <f>AND(TOC!#REF!,"AAAAAHv3fmk=")</f>
        <v>#REF!</v>
      </c>
      <c r="DC16" t="e">
        <f>AND(TOC!#REF!,"AAAAAHv3fmo=")</f>
        <v>#REF!</v>
      </c>
      <c r="DD16" t="e">
        <f>AND(TOC!#REF!,"AAAAAHv3fms=")</f>
        <v>#REF!</v>
      </c>
      <c r="DE16" t="e">
        <f>AND(TOC!#REF!,"AAAAAHv3fmw=")</f>
        <v>#REF!</v>
      </c>
      <c r="DF16" t="e">
        <f>AND(TOC!#REF!,"AAAAAHv3fm0=")</f>
        <v>#REF!</v>
      </c>
      <c r="DG16" t="e">
        <f>AND(TOC!#REF!,"AAAAAHv3fm4=")</f>
        <v>#REF!</v>
      </c>
      <c r="DH16" t="e">
        <f>AND(TOC!#REF!,"AAAAAHv3fm8=")</f>
        <v>#REF!</v>
      </c>
      <c r="DI16" t="e">
        <f>AND(TOC!#REF!,"AAAAAHv3fnA=")</f>
        <v>#REF!</v>
      </c>
      <c r="DJ16" t="e">
        <f>AND(TOC!#REF!,"AAAAAHv3fnE=")</f>
        <v>#REF!</v>
      </c>
      <c r="DK16" t="e">
        <f>AND(TOC!#REF!,"AAAAAHv3fnI=")</f>
        <v>#REF!</v>
      </c>
      <c r="DL16" t="e">
        <f>AND(TOC!#REF!,"AAAAAHv3fnM=")</f>
        <v>#REF!</v>
      </c>
      <c r="DM16" t="e">
        <f>AND(TOC!#REF!,"AAAAAHv3fnQ=")</f>
        <v>#REF!</v>
      </c>
      <c r="DN16" t="e">
        <f>AND(TOC!#REF!,"AAAAAHv3fnU=")</f>
        <v>#REF!</v>
      </c>
      <c r="DO16" t="e">
        <f>AND(TOC!#REF!,"AAAAAHv3fnY=")</f>
        <v>#REF!</v>
      </c>
      <c r="DP16" t="e">
        <f>IF(TOC!#REF!,"AAAAAHv3fnc=",0)</f>
        <v>#REF!</v>
      </c>
      <c r="DQ16" t="e">
        <f>AND(TOC!#REF!,"AAAAAHv3fng=")</f>
        <v>#REF!</v>
      </c>
      <c r="DR16" t="e">
        <f>AND(TOC!#REF!,"AAAAAHv3fnk=")</f>
        <v>#REF!</v>
      </c>
      <c r="DS16" t="e">
        <f>AND(TOC!#REF!,"AAAAAHv3fno=")</f>
        <v>#REF!</v>
      </c>
      <c r="DT16" t="e">
        <f>AND(TOC!#REF!,"AAAAAHv3fns=")</f>
        <v>#REF!</v>
      </c>
      <c r="DU16" t="e">
        <f>AND(TOC!#REF!,"AAAAAHv3fnw=")</f>
        <v>#REF!</v>
      </c>
      <c r="DV16" t="e">
        <f>AND(TOC!#REF!,"AAAAAHv3fn0=")</f>
        <v>#REF!</v>
      </c>
      <c r="DW16" t="e">
        <f>AND(TOC!#REF!,"AAAAAHv3fn4=")</f>
        <v>#REF!</v>
      </c>
      <c r="DX16" t="e">
        <f>AND(TOC!#REF!,"AAAAAHv3fn8=")</f>
        <v>#REF!</v>
      </c>
      <c r="DY16" t="e">
        <f>AND(TOC!#REF!,"AAAAAHv3foA=")</f>
        <v>#REF!</v>
      </c>
      <c r="DZ16" t="e">
        <f>AND(TOC!#REF!,"AAAAAHv3foE=")</f>
        <v>#REF!</v>
      </c>
      <c r="EA16" t="e">
        <f>AND(TOC!#REF!,"AAAAAHv3foI=")</f>
        <v>#REF!</v>
      </c>
      <c r="EB16" t="e">
        <f>AND(TOC!#REF!,"AAAAAHv3foM=")</f>
        <v>#REF!</v>
      </c>
      <c r="EC16" t="e">
        <f>AND(TOC!#REF!,"AAAAAHv3foQ=")</f>
        <v>#REF!</v>
      </c>
      <c r="ED16" t="e">
        <f>AND(TOC!#REF!,"AAAAAHv3foU=")</f>
        <v>#REF!</v>
      </c>
      <c r="EE16" t="e">
        <f>AND(TOC!#REF!,"AAAAAHv3foY=")</f>
        <v>#REF!</v>
      </c>
      <c r="EF16" t="e">
        <f>AND(TOC!#REF!,"AAAAAHv3foc=")</f>
        <v>#REF!</v>
      </c>
      <c r="EG16" t="e">
        <f>AND(TOC!#REF!,"AAAAAHv3fog=")</f>
        <v>#REF!</v>
      </c>
      <c r="EH16" t="e">
        <f>AND(TOC!#REF!,"AAAAAHv3fok=")</f>
        <v>#REF!</v>
      </c>
      <c r="EI16" t="e">
        <f>AND(TOC!#REF!,"AAAAAHv3foo=")</f>
        <v>#REF!</v>
      </c>
      <c r="EJ16" t="e">
        <f>AND(TOC!#REF!,"AAAAAHv3fos=")</f>
        <v>#REF!</v>
      </c>
      <c r="EK16" t="e">
        <f>AND(TOC!#REF!,"AAAAAHv3fow=")</f>
        <v>#REF!</v>
      </c>
      <c r="EL16" t="e">
        <f>AND(TOC!#REF!,"AAAAAHv3fo0=")</f>
        <v>#REF!</v>
      </c>
      <c r="EM16" t="e">
        <f>AND(TOC!#REF!,"AAAAAHv3fo4=")</f>
        <v>#REF!</v>
      </c>
      <c r="EN16" t="e">
        <f>AND(TOC!#REF!,"AAAAAHv3fo8=")</f>
        <v>#REF!</v>
      </c>
      <c r="EO16" t="e">
        <f>AND(TOC!#REF!,"AAAAAHv3fpA=")</f>
        <v>#REF!</v>
      </c>
      <c r="EP16" t="e">
        <f>AND(TOC!#REF!,"AAAAAHv3fpE=")</f>
        <v>#REF!</v>
      </c>
      <c r="EQ16" t="e">
        <f>AND(TOC!#REF!,"AAAAAHv3fpI=")</f>
        <v>#REF!</v>
      </c>
      <c r="ER16" t="e">
        <f>AND(TOC!#REF!,"AAAAAHv3fpM=")</f>
        <v>#REF!</v>
      </c>
      <c r="ES16" t="e">
        <f>AND(TOC!#REF!,"AAAAAHv3fpQ=")</f>
        <v>#REF!</v>
      </c>
      <c r="ET16" t="e">
        <f>AND(TOC!#REF!,"AAAAAHv3fpU=")</f>
        <v>#REF!</v>
      </c>
      <c r="EU16" t="e">
        <f>AND(TOC!#REF!,"AAAAAHv3fpY=")</f>
        <v>#REF!</v>
      </c>
      <c r="EV16" t="e">
        <f>AND(TOC!#REF!,"AAAAAHv3fpc=")</f>
        <v>#REF!</v>
      </c>
      <c r="EW16" t="e">
        <f>AND(TOC!#REF!,"AAAAAHv3fpg=")</f>
        <v>#REF!</v>
      </c>
      <c r="EX16" t="e">
        <f>AND(TOC!#REF!,"AAAAAHv3fpk=")</f>
        <v>#REF!</v>
      </c>
      <c r="EY16" t="e">
        <f>AND(TOC!#REF!,"AAAAAHv3fpo=")</f>
        <v>#REF!</v>
      </c>
      <c r="EZ16" t="e">
        <f>AND(TOC!#REF!,"AAAAAHv3fps=")</f>
        <v>#REF!</v>
      </c>
      <c r="FA16" t="e">
        <f>IF(TOC!#REF!,"AAAAAHv3fpw=",0)</f>
        <v>#REF!</v>
      </c>
      <c r="FB16" t="e">
        <f>AND(TOC!#REF!,"AAAAAHv3fp0=")</f>
        <v>#REF!</v>
      </c>
      <c r="FC16" t="e">
        <f>AND(TOC!#REF!,"AAAAAHv3fp4=")</f>
        <v>#REF!</v>
      </c>
      <c r="FD16" t="e">
        <f>AND(TOC!#REF!,"AAAAAHv3fp8=")</f>
        <v>#REF!</v>
      </c>
      <c r="FE16" t="e">
        <f>AND(TOC!#REF!,"AAAAAHv3fqA=")</f>
        <v>#REF!</v>
      </c>
      <c r="FF16" t="e">
        <f>AND(TOC!#REF!,"AAAAAHv3fqE=")</f>
        <v>#REF!</v>
      </c>
      <c r="FG16" t="e">
        <f>AND(TOC!#REF!,"AAAAAHv3fqI=")</f>
        <v>#REF!</v>
      </c>
      <c r="FH16" t="e">
        <f>AND(TOC!#REF!,"AAAAAHv3fqM=")</f>
        <v>#REF!</v>
      </c>
      <c r="FI16" t="e">
        <f>AND(TOC!#REF!,"AAAAAHv3fqQ=")</f>
        <v>#REF!</v>
      </c>
      <c r="FJ16" t="e">
        <f>AND(TOC!#REF!,"AAAAAHv3fqU=")</f>
        <v>#REF!</v>
      </c>
      <c r="FK16" t="e">
        <f>AND(TOC!#REF!,"AAAAAHv3fqY=")</f>
        <v>#REF!</v>
      </c>
      <c r="FL16" t="e">
        <f>AND(TOC!#REF!,"AAAAAHv3fqc=")</f>
        <v>#REF!</v>
      </c>
      <c r="FM16" t="e">
        <f>AND(TOC!#REF!,"AAAAAHv3fqg=")</f>
        <v>#REF!</v>
      </c>
      <c r="FN16" t="e">
        <f>AND(TOC!#REF!,"AAAAAHv3fqk=")</f>
        <v>#REF!</v>
      </c>
      <c r="FO16" t="e">
        <f>AND(TOC!#REF!,"AAAAAHv3fqo=")</f>
        <v>#REF!</v>
      </c>
      <c r="FP16" t="e">
        <f>AND(TOC!#REF!,"AAAAAHv3fqs=")</f>
        <v>#REF!</v>
      </c>
      <c r="FQ16" t="e">
        <f>AND(TOC!#REF!,"AAAAAHv3fqw=")</f>
        <v>#REF!</v>
      </c>
      <c r="FR16" t="e">
        <f>AND(TOC!#REF!,"AAAAAHv3fq0=")</f>
        <v>#REF!</v>
      </c>
      <c r="FS16" t="e">
        <f>AND(TOC!#REF!,"AAAAAHv3fq4=")</f>
        <v>#REF!</v>
      </c>
      <c r="FT16" t="e">
        <f>AND(TOC!#REF!,"AAAAAHv3fq8=")</f>
        <v>#REF!</v>
      </c>
      <c r="FU16" t="e">
        <f>AND(TOC!#REF!,"AAAAAHv3frA=")</f>
        <v>#REF!</v>
      </c>
      <c r="FV16" t="e">
        <f>AND(TOC!#REF!,"AAAAAHv3frE=")</f>
        <v>#REF!</v>
      </c>
      <c r="FW16" t="e">
        <f>AND(TOC!#REF!,"AAAAAHv3frI=")</f>
        <v>#REF!</v>
      </c>
      <c r="FX16" t="e">
        <f>AND(TOC!#REF!,"AAAAAHv3frM=")</f>
        <v>#REF!</v>
      </c>
      <c r="FY16" t="e">
        <f>AND(TOC!#REF!,"AAAAAHv3frQ=")</f>
        <v>#REF!</v>
      </c>
      <c r="FZ16" t="e">
        <f>AND(TOC!#REF!,"AAAAAHv3frU=")</f>
        <v>#REF!</v>
      </c>
      <c r="GA16" t="e">
        <f>AND(TOC!#REF!,"AAAAAHv3frY=")</f>
        <v>#REF!</v>
      </c>
      <c r="GB16" t="e">
        <f>AND(TOC!#REF!,"AAAAAHv3frc=")</f>
        <v>#REF!</v>
      </c>
      <c r="GC16" t="e">
        <f>AND(TOC!#REF!,"AAAAAHv3frg=")</f>
        <v>#REF!</v>
      </c>
      <c r="GD16" t="e">
        <f>AND(TOC!#REF!,"AAAAAHv3frk=")</f>
        <v>#REF!</v>
      </c>
      <c r="GE16" t="e">
        <f>AND(TOC!#REF!,"AAAAAHv3fro=")</f>
        <v>#REF!</v>
      </c>
      <c r="GF16" t="e">
        <f>AND(TOC!#REF!,"AAAAAHv3frs=")</f>
        <v>#REF!</v>
      </c>
      <c r="GG16" t="e">
        <f>AND(TOC!#REF!,"AAAAAHv3frw=")</f>
        <v>#REF!</v>
      </c>
      <c r="GH16" t="e">
        <f>AND(TOC!#REF!,"AAAAAHv3fr0=")</f>
        <v>#REF!</v>
      </c>
      <c r="GI16" t="e">
        <f>AND(TOC!#REF!,"AAAAAHv3fr4=")</f>
        <v>#REF!</v>
      </c>
      <c r="GJ16" t="e">
        <f>AND(TOC!#REF!,"AAAAAHv3fr8=")</f>
        <v>#REF!</v>
      </c>
      <c r="GK16" t="e">
        <f>AND(TOC!#REF!,"AAAAAHv3fsA=")</f>
        <v>#REF!</v>
      </c>
      <c r="GL16" t="e">
        <f>IF(TOC!#REF!,"AAAAAHv3fsE=",0)</f>
        <v>#REF!</v>
      </c>
      <c r="GM16" t="e">
        <f>AND(TOC!#REF!,"AAAAAHv3fsI=")</f>
        <v>#REF!</v>
      </c>
      <c r="GN16" t="e">
        <f>AND(TOC!#REF!,"AAAAAHv3fsM=")</f>
        <v>#REF!</v>
      </c>
      <c r="GO16" t="e">
        <f>AND(TOC!#REF!,"AAAAAHv3fsQ=")</f>
        <v>#REF!</v>
      </c>
      <c r="GP16" t="e">
        <f>AND(TOC!#REF!,"AAAAAHv3fsU=")</f>
        <v>#REF!</v>
      </c>
      <c r="GQ16" t="e">
        <f>AND(TOC!#REF!,"AAAAAHv3fsY=")</f>
        <v>#REF!</v>
      </c>
      <c r="GR16" t="e">
        <f>AND(TOC!#REF!,"AAAAAHv3fsc=")</f>
        <v>#REF!</v>
      </c>
      <c r="GS16" t="e">
        <f>AND(TOC!#REF!,"AAAAAHv3fsg=")</f>
        <v>#REF!</v>
      </c>
      <c r="GT16" t="e">
        <f>AND(TOC!#REF!,"AAAAAHv3fsk=")</f>
        <v>#REF!</v>
      </c>
      <c r="GU16" t="e">
        <f>AND(TOC!#REF!,"AAAAAHv3fso=")</f>
        <v>#REF!</v>
      </c>
      <c r="GV16" t="e">
        <f>AND(TOC!#REF!,"AAAAAHv3fss=")</f>
        <v>#REF!</v>
      </c>
      <c r="GW16" t="e">
        <f>AND(TOC!#REF!,"AAAAAHv3fsw=")</f>
        <v>#REF!</v>
      </c>
      <c r="GX16" t="e">
        <f>AND(TOC!#REF!,"AAAAAHv3fs0=")</f>
        <v>#REF!</v>
      </c>
      <c r="GY16" t="e">
        <f>AND(TOC!#REF!,"AAAAAHv3fs4=")</f>
        <v>#REF!</v>
      </c>
      <c r="GZ16" t="e">
        <f>AND(TOC!#REF!,"AAAAAHv3fs8=")</f>
        <v>#REF!</v>
      </c>
      <c r="HA16" t="e">
        <f>AND(TOC!#REF!,"AAAAAHv3ftA=")</f>
        <v>#REF!</v>
      </c>
      <c r="HB16" t="e">
        <f>AND(TOC!#REF!,"AAAAAHv3ftE=")</f>
        <v>#REF!</v>
      </c>
      <c r="HC16" t="e">
        <f>AND(TOC!#REF!,"AAAAAHv3ftI=")</f>
        <v>#REF!</v>
      </c>
      <c r="HD16" t="e">
        <f>AND(TOC!#REF!,"AAAAAHv3ftM=")</f>
        <v>#REF!</v>
      </c>
      <c r="HE16" t="e">
        <f>AND(TOC!#REF!,"AAAAAHv3ftQ=")</f>
        <v>#REF!</v>
      </c>
      <c r="HF16" t="e">
        <f>AND(TOC!#REF!,"AAAAAHv3ftU=")</f>
        <v>#REF!</v>
      </c>
      <c r="HG16" t="e">
        <f>AND(TOC!#REF!,"AAAAAHv3ftY=")</f>
        <v>#REF!</v>
      </c>
      <c r="HH16" t="e">
        <f>AND(TOC!#REF!,"AAAAAHv3ftc=")</f>
        <v>#REF!</v>
      </c>
      <c r="HI16" t="e">
        <f>AND(TOC!#REF!,"AAAAAHv3ftg=")</f>
        <v>#REF!</v>
      </c>
      <c r="HJ16" t="e">
        <f>AND(TOC!#REF!,"AAAAAHv3ftk=")</f>
        <v>#REF!</v>
      </c>
      <c r="HK16" t="e">
        <f>AND(TOC!#REF!,"AAAAAHv3fto=")</f>
        <v>#REF!</v>
      </c>
      <c r="HL16" t="e">
        <f>AND(TOC!#REF!,"AAAAAHv3fts=")</f>
        <v>#REF!</v>
      </c>
      <c r="HM16" t="e">
        <f>AND(TOC!#REF!,"AAAAAHv3ftw=")</f>
        <v>#REF!</v>
      </c>
      <c r="HN16" t="e">
        <f>AND(TOC!#REF!,"AAAAAHv3ft0=")</f>
        <v>#REF!</v>
      </c>
      <c r="HO16" t="e">
        <f>AND(TOC!#REF!,"AAAAAHv3ft4=")</f>
        <v>#REF!</v>
      </c>
      <c r="HP16" t="e">
        <f>AND(TOC!#REF!,"AAAAAHv3ft8=")</f>
        <v>#REF!</v>
      </c>
      <c r="HQ16" t="e">
        <f>AND(TOC!#REF!,"AAAAAHv3fuA=")</f>
        <v>#REF!</v>
      </c>
      <c r="HR16" t="e">
        <f>AND(TOC!#REF!,"AAAAAHv3fuE=")</f>
        <v>#REF!</v>
      </c>
      <c r="HS16" t="e">
        <f>AND(TOC!#REF!,"AAAAAHv3fuI=")</f>
        <v>#REF!</v>
      </c>
      <c r="HT16" t="e">
        <f>AND(TOC!#REF!,"AAAAAHv3fuM=")</f>
        <v>#REF!</v>
      </c>
      <c r="HU16" t="e">
        <f>AND(TOC!#REF!,"AAAAAHv3fuQ=")</f>
        <v>#REF!</v>
      </c>
      <c r="HV16" t="e">
        <f>AND(TOC!#REF!,"AAAAAHv3fuU=")</f>
        <v>#REF!</v>
      </c>
      <c r="HW16" t="e">
        <f>IF(TOC!#REF!,"AAAAAHv3fuY=",0)</f>
        <v>#REF!</v>
      </c>
      <c r="HX16" t="e">
        <f>AND(TOC!#REF!,"AAAAAHv3fuc=")</f>
        <v>#REF!</v>
      </c>
      <c r="HY16" t="e">
        <f>AND(TOC!#REF!,"AAAAAHv3fug=")</f>
        <v>#REF!</v>
      </c>
      <c r="HZ16" t="e">
        <f>AND(TOC!#REF!,"AAAAAHv3fuk=")</f>
        <v>#REF!</v>
      </c>
      <c r="IA16" t="e">
        <f>AND(TOC!#REF!,"AAAAAHv3fuo=")</f>
        <v>#REF!</v>
      </c>
      <c r="IB16" t="e">
        <f>AND(TOC!#REF!,"AAAAAHv3fus=")</f>
        <v>#REF!</v>
      </c>
      <c r="IC16" t="e">
        <f>AND(TOC!#REF!,"AAAAAHv3fuw=")</f>
        <v>#REF!</v>
      </c>
      <c r="ID16" t="e">
        <f>AND(TOC!#REF!,"AAAAAHv3fu0=")</f>
        <v>#REF!</v>
      </c>
      <c r="IE16" t="e">
        <f>AND(TOC!#REF!,"AAAAAHv3fu4=")</f>
        <v>#REF!</v>
      </c>
      <c r="IF16" t="e">
        <f>AND(TOC!#REF!,"AAAAAHv3fu8=")</f>
        <v>#REF!</v>
      </c>
      <c r="IG16" t="e">
        <f>AND(TOC!#REF!,"AAAAAHv3fvA=")</f>
        <v>#REF!</v>
      </c>
      <c r="IH16" t="e">
        <f>AND(TOC!#REF!,"AAAAAHv3fvE=")</f>
        <v>#REF!</v>
      </c>
      <c r="II16" t="e">
        <f>AND(TOC!#REF!,"AAAAAHv3fvI=")</f>
        <v>#REF!</v>
      </c>
      <c r="IJ16" t="e">
        <f>AND(TOC!#REF!,"AAAAAHv3fvM=")</f>
        <v>#REF!</v>
      </c>
      <c r="IK16" t="e">
        <f>AND(TOC!#REF!,"AAAAAHv3fvQ=")</f>
        <v>#REF!</v>
      </c>
      <c r="IL16" t="e">
        <f>AND(TOC!#REF!,"AAAAAHv3fvU=")</f>
        <v>#REF!</v>
      </c>
      <c r="IM16" t="e">
        <f>AND(TOC!#REF!,"AAAAAHv3fvY=")</f>
        <v>#REF!</v>
      </c>
      <c r="IN16" t="e">
        <f>AND(TOC!#REF!,"AAAAAHv3fvc=")</f>
        <v>#REF!</v>
      </c>
      <c r="IO16" t="e">
        <f>AND(TOC!#REF!,"AAAAAHv3fvg=")</f>
        <v>#REF!</v>
      </c>
      <c r="IP16" t="e">
        <f>AND(TOC!#REF!,"AAAAAHv3fvk=")</f>
        <v>#REF!</v>
      </c>
      <c r="IQ16" t="e">
        <f>AND(TOC!#REF!,"AAAAAHv3fvo=")</f>
        <v>#REF!</v>
      </c>
      <c r="IR16" t="e">
        <f>AND(TOC!#REF!,"AAAAAHv3fvs=")</f>
        <v>#REF!</v>
      </c>
      <c r="IS16" t="e">
        <f>AND(TOC!#REF!,"AAAAAHv3fvw=")</f>
        <v>#REF!</v>
      </c>
      <c r="IT16" t="e">
        <f>AND(TOC!#REF!,"AAAAAHv3fv0=")</f>
        <v>#REF!</v>
      </c>
      <c r="IU16" t="e">
        <f>AND(TOC!#REF!,"AAAAAHv3fv4=")</f>
        <v>#REF!</v>
      </c>
      <c r="IV16" t="e">
        <f>AND(TOC!#REF!,"AAAAAHv3fv8=")</f>
        <v>#REF!</v>
      </c>
    </row>
    <row r="17" spans="1:256" x14ac:dyDescent="0.2">
      <c r="A17" t="e">
        <f>AND(TOC!#REF!,"AAAAAH+//gA=")</f>
        <v>#REF!</v>
      </c>
      <c r="B17" t="e">
        <f>AND(TOC!#REF!,"AAAAAH+//gE=")</f>
        <v>#REF!</v>
      </c>
      <c r="C17" t="e">
        <f>AND(TOC!#REF!,"AAAAAH+//gI=")</f>
        <v>#REF!</v>
      </c>
      <c r="D17" t="e">
        <f>AND(TOC!#REF!,"AAAAAH+//gM=")</f>
        <v>#REF!</v>
      </c>
      <c r="E17" t="e">
        <f>AND(TOC!#REF!,"AAAAAH+//gQ=")</f>
        <v>#REF!</v>
      </c>
      <c r="F17" t="e">
        <f>AND(TOC!#REF!,"AAAAAH+//gU=")</f>
        <v>#REF!</v>
      </c>
      <c r="G17" t="e">
        <f>AND(TOC!#REF!,"AAAAAH+//gY=")</f>
        <v>#REF!</v>
      </c>
      <c r="H17" t="e">
        <f>AND(TOC!#REF!,"AAAAAH+//gc=")</f>
        <v>#REF!</v>
      </c>
      <c r="I17" t="e">
        <f>AND(TOC!#REF!,"AAAAAH+//gg=")</f>
        <v>#REF!</v>
      </c>
      <c r="J17" t="e">
        <f>AND(TOC!#REF!,"AAAAAH+//gk=")</f>
        <v>#REF!</v>
      </c>
      <c r="K17" t="e">
        <f>AND(TOC!#REF!,"AAAAAH+//go=")</f>
        <v>#REF!</v>
      </c>
      <c r="L17" t="e">
        <f>IF(TOC!#REF!,"AAAAAH+//gs=",0)</f>
        <v>#REF!</v>
      </c>
      <c r="M17" t="e">
        <f>AND(TOC!#REF!,"AAAAAH+//gw=")</f>
        <v>#REF!</v>
      </c>
      <c r="N17" t="e">
        <f>AND(TOC!#REF!,"AAAAAH+//g0=")</f>
        <v>#REF!</v>
      </c>
      <c r="O17" t="e">
        <f>AND(TOC!#REF!,"AAAAAH+//g4=")</f>
        <v>#REF!</v>
      </c>
      <c r="P17" t="e">
        <f>AND(TOC!#REF!,"AAAAAH+//g8=")</f>
        <v>#REF!</v>
      </c>
      <c r="Q17" t="e">
        <f>AND(TOC!#REF!,"AAAAAH+//hA=")</f>
        <v>#REF!</v>
      </c>
      <c r="R17" t="e">
        <f>AND(TOC!#REF!,"AAAAAH+//hE=")</f>
        <v>#REF!</v>
      </c>
      <c r="S17" t="e">
        <f>AND(TOC!#REF!,"AAAAAH+//hI=")</f>
        <v>#REF!</v>
      </c>
      <c r="T17" t="e">
        <f>AND(TOC!#REF!,"AAAAAH+//hM=")</f>
        <v>#REF!</v>
      </c>
      <c r="U17" t="e">
        <f>AND(TOC!#REF!,"AAAAAH+//hQ=")</f>
        <v>#REF!</v>
      </c>
      <c r="V17" t="e">
        <f>AND(TOC!#REF!,"AAAAAH+//hU=")</f>
        <v>#REF!</v>
      </c>
      <c r="W17" t="e">
        <f>AND(TOC!#REF!,"AAAAAH+//hY=")</f>
        <v>#REF!</v>
      </c>
      <c r="X17" t="e">
        <f>AND(TOC!#REF!,"AAAAAH+//hc=")</f>
        <v>#REF!</v>
      </c>
      <c r="Y17" t="e">
        <f>AND(TOC!#REF!,"AAAAAH+//hg=")</f>
        <v>#REF!</v>
      </c>
      <c r="Z17" t="e">
        <f>AND(TOC!#REF!,"AAAAAH+//hk=")</f>
        <v>#REF!</v>
      </c>
      <c r="AA17" t="e">
        <f>AND(TOC!#REF!,"AAAAAH+//ho=")</f>
        <v>#REF!</v>
      </c>
      <c r="AB17" t="e">
        <f>AND(TOC!#REF!,"AAAAAH+//hs=")</f>
        <v>#REF!</v>
      </c>
      <c r="AC17" t="e">
        <f>AND(TOC!#REF!,"AAAAAH+//hw=")</f>
        <v>#REF!</v>
      </c>
      <c r="AD17" t="e">
        <f>AND(TOC!#REF!,"AAAAAH+//h0=")</f>
        <v>#REF!</v>
      </c>
      <c r="AE17" t="e">
        <f>AND(TOC!#REF!,"AAAAAH+//h4=")</f>
        <v>#REF!</v>
      </c>
      <c r="AF17" t="e">
        <f>AND(TOC!#REF!,"AAAAAH+//h8=")</f>
        <v>#REF!</v>
      </c>
      <c r="AG17" t="e">
        <f>AND(TOC!#REF!,"AAAAAH+//iA=")</f>
        <v>#REF!</v>
      </c>
      <c r="AH17" t="e">
        <f>AND(TOC!#REF!,"AAAAAH+//iE=")</f>
        <v>#REF!</v>
      </c>
      <c r="AI17" t="e">
        <f>AND(TOC!#REF!,"AAAAAH+//iI=")</f>
        <v>#REF!</v>
      </c>
      <c r="AJ17" t="e">
        <f>AND(TOC!#REF!,"AAAAAH+//iM=")</f>
        <v>#REF!</v>
      </c>
      <c r="AK17" t="e">
        <f>AND(TOC!#REF!,"AAAAAH+//iQ=")</f>
        <v>#REF!</v>
      </c>
      <c r="AL17" t="e">
        <f>AND(TOC!#REF!,"AAAAAH+//iU=")</f>
        <v>#REF!</v>
      </c>
      <c r="AM17" t="e">
        <f>AND(TOC!#REF!,"AAAAAH+//iY=")</f>
        <v>#REF!</v>
      </c>
      <c r="AN17" t="e">
        <f>AND(TOC!#REF!,"AAAAAH+//ic=")</f>
        <v>#REF!</v>
      </c>
      <c r="AO17" t="e">
        <f>AND(TOC!#REF!,"AAAAAH+//ig=")</f>
        <v>#REF!</v>
      </c>
      <c r="AP17" t="e">
        <f>AND(TOC!#REF!,"AAAAAH+//ik=")</f>
        <v>#REF!</v>
      </c>
      <c r="AQ17" t="e">
        <f>AND(TOC!#REF!,"AAAAAH+//io=")</f>
        <v>#REF!</v>
      </c>
      <c r="AR17" t="e">
        <f>AND(TOC!#REF!,"AAAAAH+//is=")</f>
        <v>#REF!</v>
      </c>
      <c r="AS17" t="e">
        <f>AND(TOC!#REF!,"AAAAAH+//iw=")</f>
        <v>#REF!</v>
      </c>
      <c r="AT17" t="e">
        <f>AND(TOC!#REF!,"AAAAAH+//i0=")</f>
        <v>#REF!</v>
      </c>
      <c r="AU17" t="e">
        <f>AND(TOC!#REF!,"AAAAAH+//i4=")</f>
        <v>#REF!</v>
      </c>
      <c r="AV17" t="e">
        <f>AND(TOC!#REF!,"AAAAAH+//i8=")</f>
        <v>#REF!</v>
      </c>
      <c r="AW17" t="e">
        <f>IF(TOC!#REF!,"AAAAAH+//jA=",0)</f>
        <v>#REF!</v>
      </c>
      <c r="AX17" t="e">
        <f>AND(TOC!#REF!,"AAAAAH+//jE=")</f>
        <v>#REF!</v>
      </c>
      <c r="AY17" t="e">
        <f>AND(TOC!#REF!,"AAAAAH+//jI=")</f>
        <v>#REF!</v>
      </c>
      <c r="AZ17" t="e">
        <f>AND(TOC!#REF!,"AAAAAH+//jM=")</f>
        <v>#REF!</v>
      </c>
      <c r="BA17" t="e">
        <f>AND(TOC!#REF!,"AAAAAH+//jQ=")</f>
        <v>#REF!</v>
      </c>
      <c r="BB17" t="e">
        <f>AND(TOC!#REF!,"AAAAAH+//jU=")</f>
        <v>#REF!</v>
      </c>
      <c r="BC17" t="e">
        <f>AND(TOC!#REF!,"AAAAAH+//jY=")</f>
        <v>#REF!</v>
      </c>
      <c r="BD17" t="e">
        <f>AND(TOC!#REF!,"AAAAAH+//jc=")</f>
        <v>#REF!</v>
      </c>
      <c r="BE17" t="e">
        <f>AND(TOC!#REF!,"AAAAAH+//jg=")</f>
        <v>#REF!</v>
      </c>
      <c r="BF17" t="e">
        <f>AND(TOC!#REF!,"AAAAAH+//jk=")</f>
        <v>#REF!</v>
      </c>
      <c r="BG17" t="e">
        <f>AND(TOC!#REF!,"AAAAAH+//jo=")</f>
        <v>#REF!</v>
      </c>
      <c r="BH17" t="e">
        <f>AND(TOC!#REF!,"AAAAAH+//js=")</f>
        <v>#REF!</v>
      </c>
      <c r="BI17" t="e">
        <f>AND(TOC!#REF!,"AAAAAH+//jw=")</f>
        <v>#REF!</v>
      </c>
      <c r="BJ17" t="e">
        <f>AND(TOC!#REF!,"AAAAAH+//j0=")</f>
        <v>#REF!</v>
      </c>
      <c r="BK17" t="e">
        <f>AND(TOC!#REF!,"AAAAAH+//j4=")</f>
        <v>#REF!</v>
      </c>
      <c r="BL17" t="e">
        <f>AND(TOC!#REF!,"AAAAAH+//j8=")</f>
        <v>#REF!</v>
      </c>
      <c r="BM17" t="e">
        <f>AND(TOC!#REF!,"AAAAAH+//kA=")</f>
        <v>#REF!</v>
      </c>
      <c r="BN17" t="e">
        <f>AND(TOC!#REF!,"AAAAAH+//kE=")</f>
        <v>#REF!</v>
      </c>
      <c r="BO17" t="e">
        <f>AND(TOC!#REF!,"AAAAAH+//kI=")</f>
        <v>#REF!</v>
      </c>
      <c r="BP17" t="e">
        <f>AND(TOC!#REF!,"AAAAAH+//kM=")</f>
        <v>#REF!</v>
      </c>
      <c r="BQ17" t="e">
        <f>AND(TOC!#REF!,"AAAAAH+//kQ=")</f>
        <v>#REF!</v>
      </c>
      <c r="BR17" t="e">
        <f>AND(TOC!#REF!,"AAAAAH+//kU=")</f>
        <v>#REF!</v>
      </c>
      <c r="BS17" t="e">
        <f>AND(TOC!#REF!,"AAAAAH+//kY=")</f>
        <v>#REF!</v>
      </c>
      <c r="BT17" t="e">
        <f>AND(TOC!#REF!,"AAAAAH+//kc=")</f>
        <v>#REF!</v>
      </c>
      <c r="BU17" t="e">
        <f>AND(TOC!#REF!,"AAAAAH+//kg=")</f>
        <v>#REF!</v>
      </c>
      <c r="BV17" t="e">
        <f>AND(TOC!#REF!,"AAAAAH+//kk=")</f>
        <v>#REF!</v>
      </c>
      <c r="BW17" t="e">
        <f>AND(TOC!#REF!,"AAAAAH+//ko=")</f>
        <v>#REF!</v>
      </c>
      <c r="BX17" t="e">
        <f>AND(TOC!#REF!,"AAAAAH+//ks=")</f>
        <v>#REF!</v>
      </c>
      <c r="BY17" t="e">
        <f>AND(TOC!#REF!,"AAAAAH+//kw=")</f>
        <v>#REF!</v>
      </c>
      <c r="BZ17" t="e">
        <f>AND(TOC!#REF!,"AAAAAH+//k0=")</f>
        <v>#REF!</v>
      </c>
      <c r="CA17" t="e">
        <f>AND(TOC!#REF!,"AAAAAH+//k4=")</f>
        <v>#REF!</v>
      </c>
      <c r="CB17" t="e">
        <f>AND(TOC!#REF!,"AAAAAH+//k8=")</f>
        <v>#REF!</v>
      </c>
      <c r="CC17" t="e">
        <f>AND(TOC!#REF!,"AAAAAH+//lA=")</f>
        <v>#REF!</v>
      </c>
      <c r="CD17" t="e">
        <f>AND(TOC!#REF!,"AAAAAH+//lE=")</f>
        <v>#REF!</v>
      </c>
      <c r="CE17" t="e">
        <f>AND(TOC!#REF!,"AAAAAH+//lI=")</f>
        <v>#REF!</v>
      </c>
      <c r="CF17" t="e">
        <f>AND(TOC!#REF!,"AAAAAH+//lM=")</f>
        <v>#REF!</v>
      </c>
      <c r="CG17" t="e">
        <f>AND(TOC!#REF!,"AAAAAH+//lQ=")</f>
        <v>#REF!</v>
      </c>
      <c r="CH17" t="e">
        <f>IF(TOC!#REF!,"AAAAAH+//lU=",0)</f>
        <v>#REF!</v>
      </c>
      <c r="CI17" t="e">
        <f>AND(TOC!#REF!,"AAAAAH+//lY=")</f>
        <v>#REF!</v>
      </c>
      <c r="CJ17" t="e">
        <f>AND(TOC!#REF!,"AAAAAH+//lc=")</f>
        <v>#REF!</v>
      </c>
      <c r="CK17" t="e">
        <f>AND(TOC!#REF!,"AAAAAH+//lg=")</f>
        <v>#REF!</v>
      </c>
      <c r="CL17" t="e">
        <f>AND(TOC!#REF!,"AAAAAH+//lk=")</f>
        <v>#REF!</v>
      </c>
      <c r="CM17" t="e">
        <f>AND(TOC!#REF!,"AAAAAH+//lo=")</f>
        <v>#REF!</v>
      </c>
      <c r="CN17" t="e">
        <f>AND(TOC!#REF!,"AAAAAH+//ls=")</f>
        <v>#REF!</v>
      </c>
      <c r="CO17" t="e">
        <f>AND(TOC!#REF!,"AAAAAH+//lw=")</f>
        <v>#REF!</v>
      </c>
      <c r="CP17" t="e">
        <f>AND(TOC!#REF!,"AAAAAH+//l0=")</f>
        <v>#REF!</v>
      </c>
      <c r="CQ17" t="e">
        <f>AND(TOC!#REF!,"AAAAAH+//l4=")</f>
        <v>#REF!</v>
      </c>
      <c r="CR17" t="e">
        <f>AND(TOC!#REF!,"AAAAAH+//l8=")</f>
        <v>#REF!</v>
      </c>
      <c r="CS17" t="e">
        <f>AND(TOC!#REF!,"AAAAAH+//mA=")</f>
        <v>#REF!</v>
      </c>
      <c r="CT17" t="e">
        <f>AND(TOC!#REF!,"AAAAAH+//mE=")</f>
        <v>#REF!</v>
      </c>
      <c r="CU17" t="e">
        <f>AND(TOC!#REF!,"AAAAAH+//mI=")</f>
        <v>#REF!</v>
      </c>
      <c r="CV17" t="e">
        <f>AND(TOC!#REF!,"AAAAAH+//mM=")</f>
        <v>#REF!</v>
      </c>
      <c r="CW17" t="e">
        <f>AND(TOC!#REF!,"AAAAAH+//mQ=")</f>
        <v>#REF!</v>
      </c>
      <c r="CX17" t="e">
        <f>AND(TOC!#REF!,"AAAAAH+//mU=")</f>
        <v>#REF!</v>
      </c>
      <c r="CY17" t="e">
        <f>AND(TOC!#REF!,"AAAAAH+//mY=")</f>
        <v>#REF!</v>
      </c>
      <c r="CZ17" t="e">
        <f>AND(TOC!#REF!,"AAAAAH+//mc=")</f>
        <v>#REF!</v>
      </c>
      <c r="DA17" t="e">
        <f>AND(TOC!#REF!,"AAAAAH+//mg=")</f>
        <v>#REF!</v>
      </c>
      <c r="DB17" t="e">
        <f>AND(TOC!#REF!,"AAAAAH+//mk=")</f>
        <v>#REF!</v>
      </c>
      <c r="DC17" t="e">
        <f>AND(TOC!#REF!,"AAAAAH+//mo=")</f>
        <v>#REF!</v>
      </c>
      <c r="DD17" t="e">
        <f>AND(TOC!#REF!,"AAAAAH+//ms=")</f>
        <v>#REF!</v>
      </c>
      <c r="DE17" t="e">
        <f>AND(TOC!#REF!,"AAAAAH+//mw=")</f>
        <v>#REF!</v>
      </c>
      <c r="DF17" t="e">
        <f>AND(TOC!#REF!,"AAAAAH+//m0=")</f>
        <v>#REF!</v>
      </c>
      <c r="DG17" t="e">
        <f>AND(TOC!#REF!,"AAAAAH+//m4=")</f>
        <v>#REF!</v>
      </c>
      <c r="DH17" t="e">
        <f>AND(TOC!#REF!,"AAAAAH+//m8=")</f>
        <v>#REF!</v>
      </c>
      <c r="DI17" t="e">
        <f>AND(TOC!#REF!,"AAAAAH+//nA=")</f>
        <v>#REF!</v>
      </c>
      <c r="DJ17" t="e">
        <f>AND(TOC!#REF!,"AAAAAH+//nE=")</f>
        <v>#REF!</v>
      </c>
      <c r="DK17" t="e">
        <f>AND(TOC!#REF!,"AAAAAH+//nI=")</f>
        <v>#REF!</v>
      </c>
      <c r="DL17" t="e">
        <f>AND(TOC!#REF!,"AAAAAH+//nM=")</f>
        <v>#REF!</v>
      </c>
      <c r="DM17" t="e">
        <f>AND(TOC!#REF!,"AAAAAH+//nQ=")</f>
        <v>#REF!</v>
      </c>
      <c r="DN17" t="e">
        <f>AND(TOC!#REF!,"AAAAAH+//nU=")</f>
        <v>#REF!</v>
      </c>
      <c r="DO17" t="e">
        <f>AND(TOC!#REF!,"AAAAAH+//nY=")</f>
        <v>#REF!</v>
      </c>
      <c r="DP17" t="e">
        <f>AND(TOC!#REF!,"AAAAAH+//nc=")</f>
        <v>#REF!</v>
      </c>
      <c r="DQ17" t="e">
        <f>AND(TOC!#REF!,"AAAAAH+//ng=")</f>
        <v>#REF!</v>
      </c>
      <c r="DR17" t="e">
        <f>AND(TOC!#REF!,"AAAAAH+//nk=")</f>
        <v>#REF!</v>
      </c>
      <c r="DS17" t="e">
        <f>IF(TOC!#REF!,"AAAAAH+//no=",0)</f>
        <v>#REF!</v>
      </c>
      <c r="DT17" t="e">
        <f>AND(TOC!#REF!,"AAAAAH+//ns=")</f>
        <v>#REF!</v>
      </c>
      <c r="DU17" t="e">
        <f>AND(TOC!#REF!,"AAAAAH+//nw=")</f>
        <v>#REF!</v>
      </c>
      <c r="DV17" t="e">
        <f>AND(TOC!#REF!,"AAAAAH+//n0=")</f>
        <v>#REF!</v>
      </c>
      <c r="DW17" t="e">
        <f>AND(TOC!#REF!,"AAAAAH+//n4=")</f>
        <v>#REF!</v>
      </c>
      <c r="DX17" t="e">
        <f>AND(TOC!#REF!,"AAAAAH+//n8=")</f>
        <v>#REF!</v>
      </c>
      <c r="DY17" t="e">
        <f>AND(TOC!#REF!,"AAAAAH+//oA=")</f>
        <v>#REF!</v>
      </c>
      <c r="DZ17" t="e">
        <f>AND(TOC!#REF!,"AAAAAH+//oE=")</f>
        <v>#REF!</v>
      </c>
      <c r="EA17" t="e">
        <f>AND(TOC!#REF!,"AAAAAH+//oI=")</f>
        <v>#REF!</v>
      </c>
      <c r="EB17" t="e">
        <f>AND(TOC!#REF!,"AAAAAH+//oM=")</f>
        <v>#REF!</v>
      </c>
      <c r="EC17" t="e">
        <f>AND(TOC!#REF!,"AAAAAH+//oQ=")</f>
        <v>#REF!</v>
      </c>
      <c r="ED17" t="e">
        <f>AND(TOC!#REF!,"AAAAAH+//oU=")</f>
        <v>#REF!</v>
      </c>
      <c r="EE17" t="e">
        <f>AND(TOC!#REF!,"AAAAAH+//oY=")</f>
        <v>#REF!</v>
      </c>
      <c r="EF17" t="e">
        <f>AND(TOC!#REF!,"AAAAAH+//oc=")</f>
        <v>#REF!</v>
      </c>
      <c r="EG17" t="e">
        <f>AND(TOC!#REF!,"AAAAAH+//og=")</f>
        <v>#REF!</v>
      </c>
      <c r="EH17" t="e">
        <f>AND(TOC!#REF!,"AAAAAH+//ok=")</f>
        <v>#REF!</v>
      </c>
      <c r="EI17" t="e">
        <f>AND(TOC!#REF!,"AAAAAH+//oo=")</f>
        <v>#REF!</v>
      </c>
      <c r="EJ17" t="e">
        <f>AND(TOC!#REF!,"AAAAAH+//os=")</f>
        <v>#REF!</v>
      </c>
      <c r="EK17" t="e">
        <f>AND(TOC!#REF!,"AAAAAH+//ow=")</f>
        <v>#REF!</v>
      </c>
      <c r="EL17" t="e">
        <f>AND(TOC!#REF!,"AAAAAH+//o0=")</f>
        <v>#REF!</v>
      </c>
      <c r="EM17" t="e">
        <f>AND(TOC!#REF!,"AAAAAH+//o4=")</f>
        <v>#REF!</v>
      </c>
      <c r="EN17" t="e">
        <f>AND(TOC!#REF!,"AAAAAH+//o8=")</f>
        <v>#REF!</v>
      </c>
      <c r="EO17" t="e">
        <f>AND(TOC!#REF!,"AAAAAH+//pA=")</f>
        <v>#REF!</v>
      </c>
      <c r="EP17" t="e">
        <f>AND(TOC!#REF!,"AAAAAH+//pE=")</f>
        <v>#REF!</v>
      </c>
      <c r="EQ17" t="e">
        <f>AND(TOC!#REF!,"AAAAAH+//pI=")</f>
        <v>#REF!</v>
      </c>
      <c r="ER17" t="e">
        <f>AND(TOC!#REF!,"AAAAAH+//pM=")</f>
        <v>#REF!</v>
      </c>
      <c r="ES17" t="e">
        <f>AND(TOC!#REF!,"AAAAAH+//pQ=")</f>
        <v>#REF!</v>
      </c>
      <c r="ET17" t="e">
        <f>AND(TOC!#REF!,"AAAAAH+//pU=")</f>
        <v>#REF!</v>
      </c>
      <c r="EU17" t="e">
        <f>AND(TOC!#REF!,"AAAAAH+//pY=")</f>
        <v>#REF!</v>
      </c>
      <c r="EV17" t="e">
        <f>AND(TOC!#REF!,"AAAAAH+//pc=")</f>
        <v>#REF!</v>
      </c>
      <c r="EW17" t="e">
        <f>AND(TOC!#REF!,"AAAAAH+//pg=")</f>
        <v>#REF!</v>
      </c>
      <c r="EX17" t="e">
        <f>AND(TOC!#REF!,"AAAAAH+//pk=")</f>
        <v>#REF!</v>
      </c>
      <c r="EY17" t="e">
        <f>AND(TOC!#REF!,"AAAAAH+//po=")</f>
        <v>#REF!</v>
      </c>
      <c r="EZ17" t="e">
        <f>AND(TOC!#REF!,"AAAAAH+//ps=")</f>
        <v>#REF!</v>
      </c>
      <c r="FA17" t="e">
        <f>AND(TOC!#REF!,"AAAAAH+//pw=")</f>
        <v>#REF!</v>
      </c>
      <c r="FB17" t="e">
        <f>AND(TOC!#REF!,"AAAAAH+//p0=")</f>
        <v>#REF!</v>
      </c>
      <c r="FC17" t="e">
        <f>AND(TOC!#REF!,"AAAAAH+//p4=")</f>
        <v>#REF!</v>
      </c>
      <c r="FD17" t="e">
        <f>IF(TOC!#REF!,"AAAAAH+//p8=",0)</f>
        <v>#REF!</v>
      </c>
      <c r="FE17" t="e">
        <f>AND(TOC!#REF!,"AAAAAH+//qA=")</f>
        <v>#REF!</v>
      </c>
      <c r="FF17" t="e">
        <f>AND(TOC!#REF!,"AAAAAH+//qE=")</f>
        <v>#REF!</v>
      </c>
      <c r="FG17" t="e">
        <f>AND(TOC!#REF!,"AAAAAH+//qI=")</f>
        <v>#REF!</v>
      </c>
      <c r="FH17" t="e">
        <f>AND(TOC!#REF!,"AAAAAH+//qM=")</f>
        <v>#REF!</v>
      </c>
      <c r="FI17" t="e">
        <f>AND(TOC!#REF!,"AAAAAH+//qQ=")</f>
        <v>#REF!</v>
      </c>
      <c r="FJ17" t="e">
        <f>AND(TOC!#REF!,"AAAAAH+//qU=")</f>
        <v>#REF!</v>
      </c>
      <c r="FK17" t="e">
        <f>AND(TOC!#REF!,"AAAAAH+//qY=")</f>
        <v>#REF!</v>
      </c>
      <c r="FL17" t="e">
        <f>AND(TOC!#REF!,"AAAAAH+//qc=")</f>
        <v>#REF!</v>
      </c>
      <c r="FM17" t="e">
        <f>AND(TOC!#REF!,"AAAAAH+//qg=")</f>
        <v>#REF!</v>
      </c>
      <c r="FN17" t="e">
        <f>AND(TOC!#REF!,"AAAAAH+//qk=")</f>
        <v>#REF!</v>
      </c>
      <c r="FO17" t="e">
        <f>AND(TOC!#REF!,"AAAAAH+//qo=")</f>
        <v>#REF!</v>
      </c>
      <c r="FP17" t="e">
        <f>AND(TOC!#REF!,"AAAAAH+//qs=")</f>
        <v>#REF!</v>
      </c>
      <c r="FQ17" t="e">
        <f>AND(TOC!#REF!,"AAAAAH+//qw=")</f>
        <v>#REF!</v>
      </c>
      <c r="FR17" t="e">
        <f>AND(TOC!#REF!,"AAAAAH+//q0=")</f>
        <v>#REF!</v>
      </c>
      <c r="FS17" t="e">
        <f>AND(TOC!#REF!,"AAAAAH+//q4=")</f>
        <v>#REF!</v>
      </c>
      <c r="FT17" t="e">
        <f>AND(TOC!#REF!,"AAAAAH+//q8=")</f>
        <v>#REF!</v>
      </c>
      <c r="FU17" t="e">
        <f>AND(TOC!#REF!,"AAAAAH+//rA=")</f>
        <v>#REF!</v>
      </c>
      <c r="FV17" t="e">
        <f>AND(TOC!#REF!,"AAAAAH+//rE=")</f>
        <v>#REF!</v>
      </c>
      <c r="FW17" t="e">
        <f>AND(TOC!#REF!,"AAAAAH+//rI=")</f>
        <v>#REF!</v>
      </c>
      <c r="FX17" t="e">
        <f>AND(TOC!#REF!,"AAAAAH+//rM=")</f>
        <v>#REF!</v>
      </c>
      <c r="FY17" t="e">
        <f>AND(TOC!#REF!,"AAAAAH+//rQ=")</f>
        <v>#REF!</v>
      </c>
      <c r="FZ17" t="e">
        <f>AND(TOC!#REF!,"AAAAAH+//rU=")</f>
        <v>#REF!</v>
      </c>
      <c r="GA17" t="e">
        <f>AND(TOC!#REF!,"AAAAAH+//rY=")</f>
        <v>#REF!</v>
      </c>
      <c r="GB17" t="e">
        <f>AND(TOC!#REF!,"AAAAAH+//rc=")</f>
        <v>#REF!</v>
      </c>
      <c r="GC17" t="e">
        <f>AND(TOC!#REF!,"AAAAAH+//rg=")</f>
        <v>#REF!</v>
      </c>
      <c r="GD17" t="e">
        <f>AND(TOC!#REF!,"AAAAAH+//rk=")</f>
        <v>#REF!</v>
      </c>
      <c r="GE17" t="e">
        <f>AND(TOC!#REF!,"AAAAAH+//ro=")</f>
        <v>#REF!</v>
      </c>
      <c r="GF17" t="e">
        <f>AND(TOC!#REF!,"AAAAAH+//rs=")</f>
        <v>#REF!</v>
      </c>
      <c r="GG17" t="e">
        <f>AND(TOC!#REF!,"AAAAAH+//rw=")</f>
        <v>#REF!</v>
      </c>
      <c r="GH17" t="e">
        <f>AND(TOC!#REF!,"AAAAAH+//r0=")</f>
        <v>#REF!</v>
      </c>
      <c r="GI17" t="e">
        <f>AND(TOC!#REF!,"AAAAAH+//r4=")</f>
        <v>#REF!</v>
      </c>
      <c r="GJ17" t="e">
        <f>AND(TOC!#REF!,"AAAAAH+//r8=")</f>
        <v>#REF!</v>
      </c>
      <c r="GK17" t="e">
        <f>AND(TOC!#REF!,"AAAAAH+//sA=")</f>
        <v>#REF!</v>
      </c>
      <c r="GL17" t="e">
        <f>AND(TOC!#REF!,"AAAAAH+//sE=")</f>
        <v>#REF!</v>
      </c>
      <c r="GM17" t="e">
        <f>AND(TOC!#REF!,"AAAAAH+//sI=")</f>
        <v>#REF!</v>
      </c>
      <c r="GN17" t="e">
        <f>AND(TOC!#REF!,"AAAAAH+//sM=")</f>
        <v>#REF!</v>
      </c>
      <c r="GO17" t="e">
        <f>IF(TOC!#REF!,"AAAAAH+//sQ=",0)</f>
        <v>#REF!</v>
      </c>
      <c r="GP17" t="e">
        <f>AND(TOC!#REF!,"AAAAAH+//sU=")</f>
        <v>#REF!</v>
      </c>
      <c r="GQ17" t="e">
        <f>AND(TOC!#REF!,"AAAAAH+//sY=")</f>
        <v>#REF!</v>
      </c>
      <c r="GR17" t="e">
        <f>AND(TOC!#REF!,"AAAAAH+//sc=")</f>
        <v>#REF!</v>
      </c>
      <c r="GS17" t="e">
        <f>AND(TOC!#REF!,"AAAAAH+//sg=")</f>
        <v>#REF!</v>
      </c>
      <c r="GT17" t="e">
        <f>AND(TOC!#REF!,"AAAAAH+//sk=")</f>
        <v>#REF!</v>
      </c>
      <c r="GU17" t="e">
        <f>AND(TOC!#REF!,"AAAAAH+//so=")</f>
        <v>#REF!</v>
      </c>
      <c r="GV17" t="e">
        <f>AND(TOC!#REF!,"AAAAAH+//ss=")</f>
        <v>#REF!</v>
      </c>
      <c r="GW17" t="e">
        <f>AND(TOC!#REF!,"AAAAAH+//sw=")</f>
        <v>#REF!</v>
      </c>
      <c r="GX17" t="e">
        <f>AND(TOC!#REF!,"AAAAAH+//s0=")</f>
        <v>#REF!</v>
      </c>
      <c r="GY17" t="e">
        <f>AND(TOC!#REF!,"AAAAAH+//s4=")</f>
        <v>#REF!</v>
      </c>
      <c r="GZ17" t="e">
        <f>AND(TOC!#REF!,"AAAAAH+//s8=")</f>
        <v>#REF!</v>
      </c>
      <c r="HA17" t="e">
        <f>AND(TOC!#REF!,"AAAAAH+//tA=")</f>
        <v>#REF!</v>
      </c>
      <c r="HB17" t="e">
        <f>AND(TOC!#REF!,"AAAAAH+//tE=")</f>
        <v>#REF!</v>
      </c>
      <c r="HC17" t="e">
        <f>AND(TOC!#REF!,"AAAAAH+//tI=")</f>
        <v>#REF!</v>
      </c>
      <c r="HD17" t="e">
        <f>AND(TOC!#REF!,"AAAAAH+//tM=")</f>
        <v>#REF!</v>
      </c>
      <c r="HE17" t="e">
        <f>AND(TOC!#REF!,"AAAAAH+//tQ=")</f>
        <v>#REF!</v>
      </c>
      <c r="HF17" t="e">
        <f>AND(TOC!#REF!,"AAAAAH+//tU=")</f>
        <v>#REF!</v>
      </c>
      <c r="HG17" t="e">
        <f>AND(TOC!#REF!,"AAAAAH+//tY=")</f>
        <v>#REF!</v>
      </c>
      <c r="HH17" t="e">
        <f>AND(TOC!#REF!,"AAAAAH+//tc=")</f>
        <v>#REF!</v>
      </c>
      <c r="HI17" t="e">
        <f>AND(TOC!#REF!,"AAAAAH+//tg=")</f>
        <v>#REF!</v>
      </c>
      <c r="HJ17" t="e">
        <f>AND(TOC!#REF!,"AAAAAH+//tk=")</f>
        <v>#REF!</v>
      </c>
      <c r="HK17" t="e">
        <f>AND(TOC!#REF!,"AAAAAH+//to=")</f>
        <v>#REF!</v>
      </c>
      <c r="HL17" t="e">
        <f>AND(TOC!#REF!,"AAAAAH+//ts=")</f>
        <v>#REF!</v>
      </c>
      <c r="HM17" t="e">
        <f>AND(TOC!#REF!,"AAAAAH+//tw=")</f>
        <v>#REF!</v>
      </c>
      <c r="HN17" t="e">
        <f>AND(TOC!#REF!,"AAAAAH+//t0=")</f>
        <v>#REF!</v>
      </c>
      <c r="HO17" t="e">
        <f>AND(TOC!#REF!,"AAAAAH+//t4=")</f>
        <v>#REF!</v>
      </c>
      <c r="HP17" t="e">
        <f>AND(TOC!#REF!,"AAAAAH+//t8=")</f>
        <v>#REF!</v>
      </c>
      <c r="HQ17" t="e">
        <f>AND(TOC!#REF!,"AAAAAH+//uA=")</f>
        <v>#REF!</v>
      </c>
      <c r="HR17" t="e">
        <f>AND(TOC!#REF!,"AAAAAH+//uE=")</f>
        <v>#REF!</v>
      </c>
      <c r="HS17" t="e">
        <f>AND(TOC!#REF!,"AAAAAH+//uI=")</f>
        <v>#REF!</v>
      </c>
      <c r="HT17" t="e">
        <f>AND(TOC!#REF!,"AAAAAH+//uM=")</f>
        <v>#REF!</v>
      </c>
      <c r="HU17" t="e">
        <f>AND(TOC!#REF!,"AAAAAH+//uQ=")</f>
        <v>#REF!</v>
      </c>
      <c r="HV17" t="e">
        <f>AND(TOC!#REF!,"AAAAAH+//uU=")</f>
        <v>#REF!</v>
      </c>
      <c r="HW17" t="e">
        <f>AND(TOC!#REF!,"AAAAAH+//uY=")</f>
        <v>#REF!</v>
      </c>
      <c r="HX17" t="e">
        <f>AND(TOC!#REF!,"AAAAAH+//uc=")</f>
        <v>#REF!</v>
      </c>
      <c r="HY17" t="e">
        <f>AND(TOC!#REF!,"AAAAAH+//ug=")</f>
        <v>#REF!</v>
      </c>
      <c r="HZ17" t="e">
        <f>IF(TOC!#REF!,"AAAAAH+//uk=",0)</f>
        <v>#REF!</v>
      </c>
      <c r="IA17" t="e">
        <f>AND(TOC!#REF!,"AAAAAH+//uo=")</f>
        <v>#REF!</v>
      </c>
      <c r="IB17" t="e">
        <f>AND(TOC!#REF!,"AAAAAH+//us=")</f>
        <v>#REF!</v>
      </c>
      <c r="IC17" t="e">
        <f>AND(TOC!#REF!,"AAAAAH+//uw=")</f>
        <v>#REF!</v>
      </c>
      <c r="ID17" t="e">
        <f>AND(TOC!#REF!,"AAAAAH+//u0=")</f>
        <v>#REF!</v>
      </c>
      <c r="IE17" t="e">
        <f>AND(TOC!#REF!,"AAAAAH+//u4=")</f>
        <v>#REF!</v>
      </c>
      <c r="IF17" t="e">
        <f>AND(TOC!#REF!,"AAAAAH+//u8=")</f>
        <v>#REF!</v>
      </c>
      <c r="IG17" t="e">
        <f>AND(TOC!#REF!,"AAAAAH+//vA=")</f>
        <v>#REF!</v>
      </c>
      <c r="IH17" t="e">
        <f>AND(TOC!#REF!,"AAAAAH+//vE=")</f>
        <v>#REF!</v>
      </c>
      <c r="II17" t="e">
        <f>AND(TOC!#REF!,"AAAAAH+//vI=")</f>
        <v>#REF!</v>
      </c>
      <c r="IJ17" t="e">
        <f>AND(TOC!#REF!,"AAAAAH+//vM=")</f>
        <v>#REF!</v>
      </c>
      <c r="IK17" t="e">
        <f>AND(TOC!#REF!,"AAAAAH+//vQ=")</f>
        <v>#REF!</v>
      </c>
      <c r="IL17" t="e">
        <f>AND(TOC!#REF!,"AAAAAH+//vU=")</f>
        <v>#REF!</v>
      </c>
      <c r="IM17" t="e">
        <f>AND(TOC!#REF!,"AAAAAH+//vY=")</f>
        <v>#REF!</v>
      </c>
      <c r="IN17" t="e">
        <f>AND(TOC!#REF!,"AAAAAH+//vc=")</f>
        <v>#REF!</v>
      </c>
      <c r="IO17" t="e">
        <f>AND(TOC!#REF!,"AAAAAH+//vg=")</f>
        <v>#REF!</v>
      </c>
      <c r="IP17" t="e">
        <f>AND(TOC!#REF!,"AAAAAH+//vk=")</f>
        <v>#REF!</v>
      </c>
      <c r="IQ17" t="e">
        <f>AND(TOC!#REF!,"AAAAAH+//vo=")</f>
        <v>#REF!</v>
      </c>
      <c r="IR17" t="e">
        <f>AND(TOC!#REF!,"AAAAAH+//vs=")</f>
        <v>#REF!</v>
      </c>
      <c r="IS17" t="e">
        <f>AND(TOC!#REF!,"AAAAAH+//vw=")</f>
        <v>#REF!</v>
      </c>
      <c r="IT17" t="e">
        <f>AND(TOC!#REF!,"AAAAAH+//v0=")</f>
        <v>#REF!</v>
      </c>
      <c r="IU17" t="e">
        <f>AND(TOC!#REF!,"AAAAAH+//v4=")</f>
        <v>#REF!</v>
      </c>
      <c r="IV17" t="e">
        <f>AND(TOC!#REF!,"AAAAAH+//v8=")</f>
        <v>#REF!</v>
      </c>
    </row>
    <row r="18" spans="1:256" x14ac:dyDescent="0.2">
      <c r="A18" t="e">
        <f>AND(TOC!#REF!,"AAAAADRtXwA=")</f>
        <v>#REF!</v>
      </c>
      <c r="B18" t="e">
        <f>AND(TOC!#REF!,"AAAAADRtXwE=")</f>
        <v>#REF!</v>
      </c>
      <c r="C18" t="e">
        <f>AND(TOC!#REF!,"AAAAADRtXwI=")</f>
        <v>#REF!</v>
      </c>
      <c r="D18" t="e">
        <f>AND(TOC!#REF!,"AAAAADRtXwM=")</f>
        <v>#REF!</v>
      </c>
      <c r="E18" t="e">
        <f>AND(TOC!#REF!,"AAAAADRtXwQ=")</f>
        <v>#REF!</v>
      </c>
      <c r="F18" t="e">
        <f>AND(TOC!#REF!,"AAAAADRtXwU=")</f>
        <v>#REF!</v>
      </c>
      <c r="G18" t="e">
        <f>AND(TOC!#REF!,"AAAAADRtXwY=")</f>
        <v>#REF!</v>
      </c>
      <c r="H18" t="e">
        <f>AND(TOC!#REF!,"AAAAADRtXwc=")</f>
        <v>#REF!</v>
      </c>
      <c r="I18" t="e">
        <f>AND(TOC!#REF!,"AAAAADRtXwg=")</f>
        <v>#REF!</v>
      </c>
      <c r="J18" t="e">
        <f>AND(TOC!#REF!,"AAAAADRtXwk=")</f>
        <v>#REF!</v>
      </c>
      <c r="K18" t="e">
        <f>AND(TOC!#REF!,"AAAAADRtXwo=")</f>
        <v>#REF!</v>
      </c>
      <c r="L18" t="e">
        <f>AND(TOC!#REF!,"AAAAADRtXws=")</f>
        <v>#REF!</v>
      </c>
      <c r="M18" t="e">
        <f>AND(TOC!#REF!,"AAAAADRtXww=")</f>
        <v>#REF!</v>
      </c>
      <c r="N18" t="e">
        <f>AND(TOC!#REF!,"AAAAADRtXw0=")</f>
        <v>#REF!</v>
      </c>
      <c r="O18" t="e">
        <f>IF(TOC!#REF!,"AAAAADRtXw4=",0)</f>
        <v>#REF!</v>
      </c>
      <c r="P18" t="e">
        <f>AND(TOC!#REF!,"AAAAADRtXw8=")</f>
        <v>#REF!</v>
      </c>
      <c r="Q18" t="e">
        <f>AND(TOC!#REF!,"AAAAADRtXxA=")</f>
        <v>#REF!</v>
      </c>
      <c r="R18" t="e">
        <f>AND(TOC!#REF!,"AAAAADRtXxE=")</f>
        <v>#REF!</v>
      </c>
      <c r="S18" t="e">
        <f>AND(TOC!#REF!,"AAAAADRtXxI=")</f>
        <v>#REF!</v>
      </c>
      <c r="T18" t="e">
        <f>AND(TOC!#REF!,"AAAAADRtXxM=")</f>
        <v>#REF!</v>
      </c>
      <c r="U18" t="e">
        <f>AND(TOC!#REF!,"AAAAADRtXxQ=")</f>
        <v>#REF!</v>
      </c>
      <c r="V18" t="e">
        <f>AND(TOC!#REF!,"AAAAADRtXxU=")</f>
        <v>#REF!</v>
      </c>
      <c r="W18" t="e">
        <f>AND(TOC!#REF!,"AAAAADRtXxY=")</f>
        <v>#REF!</v>
      </c>
      <c r="X18" t="e">
        <f>AND(TOC!#REF!,"AAAAADRtXxc=")</f>
        <v>#REF!</v>
      </c>
      <c r="Y18" t="e">
        <f>AND(TOC!#REF!,"AAAAADRtXxg=")</f>
        <v>#REF!</v>
      </c>
      <c r="Z18" t="e">
        <f>AND(TOC!#REF!,"AAAAADRtXxk=")</f>
        <v>#REF!</v>
      </c>
      <c r="AA18" t="e">
        <f>AND(TOC!#REF!,"AAAAADRtXxo=")</f>
        <v>#REF!</v>
      </c>
      <c r="AB18" t="e">
        <f>AND(TOC!#REF!,"AAAAADRtXxs=")</f>
        <v>#REF!</v>
      </c>
      <c r="AC18" t="e">
        <f>AND(TOC!#REF!,"AAAAADRtXxw=")</f>
        <v>#REF!</v>
      </c>
      <c r="AD18" t="e">
        <f>AND(TOC!#REF!,"AAAAADRtXx0=")</f>
        <v>#REF!</v>
      </c>
      <c r="AE18" t="e">
        <f>AND(TOC!#REF!,"AAAAADRtXx4=")</f>
        <v>#REF!</v>
      </c>
      <c r="AF18" t="e">
        <f>AND(TOC!#REF!,"AAAAADRtXx8=")</f>
        <v>#REF!</v>
      </c>
      <c r="AG18" t="e">
        <f>AND(TOC!#REF!,"AAAAADRtXyA=")</f>
        <v>#REF!</v>
      </c>
      <c r="AH18" t="e">
        <f>AND(TOC!#REF!,"AAAAADRtXyE=")</f>
        <v>#REF!</v>
      </c>
      <c r="AI18" t="e">
        <f>AND(TOC!#REF!,"AAAAADRtXyI=")</f>
        <v>#REF!</v>
      </c>
      <c r="AJ18" t="e">
        <f>AND(TOC!#REF!,"AAAAADRtXyM=")</f>
        <v>#REF!</v>
      </c>
      <c r="AK18" t="e">
        <f>AND(TOC!#REF!,"AAAAADRtXyQ=")</f>
        <v>#REF!</v>
      </c>
      <c r="AL18" t="e">
        <f>AND(TOC!#REF!,"AAAAADRtXyU=")</f>
        <v>#REF!</v>
      </c>
      <c r="AM18" t="e">
        <f>AND(TOC!#REF!,"AAAAADRtXyY=")</f>
        <v>#REF!</v>
      </c>
      <c r="AN18" t="e">
        <f>AND(TOC!#REF!,"AAAAADRtXyc=")</f>
        <v>#REF!</v>
      </c>
      <c r="AO18" t="e">
        <f>AND(TOC!#REF!,"AAAAADRtXyg=")</f>
        <v>#REF!</v>
      </c>
      <c r="AP18" t="e">
        <f>AND(TOC!#REF!,"AAAAADRtXyk=")</f>
        <v>#REF!</v>
      </c>
      <c r="AQ18" t="e">
        <f>AND(TOC!#REF!,"AAAAADRtXyo=")</f>
        <v>#REF!</v>
      </c>
      <c r="AR18" t="e">
        <f>AND(TOC!#REF!,"AAAAADRtXys=")</f>
        <v>#REF!</v>
      </c>
      <c r="AS18" t="e">
        <f>AND(TOC!#REF!,"AAAAADRtXyw=")</f>
        <v>#REF!</v>
      </c>
      <c r="AT18" t="e">
        <f>AND(TOC!#REF!,"AAAAADRtXy0=")</f>
        <v>#REF!</v>
      </c>
      <c r="AU18" t="e">
        <f>AND(TOC!#REF!,"AAAAADRtXy4=")</f>
        <v>#REF!</v>
      </c>
      <c r="AV18" t="e">
        <f>AND(TOC!#REF!,"AAAAADRtXy8=")</f>
        <v>#REF!</v>
      </c>
      <c r="AW18" t="e">
        <f>AND(TOC!#REF!,"AAAAADRtXzA=")</f>
        <v>#REF!</v>
      </c>
      <c r="AX18" t="e">
        <f>AND(TOC!#REF!,"AAAAADRtXzE=")</f>
        <v>#REF!</v>
      </c>
      <c r="AY18" t="e">
        <f>AND(TOC!#REF!,"AAAAADRtXzI=")</f>
        <v>#REF!</v>
      </c>
      <c r="AZ18" t="e">
        <f>IF(TOC!#REF!,"AAAAADRtXzM=",0)</f>
        <v>#REF!</v>
      </c>
      <c r="BA18" t="e">
        <f>AND(TOC!#REF!,"AAAAADRtXzQ=")</f>
        <v>#REF!</v>
      </c>
      <c r="BB18" t="e">
        <f>AND(TOC!#REF!,"AAAAADRtXzU=")</f>
        <v>#REF!</v>
      </c>
      <c r="BC18" t="e">
        <f>AND(TOC!#REF!,"AAAAADRtXzY=")</f>
        <v>#REF!</v>
      </c>
      <c r="BD18" t="e">
        <f>AND(TOC!#REF!,"AAAAADRtXzc=")</f>
        <v>#REF!</v>
      </c>
      <c r="BE18" t="e">
        <f>AND(TOC!#REF!,"AAAAADRtXzg=")</f>
        <v>#REF!</v>
      </c>
      <c r="BF18" t="e">
        <f>AND(TOC!#REF!,"AAAAADRtXzk=")</f>
        <v>#REF!</v>
      </c>
      <c r="BG18" t="e">
        <f>AND(TOC!#REF!,"AAAAADRtXzo=")</f>
        <v>#REF!</v>
      </c>
      <c r="BH18" t="e">
        <f>AND(TOC!#REF!,"AAAAADRtXzs=")</f>
        <v>#REF!</v>
      </c>
      <c r="BI18" t="e">
        <f>AND(TOC!#REF!,"AAAAADRtXzw=")</f>
        <v>#REF!</v>
      </c>
      <c r="BJ18" t="e">
        <f>AND(TOC!#REF!,"AAAAADRtXz0=")</f>
        <v>#REF!</v>
      </c>
      <c r="BK18" t="e">
        <f>AND(TOC!#REF!,"AAAAADRtXz4=")</f>
        <v>#REF!</v>
      </c>
      <c r="BL18" t="e">
        <f>AND(TOC!#REF!,"AAAAADRtXz8=")</f>
        <v>#REF!</v>
      </c>
      <c r="BM18" t="e">
        <f>AND(TOC!#REF!,"AAAAADRtX0A=")</f>
        <v>#REF!</v>
      </c>
      <c r="BN18" t="e">
        <f>AND(TOC!#REF!,"AAAAADRtX0E=")</f>
        <v>#REF!</v>
      </c>
      <c r="BO18" t="e">
        <f>AND(TOC!#REF!,"AAAAADRtX0I=")</f>
        <v>#REF!</v>
      </c>
      <c r="BP18" t="e">
        <f>AND(TOC!#REF!,"AAAAADRtX0M=")</f>
        <v>#REF!</v>
      </c>
      <c r="BQ18" t="e">
        <f>AND(TOC!#REF!,"AAAAADRtX0Q=")</f>
        <v>#REF!</v>
      </c>
      <c r="BR18" t="e">
        <f>AND(TOC!#REF!,"AAAAADRtX0U=")</f>
        <v>#REF!</v>
      </c>
      <c r="BS18" t="e">
        <f>AND(TOC!#REF!,"AAAAADRtX0Y=")</f>
        <v>#REF!</v>
      </c>
      <c r="BT18" t="e">
        <f>AND(TOC!#REF!,"AAAAADRtX0c=")</f>
        <v>#REF!</v>
      </c>
      <c r="BU18" t="e">
        <f>AND(TOC!#REF!,"AAAAADRtX0g=")</f>
        <v>#REF!</v>
      </c>
      <c r="BV18" t="e">
        <f>AND(TOC!#REF!,"AAAAADRtX0k=")</f>
        <v>#REF!</v>
      </c>
      <c r="BW18" t="e">
        <f>AND(TOC!#REF!,"AAAAADRtX0o=")</f>
        <v>#REF!</v>
      </c>
      <c r="BX18" t="e">
        <f>AND(TOC!#REF!,"AAAAADRtX0s=")</f>
        <v>#REF!</v>
      </c>
      <c r="BY18" t="e">
        <f>AND(TOC!#REF!,"AAAAADRtX0w=")</f>
        <v>#REF!</v>
      </c>
      <c r="BZ18" t="e">
        <f>AND(TOC!#REF!,"AAAAADRtX00=")</f>
        <v>#REF!</v>
      </c>
      <c r="CA18" t="e">
        <f>AND(TOC!#REF!,"AAAAADRtX04=")</f>
        <v>#REF!</v>
      </c>
      <c r="CB18" t="e">
        <f>AND(TOC!#REF!,"AAAAADRtX08=")</f>
        <v>#REF!</v>
      </c>
      <c r="CC18" t="e">
        <f>AND(TOC!#REF!,"AAAAADRtX1A=")</f>
        <v>#REF!</v>
      </c>
      <c r="CD18" t="e">
        <f>AND(TOC!#REF!,"AAAAADRtX1E=")</f>
        <v>#REF!</v>
      </c>
      <c r="CE18" t="e">
        <f>AND(TOC!#REF!,"AAAAADRtX1I=")</f>
        <v>#REF!</v>
      </c>
      <c r="CF18" t="e">
        <f>AND(TOC!#REF!,"AAAAADRtX1M=")</f>
        <v>#REF!</v>
      </c>
      <c r="CG18" t="e">
        <f>AND(TOC!#REF!,"AAAAADRtX1Q=")</f>
        <v>#REF!</v>
      </c>
      <c r="CH18" t="e">
        <f>AND(TOC!#REF!,"AAAAADRtX1U=")</f>
        <v>#REF!</v>
      </c>
      <c r="CI18" t="e">
        <f>AND(TOC!#REF!,"AAAAADRtX1Y=")</f>
        <v>#REF!</v>
      </c>
      <c r="CJ18" t="e">
        <f>AND(TOC!#REF!,"AAAAADRtX1c=")</f>
        <v>#REF!</v>
      </c>
      <c r="CK18" t="e">
        <f>IF(TOC!#REF!,"AAAAADRtX1g=",0)</f>
        <v>#REF!</v>
      </c>
      <c r="CL18" t="e">
        <f>AND(TOC!#REF!,"AAAAADRtX1k=")</f>
        <v>#REF!</v>
      </c>
      <c r="CM18" t="e">
        <f>AND(TOC!#REF!,"AAAAADRtX1o=")</f>
        <v>#REF!</v>
      </c>
      <c r="CN18" t="e">
        <f>AND(TOC!#REF!,"AAAAADRtX1s=")</f>
        <v>#REF!</v>
      </c>
      <c r="CO18" t="e">
        <f>AND(TOC!#REF!,"AAAAADRtX1w=")</f>
        <v>#REF!</v>
      </c>
      <c r="CP18" t="e">
        <f>AND(TOC!#REF!,"AAAAADRtX10=")</f>
        <v>#REF!</v>
      </c>
      <c r="CQ18" t="e">
        <f>AND(TOC!#REF!,"AAAAADRtX14=")</f>
        <v>#REF!</v>
      </c>
      <c r="CR18" t="e">
        <f>AND(TOC!#REF!,"AAAAADRtX18=")</f>
        <v>#REF!</v>
      </c>
      <c r="CS18" t="e">
        <f>AND(TOC!#REF!,"AAAAADRtX2A=")</f>
        <v>#REF!</v>
      </c>
      <c r="CT18" t="e">
        <f>AND(TOC!#REF!,"AAAAADRtX2E=")</f>
        <v>#REF!</v>
      </c>
      <c r="CU18" t="e">
        <f>AND(TOC!#REF!,"AAAAADRtX2I=")</f>
        <v>#REF!</v>
      </c>
      <c r="CV18" t="e">
        <f>AND(TOC!#REF!,"AAAAADRtX2M=")</f>
        <v>#REF!</v>
      </c>
      <c r="CW18" t="e">
        <f>AND(TOC!#REF!,"AAAAADRtX2Q=")</f>
        <v>#REF!</v>
      </c>
      <c r="CX18" t="e">
        <f>AND(TOC!#REF!,"AAAAADRtX2U=")</f>
        <v>#REF!</v>
      </c>
      <c r="CY18" t="e">
        <f>AND(TOC!#REF!,"AAAAADRtX2Y=")</f>
        <v>#REF!</v>
      </c>
      <c r="CZ18" t="e">
        <f>AND(TOC!#REF!,"AAAAADRtX2c=")</f>
        <v>#REF!</v>
      </c>
      <c r="DA18" t="e">
        <f>AND(TOC!#REF!,"AAAAADRtX2g=")</f>
        <v>#REF!</v>
      </c>
      <c r="DB18" t="e">
        <f>AND(TOC!#REF!,"AAAAADRtX2k=")</f>
        <v>#REF!</v>
      </c>
      <c r="DC18" t="e">
        <f>AND(TOC!#REF!,"AAAAADRtX2o=")</f>
        <v>#REF!</v>
      </c>
      <c r="DD18" t="e">
        <f>AND(TOC!#REF!,"AAAAADRtX2s=")</f>
        <v>#REF!</v>
      </c>
      <c r="DE18" t="e">
        <f>AND(TOC!#REF!,"AAAAADRtX2w=")</f>
        <v>#REF!</v>
      </c>
      <c r="DF18" t="e">
        <f>AND(TOC!#REF!,"AAAAADRtX20=")</f>
        <v>#REF!</v>
      </c>
      <c r="DG18" t="e">
        <f>AND(TOC!#REF!,"AAAAADRtX24=")</f>
        <v>#REF!</v>
      </c>
      <c r="DH18" t="e">
        <f>AND(TOC!#REF!,"AAAAADRtX28=")</f>
        <v>#REF!</v>
      </c>
      <c r="DI18" t="e">
        <f>AND(TOC!#REF!,"AAAAADRtX3A=")</f>
        <v>#REF!</v>
      </c>
      <c r="DJ18" t="e">
        <f>AND(TOC!#REF!,"AAAAADRtX3E=")</f>
        <v>#REF!</v>
      </c>
      <c r="DK18" t="e">
        <f>AND(TOC!#REF!,"AAAAADRtX3I=")</f>
        <v>#REF!</v>
      </c>
      <c r="DL18" t="e">
        <f>AND(TOC!#REF!,"AAAAADRtX3M=")</f>
        <v>#REF!</v>
      </c>
      <c r="DM18" t="e">
        <f>AND(TOC!#REF!,"AAAAADRtX3Q=")</f>
        <v>#REF!</v>
      </c>
      <c r="DN18" t="e">
        <f>AND(TOC!#REF!,"AAAAADRtX3U=")</f>
        <v>#REF!</v>
      </c>
      <c r="DO18" t="e">
        <f>AND(TOC!#REF!,"AAAAADRtX3Y=")</f>
        <v>#REF!</v>
      </c>
      <c r="DP18" t="e">
        <f>AND(TOC!#REF!,"AAAAADRtX3c=")</f>
        <v>#REF!</v>
      </c>
      <c r="DQ18" t="e">
        <f>AND(TOC!#REF!,"AAAAADRtX3g=")</f>
        <v>#REF!</v>
      </c>
      <c r="DR18" t="e">
        <f>AND(TOC!#REF!,"AAAAADRtX3k=")</f>
        <v>#REF!</v>
      </c>
      <c r="DS18" t="e">
        <f>AND(TOC!#REF!,"AAAAADRtX3o=")</f>
        <v>#REF!</v>
      </c>
      <c r="DT18" t="e">
        <f>AND(TOC!#REF!,"AAAAADRtX3s=")</f>
        <v>#REF!</v>
      </c>
      <c r="DU18" t="e">
        <f>AND(TOC!#REF!,"AAAAADRtX3w=")</f>
        <v>#REF!</v>
      </c>
      <c r="DV18" t="e">
        <f>IF(TOC!#REF!,"AAAAADRtX30=",0)</f>
        <v>#REF!</v>
      </c>
      <c r="DW18" t="e">
        <f>AND(TOC!#REF!,"AAAAADRtX34=")</f>
        <v>#REF!</v>
      </c>
      <c r="DX18" t="e">
        <f>AND(TOC!#REF!,"AAAAADRtX38=")</f>
        <v>#REF!</v>
      </c>
      <c r="DY18" t="e">
        <f>AND(TOC!#REF!,"AAAAADRtX4A=")</f>
        <v>#REF!</v>
      </c>
      <c r="DZ18" t="e">
        <f>AND(TOC!#REF!,"AAAAADRtX4E=")</f>
        <v>#REF!</v>
      </c>
      <c r="EA18" t="e">
        <f>AND(TOC!#REF!,"AAAAADRtX4I=")</f>
        <v>#REF!</v>
      </c>
      <c r="EB18" t="e">
        <f>AND(TOC!#REF!,"AAAAADRtX4M=")</f>
        <v>#REF!</v>
      </c>
      <c r="EC18" t="e">
        <f>AND(TOC!#REF!,"AAAAADRtX4Q=")</f>
        <v>#REF!</v>
      </c>
      <c r="ED18" t="e">
        <f>AND(TOC!#REF!,"AAAAADRtX4U=")</f>
        <v>#REF!</v>
      </c>
      <c r="EE18" t="e">
        <f>AND(TOC!#REF!,"AAAAADRtX4Y=")</f>
        <v>#REF!</v>
      </c>
      <c r="EF18" t="e">
        <f>AND(TOC!#REF!,"AAAAADRtX4c=")</f>
        <v>#REF!</v>
      </c>
      <c r="EG18" t="e">
        <f>AND(TOC!#REF!,"AAAAADRtX4g=")</f>
        <v>#REF!</v>
      </c>
      <c r="EH18" t="e">
        <f>AND(TOC!#REF!,"AAAAADRtX4k=")</f>
        <v>#REF!</v>
      </c>
      <c r="EI18" t="e">
        <f>AND(TOC!#REF!,"AAAAADRtX4o=")</f>
        <v>#REF!</v>
      </c>
      <c r="EJ18" t="e">
        <f>AND(TOC!#REF!,"AAAAADRtX4s=")</f>
        <v>#REF!</v>
      </c>
      <c r="EK18" t="e">
        <f>AND(TOC!#REF!,"AAAAADRtX4w=")</f>
        <v>#REF!</v>
      </c>
      <c r="EL18" t="e">
        <f>AND(TOC!#REF!,"AAAAADRtX40=")</f>
        <v>#REF!</v>
      </c>
      <c r="EM18" t="e">
        <f>AND(TOC!#REF!,"AAAAADRtX44=")</f>
        <v>#REF!</v>
      </c>
      <c r="EN18" t="e">
        <f>AND(TOC!#REF!,"AAAAADRtX48=")</f>
        <v>#REF!</v>
      </c>
      <c r="EO18" t="e">
        <f>AND(TOC!#REF!,"AAAAADRtX5A=")</f>
        <v>#REF!</v>
      </c>
      <c r="EP18" t="e">
        <f>AND(TOC!#REF!,"AAAAADRtX5E=")</f>
        <v>#REF!</v>
      </c>
      <c r="EQ18" t="e">
        <f>AND(TOC!#REF!,"AAAAADRtX5I=")</f>
        <v>#REF!</v>
      </c>
      <c r="ER18" t="e">
        <f>AND(TOC!#REF!,"AAAAADRtX5M=")</f>
        <v>#REF!</v>
      </c>
      <c r="ES18" t="e">
        <f>AND(TOC!#REF!,"AAAAADRtX5Q=")</f>
        <v>#REF!</v>
      </c>
      <c r="ET18" t="e">
        <f>AND(TOC!#REF!,"AAAAADRtX5U=")</f>
        <v>#REF!</v>
      </c>
      <c r="EU18" t="e">
        <f>AND(TOC!#REF!,"AAAAADRtX5Y=")</f>
        <v>#REF!</v>
      </c>
      <c r="EV18" t="e">
        <f>AND(TOC!#REF!,"AAAAADRtX5c=")</f>
        <v>#REF!</v>
      </c>
      <c r="EW18" t="e">
        <f>AND(TOC!#REF!,"AAAAADRtX5g=")</f>
        <v>#REF!</v>
      </c>
      <c r="EX18" t="e">
        <f>AND(TOC!#REF!,"AAAAADRtX5k=")</f>
        <v>#REF!</v>
      </c>
      <c r="EY18" t="e">
        <f>AND(TOC!#REF!,"AAAAADRtX5o=")</f>
        <v>#REF!</v>
      </c>
      <c r="EZ18" t="e">
        <f>AND(TOC!#REF!,"AAAAADRtX5s=")</f>
        <v>#REF!</v>
      </c>
      <c r="FA18" t="e">
        <f>AND(TOC!#REF!,"AAAAADRtX5w=")</f>
        <v>#REF!</v>
      </c>
      <c r="FB18" t="e">
        <f>AND(TOC!#REF!,"AAAAADRtX50=")</f>
        <v>#REF!</v>
      </c>
      <c r="FC18" t="e">
        <f>AND(TOC!#REF!,"AAAAADRtX54=")</f>
        <v>#REF!</v>
      </c>
      <c r="FD18" t="e">
        <f>AND(TOC!#REF!,"AAAAADRtX58=")</f>
        <v>#REF!</v>
      </c>
      <c r="FE18" t="e">
        <f>AND(TOC!#REF!,"AAAAADRtX6A=")</f>
        <v>#REF!</v>
      </c>
      <c r="FF18" t="e">
        <f>AND(TOC!#REF!,"AAAAADRtX6E=")</f>
        <v>#REF!</v>
      </c>
      <c r="FG18" t="e">
        <f>IF(TOC!#REF!,"AAAAADRtX6I=",0)</f>
        <v>#REF!</v>
      </c>
      <c r="FH18" t="e">
        <f>AND(TOC!#REF!,"AAAAADRtX6M=")</f>
        <v>#REF!</v>
      </c>
      <c r="FI18" t="e">
        <f>AND(TOC!#REF!,"AAAAADRtX6Q=")</f>
        <v>#REF!</v>
      </c>
      <c r="FJ18" t="e">
        <f>AND(TOC!#REF!,"AAAAADRtX6U=")</f>
        <v>#REF!</v>
      </c>
      <c r="FK18" t="e">
        <f>AND(TOC!#REF!,"AAAAADRtX6Y=")</f>
        <v>#REF!</v>
      </c>
      <c r="FL18" t="e">
        <f>AND(TOC!#REF!,"AAAAADRtX6c=")</f>
        <v>#REF!</v>
      </c>
      <c r="FM18" t="e">
        <f>AND(TOC!#REF!,"AAAAADRtX6g=")</f>
        <v>#REF!</v>
      </c>
      <c r="FN18" t="e">
        <f>AND(TOC!#REF!,"AAAAADRtX6k=")</f>
        <v>#REF!</v>
      </c>
      <c r="FO18" t="e">
        <f>AND(TOC!#REF!,"AAAAADRtX6o=")</f>
        <v>#REF!</v>
      </c>
      <c r="FP18" t="e">
        <f>AND(TOC!#REF!,"AAAAADRtX6s=")</f>
        <v>#REF!</v>
      </c>
      <c r="FQ18" t="e">
        <f>AND(TOC!#REF!,"AAAAADRtX6w=")</f>
        <v>#REF!</v>
      </c>
      <c r="FR18" t="e">
        <f>AND(TOC!#REF!,"AAAAADRtX60=")</f>
        <v>#REF!</v>
      </c>
      <c r="FS18" t="e">
        <f>AND(TOC!#REF!,"AAAAADRtX64=")</f>
        <v>#REF!</v>
      </c>
      <c r="FT18" t="e">
        <f>AND(TOC!#REF!,"AAAAADRtX68=")</f>
        <v>#REF!</v>
      </c>
      <c r="FU18" t="e">
        <f>AND(TOC!#REF!,"AAAAADRtX7A=")</f>
        <v>#REF!</v>
      </c>
      <c r="FV18" t="e">
        <f>AND(TOC!#REF!,"AAAAADRtX7E=")</f>
        <v>#REF!</v>
      </c>
      <c r="FW18" t="e">
        <f>AND(TOC!#REF!,"AAAAADRtX7I=")</f>
        <v>#REF!</v>
      </c>
      <c r="FX18" t="e">
        <f>AND(TOC!#REF!,"AAAAADRtX7M=")</f>
        <v>#REF!</v>
      </c>
      <c r="FY18" t="e">
        <f>AND(TOC!#REF!,"AAAAADRtX7Q=")</f>
        <v>#REF!</v>
      </c>
      <c r="FZ18" t="e">
        <f>AND(TOC!#REF!,"AAAAADRtX7U=")</f>
        <v>#REF!</v>
      </c>
      <c r="GA18" t="e">
        <f>AND(TOC!#REF!,"AAAAADRtX7Y=")</f>
        <v>#REF!</v>
      </c>
      <c r="GB18" t="e">
        <f>AND(TOC!#REF!,"AAAAADRtX7c=")</f>
        <v>#REF!</v>
      </c>
      <c r="GC18" t="e">
        <f>AND(TOC!#REF!,"AAAAADRtX7g=")</f>
        <v>#REF!</v>
      </c>
      <c r="GD18" t="e">
        <f>AND(TOC!#REF!,"AAAAADRtX7k=")</f>
        <v>#REF!</v>
      </c>
      <c r="GE18" t="e">
        <f>AND(TOC!#REF!,"AAAAADRtX7o=")</f>
        <v>#REF!</v>
      </c>
      <c r="GF18" t="e">
        <f>AND(TOC!#REF!,"AAAAADRtX7s=")</f>
        <v>#REF!</v>
      </c>
      <c r="GG18" t="e">
        <f>AND(TOC!#REF!,"AAAAADRtX7w=")</f>
        <v>#REF!</v>
      </c>
      <c r="GH18" t="e">
        <f>AND(TOC!#REF!,"AAAAADRtX70=")</f>
        <v>#REF!</v>
      </c>
      <c r="GI18" t="e">
        <f>AND(TOC!#REF!,"AAAAADRtX74=")</f>
        <v>#REF!</v>
      </c>
      <c r="GJ18" t="e">
        <f>AND(TOC!#REF!,"AAAAADRtX78=")</f>
        <v>#REF!</v>
      </c>
      <c r="GK18" t="e">
        <f>AND(TOC!#REF!,"AAAAADRtX8A=")</f>
        <v>#REF!</v>
      </c>
      <c r="GL18" t="e">
        <f>AND(TOC!#REF!,"AAAAADRtX8E=")</f>
        <v>#REF!</v>
      </c>
      <c r="GM18" t="e">
        <f>AND(TOC!#REF!,"AAAAADRtX8I=")</f>
        <v>#REF!</v>
      </c>
      <c r="GN18" t="e">
        <f>AND(TOC!#REF!,"AAAAADRtX8M=")</f>
        <v>#REF!</v>
      </c>
      <c r="GO18" t="e">
        <f>AND(TOC!#REF!,"AAAAADRtX8Q=")</f>
        <v>#REF!</v>
      </c>
      <c r="GP18" t="e">
        <f>AND(TOC!#REF!,"AAAAADRtX8U=")</f>
        <v>#REF!</v>
      </c>
      <c r="GQ18" t="e">
        <f>AND(TOC!#REF!,"AAAAADRtX8Y=")</f>
        <v>#REF!</v>
      </c>
      <c r="GR18" t="e">
        <f>IF(TOC!#REF!,"AAAAADRtX8c=",0)</f>
        <v>#REF!</v>
      </c>
      <c r="GS18" t="e">
        <f>AND(TOC!#REF!,"AAAAADRtX8g=")</f>
        <v>#REF!</v>
      </c>
      <c r="GT18" t="e">
        <f>AND(TOC!#REF!,"AAAAADRtX8k=")</f>
        <v>#REF!</v>
      </c>
      <c r="GU18" t="e">
        <f>AND(TOC!#REF!,"AAAAADRtX8o=")</f>
        <v>#REF!</v>
      </c>
      <c r="GV18" t="e">
        <f>AND(TOC!#REF!,"AAAAADRtX8s=")</f>
        <v>#REF!</v>
      </c>
      <c r="GW18" t="e">
        <f>AND(TOC!#REF!,"AAAAADRtX8w=")</f>
        <v>#REF!</v>
      </c>
      <c r="GX18" t="e">
        <f>AND(TOC!#REF!,"AAAAADRtX80=")</f>
        <v>#REF!</v>
      </c>
      <c r="GY18" t="e">
        <f>AND(TOC!#REF!,"AAAAADRtX84=")</f>
        <v>#REF!</v>
      </c>
      <c r="GZ18" t="e">
        <f>AND(TOC!#REF!,"AAAAADRtX88=")</f>
        <v>#REF!</v>
      </c>
      <c r="HA18" t="e">
        <f>AND(TOC!#REF!,"AAAAADRtX9A=")</f>
        <v>#REF!</v>
      </c>
      <c r="HB18" t="e">
        <f>AND(TOC!#REF!,"AAAAADRtX9E=")</f>
        <v>#REF!</v>
      </c>
      <c r="HC18" t="e">
        <f>AND(TOC!#REF!,"AAAAADRtX9I=")</f>
        <v>#REF!</v>
      </c>
      <c r="HD18" t="e">
        <f>AND(TOC!#REF!,"AAAAADRtX9M=")</f>
        <v>#REF!</v>
      </c>
      <c r="HE18" t="e">
        <f>AND(TOC!#REF!,"AAAAADRtX9Q=")</f>
        <v>#REF!</v>
      </c>
      <c r="HF18" t="e">
        <f>AND(TOC!#REF!,"AAAAADRtX9U=")</f>
        <v>#REF!</v>
      </c>
      <c r="HG18" t="e">
        <f>AND(TOC!#REF!,"AAAAADRtX9Y=")</f>
        <v>#REF!</v>
      </c>
      <c r="HH18" t="e">
        <f>AND(TOC!#REF!,"AAAAADRtX9c=")</f>
        <v>#REF!</v>
      </c>
      <c r="HI18" t="e">
        <f>AND(TOC!#REF!,"AAAAADRtX9g=")</f>
        <v>#REF!</v>
      </c>
      <c r="HJ18" t="e">
        <f>AND(TOC!#REF!,"AAAAADRtX9k=")</f>
        <v>#REF!</v>
      </c>
      <c r="HK18" t="e">
        <f>AND(TOC!#REF!,"AAAAADRtX9o=")</f>
        <v>#REF!</v>
      </c>
      <c r="HL18" t="e">
        <f>AND(TOC!#REF!,"AAAAADRtX9s=")</f>
        <v>#REF!</v>
      </c>
      <c r="HM18" t="e">
        <f>AND(TOC!#REF!,"AAAAADRtX9w=")</f>
        <v>#REF!</v>
      </c>
      <c r="HN18" t="e">
        <f>AND(TOC!#REF!,"AAAAADRtX90=")</f>
        <v>#REF!</v>
      </c>
      <c r="HO18" t="e">
        <f>AND(TOC!#REF!,"AAAAADRtX94=")</f>
        <v>#REF!</v>
      </c>
      <c r="HP18" t="e">
        <f>AND(TOC!#REF!,"AAAAADRtX98=")</f>
        <v>#REF!</v>
      </c>
      <c r="HQ18" t="e">
        <f>AND(TOC!#REF!,"AAAAADRtX+A=")</f>
        <v>#REF!</v>
      </c>
      <c r="HR18" t="e">
        <f>AND(TOC!#REF!,"AAAAADRtX+E=")</f>
        <v>#REF!</v>
      </c>
      <c r="HS18" t="e">
        <f>AND(TOC!#REF!,"AAAAADRtX+I=")</f>
        <v>#REF!</v>
      </c>
      <c r="HT18" t="e">
        <f>AND(TOC!#REF!,"AAAAADRtX+M=")</f>
        <v>#REF!</v>
      </c>
      <c r="HU18" t="e">
        <f>AND(TOC!#REF!,"AAAAADRtX+Q=")</f>
        <v>#REF!</v>
      </c>
      <c r="HV18" t="e">
        <f>AND(TOC!#REF!,"AAAAADRtX+U=")</f>
        <v>#REF!</v>
      </c>
      <c r="HW18" t="e">
        <f>AND(TOC!#REF!,"AAAAADRtX+Y=")</f>
        <v>#REF!</v>
      </c>
      <c r="HX18" t="e">
        <f>AND(TOC!#REF!,"AAAAADRtX+c=")</f>
        <v>#REF!</v>
      </c>
      <c r="HY18" t="e">
        <f>AND(TOC!#REF!,"AAAAADRtX+g=")</f>
        <v>#REF!</v>
      </c>
      <c r="HZ18" t="e">
        <f>AND(TOC!#REF!,"AAAAADRtX+k=")</f>
        <v>#REF!</v>
      </c>
      <c r="IA18" t="e">
        <f>AND(TOC!#REF!,"AAAAADRtX+o=")</f>
        <v>#REF!</v>
      </c>
      <c r="IB18" t="e">
        <f>AND(TOC!#REF!,"AAAAADRtX+s=")</f>
        <v>#REF!</v>
      </c>
      <c r="IC18" t="e">
        <f>IF(TOC!#REF!,"AAAAADRtX+w=",0)</f>
        <v>#REF!</v>
      </c>
      <c r="ID18" t="e">
        <f>AND(TOC!#REF!,"AAAAADRtX+0=")</f>
        <v>#REF!</v>
      </c>
      <c r="IE18" t="e">
        <f>AND(TOC!#REF!,"AAAAADRtX+4=")</f>
        <v>#REF!</v>
      </c>
      <c r="IF18" t="e">
        <f>AND(TOC!#REF!,"AAAAADRtX+8=")</f>
        <v>#REF!</v>
      </c>
      <c r="IG18" t="e">
        <f>AND(TOC!#REF!,"AAAAADRtX/A=")</f>
        <v>#REF!</v>
      </c>
      <c r="IH18" t="e">
        <f>AND(TOC!#REF!,"AAAAADRtX/E=")</f>
        <v>#REF!</v>
      </c>
      <c r="II18" t="e">
        <f>AND(TOC!#REF!,"AAAAADRtX/I=")</f>
        <v>#REF!</v>
      </c>
      <c r="IJ18" t="e">
        <f>AND(TOC!#REF!,"AAAAADRtX/M=")</f>
        <v>#REF!</v>
      </c>
      <c r="IK18" t="e">
        <f>AND(TOC!#REF!,"AAAAADRtX/Q=")</f>
        <v>#REF!</v>
      </c>
      <c r="IL18" t="e">
        <f>AND(TOC!#REF!,"AAAAADRtX/U=")</f>
        <v>#REF!</v>
      </c>
      <c r="IM18" t="e">
        <f>AND(TOC!#REF!,"AAAAADRtX/Y=")</f>
        <v>#REF!</v>
      </c>
      <c r="IN18" t="e">
        <f>AND(TOC!#REF!,"AAAAADRtX/c=")</f>
        <v>#REF!</v>
      </c>
      <c r="IO18" t="e">
        <f>AND(TOC!#REF!,"AAAAADRtX/g=")</f>
        <v>#REF!</v>
      </c>
      <c r="IP18" t="e">
        <f>AND(TOC!#REF!,"AAAAADRtX/k=")</f>
        <v>#REF!</v>
      </c>
      <c r="IQ18" t="e">
        <f>AND(TOC!#REF!,"AAAAADRtX/o=")</f>
        <v>#REF!</v>
      </c>
      <c r="IR18" t="e">
        <f>AND(TOC!#REF!,"AAAAADRtX/s=")</f>
        <v>#REF!</v>
      </c>
      <c r="IS18" t="e">
        <f>AND(TOC!#REF!,"AAAAADRtX/w=")</f>
        <v>#REF!</v>
      </c>
      <c r="IT18" t="e">
        <f>AND(TOC!#REF!,"AAAAADRtX/0=")</f>
        <v>#REF!</v>
      </c>
      <c r="IU18" t="e">
        <f>AND(TOC!#REF!,"AAAAADRtX/4=")</f>
        <v>#REF!</v>
      </c>
      <c r="IV18" t="e">
        <f>AND(TOC!#REF!,"AAAAADRtX/8=")</f>
        <v>#REF!</v>
      </c>
    </row>
    <row r="19" spans="1:256" x14ac:dyDescent="0.2">
      <c r="A19" t="e">
        <f>AND(TOC!#REF!,"AAAAADruvwA=")</f>
        <v>#REF!</v>
      </c>
      <c r="B19" t="e">
        <f>AND(TOC!#REF!,"AAAAADruvwE=")</f>
        <v>#REF!</v>
      </c>
      <c r="C19" t="e">
        <f>AND(TOC!#REF!,"AAAAADruvwI=")</f>
        <v>#REF!</v>
      </c>
      <c r="D19" t="e">
        <f>AND(TOC!#REF!,"AAAAADruvwM=")</f>
        <v>#REF!</v>
      </c>
      <c r="E19" t="e">
        <f>AND(TOC!#REF!,"AAAAADruvwQ=")</f>
        <v>#REF!</v>
      </c>
      <c r="F19" t="e">
        <f>AND(TOC!#REF!,"AAAAADruvwU=")</f>
        <v>#REF!</v>
      </c>
      <c r="G19" t="e">
        <f>AND(TOC!#REF!,"AAAAADruvwY=")</f>
        <v>#REF!</v>
      </c>
      <c r="H19" t="e">
        <f>AND(TOC!#REF!,"AAAAADruvwc=")</f>
        <v>#REF!</v>
      </c>
      <c r="I19" t="e">
        <f>AND(TOC!#REF!,"AAAAADruvwg=")</f>
        <v>#REF!</v>
      </c>
      <c r="J19" t="e">
        <f>AND(TOC!#REF!,"AAAAADruvwk=")</f>
        <v>#REF!</v>
      </c>
      <c r="K19" t="e">
        <f>AND(TOC!#REF!,"AAAAADruvwo=")</f>
        <v>#REF!</v>
      </c>
      <c r="L19" t="e">
        <f>AND(TOC!#REF!,"AAAAADruvws=")</f>
        <v>#REF!</v>
      </c>
      <c r="M19" t="e">
        <f>AND(TOC!#REF!,"AAAAADruvww=")</f>
        <v>#REF!</v>
      </c>
      <c r="N19" t="e">
        <f>AND(TOC!#REF!,"AAAAADruvw0=")</f>
        <v>#REF!</v>
      </c>
      <c r="O19" t="e">
        <f>AND(TOC!#REF!,"AAAAADruvw4=")</f>
        <v>#REF!</v>
      </c>
      <c r="P19" t="e">
        <f>AND(TOC!#REF!,"AAAAADruvw8=")</f>
        <v>#REF!</v>
      </c>
      <c r="Q19" t="e">
        <f>AND(TOC!#REF!,"AAAAADruvxA=")</f>
        <v>#REF!</v>
      </c>
      <c r="R19" t="e">
        <f>IF(TOC!#REF!,"AAAAADruvxE=",0)</f>
        <v>#REF!</v>
      </c>
      <c r="S19" t="e">
        <f>AND(TOC!#REF!,"AAAAADruvxI=")</f>
        <v>#REF!</v>
      </c>
      <c r="T19" t="e">
        <f>AND(TOC!#REF!,"AAAAADruvxM=")</f>
        <v>#REF!</v>
      </c>
      <c r="U19" t="e">
        <f>AND(TOC!#REF!,"AAAAADruvxQ=")</f>
        <v>#REF!</v>
      </c>
      <c r="V19" t="e">
        <f>AND(TOC!#REF!,"AAAAADruvxU=")</f>
        <v>#REF!</v>
      </c>
      <c r="W19" t="e">
        <f>AND(TOC!#REF!,"AAAAADruvxY=")</f>
        <v>#REF!</v>
      </c>
      <c r="X19" t="e">
        <f>AND(TOC!#REF!,"AAAAADruvxc=")</f>
        <v>#REF!</v>
      </c>
      <c r="Y19" t="e">
        <f>AND(TOC!#REF!,"AAAAADruvxg=")</f>
        <v>#REF!</v>
      </c>
      <c r="Z19" t="e">
        <f>AND(TOC!#REF!,"AAAAADruvxk=")</f>
        <v>#REF!</v>
      </c>
      <c r="AA19" t="e">
        <f>AND(TOC!#REF!,"AAAAADruvxo=")</f>
        <v>#REF!</v>
      </c>
      <c r="AB19" t="e">
        <f>AND(TOC!#REF!,"AAAAADruvxs=")</f>
        <v>#REF!</v>
      </c>
      <c r="AC19" t="e">
        <f>AND(TOC!#REF!,"AAAAADruvxw=")</f>
        <v>#REF!</v>
      </c>
      <c r="AD19" t="e">
        <f>AND(TOC!#REF!,"AAAAADruvx0=")</f>
        <v>#REF!</v>
      </c>
      <c r="AE19" t="e">
        <f>AND(TOC!#REF!,"AAAAADruvx4=")</f>
        <v>#REF!</v>
      </c>
      <c r="AF19" t="e">
        <f>AND(TOC!#REF!,"AAAAADruvx8=")</f>
        <v>#REF!</v>
      </c>
      <c r="AG19" t="e">
        <f>AND(TOC!#REF!,"AAAAADruvyA=")</f>
        <v>#REF!</v>
      </c>
      <c r="AH19" t="e">
        <f>AND(TOC!#REF!,"AAAAADruvyE=")</f>
        <v>#REF!</v>
      </c>
      <c r="AI19" t="e">
        <f>AND(TOC!#REF!,"AAAAADruvyI=")</f>
        <v>#REF!</v>
      </c>
      <c r="AJ19" t="e">
        <f>AND(TOC!#REF!,"AAAAADruvyM=")</f>
        <v>#REF!</v>
      </c>
      <c r="AK19" t="e">
        <f>AND(TOC!#REF!,"AAAAADruvyQ=")</f>
        <v>#REF!</v>
      </c>
      <c r="AL19" t="e">
        <f>AND(TOC!#REF!,"AAAAADruvyU=")</f>
        <v>#REF!</v>
      </c>
      <c r="AM19" t="e">
        <f>AND(TOC!#REF!,"AAAAADruvyY=")</f>
        <v>#REF!</v>
      </c>
      <c r="AN19" t="e">
        <f>AND(TOC!#REF!,"AAAAADruvyc=")</f>
        <v>#REF!</v>
      </c>
      <c r="AO19" t="e">
        <f>AND(TOC!#REF!,"AAAAADruvyg=")</f>
        <v>#REF!</v>
      </c>
      <c r="AP19" t="e">
        <f>AND(TOC!#REF!,"AAAAADruvyk=")</f>
        <v>#REF!</v>
      </c>
      <c r="AQ19" t="e">
        <f>AND(TOC!#REF!,"AAAAADruvyo=")</f>
        <v>#REF!</v>
      </c>
      <c r="AR19" t="e">
        <f>AND(TOC!#REF!,"AAAAADruvys=")</f>
        <v>#REF!</v>
      </c>
      <c r="AS19" t="e">
        <f>AND(TOC!#REF!,"AAAAADruvyw=")</f>
        <v>#REF!</v>
      </c>
      <c r="AT19" t="e">
        <f>AND(TOC!#REF!,"AAAAADruvy0=")</f>
        <v>#REF!</v>
      </c>
      <c r="AU19" t="e">
        <f>AND(TOC!#REF!,"AAAAADruvy4=")</f>
        <v>#REF!</v>
      </c>
      <c r="AV19" t="e">
        <f>AND(TOC!#REF!,"AAAAADruvy8=")</f>
        <v>#REF!</v>
      </c>
      <c r="AW19" t="e">
        <f>AND(TOC!#REF!,"AAAAADruvzA=")</f>
        <v>#REF!</v>
      </c>
      <c r="AX19" t="e">
        <f>AND(TOC!#REF!,"AAAAADruvzE=")</f>
        <v>#REF!</v>
      </c>
      <c r="AY19" t="e">
        <f>AND(TOC!#REF!,"AAAAADruvzI=")</f>
        <v>#REF!</v>
      </c>
      <c r="AZ19" t="e">
        <f>AND(TOC!#REF!,"AAAAADruvzM=")</f>
        <v>#REF!</v>
      </c>
      <c r="BA19" t="e">
        <f>AND(TOC!#REF!,"AAAAADruvzQ=")</f>
        <v>#REF!</v>
      </c>
      <c r="BB19" t="e">
        <f>AND(TOC!#REF!,"AAAAADruvzU=")</f>
        <v>#REF!</v>
      </c>
      <c r="BC19" t="e">
        <f>IF(TOC!#REF!,"AAAAADruvzY=",0)</f>
        <v>#REF!</v>
      </c>
      <c r="BD19" t="e">
        <f>AND(TOC!#REF!,"AAAAADruvzc=")</f>
        <v>#REF!</v>
      </c>
      <c r="BE19" t="e">
        <f>AND(TOC!#REF!,"AAAAADruvzg=")</f>
        <v>#REF!</v>
      </c>
      <c r="BF19" t="e">
        <f>AND(TOC!#REF!,"AAAAADruvzk=")</f>
        <v>#REF!</v>
      </c>
      <c r="BG19" t="e">
        <f>AND(TOC!#REF!,"AAAAADruvzo=")</f>
        <v>#REF!</v>
      </c>
      <c r="BH19" t="e">
        <f>AND(TOC!#REF!,"AAAAADruvzs=")</f>
        <v>#REF!</v>
      </c>
      <c r="BI19" t="e">
        <f>AND(TOC!#REF!,"AAAAADruvzw=")</f>
        <v>#REF!</v>
      </c>
      <c r="BJ19" t="e">
        <f>AND(TOC!#REF!,"AAAAADruvz0=")</f>
        <v>#REF!</v>
      </c>
      <c r="BK19" t="e">
        <f>AND(TOC!#REF!,"AAAAADruvz4=")</f>
        <v>#REF!</v>
      </c>
      <c r="BL19" t="e">
        <f>AND(TOC!#REF!,"AAAAADruvz8=")</f>
        <v>#REF!</v>
      </c>
      <c r="BM19" t="e">
        <f>AND(TOC!#REF!,"AAAAADruv0A=")</f>
        <v>#REF!</v>
      </c>
      <c r="BN19" t="e">
        <f>AND(TOC!#REF!,"AAAAADruv0E=")</f>
        <v>#REF!</v>
      </c>
      <c r="BO19" t="e">
        <f>AND(TOC!#REF!,"AAAAADruv0I=")</f>
        <v>#REF!</v>
      </c>
      <c r="BP19" t="e">
        <f>AND(TOC!#REF!,"AAAAADruv0M=")</f>
        <v>#REF!</v>
      </c>
      <c r="BQ19" t="e">
        <f>AND(TOC!#REF!,"AAAAADruv0Q=")</f>
        <v>#REF!</v>
      </c>
      <c r="BR19" t="e">
        <f>AND(TOC!#REF!,"AAAAADruv0U=")</f>
        <v>#REF!</v>
      </c>
      <c r="BS19" t="e">
        <f>AND(TOC!#REF!,"AAAAADruv0Y=")</f>
        <v>#REF!</v>
      </c>
      <c r="BT19" t="e">
        <f>AND(TOC!#REF!,"AAAAADruv0c=")</f>
        <v>#REF!</v>
      </c>
      <c r="BU19" t="e">
        <f>AND(TOC!#REF!,"AAAAADruv0g=")</f>
        <v>#REF!</v>
      </c>
      <c r="BV19" t="e">
        <f>AND(TOC!#REF!,"AAAAADruv0k=")</f>
        <v>#REF!</v>
      </c>
      <c r="BW19" t="e">
        <f>AND(TOC!#REF!,"AAAAADruv0o=")</f>
        <v>#REF!</v>
      </c>
      <c r="BX19" t="e">
        <f>AND(TOC!#REF!,"AAAAADruv0s=")</f>
        <v>#REF!</v>
      </c>
      <c r="BY19" t="e">
        <f>AND(TOC!#REF!,"AAAAADruv0w=")</f>
        <v>#REF!</v>
      </c>
      <c r="BZ19" t="e">
        <f>AND(TOC!#REF!,"AAAAADruv00=")</f>
        <v>#REF!</v>
      </c>
      <c r="CA19" t="e">
        <f>AND(TOC!#REF!,"AAAAADruv04=")</f>
        <v>#REF!</v>
      </c>
      <c r="CB19" t="e">
        <f>AND(TOC!#REF!,"AAAAADruv08=")</f>
        <v>#REF!</v>
      </c>
      <c r="CC19" t="e">
        <f>AND(TOC!#REF!,"AAAAADruv1A=")</f>
        <v>#REF!</v>
      </c>
      <c r="CD19" t="e">
        <f>AND(TOC!#REF!,"AAAAADruv1E=")</f>
        <v>#REF!</v>
      </c>
      <c r="CE19" t="e">
        <f>AND(TOC!#REF!,"AAAAADruv1I=")</f>
        <v>#REF!</v>
      </c>
      <c r="CF19" t="e">
        <f>AND(TOC!#REF!,"AAAAADruv1M=")</f>
        <v>#REF!</v>
      </c>
      <c r="CG19" t="e">
        <f>AND(TOC!#REF!,"AAAAADruv1Q=")</f>
        <v>#REF!</v>
      </c>
      <c r="CH19" t="e">
        <f>AND(TOC!#REF!,"AAAAADruv1U=")</f>
        <v>#REF!</v>
      </c>
      <c r="CI19" t="e">
        <f>AND(TOC!#REF!,"AAAAADruv1Y=")</f>
        <v>#REF!</v>
      </c>
      <c r="CJ19" t="e">
        <f>AND(TOC!#REF!,"AAAAADruv1c=")</f>
        <v>#REF!</v>
      </c>
      <c r="CK19" t="e">
        <f>AND(TOC!#REF!,"AAAAADruv1g=")</f>
        <v>#REF!</v>
      </c>
      <c r="CL19" t="e">
        <f>AND(TOC!#REF!,"AAAAADruv1k=")</f>
        <v>#REF!</v>
      </c>
      <c r="CM19" t="e">
        <f>AND(TOC!#REF!,"AAAAADruv1o=")</f>
        <v>#REF!</v>
      </c>
      <c r="CN19" t="e">
        <f>IF(TOC!#REF!,"AAAAADruv1s=",0)</f>
        <v>#REF!</v>
      </c>
      <c r="CO19" t="e">
        <f>AND(TOC!#REF!,"AAAAADruv1w=")</f>
        <v>#REF!</v>
      </c>
      <c r="CP19" t="e">
        <f>AND(TOC!#REF!,"AAAAADruv10=")</f>
        <v>#REF!</v>
      </c>
      <c r="CQ19" t="e">
        <f>AND(TOC!#REF!,"AAAAADruv14=")</f>
        <v>#REF!</v>
      </c>
      <c r="CR19" t="e">
        <f>AND(TOC!#REF!,"AAAAADruv18=")</f>
        <v>#REF!</v>
      </c>
      <c r="CS19" t="e">
        <f>AND(TOC!#REF!,"AAAAADruv2A=")</f>
        <v>#REF!</v>
      </c>
      <c r="CT19" t="e">
        <f>AND(TOC!#REF!,"AAAAADruv2E=")</f>
        <v>#REF!</v>
      </c>
      <c r="CU19" t="e">
        <f>AND(TOC!#REF!,"AAAAADruv2I=")</f>
        <v>#REF!</v>
      </c>
      <c r="CV19" t="e">
        <f>AND(TOC!#REF!,"AAAAADruv2M=")</f>
        <v>#REF!</v>
      </c>
      <c r="CW19" t="e">
        <f>AND(TOC!#REF!,"AAAAADruv2Q=")</f>
        <v>#REF!</v>
      </c>
      <c r="CX19" t="e">
        <f>AND(TOC!#REF!,"AAAAADruv2U=")</f>
        <v>#REF!</v>
      </c>
      <c r="CY19" t="e">
        <f>AND(TOC!#REF!,"AAAAADruv2Y=")</f>
        <v>#REF!</v>
      </c>
      <c r="CZ19" t="e">
        <f>AND(TOC!#REF!,"AAAAADruv2c=")</f>
        <v>#REF!</v>
      </c>
      <c r="DA19" t="e">
        <f>AND(TOC!#REF!,"AAAAADruv2g=")</f>
        <v>#REF!</v>
      </c>
      <c r="DB19" t="e">
        <f>AND(TOC!#REF!,"AAAAADruv2k=")</f>
        <v>#REF!</v>
      </c>
      <c r="DC19" t="e">
        <f>AND(TOC!#REF!,"AAAAADruv2o=")</f>
        <v>#REF!</v>
      </c>
      <c r="DD19" t="e">
        <f>AND(TOC!#REF!,"AAAAADruv2s=")</f>
        <v>#REF!</v>
      </c>
      <c r="DE19" t="e">
        <f>AND(TOC!#REF!,"AAAAADruv2w=")</f>
        <v>#REF!</v>
      </c>
      <c r="DF19" t="e">
        <f>AND(TOC!#REF!,"AAAAADruv20=")</f>
        <v>#REF!</v>
      </c>
      <c r="DG19" t="e">
        <f>AND(TOC!#REF!,"AAAAADruv24=")</f>
        <v>#REF!</v>
      </c>
      <c r="DH19" t="e">
        <f>AND(TOC!#REF!,"AAAAADruv28=")</f>
        <v>#REF!</v>
      </c>
      <c r="DI19" t="e">
        <f>AND(TOC!#REF!,"AAAAADruv3A=")</f>
        <v>#REF!</v>
      </c>
      <c r="DJ19" t="e">
        <f>AND(TOC!#REF!,"AAAAADruv3E=")</f>
        <v>#REF!</v>
      </c>
      <c r="DK19" t="e">
        <f>AND(TOC!#REF!,"AAAAADruv3I=")</f>
        <v>#REF!</v>
      </c>
      <c r="DL19" t="e">
        <f>AND(TOC!#REF!,"AAAAADruv3M=")</f>
        <v>#REF!</v>
      </c>
      <c r="DM19" t="e">
        <f>AND(TOC!#REF!,"AAAAADruv3Q=")</f>
        <v>#REF!</v>
      </c>
      <c r="DN19" t="e">
        <f>AND(TOC!#REF!,"AAAAADruv3U=")</f>
        <v>#REF!</v>
      </c>
      <c r="DO19" t="e">
        <f>AND(TOC!#REF!,"AAAAADruv3Y=")</f>
        <v>#REF!</v>
      </c>
      <c r="DP19" t="e">
        <f>AND(TOC!#REF!,"AAAAADruv3c=")</f>
        <v>#REF!</v>
      </c>
      <c r="DQ19" t="e">
        <f>AND(TOC!#REF!,"AAAAADruv3g=")</f>
        <v>#REF!</v>
      </c>
      <c r="DR19" t="e">
        <f>AND(TOC!#REF!,"AAAAADruv3k=")</f>
        <v>#REF!</v>
      </c>
      <c r="DS19" t="e">
        <f>AND(TOC!#REF!,"AAAAADruv3o=")</f>
        <v>#REF!</v>
      </c>
      <c r="DT19" t="e">
        <f>AND(TOC!#REF!,"AAAAADruv3s=")</f>
        <v>#REF!</v>
      </c>
      <c r="DU19" t="e">
        <f>AND(TOC!#REF!,"AAAAADruv3w=")</f>
        <v>#REF!</v>
      </c>
      <c r="DV19" t="e">
        <f>AND(TOC!#REF!,"AAAAADruv30=")</f>
        <v>#REF!</v>
      </c>
      <c r="DW19" t="e">
        <f>AND(TOC!#REF!,"AAAAADruv34=")</f>
        <v>#REF!</v>
      </c>
      <c r="DX19" t="e">
        <f>AND(TOC!#REF!,"AAAAADruv38=")</f>
        <v>#REF!</v>
      </c>
      <c r="DY19" t="e">
        <f>IF(TOC!#REF!,"AAAAADruv4A=",0)</f>
        <v>#REF!</v>
      </c>
      <c r="DZ19" t="e">
        <f>AND(TOC!#REF!,"AAAAADruv4E=")</f>
        <v>#REF!</v>
      </c>
      <c r="EA19" t="e">
        <f>AND(TOC!#REF!,"AAAAADruv4I=")</f>
        <v>#REF!</v>
      </c>
      <c r="EB19" t="e">
        <f>AND(TOC!#REF!,"AAAAADruv4M=")</f>
        <v>#REF!</v>
      </c>
      <c r="EC19" t="e">
        <f>AND(TOC!#REF!,"AAAAADruv4Q=")</f>
        <v>#REF!</v>
      </c>
      <c r="ED19" t="e">
        <f>AND(TOC!#REF!,"AAAAADruv4U=")</f>
        <v>#REF!</v>
      </c>
      <c r="EE19" t="e">
        <f>AND(TOC!#REF!,"AAAAADruv4Y=")</f>
        <v>#REF!</v>
      </c>
      <c r="EF19" t="e">
        <f>AND(TOC!#REF!,"AAAAADruv4c=")</f>
        <v>#REF!</v>
      </c>
      <c r="EG19" t="e">
        <f>AND(TOC!#REF!,"AAAAADruv4g=")</f>
        <v>#REF!</v>
      </c>
      <c r="EH19" t="e">
        <f>AND(TOC!#REF!,"AAAAADruv4k=")</f>
        <v>#REF!</v>
      </c>
      <c r="EI19" t="e">
        <f>AND(TOC!#REF!,"AAAAADruv4o=")</f>
        <v>#REF!</v>
      </c>
      <c r="EJ19" t="e">
        <f>AND(TOC!#REF!,"AAAAADruv4s=")</f>
        <v>#REF!</v>
      </c>
      <c r="EK19" t="e">
        <f>AND(TOC!#REF!,"AAAAADruv4w=")</f>
        <v>#REF!</v>
      </c>
      <c r="EL19" t="e">
        <f>AND(TOC!#REF!,"AAAAADruv40=")</f>
        <v>#REF!</v>
      </c>
      <c r="EM19" t="e">
        <f>AND(TOC!#REF!,"AAAAADruv44=")</f>
        <v>#REF!</v>
      </c>
      <c r="EN19" t="e">
        <f>AND(TOC!#REF!,"AAAAADruv48=")</f>
        <v>#REF!</v>
      </c>
      <c r="EO19" t="e">
        <f>AND(TOC!#REF!,"AAAAADruv5A=")</f>
        <v>#REF!</v>
      </c>
      <c r="EP19" t="e">
        <f>AND(TOC!#REF!,"AAAAADruv5E=")</f>
        <v>#REF!</v>
      </c>
      <c r="EQ19" t="e">
        <f>AND(TOC!#REF!,"AAAAADruv5I=")</f>
        <v>#REF!</v>
      </c>
      <c r="ER19" t="e">
        <f>AND(TOC!#REF!,"AAAAADruv5M=")</f>
        <v>#REF!</v>
      </c>
      <c r="ES19" t="e">
        <f>AND(TOC!#REF!,"AAAAADruv5Q=")</f>
        <v>#REF!</v>
      </c>
      <c r="ET19" t="e">
        <f>AND(TOC!#REF!,"AAAAADruv5U=")</f>
        <v>#REF!</v>
      </c>
      <c r="EU19" t="e">
        <f>AND(TOC!#REF!,"AAAAADruv5Y=")</f>
        <v>#REF!</v>
      </c>
      <c r="EV19" t="e">
        <f>AND(TOC!#REF!,"AAAAADruv5c=")</f>
        <v>#REF!</v>
      </c>
      <c r="EW19" t="e">
        <f>AND(TOC!#REF!,"AAAAADruv5g=")</f>
        <v>#REF!</v>
      </c>
      <c r="EX19" t="e">
        <f>AND(TOC!#REF!,"AAAAADruv5k=")</f>
        <v>#REF!</v>
      </c>
      <c r="EY19" t="e">
        <f>AND(TOC!#REF!,"AAAAADruv5o=")</f>
        <v>#REF!</v>
      </c>
      <c r="EZ19" t="e">
        <f>AND(TOC!#REF!,"AAAAADruv5s=")</f>
        <v>#REF!</v>
      </c>
      <c r="FA19" t="e">
        <f>AND(TOC!#REF!,"AAAAADruv5w=")</f>
        <v>#REF!</v>
      </c>
      <c r="FB19" t="e">
        <f>AND(TOC!#REF!,"AAAAADruv50=")</f>
        <v>#REF!</v>
      </c>
      <c r="FC19" t="e">
        <f>AND(TOC!#REF!,"AAAAADruv54=")</f>
        <v>#REF!</v>
      </c>
      <c r="FD19" t="e">
        <f>AND(TOC!#REF!,"AAAAADruv58=")</f>
        <v>#REF!</v>
      </c>
      <c r="FE19" t="e">
        <f>AND(TOC!#REF!,"AAAAADruv6A=")</f>
        <v>#REF!</v>
      </c>
      <c r="FF19" t="e">
        <f>AND(TOC!#REF!,"AAAAADruv6E=")</f>
        <v>#REF!</v>
      </c>
      <c r="FG19" t="e">
        <f>AND(TOC!#REF!,"AAAAADruv6I=")</f>
        <v>#REF!</v>
      </c>
      <c r="FH19" t="e">
        <f>AND(TOC!#REF!,"AAAAADruv6M=")</f>
        <v>#REF!</v>
      </c>
      <c r="FI19" t="e">
        <f>AND(TOC!#REF!,"AAAAADruv6Q=")</f>
        <v>#REF!</v>
      </c>
      <c r="FJ19" t="e">
        <f>IF(TOC!#REF!,"AAAAADruv6U=",0)</f>
        <v>#REF!</v>
      </c>
      <c r="FK19" t="e">
        <f>AND(TOC!#REF!,"AAAAADruv6Y=")</f>
        <v>#REF!</v>
      </c>
      <c r="FL19" t="e">
        <f>AND(TOC!#REF!,"AAAAADruv6c=")</f>
        <v>#REF!</v>
      </c>
      <c r="FM19" t="e">
        <f>AND(TOC!#REF!,"AAAAADruv6g=")</f>
        <v>#REF!</v>
      </c>
      <c r="FN19" t="e">
        <f>AND(TOC!#REF!,"AAAAADruv6k=")</f>
        <v>#REF!</v>
      </c>
      <c r="FO19" t="e">
        <f>AND(TOC!#REF!,"AAAAADruv6o=")</f>
        <v>#REF!</v>
      </c>
      <c r="FP19" t="e">
        <f>AND(TOC!#REF!,"AAAAADruv6s=")</f>
        <v>#REF!</v>
      </c>
      <c r="FQ19" t="e">
        <f>AND(TOC!#REF!,"AAAAADruv6w=")</f>
        <v>#REF!</v>
      </c>
      <c r="FR19" t="e">
        <f>AND(TOC!#REF!,"AAAAADruv60=")</f>
        <v>#REF!</v>
      </c>
      <c r="FS19" t="e">
        <f>AND(TOC!#REF!,"AAAAADruv64=")</f>
        <v>#REF!</v>
      </c>
      <c r="FT19" t="e">
        <f>AND(TOC!#REF!,"AAAAADruv68=")</f>
        <v>#REF!</v>
      </c>
      <c r="FU19" t="e">
        <f>AND(TOC!#REF!,"AAAAADruv7A=")</f>
        <v>#REF!</v>
      </c>
      <c r="FV19" t="e">
        <f>AND(TOC!#REF!,"AAAAADruv7E=")</f>
        <v>#REF!</v>
      </c>
      <c r="FW19" t="e">
        <f>AND(TOC!#REF!,"AAAAADruv7I=")</f>
        <v>#REF!</v>
      </c>
      <c r="FX19" t="e">
        <f>AND(TOC!#REF!,"AAAAADruv7M=")</f>
        <v>#REF!</v>
      </c>
      <c r="FY19" t="e">
        <f>AND(TOC!#REF!,"AAAAADruv7Q=")</f>
        <v>#REF!</v>
      </c>
      <c r="FZ19" t="e">
        <f>AND(TOC!#REF!,"AAAAADruv7U=")</f>
        <v>#REF!</v>
      </c>
      <c r="GA19" t="e">
        <f>AND(TOC!#REF!,"AAAAADruv7Y=")</f>
        <v>#REF!</v>
      </c>
      <c r="GB19" t="e">
        <f>AND(TOC!#REF!,"AAAAADruv7c=")</f>
        <v>#REF!</v>
      </c>
      <c r="GC19" t="e">
        <f>AND(TOC!#REF!,"AAAAADruv7g=")</f>
        <v>#REF!</v>
      </c>
      <c r="GD19" t="e">
        <f>AND(TOC!#REF!,"AAAAADruv7k=")</f>
        <v>#REF!</v>
      </c>
      <c r="GE19" t="e">
        <f>AND(TOC!#REF!,"AAAAADruv7o=")</f>
        <v>#REF!</v>
      </c>
      <c r="GF19" t="e">
        <f>AND(TOC!#REF!,"AAAAADruv7s=")</f>
        <v>#REF!</v>
      </c>
      <c r="GG19" t="e">
        <f>AND(TOC!#REF!,"AAAAADruv7w=")</f>
        <v>#REF!</v>
      </c>
      <c r="GH19" t="e">
        <f>AND(TOC!#REF!,"AAAAADruv70=")</f>
        <v>#REF!</v>
      </c>
      <c r="GI19" t="e">
        <f>AND(TOC!#REF!,"AAAAADruv74=")</f>
        <v>#REF!</v>
      </c>
      <c r="GJ19" t="e">
        <f>AND(TOC!#REF!,"AAAAADruv78=")</f>
        <v>#REF!</v>
      </c>
      <c r="GK19" t="e">
        <f>AND(TOC!#REF!,"AAAAADruv8A=")</f>
        <v>#REF!</v>
      </c>
      <c r="GL19" t="e">
        <f>AND(TOC!#REF!,"AAAAADruv8E=")</f>
        <v>#REF!</v>
      </c>
      <c r="GM19" t="e">
        <f>AND(TOC!#REF!,"AAAAADruv8I=")</f>
        <v>#REF!</v>
      </c>
      <c r="GN19" t="e">
        <f>AND(TOC!#REF!,"AAAAADruv8M=")</f>
        <v>#REF!</v>
      </c>
      <c r="GO19" t="e">
        <f>AND(TOC!#REF!,"AAAAADruv8Q=")</f>
        <v>#REF!</v>
      </c>
      <c r="GP19" t="e">
        <f>AND(TOC!#REF!,"AAAAADruv8U=")</f>
        <v>#REF!</v>
      </c>
      <c r="GQ19" t="e">
        <f>AND(TOC!#REF!,"AAAAADruv8Y=")</f>
        <v>#REF!</v>
      </c>
      <c r="GR19" t="e">
        <f>AND(TOC!#REF!,"AAAAADruv8c=")</f>
        <v>#REF!</v>
      </c>
      <c r="GS19" t="e">
        <f>AND(TOC!#REF!,"AAAAADruv8g=")</f>
        <v>#REF!</v>
      </c>
      <c r="GT19" t="e">
        <f>AND(TOC!#REF!,"AAAAADruv8k=")</f>
        <v>#REF!</v>
      </c>
      <c r="GU19" t="e">
        <f>IF(TOC!#REF!,"AAAAADruv8o=",0)</f>
        <v>#REF!</v>
      </c>
      <c r="GV19" t="e">
        <f>AND(TOC!#REF!,"AAAAADruv8s=")</f>
        <v>#REF!</v>
      </c>
      <c r="GW19" t="e">
        <f>AND(TOC!#REF!,"AAAAADruv8w=")</f>
        <v>#REF!</v>
      </c>
      <c r="GX19" t="e">
        <f>AND(TOC!#REF!,"AAAAADruv80=")</f>
        <v>#REF!</v>
      </c>
      <c r="GY19" t="e">
        <f>AND(TOC!#REF!,"AAAAADruv84=")</f>
        <v>#REF!</v>
      </c>
      <c r="GZ19" t="e">
        <f>AND(TOC!#REF!,"AAAAADruv88=")</f>
        <v>#REF!</v>
      </c>
      <c r="HA19" t="e">
        <f>AND(TOC!#REF!,"AAAAADruv9A=")</f>
        <v>#REF!</v>
      </c>
      <c r="HB19" t="e">
        <f>AND(TOC!#REF!,"AAAAADruv9E=")</f>
        <v>#REF!</v>
      </c>
      <c r="HC19" t="e">
        <f>AND(TOC!#REF!,"AAAAADruv9I=")</f>
        <v>#REF!</v>
      </c>
      <c r="HD19" t="e">
        <f>AND(TOC!#REF!,"AAAAADruv9M=")</f>
        <v>#REF!</v>
      </c>
      <c r="HE19" t="e">
        <f>AND(TOC!#REF!,"AAAAADruv9Q=")</f>
        <v>#REF!</v>
      </c>
      <c r="HF19" t="e">
        <f>AND(TOC!#REF!,"AAAAADruv9U=")</f>
        <v>#REF!</v>
      </c>
      <c r="HG19" t="e">
        <f>AND(TOC!#REF!,"AAAAADruv9Y=")</f>
        <v>#REF!</v>
      </c>
      <c r="HH19" t="e">
        <f>AND(TOC!#REF!,"AAAAADruv9c=")</f>
        <v>#REF!</v>
      </c>
      <c r="HI19" t="e">
        <f>AND(TOC!#REF!,"AAAAADruv9g=")</f>
        <v>#REF!</v>
      </c>
      <c r="HJ19" t="e">
        <f>AND(TOC!#REF!,"AAAAADruv9k=")</f>
        <v>#REF!</v>
      </c>
      <c r="HK19" t="e">
        <f>AND(TOC!#REF!,"AAAAADruv9o=")</f>
        <v>#REF!</v>
      </c>
      <c r="HL19" t="e">
        <f>AND(TOC!#REF!,"AAAAADruv9s=")</f>
        <v>#REF!</v>
      </c>
      <c r="HM19" t="e">
        <f>AND(TOC!#REF!,"AAAAADruv9w=")</f>
        <v>#REF!</v>
      </c>
      <c r="HN19" t="e">
        <f>AND(TOC!#REF!,"AAAAADruv90=")</f>
        <v>#REF!</v>
      </c>
      <c r="HO19" t="e">
        <f>AND(TOC!#REF!,"AAAAADruv94=")</f>
        <v>#REF!</v>
      </c>
      <c r="HP19" t="e">
        <f>AND(TOC!#REF!,"AAAAADruv98=")</f>
        <v>#REF!</v>
      </c>
      <c r="HQ19" t="e">
        <f>AND(TOC!#REF!,"AAAAADruv+A=")</f>
        <v>#REF!</v>
      </c>
      <c r="HR19" t="e">
        <f>AND(TOC!#REF!,"AAAAADruv+E=")</f>
        <v>#REF!</v>
      </c>
      <c r="HS19" t="e">
        <f>AND(TOC!#REF!,"AAAAADruv+I=")</f>
        <v>#REF!</v>
      </c>
      <c r="HT19" t="e">
        <f>AND(TOC!#REF!,"AAAAADruv+M=")</f>
        <v>#REF!</v>
      </c>
      <c r="HU19" t="e">
        <f>AND(TOC!#REF!,"AAAAADruv+Q=")</f>
        <v>#REF!</v>
      </c>
      <c r="HV19" t="e">
        <f>AND(TOC!#REF!,"AAAAADruv+U=")</f>
        <v>#REF!</v>
      </c>
      <c r="HW19" t="e">
        <f>AND(TOC!#REF!,"AAAAADruv+Y=")</f>
        <v>#REF!</v>
      </c>
      <c r="HX19" t="e">
        <f>AND(TOC!#REF!,"AAAAADruv+c=")</f>
        <v>#REF!</v>
      </c>
      <c r="HY19" t="e">
        <f>AND(TOC!#REF!,"AAAAADruv+g=")</f>
        <v>#REF!</v>
      </c>
      <c r="HZ19" t="e">
        <f>AND(TOC!#REF!,"AAAAADruv+k=")</f>
        <v>#REF!</v>
      </c>
      <c r="IA19" t="e">
        <f>AND(TOC!#REF!,"AAAAADruv+o=")</f>
        <v>#REF!</v>
      </c>
      <c r="IB19" t="e">
        <f>AND(TOC!#REF!,"AAAAADruv+s=")</f>
        <v>#REF!</v>
      </c>
      <c r="IC19" t="e">
        <f>AND(TOC!#REF!,"AAAAADruv+w=")</f>
        <v>#REF!</v>
      </c>
      <c r="ID19" t="e">
        <f>AND(TOC!#REF!,"AAAAADruv+0=")</f>
        <v>#REF!</v>
      </c>
      <c r="IE19" t="e">
        <f>AND(TOC!#REF!,"AAAAADruv+4=")</f>
        <v>#REF!</v>
      </c>
      <c r="IF19" t="e">
        <f>IF(TOC!#REF!,"AAAAADruv+8=",0)</f>
        <v>#REF!</v>
      </c>
      <c r="IG19" t="e">
        <f>AND(TOC!#REF!,"AAAAADruv/A=")</f>
        <v>#REF!</v>
      </c>
      <c r="IH19" t="e">
        <f>AND(TOC!#REF!,"AAAAADruv/E=")</f>
        <v>#REF!</v>
      </c>
      <c r="II19" t="e">
        <f>AND(TOC!#REF!,"AAAAADruv/I=")</f>
        <v>#REF!</v>
      </c>
      <c r="IJ19" t="e">
        <f>AND(TOC!#REF!,"AAAAADruv/M=")</f>
        <v>#REF!</v>
      </c>
      <c r="IK19" t="e">
        <f>AND(TOC!#REF!,"AAAAADruv/Q=")</f>
        <v>#REF!</v>
      </c>
      <c r="IL19" t="e">
        <f>AND(TOC!#REF!,"AAAAADruv/U=")</f>
        <v>#REF!</v>
      </c>
      <c r="IM19" t="e">
        <f>AND(TOC!#REF!,"AAAAADruv/Y=")</f>
        <v>#REF!</v>
      </c>
      <c r="IN19" t="e">
        <f>AND(TOC!#REF!,"AAAAADruv/c=")</f>
        <v>#REF!</v>
      </c>
      <c r="IO19" t="e">
        <f>AND(TOC!#REF!,"AAAAADruv/g=")</f>
        <v>#REF!</v>
      </c>
      <c r="IP19" t="e">
        <f>AND(TOC!#REF!,"AAAAADruv/k=")</f>
        <v>#REF!</v>
      </c>
      <c r="IQ19" t="e">
        <f>AND(TOC!#REF!,"AAAAADruv/o=")</f>
        <v>#REF!</v>
      </c>
      <c r="IR19" t="e">
        <f>AND(TOC!#REF!,"AAAAADruv/s=")</f>
        <v>#REF!</v>
      </c>
      <c r="IS19" t="e">
        <f>AND(TOC!#REF!,"AAAAADruv/w=")</f>
        <v>#REF!</v>
      </c>
      <c r="IT19" t="e">
        <f>AND(TOC!#REF!,"AAAAADruv/0=")</f>
        <v>#REF!</v>
      </c>
      <c r="IU19" t="e">
        <f>AND(TOC!#REF!,"AAAAADruv/4=")</f>
        <v>#REF!</v>
      </c>
      <c r="IV19" t="e">
        <f>AND(TOC!#REF!,"AAAAADruv/8=")</f>
        <v>#REF!</v>
      </c>
    </row>
    <row r="20" spans="1:256" x14ac:dyDescent="0.2">
      <c r="A20" t="e">
        <f>AND(TOC!#REF!,"AAAAAD/3zwA=")</f>
        <v>#REF!</v>
      </c>
      <c r="B20" t="e">
        <f>AND(TOC!#REF!,"AAAAAD/3zwE=")</f>
        <v>#REF!</v>
      </c>
      <c r="C20" t="e">
        <f>AND(TOC!#REF!,"AAAAAD/3zwI=")</f>
        <v>#REF!</v>
      </c>
      <c r="D20" t="e">
        <f>AND(TOC!#REF!,"AAAAAD/3zwM=")</f>
        <v>#REF!</v>
      </c>
      <c r="E20" t="e">
        <f>AND(TOC!#REF!,"AAAAAD/3zwQ=")</f>
        <v>#REF!</v>
      </c>
      <c r="F20" t="e">
        <f>AND(TOC!#REF!,"AAAAAD/3zwU=")</f>
        <v>#REF!</v>
      </c>
      <c r="G20" t="e">
        <f>AND(TOC!#REF!,"AAAAAD/3zwY=")</f>
        <v>#REF!</v>
      </c>
      <c r="H20" t="e">
        <f>AND(TOC!#REF!,"AAAAAD/3zwc=")</f>
        <v>#REF!</v>
      </c>
      <c r="I20" t="e">
        <f>AND(TOC!#REF!,"AAAAAD/3zwg=")</f>
        <v>#REF!</v>
      </c>
      <c r="J20" t="e">
        <f>AND(TOC!#REF!,"AAAAAD/3zwk=")</f>
        <v>#REF!</v>
      </c>
      <c r="K20" t="e">
        <f>AND(TOC!#REF!,"AAAAAD/3zwo=")</f>
        <v>#REF!</v>
      </c>
      <c r="L20" t="e">
        <f>AND(TOC!#REF!,"AAAAAD/3zws=")</f>
        <v>#REF!</v>
      </c>
      <c r="M20" t="e">
        <f>AND(TOC!#REF!,"AAAAAD/3zww=")</f>
        <v>#REF!</v>
      </c>
      <c r="N20" t="e">
        <f>AND(TOC!#REF!,"AAAAAD/3zw0=")</f>
        <v>#REF!</v>
      </c>
      <c r="O20" t="e">
        <f>AND(TOC!#REF!,"AAAAAD/3zw4=")</f>
        <v>#REF!</v>
      </c>
      <c r="P20" t="e">
        <f>AND(TOC!#REF!,"AAAAAD/3zw8=")</f>
        <v>#REF!</v>
      </c>
      <c r="Q20" t="e">
        <f>AND(TOC!#REF!,"AAAAAD/3zxA=")</f>
        <v>#REF!</v>
      </c>
      <c r="R20" t="e">
        <f>AND(TOC!#REF!,"AAAAAD/3zxE=")</f>
        <v>#REF!</v>
      </c>
      <c r="S20" t="e">
        <f>AND(TOC!#REF!,"AAAAAD/3zxI=")</f>
        <v>#REF!</v>
      </c>
      <c r="T20" t="e">
        <f>AND(TOC!#REF!,"AAAAAD/3zxM=")</f>
        <v>#REF!</v>
      </c>
      <c r="U20" t="e">
        <f>IF(TOC!#REF!,"AAAAAD/3zxQ=",0)</f>
        <v>#REF!</v>
      </c>
      <c r="V20" t="e">
        <f>AND(TOC!#REF!,"AAAAAD/3zxU=")</f>
        <v>#REF!</v>
      </c>
      <c r="W20" t="e">
        <f>AND(TOC!#REF!,"AAAAAD/3zxY=")</f>
        <v>#REF!</v>
      </c>
      <c r="X20" t="e">
        <f>AND(TOC!#REF!,"AAAAAD/3zxc=")</f>
        <v>#REF!</v>
      </c>
      <c r="Y20" t="e">
        <f>AND(TOC!#REF!,"AAAAAD/3zxg=")</f>
        <v>#REF!</v>
      </c>
      <c r="Z20" t="e">
        <f>AND(TOC!#REF!,"AAAAAD/3zxk=")</f>
        <v>#REF!</v>
      </c>
      <c r="AA20" t="e">
        <f>AND(TOC!#REF!,"AAAAAD/3zxo=")</f>
        <v>#REF!</v>
      </c>
      <c r="AB20" t="e">
        <f>AND(TOC!#REF!,"AAAAAD/3zxs=")</f>
        <v>#REF!</v>
      </c>
      <c r="AC20" t="e">
        <f>AND(TOC!#REF!,"AAAAAD/3zxw=")</f>
        <v>#REF!</v>
      </c>
      <c r="AD20" t="e">
        <f>AND(TOC!#REF!,"AAAAAD/3zx0=")</f>
        <v>#REF!</v>
      </c>
      <c r="AE20" t="e">
        <f>AND(TOC!#REF!,"AAAAAD/3zx4=")</f>
        <v>#REF!</v>
      </c>
      <c r="AF20" t="e">
        <f>AND(TOC!#REF!,"AAAAAD/3zx8=")</f>
        <v>#REF!</v>
      </c>
      <c r="AG20" t="e">
        <f>AND(TOC!#REF!,"AAAAAD/3zyA=")</f>
        <v>#REF!</v>
      </c>
      <c r="AH20" t="e">
        <f>AND(TOC!#REF!,"AAAAAD/3zyE=")</f>
        <v>#REF!</v>
      </c>
      <c r="AI20" t="e">
        <f>AND(TOC!#REF!,"AAAAAD/3zyI=")</f>
        <v>#REF!</v>
      </c>
      <c r="AJ20" t="e">
        <f>AND(TOC!#REF!,"AAAAAD/3zyM=")</f>
        <v>#REF!</v>
      </c>
      <c r="AK20" t="e">
        <f>AND(TOC!#REF!,"AAAAAD/3zyQ=")</f>
        <v>#REF!</v>
      </c>
      <c r="AL20" t="e">
        <f>AND(TOC!#REF!,"AAAAAD/3zyU=")</f>
        <v>#REF!</v>
      </c>
      <c r="AM20" t="e">
        <f>AND(TOC!#REF!,"AAAAAD/3zyY=")</f>
        <v>#REF!</v>
      </c>
      <c r="AN20" t="e">
        <f>AND(TOC!#REF!,"AAAAAD/3zyc=")</f>
        <v>#REF!</v>
      </c>
      <c r="AO20" t="e">
        <f>AND(TOC!#REF!,"AAAAAD/3zyg=")</f>
        <v>#REF!</v>
      </c>
      <c r="AP20" t="e">
        <f>AND(TOC!#REF!,"AAAAAD/3zyk=")</f>
        <v>#REF!</v>
      </c>
      <c r="AQ20" t="e">
        <f>AND(TOC!#REF!,"AAAAAD/3zyo=")</f>
        <v>#REF!</v>
      </c>
      <c r="AR20" t="e">
        <f>AND(TOC!#REF!,"AAAAAD/3zys=")</f>
        <v>#REF!</v>
      </c>
      <c r="AS20" t="e">
        <f>AND(TOC!#REF!,"AAAAAD/3zyw=")</f>
        <v>#REF!</v>
      </c>
      <c r="AT20" t="e">
        <f>AND(TOC!#REF!,"AAAAAD/3zy0=")</f>
        <v>#REF!</v>
      </c>
      <c r="AU20" t="e">
        <f>AND(TOC!#REF!,"AAAAAD/3zy4=")</f>
        <v>#REF!</v>
      </c>
      <c r="AV20" t="e">
        <f>AND(TOC!#REF!,"AAAAAD/3zy8=")</f>
        <v>#REF!</v>
      </c>
      <c r="AW20" t="e">
        <f>AND(TOC!#REF!,"AAAAAD/3zzA=")</f>
        <v>#REF!</v>
      </c>
      <c r="AX20" t="e">
        <f>AND(TOC!#REF!,"AAAAAD/3zzE=")</f>
        <v>#REF!</v>
      </c>
      <c r="AY20" t="e">
        <f>AND(TOC!#REF!,"AAAAAD/3zzI=")</f>
        <v>#REF!</v>
      </c>
      <c r="AZ20" t="e">
        <f>AND(TOC!#REF!,"AAAAAD/3zzM=")</f>
        <v>#REF!</v>
      </c>
      <c r="BA20" t="e">
        <f>AND(TOC!#REF!,"AAAAAD/3zzQ=")</f>
        <v>#REF!</v>
      </c>
      <c r="BB20" t="e">
        <f>AND(TOC!#REF!,"AAAAAD/3zzU=")</f>
        <v>#REF!</v>
      </c>
      <c r="BC20" t="e">
        <f>AND(TOC!#REF!,"AAAAAD/3zzY=")</f>
        <v>#REF!</v>
      </c>
      <c r="BD20" t="e">
        <f>AND(TOC!#REF!,"AAAAAD/3zzc=")</f>
        <v>#REF!</v>
      </c>
      <c r="BE20" t="e">
        <f>AND(TOC!#REF!,"AAAAAD/3zzg=")</f>
        <v>#REF!</v>
      </c>
      <c r="BF20" t="e">
        <f>IF(TOC!#REF!,"AAAAAD/3zzk=",0)</f>
        <v>#REF!</v>
      </c>
      <c r="BG20" t="e">
        <f>AND(TOC!#REF!,"AAAAAD/3zzo=")</f>
        <v>#REF!</v>
      </c>
      <c r="BH20" t="e">
        <f>AND(TOC!#REF!,"AAAAAD/3zzs=")</f>
        <v>#REF!</v>
      </c>
      <c r="BI20" t="e">
        <f>AND(TOC!#REF!,"AAAAAD/3zzw=")</f>
        <v>#REF!</v>
      </c>
      <c r="BJ20" t="e">
        <f>AND(TOC!#REF!,"AAAAAD/3zz0=")</f>
        <v>#REF!</v>
      </c>
      <c r="BK20" t="e">
        <f>AND(TOC!#REF!,"AAAAAD/3zz4=")</f>
        <v>#REF!</v>
      </c>
      <c r="BL20" t="e">
        <f>AND(TOC!#REF!,"AAAAAD/3zz8=")</f>
        <v>#REF!</v>
      </c>
      <c r="BM20" t="e">
        <f>AND(TOC!#REF!,"AAAAAD/3z0A=")</f>
        <v>#REF!</v>
      </c>
      <c r="BN20" t="e">
        <f>AND(TOC!#REF!,"AAAAAD/3z0E=")</f>
        <v>#REF!</v>
      </c>
      <c r="BO20" t="e">
        <f>AND(TOC!#REF!,"AAAAAD/3z0I=")</f>
        <v>#REF!</v>
      </c>
      <c r="BP20" t="e">
        <f>AND(TOC!#REF!,"AAAAAD/3z0M=")</f>
        <v>#REF!</v>
      </c>
      <c r="BQ20" t="e">
        <f>AND(TOC!#REF!,"AAAAAD/3z0Q=")</f>
        <v>#REF!</v>
      </c>
      <c r="BR20" t="e">
        <f>AND(TOC!#REF!,"AAAAAD/3z0U=")</f>
        <v>#REF!</v>
      </c>
      <c r="BS20" t="e">
        <f>AND(TOC!#REF!,"AAAAAD/3z0Y=")</f>
        <v>#REF!</v>
      </c>
      <c r="BT20" t="e">
        <f>AND(TOC!#REF!,"AAAAAD/3z0c=")</f>
        <v>#REF!</v>
      </c>
      <c r="BU20" t="e">
        <f>AND(TOC!#REF!,"AAAAAD/3z0g=")</f>
        <v>#REF!</v>
      </c>
      <c r="BV20" t="e">
        <f>AND(TOC!#REF!,"AAAAAD/3z0k=")</f>
        <v>#REF!</v>
      </c>
      <c r="BW20" t="e">
        <f>AND(TOC!#REF!,"AAAAAD/3z0o=")</f>
        <v>#REF!</v>
      </c>
      <c r="BX20" t="e">
        <f>AND(TOC!#REF!,"AAAAAD/3z0s=")</f>
        <v>#REF!</v>
      </c>
      <c r="BY20" t="e">
        <f>AND(TOC!#REF!,"AAAAAD/3z0w=")</f>
        <v>#REF!</v>
      </c>
      <c r="BZ20" t="e">
        <f>AND(TOC!#REF!,"AAAAAD/3z00=")</f>
        <v>#REF!</v>
      </c>
      <c r="CA20" t="e">
        <f>AND(TOC!#REF!,"AAAAAD/3z04=")</f>
        <v>#REF!</v>
      </c>
      <c r="CB20" t="e">
        <f>AND(TOC!#REF!,"AAAAAD/3z08=")</f>
        <v>#REF!</v>
      </c>
      <c r="CC20" t="e">
        <f>AND(TOC!#REF!,"AAAAAD/3z1A=")</f>
        <v>#REF!</v>
      </c>
      <c r="CD20" t="e">
        <f>AND(TOC!#REF!,"AAAAAD/3z1E=")</f>
        <v>#REF!</v>
      </c>
      <c r="CE20" t="e">
        <f>AND(TOC!#REF!,"AAAAAD/3z1I=")</f>
        <v>#REF!</v>
      </c>
      <c r="CF20" t="e">
        <f>AND(TOC!#REF!,"AAAAAD/3z1M=")</f>
        <v>#REF!</v>
      </c>
      <c r="CG20" t="e">
        <f>AND(TOC!#REF!,"AAAAAD/3z1Q=")</f>
        <v>#REF!</v>
      </c>
      <c r="CH20" t="e">
        <f>AND(TOC!#REF!,"AAAAAD/3z1U=")</f>
        <v>#REF!</v>
      </c>
      <c r="CI20" t="e">
        <f>AND(TOC!#REF!,"AAAAAD/3z1Y=")</f>
        <v>#REF!</v>
      </c>
      <c r="CJ20" t="e">
        <f>AND(TOC!#REF!,"AAAAAD/3z1c=")</f>
        <v>#REF!</v>
      </c>
      <c r="CK20" t="e">
        <f>AND(TOC!#REF!,"AAAAAD/3z1g=")</f>
        <v>#REF!</v>
      </c>
      <c r="CL20" t="e">
        <f>AND(TOC!#REF!,"AAAAAD/3z1k=")</f>
        <v>#REF!</v>
      </c>
      <c r="CM20" t="e">
        <f>AND(TOC!#REF!,"AAAAAD/3z1o=")</f>
        <v>#REF!</v>
      </c>
      <c r="CN20" t="e">
        <f>AND(TOC!#REF!,"AAAAAD/3z1s=")</f>
        <v>#REF!</v>
      </c>
      <c r="CO20" t="e">
        <f>AND(TOC!#REF!,"AAAAAD/3z1w=")</f>
        <v>#REF!</v>
      </c>
      <c r="CP20" t="e">
        <f>AND(TOC!#REF!,"AAAAAD/3z10=")</f>
        <v>#REF!</v>
      </c>
      <c r="CQ20" t="e">
        <f>IF(TOC!#REF!,"AAAAAD/3z14=",0)</f>
        <v>#REF!</v>
      </c>
      <c r="CR20" t="e">
        <f>AND(TOC!#REF!,"AAAAAD/3z18=")</f>
        <v>#REF!</v>
      </c>
      <c r="CS20" t="e">
        <f>AND(TOC!#REF!,"AAAAAD/3z2A=")</f>
        <v>#REF!</v>
      </c>
      <c r="CT20" t="e">
        <f>AND(TOC!#REF!,"AAAAAD/3z2E=")</f>
        <v>#REF!</v>
      </c>
      <c r="CU20" t="e">
        <f>AND(TOC!#REF!,"AAAAAD/3z2I=")</f>
        <v>#REF!</v>
      </c>
      <c r="CV20" t="e">
        <f>AND(TOC!#REF!,"AAAAAD/3z2M=")</f>
        <v>#REF!</v>
      </c>
      <c r="CW20" t="e">
        <f>AND(TOC!#REF!,"AAAAAD/3z2Q=")</f>
        <v>#REF!</v>
      </c>
      <c r="CX20" t="e">
        <f>AND(TOC!#REF!,"AAAAAD/3z2U=")</f>
        <v>#REF!</v>
      </c>
      <c r="CY20" t="e">
        <f>AND(TOC!#REF!,"AAAAAD/3z2Y=")</f>
        <v>#REF!</v>
      </c>
      <c r="CZ20" t="e">
        <f>AND(TOC!#REF!,"AAAAAD/3z2c=")</f>
        <v>#REF!</v>
      </c>
      <c r="DA20" t="e">
        <f>AND(TOC!#REF!,"AAAAAD/3z2g=")</f>
        <v>#REF!</v>
      </c>
      <c r="DB20" t="e">
        <f>AND(TOC!#REF!,"AAAAAD/3z2k=")</f>
        <v>#REF!</v>
      </c>
      <c r="DC20" t="e">
        <f>AND(TOC!#REF!,"AAAAAD/3z2o=")</f>
        <v>#REF!</v>
      </c>
      <c r="DD20" t="e">
        <f>AND(TOC!#REF!,"AAAAAD/3z2s=")</f>
        <v>#REF!</v>
      </c>
      <c r="DE20" t="e">
        <f>AND(TOC!#REF!,"AAAAAD/3z2w=")</f>
        <v>#REF!</v>
      </c>
      <c r="DF20" t="e">
        <f>AND(TOC!#REF!,"AAAAAD/3z20=")</f>
        <v>#REF!</v>
      </c>
      <c r="DG20" t="e">
        <f>AND(TOC!#REF!,"AAAAAD/3z24=")</f>
        <v>#REF!</v>
      </c>
      <c r="DH20" t="e">
        <f>AND(TOC!#REF!,"AAAAAD/3z28=")</f>
        <v>#REF!</v>
      </c>
      <c r="DI20" t="e">
        <f>AND(TOC!#REF!,"AAAAAD/3z3A=")</f>
        <v>#REF!</v>
      </c>
      <c r="DJ20" t="e">
        <f>AND(TOC!#REF!,"AAAAAD/3z3E=")</f>
        <v>#REF!</v>
      </c>
      <c r="DK20" t="e">
        <f>AND(TOC!#REF!,"AAAAAD/3z3I=")</f>
        <v>#REF!</v>
      </c>
      <c r="DL20" t="e">
        <f>AND(TOC!#REF!,"AAAAAD/3z3M=")</f>
        <v>#REF!</v>
      </c>
      <c r="DM20" t="e">
        <f>AND(TOC!#REF!,"AAAAAD/3z3Q=")</f>
        <v>#REF!</v>
      </c>
      <c r="DN20" t="e">
        <f>AND(TOC!#REF!,"AAAAAD/3z3U=")</f>
        <v>#REF!</v>
      </c>
      <c r="DO20" t="e">
        <f>AND(TOC!#REF!,"AAAAAD/3z3Y=")</f>
        <v>#REF!</v>
      </c>
      <c r="DP20" t="e">
        <f>AND(TOC!#REF!,"AAAAAD/3z3c=")</f>
        <v>#REF!</v>
      </c>
      <c r="DQ20" t="e">
        <f>AND(TOC!#REF!,"AAAAAD/3z3g=")</f>
        <v>#REF!</v>
      </c>
      <c r="DR20" t="e">
        <f>AND(TOC!#REF!,"AAAAAD/3z3k=")</f>
        <v>#REF!</v>
      </c>
      <c r="DS20" t="e">
        <f>AND(TOC!#REF!,"AAAAAD/3z3o=")</f>
        <v>#REF!</v>
      </c>
      <c r="DT20" t="e">
        <f>AND(TOC!#REF!,"AAAAAD/3z3s=")</f>
        <v>#REF!</v>
      </c>
      <c r="DU20" t="e">
        <f>AND(TOC!#REF!,"AAAAAD/3z3w=")</f>
        <v>#REF!</v>
      </c>
      <c r="DV20" t="e">
        <f>AND(TOC!#REF!,"AAAAAD/3z30=")</f>
        <v>#REF!</v>
      </c>
      <c r="DW20" t="e">
        <f>AND(TOC!#REF!,"AAAAAD/3z34=")</f>
        <v>#REF!</v>
      </c>
      <c r="DX20" t="e">
        <f>AND(TOC!#REF!,"AAAAAD/3z38=")</f>
        <v>#REF!</v>
      </c>
      <c r="DY20" t="e">
        <f>AND(TOC!#REF!,"AAAAAD/3z4A=")</f>
        <v>#REF!</v>
      </c>
      <c r="DZ20" t="e">
        <f>AND(TOC!#REF!,"AAAAAD/3z4E=")</f>
        <v>#REF!</v>
      </c>
      <c r="EA20" t="e">
        <f>AND(TOC!#REF!,"AAAAAD/3z4I=")</f>
        <v>#REF!</v>
      </c>
      <c r="EB20" t="e">
        <f>IF(TOC!#REF!,"AAAAAD/3z4M=",0)</f>
        <v>#REF!</v>
      </c>
      <c r="EC20" t="e">
        <f>AND(TOC!#REF!,"AAAAAD/3z4Q=")</f>
        <v>#REF!</v>
      </c>
      <c r="ED20" t="e">
        <f>AND(TOC!#REF!,"AAAAAD/3z4U=")</f>
        <v>#REF!</v>
      </c>
      <c r="EE20" t="e">
        <f>AND(TOC!#REF!,"AAAAAD/3z4Y=")</f>
        <v>#REF!</v>
      </c>
      <c r="EF20" t="e">
        <f>AND(TOC!#REF!,"AAAAAD/3z4c=")</f>
        <v>#REF!</v>
      </c>
      <c r="EG20" t="e">
        <f>AND(TOC!#REF!,"AAAAAD/3z4g=")</f>
        <v>#REF!</v>
      </c>
      <c r="EH20" t="e">
        <f>AND(TOC!#REF!,"AAAAAD/3z4k=")</f>
        <v>#REF!</v>
      </c>
      <c r="EI20" t="e">
        <f>AND(TOC!#REF!,"AAAAAD/3z4o=")</f>
        <v>#REF!</v>
      </c>
      <c r="EJ20" t="e">
        <f>AND(TOC!#REF!,"AAAAAD/3z4s=")</f>
        <v>#REF!</v>
      </c>
      <c r="EK20" t="e">
        <f>AND(TOC!#REF!,"AAAAAD/3z4w=")</f>
        <v>#REF!</v>
      </c>
      <c r="EL20" t="e">
        <f>AND(TOC!#REF!,"AAAAAD/3z40=")</f>
        <v>#REF!</v>
      </c>
      <c r="EM20" t="e">
        <f>AND(TOC!#REF!,"AAAAAD/3z44=")</f>
        <v>#REF!</v>
      </c>
      <c r="EN20" t="e">
        <f>AND(TOC!#REF!,"AAAAAD/3z48=")</f>
        <v>#REF!</v>
      </c>
      <c r="EO20" t="e">
        <f>AND(TOC!#REF!,"AAAAAD/3z5A=")</f>
        <v>#REF!</v>
      </c>
      <c r="EP20" t="e">
        <f>AND(TOC!#REF!,"AAAAAD/3z5E=")</f>
        <v>#REF!</v>
      </c>
      <c r="EQ20" t="e">
        <f>AND(TOC!#REF!,"AAAAAD/3z5I=")</f>
        <v>#REF!</v>
      </c>
      <c r="ER20" t="e">
        <f>AND(TOC!#REF!,"AAAAAD/3z5M=")</f>
        <v>#REF!</v>
      </c>
      <c r="ES20" t="e">
        <f>AND(TOC!#REF!,"AAAAAD/3z5Q=")</f>
        <v>#REF!</v>
      </c>
      <c r="ET20" t="e">
        <f>AND(TOC!#REF!,"AAAAAD/3z5U=")</f>
        <v>#REF!</v>
      </c>
      <c r="EU20" t="e">
        <f>AND(TOC!#REF!,"AAAAAD/3z5Y=")</f>
        <v>#REF!</v>
      </c>
      <c r="EV20" t="e">
        <f>AND(TOC!#REF!,"AAAAAD/3z5c=")</f>
        <v>#REF!</v>
      </c>
      <c r="EW20" t="e">
        <f>AND(TOC!#REF!,"AAAAAD/3z5g=")</f>
        <v>#REF!</v>
      </c>
      <c r="EX20" t="e">
        <f>AND(TOC!#REF!,"AAAAAD/3z5k=")</f>
        <v>#REF!</v>
      </c>
      <c r="EY20" t="e">
        <f>AND(TOC!#REF!,"AAAAAD/3z5o=")</f>
        <v>#REF!</v>
      </c>
      <c r="EZ20" t="e">
        <f>AND(TOC!#REF!,"AAAAAD/3z5s=")</f>
        <v>#REF!</v>
      </c>
      <c r="FA20" t="e">
        <f>AND(TOC!#REF!,"AAAAAD/3z5w=")</f>
        <v>#REF!</v>
      </c>
      <c r="FB20" t="e">
        <f>AND(TOC!#REF!,"AAAAAD/3z50=")</f>
        <v>#REF!</v>
      </c>
      <c r="FC20" t="e">
        <f>AND(TOC!#REF!,"AAAAAD/3z54=")</f>
        <v>#REF!</v>
      </c>
      <c r="FD20" t="e">
        <f>AND(TOC!#REF!,"AAAAAD/3z58=")</f>
        <v>#REF!</v>
      </c>
      <c r="FE20" t="e">
        <f>AND(TOC!#REF!,"AAAAAD/3z6A=")</f>
        <v>#REF!</v>
      </c>
      <c r="FF20" t="e">
        <f>AND(TOC!#REF!,"AAAAAD/3z6E=")</f>
        <v>#REF!</v>
      </c>
      <c r="FG20" t="e">
        <f>AND(TOC!#REF!,"AAAAAD/3z6I=")</f>
        <v>#REF!</v>
      </c>
      <c r="FH20" t="e">
        <f>AND(TOC!#REF!,"AAAAAD/3z6M=")</f>
        <v>#REF!</v>
      </c>
      <c r="FI20" t="e">
        <f>AND(TOC!#REF!,"AAAAAD/3z6Q=")</f>
        <v>#REF!</v>
      </c>
      <c r="FJ20" t="e">
        <f>AND(TOC!#REF!,"AAAAAD/3z6U=")</f>
        <v>#REF!</v>
      </c>
      <c r="FK20" t="e">
        <f>AND(TOC!#REF!,"AAAAAD/3z6Y=")</f>
        <v>#REF!</v>
      </c>
      <c r="FL20" t="e">
        <f>AND(TOC!#REF!,"AAAAAD/3z6c=")</f>
        <v>#REF!</v>
      </c>
      <c r="FM20" t="e">
        <f>IF(TOC!#REF!,"AAAAAD/3z6g=",0)</f>
        <v>#REF!</v>
      </c>
      <c r="FN20" t="e">
        <f>AND(TOC!#REF!,"AAAAAD/3z6k=")</f>
        <v>#REF!</v>
      </c>
      <c r="FO20" t="e">
        <f>AND(TOC!#REF!,"AAAAAD/3z6o=")</f>
        <v>#REF!</v>
      </c>
      <c r="FP20" t="e">
        <f>AND(TOC!#REF!,"AAAAAD/3z6s=")</f>
        <v>#REF!</v>
      </c>
      <c r="FQ20" t="e">
        <f>AND(TOC!#REF!,"AAAAAD/3z6w=")</f>
        <v>#REF!</v>
      </c>
      <c r="FR20" t="e">
        <f>AND(TOC!#REF!,"AAAAAD/3z60=")</f>
        <v>#REF!</v>
      </c>
      <c r="FS20" t="e">
        <f>AND(TOC!#REF!,"AAAAAD/3z64=")</f>
        <v>#REF!</v>
      </c>
      <c r="FT20" t="e">
        <f>AND(TOC!#REF!,"AAAAAD/3z68=")</f>
        <v>#REF!</v>
      </c>
      <c r="FU20" t="e">
        <f>AND(TOC!#REF!,"AAAAAD/3z7A=")</f>
        <v>#REF!</v>
      </c>
      <c r="FV20" t="e">
        <f>AND(TOC!#REF!,"AAAAAD/3z7E=")</f>
        <v>#REF!</v>
      </c>
      <c r="FW20" t="e">
        <f>AND(TOC!#REF!,"AAAAAD/3z7I=")</f>
        <v>#REF!</v>
      </c>
      <c r="FX20" t="e">
        <f>AND(TOC!#REF!,"AAAAAD/3z7M=")</f>
        <v>#REF!</v>
      </c>
      <c r="FY20" t="e">
        <f>AND(TOC!#REF!,"AAAAAD/3z7Q=")</f>
        <v>#REF!</v>
      </c>
      <c r="FZ20" t="e">
        <f>AND(TOC!#REF!,"AAAAAD/3z7U=")</f>
        <v>#REF!</v>
      </c>
      <c r="GA20" t="e">
        <f>AND(TOC!#REF!,"AAAAAD/3z7Y=")</f>
        <v>#REF!</v>
      </c>
      <c r="GB20" t="e">
        <f>AND(TOC!#REF!,"AAAAAD/3z7c=")</f>
        <v>#REF!</v>
      </c>
      <c r="GC20" t="e">
        <f>AND(TOC!#REF!,"AAAAAD/3z7g=")</f>
        <v>#REF!</v>
      </c>
      <c r="GD20" t="e">
        <f>AND(TOC!#REF!,"AAAAAD/3z7k=")</f>
        <v>#REF!</v>
      </c>
      <c r="GE20" t="e">
        <f>AND(TOC!#REF!,"AAAAAD/3z7o=")</f>
        <v>#REF!</v>
      </c>
      <c r="GF20" t="e">
        <f>AND(TOC!#REF!,"AAAAAD/3z7s=")</f>
        <v>#REF!</v>
      </c>
      <c r="GG20" t="e">
        <f>AND(TOC!#REF!,"AAAAAD/3z7w=")</f>
        <v>#REF!</v>
      </c>
      <c r="GH20" t="e">
        <f>AND(TOC!#REF!,"AAAAAD/3z70=")</f>
        <v>#REF!</v>
      </c>
      <c r="GI20" t="e">
        <f>AND(TOC!#REF!,"AAAAAD/3z74=")</f>
        <v>#REF!</v>
      </c>
      <c r="GJ20" t="e">
        <f>AND(TOC!#REF!,"AAAAAD/3z78=")</f>
        <v>#REF!</v>
      </c>
      <c r="GK20" t="e">
        <f>AND(TOC!#REF!,"AAAAAD/3z8A=")</f>
        <v>#REF!</v>
      </c>
      <c r="GL20" t="e">
        <f>AND(TOC!#REF!,"AAAAAD/3z8E=")</f>
        <v>#REF!</v>
      </c>
      <c r="GM20" t="e">
        <f>AND(TOC!#REF!,"AAAAAD/3z8I=")</f>
        <v>#REF!</v>
      </c>
      <c r="GN20" t="e">
        <f>AND(TOC!#REF!,"AAAAAD/3z8M=")</f>
        <v>#REF!</v>
      </c>
      <c r="GO20" t="e">
        <f>AND(TOC!#REF!,"AAAAAD/3z8Q=")</f>
        <v>#REF!</v>
      </c>
      <c r="GP20" t="e">
        <f>AND(TOC!#REF!,"AAAAAD/3z8U=")</f>
        <v>#REF!</v>
      </c>
      <c r="GQ20" t="e">
        <f>AND(TOC!#REF!,"AAAAAD/3z8Y=")</f>
        <v>#REF!</v>
      </c>
      <c r="GR20" t="e">
        <f>AND(TOC!#REF!,"AAAAAD/3z8c=")</f>
        <v>#REF!</v>
      </c>
      <c r="GS20" t="e">
        <f>AND(TOC!#REF!,"AAAAAD/3z8g=")</f>
        <v>#REF!</v>
      </c>
      <c r="GT20" t="e">
        <f>AND(TOC!#REF!,"AAAAAD/3z8k=")</f>
        <v>#REF!</v>
      </c>
      <c r="GU20" t="e">
        <f>AND(TOC!#REF!,"AAAAAD/3z8o=")</f>
        <v>#REF!</v>
      </c>
      <c r="GV20" t="e">
        <f>AND(TOC!#REF!,"AAAAAD/3z8s=")</f>
        <v>#REF!</v>
      </c>
      <c r="GW20" t="e">
        <f>AND(TOC!#REF!,"AAAAAD/3z8w=")</f>
        <v>#REF!</v>
      </c>
      <c r="GX20" t="e">
        <f>IF(TOC!#REF!,"AAAAAD/3z80=",0)</f>
        <v>#REF!</v>
      </c>
      <c r="GY20" t="e">
        <f>AND(TOC!#REF!,"AAAAAD/3z84=")</f>
        <v>#REF!</v>
      </c>
      <c r="GZ20" t="e">
        <f>AND(TOC!#REF!,"AAAAAD/3z88=")</f>
        <v>#REF!</v>
      </c>
      <c r="HA20" t="e">
        <f>AND(TOC!#REF!,"AAAAAD/3z9A=")</f>
        <v>#REF!</v>
      </c>
      <c r="HB20" t="e">
        <f>AND(TOC!#REF!,"AAAAAD/3z9E=")</f>
        <v>#REF!</v>
      </c>
      <c r="HC20" t="e">
        <f>AND(TOC!#REF!,"AAAAAD/3z9I=")</f>
        <v>#REF!</v>
      </c>
      <c r="HD20" t="e">
        <f>AND(TOC!#REF!,"AAAAAD/3z9M=")</f>
        <v>#REF!</v>
      </c>
      <c r="HE20" t="e">
        <f>AND(TOC!#REF!,"AAAAAD/3z9Q=")</f>
        <v>#REF!</v>
      </c>
      <c r="HF20" t="e">
        <f>AND(TOC!#REF!,"AAAAAD/3z9U=")</f>
        <v>#REF!</v>
      </c>
      <c r="HG20" t="e">
        <f>AND(TOC!#REF!,"AAAAAD/3z9Y=")</f>
        <v>#REF!</v>
      </c>
      <c r="HH20" t="e">
        <f>AND(TOC!#REF!,"AAAAAD/3z9c=")</f>
        <v>#REF!</v>
      </c>
      <c r="HI20" t="e">
        <f>AND(TOC!#REF!,"AAAAAD/3z9g=")</f>
        <v>#REF!</v>
      </c>
      <c r="HJ20" t="e">
        <f>AND(TOC!#REF!,"AAAAAD/3z9k=")</f>
        <v>#REF!</v>
      </c>
      <c r="HK20" t="e">
        <f>AND(TOC!#REF!,"AAAAAD/3z9o=")</f>
        <v>#REF!</v>
      </c>
      <c r="HL20" t="e">
        <f>AND(TOC!#REF!,"AAAAAD/3z9s=")</f>
        <v>#REF!</v>
      </c>
      <c r="HM20" t="e">
        <f>AND(TOC!#REF!,"AAAAAD/3z9w=")</f>
        <v>#REF!</v>
      </c>
      <c r="HN20" t="e">
        <f>AND(TOC!#REF!,"AAAAAD/3z90=")</f>
        <v>#REF!</v>
      </c>
      <c r="HO20" t="e">
        <f>AND(TOC!#REF!,"AAAAAD/3z94=")</f>
        <v>#REF!</v>
      </c>
      <c r="HP20" t="e">
        <f>AND(TOC!#REF!,"AAAAAD/3z98=")</f>
        <v>#REF!</v>
      </c>
      <c r="HQ20" t="e">
        <f>AND(TOC!#REF!,"AAAAAD/3z+A=")</f>
        <v>#REF!</v>
      </c>
      <c r="HR20" t="e">
        <f>AND(TOC!#REF!,"AAAAAD/3z+E=")</f>
        <v>#REF!</v>
      </c>
      <c r="HS20" t="e">
        <f>AND(TOC!#REF!,"AAAAAD/3z+I=")</f>
        <v>#REF!</v>
      </c>
      <c r="HT20" t="e">
        <f>AND(TOC!#REF!,"AAAAAD/3z+M=")</f>
        <v>#REF!</v>
      </c>
      <c r="HU20" t="e">
        <f>AND(TOC!#REF!,"AAAAAD/3z+Q=")</f>
        <v>#REF!</v>
      </c>
      <c r="HV20" t="e">
        <f>AND(TOC!#REF!,"AAAAAD/3z+U=")</f>
        <v>#REF!</v>
      </c>
      <c r="HW20" t="e">
        <f>AND(TOC!#REF!,"AAAAAD/3z+Y=")</f>
        <v>#REF!</v>
      </c>
      <c r="HX20" t="e">
        <f>AND(TOC!#REF!,"AAAAAD/3z+c=")</f>
        <v>#REF!</v>
      </c>
      <c r="HY20" t="e">
        <f>AND(TOC!#REF!,"AAAAAD/3z+g=")</f>
        <v>#REF!</v>
      </c>
      <c r="HZ20" t="e">
        <f>AND(TOC!#REF!,"AAAAAD/3z+k=")</f>
        <v>#REF!</v>
      </c>
      <c r="IA20" t="e">
        <f>AND(TOC!#REF!,"AAAAAD/3z+o=")</f>
        <v>#REF!</v>
      </c>
      <c r="IB20" t="e">
        <f>AND(TOC!#REF!,"AAAAAD/3z+s=")</f>
        <v>#REF!</v>
      </c>
      <c r="IC20" t="e">
        <f>AND(TOC!#REF!,"AAAAAD/3z+w=")</f>
        <v>#REF!</v>
      </c>
      <c r="ID20" t="e">
        <f>AND(TOC!#REF!,"AAAAAD/3z+0=")</f>
        <v>#REF!</v>
      </c>
      <c r="IE20" t="e">
        <f>AND(TOC!#REF!,"AAAAAD/3z+4=")</f>
        <v>#REF!</v>
      </c>
      <c r="IF20" t="e">
        <f>AND(TOC!#REF!,"AAAAAD/3z+8=")</f>
        <v>#REF!</v>
      </c>
      <c r="IG20" t="e">
        <f>AND(TOC!#REF!,"AAAAAD/3z/A=")</f>
        <v>#REF!</v>
      </c>
      <c r="IH20" t="e">
        <f>AND(TOC!#REF!,"AAAAAD/3z/E=")</f>
        <v>#REF!</v>
      </c>
      <c r="II20" t="e">
        <f>IF(TOC!#REF!,"AAAAAD/3z/I=",0)</f>
        <v>#REF!</v>
      </c>
      <c r="IJ20" t="e">
        <f>AND(TOC!#REF!,"AAAAAD/3z/M=")</f>
        <v>#REF!</v>
      </c>
      <c r="IK20" t="e">
        <f>AND(TOC!#REF!,"AAAAAD/3z/Q=")</f>
        <v>#REF!</v>
      </c>
      <c r="IL20" t="e">
        <f>AND(TOC!#REF!,"AAAAAD/3z/U=")</f>
        <v>#REF!</v>
      </c>
      <c r="IM20" t="e">
        <f>AND(TOC!#REF!,"AAAAAD/3z/Y=")</f>
        <v>#REF!</v>
      </c>
      <c r="IN20" t="e">
        <f>AND(TOC!#REF!,"AAAAAD/3z/c=")</f>
        <v>#REF!</v>
      </c>
      <c r="IO20" t="e">
        <f>AND(TOC!#REF!,"AAAAAD/3z/g=")</f>
        <v>#REF!</v>
      </c>
      <c r="IP20" t="e">
        <f>AND(TOC!#REF!,"AAAAAD/3z/k=")</f>
        <v>#REF!</v>
      </c>
      <c r="IQ20" t="e">
        <f>AND(TOC!#REF!,"AAAAAD/3z/o=")</f>
        <v>#REF!</v>
      </c>
      <c r="IR20" t="e">
        <f>AND(TOC!#REF!,"AAAAAD/3z/s=")</f>
        <v>#REF!</v>
      </c>
      <c r="IS20" t="e">
        <f>AND(TOC!#REF!,"AAAAAD/3z/w=")</f>
        <v>#REF!</v>
      </c>
      <c r="IT20" t="e">
        <f>AND(TOC!#REF!,"AAAAAD/3z/0=")</f>
        <v>#REF!</v>
      </c>
      <c r="IU20" t="e">
        <f>AND(TOC!#REF!,"AAAAAD/3z/4=")</f>
        <v>#REF!</v>
      </c>
      <c r="IV20" t="e">
        <f>AND(TOC!#REF!,"AAAAAD/3z/8=")</f>
        <v>#REF!</v>
      </c>
    </row>
    <row r="21" spans="1:256" x14ac:dyDescent="0.2">
      <c r="A21" t="e">
        <f>AND(TOC!#REF!,"AAAAAG5r9QA=")</f>
        <v>#REF!</v>
      </c>
      <c r="B21" t="e">
        <f>AND(TOC!#REF!,"AAAAAG5r9QE=")</f>
        <v>#REF!</v>
      </c>
      <c r="C21" t="e">
        <f>AND(TOC!#REF!,"AAAAAG5r9QI=")</f>
        <v>#REF!</v>
      </c>
      <c r="D21" t="e">
        <f>AND(TOC!#REF!,"AAAAAG5r9QM=")</f>
        <v>#REF!</v>
      </c>
      <c r="E21" t="e">
        <f>AND(TOC!#REF!,"AAAAAG5r9QQ=")</f>
        <v>#REF!</v>
      </c>
      <c r="F21" t="e">
        <f>AND(TOC!#REF!,"AAAAAG5r9QU=")</f>
        <v>#REF!</v>
      </c>
      <c r="G21" t="e">
        <f>AND(TOC!#REF!,"AAAAAG5r9QY=")</f>
        <v>#REF!</v>
      </c>
      <c r="H21" t="e">
        <f>AND(TOC!#REF!,"AAAAAG5r9Qc=")</f>
        <v>#REF!</v>
      </c>
      <c r="I21" t="e">
        <f>AND(TOC!#REF!,"AAAAAG5r9Qg=")</f>
        <v>#REF!</v>
      </c>
      <c r="J21" t="e">
        <f>AND(TOC!#REF!,"AAAAAG5r9Qk=")</f>
        <v>#REF!</v>
      </c>
      <c r="K21" t="e">
        <f>AND(TOC!#REF!,"AAAAAG5r9Qo=")</f>
        <v>#REF!</v>
      </c>
      <c r="L21" t="e">
        <f>AND(TOC!#REF!,"AAAAAG5r9Qs=")</f>
        <v>#REF!</v>
      </c>
      <c r="M21" t="e">
        <f>AND(TOC!#REF!,"AAAAAG5r9Qw=")</f>
        <v>#REF!</v>
      </c>
      <c r="N21" t="e">
        <f>AND(TOC!#REF!,"AAAAAG5r9Q0=")</f>
        <v>#REF!</v>
      </c>
      <c r="O21" t="e">
        <f>AND(TOC!#REF!,"AAAAAG5r9Q4=")</f>
        <v>#REF!</v>
      </c>
      <c r="P21" t="e">
        <f>AND(TOC!#REF!,"AAAAAG5r9Q8=")</f>
        <v>#REF!</v>
      </c>
      <c r="Q21" t="e">
        <f>AND(TOC!#REF!,"AAAAAG5r9RA=")</f>
        <v>#REF!</v>
      </c>
      <c r="R21" t="e">
        <f>AND(TOC!#REF!,"AAAAAG5r9RE=")</f>
        <v>#REF!</v>
      </c>
      <c r="S21" t="e">
        <f>AND(TOC!#REF!,"AAAAAG5r9RI=")</f>
        <v>#REF!</v>
      </c>
      <c r="T21" t="e">
        <f>AND(TOC!#REF!,"AAAAAG5r9RM=")</f>
        <v>#REF!</v>
      </c>
      <c r="U21" t="e">
        <f>AND(TOC!#REF!,"AAAAAG5r9RQ=")</f>
        <v>#REF!</v>
      </c>
      <c r="V21" t="e">
        <f>AND(TOC!#REF!,"AAAAAG5r9RU=")</f>
        <v>#REF!</v>
      </c>
      <c r="W21" t="e">
        <f>AND(TOC!#REF!,"AAAAAG5r9RY=")</f>
        <v>#REF!</v>
      </c>
      <c r="X21" t="e">
        <f>IF(TOC!#REF!,"AAAAAG5r9Rc=",0)</f>
        <v>#REF!</v>
      </c>
      <c r="Y21" t="e">
        <f>AND(TOC!#REF!,"AAAAAG5r9Rg=")</f>
        <v>#REF!</v>
      </c>
      <c r="Z21" t="e">
        <f>AND(TOC!#REF!,"AAAAAG5r9Rk=")</f>
        <v>#REF!</v>
      </c>
      <c r="AA21" t="e">
        <f>AND(TOC!#REF!,"AAAAAG5r9Ro=")</f>
        <v>#REF!</v>
      </c>
      <c r="AB21" t="e">
        <f>AND(TOC!#REF!,"AAAAAG5r9Rs=")</f>
        <v>#REF!</v>
      </c>
      <c r="AC21" t="e">
        <f>AND(TOC!#REF!,"AAAAAG5r9Rw=")</f>
        <v>#REF!</v>
      </c>
      <c r="AD21" t="e">
        <f>AND(TOC!#REF!,"AAAAAG5r9R0=")</f>
        <v>#REF!</v>
      </c>
      <c r="AE21" t="e">
        <f>AND(TOC!#REF!,"AAAAAG5r9R4=")</f>
        <v>#REF!</v>
      </c>
      <c r="AF21" t="e">
        <f>AND(TOC!#REF!,"AAAAAG5r9R8=")</f>
        <v>#REF!</v>
      </c>
      <c r="AG21" t="e">
        <f>AND(TOC!#REF!,"AAAAAG5r9SA=")</f>
        <v>#REF!</v>
      </c>
      <c r="AH21" t="e">
        <f>AND(TOC!#REF!,"AAAAAG5r9SE=")</f>
        <v>#REF!</v>
      </c>
      <c r="AI21" t="e">
        <f>AND(TOC!#REF!,"AAAAAG5r9SI=")</f>
        <v>#REF!</v>
      </c>
      <c r="AJ21" t="e">
        <f>AND(TOC!#REF!,"AAAAAG5r9SM=")</f>
        <v>#REF!</v>
      </c>
      <c r="AK21" t="e">
        <f>AND(TOC!#REF!,"AAAAAG5r9SQ=")</f>
        <v>#REF!</v>
      </c>
      <c r="AL21" t="e">
        <f>AND(TOC!#REF!,"AAAAAG5r9SU=")</f>
        <v>#REF!</v>
      </c>
      <c r="AM21" t="e">
        <f>AND(TOC!#REF!,"AAAAAG5r9SY=")</f>
        <v>#REF!</v>
      </c>
      <c r="AN21" t="e">
        <f>AND(TOC!#REF!,"AAAAAG5r9Sc=")</f>
        <v>#REF!</v>
      </c>
      <c r="AO21" t="e">
        <f>AND(TOC!#REF!,"AAAAAG5r9Sg=")</f>
        <v>#REF!</v>
      </c>
      <c r="AP21" t="e">
        <f>AND(TOC!#REF!,"AAAAAG5r9Sk=")</f>
        <v>#REF!</v>
      </c>
      <c r="AQ21" t="e">
        <f>AND(TOC!#REF!,"AAAAAG5r9So=")</f>
        <v>#REF!</v>
      </c>
      <c r="AR21" t="e">
        <f>AND(TOC!#REF!,"AAAAAG5r9Ss=")</f>
        <v>#REF!</v>
      </c>
      <c r="AS21" t="e">
        <f>AND(TOC!#REF!,"AAAAAG5r9Sw=")</f>
        <v>#REF!</v>
      </c>
      <c r="AT21" t="e">
        <f>AND(TOC!#REF!,"AAAAAG5r9S0=")</f>
        <v>#REF!</v>
      </c>
      <c r="AU21" t="e">
        <f>AND(TOC!#REF!,"AAAAAG5r9S4=")</f>
        <v>#REF!</v>
      </c>
      <c r="AV21" t="e">
        <f>AND(TOC!#REF!,"AAAAAG5r9S8=")</f>
        <v>#REF!</v>
      </c>
      <c r="AW21" t="e">
        <f>AND(TOC!#REF!,"AAAAAG5r9TA=")</f>
        <v>#REF!</v>
      </c>
      <c r="AX21" t="e">
        <f>AND(TOC!#REF!,"AAAAAG5r9TE=")</f>
        <v>#REF!</v>
      </c>
      <c r="AY21" t="e">
        <f>AND(TOC!#REF!,"AAAAAG5r9TI=")</f>
        <v>#REF!</v>
      </c>
      <c r="AZ21" t="e">
        <f>AND(TOC!#REF!,"AAAAAG5r9TM=")</f>
        <v>#REF!</v>
      </c>
      <c r="BA21" t="e">
        <f>AND(TOC!#REF!,"AAAAAG5r9TQ=")</f>
        <v>#REF!</v>
      </c>
      <c r="BB21" t="e">
        <f>AND(TOC!#REF!,"AAAAAG5r9TU=")</f>
        <v>#REF!</v>
      </c>
      <c r="BC21" t="e">
        <f>AND(TOC!#REF!,"AAAAAG5r9TY=")</f>
        <v>#REF!</v>
      </c>
      <c r="BD21" t="e">
        <f>AND(TOC!#REF!,"AAAAAG5r9Tc=")</f>
        <v>#REF!</v>
      </c>
      <c r="BE21" t="e">
        <f>AND(TOC!#REF!,"AAAAAG5r9Tg=")</f>
        <v>#REF!</v>
      </c>
      <c r="BF21" t="e">
        <f>AND(TOC!#REF!,"AAAAAG5r9Tk=")</f>
        <v>#REF!</v>
      </c>
      <c r="BG21" t="e">
        <f>AND(TOC!#REF!,"AAAAAG5r9To=")</f>
        <v>#REF!</v>
      </c>
      <c r="BH21" t="e">
        <f>AND(TOC!#REF!,"AAAAAG5r9Ts=")</f>
        <v>#REF!</v>
      </c>
      <c r="BI21" t="e">
        <f>IF(TOC!#REF!,"AAAAAG5r9Tw=",0)</f>
        <v>#REF!</v>
      </c>
      <c r="BJ21" t="e">
        <f>AND(TOC!#REF!,"AAAAAG5r9T0=")</f>
        <v>#REF!</v>
      </c>
      <c r="BK21" t="e">
        <f>AND(TOC!#REF!,"AAAAAG5r9T4=")</f>
        <v>#REF!</v>
      </c>
      <c r="BL21" t="e">
        <f>AND(TOC!#REF!,"AAAAAG5r9T8=")</f>
        <v>#REF!</v>
      </c>
      <c r="BM21" t="e">
        <f>AND(TOC!#REF!,"AAAAAG5r9UA=")</f>
        <v>#REF!</v>
      </c>
      <c r="BN21" t="e">
        <f>AND(TOC!#REF!,"AAAAAG5r9UE=")</f>
        <v>#REF!</v>
      </c>
      <c r="BO21" t="e">
        <f>AND(TOC!#REF!,"AAAAAG5r9UI=")</f>
        <v>#REF!</v>
      </c>
      <c r="BP21" t="e">
        <f>AND(TOC!#REF!,"AAAAAG5r9UM=")</f>
        <v>#REF!</v>
      </c>
      <c r="BQ21" t="e">
        <f>AND(TOC!#REF!,"AAAAAG5r9UQ=")</f>
        <v>#REF!</v>
      </c>
      <c r="BR21" t="e">
        <f>AND(TOC!#REF!,"AAAAAG5r9UU=")</f>
        <v>#REF!</v>
      </c>
      <c r="BS21" t="e">
        <f>AND(TOC!#REF!,"AAAAAG5r9UY=")</f>
        <v>#REF!</v>
      </c>
      <c r="BT21" t="e">
        <f>AND(TOC!#REF!,"AAAAAG5r9Uc=")</f>
        <v>#REF!</v>
      </c>
      <c r="BU21" t="e">
        <f>AND(TOC!#REF!,"AAAAAG5r9Ug=")</f>
        <v>#REF!</v>
      </c>
      <c r="BV21" t="e">
        <f>AND(TOC!#REF!,"AAAAAG5r9Uk=")</f>
        <v>#REF!</v>
      </c>
      <c r="BW21" t="e">
        <f>AND(TOC!#REF!,"AAAAAG5r9Uo=")</f>
        <v>#REF!</v>
      </c>
      <c r="BX21" t="e">
        <f>AND(TOC!#REF!,"AAAAAG5r9Us=")</f>
        <v>#REF!</v>
      </c>
      <c r="BY21" t="e">
        <f>AND(TOC!#REF!,"AAAAAG5r9Uw=")</f>
        <v>#REF!</v>
      </c>
      <c r="BZ21" t="e">
        <f>AND(TOC!#REF!,"AAAAAG5r9U0=")</f>
        <v>#REF!</v>
      </c>
      <c r="CA21" t="e">
        <f>AND(TOC!#REF!,"AAAAAG5r9U4=")</f>
        <v>#REF!</v>
      </c>
      <c r="CB21" t="e">
        <f>AND(TOC!#REF!,"AAAAAG5r9U8=")</f>
        <v>#REF!</v>
      </c>
      <c r="CC21" t="e">
        <f>AND(TOC!#REF!,"AAAAAG5r9VA=")</f>
        <v>#REF!</v>
      </c>
      <c r="CD21" t="e">
        <f>AND(TOC!#REF!,"AAAAAG5r9VE=")</f>
        <v>#REF!</v>
      </c>
      <c r="CE21" t="e">
        <f>AND(TOC!#REF!,"AAAAAG5r9VI=")</f>
        <v>#REF!</v>
      </c>
      <c r="CF21" t="e">
        <f>AND(TOC!#REF!,"AAAAAG5r9VM=")</f>
        <v>#REF!</v>
      </c>
      <c r="CG21" t="e">
        <f>AND(TOC!#REF!,"AAAAAG5r9VQ=")</f>
        <v>#REF!</v>
      </c>
      <c r="CH21" t="e">
        <f>AND(TOC!#REF!,"AAAAAG5r9VU=")</f>
        <v>#REF!</v>
      </c>
      <c r="CI21" t="e">
        <f>AND(TOC!#REF!,"AAAAAG5r9VY=")</f>
        <v>#REF!</v>
      </c>
      <c r="CJ21" t="e">
        <f>AND(TOC!#REF!,"AAAAAG5r9Vc=")</f>
        <v>#REF!</v>
      </c>
      <c r="CK21" t="e">
        <f>AND(TOC!#REF!,"AAAAAG5r9Vg=")</f>
        <v>#REF!</v>
      </c>
      <c r="CL21" t="e">
        <f>AND(TOC!#REF!,"AAAAAG5r9Vk=")</f>
        <v>#REF!</v>
      </c>
      <c r="CM21" t="e">
        <f>AND(TOC!#REF!,"AAAAAG5r9Vo=")</f>
        <v>#REF!</v>
      </c>
      <c r="CN21" t="e">
        <f>AND(TOC!#REF!,"AAAAAG5r9Vs=")</f>
        <v>#REF!</v>
      </c>
      <c r="CO21" t="e">
        <f>AND(TOC!#REF!,"AAAAAG5r9Vw=")</f>
        <v>#REF!</v>
      </c>
      <c r="CP21" t="e">
        <f>AND(TOC!#REF!,"AAAAAG5r9V0=")</f>
        <v>#REF!</v>
      </c>
      <c r="CQ21" t="e">
        <f>AND(TOC!#REF!,"AAAAAG5r9V4=")</f>
        <v>#REF!</v>
      </c>
      <c r="CR21" t="e">
        <f>AND(TOC!#REF!,"AAAAAG5r9V8=")</f>
        <v>#REF!</v>
      </c>
      <c r="CS21" t="e">
        <f>AND(TOC!#REF!,"AAAAAG5r9WA=")</f>
        <v>#REF!</v>
      </c>
      <c r="CT21" t="e">
        <f>IF(TOC!#REF!,"AAAAAG5r9WE=",0)</f>
        <v>#REF!</v>
      </c>
      <c r="CU21" t="e">
        <f>AND(TOC!#REF!,"AAAAAG5r9WI=")</f>
        <v>#REF!</v>
      </c>
      <c r="CV21" t="e">
        <f>AND(TOC!#REF!,"AAAAAG5r9WM=")</f>
        <v>#REF!</v>
      </c>
      <c r="CW21" t="e">
        <f>AND(TOC!#REF!,"AAAAAG5r9WQ=")</f>
        <v>#REF!</v>
      </c>
      <c r="CX21" t="e">
        <f>AND(TOC!#REF!,"AAAAAG5r9WU=")</f>
        <v>#REF!</v>
      </c>
      <c r="CY21" t="e">
        <f>AND(TOC!#REF!,"AAAAAG5r9WY=")</f>
        <v>#REF!</v>
      </c>
      <c r="CZ21" t="e">
        <f>AND(TOC!#REF!,"AAAAAG5r9Wc=")</f>
        <v>#REF!</v>
      </c>
      <c r="DA21" t="e">
        <f>AND(TOC!#REF!,"AAAAAG5r9Wg=")</f>
        <v>#REF!</v>
      </c>
      <c r="DB21" t="e">
        <f>AND(TOC!#REF!,"AAAAAG5r9Wk=")</f>
        <v>#REF!</v>
      </c>
      <c r="DC21" t="e">
        <f>AND(TOC!#REF!,"AAAAAG5r9Wo=")</f>
        <v>#REF!</v>
      </c>
      <c r="DD21" t="e">
        <f>AND(TOC!#REF!,"AAAAAG5r9Ws=")</f>
        <v>#REF!</v>
      </c>
      <c r="DE21" t="e">
        <f>AND(TOC!#REF!,"AAAAAG5r9Ww=")</f>
        <v>#REF!</v>
      </c>
      <c r="DF21" t="e">
        <f>AND(TOC!#REF!,"AAAAAG5r9W0=")</f>
        <v>#REF!</v>
      </c>
      <c r="DG21" t="e">
        <f>AND(TOC!#REF!,"AAAAAG5r9W4=")</f>
        <v>#REF!</v>
      </c>
      <c r="DH21" t="e">
        <f>AND(TOC!#REF!,"AAAAAG5r9W8=")</f>
        <v>#REF!</v>
      </c>
      <c r="DI21" t="e">
        <f>AND(TOC!#REF!,"AAAAAG5r9XA=")</f>
        <v>#REF!</v>
      </c>
      <c r="DJ21" t="e">
        <f>AND(TOC!#REF!,"AAAAAG5r9XE=")</f>
        <v>#REF!</v>
      </c>
      <c r="DK21" t="e">
        <f>AND(TOC!#REF!,"AAAAAG5r9XI=")</f>
        <v>#REF!</v>
      </c>
      <c r="DL21" t="e">
        <f>AND(TOC!#REF!,"AAAAAG5r9XM=")</f>
        <v>#REF!</v>
      </c>
      <c r="DM21" t="e">
        <f>AND(TOC!#REF!,"AAAAAG5r9XQ=")</f>
        <v>#REF!</v>
      </c>
      <c r="DN21" t="e">
        <f>AND(TOC!#REF!,"AAAAAG5r9XU=")</f>
        <v>#REF!</v>
      </c>
      <c r="DO21" t="e">
        <f>AND(TOC!#REF!,"AAAAAG5r9XY=")</f>
        <v>#REF!</v>
      </c>
      <c r="DP21" t="e">
        <f>AND(TOC!#REF!,"AAAAAG5r9Xc=")</f>
        <v>#REF!</v>
      </c>
      <c r="DQ21" t="e">
        <f>AND(TOC!#REF!,"AAAAAG5r9Xg=")</f>
        <v>#REF!</v>
      </c>
      <c r="DR21" t="e">
        <f>AND(TOC!#REF!,"AAAAAG5r9Xk=")</f>
        <v>#REF!</v>
      </c>
      <c r="DS21" t="e">
        <f>AND(TOC!#REF!,"AAAAAG5r9Xo=")</f>
        <v>#REF!</v>
      </c>
      <c r="DT21" t="e">
        <f>AND(TOC!#REF!,"AAAAAG5r9Xs=")</f>
        <v>#REF!</v>
      </c>
      <c r="DU21" t="e">
        <f>AND(TOC!#REF!,"AAAAAG5r9Xw=")</f>
        <v>#REF!</v>
      </c>
      <c r="DV21" t="e">
        <f>AND(TOC!#REF!,"AAAAAG5r9X0=")</f>
        <v>#REF!</v>
      </c>
      <c r="DW21" t="e">
        <f>AND(TOC!#REF!,"AAAAAG5r9X4=")</f>
        <v>#REF!</v>
      </c>
      <c r="DX21" t="e">
        <f>AND(TOC!#REF!,"AAAAAG5r9X8=")</f>
        <v>#REF!</v>
      </c>
      <c r="DY21" t="e">
        <f>AND(TOC!#REF!,"AAAAAG5r9YA=")</f>
        <v>#REF!</v>
      </c>
      <c r="DZ21" t="e">
        <f>AND(TOC!#REF!,"AAAAAG5r9YE=")</f>
        <v>#REF!</v>
      </c>
      <c r="EA21" t="e">
        <f>AND(TOC!#REF!,"AAAAAG5r9YI=")</f>
        <v>#REF!</v>
      </c>
      <c r="EB21" t="e">
        <f>AND(TOC!#REF!,"AAAAAG5r9YM=")</f>
        <v>#REF!</v>
      </c>
      <c r="EC21" t="e">
        <f>AND(TOC!#REF!,"AAAAAG5r9YQ=")</f>
        <v>#REF!</v>
      </c>
      <c r="ED21" t="e">
        <f>AND(TOC!#REF!,"AAAAAG5r9YU=")</f>
        <v>#REF!</v>
      </c>
      <c r="EE21" t="e">
        <f>IF(TOC!#REF!,"AAAAAG5r9YY=",0)</f>
        <v>#REF!</v>
      </c>
      <c r="EF21" t="e">
        <f>AND(TOC!#REF!,"AAAAAG5r9Yc=")</f>
        <v>#REF!</v>
      </c>
      <c r="EG21" t="e">
        <f>AND(TOC!#REF!,"AAAAAG5r9Yg=")</f>
        <v>#REF!</v>
      </c>
      <c r="EH21" t="e">
        <f>AND(TOC!#REF!,"AAAAAG5r9Yk=")</f>
        <v>#REF!</v>
      </c>
      <c r="EI21" t="e">
        <f>AND(TOC!#REF!,"AAAAAG5r9Yo=")</f>
        <v>#REF!</v>
      </c>
      <c r="EJ21" t="e">
        <f>AND(TOC!#REF!,"AAAAAG5r9Ys=")</f>
        <v>#REF!</v>
      </c>
      <c r="EK21" t="e">
        <f>AND(TOC!#REF!,"AAAAAG5r9Yw=")</f>
        <v>#REF!</v>
      </c>
      <c r="EL21" t="e">
        <f>AND(TOC!#REF!,"AAAAAG5r9Y0=")</f>
        <v>#REF!</v>
      </c>
      <c r="EM21" t="e">
        <f>AND(TOC!#REF!,"AAAAAG5r9Y4=")</f>
        <v>#REF!</v>
      </c>
      <c r="EN21" t="e">
        <f>AND(TOC!#REF!,"AAAAAG5r9Y8=")</f>
        <v>#REF!</v>
      </c>
      <c r="EO21" t="e">
        <f>AND(TOC!#REF!,"AAAAAG5r9ZA=")</f>
        <v>#REF!</v>
      </c>
      <c r="EP21" t="e">
        <f>AND(TOC!#REF!,"AAAAAG5r9ZE=")</f>
        <v>#REF!</v>
      </c>
      <c r="EQ21" t="e">
        <f>AND(TOC!#REF!,"AAAAAG5r9ZI=")</f>
        <v>#REF!</v>
      </c>
      <c r="ER21" t="e">
        <f>AND(TOC!#REF!,"AAAAAG5r9ZM=")</f>
        <v>#REF!</v>
      </c>
      <c r="ES21" t="e">
        <f>AND(TOC!#REF!,"AAAAAG5r9ZQ=")</f>
        <v>#REF!</v>
      </c>
      <c r="ET21" t="e">
        <f>AND(TOC!#REF!,"AAAAAG5r9ZU=")</f>
        <v>#REF!</v>
      </c>
      <c r="EU21" t="e">
        <f>AND(TOC!#REF!,"AAAAAG5r9ZY=")</f>
        <v>#REF!</v>
      </c>
      <c r="EV21" t="e">
        <f>AND(TOC!#REF!,"AAAAAG5r9Zc=")</f>
        <v>#REF!</v>
      </c>
      <c r="EW21" t="e">
        <f>AND(TOC!#REF!,"AAAAAG5r9Zg=")</f>
        <v>#REF!</v>
      </c>
      <c r="EX21" t="e">
        <f>AND(TOC!#REF!,"AAAAAG5r9Zk=")</f>
        <v>#REF!</v>
      </c>
      <c r="EY21" t="e">
        <f>AND(TOC!#REF!,"AAAAAG5r9Zo=")</f>
        <v>#REF!</v>
      </c>
      <c r="EZ21" t="e">
        <f>AND(TOC!#REF!,"AAAAAG5r9Zs=")</f>
        <v>#REF!</v>
      </c>
      <c r="FA21" t="e">
        <f>AND(TOC!#REF!,"AAAAAG5r9Zw=")</f>
        <v>#REF!</v>
      </c>
      <c r="FB21" t="e">
        <f>AND(TOC!#REF!,"AAAAAG5r9Z0=")</f>
        <v>#REF!</v>
      </c>
      <c r="FC21" t="e">
        <f>AND(TOC!#REF!,"AAAAAG5r9Z4=")</f>
        <v>#REF!</v>
      </c>
      <c r="FD21" t="e">
        <f>AND(TOC!#REF!,"AAAAAG5r9Z8=")</f>
        <v>#REF!</v>
      </c>
      <c r="FE21" t="e">
        <f>AND(TOC!#REF!,"AAAAAG5r9aA=")</f>
        <v>#REF!</v>
      </c>
      <c r="FF21" t="e">
        <f>AND(TOC!#REF!,"AAAAAG5r9aE=")</f>
        <v>#REF!</v>
      </c>
      <c r="FG21" t="e">
        <f>AND(TOC!#REF!,"AAAAAG5r9aI=")</f>
        <v>#REF!</v>
      </c>
      <c r="FH21" t="e">
        <f>AND(TOC!#REF!,"AAAAAG5r9aM=")</f>
        <v>#REF!</v>
      </c>
      <c r="FI21" t="e">
        <f>AND(TOC!#REF!,"AAAAAG5r9aQ=")</f>
        <v>#REF!</v>
      </c>
      <c r="FJ21" t="e">
        <f>AND(TOC!#REF!,"AAAAAG5r9aU=")</f>
        <v>#REF!</v>
      </c>
      <c r="FK21" t="e">
        <f>AND(TOC!#REF!,"AAAAAG5r9aY=")</f>
        <v>#REF!</v>
      </c>
      <c r="FL21" t="e">
        <f>AND(TOC!#REF!,"AAAAAG5r9ac=")</f>
        <v>#REF!</v>
      </c>
      <c r="FM21" t="e">
        <f>AND(TOC!#REF!,"AAAAAG5r9ag=")</f>
        <v>#REF!</v>
      </c>
      <c r="FN21" t="e">
        <f>AND(TOC!#REF!,"AAAAAG5r9ak=")</f>
        <v>#REF!</v>
      </c>
      <c r="FO21" t="e">
        <f>AND(TOC!#REF!,"AAAAAG5r9ao=")</f>
        <v>#REF!</v>
      </c>
      <c r="FP21" t="e">
        <f>IF(TOC!#REF!,"AAAAAG5r9as=",0)</f>
        <v>#REF!</v>
      </c>
      <c r="FQ21" t="e">
        <f>AND(TOC!#REF!,"AAAAAG5r9aw=")</f>
        <v>#REF!</v>
      </c>
      <c r="FR21" t="e">
        <f>AND(TOC!#REF!,"AAAAAG5r9a0=")</f>
        <v>#REF!</v>
      </c>
      <c r="FS21" t="e">
        <f>AND(TOC!#REF!,"AAAAAG5r9a4=")</f>
        <v>#REF!</v>
      </c>
      <c r="FT21" t="e">
        <f>AND(TOC!#REF!,"AAAAAG5r9a8=")</f>
        <v>#REF!</v>
      </c>
      <c r="FU21" t="e">
        <f>AND(TOC!#REF!,"AAAAAG5r9bA=")</f>
        <v>#REF!</v>
      </c>
      <c r="FV21" t="e">
        <f>AND(TOC!#REF!,"AAAAAG5r9bE=")</f>
        <v>#REF!</v>
      </c>
      <c r="FW21" t="e">
        <f>AND(TOC!#REF!,"AAAAAG5r9bI=")</f>
        <v>#REF!</v>
      </c>
      <c r="FX21" t="e">
        <f>AND(TOC!#REF!,"AAAAAG5r9bM=")</f>
        <v>#REF!</v>
      </c>
      <c r="FY21" t="e">
        <f>AND(TOC!#REF!,"AAAAAG5r9bQ=")</f>
        <v>#REF!</v>
      </c>
      <c r="FZ21" t="e">
        <f>AND(TOC!#REF!,"AAAAAG5r9bU=")</f>
        <v>#REF!</v>
      </c>
      <c r="GA21" t="e">
        <f>AND(TOC!#REF!,"AAAAAG5r9bY=")</f>
        <v>#REF!</v>
      </c>
      <c r="GB21" t="e">
        <f>AND(TOC!#REF!,"AAAAAG5r9bc=")</f>
        <v>#REF!</v>
      </c>
      <c r="GC21" t="e">
        <f>AND(TOC!#REF!,"AAAAAG5r9bg=")</f>
        <v>#REF!</v>
      </c>
      <c r="GD21" t="e">
        <f>AND(TOC!#REF!,"AAAAAG5r9bk=")</f>
        <v>#REF!</v>
      </c>
      <c r="GE21" t="e">
        <f>AND(TOC!#REF!,"AAAAAG5r9bo=")</f>
        <v>#REF!</v>
      </c>
      <c r="GF21" t="e">
        <f>AND(TOC!#REF!,"AAAAAG5r9bs=")</f>
        <v>#REF!</v>
      </c>
      <c r="GG21" t="e">
        <f>AND(TOC!#REF!,"AAAAAG5r9bw=")</f>
        <v>#REF!</v>
      </c>
      <c r="GH21" t="e">
        <f>AND(TOC!#REF!,"AAAAAG5r9b0=")</f>
        <v>#REF!</v>
      </c>
      <c r="GI21" t="e">
        <f>AND(TOC!#REF!,"AAAAAG5r9b4=")</f>
        <v>#REF!</v>
      </c>
      <c r="GJ21" t="e">
        <f>AND(TOC!#REF!,"AAAAAG5r9b8=")</f>
        <v>#REF!</v>
      </c>
      <c r="GK21" t="e">
        <f>AND(TOC!#REF!,"AAAAAG5r9cA=")</f>
        <v>#REF!</v>
      </c>
      <c r="GL21" t="e">
        <f>AND(TOC!#REF!,"AAAAAG5r9cE=")</f>
        <v>#REF!</v>
      </c>
      <c r="GM21" t="e">
        <f>AND(TOC!#REF!,"AAAAAG5r9cI=")</f>
        <v>#REF!</v>
      </c>
      <c r="GN21" t="e">
        <f>AND(TOC!#REF!,"AAAAAG5r9cM=")</f>
        <v>#REF!</v>
      </c>
      <c r="GO21" t="e">
        <f>AND(TOC!#REF!,"AAAAAG5r9cQ=")</f>
        <v>#REF!</v>
      </c>
      <c r="GP21" t="e">
        <f>AND(TOC!#REF!,"AAAAAG5r9cU=")</f>
        <v>#REF!</v>
      </c>
      <c r="GQ21" t="e">
        <f>AND(TOC!#REF!,"AAAAAG5r9cY=")</f>
        <v>#REF!</v>
      </c>
      <c r="GR21" t="e">
        <f>AND(TOC!#REF!,"AAAAAG5r9cc=")</f>
        <v>#REF!</v>
      </c>
      <c r="GS21" t="e">
        <f>AND(TOC!#REF!,"AAAAAG5r9cg=")</f>
        <v>#REF!</v>
      </c>
      <c r="GT21" t="e">
        <f>AND(TOC!#REF!,"AAAAAG5r9ck=")</f>
        <v>#REF!</v>
      </c>
      <c r="GU21" t="e">
        <f>AND(TOC!#REF!,"AAAAAG5r9co=")</f>
        <v>#REF!</v>
      </c>
      <c r="GV21" t="e">
        <f>AND(TOC!#REF!,"AAAAAG5r9cs=")</f>
        <v>#REF!</v>
      </c>
      <c r="GW21" t="e">
        <f>AND(TOC!#REF!,"AAAAAG5r9cw=")</f>
        <v>#REF!</v>
      </c>
      <c r="GX21" t="e">
        <f>AND(TOC!#REF!,"AAAAAG5r9c0=")</f>
        <v>#REF!</v>
      </c>
      <c r="GY21" t="e">
        <f>AND(TOC!#REF!,"AAAAAG5r9c4=")</f>
        <v>#REF!</v>
      </c>
      <c r="GZ21" t="e">
        <f>AND(TOC!#REF!,"AAAAAG5r9c8=")</f>
        <v>#REF!</v>
      </c>
      <c r="HA21" t="e">
        <f>IF(TOC!#REF!,"AAAAAG5r9dA=",0)</f>
        <v>#REF!</v>
      </c>
      <c r="HB21" t="e">
        <f>AND(TOC!#REF!,"AAAAAG5r9dE=")</f>
        <v>#REF!</v>
      </c>
      <c r="HC21" t="e">
        <f>AND(TOC!#REF!,"AAAAAG5r9dI=")</f>
        <v>#REF!</v>
      </c>
      <c r="HD21" t="e">
        <f>AND(TOC!#REF!,"AAAAAG5r9dM=")</f>
        <v>#REF!</v>
      </c>
      <c r="HE21" t="e">
        <f>AND(TOC!#REF!,"AAAAAG5r9dQ=")</f>
        <v>#REF!</v>
      </c>
      <c r="HF21" t="e">
        <f>AND(TOC!#REF!,"AAAAAG5r9dU=")</f>
        <v>#REF!</v>
      </c>
      <c r="HG21" t="e">
        <f>AND(TOC!#REF!,"AAAAAG5r9dY=")</f>
        <v>#REF!</v>
      </c>
      <c r="HH21" t="e">
        <f>AND(TOC!#REF!,"AAAAAG5r9dc=")</f>
        <v>#REF!</v>
      </c>
      <c r="HI21" t="e">
        <f>AND(TOC!#REF!,"AAAAAG5r9dg=")</f>
        <v>#REF!</v>
      </c>
      <c r="HJ21" t="e">
        <f>AND(TOC!#REF!,"AAAAAG5r9dk=")</f>
        <v>#REF!</v>
      </c>
      <c r="HK21" t="e">
        <f>AND(TOC!#REF!,"AAAAAG5r9do=")</f>
        <v>#REF!</v>
      </c>
      <c r="HL21" t="e">
        <f>AND(TOC!#REF!,"AAAAAG5r9ds=")</f>
        <v>#REF!</v>
      </c>
      <c r="HM21" t="e">
        <f>AND(TOC!#REF!,"AAAAAG5r9dw=")</f>
        <v>#REF!</v>
      </c>
      <c r="HN21" t="e">
        <f>AND(TOC!#REF!,"AAAAAG5r9d0=")</f>
        <v>#REF!</v>
      </c>
      <c r="HO21" t="e">
        <f>AND(TOC!#REF!,"AAAAAG5r9d4=")</f>
        <v>#REF!</v>
      </c>
      <c r="HP21" t="e">
        <f>AND(TOC!#REF!,"AAAAAG5r9d8=")</f>
        <v>#REF!</v>
      </c>
      <c r="HQ21" t="e">
        <f>AND(TOC!#REF!,"AAAAAG5r9eA=")</f>
        <v>#REF!</v>
      </c>
      <c r="HR21" t="e">
        <f>AND(TOC!#REF!,"AAAAAG5r9eE=")</f>
        <v>#REF!</v>
      </c>
      <c r="HS21" t="e">
        <f>AND(TOC!#REF!,"AAAAAG5r9eI=")</f>
        <v>#REF!</v>
      </c>
      <c r="HT21" t="e">
        <f>AND(TOC!#REF!,"AAAAAG5r9eM=")</f>
        <v>#REF!</v>
      </c>
      <c r="HU21" t="e">
        <f>AND(TOC!#REF!,"AAAAAG5r9eQ=")</f>
        <v>#REF!</v>
      </c>
      <c r="HV21" t="e">
        <f>AND(TOC!#REF!,"AAAAAG5r9eU=")</f>
        <v>#REF!</v>
      </c>
      <c r="HW21" t="e">
        <f>AND(TOC!#REF!,"AAAAAG5r9eY=")</f>
        <v>#REF!</v>
      </c>
      <c r="HX21" t="e">
        <f>AND(TOC!#REF!,"AAAAAG5r9ec=")</f>
        <v>#REF!</v>
      </c>
      <c r="HY21" t="e">
        <f>AND(TOC!#REF!,"AAAAAG5r9eg=")</f>
        <v>#REF!</v>
      </c>
      <c r="HZ21" t="e">
        <f>AND(TOC!#REF!,"AAAAAG5r9ek=")</f>
        <v>#REF!</v>
      </c>
      <c r="IA21" t="e">
        <f>AND(TOC!#REF!,"AAAAAG5r9eo=")</f>
        <v>#REF!</v>
      </c>
      <c r="IB21" t="e">
        <f>AND(TOC!#REF!,"AAAAAG5r9es=")</f>
        <v>#REF!</v>
      </c>
      <c r="IC21" t="e">
        <f>AND(TOC!#REF!,"AAAAAG5r9ew=")</f>
        <v>#REF!</v>
      </c>
      <c r="ID21" t="e">
        <f>AND(TOC!#REF!,"AAAAAG5r9e0=")</f>
        <v>#REF!</v>
      </c>
      <c r="IE21" t="e">
        <f>AND(TOC!#REF!,"AAAAAG5r9e4=")</f>
        <v>#REF!</v>
      </c>
      <c r="IF21" t="e">
        <f>AND(TOC!#REF!,"AAAAAG5r9e8=")</f>
        <v>#REF!</v>
      </c>
      <c r="IG21" t="e">
        <f>AND(TOC!#REF!,"AAAAAG5r9fA=")</f>
        <v>#REF!</v>
      </c>
      <c r="IH21" t="e">
        <f>AND(TOC!#REF!,"AAAAAG5r9fE=")</f>
        <v>#REF!</v>
      </c>
      <c r="II21" t="e">
        <f>AND(TOC!#REF!,"AAAAAG5r9fI=")</f>
        <v>#REF!</v>
      </c>
      <c r="IJ21" t="e">
        <f>AND(TOC!#REF!,"AAAAAG5r9fM=")</f>
        <v>#REF!</v>
      </c>
      <c r="IK21" t="e">
        <f>AND(TOC!#REF!,"AAAAAG5r9fQ=")</f>
        <v>#REF!</v>
      </c>
      <c r="IL21" t="e">
        <f>IF(TOC!#REF!,"AAAAAG5r9fU=",0)</f>
        <v>#REF!</v>
      </c>
      <c r="IM21" t="e">
        <f>AND(TOC!#REF!,"AAAAAG5r9fY=")</f>
        <v>#REF!</v>
      </c>
      <c r="IN21" t="e">
        <f>AND(TOC!#REF!,"AAAAAG5r9fc=")</f>
        <v>#REF!</v>
      </c>
      <c r="IO21" t="e">
        <f>AND(TOC!#REF!,"AAAAAG5r9fg=")</f>
        <v>#REF!</v>
      </c>
      <c r="IP21" t="e">
        <f>AND(TOC!#REF!,"AAAAAG5r9fk=")</f>
        <v>#REF!</v>
      </c>
      <c r="IQ21" t="e">
        <f>AND(TOC!#REF!,"AAAAAG5r9fo=")</f>
        <v>#REF!</v>
      </c>
      <c r="IR21" t="e">
        <f>AND(TOC!#REF!,"AAAAAG5r9fs=")</f>
        <v>#REF!</v>
      </c>
      <c r="IS21" t="e">
        <f>AND(TOC!#REF!,"AAAAAG5r9fw=")</f>
        <v>#REF!</v>
      </c>
      <c r="IT21" t="e">
        <f>AND(TOC!#REF!,"AAAAAG5r9f0=")</f>
        <v>#REF!</v>
      </c>
      <c r="IU21" t="e">
        <f>AND(TOC!#REF!,"AAAAAG5r9f4=")</f>
        <v>#REF!</v>
      </c>
      <c r="IV21" t="e">
        <f>AND(TOC!#REF!,"AAAAAG5r9f8=")</f>
        <v>#REF!</v>
      </c>
    </row>
    <row r="22" spans="1:256" x14ac:dyDescent="0.2">
      <c r="A22" t="e">
        <f>AND(TOC!#REF!,"AAAAAB/1fgA=")</f>
        <v>#REF!</v>
      </c>
      <c r="B22" t="e">
        <f>AND(TOC!#REF!,"AAAAAB/1fgE=")</f>
        <v>#REF!</v>
      </c>
      <c r="C22" t="e">
        <f>AND(TOC!#REF!,"AAAAAB/1fgI=")</f>
        <v>#REF!</v>
      </c>
      <c r="D22" t="e">
        <f>AND(TOC!#REF!,"AAAAAB/1fgM=")</f>
        <v>#REF!</v>
      </c>
      <c r="E22" t="e">
        <f>AND(TOC!#REF!,"AAAAAB/1fgQ=")</f>
        <v>#REF!</v>
      </c>
      <c r="F22" t="e">
        <f>AND(TOC!#REF!,"AAAAAB/1fgU=")</f>
        <v>#REF!</v>
      </c>
      <c r="G22" t="e">
        <f>AND(TOC!#REF!,"AAAAAB/1fgY=")</f>
        <v>#REF!</v>
      </c>
      <c r="H22" t="e">
        <f>AND(TOC!#REF!,"AAAAAB/1fgc=")</f>
        <v>#REF!</v>
      </c>
      <c r="I22" t="e">
        <f>AND(TOC!#REF!,"AAAAAB/1fgg=")</f>
        <v>#REF!</v>
      </c>
      <c r="J22" t="e">
        <f>AND(TOC!#REF!,"AAAAAB/1fgk=")</f>
        <v>#REF!</v>
      </c>
      <c r="K22" t="e">
        <f>AND(TOC!#REF!,"AAAAAB/1fgo=")</f>
        <v>#REF!</v>
      </c>
      <c r="L22" t="e">
        <f>AND(TOC!#REF!,"AAAAAB/1fgs=")</f>
        <v>#REF!</v>
      </c>
      <c r="M22" t="e">
        <f>AND(TOC!#REF!,"AAAAAB/1fgw=")</f>
        <v>#REF!</v>
      </c>
      <c r="N22" t="e">
        <f>AND(TOC!#REF!,"AAAAAB/1fg0=")</f>
        <v>#REF!</v>
      </c>
      <c r="O22" t="e">
        <f>AND(TOC!#REF!,"AAAAAB/1fg4=")</f>
        <v>#REF!</v>
      </c>
      <c r="P22" t="e">
        <f>AND(TOC!#REF!,"AAAAAB/1fg8=")</f>
        <v>#REF!</v>
      </c>
      <c r="Q22" t="e">
        <f>AND(TOC!#REF!,"AAAAAB/1fhA=")</f>
        <v>#REF!</v>
      </c>
      <c r="R22" t="e">
        <f>AND(TOC!#REF!,"AAAAAB/1fhE=")</f>
        <v>#REF!</v>
      </c>
      <c r="S22" t="e">
        <f>AND(TOC!#REF!,"AAAAAB/1fhI=")</f>
        <v>#REF!</v>
      </c>
      <c r="T22" t="e">
        <f>AND(TOC!#REF!,"AAAAAB/1fhM=")</f>
        <v>#REF!</v>
      </c>
      <c r="U22" t="e">
        <f>AND(TOC!#REF!,"AAAAAB/1fhQ=")</f>
        <v>#REF!</v>
      </c>
      <c r="V22" t="e">
        <f>AND(TOC!#REF!,"AAAAAB/1fhU=")</f>
        <v>#REF!</v>
      </c>
      <c r="W22" t="e">
        <f>AND(TOC!#REF!,"AAAAAB/1fhY=")</f>
        <v>#REF!</v>
      </c>
      <c r="X22" t="e">
        <f>AND(TOC!#REF!,"AAAAAB/1fhc=")</f>
        <v>#REF!</v>
      </c>
      <c r="Y22" t="e">
        <f>AND(TOC!#REF!,"AAAAAB/1fhg=")</f>
        <v>#REF!</v>
      </c>
      <c r="Z22" t="e">
        <f>AND(TOC!#REF!,"AAAAAB/1fhk=")</f>
        <v>#REF!</v>
      </c>
      <c r="AA22" t="e">
        <f>IF(TOC!#REF!,"AAAAAB/1fho=",0)</f>
        <v>#REF!</v>
      </c>
      <c r="AB22" t="e">
        <f>AND(TOC!#REF!,"AAAAAB/1fhs=")</f>
        <v>#REF!</v>
      </c>
      <c r="AC22" t="e">
        <f>AND(TOC!#REF!,"AAAAAB/1fhw=")</f>
        <v>#REF!</v>
      </c>
      <c r="AD22" t="e">
        <f>AND(TOC!#REF!,"AAAAAB/1fh0=")</f>
        <v>#REF!</v>
      </c>
      <c r="AE22" t="e">
        <f>AND(TOC!#REF!,"AAAAAB/1fh4=")</f>
        <v>#REF!</v>
      </c>
      <c r="AF22" t="e">
        <f>AND(TOC!#REF!,"AAAAAB/1fh8=")</f>
        <v>#REF!</v>
      </c>
      <c r="AG22" t="e">
        <f>AND(TOC!#REF!,"AAAAAB/1fiA=")</f>
        <v>#REF!</v>
      </c>
      <c r="AH22" t="e">
        <f>AND(TOC!#REF!,"AAAAAB/1fiE=")</f>
        <v>#REF!</v>
      </c>
      <c r="AI22" t="e">
        <f>AND(TOC!#REF!,"AAAAAB/1fiI=")</f>
        <v>#REF!</v>
      </c>
      <c r="AJ22" t="e">
        <f>AND(TOC!#REF!,"AAAAAB/1fiM=")</f>
        <v>#REF!</v>
      </c>
      <c r="AK22" t="e">
        <f>AND(TOC!#REF!,"AAAAAB/1fiQ=")</f>
        <v>#REF!</v>
      </c>
      <c r="AL22" t="e">
        <f>AND(TOC!#REF!,"AAAAAB/1fiU=")</f>
        <v>#REF!</v>
      </c>
      <c r="AM22" t="e">
        <f>AND(TOC!#REF!,"AAAAAB/1fiY=")</f>
        <v>#REF!</v>
      </c>
      <c r="AN22" t="e">
        <f>AND(TOC!#REF!,"AAAAAB/1fic=")</f>
        <v>#REF!</v>
      </c>
      <c r="AO22" t="e">
        <f>AND(TOC!#REF!,"AAAAAB/1fig=")</f>
        <v>#REF!</v>
      </c>
      <c r="AP22" t="e">
        <f>AND(TOC!#REF!,"AAAAAB/1fik=")</f>
        <v>#REF!</v>
      </c>
      <c r="AQ22" t="e">
        <f>AND(TOC!#REF!,"AAAAAB/1fio=")</f>
        <v>#REF!</v>
      </c>
      <c r="AR22" t="e">
        <f>AND(TOC!#REF!,"AAAAAB/1fis=")</f>
        <v>#REF!</v>
      </c>
      <c r="AS22" t="e">
        <f>AND(TOC!#REF!,"AAAAAB/1fiw=")</f>
        <v>#REF!</v>
      </c>
      <c r="AT22" t="e">
        <f>AND(TOC!#REF!,"AAAAAB/1fi0=")</f>
        <v>#REF!</v>
      </c>
      <c r="AU22" t="e">
        <f>AND(TOC!#REF!,"AAAAAB/1fi4=")</f>
        <v>#REF!</v>
      </c>
      <c r="AV22" t="e">
        <f>AND(TOC!#REF!,"AAAAAB/1fi8=")</f>
        <v>#REF!</v>
      </c>
      <c r="AW22" t="e">
        <f>AND(TOC!#REF!,"AAAAAB/1fjA=")</f>
        <v>#REF!</v>
      </c>
      <c r="AX22" t="e">
        <f>AND(TOC!#REF!,"AAAAAB/1fjE=")</f>
        <v>#REF!</v>
      </c>
      <c r="AY22" t="e">
        <f>AND(TOC!#REF!,"AAAAAB/1fjI=")</f>
        <v>#REF!</v>
      </c>
      <c r="AZ22" t="e">
        <f>AND(TOC!#REF!,"AAAAAB/1fjM=")</f>
        <v>#REF!</v>
      </c>
      <c r="BA22" t="e">
        <f>AND(TOC!#REF!,"AAAAAB/1fjQ=")</f>
        <v>#REF!</v>
      </c>
      <c r="BB22" t="e">
        <f>AND(TOC!#REF!,"AAAAAB/1fjU=")</f>
        <v>#REF!</v>
      </c>
      <c r="BC22" t="e">
        <f>AND(TOC!#REF!,"AAAAAB/1fjY=")</f>
        <v>#REF!</v>
      </c>
      <c r="BD22" t="e">
        <f>AND(TOC!#REF!,"AAAAAB/1fjc=")</f>
        <v>#REF!</v>
      </c>
      <c r="BE22" t="e">
        <f>AND(TOC!#REF!,"AAAAAB/1fjg=")</f>
        <v>#REF!</v>
      </c>
      <c r="BF22" t="e">
        <f>AND(TOC!#REF!,"AAAAAB/1fjk=")</f>
        <v>#REF!</v>
      </c>
      <c r="BG22" t="e">
        <f>AND(TOC!#REF!,"AAAAAB/1fjo=")</f>
        <v>#REF!</v>
      </c>
      <c r="BH22" t="e">
        <f>AND(TOC!#REF!,"AAAAAB/1fjs=")</f>
        <v>#REF!</v>
      </c>
      <c r="BI22" t="e">
        <f>AND(TOC!#REF!,"AAAAAB/1fjw=")</f>
        <v>#REF!</v>
      </c>
      <c r="BJ22" t="e">
        <f>AND(TOC!#REF!,"AAAAAB/1fj0=")</f>
        <v>#REF!</v>
      </c>
      <c r="BK22" t="e">
        <f>AND(TOC!#REF!,"AAAAAB/1fj4=")</f>
        <v>#REF!</v>
      </c>
      <c r="BL22" t="e">
        <f>IF(TOC!#REF!,"AAAAAB/1fj8=",0)</f>
        <v>#REF!</v>
      </c>
      <c r="BM22" t="e">
        <f>AND(TOC!#REF!,"AAAAAB/1fkA=")</f>
        <v>#REF!</v>
      </c>
      <c r="BN22" t="e">
        <f>AND(TOC!#REF!,"AAAAAB/1fkE=")</f>
        <v>#REF!</v>
      </c>
      <c r="BO22" t="e">
        <f>AND(TOC!#REF!,"AAAAAB/1fkI=")</f>
        <v>#REF!</v>
      </c>
      <c r="BP22" t="e">
        <f>AND(TOC!#REF!,"AAAAAB/1fkM=")</f>
        <v>#REF!</v>
      </c>
      <c r="BQ22" t="e">
        <f>AND(TOC!#REF!,"AAAAAB/1fkQ=")</f>
        <v>#REF!</v>
      </c>
      <c r="BR22" t="e">
        <f>AND(TOC!#REF!,"AAAAAB/1fkU=")</f>
        <v>#REF!</v>
      </c>
      <c r="BS22" t="e">
        <f>AND(TOC!#REF!,"AAAAAB/1fkY=")</f>
        <v>#REF!</v>
      </c>
      <c r="BT22" t="e">
        <f>AND(TOC!#REF!,"AAAAAB/1fkc=")</f>
        <v>#REF!</v>
      </c>
      <c r="BU22" t="e">
        <f>AND(TOC!#REF!,"AAAAAB/1fkg=")</f>
        <v>#REF!</v>
      </c>
      <c r="BV22" t="e">
        <f>AND(TOC!#REF!,"AAAAAB/1fkk=")</f>
        <v>#REF!</v>
      </c>
      <c r="BW22" t="e">
        <f>AND(TOC!#REF!,"AAAAAB/1fko=")</f>
        <v>#REF!</v>
      </c>
      <c r="BX22" t="e">
        <f>AND(TOC!#REF!,"AAAAAB/1fks=")</f>
        <v>#REF!</v>
      </c>
      <c r="BY22" t="e">
        <f>AND(TOC!#REF!,"AAAAAB/1fkw=")</f>
        <v>#REF!</v>
      </c>
      <c r="BZ22" t="e">
        <f>AND(TOC!#REF!,"AAAAAB/1fk0=")</f>
        <v>#REF!</v>
      </c>
      <c r="CA22" t="e">
        <f>AND(TOC!#REF!,"AAAAAB/1fk4=")</f>
        <v>#REF!</v>
      </c>
      <c r="CB22" t="e">
        <f>AND(TOC!#REF!,"AAAAAB/1fk8=")</f>
        <v>#REF!</v>
      </c>
      <c r="CC22" t="e">
        <f>AND(TOC!#REF!,"AAAAAB/1flA=")</f>
        <v>#REF!</v>
      </c>
      <c r="CD22" t="e">
        <f>AND(TOC!#REF!,"AAAAAB/1flE=")</f>
        <v>#REF!</v>
      </c>
      <c r="CE22" t="e">
        <f>AND(TOC!#REF!,"AAAAAB/1flI=")</f>
        <v>#REF!</v>
      </c>
      <c r="CF22" t="e">
        <f>AND(TOC!#REF!,"AAAAAB/1flM=")</f>
        <v>#REF!</v>
      </c>
      <c r="CG22" t="e">
        <f>AND(TOC!#REF!,"AAAAAB/1flQ=")</f>
        <v>#REF!</v>
      </c>
      <c r="CH22" t="e">
        <f>AND(TOC!#REF!,"AAAAAB/1flU=")</f>
        <v>#REF!</v>
      </c>
      <c r="CI22" t="e">
        <f>AND(TOC!#REF!,"AAAAAB/1flY=")</f>
        <v>#REF!</v>
      </c>
      <c r="CJ22" t="e">
        <f>AND(TOC!#REF!,"AAAAAB/1flc=")</f>
        <v>#REF!</v>
      </c>
      <c r="CK22" t="e">
        <f>AND(TOC!#REF!,"AAAAAB/1flg=")</f>
        <v>#REF!</v>
      </c>
      <c r="CL22" t="e">
        <f>AND(TOC!#REF!,"AAAAAB/1flk=")</f>
        <v>#REF!</v>
      </c>
      <c r="CM22" t="e">
        <f>AND(TOC!#REF!,"AAAAAB/1flo=")</f>
        <v>#REF!</v>
      </c>
      <c r="CN22" t="e">
        <f>AND(TOC!#REF!,"AAAAAB/1fls=")</f>
        <v>#REF!</v>
      </c>
      <c r="CO22" t="e">
        <f>AND(TOC!#REF!,"AAAAAB/1flw=")</f>
        <v>#REF!</v>
      </c>
      <c r="CP22" t="e">
        <f>AND(TOC!#REF!,"AAAAAB/1fl0=")</f>
        <v>#REF!</v>
      </c>
      <c r="CQ22" t="e">
        <f>AND(TOC!#REF!,"AAAAAB/1fl4=")</f>
        <v>#REF!</v>
      </c>
      <c r="CR22" t="e">
        <f>AND(TOC!#REF!,"AAAAAB/1fl8=")</f>
        <v>#REF!</v>
      </c>
      <c r="CS22" t="e">
        <f>AND(TOC!#REF!,"AAAAAB/1fmA=")</f>
        <v>#REF!</v>
      </c>
      <c r="CT22" t="e">
        <f>AND(TOC!#REF!,"AAAAAB/1fmE=")</f>
        <v>#REF!</v>
      </c>
      <c r="CU22" t="e">
        <f>AND(TOC!#REF!,"AAAAAB/1fmI=")</f>
        <v>#REF!</v>
      </c>
      <c r="CV22" t="e">
        <f>AND(TOC!#REF!,"AAAAAB/1fmM=")</f>
        <v>#REF!</v>
      </c>
      <c r="CW22" t="e">
        <f>IF(TOC!#REF!,"AAAAAB/1fmQ=",0)</f>
        <v>#REF!</v>
      </c>
      <c r="CX22" t="e">
        <f>AND(TOC!#REF!,"AAAAAB/1fmU=")</f>
        <v>#REF!</v>
      </c>
      <c r="CY22" t="e">
        <f>AND(TOC!#REF!,"AAAAAB/1fmY=")</f>
        <v>#REF!</v>
      </c>
      <c r="CZ22" t="e">
        <f>AND(TOC!#REF!,"AAAAAB/1fmc=")</f>
        <v>#REF!</v>
      </c>
      <c r="DA22" t="e">
        <f>AND(TOC!#REF!,"AAAAAB/1fmg=")</f>
        <v>#REF!</v>
      </c>
      <c r="DB22" t="e">
        <f>AND(TOC!#REF!,"AAAAAB/1fmk=")</f>
        <v>#REF!</v>
      </c>
      <c r="DC22" t="e">
        <f>AND(TOC!#REF!,"AAAAAB/1fmo=")</f>
        <v>#REF!</v>
      </c>
      <c r="DD22" t="e">
        <f>AND(TOC!#REF!,"AAAAAB/1fms=")</f>
        <v>#REF!</v>
      </c>
      <c r="DE22" t="e">
        <f>AND(TOC!#REF!,"AAAAAB/1fmw=")</f>
        <v>#REF!</v>
      </c>
      <c r="DF22" t="e">
        <f>AND(TOC!#REF!,"AAAAAB/1fm0=")</f>
        <v>#REF!</v>
      </c>
      <c r="DG22" t="e">
        <f>AND(TOC!#REF!,"AAAAAB/1fm4=")</f>
        <v>#REF!</v>
      </c>
      <c r="DH22" t="e">
        <f>AND(TOC!#REF!,"AAAAAB/1fm8=")</f>
        <v>#REF!</v>
      </c>
      <c r="DI22" t="e">
        <f>AND(TOC!#REF!,"AAAAAB/1fnA=")</f>
        <v>#REF!</v>
      </c>
      <c r="DJ22" t="e">
        <f>AND(TOC!#REF!,"AAAAAB/1fnE=")</f>
        <v>#REF!</v>
      </c>
      <c r="DK22" t="e">
        <f>AND(TOC!#REF!,"AAAAAB/1fnI=")</f>
        <v>#REF!</v>
      </c>
      <c r="DL22" t="e">
        <f>AND(TOC!#REF!,"AAAAAB/1fnM=")</f>
        <v>#REF!</v>
      </c>
      <c r="DM22" t="e">
        <f>AND(TOC!#REF!,"AAAAAB/1fnQ=")</f>
        <v>#REF!</v>
      </c>
      <c r="DN22" t="e">
        <f>AND(TOC!#REF!,"AAAAAB/1fnU=")</f>
        <v>#REF!</v>
      </c>
      <c r="DO22" t="e">
        <f>AND(TOC!#REF!,"AAAAAB/1fnY=")</f>
        <v>#REF!</v>
      </c>
      <c r="DP22" t="e">
        <f>AND(TOC!#REF!,"AAAAAB/1fnc=")</f>
        <v>#REF!</v>
      </c>
      <c r="DQ22" t="e">
        <f>AND(TOC!#REF!,"AAAAAB/1fng=")</f>
        <v>#REF!</v>
      </c>
      <c r="DR22" t="e">
        <f>AND(TOC!#REF!,"AAAAAB/1fnk=")</f>
        <v>#REF!</v>
      </c>
      <c r="DS22" t="e">
        <f>AND(TOC!#REF!,"AAAAAB/1fno=")</f>
        <v>#REF!</v>
      </c>
      <c r="DT22" t="e">
        <f>AND(TOC!#REF!,"AAAAAB/1fns=")</f>
        <v>#REF!</v>
      </c>
      <c r="DU22" t="e">
        <f>AND(TOC!#REF!,"AAAAAB/1fnw=")</f>
        <v>#REF!</v>
      </c>
      <c r="DV22" t="e">
        <f>AND(TOC!#REF!,"AAAAAB/1fn0=")</f>
        <v>#REF!</v>
      </c>
      <c r="DW22" t="e">
        <f>AND(TOC!#REF!,"AAAAAB/1fn4=")</f>
        <v>#REF!</v>
      </c>
      <c r="DX22" t="e">
        <f>AND(TOC!#REF!,"AAAAAB/1fn8=")</f>
        <v>#REF!</v>
      </c>
      <c r="DY22" t="e">
        <f>AND(TOC!#REF!,"AAAAAB/1foA=")</f>
        <v>#REF!</v>
      </c>
      <c r="DZ22" t="e">
        <f>AND(TOC!#REF!,"AAAAAB/1foE=")</f>
        <v>#REF!</v>
      </c>
      <c r="EA22" t="e">
        <f>AND(TOC!#REF!,"AAAAAB/1foI=")</f>
        <v>#REF!</v>
      </c>
      <c r="EB22" t="e">
        <f>AND(TOC!#REF!,"AAAAAB/1foM=")</f>
        <v>#REF!</v>
      </c>
      <c r="EC22" t="e">
        <f>AND(TOC!#REF!,"AAAAAB/1foQ=")</f>
        <v>#REF!</v>
      </c>
      <c r="ED22" t="e">
        <f>AND(TOC!#REF!,"AAAAAB/1foU=")</f>
        <v>#REF!</v>
      </c>
      <c r="EE22" t="e">
        <f>AND(TOC!#REF!,"AAAAAB/1foY=")</f>
        <v>#REF!</v>
      </c>
      <c r="EF22" t="e">
        <f>AND(TOC!#REF!,"AAAAAB/1foc=")</f>
        <v>#REF!</v>
      </c>
      <c r="EG22" t="e">
        <f>AND(TOC!#REF!,"AAAAAB/1fog=")</f>
        <v>#REF!</v>
      </c>
      <c r="EH22" t="e">
        <f>IF(TOC!#REF!,"AAAAAB/1fok=",0)</f>
        <v>#REF!</v>
      </c>
      <c r="EI22" t="e">
        <f>AND(TOC!#REF!,"AAAAAB/1foo=")</f>
        <v>#REF!</v>
      </c>
      <c r="EJ22" t="e">
        <f>AND(TOC!#REF!,"AAAAAB/1fos=")</f>
        <v>#REF!</v>
      </c>
      <c r="EK22" t="e">
        <f>AND(TOC!#REF!,"AAAAAB/1fow=")</f>
        <v>#REF!</v>
      </c>
      <c r="EL22" t="e">
        <f>AND(TOC!#REF!,"AAAAAB/1fo0=")</f>
        <v>#REF!</v>
      </c>
      <c r="EM22" t="e">
        <f>AND(TOC!#REF!,"AAAAAB/1fo4=")</f>
        <v>#REF!</v>
      </c>
      <c r="EN22" t="e">
        <f>AND(TOC!#REF!,"AAAAAB/1fo8=")</f>
        <v>#REF!</v>
      </c>
      <c r="EO22" t="e">
        <f>AND(TOC!#REF!,"AAAAAB/1fpA=")</f>
        <v>#REF!</v>
      </c>
      <c r="EP22" t="e">
        <f>AND(TOC!#REF!,"AAAAAB/1fpE=")</f>
        <v>#REF!</v>
      </c>
      <c r="EQ22" t="e">
        <f>AND(TOC!#REF!,"AAAAAB/1fpI=")</f>
        <v>#REF!</v>
      </c>
      <c r="ER22" t="e">
        <f>AND(TOC!#REF!,"AAAAAB/1fpM=")</f>
        <v>#REF!</v>
      </c>
      <c r="ES22" t="e">
        <f>AND(TOC!#REF!,"AAAAAB/1fpQ=")</f>
        <v>#REF!</v>
      </c>
      <c r="ET22" t="e">
        <f>AND(TOC!#REF!,"AAAAAB/1fpU=")</f>
        <v>#REF!</v>
      </c>
      <c r="EU22" t="e">
        <f>AND(TOC!#REF!,"AAAAAB/1fpY=")</f>
        <v>#REF!</v>
      </c>
      <c r="EV22" t="e">
        <f>AND(TOC!#REF!,"AAAAAB/1fpc=")</f>
        <v>#REF!</v>
      </c>
      <c r="EW22" t="e">
        <f>AND(TOC!#REF!,"AAAAAB/1fpg=")</f>
        <v>#REF!</v>
      </c>
      <c r="EX22" t="e">
        <f>AND(TOC!#REF!,"AAAAAB/1fpk=")</f>
        <v>#REF!</v>
      </c>
      <c r="EY22" t="e">
        <f>AND(TOC!#REF!,"AAAAAB/1fpo=")</f>
        <v>#REF!</v>
      </c>
      <c r="EZ22" t="e">
        <f>AND(TOC!#REF!,"AAAAAB/1fps=")</f>
        <v>#REF!</v>
      </c>
      <c r="FA22" t="e">
        <f>AND(TOC!#REF!,"AAAAAB/1fpw=")</f>
        <v>#REF!</v>
      </c>
      <c r="FB22" t="e">
        <f>AND(TOC!#REF!,"AAAAAB/1fp0=")</f>
        <v>#REF!</v>
      </c>
      <c r="FC22" t="e">
        <f>AND(TOC!#REF!,"AAAAAB/1fp4=")</f>
        <v>#REF!</v>
      </c>
      <c r="FD22" t="e">
        <f>AND(TOC!#REF!,"AAAAAB/1fp8=")</f>
        <v>#REF!</v>
      </c>
      <c r="FE22" t="e">
        <f>AND(TOC!#REF!,"AAAAAB/1fqA=")</f>
        <v>#REF!</v>
      </c>
      <c r="FF22" t="e">
        <f>AND(TOC!#REF!,"AAAAAB/1fqE=")</f>
        <v>#REF!</v>
      </c>
      <c r="FG22" t="e">
        <f>AND(TOC!#REF!,"AAAAAB/1fqI=")</f>
        <v>#REF!</v>
      </c>
      <c r="FH22" t="e">
        <f>AND(TOC!#REF!,"AAAAAB/1fqM=")</f>
        <v>#REF!</v>
      </c>
      <c r="FI22" t="e">
        <f>AND(TOC!#REF!,"AAAAAB/1fqQ=")</f>
        <v>#REF!</v>
      </c>
      <c r="FJ22" t="e">
        <f>AND(TOC!#REF!,"AAAAAB/1fqU=")</f>
        <v>#REF!</v>
      </c>
      <c r="FK22" t="e">
        <f>AND(TOC!#REF!,"AAAAAB/1fqY=")</f>
        <v>#REF!</v>
      </c>
      <c r="FL22" t="e">
        <f>AND(TOC!#REF!,"AAAAAB/1fqc=")</f>
        <v>#REF!</v>
      </c>
      <c r="FM22" t="e">
        <f>AND(TOC!#REF!,"AAAAAB/1fqg=")</f>
        <v>#REF!</v>
      </c>
      <c r="FN22" t="e">
        <f>AND(TOC!#REF!,"AAAAAB/1fqk=")</f>
        <v>#REF!</v>
      </c>
      <c r="FO22" t="e">
        <f>AND(TOC!#REF!,"AAAAAB/1fqo=")</f>
        <v>#REF!</v>
      </c>
      <c r="FP22" t="e">
        <f>AND(TOC!#REF!,"AAAAAB/1fqs=")</f>
        <v>#REF!</v>
      </c>
      <c r="FQ22" t="e">
        <f>AND(TOC!#REF!,"AAAAAB/1fqw=")</f>
        <v>#REF!</v>
      </c>
      <c r="FR22" t="e">
        <f>AND(TOC!#REF!,"AAAAAB/1fq0=")</f>
        <v>#REF!</v>
      </c>
      <c r="FS22" t="e">
        <f>IF(TOC!#REF!,"AAAAAB/1fq4=",0)</f>
        <v>#REF!</v>
      </c>
      <c r="FT22" t="e">
        <f>AND(TOC!#REF!,"AAAAAB/1fq8=")</f>
        <v>#REF!</v>
      </c>
      <c r="FU22" t="e">
        <f>AND(TOC!#REF!,"AAAAAB/1frA=")</f>
        <v>#REF!</v>
      </c>
      <c r="FV22" t="e">
        <f>AND(TOC!#REF!,"AAAAAB/1frE=")</f>
        <v>#REF!</v>
      </c>
      <c r="FW22" t="e">
        <f>AND(TOC!#REF!,"AAAAAB/1frI=")</f>
        <v>#REF!</v>
      </c>
      <c r="FX22" t="e">
        <f>AND(TOC!#REF!,"AAAAAB/1frM=")</f>
        <v>#REF!</v>
      </c>
      <c r="FY22" t="e">
        <f>AND(TOC!#REF!,"AAAAAB/1frQ=")</f>
        <v>#REF!</v>
      </c>
      <c r="FZ22" t="e">
        <f>AND(TOC!#REF!,"AAAAAB/1frU=")</f>
        <v>#REF!</v>
      </c>
      <c r="GA22" t="e">
        <f>AND(TOC!#REF!,"AAAAAB/1frY=")</f>
        <v>#REF!</v>
      </c>
      <c r="GB22" t="e">
        <f>AND(TOC!#REF!,"AAAAAB/1frc=")</f>
        <v>#REF!</v>
      </c>
      <c r="GC22" t="e">
        <f>AND(TOC!#REF!,"AAAAAB/1frg=")</f>
        <v>#REF!</v>
      </c>
      <c r="GD22" t="e">
        <f>AND(TOC!#REF!,"AAAAAB/1frk=")</f>
        <v>#REF!</v>
      </c>
      <c r="GE22" t="e">
        <f>AND(TOC!#REF!,"AAAAAB/1fro=")</f>
        <v>#REF!</v>
      </c>
      <c r="GF22" t="e">
        <f>AND(TOC!#REF!,"AAAAAB/1frs=")</f>
        <v>#REF!</v>
      </c>
      <c r="GG22" t="e">
        <f>AND(TOC!#REF!,"AAAAAB/1frw=")</f>
        <v>#REF!</v>
      </c>
      <c r="GH22" t="e">
        <f>AND(TOC!#REF!,"AAAAAB/1fr0=")</f>
        <v>#REF!</v>
      </c>
      <c r="GI22" t="e">
        <f>AND(TOC!#REF!,"AAAAAB/1fr4=")</f>
        <v>#REF!</v>
      </c>
      <c r="GJ22" t="e">
        <f>AND(TOC!#REF!,"AAAAAB/1fr8=")</f>
        <v>#REF!</v>
      </c>
      <c r="GK22" t="e">
        <f>AND(TOC!#REF!,"AAAAAB/1fsA=")</f>
        <v>#REF!</v>
      </c>
      <c r="GL22" t="e">
        <f>AND(TOC!#REF!,"AAAAAB/1fsE=")</f>
        <v>#REF!</v>
      </c>
      <c r="GM22" t="e">
        <f>AND(TOC!#REF!,"AAAAAB/1fsI=")</f>
        <v>#REF!</v>
      </c>
      <c r="GN22" t="e">
        <f>AND(TOC!#REF!,"AAAAAB/1fsM=")</f>
        <v>#REF!</v>
      </c>
      <c r="GO22" t="e">
        <f>AND(TOC!#REF!,"AAAAAB/1fsQ=")</f>
        <v>#REF!</v>
      </c>
      <c r="GP22" t="e">
        <f>AND(TOC!#REF!,"AAAAAB/1fsU=")</f>
        <v>#REF!</v>
      </c>
      <c r="GQ22" t="e">
        <f>AND(TOC!#REF!,"AAAAAB/1fsY=")</f>
        <v>#REF!</v>
      </c>
      <c r="GR22" t="e">
        <f>AND(TOC!#REF!,"AAAAAB/1fsc=")</f>
        <v>#REF!</v>
      </c>
      <c r="GS22" t="e">
        <f>AND(TOC!#REF!,"AAAAAB/1fsg=")</f>
        <v>#REF!</v>
      </c>
      <c r="GT22" t="e">
        <f>AND(TOC!#REF!,"AAAAAB/1fsk=")</f>
        <v>#REF!</v>
      </c>
      <c r="GU22" t="e">
        <f>AND(TOC!#REF!,"AAAAAB/1fso=")</f>
        <v>#REF!</v>
      </c>
      <c r="GV22" t="e">
        <f>AND(TOC!#REF!,"AAAAAB/1fss=")</f>
        <v>#REF!</v>
      </c>
      <c r="GW22" t="e">
        <f>AND(TOC!#REF!,"AAAAAB/1fsw=")</f>
        <v>#REF!</v>
      </c>
      <c r="GX22" t="e">
        <f>AND(TOC!#REF!,"AAAAAB/1fs0=")</f>
        <v>#REF!</v>
      </c>
      <c r="GY22" t="e">
        <f>AND(TOC!#REF!,"AAAAAB/1fs4=")</f>
        <v>#REF!</v>
      </c>
      <c r="GZ22" t="e">
        <f>AND(TOC!#REF!,"AAAAAB/1fs8=")</f>
        <v>#REF!</v>
      </c>
      <c r="HA22" t="e">
        <f>AND(TOC!#REF!,"AAAAAB/1ftA=")</f>
        <v>#REF!</v>
      </c>
      <c r="HB22" t="e">
        <f>AND(TOC!#REF!,"AAAAAB/1ftE=")</f>
        <v>#REF!</v>
      </c>
      <c r="HC22" t="e">
        <f>AND(TOC!#REF!,"AAAAAB/1ftI=")</f>
        <v>#REF!</v>
      </c>
      <c r="HD22" t="e">
        <f>IF(TOC!#REF!,"AAAAAB/1ftM=",0)</f>
        <v>#REF!</v>
      </c>
      <c r="HE22" t="e">
        <f>AND(TOC!#REF!,"AAAAAB/1ftQ=")</f>
        <v>#REF!</v>
      </c>
      <c r="HF22" t="e">
        <f>AND(TOC!#REF!,"AAAAAB/1ftU=")</f>
        <v>#REF!</v>
      </c>
      <c r="HG22" t="e">
        <f>AND(TOC!#REF!,"AAAAAB/1ftY=")</f>
        <v>#REF!</v>
      </c>
      <c r="HH22" t="e">
        <f>AND(TOC!#REF!,"AAAAAB/1ftc=")</f>
        <v>#REF!</v>
      </c>
      <c r="HI22" t="e">
        <f>AND(TOC!#REF!,"AAAAAB/1ftg=")</f>
        <v>#REF!</v>
      </c>
      <c r="HJ22" t="e">
        <f>AND(TOC!#REF!,"AAAAAB/1ftk=")</f>
        <v>#REF!</v>
      </c>
      <c r="HK22" t="e">
        <f>AND(TOC!#REF!,"AAAAAB/1fto=")</f>
        <v>#REF!</v>
      </c>
      <c r="HL22" t="e">
        <f>AND(TOC!#REF!,"AAAAAB/1fts=")</f>
        <v>#REF!</v>
      </c>
      <c r="HM22" t="e">
        <f>AND(TOC!#REF!,"AAAAAB/1ftw=")</f>
        <v>#REF!</v>
      </c>
      <c r="HN22" t="e">
        <f>AND(TOC!#REF!,"AAAAAB/1ft0=")</f>
        <v>#REF!</v>
      </c>
      <c r="HO22" t="e">
        <f>AND(TOC!#REF!,"AAAAAB/1ft4=")</f>
        <v>#REF!</v>
      </c>
      <c r="HP22" t="e">
        <f>AND(TOC!#REF!,"AAAAAB/1ft8=")</f>
        <v>#REF!</v>
      </c>
      <c r="HQ22" t="e">
        <f>AND(TOC!#REF!,"AAAAAB/1fuA=")</f>
        <v>#REF!</v>
      </c>
      <c r="HR22" t="e">
        <f>AND(TOC!#REF!,"AAAAAB/1fuE=")</f>
        <v>#REF!</v>
      </c>
      <c r="HS22" t="e">
        <f>AND(TOC!#REF!,"AAAAAB/1fuI=")</f>
        <v>#REF!</v>
      </c>
      <c r="HT22" t="e">
        <f>AND(TOC!#REF!,"AAAAAB/1fuM=")</f>
        <v>#REF!</v>
      </c>
      <c r="HU22" t="e">
        <f>AND(TOC!#REF!,"AAAAAB/1fuQ=")</f>
        <v>#REF!</v>
      </c>
      <c r="HV22" t="e">
        <f>AND(TOC!#REF!,"AAAAAB/1fuU=")</f>
        <v>#REF!</v>
      </c>
      <c r="HW22" t="e">
        <f>AND(TOC!#REF!,"AAAAAB/1fuY=")</f>
        <v>#REF!</v>
      </c>
      <c r="HX22" t="e">
        <f>AND(TOC!#REF!,"AAAAAB/1fuc=")</f>
        <v>#REF!</v>
      </c>
      <c r="HY22" t="e">
        <f>AND(TOC!#REF!,"AAAAAB/1fug=")</f>
        <v>#REF!</v>
      </c>
      <c r="HZ22" t="e">
        <f>AND(TOC!#REF!,"AAAAAB/1fuk=")</f>
        <v>#REF!</v>
      </c>
      <c r="IA22" t="e">
        <f>AND(TOC!#REF!,"AAAAAB/1fuo=")</f>
        <v>#REF!</v>
      </c>
      <c r="IB22" t="e">
        <f>AND(TOC!#REF!,"AAAAAB/1fus=")</f>
        <v>#REF!</v>
      </c>
      <c r="IC22" t="e">
        <f>AND(TOC!#REF!,"AAAAAB/1fuw=")</f>
        <v>#REF!</v>
      </c>
      <c r="ID22" t="e">
        <f>AND(TOC!#REF!,"AAAAAB/1fu0=")</f>
        <v>#REF!</v>
      </c>
      <c r="IE22" t="e">
        <f>AND(TOC!#REF!,"AAAAAB/1fu4=")</f>
        <v>#REF!</v>
      </c>
      <c r="IF22" t="e">
        <f>AND(TOC!#REF!,"AAAAAB/1fu8=")</f>
        <v>#REF!</v>
      </c>
      <c r="IG22" t="e">
        <f>AND(TOC!#REF!,"AAAAAB/1fvA=")</f>
        <v>#REF!</v>
      </c>
      <c r="IH22" t="e">
        <f>AND(TOC!#REF!,"AAAAAB/1fvE=")</f>
        <v>#REF!</v>
      </c>
      <c r="II22" t="e">
        <f>AND(TOC!#REF!,"AAAAAB/1fvI=")</f>
        <v>#REF!</v>
      </c>
      <c r="IJ22" t="e">
        <f>AND(TOC!#REF!,"AAAAAB/1fvM=")</f>
        <v>#REF!</v>
      </c>
      <c r="IK22" t="e">
        <f>AND(TOC!#REF!,"AAAAAB/1fvQ=")</f>
        <v>#REF!</v>
      </c>
      <c r="IL22" t="e">
        <f>AND(TOC!#REF!,"AAAAAB/1fvU=")</f>
        <v>#REF!</v>
      </c>
      <c r="IM22" t="e">
        <f>AND(TOC!#REF!,"AAAAAB/1fvY=")</f>
        <v>#REF!</v>
      </c>
      <c r="IN22" t="e">
        <f>AND(TOC!#REF!,"AAAAAB/1fvc=")</f>
        <v>#REF!</v>
      </c>
      <c r="IO22" t="e">
        <f>IF(TOC!#REF!,"AAAAAB/1fvg=",0)</f>
        <v>#REF!</v>
      </c>
      <c r="IP22" t="e">
        <f>AND(TOC!#REF!,"AAAAAB/1fvk=")</f>
        <v>#REF!</v>
      </c>
      <c r="IQ22" t="e">
        <f>AND(TOC!#REF!,"AAAAAB/1fvo=")</f>
        <v>#REF!</v>
      </c>
      <c r="IR22" t="e">
        <f>AND(TOC!#REF!,"AAAAAB/1fvs=")</f>
        <v>#REF!</v>
      </c>
      <c r="IS22" t="e">
        <f>AND(TOC!#REF!,"AAAAAB/1fvw=")</f>
        <v>#REF!</v>
      </c>
      <c r="IT22" t="e">
        <f>AND(TOC!#REF!,"AAAAAB/1fv0=")</f>
        <v>#REF!</v>
      </c>
      <c r="IU22" t="e">
        <f>AND(TOC!#REF!,"AAAAAB/1fv4=")</f>
        <v>#REF!</v>
      </c>
      <c r="IV22" t="e">
        <f>AND(TOC!#REF!,"AAAAAB/1fv8=")</f>
        <v>#REF!</v>
      </c>
    </row>
    <row r="23" spans="1:256" x14ac:dyDescent="0.2">
      <c r="A23" t="e">
        <f>AND(TOC!#REF!,"AAAAAB///QA=")</f>
        <v>#REF!</v>
      </c>
      <c r="B23" t="e">
        <f>AND(TOC!#REF!,"AAAAAB///QE=")</f>
        <v>#REF!</v>
      </c>
      <c r="C23" t="e">
        <f>AND(TOC!#REF!,"AAAAAB///QI=")</f>
        <v>#REF!</v>
      </c>
      <c r="D23" t="e">
        <f>AND(TOC!#REF!,"AAAAAB///QM=")</f>
        <v>#REF!</v>
      </c>
      <c r="E23" t="e">
        <f>AND(TOC!#REF!,"AAAAAB///QQ=")</f>
        <v>#REF!</v>
      </c>
      <c r="F23" t="e">
        <f>AND(TOC!#REF!,"AAAAAB///QU=")</f>
        <v>#REF!</v>
      </c>
      <c r="G23" t="e">
        <f>AND(TOC!#REF!,"AAAAAB///QY=")</f>
        <v>#REF!</v>
      </c>
      <c r="H23" t="e">
        <f>AND(TOC!#REF!,"AAAAAB///Qc=")</f>
        <v>#REF!</v>
      </c>
      <c r="I23" t="e">
        <f>AND(TOC!#REF!,"AAAAAB///Qg=")</f>
        <v>#REF!</v>
      </c>
      <c r="J23" t="e">
        <f>AND(TOC!#REF!,"AAAAAB///Qk=")</f>
        <v>#REF!</v>
      </c>
      <c r="K23" t="e">
        <f>AND(TOC!#REF!,"AAAAAB///Qo=")</f>
        <v>#REF!</v>
      </c>
      <c r="L23" t="e">
        <f>AND(TOC!#REF!,"AAAAAB///Qs=")</f>
        <v>#REF!</v>
      </c>
      <c r="M23" t="e">
        <f>AND(TOC!#REF!,"AAAAAB///Qw=")</f>
        <v>#REF!</v>
      </c>
      <c r="N23" t="e">
        <f>AND(TOC!#REF!,"AAAAAB///Q0=")</f>
        <v>#REF!</v>
      </c>
      <c r="O23" t="e">
        <f>AND(TOC!#REF!,"AAAAAB///Q4=")</f>
        <v>#REF!</v>
      </c>
      <c r="P23" t="e">
        <f>AND(TOC!#REF!,"AAAAAB///Q8=")</f>
        <v>#REF!</v>
      </c>
      <c r="Q23" t="e">
        <f>AND(TOC!#REF!,"AAAAAB///RA=")</f>
        <v>#REF!</v>
      </c>
      <c r="R23" t="e">
        <f>AND(TOC!#REF!,"AAAAAB///RE=")</f>
        <v>#REF!</v>
      </c>
      <c r="S23" t="e">
        <f>AND(TOC!#REF!,"AAAAAB///RI=")</f>
        <v>#REF!</v>
      </c>
      <c r="T23" t="e">
        <f>AND(TOC!#REF!,"AAAAAB///RM=")</f>
        <v>#REF!</v>
      </c>
      <c r="U23" t="e">
        <f>AND(TOC!#REF!,"AAAAAB///RQ=")</f>
        <v>#REF!</v>
      </c>
      <c r="V23" t="e">
        <f>AND(TOC!#REF!,"AAAAAB///RU=")</f>
        <v>#REF!</v>
      </c>
      <c r="W23" t="e">
        <f>AND(TOC!#REF!,"AAAAAB///RY=")</f>
        <v>#REF!</v>
      </c>
      <c r="X23" t="e">
        <f>AND(TOC!#REF!,"AAAAAB///Rc=")</f>
        <v>#REF!</v>
      </c>
      <c r="Y23" t="e">
        <f>AND(TOC!#REF!,"AAAAAB///Rg=")</f>
        <v>#REF!</v>
      </c>
      <c r="Z23" t="e">
        <f>AND(TOC!#REF!,"AAAAAB///Rk=")</f>
        <v>#REF!</v>
      </c>
      <c r="AA23" t="e">
        <f>AND(TOC!#REF!,"AAAAAB///Ro=")</f>
        <v>#REF!</v>
      </c>
      <c r="AB23" t="e">
        <f>AND(TOC!#REF!,"AAAAAB///Rs=")</f>
        <v>#REF!</v>
      </c>
      <c r="AC23" t="e">
        <f>AND(TOC!#REF!,"AAAAAB///Rw=")</f>
        <v>#REF!</v>
      </c>
      <c r="AD23" t="e">
        <f>IF(TOC!#REF!,"AAAAAB///R0=",0)</f>
        <v>#REF!</v>
      </c>
      <c r="AE23" t="e">
        <f>AND(TOC!#REF!,"AAAAAB///R4=")</f>
        <v>#REF!</v>
      </c>
      <c r="AF23" t="e">
        <f>AND(TOC!#REF!,"AAAAAB///R8=")</f>
        <v>#REF!</v>
      </c>
      <c r="AG23" t="e">
        <f>AND(TOC!#REF!,"AAAAAB///SA=")</f>
        <v>#REF!</v>
      </c>
      <c r="AH23" t="e">
        <f>AND(TOC!#REF!,"AAAAAB///SE=")</f>
        <v>#REF!</v>
      </c>
      <c r="AI23" t="e">
        <f>AND(TOC!#REF!,"AAAAAB///SI=")</f>
        <v>#REF!</v>
      </c>
      <c r="AJ23" t="e">
        <f>AND(TOC!#REF!,"AAAAAB///SM=")</f>
        <v>#REF!</v>
      </c>
      <c r="AK23" t="e">
        <f>AND(TOC!#REF!,"AAAAAB///SQ=")</f>
        <v>#REF!</v>
      </c>
      <c r="AL23" t="e">
        <f>AND(TOC!#REF!,"AAAAAB///SU=")</f>
        <v>#REF!</v>
      </c>
      <c r="AM23" t="e">
        <f>AND(TOC!#REF!,"AAAAAB///SY=")</f>
        <v>#REF!</v>
      </c>
      <c r="AN23" t="e">
        <f>AND(TOC!#REF!,"AAAAAB///Sc=")</f>
        <v>#REF!</v>
      </c>
      <c r="AO23" t="e">
        <f>AND(TOC!#REF!,"AAAAAB///Sg=")</f>
        <v>#REF!</v>
      </c>
      <c r="AP23" t="e">
        <f>AND(TOC!#REF!,"AAAAAB///Sk=")</f>
        <v>#REF!</v>
      </c>
      <c r="AQ23" t="e">
        <f>AND(TOC!#REF!,"AAAAAB///So=")</f>
        <v>#REF!</v>
      </c>
      <c r="AR23" t="e">
        <f>AND(TOC!#REF!,"AAAAAB///Ss=")</f>
        <v>#REF!</v>
      </c>
      <c r="AS23" t="e">
        <f>AND(TOC!#REF!,"AAAAAB///Sw=")</f>
        <v>#REF!</v>
      </c>
      <c r="AT23" t="e">
        <f>AND(TOC!#REF!,"AAAAAB///S0=")</f>
        <v>#REF!</v>
      </c>
      <c r="AU23" t="e">
        <f>AND(TOC!#REF!,"AAAAAB///S4=")</f>
        <v>#REF!</v>
      </c>
      <c r="AV23" t="e">
        <f>AND(TOC!#REF!,"AAAAAB///S8=")</f>
        <v>#REF!</v>
      </c>
      <c r="AW23" t="e">
        <f>AND(TOC!#REF!,"AAAAAB///TA=")</f>
        <v>#REF!</v>
      </c>
      <c r="AX23" t="e">
        <f>AND(TOC!#REF!,"AAAAAB///TE=")</f>
        <v>#REF!</v>
      </c>
      <c r="AY23" t="e">
        <f>AND(TOC!#REF!,"AAAAAB///TI=")</f>
        <v>#REF!</v>
      </c>
      <c r="AZ23" t="e">
        <f>AND(TOC!#REF!,"AAAAAB///TM=")</f>
        <v>#REF!</v>
      </c>
      <c r="BA23" t="e">
        <f>AND(TOC!#REF!,"AAAAAB///TQ=")</f>
        <v>#REF!</v>
      </c>
      <c r="BB23" t="e">
        <f>AND(TOC!#REF!,"AAAAAB///TU=")</f>
        <v>#REF!</v>
      </c>
      <c r="BC23" t="e">
        <f>AND(TOC!#REF!,"AAAAAB///TY=")</f>
        <v>#REF!</v>
      </c>
      <c r="BD23" t="e">
        <f>AND(TOC!#REF!,"AAAAAB///Tc=")</f>
        <v>#REF!</v>
      </c>
      <c r="BE23" t="e">
        <f>AND(TOC!#REF!,"AAAAAB///Tg=")</f>
        <v>#REF!</v>
      </c>
      <c r="BF23" t="e">
        <f>AND(TOC!#REF!,"AAAAAB///Tk=")</f>
        <v>#REF!</v>
      </c>
      <c r="BG23" t="e">
        <f>AND(TOC!#REF!,"AAAAAB///To=")</f>
        <v>#REF!</v>
      </c>
      <c r="BH23" t="e">
        <f>AND(TOC!#REF!,"AAAAAB///Ts=")</f>
        <v>#REF!</v>
      </c>
      <c r="BI23" t="e">
        <f>AND(TOC!#REF!,"AAAAAB///Tw=")</f>
        <v>#REF!</v>
      </c>
      <c r="BJ23" t="e">
        <f>AND(TOC!#REF!,"AAAAAB///T0=")</f>
        <v>#REF!</v>
      </c>
      <c r="BK23" t="e">
        <f>AND(TOC!#REF!,"AAAAAB///T4=")</f>
        <v>#REF!</v>
      </c>
      <c r="BL23" t="e">
        <f>AND(TOC!#REF!,"AAAAAB///T8=")</f>
        <v>#REF!</v>
      </c>
      <c r="BM23" t="e">
        <f>AND(TOC!#REF!,"AAAAAB///UA=")</f>
        <v>#REF!</v>
      </c>
      <c r="BN23" t="e">
        <f>AND(TOC!#REF!,"AAAAAB///UE=")</f>
        <v>#REF!</v>
      </c>
      <c r="BO23" t="e">
        <f>IF(TOC!#REF!,"AAAAAB///UI=",0)</f>
        <v>#REF!</v>
      </c>
      <c r="BP23" t="e">
        <f>AND(TOC!#REF!,"AAAAAB///UM=")</f>
        <v>#REF!</v>
      </c>
      <c r="BQ23" t="e">
        <f>AND(TOC!#REF!,"AAAAAB///UQ=")</f>
        <v>#REF!</v>
      </c>
      <c r="BR23" t="e">
        <f>AND(TOC!#REF!,"AAAAAB///UU=")</f>
        <v>#REF!</v>
      </c>
      <c r="BS23" t="e">
        <f>AND(TOC!#REF!,"AAAAAB///UY=")</f>
        <v>#REF!</v>
      </c>
      <c r="BT23" t="e">
        <f>AND(TOC!#REF!,"AAAAAB///Uc=")</f>
        <v>#REF!</v>
      </c>
      <c r="BU23" t="e">
        <f>AND(TOC!#REF!,"AAAAAB///Ug=")</f>
        <v>#REF!</v>
      </c>
      <c r="BV23" t="e">
        <f>AND(TOC!#REF!,"AAAAAB///Uk=")</f>
        <v>#REF!</v>
      </c>
      <c r="BW23" t="e">
        <f>AND(TOC!#REF!,"AAAAAB///Uo=")</f>
        <v>#REF!</v>
      </c>
      <c r="BX23" t="e">
        <f>AND(TOC!#REF!,"AAAAAB///Us=")</f>
        <v>#REF!</v>
      </c>
      <c r="BY23" t="e">
        <f>AND(TOC!#REF!,"AAAAAB///Uw=")</f>
        <v>#REF!</v>
      </c>
      <c r="BZ23" t="e">
        <f>AND(TOC!#REF!,"AAAAAB///U0=")</f>
        <v>#REF!</v>
      </c>
      <c r="CA23" t="e">
        <f>AND(TOC!#REF!,"AAAAAB///U4=")</f>
        <v>#REF!</v>
      </c>
      <c r="CB23" t="e">
        <f>AND(TOC!#REF!,"AAAAAB///U8=")</f>
        <v>#REF!</v>
      </c>
      <c r="CC23" t="e">
        <f>AND(TOC!#REF!,"AAAAAB///VA=")</f>
        <v>#REF!</v>
      </c>
      <c r="CD23" t="e">
        <f>AND(TOC!#REF!,"AAAAAB///VE=")</f>
        <v>#REF!</v>
      </c>
      <c r="CE23" t="e">
        <f>AND(TOC!#REF!,"AAAAAB///VI=")</f>
        <v>#REF!</v>
      </c>
      <c r="CF23" t="e">
        <f>AND(TOC!#REF!,"AAAAAB///VM=")</f>
        <v>#REF!</v>
      </c>
      <c r="CG23" t="e">
        <f>AND(TOC!#REF!,"AAAAAB///VQ=")</f>
        <v>#REF!</v>
      </c>
      <c r="CH23" t="e">
        <f>AND(TOC!#REF!,"AAAAAB///VU=")</f>
        <v>#REF!</v>
      </c>
      <c r="CI23" t="e">
        <f>AND(TOC!#REF!,"AAAAAB///VY=")</f>
        <v>#REF!</v>
      </c>
      <c r="CJ23" t="e">
        <f>AND(TOC!#REF!,"AAAAAB///Vc=")</f>
        <v>#REF!</v>
      </c>
      <c r="CK23" t="e">
        <f>AND(TOC!#REF!,"AAAAAB///Vg=")</f>
        <v>#REF!</v>
      </c>
      <c r="CL23" t="e">
        <f>AND(TOC!#REF!,"AAAAAB///Vk=")</f>
        <v>#REF!</v>
      </c>
      <c r="CM23" t="e">
        <f>AND(TOC!#REF!,"AAAAAB///Vo=")</f>
        <v>#REF!</v>
      </c>
      <c r="CN23" t="e">
        <f>AND(TOC!#REF!,"AAAAAB///Vs=")</f>
        <v>#REF!</v>
      </c>
      <c r="CO23" t="e">
        <f>AND(TOC!#REF!,"AAAAAB///Vw=")</f>
        <v>#REF!</v>
      </c>
      <c r="CP23" t="e">
        <f>AND(TOC!#REF!,"AAAAAB///V0=")</f>
        <v>#REF!</v>
      </c>
      <c r="CQ23" t="e">
        <f>AND(TOC!#REF!,"AAAAAB///V4=")</f>
        <v>#REF!</v>
      </c>
      <c r="CR23" t="e">
        <f>AND(TOC!#REF!,"AAAAAB///V8=")</f>
        <v>#REF!</v>
      </c>
      <c r="CS23" t="e">
        <f>AND(TOC!#REF!,"AAAAAB///WA=")</f>
        <v>#REF!</v>
      </c>
      <c r="CT23" t="e">
        <f>AND(TOC!#REF!,"AAAAAB///WE=")</f>
        <v>#REF!</v>
      </c>
      <c r="CU23" t="e">
        <f>AND(TOC!#REF!,"AAAAAB///WI=")</f>
        <v>#REF!</v>
      </c>
      <c r="CV23" t="e">
        <f>AND(TOC!#REF!,"AAAAAB///WM=")</f>
        <v>#REF!</v>
      </c>
      <c r="CW23" t="e">
        <f>AND(TOC!#REF!,"AAAAAB///WQ=")</f>
        <v>#REF!</v>
      </c>
      <c r="CX23" t="e">
        <f>AND(TOC!#REF!,"AAAAAB///WU=")</f>
        <v>#REF!</v>
      </c>
      <c r="CY23" t="e">
        <f>AND(TOC!#REF!,"AAAAAB///WY=")</f>
        <v>#REF!</v>
      </c>
      <c r="CZ23" t="e">
        <f>IF(TOC!#REF!,"AAAAAB///Wc=",0)</f>
        <v>#REF!</v>
      </c>
      <c r="DA23" t="e">
        <f>AND(TOC!#REF!,"AAAAAB///Wg=")</f>
        <v>#REF!</v>
      </c>
      <c r="DB23" t="e">
        <f>AND(TOC!#REF!,"AAAAAB///Wk=")</f>
        <v>#REF!</v>
      </c>
      <c r="DC23" t="e">
        <f>AND(TOC!#REF!,"AAAAAB///Wo=")</f>
        <v>#REF!</v>
      </c>
      <c r="DD23" t="e">
        <f>AND(TOC!#REF!,"AAAAAB///Ws=")</f>
        <v>#REF!</v>
      </c>
      <c r="DE23" t="e">
        <f>AND(TOC!#REF!,"AAAAAB///Ww=")</f>
        <v>#REF!</v>
      </c>
      <c r="DF23" t="e">
        <f>AND(TOC!#REF!,"AAAAAB///W0=")</f>
        <v>#REF!</v>
      </c>
      <c r="DG23" t="e">
        <f>AND(TOC!#REF!,"AAAAAB///W4=")</f>
        <v>#REF!</v>
      </c>
      <c r="DH23" t="e">
        <f>AND(TOC!#REF!,"AAAAAB///W8=")</f>
        <v>#REF!</v>
      </c>
      <c r="DI23" t="e">
        <f>AND(TOC!#REF!,"AAAAAB///XA=")</f>
        <v>#REF!</v>
      </c>
      <c r="DJ23" t="e">
        <f>AND(TOC!#REF!,"AAAAAB///XE=")</f>
        <v>#REF!</v>
      </c>
      <c r="DK23" t="e">
        <f>AND(TOC!#REF!,"AAAAAB///XI=")</f>
        <v>#REF!</v>
      </c>
      <c r="DL23" t="e">
        <f>AND(TOC!#REF!,"AAAAAB///XM=")</f>
        <v>#REF!</v>
      </c>
      <c r="DM23" t="e">
        <f>AND(TOC!#REF!,"AAAAAB///XQ=")</f>
        <v>#REF!</v>
      </c>
      <c r="DN23" t="e">
        <f>AND(TOC!#REF!,"AAAAAB///XU=")</f>
        <v>#REF!</v>
      </c>
      <c r="DO23" t="e">
        <f>AND(TOC!#REF!,"AAAAAB///XY=")</f>
        <v>#REF!</v>
      </c>
      <c r="DP23" t="e">
        <f>AND(TOC!#REF!,"AAAAAB///Xc=")</f>
        <v>#REF!</v>
      </c>
      <c r="DQ23" t="e">
        <f>AND(TOC!#REF!,"AAAAAB///Xg=")</f>
        <v>#REF!</v>
      </c>
      <c r="DR23" t="e">
        <f>AND(TOC!#REF!,"AAAAAB///Xk=")</f>
        <v>#REF!</v>
      </c>
      <c r="DS23" t="e">
        <f>AND(TOC!#REF!,"AAAAAB///Xo=")</f>
        <v>#REF!</v>
      </c>
      <c r="DT23" t="e">
        <f>AND(TOC!#REF!,"AAAAAB///Xs=")</f>
        <v>#REF!</v>
      </c>
      <c r="DU23" t="e">
        <f>AND(TOC!#REF!,"AAAAAB///Xw=")</f>
        <v>#REF!</v>
      </c>
      <c r="DV23" t="e">
        <f>AND(TOC!#REF!,"AAAAAB///X0=")</f>
        <v>#REF!</v>
      </c>
      <c r="DW23" t="e">
        <f>AND(TOC!#REF!,"AAAAAB///X4=")</f>
        <v>#REF!</v>
      </c>
      <c r="DX23" t="e">
        <f>AND(TOC!#REF!,"AAAAAB///X8=")</f>
        <v>#REF!</v>
      </c>
      <c r="DY23" t="e">
        <f>AND(TOC!#REF!,"AAAAAB///YA=")</f>
        <v>#REF!</v>
      </c>
      <c r="DZ23" t="e">
        <f>AND(TOC!#REF!,"AAAAAB///YE=")</f>
        <v>#REF!</v>
      </c>
      <c r="EA23" t="e">
        <f>AND(TOC!#REF!,"AAAAAB///YI=")</f>
        <v>#REF!</v>
      </c>
      <c r="EB23" t="e">
        <f>AND(TOC!#REF!,"AAAAAB///YM=")</f>
        <v>#REF!</v>
      </c>
      <c r="EC23" t="e">
        <f>AND(TOC!#REF!,"AAAAAB///YQ=")</f>
        <v>#REF!</v>
      </c>
      <c r="ED23" t="e">
        <f>AND(TOC!#REF!,"AAAAAB///YU=")</f>
        <v>#REF!</v>
      </c>
      <c r="EE23" t="e">
        <f>AND(TOC!#REF!,"AAAAAB///YY=")</f>
        <v>#REF!</v>
      </c>
      <c r="EF23" t="e">
        <f>AND(TOC!#REF!,"AAAAAB///Yc=")</f>
        <v>#REF!</v>
      </c>
      <c r="EG23" t="e">
        <f>AND(TOC!#REF!,"AAAAAB///Yg=")</f>
        <v>#REF!</v>
      </c>
      <c r="EH23" t="e">
        <f>AND(TOC!#REF!,"AAAAAB///Yk=")</f>
        <v>#REF!</v>
      </c>
      <c r="EI23" t="e">
        <f>AND(TOC!#REF!,"AAAAAB///Yo=")</f>
        <v>#REF!</v>
      </c>
      <c r="EJ23" t="e">
        <f>AND(TOC!#REF!,"AAAAAB///Ys=")</f>
        <v>#REF!</v>
      </c>
      <c r="EK23" t="e">
        <f>IF(TOC!#REF!,"AAAAAB///Yw=",0)</f>
        <v>#REF!</v>
      </c>
      <c r="EL23" t="e">
        <f>AND(TOC!#REF!,"AAAAAB///Y0=")</f>
        <v>#REF!</v>
      </c>
      <c r="EM23" t="e">
        <f>AND(TOC!#REF!,"AAAAAB///Y4=")</f>
        <v>#REF!</v>
      </c>
      <c r="EN23" t="e">
        <f>AND(TOC!#REF!,"AAAAAB///Y8=")</f>
        <v>#REF!</v>
      </c>
      <c r="EO23" t="e">
        <f>AND(TOC!#REF!,"AAAAAB///ZA=")</f>
        <v>#REF!</v>
      </c>
      <c r="EP23" t="e">
        <f>AND(TOC!#REF!,"AAAAAB///ZE=")</f>
        <v>#REF!</v>
      </c>
      <c r="EQ23" t="e">
        <f>AND(TOC!#REF!,"AAAAAB///ZI=")</f>
        <v>#REF!</v>
      </c>
      <c r="ER23" t="e">
        <f>AND(TOC!#REF!,"AAAAAB///ZM=")</f>
        <v>#REF!</v>
      </c>
      <c r="ES23" t="e">
        <f>AND(TOC!#REF!,"AAAAAB///ZQ=")</f>
        <v>#REF!</v>
      </c>
      <c r="ET23" t="e">
        <f>AND(TOC!#REF!,"AAAAAB///ZU=")</f>
        <v>#REF!</v>
      </c>
      <c r="EU23" t="e">
        <f>AND(TOC!#REF!,"AAAAAB///ZY=")</f>
        <v>#REF!</v>
      </c>
      <c r="EV23" t="e">
        <f>AND(TOC!#REF!,"AAAAAB///Zc=")</f>
        <v>#REF!</v>
      </c>
      <c r="EW23" t="e">
        <f>AND(TOC!#REF!,"AAAAAB///Zg=")</f>
        <v>#REF!</v>
      </c>
      <c r="EX23" t="e">
        <f>AND(TOC!#REF!,"AAAAAB///Zk=")</f>
        <v>#REF!</v>
      </c>
      <c r="EY23" t="e">
        <f>AND(TOC!#REF!,"AAAAAB///Zo=")</f>
        <v>#REF!</v>
      </c>
      <c r="EZ23" t="e">
        <f>AND(TOC!#REF!,"AAAAAB///Zs=")</f>
        <v>#REF!</v>
      </c>
      <c r="FA23" t="e">
        <f>AND(TOC!#REF!,"AAAAAB///Zw=")</f>
        <v>#REF!</v>
      </c>
      <c r="FB23" t="e">
        <f>AND(TOC!#REF!,"AAAAAB///Z0=")</f>
        <v>#REF!</v>
      </c>
      <c r="FC23" t="e">
        <f>AND(TOC!#REF!,"AAAAAB///Z4=")</f>
        <v>#REF!</v>
      </c>
      <c r="FD23" t="e">
        <f>AND(TOC!#REF!,"AAAAAB///Z8=")</f>
        <v>#REF!</v>
      </c>
      <c r="FE23" t="e">
        <f>AND(TOC!#REF!,"AAAAAB///aA=")</f>
        <v>#REF!</v>
      </c>
      <c r="FF23" t="e">
        <f>AND(TOC!#REF!,"AAAAAB///aE=")</f>
        <v>#REF!</v>
      </c>
      <c r="FG23" t="e">
        <f>AND(TOC!#REF!,"AAAAAB///aI=")</f>
        <v>#REF!</v>
      </c>
      <c r="FH23" t="e">
        <f>AND(TOC!#REF!,"AAAAAB///aM=")</f>
        <v>#REF!</v>
      </c>
      <c r="FI23" t="e">
        <f>AND(TOC!#REF!,"AAAAAB///aQ=")</f>
        <v>#REF!</v>
      </c>
      <c r="FJ23" t="e">
        <f>AND(TOC!#REF!,"AAAAAB///aU=")</f>
        <v>#REF!</v>
      </c>
      <c r="FK23" t="e">
        <f>AND(TOC!#REF!,"AAAAAB///aY=")</f>
        <v>#REF!</v>
      </c>
      <c r="FL23" t="e">
        <f>AND(TOC!#REF!,"AAAAAB///ac=")</f>
        <v>#REF!</v>
      </c>
      <c r="FM23" t="e">
        <f>AND(TOC!#REF!,"AAAAAB///ag=")</f>
        <v>#REF!</v>
      </c>
      <c r="FN23" t="e">
        <f>AND(TOC!#REF!,"AAAAAB///ak=")</f>
        <v>#REF!</v>
      </c>
      <c r="FO23" t="e">
        <f>AND(TOC!#REF!,"AAAAAB///ao=")</f>
        <v>#REF!</v>
      </c>
      <c r="FP23" t="e">
        <f>AND(TOC!#REF!,"AAAAAB///as=")</f>
        <v>#REF!</v>
      </c>
      <c r="FQ23" t="e">
        <f>AND(TOC!#REF!,"AAAAAB///aw=")</f>
        <v>#REF!</v>
      </c>
      <c r="FR23" t="e">
        <f>AND(TOC!#REF!,"AAAAAB///a0=")</f>
        <v>#REF!</v>
      </c>
      <c r="FS23" t="e">
        <f>AND(TOC!#REF!,"AAAAAB///a4=")</f>
        <v>#REF!</v>
      </c>
      <c r="FT23" t="e">
        <f>AND(TOC!#REF!,"AAAAAB///a8=")</f>
        <v>#REF!</v>
      </c>
      <c r="FU23" t="e">
        <f>AND(TOC!#REF!,"AAAAAB///bA=")</f>
        <v>#REF!</v>
      </c>
      <c r="FV23" t="e">
        <f>IF(TOC!#REF!,"AAAAAB///bE=",0)</f>
        <v>#REF!</v>
      </c>
      <c r="FW23" t="e">
        <f>AND(TOC!#REF!,"AAAAAB///bI=")</f>
        <v>#REF!</v>
      </c>
      <c r="FX23" t="e">
        <f>AND(TOC!#REF!,"AAAAAB///bM=")</f>
        <v>#REF!</v>
      </c>
      <c r="FY23" t="e">
        <f>AND(TOC!#REF!,"AAAAAB///bQ=")</f>
        <v>#REF!</v>
      </c>
      <c r="FZ23" t="e">
        <f>AND(TOC!#REF!,"AAAAAB///bU=")</f>
        <v>#REF!</v>
      </c>
      <c r="GA23" t="e">
        <f>AND(TOC!#REF!,"AAAAAB///bY=")</f>
        <v>#REF!</v>
      </c>
      <c r="GB23" t="e">
        <f>AND(TOC!#REF!,"AAAAAB///bc=")</f>
        <v>#REF!</v>
      </c>
      <c r="GC23" t="e">
        <f>AND(TOC!#REF!,"AAAAAB///bg=")</f>
        <v>#REF!</v>
      </c>
      <c r="GD23" t="e">
        <f>AND(TOC!#REF!,"AAAAAB///bk=")</f>
        <v>#REF!</v>
      </c>
      <c r="GE23" t="e">
        <f>AND(TOC!#REF!,"AAAAAB///bo=")</f>
        <v>#REF!</v>
      </c>
      <c r="GF23" t="e">
        <f>AND(TOC!#REF!,"AAAAAB///bs=")</f>
        <v>#REF!</v>
      </c>
      <c r="GG23" t="e">
        <f>AND(TOC!#REF!,"AAAAAB///bw=")</f>
        <v>#REF!</v>
      </c>
      <c r="GH23" t="e">
        <f>AND(TOC!#REF!,"AAAAAB///b0=")</f>
        <v>#REF!</v>
      </c>
      <c r="GI23" t="e">
        <f>AND(TOC!#REF!,"AAAAAB///b4=")</f>
        <v>#REF!</v>
      </c>
      <c r="GJ23" t="e">
        <f>AND(TOC!#REF!,"AAAAAB///b8=")</f>
        <v>#REF!</v>
      </c>
      <c r="GK23" t="e">
        <f>AND(TOC!#REF!,"AAAAAB///cA=")</f>
        <v>#REF!</v>
      </c>
      <c r="GL23" t="e">
        <f>AND(TOC!#REF!,"AAAAAB///cE=")</f>
        <v>#REF!</v>
      </c>
      <c r="GM23" t="e">
        <f>AND(TOC!#REF!,"AAAAAB///cI=")</f>
        <v>#REF!</v>
      </c>
      <c r="GN23" t="e">
        <f>AND(TOC!#REF!,"AAAAAB///cM=")</f>
        <v>#REF!</v>
      </c>
      <c r="GO23" t="e">
        <f>AND(TOC!#REF!,"AAAAAB///cQ=")</f>
        <v>#REF!</v>
      </c>
      <c r="GP23" t="e">
        <f>AND(TOC!#REF!,"AAAAAB///cU=")</f>
        <v>#REF!</v>
      </c>
      <c r="GQ23" t="e">
        <f>AND(TOC!#REF!,"AAAAAB///cY=")</f>
        <v>#REF!</v>
      </c>
      <c r="GR23" t="e">
        <f>AND(TOC!#REF!,"AAAAAB///cc=")</f>
        <v>#REF!</v>
      </c>
      <c r="GS23" t="e">
        <f>AND(TOC!#REF!,"AAAAAB///cg=")</f>
        <v>#REF!</v>
      </c>
      <c r="GT23" t="e">
        <f>AND(TOC!#REF!,"AAAAAB///ck=")</f>
        <v>#REF!</v>
      </c>
      <c r="GU23" t="e">
        <f>AND(TOC!#REF!,"AAAAAB///co=")</f>
        <v>#REF!</v>
      </c>
      <c r="GV23" t="e">
        <f>AND(TOC!#REF!,"AAAAAB///cs=")</f>
        <v>#REF!</v>
      </c>
      <c r="GW23" t="e">
        <f>AND(TOC!#REF!,"AAAAAB///cw=")</f>
        <v>#REF!</v>
      </c>
      <c r="GX23" t="e">
        <f>AND(TOC!#REF!,"AAAAAB///c0=")</f>
        <v>#REF!</v>
      </c>
      <c r="GY23" t="e">
        <f>AND(TOC!#REF!,"AAAAAB///c4=")</f>
        <v>#REF!</v>
      </c>
      <c r="GZ23" t="e">
        <f>AND(TOC!#REF!,"AAAAAB///c8=")</f>
        <v>#REF!</v>
      </c>
      <c r="HA23" t="e">
        <f>AND(TOC!#REF!,"AAAAAB///dA=")</f>
        <v>#REF!</v>
      </c>
      <c r="HB23" t="e">
        <f>AND(TOC!#REF!,"AAAAAB///dE=")</f>
        <v>#REF!</v>
      </c>
      <c r="HC23" t="e">
        <f>AND(TOC!#REF!,"AAAAAB///dI=")</f>
        <v>#REF!</v>
      </c>
      <c r="HD23" t="e">
        <f>AND(TOC!#REF!,"AAAAAB///dM=")</f>
        <v>#REF!</v>
      </c>
      <c r="HE23" t="e">
        <f>AND(TOC!#REF!,"AAAAAB///dQ=")</f>
        <v>#REF!</v>
      </c>
      <c r="HF23" t="e">
        <f>AND(TOC!#REF!,"AAAAAB///dU=")</f>
        <v>#REF!</v>
      </c>
      <c r="HG23" t="e">
        <f>IF(TOC!#REF!,"AAAAAB///dY=",0)</f>
        <v>#REF!</v>
      </c>
      <c r="HH23" t="e">
        <f>AND(TOC!#REF!,"AAAAAB///dc=")</f>
        <v>#REF!</v>
      </c>
      <c r="HI23" t="e">
        <f>AND(TOC!#REF!,"AAAAAB///dg=")</f>
        <v>#REF!</v>
      </c>
      <c r="HJ23" t="e">
        <f>AND(TOC!#REF!,"AAAAAB///dk=")</f>
        <v>#REF!</v>
      </c>
      <c r="HK23" t="e">
        <f>AND(TOC!#REF!,"AAAAAB///do=")</f>
        <v>#REF!</v>
      </c>
      <c r="HL23" t="e">
        <f>AND(TOC!#REF!,"AAAAAB///ds=")</f>
        <v>#REF!</v>
      </c>
      <c r="HM23" t="e">
        <f>AND(TOC!#REF!,"AAAAAB///dw=")</f>
        <v>#REF!</v>
      </c>
      <c r="HN23" t="e">
        <f>AND(TOC!#REF!,"AAAAAB///d0=")</f>
        <v>#REF!</v>
      </c>
      <c r="HO23" t="e">
        <f>AND(TOC!#REF!,"AAAAAB///d4=")</f>
        <v>#REF!</v>
      </c>
      <c r="HP23" t="e">
        <f>AND(TOC!#REF!,"AAAAAB///d8=")</f>
        <v>#REF!</v>
      </c>
      <c r="HQ23" t="e">
        <f>AND(TOC!#REF!,"AAAAAB///eA=")</f>
        <v>#REF!</v>
      </c>
      <c r="HR23" t="e">
        <f>AND(TOC!#REF!,"AAAAAB///eE=")</f>
        <v>#REF!</v>
      </c>
      <c r="HS23" t="e">
        <f>AND(TOC!#REF!,"AAAAAB///eI=")</f>
        <v>#REF!</v>
      </c>
      <c r="HT23" t="e">
        <f>AND(TOC!#REF!,"AAAAAB///eM=")</f>
        <v>#REF!</v>
      </c>
      <c r="HU23" t="e">
        <f>AND(TOC!#REF!,"AAAAAB///eQ=")</f>
        <v>#REF!</v>
      </c>
      <c r="HV23" t="e">
        <f>AND(TOC!#REF!,"AAAAAB///eU=")</f>
        <v>#REF!</v>
      </c>
      <c r="HW23" t="e">
        <f>AND(TOC!#REF!,"AAAAAB///eY=")</f>
        <v>#REF!</v>
      </c>
      <c r="HX23" t="e">
        <f>AND(TOC!#REF!,"AAAAAB///ec=")</f>
        <v>#REF!</v>
      </c>
      <c r="HY23" t="e">
        <f>AND(TOC!#REF!,"AAAAAB///eg=")</f>
        <v>#REF!</v>
      </c>
      <c r="HZ23" t="e">
        <f>AND(TOC!#REF!,"AAAAAB///ek=")</f>
        <v>#REF!</v>
      </c>
      <c r="IA23" t="e">
        <f>AND(TOC!#REF!,"AAAAAB///eo=")</f>
        <v>#REF!</v>
      </c>
      <c r="IB23" t="e">
        <f>AND(TOC!#REF!,"AAAAAB///es=")</f>
        <v>#REF!</v>
      </c>
      <c r="IC23" t="e">
        <f>AND(TOC!#REF!,"AAAAAB///ew=")</f>
        <v>#REF!</v>
      </c>
      <c r="ID23" t="e">
        <f>AND(TOC!#REF!,"AAAAAB///e0=")</f>
        <v>#REF!</v>
      </c>
      <c r="IE23" t="e">
        <f>AND(TOC!#REF!,"AAAAAB///e4=")</f>
        <v>#REF!</v>
      </c>
      <c r="IF23" t="e">
        <f>AND(TOC!#REF!,"AAAAAB///e8=")</f>
        <v>#REF!</v>
      </c>
      <c r="IG23" t="e">
        <f>AND(TOC!#REF!,"AAAAAB///fA=")</f>
        <v>#REF!</v>
      </c>
      <c r="IH23" t="e">
        <f>AND(TOC!#REF!,"AAAAAB///fE=")</f>
        <v>#REF!</v>
      </c>
      <c r="II23" t="e">
        <f>AND(TOC!#REF!,"AAAAAB///fI=")</f>
        <v>#REF!</v>
      </c>
      <c r="IJ23" t="e">
        <f>AND(TOC!#REF!,"AAAAAB///fM=")</f>
        <v>#REF!</v>
      </c>
      <c r="IK23" t="e">
        <f>AND(TOC!#REF!,"AAAAAB///fQ=")</f>
        <v>#REF!</v>
      </c>
      <c r="IL23" t="e">
        <f>AND(TOC!#REF!,"AAAAAB///fU=")</f>
        <v>#REF!</v>
      </c>
      <c r="IM23" t="e">
        <f>AND(TOC!#REF!,"AAAAAB///fY=")</f>
        <v>#REF!</v>
      </c>
      <c r="IN23" t="e">
        <f>AND(TOC!#REF!,"AAAAAB///fc=")</f>
        <v>#REF!</v>
      </c>
      <c r="IO23" t="e">
        <f>AND(TOC!#REF!,"AAAAAB///fg=")</f>
        <v>#REF!</v>
      </c>
      <c r="IP23" t="e">
        <f>AND(TOC!#REF!,"AAAAAB///fk=")</f>
        <v>#REF!</v>
      </c>
      <c r="IQ23" t="e">
        <f>AND(TOC!#REF!,"AAAAAB///fo=")</f>
        <v>#REF!</v>
      </c>
      <c r="IR23" t="e">
        <f>IF(TOC!#REF!,"AAAAAB///fs=",0)</f>
        <v>#REF!</v>
      </c>
      <c r="IS23" t="e">
        <f>AND(TOC!#REF!,"AAAAAB///fw=")</f>
        <v>#REF!</v>
      </c>
      <c r="IT23" t="e">
        <f>AND(TOC!#REF!,"AAAAAB///f0=")</f>
        <v>#REF!</v>
      </c>
      <c r="IU23" t="e">
        <f>AND(TOC!#REF!,"AAAAAB///f4=")</f>
        <v>#REF!</v>
      </c>
      <c r="IV23" t="e">
        <f>AND(TOC!#REF!,"AAAAAB///f8=")</f>
        <v>#REF!</v>
      </c>
    </row>
    <row r="24" spans="1:256" x14ac:dyDescent="0.2">
      <c r="A24" t="e">
        <f>AND(TOC!#REF!,"AAAAAGbAewA=")</f>
        <v>#REF!</v>
      </c>
      <c r="B24" t="e">
        <f>AND(TOC!#REF!,"AAAAAGbAewE=")</f>
        <v>#REF!</v>
      </c>
      <c r="C24" t="e">
        <f>AND(TOC!#REF!,"AAAAAGbAewI=")</f>
        <v>#REF!</v>
      </c>
      <c r="D24" t="e">
        <f>AND(TOC!#REF!,"AAAAAGbAewM=")</f>
        <v>#REF!</v>
      </c>
      <c r="E24" t="e">
        <f>AND(TOC!#REF!,"AAAAAGbAewQ=")</f>
        <v>#REF!</v>
      </c>
      <c r="F24" t="e">
        <f>AND(TOC!#REF!,"AAAAAGbAewU=")</f>
        <v>#REF!</v>
      </c>
      <c r="G24" t="e">
        <f>AND(TOC!#REF!,"AAAAAGbAewY=")</f>
        <v>#REF!</v>
      </c>
      <c r="H24" t="e">
        <f>AND(TOC!#REF!,"AAAAAGbAewc=")</f>
        <v>#REF!</v>
      </c>
      <c r="I24" t="e">
        <f>AND(TOC!#REF!,"AAAAAGbAewg=")</f>
        <v>#REF!</v>
      </c>
      <c r="J24" t="e">
        <f>AND(TOC!#REF!,"AAAAAGbAewk=")</f>
        <v>#REF!</v>
      </c>
      <c r="K24" t="e">
        <f>AND(TOC!#REF!,"AAAAAGbAewo=")</f>
        <v>#REF!</v>
      </c>
      <c r="L24" t="e">
        <f>AND(TOC!#REF!,"AAAAAGbAews=")</f>
        <v>#REF!</v>
      </c>
      <c r="M24" t="e">
        <f>AND(TOC!#REF!,"AAAAAGbAeww=")</f>
        <v>#REF!</v>
      </c>
      <c r="N24" t="e">
        <f>AND(TOC!#REF!,"AAAAAGbAew0=")</f>
        <v>#REF!</v>
      </c>
      <c r="O24" t="e">
        <f>AND(TOC!#REF!,"AAAAAGbAew4=")</f>
        <v>#REF!</v>
      </c>
      <c r="P24" t="e">
        <f>AND(TOC!#REF!,"AAAAAGbAew8=")</f>
        <v>#REF!</v>
      </c>
      <c r="Q24" t="e">
        <f>AND(TOC!#REF!,"AAAAAGbAexA=")</f>
        <v>#REF!</v>
      </c>
      <c r="R24" t="e">
        <f>AND(TOC!#REF!,"AAAAAGbAexE=")</f>
        <v>#REF!</v>
      </c>
      <c r="S24" t="e">
        <f>AND(TOC!#REF!,"AAAAAGbAexI=")</f>
        <v>#REF!</v>
      </c>
      <c r="T24" t="e">
        <f>AND(TOC!#REF!,"AAAAAGbAexM=")</f>
        <v>#REF!</v>
      </c>
      <c r="U24" t="e">
        <f>AND(TOC!#REF!,"AAAAAGbAexQ=")</f>
        <v>#REF!</v>
      </c>
      <c r="V24" t="e">
        <f>AND(TOC!#REF!,"AAAAAGbAexU=")</f>
        <v>#REF!</v>
      </c>
      <c r="W24" t="e">
        <f>AND(TOC!#REF!,"AAAAAGbAexY=")</f>
        <v>#REF!</v>
      </c>
      <c r="X24" t="e">
        <f>AND(TOC!#REF!,"AAAAAGbAexc=")</f>
        <v>#REF!</v>
      </c>
      <c r="Y24" t="e">
        <f>AND(TOC!#REF!,"AAAAAGbAexg=")</f>
        <v>#REF!</v>
      </c>
      <c r="Z24" t="e">
        <f>AND(TOC!#REF!,"AAAAAGbAexk=")</f>
        <v>#REF!</v>
      </c>
      <c r="AA24" t="e">
        <f>AND(TOC!#REF!,"AAAAAGbAexo=")</f>
        <v>#REF!</v>
      </c>
      <c r="AB24" t="e">
        <f>AND(TOC!#REF!,"AAAAAGbAexs=")</f>
        <v>#REF!</v>
      </c>
      <c r="AC24" t="e">
        <f>AND(TOC!#REF!,"AAAAAGbAexw=")</f>
        <v>#REF!</v>
      </c>
      <c r="AD24" t="e">
        <f>AND(TOC!#REF!,"AAAAAGbAex0=")</f>
        <v>#REF!</v>
      </c>
      <c r="AE24" t="e">
        <f>AND(TOC!#REF!,"AAAAAGbAex4=")</f>
        <v>#REF!</v>
      </c>
      <c r="AF24" t="e">
        <f>AND(TOC!#REF!,"AAAAAGbAex8=")</f>
        <v>#REF!</v>
      </c>
      <c r="AG24" t="e">
        <f>IF(TOC!#REF!,"AAAAAGbAeyA=",0)</f>
        <v>#REF!</v>
      </c>
      <c r="AH24" t="e">
        <f>AND(TOC!#REF!,"AAAAAGbAeyE=")</f>
        <v>#REF!</v>
      </c>
      <c r="AI24" t="e">
        <f>AND(TOC!#REF!,"AAAAAGbAeyI=")</f>
        <v>#REF!</v>
      </c>
      <c r="AJ24" t="e">
        <f>AND(TOC!#REF!,"AAAAAGbAeyM=")</f>
        <v>#REF!</v>
      </c>
      <c r="AK24" t="e">
        <f>AND(TOC!#REF!,"AAAAAGbAeyQ=")</f>
        <v>#REF!</v>
      </c>
      <c r="AL24" t="e">
        <f>AND(TOC!#REF!,"AAAAAGbAeyU=")</f>
        <v>#REF!</v>
      </c>
      <c r="AM24" t="e">
        <f>AND(TOC!#REF!,"AAAAAGbAeyY=")</f>
        <v>#REF!</v>
      </c>
      <c r="AN24" t="e">
        <f>AND(TOC!#REF!,"AAAAAGbAeyc=")</f>
        <v>#REF!</v>
      </c>
      <c r="AO24" t="e">
        <f>AND(TOC!#REF!,"AAAAAGbAeyg=")</f>
        <v>#REF!</v>
      </c>
      <c r="AP24" t="e">
        <f>AND(TOC!#REF!,"AAAAAGbAeyk=")</f>
        <v>#REF!</v>
      </c>
      <c r="AQ24" t="e">
        <f>AND(TOC!#REF!,"AAAAAGbAeyo=")</f>
        <v>#REF!</v>
      </c>
      <c r="AR24" t="e">
        <f>AND(TOC!#REF!,"AAAAAGbAeys=")</f>
        <v>#REF!</v>
      </c>
      <c r="AS24" t="e">
        <f>AND(TOC!#REF!,"AAAAAGbAeyw=")</f>
        <v>#REF!</v>
      </c>
      <c r="AT24" t="e">
        <f>AND(TOC!#REF!,"AAAAAGbAey0=")</f>
        <v>#REF!</v>
      </c>
      <c r="AU24" t="e">
        <f>AND(TOC!#REF!,"AAAAAGbAey4=")</f>
        <v>#REF!</v>
      </c>
      <c r="AV24" t="e">
        <f>AND(TOC!#REF!,"AAAAAGbAey8=")</f>
        <v>#REF!</v>
      </c>
      <c r="AW24" t="e">
        <f>AND(TOC!#REF!,"AAAAAGbAezA=")</f>
        <v>#REF!</v>
      </c>
      <c r="AX24" t="e">
        <f>AND(TOC!#REF!,"AAAAAGbAezE=")</f>
        <v>#REF!</v>
      </c>
      <c r="AY24" t="e">
        <f>AND(TOC!#REF!,"AAAAAGbAezI=")</f>
        <v>#REF!</v>
      </c>
      <c r="AZ24" t="e">
        <f>AND(TOC!#REF!,"AAAAAGbAezM=")</f>
        <v>#REF!</v>
      </c>
      <c r="BA24" t="e">
        <f>AND(TOC!#REF!,"AAAAAGbAezQ=")</f>
        <v>#REF!</v>
      </c>
      <c r="BB24" t="e">
        <f>AND(TOC!#REF!,"AAAAAGbAezU=")</f>
        <v>#REF!</v>
      </c>
      <c r="BC24" t="e">
        <f>AND(TOC!#REF!,"AAAAAGbAezY=")</f>
        <v>#REF!</v>
      </c>
      <c r="BD24" t="e">
        <f>AND(TOC!#REF!,"AAAAAGbAezc=")</f>
        <v>#REF!</v>
      </c>
      <c r="BE24" t="e">
        <f>AND(TOC!#REF!,"AAAAAGbAezg=")</f>
        <v>#REF!</v>
      </c>
      <c r="BF24" t="e">
        <f>AND(TOC!#REF!,"AAAAAGbAezk=")</f>
        <v>#REF!</v>
      </c>
      <c r="BG24" t="e">
        <f>AND(TOC!#REF!,"AAAAAGbAezo=")</f>
        <v>#REF!</v>
      </c>
      <c r="BH24" t="e">
        <f>AND(TOC!#REF!,"AAAAAGbAezs=")</f>
        <v>#REF!</v>
      </c>
      <c r="BI24" t="e">
        <f>AND(TOC!#REF!,"AAAAAGbAezw=")</f>
        <v>#REF!</v>
      </c>
      <c r="BJ24" t="e">
        <f>AND(TOC!#REF!,"AAAAAGbAez0=")</f>
        <v>#REF!</v>
      </c>
      <c r="BK24" t="e">
        <f>AND(TOC!#REF!,"AAAAAGbAez4=")</f>
        <v>#REF!</v>
      </c>
      <c r="BL24" t="e">
        <f>AND(TOC!#REF!,"AAAAAGbAez8=")</f>
        <v>#REF!</v>
      </c>
      <c r="BM24" t="e">
        <f>AND(TOC!#REF!,"AAAAAGbAe0A=")</f>
        <v>#REF!</v>
      </c>
      <c r="BN24" t="e">
        <f>AND(TOC!#REF!,"AAAAAGbAe0E=")</f>
        <v>#REF!</v>
      </c>
      <c r="BO24" t="e">
        <f>AND(TOC!#REF!,"AAAAAGbAe0I=")</f>
        <v>#REF!</v>
      </c>
      <c r="BP24" t="e">
        <f>AND(TOC!#REF!,"AAAAAGbAe0M=")</f>
        <v>#REF!</v>
      </c>
      <c r="BQ24" t="e">
        <f>AND(TOC!#REF!,"AAAAAGbAe0Q=")</f>
        <v>#REF!</v>
      </c>
      <c r="BR24" t="e">
        <f>IF(TOC!#REF!,"AAAAAGbAe0U=",0)</f>
        <v>#REF!</v>
      </c>
      <c r="BS24" t="e">
        <f>AND(TOC!#REF!,"AAAAAGbAe0Y=")</f>
        <v>#REF!</v>
      </c>
      <c r="BT24" t="e">
        <f>AND(TOC!#REF!,"AAAAAGbAe0c=")</f>
        <v>#REF!</v>
      </c>
      <c r="BU24" t="e">
        <f>AND(TOC!#REF!,"AAAAAGbAe0g=")</f>
        <v>#REF!</v>
      </c>
      <c r="BV24" t="e">
        <f>AND(TOC!#REF!,"AAAAAGbAe0k=")</f>
        <v>#REF!</v>
      </c>
      <c r="BW24" t="e">
        <f>AND(TOC!#REF!,"AAAAAGbAe0o=")</f>
        <v>#REF!</v>
      </c>
      <c r="BX24" t="e">
        <f>AND(TOC!#REF!,"AAAAAGbAe0s=")</f>
        <v>#REF!</v>
      </c>
      <c r="BY24" t="e">
        <f>AND(TOC!#REF!,"AAAAAGbAe0w=")</f>
        <v>#REF!</v>
      </c>
      <c r="BZ24" t="e">
        <f>AND(TOC!#REF!,"AAAAAGbAe00=")</f>
        <v>#REF!</v>
      </c>
      <c r="CA24" t="e">
        <f>AND(TOC!#REF!,"AAAAAGbAe04=")</f>
        <v>#REF!</v>
      </c>
      <c r="CB24" t="e">
        <f>AND(TOC!#REF!,"AAAAAGbAe08=")</f>
        <v>#REF!</v>
      </c>
      <c r="CC24" t="e">
        <f>AND(TOC!#REF!,"AAAAAGbAe1A=")</f>
        <v>#REF!</v>
      </c>
      <c r="CD24" t="e">
        <f>AND(TOC!#REF!,"AAAAAGbAe1E=")</f>
        <v>#REF!</v>
      </c>
      <c r="CE24" t="e">
        <f>AND(TOC!#REF!,"AAAAAGbAe1I=")</f>
        <v>#REF!</v>
      </c>
      <c r="CF24" t="e">
        <f>AND(TOC!#REF!,"AAAAAGbAe1M=")</f>
        <v>#REF!</v>
      </c>
      <c r="CG24" t="e">
        <f>AND(TOC!#REF!,"AAAAAGbAe1Q=")</f>
        <v>#REF!</v>
      </c>
      <c r="CH24" t="e">
        <f>AND(TOC!#REF!,"AAAAAGbAe1U=")</f>
        <v>#REF!</v>
      </c>
      <c r="CI24" t="e">
        <f>AND(TOC!#REF!,"AAAAAGbAe1Y=")</f>
        <v>#REF!</v>
      </c>
      <c r="CJ24" t="e">
        <f>AND(TOC!#REF!,"AAAAAGbAe1c=")</f>
        <v>#REF!</v>
      </c>
      <c r="CK24" t="e">
        <f>AND(TOC!#REF!,"AAAAAGbAe1g=")</f>
        <v>#REF!</v>
      </c>
      <c r="CL24" t="e">
        <f>AND(TOC!#REF!,"AAAAAGbAe1k=")</f>
        <v>#REF!</v>
      </c>
      <c r="CM24" t="e">
        <f>AND(TOC!#REF!,"AAAAAGbAe1o=")</f>
        <v>#REF!</v>
      </c>
      <c r="CN24" t="e">
        <f>AND(TOC!#REF!,"AAAAAGbAe1s=")</f>
        <v>#REF!</v>
      </c>
      <c r="CO24" t="e">
        <f>AND(TOC!#REF!,"AAAAAGbAe1w=")</f>
        <v>#REF!</v>
      </c>
      <c r="CP24" t="e">
        <f>AND(TOC!#REF!,"AAAAAGbAe10=")</f>
        <v>#REF!</v>
      </c>
      <c r="CQ24" t="e">
        <f>AND(TOC!#REF!,"AAAAAGbAe14=")</f>
        <v>#REF!</v>
      </c>
      <c r="CR24" t="e">
        <f>AND(TOC!#REF!,"AAAAAGbAe18=")</f>
        <v>#REF!</v>
      </c>
      <c r="CS24" t="e">
        <f>AND(TOC!#REF!,"AAAAAGbAe2A=")</f>
        <v>#REF!</v>
      </c>
      <c r="CT24" t="e">
        <f>AND(TOC!#REF!,"AAAAAGbAe2E=")</f>
        <v>#REF!</v>
      </c>
      <c r="CU24" t="e">
        <f>AND(TOC!#REF!,"AAAAAGbAe2I=")</f>
        <v>#REF!</v>
      </c>
      <c r="CV24" t="e">
        <f>AND(TOC!#REF!,"AAAAAGbAe2M=")</f>
        <v>#REF!</v>
      </c>
      <c r="CW24" t="e">
        <f>AND(TOC!#REF!,"AAAAAGbAe2Q=")</f>
        <v>#REF!</v>
      </c>
      <c r="CX24" t="e">
        <f>AND(TOC!#REF!,"AAAAAGbAe2U=")</f>
        <v>#REF!</v>
      </c>
      <c r="CY24" t="e">
        <f>AND(TOC!#REF!,"AAAAAGbAe2Y=")</f>
        <v>#REF!</v>
      </c>
      <c r="CZ24" t="e">
        <f>AND(TOC!#REF!,"AAAAAGbAe2c=")</f>
        <v>#REF!</v>
      </c>
      <c r="DA24" t="e">
        <f>AND(TOC!#REF!,"AAAAAGbAe2g=")</f>
        <v>#REF!</v>
      </c>
      <c r="DB24" t="e">
        <f>AND(TOC!#REF!,"AAAAAGbAe2k=")</f>
        <v>#REF!</v>
      </c>
      <c r="DC24" t="e">
        <f>IF(TOC!#REF!,"AAAAAGbAe2o=",0)</f>
        <v>#REF!</v>
      </c>
      <c r="DD24" t="e">
        <f>AND(TOC!#REF!,"AAAAAGbAe2s=")</f>
        <v>#REF!</v>
      </c>
      <c r="DE24" t="e">
        <f>AND(TOC!#REF!,"AAAAAGbAe2w=")</f>
        <v>#REF!</v>
      </c>
      <c r="DF24" t="e">
        <f>AND(TOC!#REF!,"AAAAAGbAe20=")</f>
        <v>#REF!</v>
      </c>
      <c r="DG24" t="e">
        <f>AND(TOC!#REF!,"AAAAAGbAe24=")</f>
        <v>#REF!</v>
      </c>
      <c r="DH24" t="e">
        <f>AND(TOC!#REF!,"AAAAAGbAe28=")</f>
        <v>#REF!</v>
      </c>
      <c r="DI24" t="e">
        <f>AND(TOC!#REF!,"AAAAAGbAe3A=")</f>
        <v>#REF!</v>
      </c>
      <c r="DJ24" t="e">
        <f>AND(TOC!#REF!,"AAAAAGbAe3E=")</f>
        <v>#REF!</v>
      </c>
      <c r="DK24" t="e">
        <f>AND(TOC!#REF!,"AAAAAGbAe3I=")</f>
        <v>#REF!</v>
      </c>
      <c r="DL24" t="e">
        <f>AND(TOC!#REF!,"AAAAAGbAe3M=")</f>
        <v>#REF!</v>
      </c>
      <c r="DM24" t="e">
        <f>AND(TOC!#REF!,"AAAAAGbAe3Q=")</f>
        <v>#REF!</v>
      </c>
      <c r="DN24" t="e">
        <f>AND(TOC!#REF!,"AAAAAGbAe3U=")</f>
        <v>#REF!</v>
      </c>
      <c r="DO24" t="e">
        <f>AND(TOC!#REF!,"AAAAAGbAe3Y=")</f>
        <v>#REF!</v>
      </c>
      <c r="DP24" t="e">
        <f>AND(TOC!#REF!,"AAAAAGbAe3c=")</f>
        <v>#REF!</v>
      </c>
      <c r="DQ24" t="e">
        <f>AND(TOC!#REF!,"AAAAAGbAe3g=")</f>
        <v>#REF!</v>
      </c>
      <c r="DR24" t="e">
        <f>AND(TOC!#REF!,"AAAAAGbAe3k=")</f>
        <v>#REF!</v>
      </c>
      <c r="DS24" t="e">
        <f>AND(TOC!#REF!,"AAAAAGbAe3o=")</f>
        <v>#REF!</v>
      </c>
      <c r="DT24" t="e">
        <f>AND(TOC!#REF!,"AAAAAGbAe3s=")</f>
        <v>#REF!</v>
      </c>
      <c r="DU24" t="e">
        <f>AND(TOC!#REF!,"AAAAAGbAe3w=")</f>
        <v>#REF!</v>
      </c>
      <c r="DV24" t="e">
        <f>AND(TOC!#REF!,"AAAAAGbAe30=")</f>
        <v>#REF!</v>
      </c>
      <c r="DW24" t="e">
        <f>AND(TOC!#REF!,"AAAAAGbAe34=")</f>
        <v>#REF!</v>
      </c>
      <c r="DX24" t="e">
        <f>AND(TOC!#REF!,"AAAAAGbAe38=")</f>
        <v>#REF!</v>
      </c>
      <c r="DY24" t="e">
        <f>AND(TOC!#REF!,"AAAAAGbAe4A=")</f>
        <v>#REF!</v>
      </c>
      <c r="DZ24" t="e">
        <f>AND(TOC!#REF!,"AAAAAGbAe4E=")</f>
        <v>#REF!</v>
      </c>
      <c r="EA24" t="e">
        <f>AND(TOC!#REF!,"AAAAAGbAe4I=")</f>
        <v>#REF!</v>
      </c>
      <c r="EB24" t="e">
        <f>AND(TOC!#REF!,"AAAAAGbAe4M=")</f>
        <v>#REF!</v>
      </c>
      <c r="EC24" t="e">
        <f>AND(TOC!#REF!,"AAAAAGbAe4Q=")</f>
        <v>#REF!</v>
      </c>
      <c r="ED24" t="e">
        <f>AND(TOC!#REF!,"AAAAAGbAe4U=")</f>
        <v>#REF!</v>
      </c>
      <c r="EE24" t="e">
        <f>AND(TOC!#REF!,"AAAAAGbAe4Y=")</f>
        <v>#REF!</v>
      </c>
      <c r="EF24" t="e">
        <f>AND(TOC!#REF!,"AAAAAGbAe4c=")</f>
        <v>#REF!</v>
      </c>
      <c r="EG24" t="e">
        <f>AND(TOC!#REF!,"AAAAAGbAe4g=")</f>
        <v>#REF!</v>
      </c>
      <c r="EH24" t="e">
        <f>AND(TOC!#REF!,"AAAAAGbAe4k=")</f>
        <v>#REF!</v>
      </c>
      <c r="EI24" t="e">
        <f>AND(TOC!#REF!,"AAAAAGbAe4o=")</f>
        <v>#REF!</v>
      </c>
      <c r="EJ24" t="e">
        <f>AND(TOC!#REF!,"AAAAAGbAe4s=")</f>
        <v>#REF!</v>
      </c>
      <c r="EK24" t="e">
        <f>AND(TOC!#REF!,"AAAAAGbAe4w=")</f>
        <v>#REF!</v>
      </c>
      <c r="EL24" t="e">
        <f>AND(TOC!#REF!,"AAAAAGbAe40=")</f>
        <v>#REF!</v>
      </c>
      <c r="EM24" t="e">
        <f>AND(TOC!#REF!,"AAAAAGbAe44=")</f>
        <v>#REF!</v>
      </c>
      <c r="EN24" t="e">
        <f>IF(TOC!#REF!,"AAAAAGbAe48=",0)</f>
        <v>#REF!</v>
      </c>
      <c r="EO24" t="e">
        <f>AND(TOC!#REF!,"AAAAAGbAe5A=")</f>
        <v>#REF!</v>
      </c>
      <c r="EP24" t="e">
        <f>AND(TOC!#REF!,"AAAAAGbAe5E=")</f>
        <v>#REF!</v>
      </c>
      <c r="EQ24" t="e">
        <f>AND(TOC!#REF!,"AAAAAGbAe5I=")</f>
        <v>#REF!</v>
      </c>
      <c r="ER24" t="e">
        <f>AND(TOC!#REF!,"AAAAAGbAe5M=")</f>
        <v>#REF!</v>
      </c>
      <c r="ES24" t="e">
        <f>AND(TOC!#REF!,"AAAAAGbAe5Q=")</f>
        <v>#REF!</v>
      </c>
      <c r="ET24" t="e">
        <f>AND(TOC!#REF!,"AAAAAGbAe5U=")</f>
        <v>#REF!</v>
      </c>
      <c r="EU24" t="e">
        <f>AND(TOC!#REF!,"AAAAAGbAe5Y=")</f>
        <v>#REF!</v>
      </c>
      <c r="EV24" t="e">
        <f>AND(TOC!#REF!,"AAAAAGbAe5c=")</f>
        <v>#REF!</v>
      </c>
      <c r="EW24" t="e">
        <f>AND(TOC!#REF!,"AAAAAGbAe5g=")</f>
        <v>#REF!</v>
      </c>
      <c r="EX24" t="e">
        <f>AND(TOC!#REF!,"AAAAAGbAe5k=")</f>
        <v>#REF!</v>
      </c>
      <c r="EY24" t="e">
        <f>AND(TOC!#REF!,"AAAAAGbAe5o=")</f>
        <v>#REF!</v>
      </c>
      <c r="EZ24" t="e">
        <f>AND(TOC!#REF!,"AAAAAGbAe5s=")</f>
        <v>#REF!</v>
      </c>
      <c r="FA24" t="e">
        <f>AND(TOC!#REF!,"AAAAAGbAe5w=")</f>
        <v>#REF!</v>
      </c>
      <c r="FB24" t="e">
        <f>AND(TOC!#REF!,"AAAAAGbAe50=")</f>
        <v>#REF!</v>
      </c>
      <c r="FC24" t="e">
        <f>AND(TOC!#REF!,"AAAAAGbAe54=")</f>
        <v>#REF!</v>
      </c>
      <c r="FD24" t="e">
        <f>AND(TOC!#REF!,"AAAAAGbAe58=")</f>
        <v>#REF!</v>
      </c>
      <c r="FE24" t="e">
        <f>AND(TOC!#REF!,"AAAAAGbAe6A=")</f>
        <v>#REF!</v>
      </c>
      <c r="FF24" t="e">
        <f>AND(TOC!#REF!,"AAAAAGbAe6E=")</f>
        <v>#REF!</v>
      </c>
      <c r="FG24" t="e">
        <f>AND(TOC!#REF!,"AAAAAGbAe6I=")</f>
        <v>#REF!</v>
      </c>
      <c r="FH24" t="e">
        <f>AND(TOC!#REF!,"AAAAAGbAe6M=")</f>
        <v>#REF!</v>
      </c>
      <c r="FI24" t="e">
        <f>AND(TOC!#REF!,"AAAAAGbAe6Q=")</f>
        <v>#REF!</v>
      </c>
      <c r="FJ24" t="e">
        <f>AND(TOC!#REF!,"AAAAAGbAe6U=")</f>
        <v>#REF!</v>
      </c>
      <c r="FK24" t="e">
        <f>AND(TOC!#REF!,"AAAAAGbAe6Y=")</f>
        <v>#REF!</v>
      </c>
      <c r="FL24" t="e">
        <f>AND(TOC!#REF!,"AAAAAGbAe6c=")</f>
        <v>#REF!</v>
      </c>
      <c r="FM24" t="e">
        <f>AND(TOC!#REF!,"AAAAAGbAe6g=")</f>
        <v>#REF!</v>
      </c>
      <c r="FN24" t="e">
        <f>AND(TOC!#REF!,"AAAAAGbAe6k=")</f>
        <v>#REF!</v>
      </c>
      <c r="FO24" t="e">
        <f>AND(TOC!#REF!,"AAAAAGbAe6o=")</f>
        <v>#REF!</v>
      </c>
      <c r="FP24" t="e">
        <f>AND(TOC!#REF!,"AAAAAGbAe6s=")</f>
        <v>#REF!</v>
      </c>
      <c r="FQ24" t="e">
        <f>AND(TOC!#REF!,"AAAAAGbAe6w=")</f>
        <v>#REF!</v>
      </c>
      <c r="FR24" t="e">
        <f>AND(TOC!#REF!,"AAAAAGbAe60=")</f>
        <v>#REF!</v>
      </c>
      <c r="FS24" t="e">
        <f>AND(TOC!#REF!,"AAAAAGbAe64=")</f>
        <v>#REF!</v>
      </c>
      <c r="FT24" t="e">
        <f>AND(TOC!#REF!,"AAAAAGbAe68=")</f>
        <v>#REF!</v>
      </c>
      <c r="FU24" t="e">
        <f>AND(TOC!#REF!,"AAAAAGbAe7A=")</f>
        <v>#REF!</v>
      </c>
      <c r="FV24" t="e">
        <f>AND(TOC!#REF!,"AAAAAGbAe7E=")</f>
        <v>#REF!</v>
      </c>
      <c r="FW24" t="e">
        <f>AND(TOC!#REF!,"AAAAAGbAe7I=")</f>
        <v>#REF!</v>
      </c>
      <c r="FX24" t="e">
        <f>AND(TOC!#REF!,"AAAAAGbAe7M=")</f>
        <v>#REF!</v>
      </c>
      <c r="FY24" t="e">
        <f>IF(TOC!#REF!,"AAAAAGbAe7Q=",0)</f>
        <v>#REF!</v>
      </c>
      <c r="FZ24" t="e">
        <f>AND(TOC!#REF!,"AAAAAGbAe7U=")</f>
        <v>#REF!</v>
      </c>
      <c r="GA24" t="e">
        <f>AND(TOC!#REF!,"AAAAAGbAe7Y=")</f>
        <v>#REF!</v>
      </c>
      <c r="GB24" t="e">
        <f>AND(TOC!#REF!,"AAAAAGbAe7c=")</f>
        <v>#REF!</v>
      </c>
      <c r="GC24" t="e">
        <f>AND(TOC!#REF!,"AAAAAGbAe7g=")</f>
        <v>#REF!</v>
      </c>
      <c r="GD24" t="e">
        <f>AND(TOC!#REF!,"AAAAAGbAe7k=")</f>
        <v>#REF!</v>
      </c>
      <c r="GE24" t="e">
        <f>AND(TOC!#REF!,"AAAAAGbAe7o=")</f>
        <v>#REF!</v>
      </c>
      <c r="GF24" t="e">
        <f>AND(TOC!#REF!,"AAAAAGbAe7s=")</f>
        <v>#REF!</v>
      </c>
      <c r="GG24" t="e">
        <f>AND(TOC!#REF!,"AAAAAGbAe7w=")</f>
        <v>#REF!</v>
      </c>
      <c r="GH24" t="e">
        <f>AND(TOC!#REF!,"AAAAAGbAe70=")</f>
        <v>#REF!</v>
      </c>
      <c r="GI24" t="e">
        <f>AND(TOC!#REF!,"AAAAAGbAe74=")</f>
        <v>#REF!</v>
      </c>
      <c r="GJ24" t="e">
        <f>AND(TOC!#REF!,"AAAAAGbAe78=")</f>
        <v>#REF!</v>
      </c>
      <c r="GK24" t="e">
        <f>AND(TOC!#REF!,"AAAAAGbAe8A=")</f>
        <v>#REF!</v>
      </c>
      <c r="GL24" t="e">
        <f>AND(TOC!#REF!,"AAAAAGbAe8E=")</f>
        <v>#REF!</v>
      </c>
      <c r="GM24" t="e">
        <f>AND(TOC!#REF!,"AAAAAGbAe8I=")</f>
        <v>#REF!</v>
      </c>
      <c r="GN24" t="e">
        <f>AND(TOC!#REF!,"AAAAAGbAe8M=")</f>
        <v>#REF!</v>
      </c>
      <c r="GO24" t="e">
        <f>AND(TOC!#REF!,"AAAAAGbAe8Q=")</f>
        <v>#REF!</v>
      </c>
      <c r="GP24" t="e">
        <f>AND(TOC!#REF!,"AAAAAGbAe8U=")</f>
        <v>#REF!</v>
      </c>
      <c r="GQ24" t="e">
        <f>AND(TOC!#REF!,"AAAAAGbAe8Y=")</f>
        <v>#REF!</v>
      </c>
      <c r="GR24" t="e">
        <f>AND(TOC!#REF!,"AAAAAGbAe8c=")</f>
        <v>#REF!</v>
      </c>
      <c r="GS24" t="e">
        <f>AND(TOC!#REF!,"AAAAAGbAe8g=")</f>
        <v>#REF!</v>
      </c>
      <c r="GT24" t="e">
        <f>AND(TOC!#REF!,"AAAAAGbAe8k=")</f>
        <v>#REF!</v>
      </c>
      <c r="GU24" t="e">
        <f>AND(TOC!#REF!,"AAAAAGbAe8o=")</f>
        <v>#REF!</v>
      </c>
      <c r="GV24" t="e">
        <f>AND(TOC!#REF!,"AAAAAGbAe8s=")</f>
        <v>#REF!</v>
      </c>
      <c r="GW24" t="e">
        <f>AND(TOC!#REF!,"AAAAAGbAe8w=")</f>
        <v>#REF!</v>
      </c>
      <c r="GX24" t="e">
        <f>AND(TOC!#REF!,"AAAAAGbAe80=")</f>
        <v>#REF!</v>
      </c>
      <c r="GY24" t="e">
        <f>AND(TOC!#REF!,"AAAAAGbAe84=")</f>
        <v>#REF!</v>
      </c>
      <c r="GZ24" t="e">
        <f>AND(TOC!#REF!,"AAAAAGbAe88=")</f>
        <v>#REF!</v>
      </c>
      <c r="HA24" t="e">
        <f>AND(TOC!#REF!,"AAAAAGbAe9A=")</f>
        <v>#REF!</v>
      </c>
      <c r="HB24" t="e">
        <f>AND(TOC!#REF!,"AAAAAGbAe9E=")</f>
        <v>#REF!</v>
      </c>
      <c r="HC24" t="e">
        <f>AND(TOC!#REF!,"AAAAAGbAe9I=")</f>
        <v>#REF!</v>
      </c>
      <c r="HD24" t="e">
        <f>AND(TOC!#REF!,"AAAAAGbAe9M=")</f>
        <v>#REF!</v>
      </c>
      <c r="HE24" t="e">
        <f>AND(TOC!#REF!,"AAAAAGbAe9Q=")</f>
        <v>#REF!</v>
      </c>
      <c r="HF24" t="e">
        <f>AND(TOC!#REF!,"AAAAAGbAe9U=")</f>
        <v>#REF!</v>
      </c>
      <c r="HG24" t="e">
        <f>AND(TOC!#REF!,"AAAAAGbAe9Y=")</f>
        <v>#REF!</v>
      </c>
      <c r="HH24" t="e">
        <f>AND(TOC!#REF!,"AAAAAGbAe9c=")</f>
        <v>#REF!</v>
      </c>
      <c r="HI24" t="e">
        <f>AND(TOC!#REF!,"AAAAAGbAe9g=")</f>
        <v>#REF!</v>
      </c>
      <c r="HJ24" t="e">
        <f>IF(TOC!#REF!,"AAAAAGbAe9k=",0)</f>
        <v>#REF!</v>
      </c>
      <c r="HK24" t="e">
        <f>AND(TOC!#REF!,"AAAAAGbAe9o=")</f>
        <v>#REF!</v>
      </c>
      <c r="HL24" t="e">
        <f>AND(TOC!#REF!,"AAAAAGbAe9s=")</f>
        <v>#REF!</v>
      </c>
      <c r="HM24" t="e">
        <f>AND(TOC!#REF!,"AAAAAGbAe9w=")</f>
        <v>#REF!</v>
      </c>
      <c r="HN24" t="e">
        <f>AND(TOC!#REF!,"AAAAAGbAe90=")</f>
        <v>#REF!</v>
      </c>
      <c r="HO24" t="e">
        <f>AND(TOC!#REF!,"AAAAAGbAe94=")</f>
        <v>#REF!</v>
      </c>
      <c r="HP24" t="e">
        <f>AND(TOC!#REF!,"AAAAAGbAe98=")</f>
        <v>#REF!</v>
      </c>
      <c r="HQ24" t="e">
        <f>AND(TOC!#REF!,"AAAAAGbAe+A=")</f>
        <v>#REF!</v>
      </c>
      <c r="HR24" t="e">
        <f>AND(TOC!#REF!,"AAAAAGbAe+E=")</f>
        <v>#REF!</v>
      </c>
      <c r="HS24" t="e">
        <f>AND(TOC!#REF!,"AAAAAGbAe+I=")</f>
        <v>#REF!</v>
      </c>
      <c r="HT24" t="e">
        <f>AND(TOC!#REF!,"AAAAAGbAe+M=")</f>
        <v>#REF!</v>
      </c>
      <c r="HU24" t="e">
        <f>AND(TOC!#REF!,"AAAAAGbAe+Q=")</f>
        <v>#REF!</v>
      </c>
      <c r="HV24" t="e">
        <f>AND(TOC!#REF!,"AAAAAGbAe+U=")</f>
        <v>#REF!</v>
      </c>
      <c r="HW24" t="e">
        <f>AND(TOC!#REF!,"AAAAAGbAe+Y=")</f>
        <v>#REF!</v>
      </c>
      <c r="HX24" t="e">
        <f>AND(TOC!#REF!,"AAAAAGbAe+c=")</f>
        <v>#REF!</v>
      </c>
      <c r="HY24" t="e">
        <f>AND(TOC!#REF!,"AAAAAGbAe+g=")</f>
        <v>#REF!</v>
      </c>
      <c r="HZ24" t="e">
        <f>AND(TOC!#REF!,"AAAAAGbAe+k=")</f>
        <v>#REF!</v>
      </c>
      <c r="IA24" t="e">
        <f>AND(TOC!#REF!,"AAAAAGbAe+o=")</f>
        <v>#REF!</v>
      </c>
      <c r="IB24" t="e">
        <f>AND(TOC!#REF!,"AAAAAGbAe+s=")</f>
        <v>#REF!</v>
      </c>
      <c r="IC24" t="e">
        <f>AND(TOC!#REF!,"AAAAAGbAe+w=")</f>
        <v>#REF!</v>
      </c>
      <c r="ID24" t="e">
        <f>AND(TOC!#REF!,"AAAAAGbAe+0=")</f>
        <v>#REF!</v>
      </c>
      <c r="IE24" t="e">
        <f>AND(TOC!#REF!,"AAAAAGbAe+4=")</f>
        <v>#REF!</v>
      </c>
      <c r="IF24" t="e">
        <f>AND(TOC!#REF!,"AAAAAGbAe+8=")</f>
        <v>#REF!</v>
      </c>
      <c r="IG24" t="e">
        <f>AND(TOC!#REF!,"AAAAAGbAe/A=")</f>
        <v>#REF!</v>
      </c>
      <c r="IH24" t="e">
        <f>AND(TOC!#REF!,"AAAAAGbAe/E=")</f>
        <v>#REF!</v>
      </c>
      <c r="II24" t="e">
        <f>AND(TOC!#REF!,"AAAAAGbAe/I=")</f>
        <v>#REF!</v>
      </c>
      <c r="IJ24" t="e">
        <f>AND(TOC!#REF!,"AAAAAGbAe/M=")</f>
        <v>#REF!</v>
      </c>
      <c r="IK24" t="e">
        <f>AND(TOC!#REF!,"AAAAAGbAe/Q=")</f>
        <v>#REF!</v>
      </c>
      <c r="IL24" t="e">
        <f>AND(TOC!#REF!,"AAAAAGbAe/U=")</f>
        <v>#REF!</v>
      </c>
      <c r="IM24" t="e">
        <f>AND(TOC!#REF!,"AAAAAGbAe/Y=")</f>
        <v>#REF!</v>
      </c>
      <c r="IN24" t="e">
        <f>AND(TOC!#REF!,"AAAAAGbAe/c=")</f>
        <v>#REF!</v>
      </c>
      <c r="IO24" t="e">
        <f>AND(TOC!#REF!,"AAAAAGbAe/g=")</f>
        <v>#REF!</v>
      </c>
      <c r="IP24" t="e">
        <f>AND(TOC!#REF!,"AAAAAGbAe/k=")</f>
        <v>#REF!</v>
      </c>
      <c r="IQ24" t="e">
        <f>AND(TOC!#REF!,"AAAAAGbAe/o=")</f>
        <v>#REF!</v>
      </c>
      <c r="IR24" t="e">
        <f>AND(TOC!#REF!,"AAAAAGbAe/s=")</f>
        <v>#REF!</v>
      </c>
      <c r="IS24" t="e">
        <f>AND(TOC!#REF!,"AAAAAGbAe/w=")</f>
        <v>#REF!</v>
      </c>
      <c r="IT24" t="e">
        <f>AND(TOC!#REF!,"AAAAAGbAe/0=")</f>
        <v>#REF!</v>
      </c>
      <c r="IU24" t="e">
        <f>IF(TOC!#REF!,"AAAAAGbAe/4=",0)</f>
        <v>#REF!</v>
      </c>
      <c r="IV24" t="e">
        <f>AND(TOC!#REF!,"AAAAAGbAe/8=")</f>
        <v>#REF!</v>
      </c>
    </row>
    <row r="25" spans="1:256" x14ac:dyDescent="0.2">
      <c r="A25" t="e">
        <f>AND(TOC!#REF!,"AAAAAE8/vwA=")</f>
        <v>#REF!</v>
      </c>
      <c r="B25" t="e">
        <f>AND(TOC!#REF!,"AAAAAE8/vwE=")</f>
        <v>#REF!</v>
      </c>
      <c r="C25" t="e">
        <f>AND(TOC!#REF!,"AAAAAE8/vwI=")</f>
        <v>#REF!</v>
      </c>
      <c r="D25" t="e">
        <f>AND(TOC!#REF!,"AAAAAE8/vwM=")</f>
        <v>#REF!</v>
      </c>
      <c r="E25" t="e">
        <f>AND(TOC!#REF!,"AAAAAE8/vwQ=")</f>
        <v>#REF!</v>
      </c>
      <c r="F25" t="e">
        <f>AND(TOC!#REF!,"AAAAAE8/vwU=")</f>
        <v>#REF!</v>
      </c>
      <c r="G25" t="e">
        <f>AND(TOC!#REF!,"AAAAAE8/vwY=")</f>
        <v>#REF!</v>
      </c>
      <c r="H25" t="e">
        <f>AND(TOC!#REF!,"AAAAAE8/vwc=")</f>
        <v>#REF!</v>
      </c>
      <c r="I25" t="e">
        <f>AND(TOC!#REF!,"AAAAAE8/vwg=")</f>
        <v>#REF!</v>
      </c>
      <c r="J25" t="e">
        <f>AND(TOC!#REF!,"AAAAAE8/vwk=")</f>
        <v>#REF!</v>
      </c>
      <c r="K25" t="e">
        <f>AND(TOC!#REF!,"AAAAAE8/vwo=")</f>
        <v>#REF!</v>
      </c>
      <c r="L25" t="e">
        <f>AND(TOC!#REF!,"AAAAAE8/vws=")</f>
        <v>#REF!</v>
      </c>
      <c r="M25" t="e">
        <f>AND(TOC!#REF!,"AAAAAE8/vww=")</f>
        <v>#REF!</v>
      </c>
      <c r="N25" t="e">
        <f>AND(TOC!#REF!,"AAAAAE8/vw0=")</f>
        <v>#REF!</v>
      </c>
      <c r="O25" t="e">
        <f>AND(TOC!#REF!,"AAAAAE8/vw4=")</f>
        <v>#REF!</v>
      </c>
      <c r="P25" t="e">
        <f>AND(TOC!#REF!,"AAAAAE8/vw8=")</f>
        <v>#REF!</v>
      </c>
      <c r="Q25" t="e">
        <f>AND(TOC!#REF!,"AAAAAE8/vxA=")</f>
        <v>#REF!</v>
      </c>
      <c r="R25" t="e">
        <f>AND(TOC!#REF!,"AAAAAE8/vxE=")</f>
        <v>#REF!</v>
      </c>
      <c r="S25" t="e">
        <f>AND(TOC!#REF!,"AAAAAE8/vxI=")</f>
        <v>#REF!</v>
      </c>
      <c r="T25" t="e">
        <f>AND(TOC!#REF!,"AAAAAE8/vxM=")</f>
        <v>#REF!</v>
      </c>
      <c r="U25" t="e">
        <f>AND(TOC!#REF!,"AAAAAE8/vxQ=")</f>
        <v>#REF!</v>
      </c>
      <c r="V25" t="e">
        <f>AND(TOC!#REF!,"AAAAAE8/vxU=")</f>
        <v>#REF!</v>
      </c>
      <c r="W25" t="e">
        <f>AND(TOC!#REF!,"AAAAAE8/vxY=")</f>
        <v>#REF!</v>
      </c>
      <c r="X25" t="e">
        <f>AND(TOC!#REF!,"AAAAAE8/vxc=")</f>
        <v>#REF!</v>
      </c>
      <c r="Y25" t="e">
        <f>AND(TOC!#REF!,"AAAAAE8/vxg=")</f>
        <v>#REF!</v>
      </c>
      <c r="Z25" t="e">
        <f>AND(TOC!#REF!,"AAAAAE8/vxk=")</f>
        <v>#REF!</v>
      </c>
      <c r="AA25" t="e">
        <f>AND(TOC!#REF!,"AAAAAE8/vxo=")</f>
        <v>#REF!</v>
      </c>
      <c r="AB25" t="e">
        <f>AND(TOC!#REF!,"AAAAAE8/vxs=")</f>
        <v>#REF!</v>
      </c>
      <c r="AC25" t="e">
        <f>AND(TOC!#REF!,"AAAAAE8/vxw=")</f>
        <v>#REF!</v>
      </c>
      <c r="AD25" t="e">
        <f>AND(TOC!#REF!,"AAAAAE8/vx0=")</f>
        <v>#REF!</v>
      </c>
      <c r="AE25" t="e">
        <f>AND(TOC!#REF!,"AAAAAE8/vx4=")</f>
        <v>#REF!</v>
      </c>
      <c r="AF25" t="e">
        <f>AND(TOC!#REF!,"AAAAAE8/vx8=")</f>
        <v>#REF!</v>
      </c>
      <c r="AG25" t="e">
        <f>AND(TOC!#REF!,"AAAAAE8/vyA=")</f>
        <v>#REF!</v>
      </c>
      <c r="AH25" t="e">
        <f>AND(TOC!#REF!,"AAAAAE8/vyE=")</f>
        <v>#REF!</v>
      </c>
      <c r="AI25" t="e">
        <f>AND(TOC!#REF!,"AAAAAE8/vyI=")</f>
        <v>#REF!</v>
      </c>
      <c r="AJ25" t="e">
        <f>IF(TOC!#REF!,"AAAAAE8/vyM=",0)</f>
        <v>#REF!</v>
      </c>
      <c r="AK25" t="e">
        <f>AND(TOC!#REF!,"AAAAAE8/vyQ=")</f>
        <v>#REF!</v>
      </c>
      <c r="AL25" t="e">
        <f>AND(TOC!#REF!,"AAAAAE8/vyU=")</f>
        <v>#REF!</v>
      </c>
      <c r="AM25" t="e">
        <f>AND(TOC!#REF!,"AAAAAE8/vyY=")</f>
        <v>#REF!</v>
      </c>
      <c r="AN25" t="e">
        <f>AND(TOC!#REF!,"AAAAAE8/vyc=")</f>
        <v>#REF!</v>
      </c>
      <c r="AO25" t="e">
        <f>AND(TOC!#REF!,"AAAAAE8/vyg=")</f>
        <v>#REF!</v>
      </c>
      <c r="AP25" t="e">
        <f>AND(TOC!#REF!,"AAAAAE8/vyk=")</f>
        <v>#REF!</v>
      </c>
      <c r="AQ25" t="e">
        <f>AND(TOC!#REF!,"AAAAAE8/vyo=")</f>
        <v>#REF!</v>
      </c>
      <c r="AR25" t="e">
        <f>AND(TOC!#REF!,"AAAAAE8/vys=")</f>
        <v>#REF!</v>
      </c>
      <c r="AS25" t="e">
        <f>AND(TOC!#REF!,"AAAAAE8/vyw=")</f>
        <v>#REF!</v>
      </c>
      <c r="AT25" t="e">
        <f>AND(TOC!#REF!,"AAAAAE8/vy0=")</f>
        <v>#REF!</v>
      </c>
      <c r="AU25" t="e">
        <f>AND(TOC!#REF!,"AAAAAE8/vy4=")</f>
        <v>#REF!</v>
      </c>
      <c r="AV25" t="e">
        <f>AND(TOC!#REF!,"AAAAAE8/vy8=")</f>
        <v>#REF!</v>
      </c>
      <c r="AW25" t="e">
        <f>AND(TOC!#REF!,"AAAAAE8/vzA=")</f>
        <v>#REF!</v>
      </c>
      <c r="AX25" t="e">
        <f>AND(TOC!#REF!,"AAAAAE8/vzE=")</f>
        <v>#REF!</v>
      </c>
      <c r="AY25" t="e">
        <f>AND(TOC!#REF!,"AAAAAE8/vzI=")</f>
        <v>#REF!</v>
      </c>
      <c r="AZ25" t="e">
        <f>AND(TOC!#REF!,"AAAAAE8/vzM=")</f>
        <v>#REF!</v>
      </c>
      <c r="BA25" t="e">
        <f>AND(TOC!#REF!,"AAAAAE8/vzQ=")</f>
        <v>#REF!</v>
      </c>
      <c r="BB25" t="e">
        <f>AND(TOC!#REF!,"AAAAAE8/vzU=")</f>
        <v>#REF!</v>
      </c>
      <c r="BC25" t="e">
        <f>AND(TOC!#REF!,"AAAAAE8/vzY=")</f>
        <v>#REF!</v>
      </c>
      <c r="BD25" t="e">
        <f>AND(TOC!#REF!,"AAAAAE8/vzc=")</f>
        <v>#REF!</v>
      </c>
      <c r="BE25" t="e">
        <f>AND(TOC!#REF!,"AAAAAE8/vzg=")</f>
        <v>#REF!</v>
      </c>
      <c r="BF25" t="e">
        <f>AND(TOC!#REF!,"AAAAAE8/vzk=")</f>
        <v>#REF!</v>
      </c>
      <c r="BG25" t="e">
        <f>AND(TOC!#REF!,"AAAAAE8/vzo=")</f>
        <v>#REF!</v>
      </c>
      <c r="BH25" t="e">
        <f>AND(TOC!#REF!,"AAAAAE8/vzs=")</f>
        <v>#REF!</v>
      </c>
      <c r="BI25" t="e">
        <f>AND(TOC!#REF!,"AAAAAE8/vzw=")</f>
        <v>#REF!</v>
      </c>
      <c r="BJ25" t="e">
        <f>AND(TOC!#REF!,"AAAAAE8/vz0=")</f>
        <v>#REF!</v>
      </c>
      <c r="BK25" t="e">
        <f>AND(TOC!#REF!,"AAAAAE8/vz4=")</f>
        <v>#REF!</v>
      </c>
      <c r="BL25" t="e">
        <f>AND(TOC!#REF!,"AAAAAE8/vz8=")</f>
        <v>#REF!</v>
      </c>
      <c r="BM25" t="e">
        <f>AND(TOC!#REF!,"AAAAAE8/v0A=")</f>
        <v>#REF!</v>
      </c>
      <c r="BN25" t="e">
        <f>AND(TOC!#REF!,"AAAAAE8/v0E=")</f>
        <v>#REF!</v>
      </c>
      <c r="BO25" t="e">
        <f>AND(TOC!#REF!,"AAAAAE8/v0I=")</f>
        <v>#REF!</v>
      </c>
      <c r="BP25" t="e">
        <f>AND(TOC!#REF!,"AAAAAE8/v0M=")</f>
        <v>#REF!</v>
      </c>
      <c r="BQ25" t="e">
        <f>AND(TOC!#REF!,"AAAAAE8/v0Q=")</f>
        <v>#REF!</v>
      </c>
      <c r="BR25" t="e">
        <f>AND(TOC!#REF!,"AAAAAE8/v0U=")</f>
        <v>#REF!</v>
      </c>
      <c r="BS25" t="e">
        <f>AND(TOC!#REF!,"AAAAAE8/v0Y=")</f>
        <v>#REF!</v>
      </c>
      <c r="BT25" t="e">
        <f>AND(TOC!#REF!,"AAAAAE8/v0c=")</f>
        <v>#REF!</v>
      </c>
      <c r="BU25" t="e">
        <f>IF(TOC!#REF!,"AAAAAE8/v0g=",0)</f>
        <v>#REF!</v>
      </c>
      <c r="BV25" t="e">
        <f>AND(TOC!#REF!,"AAAAAE8/v0k=")</f>
        <v>#REF!</v>
      </c>
      <c r="BW25" t="e">
        <f>AND(TOC!#REF!,"AAAAAE8/v0o=")</f>
        <v>#REF!</v>
      </c>
      <c r="BX25" t="e">
        <f>AND(TOC!#REF!,"AAAAAE8/v0s=")</f>
        <v>#REF!</v>
      </c>
      <c r="BY25" t="e">
        <f>AND(TOC!#REF!,"AAAAAE8/v0w=")</f>
        <v>#REF!</v>
      </c>
      <c r="BZ25" t="e">
        <f>AND(TOC!#REF!,"AAAAAE8/v00=")</f>
        <v>#REF!</v>
      </c>
      <c r="CA25" t="e">
        <f>AND(TOC!#REF!,"AAAAAE8/v04=")</f>
        <v>#REF!</v>
      </c>
      <c r="CB25" t="e">
        <f>AND(TOC!#REF!,"AAAAAE8/v08=")</f>
        <v>#REF!</v>
      </c>
      <c r="CC25" t="e">
        <f>AND(TOC!#REF!,"AAAAAE8/v1A=")</f>
        <v>#REF!</v>
      </c>
      <c r="CD25" t="e">
        <f>AND(TOC!#REF!,"AAAAAE8/v1E=")</f>
        <v>#REF!</v>
      </c>
      <c r="CE25" t="e">
        <f>AND(TOC!#REF!,"AAAAAE8/v1I=")</f>
        <v>#REF!</v>
      </c>
      <c r="CF25" t="e">
        <f>AND(TOC!#REF!,"AAAAAE8/v1M=")</f>
        <v>#REF!</v>
      </c>
      <c r="CG25" t="e">
        <f>AND(TOC!#REF!,"AAAAAE8/v1Q=")</f>
        <v>#REF!</v>
      </c>
      <c r="CH25" t="e">
        <f>AND(TOC!#REF!,"AAAAAE8/v1U=")</f>
        <v>#REF!</v>
      </c>
      <c r="CI25" t="e">
        <f>AND(TOC!#REF!,"AAAAAE8/v1Y=")</f>
        <v>#REF!</v>
      </c>
      <c r="CJ25" t="e">
        <f>AND(TOC!#REF!,"AAAAAE8/v1c=")</f>
        <v>#REF!</v>
      </c>
      <c r="CK25" t="e">
        <f>AND(TOC!#REF!,"AAAAAE8/v1g=")</f>
        <v>#REF!</v>
      </c>
      <c r="CL25" t="e">
        <f>AND(TOC!#REF!,"AAAAAE8/v1k=")</f>
        <v>#REF!</v>
      </c>
      <c r="CM25" t="e">
        <f>AND(TOC!#REF!,"AAAAAE8/v1o=")</f>
        <v>#REF!</v>
      </c>
      <c r="CN25" t="e">
        <f>AND(TOC!#REF!,"AAAAAE8/v1s=")</f>
        <v>#REF!</v>
      </c>
      <c r="CO25" t="e">
        <f>AND(TOC!#REF!,"AAAAAE8/v1w=")</f>
        <v>#REF!</v>
      </c>
      <c r="CP25" t="e">
        <f>AND(TOC!#REF!,"AAAAAE8/v10=")</f>
        <v>#REF!</v>
      </c>
      <c r="CQ25" t="e">
        <f>AND(TOC!#REF!,"AAAAAE8/v14=")</f>
        <v>#REF!</v>
      </c>
      <c r="CR25" t="e">
        <f>AND(TOC!#REF!,"AAAAAE8/v18=")</f>
        <v>#REF!</v>
      </c>
      <c r="CS25" t="e">
        <f>AND(TOC!#REF!,"AAAAAE8/v2A=")</f>
        <v>#REF!</v>
      </c>
      <c r="CT25" t="e">
        <f>AND(TOC!#REF!,"AAAAAE8/v2E=")</f>
        <v>#REF!</v>
      </c>
      <c r="CU25" t="e">
        <f>AND(TOC!#REF!,"AAAAAE8/v2I=")</f>
        <v>#REF!</v>
      </c>
      <c r="CV25" t="e">
        <f>AND(TOC!#REF!,"AAAAAE8/v2M=")</f>
        <v>#REF!</v>
      </c>
      <c r="CW25" t="e">
        <f>AND(TOC!#REF!,"AAAAAE8/v2Q=")</f>
        <v>#REF!</v>
      </c>
      <c r="CX25" t="e">
        <f>AND(TOC!#REF!,"AAAAAE8/v2U=")</f>
        <v>#REF!</v>
      </c>
      <c r="CY25" t="e">
        <f>AND(TOC!#REF!,"AAAAAE8/v2Y=")</f>
        <v>#REF!</v>
      </c>
      <c r="CZ25" t="e">
        <f>AND(TOC!#REF!,"AAAAAE8/v2c=")</f>
        <v>#REF!</v>
      </c>
      <c r="DA25" t="e">
        <f>AND(TOC!#REF!,"AAAAAE8/v2g=")</f>
        <v>#REF!</v>
      </c>
      <c r="DB25" t="e">
        <f>AND(TOC!#REF!,"AAAAAE8/v2k=")</f>
        <v>#REF!</v>
      </c>
      <c r="DC25" t="e">
        <f>AND(TOC!#REF!,"AAAAAE8/v2o=")</f>
        <v>#REF!</v>
      </c>
      <c r="DD25" t="e">
        <f>AND(TOC!#REF!,"AAAAAE8/v2s=")</f>
        <v>#REF!</v>
      </c>
      <c r="DE25" t="e">
        <f>AND(TOC!#REF!,"AAAAAE8/v2w=")</f>
        <v>#REF!</v>
      </c>
      <c r="DF25" t="e">
        <f>IF(TOC!#REF!,"AAAAAE8/v20=",0)</f>
        <v>#REF!</v>
      </c>
      <c r="DG25" t="e">
        <f>AND(TOC!#REF!,"AAAAAE8/v24=")</f>
        <v>#REF!</v>
      </c>
      <c r="DH25" t="e">
        <f>AND(TOC!#REF!,"AAAAAE8/v28=")</f>
        <v>#REF!</v>
      </c>
      <c r="DI25" t="e">
        <f>AND(TOC!#REF!,"AAAAAE8/v3A=")</f>
        <v>#REF!</v>
      </c>
      <c r="DJ25" t="e">
        <f>AND(TOC!#REF!,"AAAAAE8/v3E=")</f>
        <v>#REF!</v>
      </c>
      <c r="DK25" t="e">
        <f>AND(TOC!#REF!,"AAAAAE8/v3I=")</f>
        <v>#REF!</v>
      </c>
      <c r="DL25" t="e">
        <f>AND(TOC!#REF!,"AAAAAE8/v3M=")</f>
        <v>#REF!</v>
      </c>
      <c r="DM25" t="e">
        <f>AND(TOC!#REF!,"AAAAAE8/v3Q=")</f>
        <v>#REF!</v>
      </c>
      <c r="DN25" t="e">
        <f>AND(TOC!#REF!,"AAAAAE8/v3U=")</f>
        <v>#REF!</v>
      </c>
      <c r="DO25" t="e">
        <f>AND(TOC!#REF!,"AAAAAE8/v3Y=")</f>
        <v>#REF!</v>
      </c>
      <c r="DP25" t="e">
        <f>AND(TOC!#REF!,"AAAAAE8/v3c=")</f>
        <v>#REF!</v>
      </c>
      <c r="DQ25" t="e">
        <f>AND(TOC!#REF!,"AAAAAE8/v3g=")</f>
        <v>#REF!</v>
      </c>
      <c r="DR25" t="e">
        <f>AND(TOC!#REF!,"AAAAAE8/v3k=")</f>
        <v>#REF!</v>
      </c>
      <c r="DS25" t="e">
        <f>AND(TOC!#REF!,"AAAAAE8/v3o=")</f>
        <v>#REF!</v>
      </c>
      <c r="DT25" t="e">
        <f>AND(TOC!#REF!,"AAAAAE8/v3s=")</f>
        <v>#REF!</v>
      </c>
      <c r="DU25" t="e">
        <f>AND(TOC!#REF!,"AAAAAE8/v3w=")</f>
        <v>#REF!</v>
      </c>
      <c r="DV25" t="e">
        <f>AND(TOC!#REF!,"AAAAAE8/v30=")</f>
        <v>#REF!</v>
      </c>
      <c r="DW25" t="e">
        <f>AND(TOC!#REF!,"AAAAAE8/v34=")</f>
        <v>#REF!</v>
      </c>
      <c r="DX25" t="e">
        <f>AND(TOC!#REF!,"AAAAAE8/v38=")</f>
        <v>#REF!</v>
      </c>
      <c r="DY25" t="e">
        <f>AND(TOC!#REF!,"AAAAAE8/v4A=")</f>
        <v>#REF!</v>
      </c>
      <c r="DZ25" t="e">
        <f>AND(TOC!#REF!,"AAAAAE8/v4E=")</f>
        <v>#REF!</v>
      </c>
      <c r="EA25" t="e">
        <f>AND(TOC!#REF!,"AAAAAE8/v4I=")</f>
        <v>#REF!</v>
      </c>
      <c r="EB25" t="e">
        <f>AND(TOC!#REF!,"AAAAAE8/v4M=")</f>
        <v>#REF!</v>
      </c>
      <c r="EC25" t="e">
        <f>AND(TOC!#REF!,"AAAAAE8/v4Q=")</f>
        <v>#REF!</v>
      </c>
      <c r="ED25" t="e">
        <f>AND(TOC!#REF!,"AAAAAE8/v4U=")</f>
        <v>#REF!</v>
      </c>
      <c r="EE25" t="e">
        <f>AND(TOC!#REF!,"AAAAAE8/v4Y=")</f>
        <v>#REF!</v>
      </c>
      <c r="EF25" t="e">
        <f>AND(TOC!#REF!,"AAAAAE8/v4c=")</f>
        <v>#REF!</v>
      </c>
      <c r="EG25" t="e">
        <f>AND(TOC!#REF!,"AAAAAE8/v4g=")</f>
        <v>#REF!</v>
      </c>
      <c r="EH25" t="e">
        <f>AND(TOC!#REF!,"AAAAAE8/v4k=")</f>
        <v>#REF!</v>
      </c>
      <c r="EI25" t="e">
        <f>AND(TOC!#REF!,"AAAAAE8/v4o=")</f>
        <v>#REF!</v>
      </c>
      <c r="EJ25" t="e">
        <f>AND(TOC!#REF!,"AAAAAE8/v4s=")</f>
        <v>#REF!</v>
      </c>
      <c r="EK25" t="e">
        <f>AND(TOC!#REF!,"AAAAAE8/v4w=")</f>
        <v>#REF!</v>
      </c>
      <c r="EL25" t="e">
        <f>AND(TOC!#REF!,"AAAAAE8/v40=")</f>
        <v>#REF!</v>
      </c>
      <c r="EM25" t="e">
        <f>AND(TOC!#REF!,"AAAAAE8/v44=")</f>
        <v>#REF!</v>
      </c>
      <c r="EN25" t="e">
        <f>AND(TOC!#REF!,"AAAAAE8/v48=")</f>
        <v>#REF!</v>
      </c>
      <c r="EO25" t="e">
        <f>AND(TOC!#REF!,"AAAAAE8/v5A=")</f>
        <v>#REF!</v>
      </c>
      <c r="EP25" t="e">
        <f>AND(TOC!#REF!,"AAAAAE8/v5E=")</f>
        <v>#REF!</v>
      </c>
      <c r="EQ25" t="e">
        <f>IF(TOC!#REF!,"AAAAAE8/v5I=",0)</f>
        <v>#REF!</v>
      </c>
      <c r="ER25" t="e">
        <f>AND(TOC!#REF!,"AAAAAE8/v5M=")</f>
        <v>#REF!</v>
      </c>
      <c r="ES25" t="e">
        <f>AND(TOC!#REF!,"AAAAAE8/v5Q=")</f>
        <v>#REF!</v>
      </c>
      <c r="ET25" t="e">
        <f>AND(TOC!#REF!,"AAAAAE8/v5U=")</f>
        <v>#REF!</v>
      </c>
      <c r="EU25" t="e">
        <f>AND(TOC!#REF!,"AAAAAE8/v5Y=")</f>
        <v>#REF!</v>
      </c>
      <c r="EV25" t="e">
        <f>AND(TOC!#REF!,"AAAAAE8/v5c=")</f>
        <v>#REF!</v>
      </c>
      <c r="EW25" t="e">
        <f>AND(TOC!#REF!,"AAAAAE8/v5g=")</f>
        <v>#REF!</v>
      </c>
      <c r="EX25" t="e">
        <f>AND(TOC!#REF!,"AAAAAE8/v5k=")</f>
        <v>#REF!</v>
      </c>
      <c r="EY25" t="e">
        <f>AND(TOC!#REF!,"AAAAAE8/v5o=")</f>
        <v>#REF!</v>
      </c>
      <c r="EZ25" t="e">
        <f>AND(TOC!#REF!,"AAAAAE8/v5s=")</f>
        <v>#REF!</v>
      </c>
      <c r="FA25" t="e">
        <f>AND(TOC!#REF!,"AAAAAE8/v5w=")</f>
        <v>#REF!</v>
      </c>
      <c r="FB25" t="e">
        <f>AND(TOC!#REF!,"AAAAAE8/v50=")</f>
        <v>#REF!</v>
      </c>
      <c r="FC25" t="e">
        <f>AND(TOC!#REF!,"AAAAAE8/v54=")</f>
        <v>#REF!</v>
      </c>
      <c r="FD25" t="e">
        <f>AND(TOC!#REF!,"AAAAAE8/v58=")</f>
        <v>#REF!</v>
      </c>
      <c r="FE25" t="e">
        <f>AND(TOC!#REF!,"AAAAAE8/v6A=")</f>
        <v>#REF!</v>
      </c>
      <c r="FF25" t="e">
        <f>AND(TOC!#REF!,"AAAAAE8/v6E=")</f>
        <v>#REF!</v>
      </c>
      <c r="FG25" t="e">
        <f>AND(TOC!#REF!,"AAAAAE8/v6I=")</f>
        <v>#REF!</v>
      </c>
      <c r="FH25" t="e">
        <f>AND(TOC!#REF!,"AAAAAE8/v6M=")</f>
        <v>#REF!</v>
      </c>
      <c r="FI25" t="e">
        <f>AND(TOC!#REF!,"AAAAAE8/v6Q=")</f>
        <v>#REF!</v>
      </c>
      <c r="FJ25" t="e">
        <f>AND(TOC!#REF!,"AAAAAE8/v6U=")</f>
        <v>#REF!</v>
      </c>
      <c r="FK25" t="e">
        <f>AND(TOC!#REF!,"AAAAAE8/v6Y=")</f>
        <v>#REF!</v>
      </c>
      <c r="FL25" t="e">
        <f>AND(TOC!#REF!,"AAAAAE8/v6c=")</f>
        <v>#REF!</v>
      </c>
      <c r="FM25" t="e">
        <f>AND(TOC!#REF!,"AAAAAE8/v6g=")</f>
        <v>#REF!</v>
      </c>
      <c r="FN25" t="e">
        <f>AND(TOC!#REF!,"AAAAAE8/v6k=")</f>
        <v>#REF!</v>
      </c>
      <c r="FO25" t="e">
        <f>AND(TOC!#REF!,"AAAAAE8/v6o=")</f>
        <v>#REF!</v>
      </c>
      <c r="FP25" t="e">
        <f>AND(TOC!#REF!,"AAAAAE8/v6s=")</f>
        <v>#REF!</v>
      </c>
      <c r="FQ25" t="e">
        <f>AND(TOC!#REF!,"AAAAAE8/v6w=")</f>
        <v>#REF!</v>
      </c>
      <c r="FR25" t="e">
        <f>AND(TOC!#REF!,"AAAAAE8/v60=")</f>
        <v>#REF!</v>
      </c>
      <c r="FS25" t="e">
        <f>AND(TOC!#REF!,"AAAAAE8/v64=")</f>
        <v>#REF!</v>
      </c>
      <c r="FT25" t="e">
        <f>AND(TOC!#REF!,"AAAAAE8/v68=")</f>
        <v>#REF!</v>
      </c>
      <c r="FU25" t="e">
        <f>AND(TOC!#REF!,"AAAAAE8/v7A=")</f>
        <v>#REF!</v>
      </c>
      <c r="FV25" t="e">
        <f>AND(TOC!#REF!,"AAAAAE8/v7E=")</f>
        <v>#REF!</v>
      </c>
      <c r="FW25" t="e">
        <f>AND(TOC!#REF!,"AAAAAE8/v7I=")</f>
        <v>#REF!</v>
      </c>
      <c r="FX25" t="e">
        <f>AND(TOC!#REF!,"AAAAAE8/v7M=")</f>
        <v>#REF!</v>
      </c>
      <c r="FY25" t="e">
        <f>AND(TOC!#REF!,"AAAAAE8/v7Q=")</f>
        <v>#REF!</v>
      </c>
      <c r="FZ25" t="e">
        <f>AND(TOC!#REF!,"AAAAAE8/v7U=")</f>
        <v>#REF!</v>
      </c>
      <c r="GA25" t="e">
        <f>AND(TOC!#REF!,"AAAAAE8/v7Y=")</f>
        <v>#REF!</v>
      </c>
      <c r="GB25" t="e">
        <f>IF(TOC!#REF!,"AAAAAE8/v7c=",0)</f>
        <v>#REF!</v>
      </c>
      <c r="GC25" t="e">
        <f>AND(TOC!#REF!,"AAAAAE8/v7g=")</f>
        <v>#REF!</v>
      </c>
      <c r="GD25" t="e">
        <f>AND(TOC!#REF!,"AAAAAE8/v7k=")</f>
        <v>#REF!</v>
      </c>
      <c r="GE25" t="e">
        <f>AND(TOC!#REF!,"AAAAAE8/v7o=")</f>
        <v>#REF!</v>
      </c>
      <c r="GF25" t="e">
        <f>AND(TOC!#REF!,"AAAAAE8/v7s=")</f>
        <v>#REF!</v>
      </c>
      <c r="GG25" t="e">
        <f>AND(TOC!#REF!,"AAAAAE8/v7w=")</f>
        <v>#REF!</v>
      </c>
      <c r="GH25" t="e">
        <f>AND(TOC!#REF!,"AAAAAE8/v70=")</f>
        <v>#REF!</v>
      </c>
      <c r="GI25" t="e">
        <f>AND(TOC!#REF!,"AAAAAE8/v74=")</f>
        <v>#REF!</v>
      </c>
      <c r="GJ25" t="e">
        <f>AND(TOC!#REF!,"AAAAAE8/v78=")</f>
        <v>#REF!</v>
      </c>
      <c r="GK25" t="e">
        <f>AND(TOC!#REF!,"AAAAAE8/v8A=")</f>
        <v>#REF!</v>
      </c>
      <c r="GL25" t="e">
        <f>AND(TOC!#REF!,"AAAAAE8/v8E=")</f>
        <v>#REF!</v>
      </c>
      <c r="GM25" t="e">
        <f>AND(TOC!#REF!,"AAAAAE8/v8I=")</f>
        <v>#REF!</v>
      </c>
      <c r="GN25" t="e">
        <f>AND(TOC!#REF!,"AAAAAE8/v8M=")</f>
        <v>#REF!</v>
      </c>
      <c r="GO25" t="e">
        <f>AND(TOC!#REF!,"AAAAAE8/v8Q=")</f>
        <v>#REF!</v>
      </c>
      <c r="GP25" t="e">
        <f>AND(TOC!#REF!,"AAAAAE8/v8U=")</f>
        <v>#REF!</v>
      </c>
      <c r="GQ25" t="e">
        <f>AND(TOC!#REF!,"AAAAAE8/v8Y=")</f>
        <v>#REF!</v>
      </c>
      <c r="GR25" t="e">
        <f>AND(TOC!#REF!,"AAAAAE8/v8c=")</f>
        <v>#REF!</v>
      </c>
      <c r="GS25" t="e">
        <f>AND(TOC!#REF!,"AAAAAE8/v8g=")</f>
        <v>#REF!</v>
      </c>
      <c r="GT25" t="e">
        <f>AND(TOC!#REF!,"AAAAAE8/v8k=")</f>
        <v>#REF!</v>
      </c>
      <c r="GU25" t="e">
        <f>AND(TOC!#REF!,"AAAAAE8/v8o=")</f>
        <v>#REF!</v>
      </c>
      <c r="GV25" t="e">
        <f>AND(TOC!#REF!,"AAAAAE8/v8s=")</f>
        <v>#REF!</v>
      </c>
      <c r="GW25" t="e">
        <f>AND(TOC!#REF!,"AAAAAE8/v8w=")</f>
        <v>#REF!</v>
      </c>
      <c r="GX25" t="e">
        <f>AND(TOC!#REF!,"AAAAAE8/v80=")</f>
        <v>#REF!</v>
      </c>
      <c r="GY25" t="e">
        <f>AND(TOC!#REF!,"AAAAAE8/v84=")</f>
        <v>#REF!</v>
      </c>
      <c r="GZ25" t="e">
        <f>AND(TOC!#REF!,"AAAAAE8/v88=")</f>
        <v>#REF!</v>
      </c>
      <c r="HA25" t="e">
        <f>AND(TOC!#REF!,"AAAAAE8/v9A=")</f>
        <v>#REF!</v>
      </c>
      <c r="HB25" t="e">
        <f>AND(TOC!#REF!,"AAAAAE8/v9E=")</f>
        <v>#REF!</v>
      </c>
      <c r="HC25" t="e">
        <f>AND(TOC!#REF!,"AAAAAE8/v9I=")</f>
        <v>#REF!</v>
      </c>
      <c r="HD25" t="e">
        <f>AND(TOC!#REF!,"AAAAAE8/v9M=")</f>
        <v>#REF!</v>
      </c>
      <c r="HE25" t="e">
        <f>AND(TOC!#REF!,"AAAAAE8/v9Q=")</f>
        <v>#REF!</v>
      </c>
      <c r="HF25" t="e">
        <f>AND(TOC!#REF!,"AAAAAE8/v9U=")</f>
        <v>#REF!</v>
      </c>
      <c r="HG25" t="e">
        <f>AND(TOC!#REF!,"AAAAAE8/v9Y=")</f>
        <v>#REF!</v>
      </c>
      <c r="HH25" t="e">
        <f>AND(TOC!#REF!,"AAAAAE8/v9c=")</f>
        <v>#REF!</v>
      </c>
      <c r="HI25" t="e">
        <f>AND(TOC!#REF!,"AAAAAE8/v9g=")</f>
        <v>#REF!</v>
      </c>
      <c r="HJ25" t="e">
        <f>AND(TOC!#REF!,"AAAAAE8/v9k=")</f>
        <v>#REF!</v>
      </c>
      <c r="HK25" t="e">
        <f>AND(TOC!#REF!,"AAAAAE8/v9o=")</f>
        <v>#REF!</v>
      </c>
      <c r="HL25" t="e">
        <f>AND(TOC!#REF!,"AAAAAE8/v9s=")</f>
        <v>#REF!</v>
      </c>
      <c r="HM25" t="e">
        <f>IF(TOC!#REF!,"AAAAAE8/v9w=",0)</f>
        <v>#REF!</v>
      </c>
      <c r="HN25" t="e">
        <f>AND(TOC!#REF!,"AAAAAE8/v90=")</f>
        <v>#REF!</v>
      </c>
      <c r="HO25" t="e">
        <f>AND(TOC!#REF!,"AAAAAE8/v94=")</f>
        <v>#REF!</v>
      </c>
      <c r="HP25" t="e">
        <f>AND(TOC!#REF!,"AAAAAE8/v98=")</f>
        <v>#REF!</v>
      </c>
      <c r="HQ25" t="e">
        <f>AND(TOC!#REF!,"AAAAAE8/v+A=")</f>
        <v>#REF!</v>
      </c>
      <c r="HR25" t="e">
        <f>AND(TOC!#REF!,"AAAAAE8/v+E=")</f>
        <v>#REF!</v>
      </c>
      <c r="HS25" t="e">
        <f>AND(TOC!#REF!,"AAAAAE8/v+I=")</f>
        <v>#REF!</v>
      </c>
      <c r="HT25" t="e">
        <f>AND(TOC!#REF!,"AAAAAE8/v+M=")</f>
        <v>#REF!</v>
      </c>
      <c r="HU25" t="e">
        <f>AND(TOC!#REF!,"AAAAAE8/v+Q=")</f>
        <v>#REF!</v>
      </c>
      <c r="HV25" t="e">
        <f>AND(TOC!#REF!,"AAAAAE8/v+U=")</f>
        <v>#REF!</v>
      </c>
      <c r="HW25" t="e">
        <f>AND(TOC!#REF!,"AAAAAE8/v+Y=")</f>
        <v>#REF!</v>
      </c>
      <c r="HX25" t="e">
        <f>AND(TOC!#REF!,"AAAAAE8/v+c=")</f>
        <v>#REF!</v>
      </c>
      <c r="HY25" t="e">
        <f>AND(TOC!#REF!,"AAAAAE8/v+g=")</f>
        <v>#REF!</v>
      </c>
      <c r="HZ25" t="e">
        <f>AND(TOC!#REF!,"AAAAAE8/v+k=")</f>
        <v>#REF!</v>
      </c>
      <c r="IA25" t="e">
        <f>AND(TOC!#REF!,"AAAAAE8/v+o=")</f>
        <v>#REF!</v>
      </c>
      <c r="IB25" t="e">
        <f>AND(TOC!#REF!,"AAAAAE8/v+s=")</f>
        <v>#REF!</v>
      </c>
      <c r="IC25" t="e">
        <f>AND(TOC!#REF!,"AAAAAE8/v+w=")</f>
        <v>#REF!</v>
      </c>
      <c r="ID25" t="e">
        <f>AND(TOC!#REF!,"AAAAAE8/v+0=")</f>
        <v>#REF!</v>
      </c>
      <c r="IE25" t="e">
        <f>AND(TOC!#REF!,"AAAAAE8/v+4=")</f>
        <v>#REF!</v>
      </c>
      <c r="IF25" t="e">
        <f>AND(TOC!#REF!,"AAAAAE8/v+8=")</f>
        <v>#REF!</v>
      </c>
      <c r="IG25" t="e">
        <f>AND(TOC!#REF!,"AAAAAE8/v/A=")</f>
        <v>#REF!</v>
      </c>
      <c r="IH25" t="e">
        <f>AND(TOC!#REF!,"AAAAAE8/v/E=")</f>
        <v>#REF!</v>
      </c>
      <c r="II25" t="e">
        <f>AND(TOC!#REF!,"AAAAAE8/v/I=")</f>
        <v>#REF!</v>
      </c>
      <c r="IJ25" t="e">
        <f>AND(TOC!#REF!,"AAAAAE8/v/M=")</f>
        <v>#REF!</v>
      </c>
      <c r="IK25" t="e">
        <f>AND(TOC!#REF!,"AAAAAE8/v/Q=")</f>
        <v>#REF!</v>
      </c>
      <c r="IL25" t="e">
        <f>AND(TOC!#REF!,"AAAAAE8/v/U=")</f>
        <v>#REF!</v>
      </c>
      <c r="IM25" t="e">
        <f>AND(TOC!#REF!,"AAAAAE8/v/Y=")</f>
        <v>#REF!</v>
      </c>
      <c r="IN25" t="e">
        <f>AND(TOC!#REF!,"AAAAAE8/v/c=")</f>
        <v>#REF!</v>
      </c>
      <c r="IO25" t="e">
        <f>AND(TOC!#REF!,"AAAAAE8/v/g=")</f>
        <v>#REF!</v>
      </c>
      <c r="IP25" t="e">
        <f>AND(TOC!#REF!,"AAAAAE8/v/k=")</f>
        <v>#REF!</v>
      </c>
      <c r="IQ25" t="e">
        <f>AND(TOC!#REF!,"AAAAAE8/v/o=")</f>
        <v>#REF!</v>
      </c>
      <c r="IR25" t="e">
        <f>AND(TOC!#REF!,"AAAAAE8/v/s=")</f>
        <v>#REF!</v>
      </c>
      <c r="IS25" t="e">
        <f>AND(TOC!#REF!,"AAAAAE8/v/w=")</f>
        <v>#REF!</v>
      </c>
      <c r="IT25" t="e">
        <f>AND(TOC!#REF!,"AAAAAE8/v/0=")</f>
        <v>#REF!</v>
      </c>
      <c r="IU25" t="e">
        <f>AND(TOC!#REF!,"AAAAAE8/v/4=")</f>
        <v>#REF!</v>
      </c>
      <c r="IV25" t="e">
        <f>AND(TOC!#REF!,"AAAAAE8/v/8=")</f>
        <v>#REF!</v>
      </c>
    </row>
    <row r="26" spans="1:256" x14ac:dyDescent="0.2">
      <c r="A26" t="e">
        <f>AND(TOC!#REF!,"AAAAAHrcWQA=")</f>
        <v>#REF!</v>
      </c>
      <c r="B26" t="e">
        <f>IF(TOC!#REF!,"AAAAAHrcWQE=",0)</f>
        <v>#REF!</v>
      </c>
      <c r="C26" t="e">
        <f>AND(TOC!#REF!,"AAAAAHrcWQI=")</f>
        <v>#REF!</v>
      </c>
      <c r="D26" t="e">
        <f>AND(TOC!#REF!,"AAAAAHrcWQM=")</f>
        <v>#REF!</v>
      </c>
      <c r="E26" t="e">
        <f>AND(TOC!#REF!,"AAAAAHrcWQQ=")</f>
        <v>#REF!</v>
      </c>
      <c r="F26" t="e">
        <f>AND(TOC!#REF!,"AAAAAHrcWQU=")</f>
        <v>#REF!</v>
      </c>
      <c r="G26" t="e">
        <f>AND(TOC!#REF!,"AAAAAHrcWQY=")</f>
        <v>#REF!</v>
      </c>
      <c r="H26" t="e">
        <f>AND(TOC!#REF!,"AAAAAHrcWQc=")</f>
        <v>#REF!</v>
      </c>
      <c r="I26" t="e">
        <f>AND(TOC!#REF!,"AAAAAHrcWQg=")</f>
        <v>#REF!</v>
      </c>
      <c r="J26" t="e">
        <f>AND(TOC!#REF!,"AAAAAHrcWQk=")</f>
        <v>#REF!</v>
      </c>
      <c r="K26" t="e">
        <f>AND(TOC!#REF!,"AAAAAHrcWQo=")</f>
        <v>#REF!</v>
      </c>
      <c r="L26" t="e">
        <f>AND(TOC!#REF!,"AAAAAHrcWQs=")</f>
        <v>#REF!</v>
      </c>
      <c r="M26" t="e">
        <f>AND(TOC!#REF!,"AAAAAHrcWQw=")</f>
        <v>#REF!</v>
      </c>
      <c r="N26" t="e">
        <f>AND(TOC!#REF!,"AAAAAHrcWQ0=")</f>
        <v>#REF!</v>
      </c>
      <c r="O26" t="e">
        <f>AND(TOC!#REF!,"AAAAAHrcWQ4=")</f>
        <v>#REF!</v>
      </c>
      <c r="P26" t="e">
        <f>AND(TOC!#REF!,"AAAAAHrcWQ8=")</f>
        <v>#REF!</v>
      </c>
      <c r="Q26" t="e">
        <f>AND(TOC!#REF!,"AAAAAHrcWRA=")</f>
        <v>#REF!</v>
      </c>
      <c r="R26" t="e">
        <f>AND(TOC!#REF!,"AAAAAHrcWRE=")</f>
        <v>#REF!</v>
      </c>
      <c r="S26" t="e">
        <f>AND(TOC!#REF!,"AAAAAHrcWRI=")</f>
        <v>#REF!</v>
      </c>
      <c r="T26" t="e">
        <f>AND(TOC!#REF!,"AAAAAHrcWRM=")</f>
        <v>#REF!</v>
      </c>
      <c r="U26" t="e">
        <f>AND(TOC!#REF!,"AAAAAHrcWRQ=")</f>
        <v>#REF!</v>
      </c>
      <c r="V26" t="e">
        <f>AND(TOC!#REF!,"AAAAAHrcWRU=")</f>
        <v>#REF!</v>
      </c>
      <c r="W26" t="e">
        <f>AND(TOC!#REF!,"AAAAAHrcWRY=")</f>
        <v>#REF!</v>
      </c>
      <c r="X26" t="e">
        <f>AND(TOC!#REF!,"AAAAAHrcWRc=")</f>
        <v>#REF!</v>
      </c>
      <c r="Y26" t="e">
        <f>AND(TOC!#REF!,"AAAAAHrcWRg=")</f>
        <v>#REF!</v>
      </c>
      <c r="Z26" t="e">
        <f>AND(TOC!#REF!,"AAAAAHrcWRk=")</f>
        <v>#REF!</v>
      </c>
      <c r="AA26" t="e">
        <f>AND(TOC!#REF!,"AAAAAHrcWRo=")</f>
        <v>#REF!</v>
      </c>
      <c r="AB26" t="e">
        <f>AND(TOC!#REF!,"AAAAAHrcWRs=")</f>
        <v>#REF!</v>
      </c>
      <c r="AC26" t="e">
        <f>AND(TOC!#REF!,"AAAAAHrcWRw=")</f>
        <v>#REF!</v>
      </c>
      <c r="AD26" t="e">
        <f>AND(TOC!#REF!,"AAAAAHrcWR0=")</f>
        <v>#REF!</v>
      </c>
      <c r="AE26" t="e">
        <f>AND(TOC!#REF!,"AAAAAHrcWR4=")</f>
        <v>#REF!</v>
      </c>
      <c r="AF26" t="e">
        <f>AND(TOC!#REF!,"AAAAAHrcWR8=")</f>
        <v>#REF!</v>
      </c>
      <c r="AG26" t="e">
        <f>AND(TOC!#REF!,"AAAAAHrcWSA=")</f>
        <v>#REF!</v>
      </c>
      <c r="AH26" t="e">
        <f>AND(TOC!#REF!,"AAAAAHrcWSE=")</f>
        <v>#REF!</v>
      </c>
      <c r="AI26" t="e">
        <f>AND(TOC!#REF!,"AAAAAHrcWSI=")</f>
        <v>#REF!</v>
      </c>
      <c r="AJ26" t="e">
        <f>AND(TOC!#REF!,"AAAAAHrcWSM=")</f>
        <v>#REF!</v>
      </c>
      <c r="AK26" t="e">
        <f>AND(TOC!#REF!,"AAAAAHrcWSQ=")</f>
        <v>#REF!</v>
      </c>
      <c r="AL26" t="e">
        <f>AND(TOC!#REF!,"AAAAAHrcWSU=")</f>
        <v>#REF!</v>
      </c>
      <c r="AM26" t="e">
        <f>IF(TOC!#REF!,"AAAAAHrcWSY=",0)</f>
        <v>#REF!</v>
      </c>
      <c r="AN26" t="e">
        <f>AND(TOC!#REF!,"AAAAAHrcWSc=")</f>
        <v>#REF!</v>
      </c>
      <c r="AO26" t="e">
        <f>AND(TOC!#REF!,"AAAAAHrcWSg=")</f>
        <v>#REF!</v>
      </c>
      <c r="AP26" t="e">
        <f>AND(TOC!#REF!,"AAAAAHrcWSk=")</f>
        <v>#REF!</v>
      </c>
      <c r="AQ26" t="e">
        <f>AND(TOC!#REF!,"AAAAAHrcWSo=")</f>
        <v>#REF!</v>
      </c>
      <c r="AR26" t="e">
        <f>AND(TOC!#REF!,"AAAAAHrcWSs=")</f>
        <v>#REF!</v>
      </c>
      <c r="AS26" t="e">
        <f>AND(TOC!#REF!,"AAAAAHrcWSw=")</f>
        <v>#REF!</v>
      </c>
      <c r="AT26" t="e">
        <f>AND(TOC!#REF!,"AAAAAHrcWS0=")</f>
        <v>#REF!</v>
      </c>
      <c r="AU26" t="e">
        <f>AND(TOC!#REF!,"AAAAAHrcWS4=")</f>
        <v>#REF!</v>
      </c>
      <c r="AV26" t="e">
        <f>AND(TOC!#REF!,"AAAAAHrcWS8=")</f>
        <v>#REF!</v>
      </c>
      <c r="AW26" t="e">
        <f>AND(TOC!#REF!,"AAAAAHrcWTA=")</f>
        <v>#REF!</v>
      </c>
      <c r="AX26" t="e">
        <f>AND(TOC!#REF!,"AAAAAHrcWTE=")</f>
        <v>#REF!</v>
      </c>
      <c r="AY26" t="e">
        <f>AND(TOC!#REF!,"AAAAAHrcWTI=")</f>
        <v>#REF!</v>
      </c>
      <c r="AZ26" t="e">
        <f>AND(TOC!#REF!,"AAAAAHrcWTM=")</f>
        <v>#REF!</v>
      </c>
      <c r="BA26" t="e">
        <f>AND(TOC!#REF!,"AAAAAHrcWTQ=")</f>
        <v>#REF!</v>
      </c>
      <c r="BB26" t="e">
        <f>AND(TOC!#REF!,"AAAAAHrcWTU=")</f>
        <v>#REF!</v>
      </c>
      <c r="BC26" t="e">
        <f>AND(TOC!#REF!,"AAAAAHrcWTY=")</f>
        <v>#REF!</v>
      </c>
      <c r="BD26" t="e">
        <f>AND(TOC!#REF!,"AAAAAHrcWTc=")</f>
        <v>#REF!</v>
      </c>
      <c r="BE26" t="e">
        <f>AND(TOC!#REF!,"AAAAAHrcWTg=")</f>
        <v>#REF!</v>
      </c>
      <c r="BF26" t="e">
        <f>AND(TOC!#REF!,"AAAAAHrcWTk=")</f>
        <v>#REF!</v>
      </c>
      <c r="BG26" t="e">
        <f>AND(TOC!#REF!,"AAAAAHrcWTo=")</f>
        <v>#REF!</v>
      </c>
      <c r="BH26" t="e">
        <f>AND(TOC!#REF!,"AAAAAHrcWTs=")</f>
        <v>#REF!</v>
      </c>
      <c r="BI26" t="e">
        <f>AND(TOC!#REF!,"AAAAAHrcWTw=")</f>
        <v>#REF!</v>
      </c>
      <c r="BJ26" t="e">
        <f>AND(TOC!#REF!,"AAAAAHrcWT0=")</f>
        <v>#REF!</v>
      </c>
      <c r="BK26" t="e">
        <f>AND(TOC!#REF!,"AAAAAHrcWT4=")</f>
        <v>#REF!</v>
      </c>
      <c r="BL26" t="e">
        <f>AND(TOC!#REF!,"AAAAAHrcWT8=")</f>
        <v>#REF!</v>
      </c>
      <c r="BM26" t="e">
        <f>AND(TOC!#REF!,"AAAAAHrcWUA=")</f>
        <v>#REF!</v>
      </c>
      <c r="BN26" t="e">
        <f>AND(TOC!#REF!,"AAAAAHrcWUE=")</f>
        <v>#REF!</v>
      </c>
      <c r="BO26" t="e">
        <f>AND(TOC!#REF!,"AAAAAHrcWUI=")</f>
        <v>#REF!</v>
      </c>
      <c r="BP26" t="e">
        <f>AND(TOC!#REF!,"AAAAAHrcWUM=")</f>
        <v>#REF!</v>
      </c>
      <c r="BQ26" t="e">
        <f>AND(TOC!#REF!,"AAAAAHrcWUQ=")</f>
        <v>#REF!</v>
      </c>
      <c r="BR26" t="e">
        <f>AND(TOC!#REF!,"AAAAAHrcWUU=")</f>
        <v>#REF!</v>
      </c>
      <c r="BS26" t="e">
        <f>AND(TOC!#REF!,"AAAAAHrcWUY=")</f>
        <v>#REF!</v>
      </c>
      <c r="BT26" t="e">
        <f>AND(TOC!#REF!,"AAAAAHrcWUc=")</f>
        <v>#REF!</v>
      </c>
      <c r="BU26" t="e">
        <f>AND(TOC!#REF!,"AAAAAHrcWUg=")</f>
        <v>#REF!</v>
      </c>
      <c r="BV26" t="e">
        <f>AND(TOC!#REF!,"AAAAAHrcWUk=")</f>
        <v>#REF!</v>
      </c>
      <c r="BW26" t="e">
        <f>AND(TOC!#REF!,"AAAAAHrcWUo=")</f>
        <v>#REF!</v>
      </c>
      <c r="BX26" t="e">
        <f>IF(TOC!#REF!,"AAAAAHrcWUs=",0)</f>
        <v>#REF!</v>
      </c>
      <c r="BY26" t="e">
        <f>AND(TOC!#REF!,"AAAAAHrcWUw=")</f>
        <v>#REF!</v>
      </c>
      <c r="BZ26" t="e">
        <f>AND(TOC!#REF!,"AAAAAHrcWU0=")</f>
        <v>#REF!</v>
      </c>
      <c r="CA26" t="e">
        <f>AND(TOC!#REF!,"AAAAAHrcWU4=")</f>
        <v>#REF!</v>
      </c>
      <c r="CB26" t="e">
        <f>AND(TOC!#REF!,"AAAAAHrcWU8=")</f>
        <v>#REF!</v>
      </c>
      <c r="CC26" t="e">
        <f>AND(TOC!#REF!,"AAAAAHrcWVA=")</f>
        <v>#REF!</v>
      </c>
      <c r="CD26" t="e">
        <f>AND(TOC!#REF!,"AAAAAHrcWVE=")</f>
        <v>#REF!</v>
      </c>
      <c r="CE26" t="e">
        <f>AND(TOC!#REF!,"AAAAAHrcWVI=")</f>
        <v>#REF!</v>
      </c>
      <c r="CF26" t="e">
        <f>AND(TOC!#REF!,"AAAAAHrcWVM=")</f>
        <v>#REF!</v>
      </c>
      <c r="CG26" t="e">
        <f>AND(TOC!#REF!,"AAAAAHrcWVQ=")</f>
        <v>#REF!</v>
      </c>
      <c r="CH26" t="e">
        <f>AND(TOC!#REF!,"AAAAAHrcWVU=")</f>
        <v>#REF!</v>
      </c>
      <c r="CI26" t="e">
        <f>AND(TOC!#REF!,"AAAAAHrcWVY=")</f>
        <v>#REF!</v>
      </c>
      <c r="CJ26" t="e">
        <f>AND(TOC!#REF!,"AAAAAHrcWVc=")</f>
        <v>#REF!</v>
      </c>
      <c r="CK26" t="e">
        <f>AND(TOC!#REF!,"AAAAAHrcWVg=")</f>
        <v>#REF!</v>
      </c>
      <c r="CL26" t="e">
        <f>AND(TOC!#REF!,"AAAAAHrcWVk=")</f>
        <v>#REF!</v>
      </c>
      <c r="CM26" t="e">
        <f>AND(TOC!#REF!,"AAAAAHrcWVo=")</f>
        <v>#REF!</v>
      </c>
      <c r="CN26" t="e">
        <f>AND(TOC!#REF!,"AAAAAHrcWVs=")</f>
        <v>#REF!</v>
      </c>
      <c r="CO26" t="e">
        <f>AND(TOC!#REF!,"AAAAAHrcWVw=")</f>
        <v>#REF!</v>
      </c>
      <c r="CP26" t="e">
        <f>AND(TOC!#REF!,"AAAAAHrcWV0=")</f>
        <v>#REF!</v>
      </c>
      <c r="CQ26" t="e">
        <f>AND(TOC!#REF!,"AAAAAHrcWV4=")</f>
        <v>#REF!</v>
      </c>
      <c r="CR26" t="e">
        <f>AND(TOC!#REF!,"AAAAAHrcWV8=")</f>
        <v>#REF!</v>
      </c>
      <c r="CS26" t="e">
        <f>AND(TOC!#REF!,"AAAAAHrcWWA=")</f>
        <v>#REF!</v>
      </c>
      <c r="CT26" t="e">
        <f>AND(TOC!#REF!,"AAAAAHrcWWE=")</f>
        <v>#REF!</v>
      </c>
      <c r="CU26" t="e">
        <f>AND(TOC!#REF!,"AAAAAHrcWWI=")</f>
        <v>#REF!</v>
      </c>
      <c r="CV26" t="e">
        <f>AND(TOC!#REF!,"AAAAAHrcWWM=")</f>
        <v>#REF!</v>
      </c>
      <c r="CW26" t="e">
        <f>AND(TOC!#REF!,"AAAAAHrcWWQ=")</f>
        <v>#REF!</v>
      </c>
      <c r="CX26" t="e">
        <f>AND(TOC!#REF!,"AAAAAHrcWWU=")</f>
        <v>#REF!</v>
      </c>
      <c r="CY26" t="e">
        <f>AND(TOC!#REF!,"AAAAAHrcWWY=")</f>
        <v>#REF!</v>
      </c>
      <c r="CZ26" t="e">
        <f>AND(TOC!#REF!,"AAAAAHrcWWc=")</f>
        <v>#REF!</v>
      </c>
      <c r="DA26" t="e">
        <f>AND(TOC!#REF!,"AAAAAHrcWWg=")</f>
        <v>#REF!</v>
      </c>
      <c r="DB26" t="e">
        <f>AND(TOC!#REF!,"AAAAAHrcWWk=")</f>
        <v>#REF!</v>
      </c>
      <c r="DC26" t="e">
        <f>AND(TOC!#REF!,"AAAAAHrcWWo=")</f>
        <v>#REF!</v>
      </c>
      <c r="DD26" t="e">
        <f>AND(TOC!#REF!,"AAAAAHrcWWs=")</f>
        <v>#REF!</v>
      </c>
      <c r="DE26" t="e">
        <f>AND(TOC!#REF!,"AAAAAHrcWWw=")</f>
        <v>#REF!</v>
      </c>
      <c r="DF26" t="e">
        <f>AND(TOC!#REF!,"AAAAAHrcWW0=")</f>
        <v>#REF!</v>
      </c>
      <c r="DG26" t="e">
        <f>AND(TOC!#REF!,"AAAAAHrcWW4=")</f>
        <v>#REF!</v>
      </c>
      <c r="DH26" t="e">
        <f>AND(TOC!#REF!,"AAAAAHrcWW8=")</f>
        <v>#REF!</v>
      </c>
      <c r="DI26" t="e">
        <f>IF(TOC!#REF!,"AAAAAHrcWXA=",0)</f>
        <v>#REF!</v>
      </c>
      <c r="DJ26" t="e">
        <f>AND(TOC!#REF!,"AAAAAHrcWXE=")</f>
        <v>#REF!</v>
      </c>
      <c r="DK26" t="e">
        <f>AND(TOC!#REF!,"AAAAAHrcWXI=")</f>
        <v>#REF!</v>
      </c>
      <c r="DL26" t="e">
        <f>AND(TOC!#REF!,"AAAAAHrcWXM=")</f>
        <v>#REF!</v>
      </c>
      <c r="DM26" t="e">
        <f>AND(TOC!#REF!,"AAAAAHrcWXQ=")</f>
        <v>#REF!</v>
      </c>
      <c r="DN26" t="e">
        <f>AND(TOC!#REF!,"AAAAAHrcWXU=")</f>
        <v>#REF!</v>
      </c>
      <c r="DO26" t="e">
        <f>AND(TOC!#REF!,"AAAAAHrcWXY=")</f>
        <v>#REF!</v>
      </c>
      <c r="DP26" t="e">
        <f>AND(TOC!#REF!,"AAAAAHrcWXc=")</f>
        <v>#REF!</v>
      </c>
      <c r="DQ26" t="e">
        <f>AND(TOC!#REF!,"AAAAAHrcWXg=")</f>
        <v>#REF!</v>
      </c>
      <c r="DR26" t="e">
        <f>AND(TOC!#REF!,"AAAAAHrcWXk=")</f>
        <v>#REF!</v>
      </c>
      <c r="DS26" t="e">
        <f>AND(TOC!#REF!,"AAAAAHrcWXo=")</f>
        <v>#REF!</v>
      </c>
      <c r="DT26" t="e">
        <f>AND(TOC!#REF!,"AAAAAHrcWXs=")</f>
        <v>#REF!</v>
      </c>
      <c r="DU26" t="e">
        <f>AND(TOC!#REF!,"AAAAAHrcWXw=")</f>
        <v>#REF!</v>
      </c>
      <c r="DV26" t="e">
        <f>AND(TOC!#REF!,"AAAAAHrcWX0=")</f>
        <v>#REF!</v>
      </c>
      <c r="DW26" t="e">
        <f>AND(TOC!#REF!,"AAAAAHrcWX4=")</f>
        <v>#REF!</v>
      </c>
      <c r="DX26" t="e">
        <f>AND(TOC!#REF!,"AAAAAHrcWX8=")</f>
        <v>#REF!</v>
      </c>
      <c r="DY26" t="e">
        <f>AND(TOC!#REF!,"AAAAAHrcWYA=")</f>
        <v>#REF!</v>
      </c>
      <c r="DZ26" t="e">
        <f>AND(TOC!#REF!,"AAAAAHrcWYE=")</f>
        <v>#REF!</v>
      </c>
      <c r="EA26" t="e">
        <f>AND(TOC!#REF!,"AAAAAHrcWYI=")</f>
        <v>#REF!</v>
      </c>
      <c r="EB26" t="e">
        <f>AND(TOC!#REF!,"AAAAAHrcWYM=")</f>
        <v>#REF!</v>
      </c>
      <c r="EC26" t="e">
        <f>AND(TOC!#REF!,"AAAAAHrcWYQ=")</f>
        <v>#REF!</v>
      </c>
      <c r="ED26" t="e">
        <f>AND(TOC!#REF!,"AAAAAHrcWYU=")</f>
        <v>#REF!</v>
      </c>
      <c r="EE26" t="e">
        <f>AND(TOC!#REF!,"AAAAAHrcWYY=")</f>
        <v>#REF!</v>
      </c>
      <c r="EF26" t="e">
        <f>AND(TOC!#REF!,"AAAAAHrcWYc=")</f>
        <v>#REF!</v>
      </c>
      <c r="EG26" t="e">
        <f>AND(TOC!#REF!,"AAAAAHrcWYg=")</f>
        <v>#REF!</v>
      </c>
      <c r="EH26" t="e">
        <f>AND(TOC!#REF!,"AAAAAHrcWYk=")</f>
        <v>#REF!</v>
      </c>
      <c r="EI26" t="e">
        <f>AND(TOC!#REF!,"AAAAAHrcWYo=")</f>
        <v>#REF!</v>
      </c>
      <c r="EJ26" t="e">
        <f>AND(TOC!#REF!,"AAAAAHrcWYs=")</f>
        <v>#REF!</v>
      </c>
      <c r="EK26" t="e">
        <f>AND(TOC!#REF!,"AAAAAHrcWYw=")</f>
        <v>#REF!</v>
      </c>
      <c r="EL26" t="e">
        <f>AND(TOC!#REF!,"AAAAAHrcWY0=")</f>
        <v>#REF!</v>
      </c>
      <c r="EM26" t="e">
        <f>AND(TOC!#REF!,"AAAAAHrcWY4=")</f>
        <v>#REF!</v>
      </c>
      <c r="EN26" t="e">
        <f>AND(TOC!#REF!,"AAAAAHrcWY8=")</f>
        <v>#REF!</v>
      </c>
      <c r="EO26" t="e">
        <f>AND(TOC!#REF!,"AAAAAHrcWZA=")</f>
        <v>#REF!</v>
      </c>
      <c r="EP26" t="e">
        <f>AND(TOC!#REF!,"AAAAAHrcWZE=")</f>
        <v>#REF!</v>
      </c>
      <c r="EQ26" t="e">
        <f>AND(TOC!#REF!,"AAAAAHrcWZI=")</f>
        <v>#REF!</v>
      </c>
      <c r="ER26" t="e">
        <f>AND(TOC!#REF!,"AAAAAHrcWZM=")</f>
        <v>#REF!</v>
      </c>
      <c r="ES26" t="e">
        <f>AND(TOC!#REF!,"AAAAAHrcWZQ=")</f>
        <v>#REF!</v>
      </c>
      <c r="ET26" t="e">
        <f>IF(TOC!#REF!,"AAAAAHrcWZU=",0)</f>
        <v>#REF!</v>
      </c>
      <c r="EU26" t="e">
        <f>AND(TOC!#REF!,"AAAAAHrcWZY=")</f>
        <v>#REF!</v>
      </c>
      <c r="EV26" t="e">
        <f>AND(TOC!#REF!,"AAAAAHrcWZc=")</f>
        <v>#REF!</v>
      </c>
      <c r="EW26" t="e">
        <f>AND(TOC!#REF!,"AAAAAHrcWZg=")</f>
        <v>#REF!</v>
      </c>
      <c r="EX26" t="e">
        <f>AND(TOC!#REF!,"AAAAAHrcWZk=")</f>
        <v>#REF!</v>
      </c>
      <c r="EY26" t="e">
        <f>AND(TOC!#REF!,"AAAAAHrcWZo=")</f>
        <v>#REF!</v>
      </c>
      <c r="EZ26" t="e">
        <f>AND(TOC!#REF!,"AAAAAHrcWZs=")</f>
        <v>#REF!</v>
      </c>
      <c r="FA26" t="e">
        <f>AND(TOC!#REF!,"AAAAAHrcWZw=")</f>
        <v>#REF!</v>
      </c>
      <c r="FB26" t="e">
        <f>AND(TOC!#REF!,"AAAAAHrcWZ0=")</f>
        <v>#REF!</v>
      </c>
      <c r="FC26" t="e">
        <f>AND(TOC!#REF!,"AAAAAHrcWZ4=")</f>
        <v>#REF!</v>
      </c>
      <c r="FD26" t="e">
        <f>AND(TOC!#REF!,"AAAAAHrcWZ8=")</f>
        <v>#REF!</v>
      </c>
      <c r="FE26" t="e">
        <f>AND(TOC!#REF!,"AAAAAHrcWaA=")</f>
        <v>#REF!</v>
      </c>
      <c r="FF26" t="e">
        <f>AND(TOC!#REF!,"AAAAAHrcWaE=")</f>
        <v>#REF!</v>
      </c>
      <c r="FG26" t="e">
        <f>AND(TOC!#REF!,"AAAAAHrcWaI=")</f>
        <v>#REF!</v>
      </c>
      <c r="FH26" t="e">
        <f>AND(TOC!#REF!,"AAAAAHrcWaM=")</f>
        <v>#REF!</v>
      </c>
      <c r="FI26" t="e">
        <f>AND(TOC!#REF!,"AAAAAHrcWaQ=")</f>
        <v>#REF!</v>
      </c>
      <c r="FJ26" t="e">
        <f>AND(TOC!#REF!,"AAAAAHrcWaU=")</f>
        <v>#REF!</v>
      </c>
      <c r="FK26" t="e">
        <f>AND(TOC!#REF!,"AAAAAHrcWaY=")</f>
        <v>#REF!</v>
      </c>
      <c r="FL26" t="e">
        <f>AND(TOC!#REF!,"AAAAAHrcWac=")</f>
        <v>#REF!</v>
      </c>
      <c r="FM26" t="e">
        <f>AND(TOC!#REF!,"AAAAAHrcWag=")</f>
        <v>#REF!</v>
      </c>
      <c r="FN26" t="e">
        <f>AND(TOC!#REF!,"AAAAAHrcWak=")</f>
        <v>#REF!</v>
      </c>
      <c r="FO26" t="e">
        <f>AND(TOC!#REF!,"AAAAAHrcWao=")</f>
        <v>#REF!</v>
      </c>
      <c r="FP26" t="e">
        <f>AND(TOC!#REF!,"AAAAAHrcWas=")</f>
        <v>#REF!</v>
      </c>
      <c r="FQ26" t="e">
        <f>AND(TOC!#REF!,"AAAAAHrcWaw=")</f>
        <v>#REF!</v>
      </c>
      <c r="FR26" t="e">
        <f>AND(TOC!#REF!,"AAAAAHrcWa0=")</f>
        <v>#REF!</v>
      </c>
      <c r="FS26" t="e">
        <f>AND(TOC!#REF!,"AAAAAHrcWa4=")</f>
        <v>#REF!</v>
      </c>
      <c r="FT26" t="e">
        <f>AND(TOC!#REF!,"AAAAAHrcWa8=")</f>
        <v>#REF!</v>
      </c>
      <c r="FU26" t="e">
        <f>AND(TOC!#REF!,"AAAAAHrcWbA=")</f>
        <v>#REF!</v>
      </c>
      <c r="FV26" t="e">
        <f>AND(TOC!#REF!,"AAAAAHrcWbE=")</f>
        <v>#REF!</v>
      </c>
      <c r="FW26" t="e">
        <f>AND(TOC!#REF!,"AAAAAHrcWbI=")</f>
        <v>#REF!</v>
      </c>
      <c r="FX26" t="e">
        <f>AND(TOC!#REF!,"AAAAAHrcWbM=")</f>
        <v>#REF!</v>
      </c>
      <c r="FY26" t="e">
        <f>AND(TOC!#REF!,"AAAAAHrcWbQ=")</f>
        <v>#REF!</v>
      </c>
      <c r="FZ26" t="e">
        <f>AND(TOC!#REF!,"AAAAAHrcWbU=")</f>
        <v>#REF!</v>
      </c>
      <c r="GA26" t="e">
        <f>AND(TOC!#REF!,"AAAAAHrcWbY=")</f>
        <v>#REF!</v>
      </c>
      <c r="GB26" t="e">
        <f>AND(TOC!#REF!,"AAAAAHrcWbc=")</f>
        <v>#REF!</v>
      </c>
      <c r="GC26" t="e">
        <f>AND(TOC!#REF!,"AAAAAHrcWbg=")</f>
        <v>#REF!</v>
      </c>
      <c r="GD26" t="e">
        <f>AND(TOC!#REF!,"AAAAAHrcWbk=")</f>
        <v>#REF!</v>
      </c>
      <c r="GE26" t="e">
        <f>IF(TOC!#REF!,"AAAAAHrcWbo=",0)</f>
        <v>#REF!</v>
      </c>
      <c r="GF26" t="e">
        <f>AND(TOC!#REF!,"AAAAAHrcWbs=")</f>
        <v>#REF!</v>
      </c>
      <c r="GG26" t="e">
        <f>AND(TOC!#REF!,"AAAAAHrcWbw=")</f>
        <v>#REF!</v>
      </c>
      <c r="GH26" t="e">
        <f>AND(TOC!#REF!,"AAAAAHrcWb0=")</f>
        <v>#REF!</v>
      </c>
      <c r="GI26" t="e">
        <f>AND(TOC!#REF!,"AAAAAHrcWb4=")</f>
        <v>#REF!</v>
      </c>
      <c r="GJ26" t="e">
        <f>AND(TOC!#REF!,"AAAAAHrcWb8=")</f>
        <v>#REF!</v>
      </c>
      <c r="GK26" t="e">
        <f>AND(TOC!#REF!,"AAAAAHrcWcA=")</f>
        <v>#REF!</v>
      </c>
      <c r="GL26" t="e">
        <f>AND(TOC!#REF!,"AAAAAHrcWcE=")</f>
        <v>#REF!</v>
      </c>
      <c r="GM26" t="e">
        <f>AND(TOC!#REF!,"AAAAAHrcWcI=")</f>
        <v>#REF!</v>
      </c>
      <c r="GN26" t="e">
        <f>AND(TOC!#REF!,"AAAAAHrcWcM=")</f>
        <v>#REF!</v>
      </c>
      <c r="GO26" t="e">
        <f>AND(TOC!#REF!,"AAAAAHrcWcQ=")</f>
        <v>#REF!</v>
      </c>
      <c r="GP26" t="e">
        <f>AND(TOC!#REF!,"AAAAAHrcWcU=")</f>
        <v>#REF!</v>
      </c>
      <c r="GQ26" t="e">
        <f>AND(TOC!#REF!,"AAAAAHrcWcY=")</f>
        <v>#REF!</v>
      </c>
      <c r="GR26" t="e">
        <f>AND(TOC!#REF!,"AAAAAHrcWcc=")</f>
        <v>#REF!</v>
      </c>
      <c r="GS26" t="e">
        <f>AND(TOC!#REF!,"AAAAAHrcWcg=")</f>
        <v>#REF!</v>
      </c>
      <c r="GT26" t="e">
        <f>AND(TOC!#REF!,"AAAAAHrcWck=")</f>
        <v>#REF!</v>
      </c>
      <c r="GU26" t="e">
        <f>AND(TOC!#REF!,"AAAAAHrcWco=")</f>
        <v>#REF!</v>
      </c>
      <c r="GV26" t="e">
        <f>AND(TOC!#REF!,"AAAAAHrcWcs=")</f>
        <v>#REF!</v>
      </c>
      <c r="GW26" t="e">
        <f>AND(TOC!#REF!,"AAAAAHrcWcw=")</f>
        <v>#REF!</v>
      </c>
      <c r="GX26" t="e">
        <f>AND(TOC!#REF!,"AAAAAHrcWc0=")</f>
        <v>#REF!</v>
      </c>
      <c r="GY26" t="e">
        <f>AND(TOC!#REF!,"AAAAAHrcWc4=")</f>
        <v>#REF!</v>
      </c>
      <c r="GZ26" t="e">
        <f>AND(TOC!#REF!,"AAAAAHrcWc8=")</f>
        <v>#REF!</v>
      </c>
      <c r="HA26" t="e">
        <f>AND(TOC!#REF!,"AAAAAHrcWdA=")</f>
        <v>#REF!</v>
      </c>
      <c r="HB26" t="e">
        <f>AND(TOC!#REF!,"AAAAAHrcWdE=")</f>
        <v>#REF!</v>
      </c>
      <c r="HC26" t="e">
        <f>AND(TOC!#REF!,"AAAAAHrcWdI=")</f>
        <v>#REF!</v>
      </c>
      <c r="HD26" t="e">
        <f>AND(TOC!#REF!,"AAAAAHrcWdM=")</f>
        <v>#REF!</v>
      </c>
      <c r="HE26" t="e">
        <f>AND(TOC!#REF!,"AAAAAHrcWdQ=")</f>
        <v>#REF!</v>
      </c>
      <c r="HF26" t="e">
        <f>AND(TOC!#REF!,"AAAAAHrcWdU=")</f>
        <v>#REF!</v>
      </c>
      <c r="HG26" t="e">
        <f>AND(TOC!#REF!,"AAAAAHrcWdY=")</f>
        <v>#REF!</v>
      </c>
      <c r="HH26" t="e">
        <f>AND(TOC!#REF!,"AAAAAHrcWdc=")</f>
        <v>#REF!</v>
      </c>
      <c r="HI26" t="e">
        <f>AND(TOC!#REF!,"AAAAAHrcWdg=")</f>
        <v>#REF!</v>
      </c>
      <c r="HJ26" t="e">
        <f>AND(TOC!#REF!,"AAAAAHrcWdk=")</f>
        <v>#REF!</v>
      </c>
      <c r="HK26" t="e">
        <f>AND(TOC!#REF!,"AAAAAHrcWdo=")</f>
        <v>#REF!</v>
      </c>
      <c r="HL26" t="e">
        <f>AND(TOC!#REF!,"AAAAAHrcWds=")</f>
        <v>#REF!</v>
      </c>
      <c r="HM26" t="e">
        <f>AND(TOC!#REF!,"AAAAAHrcWdw=")</f>
        <v>#REF!</v>
      </c>
      <c r="HN26" t="e">
        <f>AND(TOC!#REF!,"AAAAAHrcWd0=")</f>
        <v>#REF!</v>
      </c>
      <c r="HO26" t="e">
        <f>AND(TOC!#REF!,"AAAAAHrcWd4=")</f>
        <v>#REF!</v>
      </c>
      <c r="HP26" t="e">
        <f>IF(TOC!#REF!,"AAAAAHrcWd8=",0)</f>
        <v>#REF!</v>
      </c>
      <c r="HQ26" t="e">
        <f>AND(TOC!#REF!,"AAAAAHrcWeA=")</f>
        <v>#REF!</v>
      </c>
      <c r="HR26" t="e">
        <f>AND(TOC!#REF!,"AAAAAHrcWeE=")</f>
        <v>#REF!</v>
      </c>
      <c r="HS26" t="e">
        <f>AND(TOC!#REF!,"AAAAAHrcWeI=")</f>
        <v>#REF!</v>
      </c>
      <c r="HT26" t="e">
        <f>AND(TOC!#REF!,"AAAAAHrcWeM=")</f>
        <v>#REF!</v>
      </c>
      <c r="HU26" t="e">
        <f>AND(TOC!#REF!,"AAAAAHrcWeQ=")</f>
        <v>#REF!</v>
      </c>
      <c r="HV26" t="e">
        <f>AND(TOC!#REF!,"AAAAAHrcWeU=")</f>
        <v>#REF!</v>
      </c>
      <c r="HW26" t="e">
        <f>AND(TOC!#REF!,"AAAAAHrcWeY=")</f>
        <v>#REF!</v>
      </c>
      <c r="HX26" t="e">
        <f>AND(TOC!#REF!,"AAAAAHrcWec=")</f>
        <v>#REF!</v>
      </c>
      <c r="HY26" t="e">
        <f>AND(TOC!#REF!,"AAAAAHrcWeg=")</f>
        <v>#REF!</v>
      </c>
      <c r="HZ26" t="e">
        <f>AND(TOC!#REF!,"AAAAAHrcWek=")</f>
        <v>#REF!</v>
      </c>
      <c r="IA26" t="e">
        <f>AND(TOC!#REF!,"AAAAAHrcWeo=")</f>
        <v>#REF!</v>
      </c>
      <c r="IB26" t="e">
        <f>AND(TOC!#REF!,"AAAAAHrcWes=")</f>
        <v>#REF!</v>
      </c>
      <c r="IC26" t="e">
        <f>AND(TOC!#REF!,"AAAAAHrcWew=")</f>
        <v>#REF!</v>
      </c>
      <c r="ID26" t="e">
        <f>AND(TOC!#REF!,"AAAAAHrcWe0=")</f>
        <v>#REF!</v>
      </c>
      <c r="IE26" t="e">
        <f>AND(TOC!#REF!,"AAAAAHrcWe4=")</f>
        <v>#REF!</v>
      </c>
      <c r="IF26" t="e">
        <f>AND(TOC!#REF!,"AAAAAHrcWe8=")</f>
        <v>#REF!</v>
      </c>
      <c r="IG26" t="e">
        <f>AND(TOC!#REF!,"AAAAAHrcWfA=")</f>
        <v>#REF!</v>
      </c>
      <c r="IH26" t="e">
        <f>AND(TOC!#REF!,"AAAAAHrcWfE=")</f>
        <v>#REF!</v>
      </c>
      <c r="II26" t="e">
        <f>AND(TOC!#REF!,"AAAAAHrcWfI=")</f>
        <v>#REF!</v>
      </c>
      <c r="IJ26" t="e">
        <f>AND(TOC!#REF!,"AAAAAHrcWfM=")</f>
        <v>#REF!</v>
      </c>
      <c r="IK26" t="e">
        <f>AND(TOC!#REF!,"AAAAAHrcWfQ=")</f>
        <v>#REF!</v>
      </c>
      <c r="IL26" t="e">
        <f>AND(TOC!#REF!,"AAAAAHrcWfU=")</f>
        <v>#REF!</v>
      </c>
      <c r="IM26" t="e">
        <f>AND(TOC!#REF!,"AAAAAHrcWfY=")</f>
        <v>#REF!</v>
      </c>
      <c r="IN26" t="e">
        <f>AND(TOC!#REF!,"AAAAAHrcWfc=")</f>
        <v>#REF!</v>
      </c>
      <c r="IO26" t="e">
        <f>AND(TOC!#REF!,"AAAAAHrcWfg=")</f>
        <v>#REF!</v>
      </c>
      <c r="IP26" t="e">
        <f>AND(TOC!#REF!,"AAAAAHrcWfk=")</f>
        <v>#REF!</v>
      </c>
      <c r="IQ26" t="e">
        <f>AND(TOC!#REF!,"AAAAAHrcWfo=")</f>
        <v>#REF!</v>
      </c>
      <c r="IR26" t="e">
        <f>AND(TOC!#REF!,"AAAAAHrcWfs=")</f>
        <v>#REF!</v>
      </c>
      <c r="IS26" t="e">
        <f>AND(TOC!#REF!,"AAAAAHrcWfw=")</f>
        <v>#REF!</v>
      </c>
      <c r="IT26" t="e">
        <f>AND(TOC!#REF!,"AAAAAHrcWf0=")</f>
        <v>#REF!</v>
      </c>
      <c r="IU26" t="e">
        <f>AND(TOC!#REF!,"AAAAAHrcWf4=")</f>
        <v>#REF!</v>
      </c>
      <c r="IV26" t="e">
        <f>AND(TOC!#REF!,"AAAAAHrcWf8=")</f>
        <v>#REF!</v>
      </c>
    </row>
    <row r="27" spans="1:256" x14ac:dyDescent="0.2">
      <c r="A27" t="e">
        <f>AND(TOC!#REF!,"AAAAAH7/pwA=")</f>
        <v>#REF!</v>
      </c>
      <c r="B27" t="e">
        <f>AND(TOC!#REF!,"AAAAAH7/pwE=")</f>
        <v>#REF!</v>
      </c>
      <c r="C27" t="e">
        <f>AND(TOC!#REF!,"AAAAAH7/pwI=")</f>
        <v>#REF!</v>
      </c>
      <c r="D27" t="e">
        <f>AND(TOC!#REF!,"AAAAAH7/pwM=")</f>
        <v>#REF!</v>
      </c>
      <c r="E27" t="e">
        <f>IF(TOC!#REF!,"AAAAAH7/pwQ=",0)</f>
        <v>#REF!</v>
      </c>
      <c r="F27" t="e">
        <f>AND(TOC!#REF!,"AAAAAH7/pwU=")</f>
        <v>#REF!</v>
      </c>
      <c r="G27" t="e">
        <f>AND(TOC!#REF!,"AAAAAH7/pwY=")</f>
        <v>#REF!</v>
      </c>
      <c r="H27" t="e">
        <f>AND(TOC!#REF!,"AAAAAH7/pwc=")</f>
        <v>#REF!</v>
      </c>
      <c r="I27" t="e">
        <f>AND(TOC!#REF!,"AAAAAH7/pwg=")</f>
        <v>#REF!</v>
      </c>
      <c r="J27" t="e">
        <f>AND(TOC!#REF!,"AAAAAH7/pwk=")</f>
        <v>#REF!</v>
      </c>
      <c r="K27" t="e">
        <f>AND(TOC!#REF!,"AAAAAH7/pwo=")</f>
        <v>#REF!</v>
      </c>
      <c r="L27" t="e">
        <f>AND(TOC!#REF!,"AAAAAH7/pws=")</f>
        <v>#REF!</v>
      </c>
      <c r="M27" t="e">
        <f>AND(TOC!#REF!,"AAAAAH7/pww=")</f>
        <v>#REF!</v>
      </c>
      <c r="N27" t="e">
        <f>AND(TOC!#REF!,"AAAAAH7/pw0=")</f>
        <v>#REF!</v>
      </c>
      <c r="O27" t="e">
        <f>AND(TOC!#REF!,"AAAAAH7/pw4=")</f>
        <v>#REF!</v>
      </c>
      <c r="P27" t="e">
        <f>AND(TOC!#REF!,"AAAAAH7/pw8=")</f>
        <v>#REF!</v>
      </c>
      <c r="Q27" t="e">
        <f>AND(TOC!#REF!,"AAAAAH7/pxA=")</f>
        <v>#REF!</v>
      </c>
      <c r="R27" t="e">
        <f>AND(TOC!#REF!,"AAAAAH7/pxE=")</f>
        <v>#REF!</v>
      </c>
      <c r="S27" t="e">
        <f>AND(TOC!#REF!,"AAAAAH7/pxI=")</f>
        <v>#REF!</v>
      </c>
      <c r="T27" t="e">
        <f>AND(TOC!#REF!,"AAAAAH7/pxM=")</f>
        <v>#REF!</v>
      </c>
      <c r="U27" t="e">
        <f>AND(TOC!#REF!,"AAAAAH7/pxQ=")</f>
        <v>#REF!</v>
      </c>
      <c r="V27" t="e">
        <f>AND(TOC!#REF!,"AAAAAH7/pxU=")</f>
        <v>#REF!</v>
      </c>
      <c r="W27" t="e">
        <f>AND(TOC!#REF!,"AAAAAH7/pxY=")</f>
        <v>#REF!</v>
      </c>
      <c r="X27" t="e">
        <f>AND(TOC!#REF!,"AAAAAH7/pxc=")</f>
        <v>#REF!</v>
      </c>
      <c r="Y27" t="e">
        <f>AND(TOC!#REF!,"AAAAAH7/pxg=")</f>
        <v>#REF!</v>
      </c>
      <c r="Z27" t="e">
        <f>AND(TOC!#REF!,"AAAAAH7/pxk=")</f>
        <v>#REF!</v>
      </c>
      <c r="AA27" t="e">
        <f>AND(TOC!#REF!,"AAAAAH7/pxo=")</f>
        <v>#REF!</v>
      </c>
      <c r="AB27" t="e">
        <f>AND(TOC!#REF!,"AAAAAH7/pxs=")</f>
        <v>#REF!</v>
      </c>
      <c r="AC27" t="e">
        <f>AND(TOC!#REF!,"AAAAAH7/pxw=")</f>
        <v>#REF!</v>
      </c>
      <c r="AD27" t="e">
        <f>AND(TOC!#REF!,"AAAAAH7/px0=")</f>
        <v>#REF!</v>
      </c>
      <c r="AE27" t="e">
        <f>AND(TOC!#REF!,"AAAAAH7/px4=")</f>
        <v>#REF!</v>
      </c>
      <c r="AF27" t="e">
        <f>AND(TOC!#REF!,"AAAAAH7/px8=")</f>
        <v>#REF!</v>
      </c>
      <c r="AG27" t="e">
        <f>AND(TOC!#REF!,"AAAAAH7/pyA=")</f>
        <v>#REF!</v>
      </c>
      <c r="AH27" t="e">
        <f>AND(TOC!#REF!,"AAAAAH7/pyE=")</f>
        <v>#REF!</v>
      </c>
      <c r="AI27" t="e">
        <f>AND(TOC!#REF!,"AAAAAH7/pyI=")</f>
        <v>#REF!</v>
      </c>
      <c r="AJ27" t="e">
        <f>AND(TOC!#REF!,"AAAAAH7/pyM=")</f>
        <v>#REF!</v>
      </c>
      <c r="AK27" t="e">
        <f>AND(TOC!#REF!,"AAAAAH7/pyQ=")</f>
        <v>#REF!</v>
      </c>
      <c r="AL27" t="e">
        <f>AND(TOC!#REF!,"AAAAAH7/pyU=")</f>
        <v>#REF!</v>
      </c>
      <c r="AM27" t="e">
        <f>AND(TOC!#REF!,"AAAAAH7/pyY=")</f>
        <v>#REF!</v>
      </c>
      <c r="AN27" t="e">
        <f>AND(TOC!#REF!,"AAAAAH7/pyc=")</f>
        <v>#REF!</v>
      </c>
      <c r="AO27" t="e">
        <f>AND(TOC!#REF!,"AAAAAH7/pyg=")</f>
        <v>#REF!</v>
      </c>
      <c r="AP27" t="e">
        <f>IF(TOC!#REF!,"AAAAAH7/pyk=",0)</f>
        <v>#REF!</v>
      </c>
      <c r="AQ27" t="e">
        <f>AND(TOC!#REF!,"AAAAAH7/pyo=")</f>
        <v>#REF!</v>
      </c>
      <c r="AR27" t="e">
        <f>AND(TOC!#REF!,"AAAAAH7/pys=")</f>
        <v>#REF!</v>
      </c>
      <c r="AS27" t="e">
        <f>AND(TOC!#REF!,"AAAAAH7/pyw=")</f>
        <v>#REF!</v>
      </c>
      <c r="AT27" t="e">
        <f>AND(TOC!#REF!,"AAAAAH7/py0=")</f>
        <v>#REF!</v>
      </c>
      <c r="AU27" t="e">
        <f>AND(TOC!#REF!,"AAAAAH7/py4=")</f>
        <v>#REF!</v>
      </c>
      <c r="AV27" t="e">
        <f>AND(TOC!#REF!,"AAAAAH7/py8=")</f>
        <v>#REF!</v>
      </c>
      <c r="AW27" t="e">
        <f>AND(TOC!#REF!,"AAAAAH7/pzA=")</f>
        <v>#REF!</v>
      </c>
      <c r="AX27" t="e">
        <f>AND(TOC!#REF!,"AAAAAH7/pzE=")</f>
        <v>#REF!</v>
      </c>
      <c r="AY27" t="e">
        <f>AND(TOC!#REF!,"AAAAAH7/pzI=")</f>
        <v>#REF!</v>
      </c>
      <c r="AZ27" t="e">
        <f>AND(TOC!#REF!,"AAAAAH7/pzM=")</f>
        <v>#REF!</v>
      </c>
      <c r="BA27" t="e">
        <f>AND(TOC!#REF!,"AAAAAH7/pzQ=")</f>
        <v>#REF!</v>
      </c>
      <c r="BB27" t="e">
        <f>AND(TOC!#REF!,"AAAAAH7/pzU=")</f>
        <v>#REF!</v>
      </c>
      <c r="BC27" t="e">
        <f>AND(TOC!#REF!,"AAAAAH7/pzY=")</f>
        <v>#REF!</v>
      </c>
      <c r="BD27" t="e">
        <f>AND(TOC!#REF!,"AAAAAH7/pzc=")</f>
        <v>#REF!</v>
      </c>
      <c r="BE27" t="e">
        <f>AND(TOC!#REF!,"AAAAAH7/pzg=")</f>
        <v>#REF!</v>
      </c>
      <c r="BF27" t="e">
        <f>AND(TOC!#REF!,"AAAAAH7/pzk=")</f>
        <v>#REF!</v>
      </c>
      <c r="BG27" t="e">
        <f>AND(TOC!#REF!,"AAAAAH7/pzo=")</f>
        <v>#REF!</v>
      </c>
      <c r="BH27" t="e">
        <f>AND(TOC!#REF!,"AAAAAH7/pzs=")</f>
        <v>#REF!</v>
      </c>
      <c r="BI27" t="e">
        <f>AND(TOC!#REF!,"AAAAAH7/pzw=")</f>
        <v>#REF!</v>
      </c>
      <c r="BJ27" t="e">
        <f>AND(TOC!#REF!,"AAAAAH7/pz0=")</f>
        <v>#REF!</v>
      </c>
      <c r="BK27" t="e">
        <f>AND(TOC!#REF!,"AAAAAH7/pz4=")</f>
        <v>#REF!</v>
      </c>
      <c r="BL27" t="e">
        <f>AND(TOC!#REF!,"AAAAAH7/pz8=")</f>
        <v>#REF!</v>
      </c>
      <c r="BM27" t="e">
        <f>AND(TOC!#REF!,"AAAAAH7/p0A=")</f>
        <v>#REF!</v>
      </c>
      <c r="BN27" t="e">
        <f>AND(TOC!#REF!,"AAAAAH7/p0E=")</f>
        <v>#REF!</v>
      </c>
      <c r="BO27" t="e">
        <f>AND(TOC!#REF!,"AAAAAH7/p0I=")</f>
        <v>#REF!</v>
      </c>
      <c r="BP27" t="e">
        <f>AND(TOC!#REF!,"AAAAAH7/p0M=")</f>
        <v>#REF!</v>
      </c>
      <c r="BQ27" t="e">
        <f>AND(TOC!#REF!,"AAAAAH7/p0Q=")</f>
        <v>#REF!</v>
      </c>
      <c r="BR27" t="e">
        <f>AND(TOC!#REF!,"AAAAAH7/p0U=")</f>
        <v>#REF!</v>
      </c>
      <c r="BS27" t="e">
        <f>AND(TOC!#REF!,"AAAAAH7/p0Y=")</f>
        <v>#REF!</v>
      </c>
      <c r="BT27" t="e">
        <f>AND(TOC!#REF!,"AAAAAH7/p0c=")</f>
        <v>#REF!</v>
      </c>
      <c r="BU27" t="e">
        <f>AND(TOC!#REF!,"AAAAAH7/p0g=")</f>
        <v>#REF!</v>
      </c>
      <c r="BV27" t="e">
        <f>AND(TOC!#REF!,"AAAAAH7/p0k=")</f>
        <v>#REF!</v>
      </c>
      <c r="BW27" t="e">
        <f>AND(TOC!#REF!,"AAAAAH7/p0o=")</f>
        <v>#REF!</v>
      </c>
      <c r="BX27" t="e">
        <f>AND(TOC!#REF!,"AAAAAH7/p0s=")</f>
        <v>#REF!</v>
      </c>
      <c r="BY27" t="e">
        <f>AND(TOC!#REF!,"AAAAAH7/p0w=")</f>
        <v>#REF!</v>
      </c>
      <c r="BZ27" t="e">
        <f>AND(TOC!#REF!,"AAAAAH7/p00=")</f>
        <v>#REF!</v>
      </c>
      <c r="CA27" t="e">
        <f>IF(TOC!#REF!,"AAAAAH7/p04=",0)</f>
        <v>#REF!</v>
      </c>
      <c r="CB27" t="e">
        <f>AND(TOC!#REF!,"AAAAAH7/p08=")</f>
        <v>#REF!</v>
      </c>
      <c r="CC27" t="e">
        <f>AND(TOC!#REF!,"AAAAAH7/p1A=")</f>
        <v>#REF!</v>
      </c>
      <c r="CD27" t="e">
        <f>AND(TOC!#REF!,"AAAAAH7/p1E=")</f>
        <v>#REF!</v>
      </c>
      <c r="CE27" t="e">
        <f>AND(TOC!#REF!,"AAAAAH7/p1I=")</f>
        <v>#REF!</v>
      </c>
      <c r="CF27" t="e">
        <f>AND(TOC!#REF!,"AAAAAH7/p1M=")</f>
        <v>#REF!</v>
      </c>
      <c r="CG27" t="e">
        <f>AND(TOC!#REF!,"AAAAAH7/p1Q=")</f>
        <v>#REF!</v>
      </c>
      <c r="CH27" t="e">
        <f>AND(TOC!#REF!,"AAAAAH7/p1U=")</f>
        <v>#REF!</v>
      </c>
      <c r="CI27" t="e">
        <f>AND(TOC!#REF!,"AAAAAH7/p1Y=")</f>
        <v>#REF!</v>
      </c>
      <c r="CJ27" t="e">
        <f>AND(TOC!#REF!,"AAAAAH7/p1c=")</f>
        <v>#REF!</v>
      </c>
      <c r="CK27" t="e">
        <f>AND(TOC!#REF!,"AAAAAH7/p1g=")</f>
        <v>#REF!</v>
      </c>
      <c r="CL27" t="e">
        <f>AND(TOC!#REF!,"AAAAAH7/p1k=")</f>
        <v>#REF!</v>
      </c>
      <c r="CM27" t="e">
        <f>AND(TOC!#REF!,"AAAAAH7/p1o=")</f>
        <v>#REF!</v>
      </c>
      <c r="CN27" t="e">
        <f>AND(TOC!#REF!,"AAAAAH7/p1s=")</f>
        <v>#REF!</v>
      </c>
      <c r="CO27" t="e">
        <f>AND(TOC!#REF!,"AAAAAH7/p1w=")</f>
        <v>#REF!</v>
      </c>
      <c r="CP27" t="e">
        <f>AND(TOC!#REF!,"AAAAAH7/p10=")</f>
        <v>#REF!</v>
      </c>
      <c r="CQ27" t="e">
        <f>AND(TOC!#REF!,"AAAAAH7/p14=")</f>
        <v>#REF!</v>
      </c>
      <c r="CR27" t="e">
        <f>AND(TOC!#REF!,"AAAAAH7/p18=")</f>
        <v>#REF!</v>
      </c>
      <c r="CS27" t="e">
        <f>AND(TOC!#REF!,"AAAAAH7/p2A=")</f>
        <v>#REF!</v>
      </c>
      <c r="CT27" t="e">
        <f>AND(TOC!#REF!,"AAAAAH7/p2E=")</f>
        <v>#REF!</v>
      </c>
      <c r="CU27" t="e">
        <f>AND(TOC!#REF!,"AAAAAH7/p2I=")</f>
        <v>#REF!</v>
      </c>
      <c r="CV27" t="e">
        <f>AND(TOC!#REF!,"AAAAAH7/p2M=")</f>
        <v>#REF!</v>
      </c>
      <c r="CW27" t="e">
        <f>AND(TOC!#REF!,"AAAAAH7/p2Q=")</f>
        <v>#REF!</v>
      </c>
      <c r="CX27" t="e">
        <f>AND(TOC!#REF!,"AAAAAH7/p2U=")</f>
        <v>#REF!</v>
      </c>
      <c r="CY27" t="e">
        <f>AND(TOC!#REF!,"AAAAAH7/p2Y=")</f>
        <v>#REF!</v>
      </c>
      <c r="CZ27" t="e">
        <f>AND(TOC!#REF!,"AAAAAH7/p2c=")</f>
        <v>#REF!</v>
      </c>
      <c r="DA27" t="e">
        <f>AND(TOC!#REF!,"AAAAAH7/p2g=")</f>
        <v>#REF!</v>
      </c>
      <c r="DB27" t="e">
        <f>AND(TOC!#REF!,"AAAAAH7/p2k=")</f>
        <v>#REF!</v>
      </c>
      <c r="DC27" t="e">
        <f>AND(TOC!#REF!,"AAAAAH7/p2o=")</f>
        <v>#REF!</v>
      </c>
      <c r="DD27" t="e">
        <f>AND(TOC!#REF!,"AAAAAH7/p2s=")</f>
        <v>#REF!</v>
      </c>
      <c r="DE27" t="e">
        <f>AND(TOC!#REF!,"AAAAAH7/p2w=")</f>
        <v>#REF!</v>
      </c>
      <c r="DF27" t="e">
        <f>AND(TOC!#REF!,"AAAAAH7/p20=")</f>
        <v>#REF!</v>
      </c>
      <c r="DG27" t="e">
        <f>AND(TOC!#REF!,"AAAAAH7/p24=")</f>
        <v>#REF!</v>
      </c>
      <c r="DH27" t="e">
        <f>AND(TOC!#REF!,"AAAAAH7/p28=")</f>
        <v>#REF!</v>
      </c>
      <c r="DI27" t="e">
        <f>AND(TOC!#REF!,"AAAAAH7/p3A=")</f>
        <v>#REF!</v>
      </c>
      <c r="DJ27" t="e">
        <f>AND(TOC!#REF!,"AAAAAH7/p3E=")</f>
        <v>#REF!</v>
      </c>
      <c r="DK27" t="e">
        <f>AND(TOC!#REF!,"AAAAAH7/p3I=")</f>
        <v>#REF!</v>
      </c>
      <c r="DL27" t="e">
        <f>IF(TOC!#REF!,"AAAAAH7/p3M=",0)</f>
        <v>#REF!</v>
      </c>
      <c r="DM27" t="e">
        <f>AND(TOC!#REF!,"AAAAAH7/p3Q=")</f>
        <v>#REF!</v>
      </c>
      <c r="DN27" t="e">
        <f>AND(TOC!#REF!,"AAAAAH7/p3U=")</f>
        <v>#REF!</v>
      </c>
      <c r="DO27" t="e">
        <f>AND(TOC!#REF!,"AAAAAH7/p3Y=")</f>
        <v>#REF!</v>
      </c>
      <c r="DP27" t="e">
        <f>AND(TOC!#REF!,"AAAAAH7/p3c=")</f>
        <v>#REF!</v>
      </c>
      <c r="DQ27" t="e">
        <f>AND(TOC!#REF!,"AAAAAH7/p3g=")</f>
        <v>#REF!</v>
      </c>
      <c r="DR27" t="e">
        <f>AND(TOC!#REF!,"AAAAAH7/p3k=")</f>
        <v>#REF!</v>
      </c>
      <c r="DS27" t="e">
        <f>AND(TOC!#REF!,"AAAAAH7/p3o=")</f>
        <v>#REF!</v>
      </c>
      <c r="DT27" t="e">
        <f>AND(TOC!#REF!,"AAAAAH7/p3s=")</f>
        <v>#REF!</v>
      </c>
      <c r="DU27" t="e">
        <f>AND(TOC!#REF!,"AAAAAH7/p3w=")</f>
        <v>#REF!</v>
      </c>
      <c r="DV27" t="e">
        <f>AND(TOC!#REF!,"AAAAAH7/p30=")</f>
        <v>#REF!</v>
      </c>
      <c r="DW27" t="e">
        <f>AND(TOC!#REF!,"AAAAAH7/p34=")</f>
        <v>#REF!</v>
      </c>
      <c r="DX27" t="e">
        <f>AND(TOC!#REF!,"AAAAAH7/p38=")</f>
        <v>#REF!</v>
      </c>
      <c r="DY27" t="e">
        <f>AND(TOC!#REF!,"AAAAAH7/p4A=")</f>
        <v>#REF!</v>
      </c>
      <c r="DZ27" t="e">
        <f>AND(TOC!#REF!,"AAAAAH7/p4E=")</f>
        <v>#REF!</v>
      </c>
      <c r="EA27" t="e">
        <f>AND(TOC!#REF!,"AAAAAH7/p4I=")</f>
        <v>#REF!</v>
      </c>
      <c r="EB27" t="e">
        <f>AND(TOC!#REF!,"AAAAAH7/p4M=")</f>
        <v>#REF!</v>
      </c>
      <c r="EC27" t="e">
        <f>AND(TOC!#REF!,"AAAAAH7/p4Q=")</f>
        <v>#REF!</v>
      </c>
      <c r="ED27" t="e">
        <f>AND(TOC!#REF!,"AAAAAH7/p4U=")</f>
        <v>#REF!</v>
      </c>
      <c r="EE27" t="e">
        <f>AND(TOC!#REF!,"AAAAAH7/p4Y=")</f>
        <v>#REF!</v>
      </c>
      <c r="EF27" t="e">
        <f>AND(TOC!#REF!,"AAAAAH7/p4c=")</f>
        <v>#REF!</v>
      </c>
      <c r="EG27" t="e">
        <f>AND(TOC!#REF!,"AAAAAH7/p4g=")</f>
        <v>#REF!</v>
      </c>
      <c r="EH27" t="e">
        <f>AND(TOC!#REF!,"AAAAAH7/p4k=")</f>
        <v>#REF!</v>
      </c>
      <c r="EI27" t="e">
        <f>AND(TOC!#REF!,"AAAAAH7/p4o=")</f>
        <v>#REF!</v>
      </c>
      <c r="EJ27" t="e">
        <f>AND(TOC!#REF!,"AAAAAH7/p4s=")</f>
        <v>#REF!</v>
      </c>
      <c r="EK27" t="e">
        <f>AND(TOC!#REF!,"AAAAAH7/p4w=")</f>
        <v>#REF!</v>
      </c>
      <c r="EL27" t="e">
        <f>AND(TOC!#REF!,"AAAAAH7/p40=")</f>
        <v>#REF!</v>
      </c>
      <c r="EM27" t="e">
        <f>AND(TOC!#REF!,"AAAAAH7/p44=")</f>
        <v>#REF!</v>
      </c>
      <c r="EN27" t="e">
        <f>AND(TOC!#REF!,"AAAAAH7/p48=")</f>
        <v>#REF!</v>
      </c>
      <c r="EO27" t="e">
        <f>AND(TOC!#REF!,"AAAAAH7/p5A=")</f>
        <v>#REF!</v>
      </c>
      <c r="EP27" t="e">
        <f>AND(TOC!#REF!,"AAAAAH7/p5E=")</f>
        <v>#REF!</v>
      </c>
      <c r="EQ27" t="e">
        <f>AND(TOC!#REF!,"AAAAAH7/p5I=")</f>
        <v>#REF!</v>
      </c>
      <c r="ER27" t="e">
        <f>AND(TOC!#REF!,"AAAAAH7/p5M=")</f>
        <v>#REF!</v>
      </c>
      <c r="ES27" t="e">
        <f>AND(TOC!#REF!,"AAAAAH7/p5Q=")</f>
        <v>#REF!</v>
      </c>
      <c r="ET27" t="e">
        <f>AND(TOC!#REF!,"AAAAAH7/p5U=")</f>
        <v>#REF!</v>
      </c>
      <c r="EU27" t="e">
        <f>AND(TOC!#REF!,"AAAAAH7/p5Y=")</f>
        <v>#REF!</v>
      </c>
      <c r="EV27" t="e">
        <f>AND(TOC!#REF!,"AAAAAH7/p5c=")</f>
        <v>#REF!</v>
      </c>
      <c r="EW27" t="e">
        <f>IF(TOC!#REF!,"AAAAAH7/p5g=",0)</f>
        <v>#REF!</v>
      </c>
      <c r="EX27" t="e">
        <f>AND(TOC!#REF!,"AAAAAH7/p5k=")</f>
        <v>#REF!</v>
      </c>
      <c r="EY27" t="e">
        <f>AND(TOC!#REF!,"AAAAAH7/p5o=")</f>
        <v>#REF!</v>
      </c>
      <c r="EZ27" t="e">
        <f>AND(TOC!#REF!,"AAAAAH7/p5s=")</f>
        <v>#REF!</v>
      </c>
      <c r="FA27" t="e">
        <f>AND(TOC!#REF!,"AAAAAH7/p5w=")</f>
        <v>#REF!</v>
      </c>
      <c r="FB27" t="e">
        <f>AND(TOC!#REF!,"AAAAAH7/p50=")</f>
        <v>#REF!</v>
      </c>
      <c r="FC27" t="e">
        <f>AND(TOC!#REF!,"AAAAAH7/p54=")</f>
        <v>#REF!</v>
      </c>
      <c r="FD27" t="e">
        <f>AND(TOC!#REF!,"AAAAAH7/p58=")</f>
        <v>#REF!</v>
      </c>
      <c r="FE27" t="e">
        <f>AND(TOC!#REF!,"AAAAAH7/p6A=")</f>
        <v>#REF!</v>
      </c>
      <c r="FF27" t="e">
        <f>AND(TOC!#REF!,"AAAAAH7/p6E=")</f>
        <v>#REF!</v>
      </c>
      <c r="FG27" t="e">
        <f>AND(TOC!#REF!,"AAAAAH7/p6I=")</f>
        <v>#REF!</v>
      </c>
      <c r="FH27" t="e">
        <f>AND(TOC!#REF!,"AAAAAH7/p6M=")</f>
        <v>#REF!</v>
      </c>
      <c r="FI27" t="e">
        <f>AND(TOC!#REF!,"AAAAAH7/p6Q=")</f>
        <v>#REF!</v>
      </c>
      <c r="FJ27" t="e">
        <f>AND(TOC!#REF!,"AAAAAH7/p6U=")</f>
        <v>#REF!</v>
      </c>
      <c r="FK27" t="e">
        <f>AND(TOC!#REF!,"AAAAAH7/p6Y=")</f>
        <v>#REF!</v>
      </c>
      <c r="FL27" t="e">
        <f>AND(TOC!#REF!,"AAAAAH7/p6c=")</f>
        <v>#REF!</v>
      </c>
      <c r="FM27" t="e">
        <f>AND(TOC!#REF!,"AAAAAH7/p6g=")</f>
        <v>#REF!</v>
      </c>
      <c r="FN27" t="e">
        <f>AND(TOC!#REF!,"AAAAAH7/p6k=")</f>
        <v>#REF!</v>
      </c>
      <c r="FO27" t="e">
        <f>AND(TOC!#REF!,"AAAAAH7/p6o=")</f>
        <v>#REF!</v>
      </c>
      <c r="FP27" t="e">
        <f>AND(TOC!#REF!,"AAAAAH7/p6s=")</f>
        <v>#REF!</v>
      </c>
      <c r="FQ27" t="e">
        <f>AND(TOC!#REF!,"AAAAAH7/p6w=")</f>
        <v>#REF!</v>
      </c>
      <c r="FR27" t="e">
        <f>AND(TOC!#REF!,"AAAAAH7/p60=")</f>
        <v>#REF!</v>
      </c>
      <c r="FS27" t="e">
        <f>AND(TOC!#REF!,"AAAAAH7/p64=")</f>
        <v>#REF!</v>
      </c>
      <c r="FT27" t="e">
        <f>AND(TOC!#REF!,"AAAAAH7/p68=")</f>
        <v>#REF!</v>
      </c>
      <c r="FU27" t="e">
        <f>AND(TOC!#REF!,"AAAAAH7/p7A=")</f>
        <v>#REF!</v>
      </c>
      <c r="FV27" t="e">
        <f>AND(TOC!#REF!,"AAAAAH7/p7E=")</f>
        <v>#REF!</v>
      </c>
      <c r="FW27" t="e">
        <f>AND(TOC!#REF!,"AAAAAH7/p7I=")</f>
        <v>#REF!</v>
      </c>
      <c r="FX27" t="e">
        <f>AND(TOC!#REF!,"AAAAAH7/p7M=")</f>
        <v>#REF!</v>
      </c>
      <c r="FY27" t="e">
        <f>AND(TOC!#REF!,"AAAAAH7/p7Q=")</f>
        <v>#REF!</v>
      </c>
      <c r="FZ27" t="e">
        <f>AND(TOC!#REF!,"AAAAAH7/p7U=")</f>
        <v>#REF!</v>
      </c>
      <c r="GA27" t="e">
        <f>AND(TOC!#REF!,"AAAAAH7/p7Y=")</f>
        <v>#REF!</v>
      </c>
      <c r="GB27" t="e">
        <f>AND(TOC!#REF!,"AAAAAH7/p7c=")</f>
        <v>#REF!</v>
      </c>
      <c r="GC27" t="e">
        <f>AND(TOC!#REF!,"AAAAAH7/p7g=")</f>
        <v>#REF!</v>
      </c>
      <c r="GD27" t="e">
        <f>AND(TOC!#REF!,"AAAAAH7/p7k=")</f>
        <v>#REF!</v>
      </c>
      <c r="GE27" t="e">
        <f>AND(TOC!#REF!,"AAAAAH7/p7o=")</f>
        <v>#REF!</v>
      </c>
      <c r="GF27" t="e">
        <f>AND(TOC!#REF!,"AAAAAH7/p7s=")</f>
        <v>#REF!</v>
      </c>
      <c r="GG27" t="e">
        <f>AND(TOC!#REF!,"AAAAAH7/p7w=")</f>
        <v>#REF!</v>
      </c>
      <c r="GH27" t="e">
        <f>IF(TOC!#REF!,"AAAAAH7/p70=",0)</f>
        <v>#REF!</v>
      </c>
      <c r="GI27" t="e">
        <f>AND(TOC!#REF!,"AAAAAH7/p74=")</f>
        <v>#REF!</v>
      </c>
      <c r="GJ27" t="e">
        <f>AND(TOC!#REF!,"AAAAAH7/p78=")</f>
        <v>#REF!</v>
      </c>
      <c r="GK27" t="e">
        <f>AND(TOC!#REF!,"AAAAAH7/p8A=")</f>
        <v>#REF!</v>
      </c>
      <c r="GL27" t="e">
        <f>AND(TOC!#REF!,"AAAAAH7/p8E=")</f>
        <v>#REF!</v>
      </c>
      <c r="GM27" t="e">
        <f>AND(TOC!#REF!,"AAAAAH7/p8I=")</f>
        <v>#REF!</v>
      </c>
      <c r="GN27" t="e">
        <f>AND(TOC!#REF!,"AAAAAH7/p8M=")</f>
        <v>#REF!</v>
      </c>
      <c r="GO27" t="e">
        <f>AND(TOC!#REF!,"AAAAAH7/p8Q=")</f>
        <v>#REF!</v>
      </c>
      <c r="GP27" t="e">
        <f>AND(TOC!#REF!,"AAAAAH7/p8U=")</f>
        <v>#REF!</v>
      </c>
      <c r="GQ27" t="e">
        <f>AND(TOC!#REF!,"AAAAAH7/p8Y=")</f>
        <v>#REF!</v>
      </c>
      <c r="GR27" t="e">
        <f>AND(TOC!#REF!,"AAAAAH7/p8c=")</f>
        <v>#REF!</v>
      </c>
      <c r="GS27" t="e">
        <f>AND(TOC!#REF!,"AAAAAH7/p8g=")</f>
        <v>#REF!</v>
      </c>
      <c r="GT27" t="e">
        <f>AND(TOC!#REF!,"AAAAAH7/p8k=")</f>
        <v>#REF!</v>
      </c>
      <c r="GU27" t="e">
        <f>AND(TOC!#REF!,"AAAAAH7/p8o=")</f>
        <v>#REF!</v>
      </c>
      <c r="GV27" t="e">
        <f>AND(TOC!#REF!,"AAAAAH7/p8s=")</f>
        <v>#REF!</v>
      </c>
      <c r="GW27" t="e">
        <f>AND(TOC!#REF!,"AAAAAH7/p8w=")</f>
        <v>#REF!</v>
      </c>
      <c r="GX27" t="e">
        <f>AND(TOC!#REF!,"AAAAAH7/p80=")</f>
        <v>#REF!</v>
      </c>
      <c r="GY27" t="e">
        <f>AND(TOC!#REF!,"AAAAAH7/p84=")</f>
        <v>#REF!</v>
      </c>
      <c r="GZ27" t="e">
        <f>AND(TOC!#REF!,"AAAAAH7/p88=")</f>
        <v>#REF!</v>
      </c>
      <c r="HA27" t="e">
        <f>AND(TOC!#REF!,"AAAAAH7/p9A=")</f>
        <v>#REF!</v>
      </c>
      <c r="HB27" t="e">
        <f>AND(TOC!#REF!,"AAAAAH7/p9E=")</f>
        <v>#REF!</v>
      </c>
      <c r="HC27" t="e">
        <f>AND(TOC!#REF!,"AAAAAH7/p9I=")</f>
        <v>#REF!</v>
      </c>
      <c r="HD27" t="e">
        <f>AND(TOC!#REF!,"AAAAAH7/p9M=")</f>
        <v>#REF!</v>
      </c>
      <c r="HE27" t="e">
        <f>AND(TOC!#REF!,"AAAAAH7/p9Q=")</f>
        <v>#REF!</v>
      </c>
      <c r="HF27" t="e">
        <f>AND(TOC!#REF!,"AAAAAH7/p9U=")</f>
        <v>#REF!</v>
      </c>
      <c r="HG27" t="e">
        <f>AND(TOC!#REF!,"AAAAAH7/p9Y=")</f>
        <v>#REF!</v>
      </c>
      <c r="HH27" t="e">
        <f>AND(TOC!#REF!,"AAAAAH7/p9c=")</f>
        <v>#REF!</v>
      </c>
      <c r="HI27" t="e">
        <f>AND(TOC!#REF!,"AAAAAH7/p9g=")</f>
        <v>#REF!</v>
      </c>
      <c r="HJ27" t="e">
        <f>AND(TOC!#REF!,"AAAAAH7/p9k=")</f>
        <v>#REF!</v>
      </c>
      <c r="HK27" t="e">
        <f>AND(TOC!#REF!,"AAAAAH7/p9o=")</f>
        <v>#REF!</v>
      </c>
      <c r="HL27" t="e">
        <f>AND(TOC!#REF!,"AAAAAH7/p9s=")</f>
        <v>#REF!</v>
      </c>
      <c r="HM27" t="e">
        <f>AND(TOC!#REF!,"AAAAAH7/p9w=")</f>
        <v>#REF!</v>
      </c>
      <c r="HN27" t="e">
        <f>AND(TOC!#REF!,"AAAAAH7/p90=")</f>
        <v>#REF!</v>
      </c>
      <c r="HO27" t="e">
        <f>AND(TOC!#REF!,"AAAAAH7/p94=")</f>
        <v>#REF!</v>
      </c>
      <c r="HP27" t="e">
        <f>AND(TOC!#REF!,"AAAAAH7/p98=")</f>
        <v>#REF!</v>
      </c>
      <c r="HQ27" t="e">
        <f>AND(TOC!#REF!,"AAAAAH7/p+A=")</f>
        <v>#REF!</v>
      </c>
      <c r="HR27" t="e">
        <f>AND(TOC!#REF!,"AAAAAH7/p+E=")</f>
        <v>#REF!</v>
      </c>
      <c r="HS27" t="e">
        <f>IF(TOC!#REF!,"AAAAAH7/p+I=",0)</f>
        <v>#REF!</v>
      </c>
      <c r="HT27" t="e">
        <f>AND(TOC!#REF!,"AAAAAH7/p+M=")</f>
        <v>#REF!</v>
      </c>
      <c r="HU27" t="e">
        <f>AND(TOC!#REF!,"AAAAAH7/p+Q=")</f>
        <v>#REF!</v>
      </c>
      <c r="HV27" t="e">
        <f>AND(TOC!#REF!,"AAAAAH7/p+U=")</f>
        <v>#REF!</v>
      </c>
      <c r="HW27" t="e">
        <f>AND(TOC!#REF!,"AAAAAH7/p+Y=")</f>
        <v>#REF!</v>
      </c>
      <c r="HX27" t="e">
        <f>AND(TOC!#REF!,"AAAAAH7/p+c=")</f>
        <v>#REF!</v>
      </c>
      <c r="HY27" t="e">
        <f>AND(TOC!#REF!,"AAAAAH7/p+g=")</f>
        <v>#REF!</v>
      </c>
      <c r="HZ27" t="e">
        <f>AND(TOC!#REF!,"AAAAAH7/p+k=")</f>
        <v>#REF!</v>
      </c>
      <c r="IA27" t="e">
        <f>AND(TOC!#REF!,"AAAAAH7/p+o=")</f>
        <v>#REF!</v>
      </c>
      <c r="IB27" t="e">
        <f>AND(TOC!#REF!,"AAAAAH7/p+s=")</f>
        <v>#REF!</v>
      </c>
      <c r="IC27" t="e">
        <f>AND(TOC!#REF!,"AAAAAH7/p+w=")</f>
        <v>#REF!</v>
      </c>
      <c r="ID27" t="e">
        <f>AND(TOC!#REF!,"AAAAAH7/p+0=")</f>
        <v>#REF!</v>
      </c>
      <c r="IE27" t="e">
        <f>AND(TOC!#REF!,"AAAAAH7/p+4=")</f>
        <v>#REF!</v>
      </c>
      <c r="IF27" t="e">
        <f>AND(TOC!#REF!,"AAAAAH7/p+8=")</f>
        <v>#REF!</v>
      </c>
      <c r="IG27" t="e">
        <f>AND(TOC!#REF!,"AAAAAH7/p/A=")</f>
        <v>#REF!</v>
      </c>
      <c r="IH27" t="e">
        <f>AND(TOC!#REF!,"AAAAAH7/p/E=")</f>
        <v>#REF!</v>
      </c>
      <c r="II27" t="e">
        <f>AND(TOC!#REF!,"AAAAAH7/p/I=")</f>
        <v>#REF!</v>
      </c>
      <c r="IJ27" t="e">
        <f>AND(TOC!#REF!,"AAAAAH7/p/M=")</f>
        <v>#REF!</v>
      </c>
      <c r="IK27" t="e">
        <f>AND(TOC!#REF!,"AAAAAH7/p/Q=")</f>
        <v>#REF!</v>
      </c>
      <c r="IL27" t="e">
        <f>AND(TOC!#REF!,"AAAAAH7/p/U=")</f>
        <v>#REF!</v>
      </c>
      <c r="IM27" t="e">
        <f>AND(TOC!#REF!,"AAAAAH7/p/Y=")</f>
        <v>#REF!</v>
      </c>
      <c r="IN27" t="e">
        <f>AND(TOC!#REF!,"AAAAAH7/p/c=")</f>
        <v>#REF!</v>
      </c>
      <c r="IO27" t="e">
        <f>AND(TOC!#REF!,"AAAAAH7/p/g=")</f>
        <v>#REF!</v>
      </c>
      <c r="IP27" t="e">
        <f>AND(TOC!#REF!,"AAAAAH7/p/k=")</f>
        <v>#REF!</v>
      </c>
      <c r="IQ27" t="e">
        <f>AND(TOC!#REF!,"AAAAAH7/p/o=")</f>
        <v>#REF!</v>
      </c>
      <c r="IR27" t="e">
        <f>AND(TOC!#REF!,"AAAAAH7/p/s=")</f>
        <v>#REF!</v>
      </c>
      <c r="IS27" t="e">
        <f>AND(TOC!#REF!,"AAAAAH7/p/w=")</f>
        <v>#REF!</v>
      </c>
      <c r="IT27" t="e">
        <f>AND(TOC!#REF!,"AAAAAH7/p/0=")</f>
        <v>#REF!</v>
      </c>
      <c r="IU27" t="e">
        <f>AND(TOC!#REF!,"AAAAAH7/p/4=")</f>
        <v>#REF!</v>
      </c>
      <c r="IV27" t="e">
        <f>AND(TOC!#REF!,"AAAAAH7/p/8=")</f>
        <v>#REF!</v>
      </c>
    </row>
    <row r="28" spans="1:256" x14ac:dyDescent="0.2">
      <c r="A28" t="e">
        <f>AND(TOC!#REF!,"AAAAAGbt5QA=")</f>
        <v>#REF!</v>
      </c>
      <c r="B28" t="e">
        <f>AND(TOC!#REF!,"AAAAAGbt5QE=")</f>
        <v>#REF!</v>
      </c>
      <c r="C28" t="e">
        <f>AND(TOC!#REF!,"AAAAAGbt5QI=")</f>
        <v>#REF!</v>
      </c>
      <c r="D28" t="e">
        <f>AND(TOC!#REF!,"AAAAAGbt5QM=")</f>
        <v>#REF!</v>
      </c>
      <c r="E28" t="e">
        <f>AND(TOC!#REF!,"AAAAAGbt5QQ=")</f>
        <v>#REF!</v>
      </c>
      <c r="F28" t="e">
        <f>AND(TOC!#REF!,"AAAAAGbt5QU=")</f>
        <v>#REF!</v>
      </c>
      <c r="G28" t="e">
        <f>AND(TOC!#REF!,"AAAAAGbt5QY=")</f>
        <v>#REF!</v>
      </c>
      <c r="H28" t="e">
        <f>IF(TOC!#REF!,"AAAAAGbt5Qc=",0)</f>
        <v>#REF!</v>
      </c>
      <c r="I28" t="e">
        <f>AND(TOC!#REF!,"AAAAAGbt5Qg=")</f>
        <v>#REF!</v>
      </c>
      <c r="J28" t="e">
        <f>AND(TOC!#REF!,"AAAAAGbt5Qk=")</f>
        <v>#REF!</v>
      </c>
      <c r="K28" t="e">
        <f>AND(TOC!#REF!,"AAAAAGbt5Qo=")</f>
        <v>#REF!</v>
      </c>
      <c r="L28" t="e">
        <f>AND(TOC!#REF!,"AAAAAGbt5Qs=")</f>
        <v>#REF!</v>
      </c>
      <c r="M28" t="e">
        <f>AND(TOC!#REF!,"AAAAAGbt5Qw=")</f>
        <v>#REF!</v>
      </c>
      <c r="N28" t="e">
        <f>AND(TOC!#REF!,"AAAAAGbt5Q0=")</f>
        <v>#REF!</v>
      </c>
      <c r="O28" t="e">
        <f>AND(TOC!#REF!,"AAAAAGbt5Q4=")</f>
        <v>#REF!</v>
      </c>
      <c r="P28" t="e">
        <f>AND(TOC!#REF!,"AAAAAGbt5Q8=")</f>
        <v>#REF!</v>
      </c>
      <c r="Q28" t="e">
        <f>AND(TOC!#REF!,"AAAAAGbt5RA=")</f>
        <v>#REF!</v>
      </c>
      <c r="R28" t="e">
        <f>AND(TOC!#REF!,"AAAAAGbt5RE=")</f>
        <v>#REF!</v>
      </c>
      <c r="S28" t="e">
        <f>AND(TOC!#REF!,"AAAAAGbt5RI=")</f>
        <v>#REF!</v>
      </c>
      <c r="T28" t="e">
        <f>AND(TOC!#REF!,"AAAAAGbt5RM=")</f>
        <v>#REF!</v>
      </c>
      <c r="U28" t="e">
        <f>AND(TOC!#REF!,"AAAAAGbt5RQ=")</f>
        <v>#REF!</v>
      </c>
      <c r="V28" t="e">
        <f>AND(TOC!#REF!,"AAAAAGbt5RU=")</f>
        <v>#REF!</v>
      </c>
      <c r="W28" t="e">
        <f>AND(TOC!#REF!,"AAAAAGbt5RY=")</f>
        <v>#REF!</v>
      </c>
      <c r="X28" t="e">
        <f>AND(TOC!#REF!,"AAAAAGbt5Rc=")</f>
        <v>#REF!</v>
      </c>
      <c r="Y28" t="e">
        <f>AND(TOC!#REF!,"AAAAAGbt5Rg=")</f>
        <v>#REF!</v>
      </c>
      <c r="Z28" t="e">
        <f>AND(TOC!#REF!,"AAAAAGbt5Rk=")</f>
        <v>#REF!</v>
      </c>
      <c r="AA28" t="e">
        <f>AND(TOC!#REF!,"AAAAAGbt5Ro=")</f>
        <v>#REF!</v>
      </c>
      <c r="AB28" t="e">
        <f>AND(TOC!#REF!,"AAAAAGbt5Rs=")</f>
        <v>#REF!</v>
      </c>
      <c r="AC28" t="e">
        <f>AND(TOC!#REF!,"AAAAAGbt5Rw=")</f>
        <v>#REF!</v>
      </c>
      <c r="AD28" t="e">
        <f>AND(TOC!#REF!,"AAAAAGbt5R0=")</f>
        <v>#REF!</v>
      </c>
      <c r="AE28" t="e">
        <f>AND(TOC!#REF!,"AAAAAGbt5R4=")</f>
        <v>#REF!</v>
      </c>
      <c r="AF28" t="e">
        <f>AND(TOC!#REF!,"AAAAAGbt5R8=")</f>
        <v>#REF!</v>
      </c>
      <c r="AG28" t="e">
        <f>AND(TOC!#REF!,"AAAAAGbt5SA=")</f>
        <v>#REF!</v>
      </c>
      <c r="AH28" t="e">
        <f>AND(TOC!#REF!,"AAAAAGbt5SE=")</f>
        <v>#REF!</v>
      </c>
      <c r="AI28" t="e">
        <f>AND(TOC!#REF!,"AAAAAGbt5SI=")</f>
        <v>#REF!</v>
      </c>
      <c r="AJ28" t="e">
        <f>AND(TOC!#REF!,"AAAAAGbt5SM=")</f>
        <v>#REF!</v>
      </c>
      <c r="AK28" t="e">
        <f>AND(TOC!#REF!,"AAAAAGbt5SQ=")</f>
        <v>#REF!</v>
      </c>
      <c r="AL28" t="e">
        <f>AND(TOC!#REF!,"AAAAAGbt5SU=")</f>
        <v>#REF!</v>
      </c>
      <c r="AM28" t="e">
        <f>AND(TOC!#REF!,"AAAAAGbt5SY=")</f>
        <v>#REF!</v>
      </c>
      <c r="AN28" t="e">
        <f>AND(TOC!#REF!,"AAAAAGbt5Sc=")</f>
        <v>#REF!</v>
      </c>
      <c r="AO28" t="e">
        <f>AND(TOC!#REF!,"AAAAAGbt5Sg=")</f>
        <v>#REF!</v>
      </c>
      <c r="AP28" t="e">
        <f>AND(TOC!#REF!,"AAAAAGbt5Sk=")</f>
        <v>#REF!</v>
      </c>
      <c r="AQ28" t="e">
        <f>AND(TOC!#REF!,"AAAAAGbt5So=")</f>
        <v>#REF!</v>
      </c>
      <c r="AR28" t="e">
        <f>AND(TOC!#REF!,"AAAAAGbt5Ss=")</f>
        <v>#REF!</v>
      </c>
      <c r="AS28" t="e">
        <f>IF(TOC!#REF!,"AAAAAGbt5Sw=",0)</f>
        <v>#REF!</v>
      </c>
      <c r="AT28" t="e">
        <f>AND(TOC!#REF!,"AAAAAGbt5S0=")</f>
        <v>#REF!</v>
      </c>
      <c r="AU28" t="e">
        <f>AND(TOC!#REF!,"AAAAAGbt5S4=")</f>
        <v>#REF!</v>
      </c>
      <c r="AV28" t="e">
        <f>AND(TOC!#REF!,"AAAAAGbt5S8=")</f>
        <v>#REF!</v>
      </c>
      <c r="AW28" t="e">
        <f>AND(TOC!#REF!,"AAAAAGbt5TA=")</f>
        <v>#REF!</v>
      </c>
      <c r="AX28" t="e">
        <f>AND(TOC!#REF!,"AAAAAGbt5TE=")</f>
        <v>#REF!</v>
      </c>
      <c r="AY28" t="e">
        <f>AND(TOC!#REF!,"AAAAAGbt5TI=")</f>
        <v>#REF!</v>
      </c>
      <c r="AZ28" t="e">
        <f>AND(TOC!#REF!,"AAAAAGbt5TM=")</f>
        <v>#REF!</v>
      </c>
      <c r="BA28" t="e">
        <f>AND(TOC!#REF!,"AAAAAGbt5TQ=")</f>
        <v>#REF!</v>
      </c>
      <c r="BB28" t="e">
        <f>AND(TOC!#REF!,"AAAAAGbt5TU=")</f>
        <v>#REF!</v>
      </c>
      <c r="BC28" t="e">
        <f>AND(TOC!#REF!,"AAAAAGbt5TY=")</f>
        <v>#REF!</v>
      </c>
      <c r="BD28" t="e">
        <f>AND(TOC!#REF!,"AAAAAGbt5Tc=")</f>
        <v>#REF!</v>
      </c>
      <c r="BE28" t="e">
        <f>AND(TOC!#REF!,"AAAAAGbt5Tg=")</f>
        <v>#REF!</v>
      </c>
      <c r="BF28" t="e">
        <f>AND(TOC!#REF!,"AAAAAGbt5Tk=")</f>
        <v>#REF!</v>
      </c>
      <c r="BG28" t="e">
        <f>AND(TOC!#REF!,"AAAAAGbt5To=")</f>
        <v>#REF!</v>
      </c>
      <c r="BH28" t="e">
        <f>AND(TOC!#REF!,"AAAAAGbt5Ts=")</f>
        <v>#REF!</v>
      </c>
      <c r="BI28" t="e">
        <f>AND(TOC!#REF!,"AAAAAGbt5Tw=")</f>
        <v>#REF!</v>
      </c>
      <c r="BJ28" t="e">
        <f>AND(TOC!#REF!,"AAAAAGbt5T0=")</f>
        <v>#REF!</v>
      </c>
      <c r="BK28" t="e">
        <f>AND(TOC!#REF!,"AAAAAGbt5T4=")</f>
        <v>#REF!</v>
      </c>
      <c r="BL28" t="e">
        <f>AND(TOC!#REF!,"AAAAAGbt5T8=")</f>
        <v>#REF!</v>
      </c>
      <c r="BM28" t="e">
        <f>AND(TOC!#REF!,"AAAAAGbt5UA=")</f>
        <v>#REF!</v>
      </c>
      <c r="BN28" t="e">
        <f>AND(TOC!#REF!,"AAAAAGbt5UE=")</f>
        <v>#REF!</v>
      </c>
      <c r="BO28" t="e">
        <f>AND(TOC!#REF!,"AAAAAGbt5UI=")</f>
        <v>#REF!</v>
      </c>
      <c r="BP28" t="e">
        <f>AND(TOC!#REF!,"AAAAAGbt5UM=")</f>
        <v>#REF!</v>
      </c>
      <c r="BQ28" t="e">
        <f>AND(TOC!#REF!,"AAAAAGbt5UQ=")</f>
        <v>#REF!</v>
      </c>
      <c r="BR28" t="e">
        <f>AND(TOC!#REF!,"AAAAAGbt5UU=")</f>
        <v>#REF!</v>
      </c>
      <c r="BS28" t="e">
        <f>AND(TOC!#REF!,"AAAAAGbt5UY=")</f>
        <v>#REF!</v>
      </c>
      <c r="BT28" t="e">
        <f>AND(TOC!#REF!,"AAAAAGbt5Uc=")</f>
        <v>#REF!</v>
      </c>
      <c r="BU28" t="e">
        <f>AND(TOC!#REF!,"AAAAAGbt5Ug=")</f>
        <v>#REF!</v>
      </c>
      <c r="BV28" t="e">
        <f>AND(TOC!#REF!,"AAAAAGbt5Uk=")</f>
        <v>#REF!</v>
      </c>
      <c r="BW28" t="e">
        <f>AND(TOC!#REF!,"AAAAAGbt5Uo=")</f>
        <v>#REF!</v>
      </c>
      <c r="BX28" t="e">
        <f>AND(TOC!#REF!,"AAAAAGbt5Us=")</f>
        <v>#REF!</v>
      </c>
      <c r="BY28" t="e">
        <f>AND(TOC!#REF!,"AAAAAGbt5Uw=")</f>
        <v>#REF!</v>
      </c>
      <c r="BZ28" t="e">
        <f>AND(TOC!#REF!,"AAAAAGbt5U0=")</f>
        <v>#REF!</v>
      </c>
      <c r="CA28" t="e">
        <f>AND(TOC!#REF!,"AAAAAGbt5U4=")</f>
        <v>#REF!</v>
      </c>
      <c r="CB28" t="e">
        <f>AND(TOC!#REF!,"AAAAAGbt5U8=")</f>
        <v>#REF!</v>
      </c>
      <c r="CC28" t="e">
        <f>AND(TOC!#REF!,"AAAAAGbt5VA=")</f>
        <v>#REF!</v>
      </c>
      <c r="CD28" t="e">
        <f>IF(TOC!#REF!,"AAAAAGbt5VE=",0)</f>
        <v>#REF!</v>
      </c>
      <c r="CE28" t="e">
        <f>AND(TOC!#REF!,"AAAAAGbt5VI=")</f>
        <v>#REF!</v>
      </c>
      <c r="CF28" t="e">
        <f>AND(TOC!#REF!,"AAAAAGbt5VM=")</f>
        <v>#REF!</v>
      </c>
      <c r="CG28" t="e">
        <f>AND(TOC!#REF!,"AAAAAGbt5VQ=")</f>
        <v>#REF!</v>
      </c>
      <c r="CH28" t="e">
        <f>AND(TOC!#REF!,"AAAAAGbt5VU=")</f>
        <v>#REF!</v>
      </c>
      <c r="CI28" t="e">
        <f>AND(TOC!#REF!,"AAAAAGbt5VY=")</f>
        <v>#REF!</v>
      </c>
      <c r="CJ28" t="e">
        <f>AND(TOC!#REF!,"AAAAAGbt5Vc=")</f>
        <v>#REF!</v>
      </c>
      <c r="CK28" t="e">
        <f>AND(TOC!#REF!,"AAAAAGbt5Vg=")</f>
        <v>#REF!</v>
      </c>
      <c r="CL28" t="e">
        <f>AND(TOC!#REF!,"AAAAAGbt5Vk=")</f>
        <v>#REF!</v>
      </c>
      <c r="CM28" t="e">
        <f>AND(TOC!#REF!,"AAAAAGbt5Vo=")</f>
        <v>#REF!</v>
      </c>
      <c r="CN28" t="e">
        <f>AND(TOC!#REF!,"AAAAAGbt5Vs=")</f>
        <v>#REF!</v>
      </c>
      <c r="CO28" t="e">
        <f>AND(TOC!#REF!,"AAAAAGbt5Vw=")</f>
        <v>#REF!</v>
      </c>
      <c r="CP28" t="e">
        <f>AND(TOC!#REF!,"AAAAAGbt5V0=")</f>
        <v>#REF!</v>
      </c>
      <c r="CQ28" t="e">
        <f>AND(TOC!#REF!,"AAAAAGbt5V4=")</f>
        <v>#REF!</v>
      </c>
      <c r="CR28" t="e">
        <f>AND(TOC!#REF!,"AAAAAGbt5V8=")</f>
        <v>#REF!</v>
      </c>
      <c r="CS28" t="e">
        <f>AND(TOC!#REF!,"AAAAAGbt5WA=")</f>
        <v>#REF!</v>
      </c>
      <c r="CT28" t="e">
        <f>AND(TOC!#REF!,"AAAAAGbt5WE=")</f>
        <v>#REF!</v>
      </c>
      <c r="CU28" t="e">
        <f>AND(TOC!#REF!,"AAAAAGbt5WI=")</f>
        <v>#REF!</v>
      </c>
      <c r="CV28" t="e">
        <f>AND(TOC!#REF!,"AAAAAGbt5WM=")</f>
        <v>#REF!</v>
      </c>
      <c r="CW28" t="e">
        <f>AND(TOC!#REF!,"AAAAAGbt5WQ=")</f>
        <v>#REF!</v>
      </c>
      <c r="CX28" t="e">
        <f>AND(TOC!#REF!,"AAAAAGbt5WU=")</f>
        <v>#REF!</v>
      </c>
      <c r="CY28" t="e">
        <f>AND(TOC!#REF!,"AAAAAGbt5WY=")</f>
        <v>#REF!</v>
      </c>
      <c r="CZ28" t="e">
        <f>AND(TOC!#REF!,"AAAAAGbt5Wc=")</f>
        <v>#REF!</v>
      </c>
      <c r="DA28" t="e">
        <f>AND(TOC!#REF!,"AAAAAGbt5Wg=")</f>
        <v>#REF!</v>
      </c>
      <c r="DB28" t="e">
        <f>AND(TOC!#REF!,"AAAAAGbt5Wk=")</f>
        <v>#REF!</v>
      </c>
      <c r="DC28" t="e">
        <f>AND(TOC!#REF!,"AAAAAGbt5Wo=")</f>
        <v>#REF!</v>
      </c>
      <c r="DD28" t="e">
        <f>AND(TOC!#REF!,"AAAAAGbt5Ws=")</f>
        <v>#REF!</v>
      </c>
      <c r="DE28" t="e">
        <f>AND(TOC!#REF!,"AAAAAGbt5Ww=")</f>
        <v>#REF!</v>
      </c>
      <c r="DF28" t="e">
        <f>AND(TOC!#REF!,"AAAAAGbt5W0=")</f>
        <v>#REF!</v>
      </c>
      <c r="DG28" t="e">
        <f>AND(TOC!#REF!,"AAAAAGbt5W4=")</f>
        <v>#REF!</v>
      </c>
      <c r="DH28" t="e">
        <f>AND(TOC!#REF!,"AAAAAGbt5W8=")</f>
        <v>#REF!</v>
      </c>
      <c r="DI28" t="e">
        <f>AND(TOC!#REF!,"AAAAAGbt5XA=")</f>
        <v>#REF!</v>
      </c>
      <c r="DJ28" t="e">
        <f>AND(TOC!#REF!,"AAAAAGbt5XE=")</f>
        <v>#REF!</v>
      </c>
      <c r="DK28" t="e">
        <f>AND(TOC!#REF!,"AAAAAGbt5XI=")</f>
        <v>#REF!</v>
      </c>
      <c r="DL28" t="e">
        <f>AND(TOC!#REF!,"AAAAAGbt5XM=")</f>
        <v>#REF!</v>
      </c>
      <c r="DM28" t="e">
        <f>AND(TOC!#REF!,"AAAAAGbt5XQ=")</f>
        <v>#REF!</v>
      </c>
      <c r="DN28" t="e">
        <f>AND(TOC!#REF!,"AAAAAGbt5XU=")</f>
        <v>#REF!</v>
      </c>
      <c r="DO28" t="e">
        <f>IF(TOC!#REF!,"AAAAAGbt5XY=",0)</f>
        <v>#REF!</v>
      </c>
      <c r="DP28" t="e">
        <f>AND(TOC!#REF!,"AAAAAGbt5Xc=")</f>
        <v>#REF!</v>
      </c>
      <c r="DQ28" t="e">
        <f>AND(TOC!#REF!,"AAAAAGbt5Xg=")</f>
        <v>#REF!</v>
      </c>
      <c r="DR28" t="e">
        <f>AND(TOC!#REF!,"AAAAAGbt5Xk=")</f>
        <v>#REF!</v>
      </c>
      <c r="DS28" t="e">
        <f>AND(TOC!#REF!,"AAAAAGbt5Xo=")</f>
        <v>#REF!</v>
      </c>
      <c r="DT28" t="e">
        <f>AND(TOC!#REF!,"AAAAAGbt5Xs=")</f>
        <v>#REF!</v>
      </c>
      <c r="DU28" t="e">
        <f>AND(TOC!#REF!,"AAAAAGbt5Xw=")</f>
        <v>#REF!</v>
      </c>
      <c r="DV28" t="e">
        <f>AND(TOC!#REF!,"AAAAAGbt5X0=")</f>
        <v>#REF!</v>
      </c>
      <c r="DW28" t="e">
        <f>AND(TOC!#REF!,"AAAAAGbt5X4=")</f>
        <v>#REF!</v>
      </c>
      <c r="DX28" t="e">
        <f>AND(TOC!#REF!,"AAAAAGbt5X8=")</f>
        <v>#REF!</v>
      </c>
      <c r="DY28" t="e">
        <f>AND(TOC!#REF!,"AAAAAGbt5YA=")</f>
        <v>#REF!</v>
      </c>
      <c r="DZ28" t="e">
        <f>AND(TOC!#REF!,"AAAAAGbt5YE=")</f>
        <v>#REF!</v>
      </c>
      <c r="EA28" t="e">
        <f>AND(TOC!#REF!,"AAAAAGbt5YI=")</f>
        <v>#REF!</v>
      </c>
      <c r="EB28" t="e">
        <f>AND(TOC!#REF!,"AAAAAGbt5YM=")</f>
        <v>#REF!</v>
      </c>
      <c r="EC28" t="e">
        <f>AND(TOC!#REF!,"AAAAAGbt5YQ=")</f>
        <v>#REF!</v>
      </c>
      <c r="ED28" t="e">
        <f>AND(TOC!#REF!,"AAAAAGbt5YU=")</f>
        <v>#REF!</v>
      </c>
      <c r="EE28" t="e">
        <f>AND(TOC!#REF!,"AAAAAGbt5YY=")</f>
        <v>#REF!</v>
      </c>
      <c r="EF28" t="e">
        <f>AND(TOC!#REF!,"AAAAAGbt5Yc=")</f>
        <v>#REF!</v>
      </c>
      <c r="EG28" t="e">
        <f>AND(TOC!#REF!,"AAAAAGbt5Yg=")</f>
        <v>#REF!</v>
      </c>
      <c r="EH28" t="e">
        <f>AND(TOC!#REF!,"AAAAAGbt5Yk=")</f>
        <v>#REF!</v>
      </c>
      <c r="EI28" t="e">
        <f>AND(TOC!#REF!,"AAAAAGbt5Yo=")</f>
        <v>#REF!</v>
      </c>
      <c r="EJ28" t="e">
        <f>AND(TOC!#REF!,"AAAAAGbt5Ys=")</f>
        <v>#REF!</v>
      </c>
      <c r="EK28" t="e">
        <f>AND(TOC!#REF!,"AAAAAGbt5Yw=")</f>
        <v>#REF!</v>
      </c>
      <c r="EL28" t="e">
        <f>AND(TOC!#REF!,"AAAAAGbt5Y0=")</f>
        <v>#REF!</v>
      </c>
      <c r="EM28" t="e">
        <f>AND(TOC!#REF!,"AAAAAGbt5Y4=")</f>
        <v>#REF!</v>
      </c>
      <c r="EN28" t="e">
        <f>AND(TOC!#REF!,"AAAAAGbt5Y8=")</f>
        <v>#REF!</v>
      </c>
      <c r="EO28" t="e">
        <f>AND(TOC!#REF!,"AAAAAGbt5ZA=")</f>
        <v>#REF!</v>
      </c>
      <c r="EP28" t="e">
        <f>AND(TOC!#REF!,"AAAAAGbt5ZE=")</f>
        <v>#REF!</v>
      </c>
      <c r="EQ28" t="e">
        <f>AND(TOC!#REF!,"AAAAAGbt5ZI=")</f>
        <v>#REF!</v>
      </c>
      <c r="ER28" t="e">
        <f>AND(TOC!#REF!,"AAAAAGbt5ZM=")</f>
        <v>#REF!</v>
      </c>
      <c r="ES28" t="e">
        <f>AND(TOC!#REF!,"AAAAAGbt5ZQ=")</f>
        <v>#REF!</v>
      </c>
      <c r="ET28" t="e">
        <f>AND(TOC!#REF!,"AAAAAGbt5ZU=")</f>
        <v>#REF!</v>
      </c>
      <c r="EU28" t="e">
        <f>AND(TOC!#REF!,"AAAAAGbt5ZY=")</f>
        <v>#REF!</v>
      </c>
      <c r="EV28" t="e">
        <f>AND(TOC!#REF!,"AAAAAGbt5Zc=")</f>
        <v>#REF!</v>
      </c>
      <c r="EW28" t="e">
        <f>AND(TOC!#REF!,"AAAAAGbt5Zg=")</f>
        <v>#REF!</v>
      </c>
      <c r="EX28" t="e">
        <f>AND(TOC!#REF!,"AAAAAGbt5Zk=")</f>
        <v>#REF!</v>
      </c>
      <c r="EY28" t="e">
        <f>AND(TOC!#REF!,"AAAAAGbt5Zo=")</f>
        <v>#REF!</v>
      </c>
      <c r="EZ28" t="e">
        <f>IF(TOC!#REF!,"AAAAAGbt5Zs=",0)</f>
        <v>#REF!</v>
      </c>
      <c r="FA28" t="e">
        <f>AND(TOC!#REF!,"AAAAAGbt5Zw=")</f>
        <v>#REF!</v>
      </c>
      <c r="FB28" t="e">
        <f>AND(TOC!#REF!,"AAAAAGbt5Z0=")</f>
        <v>#REF!</v>
      </c>
      <c r="FC28" t="e">
        <f>AND(TOC!#REF!,"AAAAAGbt5Z4=")</f>
        <v>#REF!</v>
      </c>
      <c r="FD28" t="e">
        <f>AND(TOC!#REF!,"AAAAAGbt5Z8=")</f>
        <v>#REF!</v>
      </c>
      <c r="FE28" t="e">
        <f>AND(TOC!#REF!,"AAAAAGbt5aA=")</f>
        <v>#REF!</v>
      </c>
      <c r="FF28" t="e">
        <f>AND(TOC!#REF!,"AAAAAGbt5aE=")</f>
        <v>#REF!</v>
      </c>
      <c r="FG28" t="e">
        <f>AND(TOC!#REF!,"AAAAAGbt5aI=")</f>
        <v>#REF!</v>
      </c>
      <c r="FH28" t="e">
        <f>AND(TOC!#REF!,"AAAAAGbt5aM=")</f>
        <v>#REF!</v>
      </c>
      <c r="FI28" t="e">
        <f>AND(TOC!#REF!,"AAAAAGbt5aQ=")</f>
        <v>#REF!</v>
      </c>
      <c r="FJ28" t="e">
        <f>AND(TOC!#REF!,"AAAAAGbt5aU=")</f>
        <v>#REF!</v>
      </c>
      <c r="FK28" t="e">
        <f>AND(TOC!#REF!,"AAAAAGbt5aY=")</f>
        <v>#REF!</v>
      </c>
      <c r="FL28" t="e">
        <f>AND(TOC!#REF!,"AAAAAGbt5ac=")</f>
        <v>#REF!</v>
      </c>
      <c r="FM28" t="e">
        <f>AND(TOC!#REF!,"AAAAAGbt5ag=")</f>
        <v>#REF!</v>
      </c>
      <c r="FN28" t="e">
        <f>AND(TOC!#REF!,"AAAAAGbt5ak=")</f>
        <v>#REF!</v>
      </c>
      <c r="FO28" t="e">
        <f>AND(TOC!#REF!,"AAAAAGbt5ao=")</f>
        <v>#REF!</v>
      </c>
      <c r="FP28" t="e">
        <f>AND(TOC!#REF!,"AAAAAGbt5as=")</f>
        <v>#REF!</v>
      </c>
      <c r="FQ28" t="e">
        <f>AND(TOC!#REF!,"AAAAAGbt5aw=")</f>
        <v>#REF!</v>
      </c>
      <c r="FR28" t="e">
        <f>AND(TOC!#REF!,"AAAAAGbt5a0=")</f>
        <v>#REF!</v>
      </c>
      <c r="FS28" t="e">
        <f>AND(TOC!#REF!,"AAAAAGbt5a4=")</f>
        <v>#REF!</v>
      </c>
      <c r="FT28" t="e">
        <f>AND(TOC!#REF!,"AAAAAGbt5a8=")</f>
        <v>#REF!</v>
      </c>
      <c r="FU28" t="e">
        <f>AND(TOC!#REF!,"AAAAAGbt5bA=")</f>
        <v>#REF!</v>
      </c>
      <c r="FV28" t="e">
        <f>AND(TOC!#REF!,"AAAAAGbt5bE=")</f>
        <v>#REF!</v>
      </c>
      <c r="FW28" t="e">
        <f>AND(TOC!#REF!,"AAAAAGbt5bI=")</f>
        <v>#REF!</v>
      </c>
      <c r="FX28" t="e">
        <f>AND(TOC!#REF!,"AAAAAGbt5bM=")</f>
        <v>#REF!</v>
      </c>
      <c r="FY28" t="e">
        <f>AND(TOC!#REF!,"AAAAAGbt5bQ=")</f>
        <v>#REF!</v>
      </c>
      <c r="FZ28" t="e">
        <f>AND(TOC!#REF!,"AAAAAGbt5bU=")</f>
        <v>#REF!</v>
      </c>
      <c r="GA28" t="e">
        <f>AND(TOC!#REF!,"AAAAAGbt5bY=")</f>
        <v>#REF!</v>
      </c>
      <c r="GB28" t="e">
        <f>AND(TOC!#REF!,"AAAAAGbt5bc=")</f>
        <v>#REF!</v>
      </c>
      <c r="GC28" t="e">
        <f>AND(TOC!#REF!,"AAAAAGbt5bg=")</f>
        <v>#REF!</v>
      </c>
      <c r="GD28" t="e">
        <f>AND(TOC!#REF!,"AAAAAGbt5bk=")</f>
        <v>#REF!</v>
      </c>
      <c r="GE28" t="e">
        <f>AND(TOC!#REF!,"AAAAAGbt5bo=")</f>
        <v>#REF!</v>
      </c>
      <c r="GF28" t="e">
        <f>AND(TOC!#REF!,"AAAAAGbt5bs=")</f>
        <v>#REF!</v>
      </c>
      <c r="GG28" t="e">
        <f>AND(TOC!#REF!,"AAAAAGbt5bw=")</f>
        <v>#REF!</v>
      </c>
      <c r="GH28" t="e">
        <f>AND(TOC!#REF!,"AAAAAGbt5b0=")</f>
        <v>#REF!</v>
      </c>
      <c r="GI28" t="e">
        <f>AND(TOC!#REF!,"AAAAAGbt5b4=")</f>
        <v>#REF!</v>
      </c>
      <c r="GJ28" t="e">
        <f>AND(TOC!#REF!,"AAAAAGbt5b8=")</f>
        <v>#REF!</v>
      </c>
      <c r="GK28" t="e">
        <f>IF(TOC!#REF!,"AAAAAGbt5cA=",0)</f>
        <v>#REF!</v>
      </c>
      <c r="GL28" t="e">
        <f>AND(TOC!#REF!,"AAAAAGbt5cE=")</f>
        <v>#REF!</v>
      </c>
      <c r="GM28" t="e">
        <f>AND(TOC!#REF!,"AAAAAGbt5cI=")</f>
        <v>#REF!</v>
      </c>
      <c r="GN28" t="e">
        <f>AND(TOC!#REF!,"AAAAAGbt5cM=")</f>
        <v>#REF!</v>
      </c>
      <c r="GO28" t="e">
        <f>AND(TOC!#REF!,"AAAAAGbt5cQ=")</f>
        <v>#REF!</v>
      </c>
      <c r="GP28" t="e">
        <f>AND(TOC!#REF!,"AAAAAGbt5cU=")</f>
        <v>#REF!</v>
      </c>
      <c r="GQ28" t="e">
        <f>AND(TOC!#REF!,"AAAAAGbt5cY=")</f>
        <v>#REF!</v>
      </c>
      <c r="GR28" t="e">
        <f>AND(TOC!#REF!,"AAAAAGbt5cc=")</f>
        <v>#REF!</v>
      </c>
      <c r="GS28" t="e">
        <f>AND(TOC!#REF!,"AAAAAGbt5cg=")</f>
        <v>#REF!</v>
      </c>
      <c r="GT28" t="e">
        <f>AND(TOC!#REF!,"AAAAAGbt5ck=")</f>
        <v>#REF!</v>
      </c>
      <c r="GU28" t="e">
        <f>AND(TOC!#REF!,"AAAAAGbt5co=")</f>
        <v>#REF!</v>
      </c>
      <c r="GV28" t="e">
        <f>AND(TOC!#REF!,"AAAAAGbt5cs=")</f>
        <v>#REF!</v>
      </c>
      <c r="GW28" t="e">
        <f>AND(TOC!#REF!,"AAAAAGbt5cw=")</f>
        <v>#REF!</v>
      </c>
      <c r="GX28" t="e">
        <f>AND(TOC!#REF!,"AAAAAGbt5c0=")</f>
        <v>#REF!</v>
      </c>
      <c r="GY28" t="e">
        <f>AND(TOC!#REF!,"AAAAAGbt5c4=")</f>
        <v>#REF!</v>
      </c>
      <c r="GZ28" t="e">
        <f>AND(TOC!#REF!,"AAAAAGbt5c8=")</f>
        <v>#REF!</v>
      </c>
      <c r="HA28" t="e">
        <f>AND(TOC!#REF!,"AAAAAGbt5dA=")</f>
        <v>#REF!</v>
      </c>
      <c r="HB28" t="e">
        <f>AND(TOC!#REF!,"AAAAAGbt5dE=")</f>
        <v>#REF!</v>
      </c>
      <c r="HC28" t="e">
        <f>AND(TOC!#REF!,"AAAAAGbt5dI=")</f>
        <v>#REF!</v>
      </c>
      <c r="HD28" t="e">
        <f>AND(TOC!#REF!,"AAAAAGbt5dM=")</f>
        <v>#REF!</v>
      </c>
      <c r="HE28" t="e">
        <f>AND(TOC!#REF!,"AAAAAGbt5dQ=")</f>
        <v>#REF!</v>
      </c>
      <c r="HF28" t="e">
        <f>AND(TOC!#REF!,"AAAAAGbt5dU=")</f>
        <v>#REF!</v>
      </c>
      <c r="HG28" t="e">
        <f>AND(TOC!#REF!,"AAAAAGbt5dY=")</f>
        <v>#REF!</v>
      </c>
      <c r="HH28" t="e">
        <f>AND(TOC!#REF!,"AAAAAGbt5dc=")</f>
        <v>#REF!</v>
      </c>
      <c r="HI28" t="e">
        <f>AND(TOC!#REF!,"AAAAAGbt5dg=")</f>
        <v>#REF!</v>
      </c>
      <c r="HJ28" t="e">
        <f>AND(TOC!#REF!,"AAAAAGbt5dk=")</f>
        <v>#REF!</v>
      </c>
      <c r="HK28" t="e">
        <f>AND(TOC!#REF!,"AAAAAGbt5do=")</f>
        <v>#REF!</v>
      </c>
      <c r="HL28" t="e">
        <f>AND(TOC!#REF!,"AAAAAGbt5ds=")</f>
        <v>#REF!</v>
      </c>
      <c r="HM28" t="e">
        <f>AND(TOC!#REF!,"AAAAAGbt5dw=")</f>
        <v>#REF!</v>
      </c>
      <c r="HN28" t="e">
        <f>AND(TOC!#REF!,"AAAAAGbt5d0=")</f>
        <v>#REF!</v>
      </c>
      <c r="HO28" t="e">
        <f>AND(TOC!#REF!,"AAAAAGbt5d4=")</f>
        <v>#REF!</v>
      </c>
      <c r="HP28" t="e">
        <f>AND(TOC!#REF!,"AAAAAGbt5d8=")</f>
        <v>#REF!</v>
      </c>
      <c r="HQ28" t="e">
        <f>AND(TOC!#REF!,"AAAAAGbt5eA=")</f>
        <v>#REF!</v>
      </c>
      <c r="HR28" t="e">
        <f>AND(TOC!#REF!,"AAAAAGbt5eE=")</f>
        <v>#REF!</v>
      </c>
      <c r="HS28" t="e">
        <f>AND(TOC!#REF!,"AAAAAGbt5eI=")</f>
        <v>#REF!</v>
      </c>
      <c r="HT28" t="e">
        <f>AND(TOC!#REF!,"AAAAAGbt5eM=")</f>
        <v>#REF!</v>
      </c>
      <c r="HU28" t="e">
        <f>AND(TOC!#REF!,"AAAAAGbt5eQ=")</f>
        <v>#REF!</v>
      </c>
      <c r="HV28" t="e">
        <f>IF(TOC!#REF!,"AAAAAGbt5eU=",0)</f>
        <v>#REF!</v>
      </c>
      <c r="HW28" t="e">
        <f>AND(TOC!#REF!,"AAAAAGbt5eY=")</f>
        <v>#REF!</v>
      </c>
      <c r="HX28" t="e">
        <f>AND(TOC!#REF!,"AAAAAGbt5ec=")</f>
        <v>#REF!</v>
      </c>
      <c r="HY28" t="e">
        <f>AND(TOC!#REF!,"AAAAAGbt5eg=")</f>
        <v>#REF!</v>
      </c>
      <c r="HZ28" t="e">
        <f>AND(TOC!#REF!,"AAAAAGbt5ek=")</f>
        <v>#REF!</v>
      </c>
      <c r="IA28" t="e">
        <f>AND(TOC!#REF!,"AAAAAGbt5eo=")</f>
        <v>#REF!</v>
      </c>
      <c r="IB28" t="e">
        <f>AND(TOC!#REF!,"AAAAAGbt5es=")</f>
        <v>#REF!</v>
      </c>
      <c r="IC28" t="e">
        <f>AND(TOC!#REF!,"AAAAAGbt5ew=")</f>
        <v>#REF!</v>
      </c>
      <c r="ID28" t="e">
        <f>AND(TOC!#REF!,"AAAAAGbt5e0=")</f>
        <v>#REF!</v>
      </c>
      <c r="IE28" t="e">
        <f>AND(TOC!#REF!,"AAAAAGbt5e4=")</f>
        <v>#REF!</v>
      </c>
      <c r="IF28" t="e">
        <f>AND(TOC!#REF!,"AAAAAGbt5e8=")</f>
        <v>#REF!</v>
      </c>
      <c r="IG28" t="e">
        <f>AND(TOC!#REF!,"AAAAAGbt5fA=")</f>
        <v>#REF!</v>
      </c>
      <c r="IH28" t="e">
        <f>AND(TOC!#REF!,"AAAAAGbt5fE=")</f>
        <v>#REF!</v>
      </c>
      <c r="II28" t="e">
        <f>AND(TOC!#REF!,"AAAAAGbt5fI=")</f>
        <v>#REF!</v>
      </c>
      <c r="IJ28" t="e">
        <f>AND(TOC!#REF!,"AAAAAGbt5fM=")</f>
        <v>#REF!</v>
      </c>
      <c r="IK28" t="e">
        <f>AND(TOC!#REF!,"AAAAAGbt5fQ=")</f>
        <v>#REF!</v>
      </c>
      <c r="IL28" t="e">
        <f>AND(TOC!#REF!,"AAAAAGbt5fU=")</f>
        <v>#REF!</v>
      </c>
      <c r="IM28" t="e">
        <f>AND(TOC!#REF!,"AAAAAGbt5fY=")</f>
        <v>#REF!</v>
      </c>
      <c r="IN28" t="e">
        <f>AND(TOC!#REF!,"AAAAAGbt5fc=")</f>
        <v>#REF!</v>
      </c>
      <c r="IO28" t="e">
        <f>AND(TOC!#REF!,"AAAAAGbt5fg=")</f>
        <v>#REF!</v>
      </c>
      <c r="IP28" t="e">
        <f>AND(TOC!#REF!,"AAAAAGbt5fk=")</f>
        <v>#REF!</v>
      </c>
      <c r="IQ28" t="e">
        <f>AND(TOC!#REF!,"AAAAAGbt5fo=")</f>
        <v>#REF!</v>
      </c>
      <c r="IR28" t="e">
        <f>AND(TOC!#REF!,"AAAAAGbt5fs=")</f>
        <v>#REF!</v>
      </c>
      <c r="IS28" t="e">
        <f>AND(TOC!#REF!,"AAAAAGbt5fw=")</f>
        <v>#REF!</v>
      </c>
      <c r="IT28" t="e">
        <f>AND(TOC!#REF!,"AAAAAGbt5f0=")</f>
        <v>#REF!</v>
      </c>
      <c r="IU28" t="e">
        <f>AND(TOC!#REF!,"AAAAAGbt5f4=")</f>
        <v>#REF!</v>
      </c>
      <c r="IV28" t="e">
        <f>AND(TOC!#REF!,"AAAAAGbt5f8=")</f>
        <v>#REF!</v>
      </c>
    </row>
    <row r="29" spans="1:256" x14ac:dyDescent="0.2">
      <c r="A29" t="e">
        <f>AND(TOC!#REF!,"AAAAACv8dQA=")</f>
        <v>#REF!</v>
      </c>
      <c r="B29" t="e">
        <f>AND(TOC!#REF!,"AAAAACv8dQE=")</f>
        <v>#REF!</v>
      </c>
      <c r="C29" t="e">
        <f>AND(TOC!#REF!,"AAAAACv8dQI=")</f>
        <v>#REF!</v>
      </c>
      <c r="D29" t="e">
        <f>AND(TOC!#REF!,"AAAAACv8dQM=")</f>
        <v>#REF!</v>
      </c>
      <c r="E29" t="e">
        <f>AND(TOC!#REF!,"AAAAACv8dQQ=")</f>
        <v>#REF!</v>
      </c>
      <c r="F29" t="e">
        <f>AND(TOC!#REF!,"AAAAACv8dQU=")</f>
        <v>#REF!</v>
      </c>
      <c r="G29" t="e">
        <f>AND(TOC!#REF!,"AAAAACv8dQY=")</f>
        <v>#REF!</v>
      </c>
      <c r="H29" t="e">
        <f>AND(TOC!#REF!,"AAAAACv8dQc=")</f>
        <v>#REF!</v>
      </c>
      <c r="I29" t="e">
        <f>AND(TOC!#REF!,"AAAAACv8dQg=")</f>
        <v>#REF!</v>
      </c>
      <c r="J29" t="e">
        <f>AND(TOC!#REF!,"AAAAACv8dQk=")</f>
        <v>#REF!</v>
      </c>
      <c r="K29" t="e">
        <f>IF(TOC!#REF!,"AAAAACv8dQo=",0)</f>
        <v>#REF!</v>
      </c>
      <c r="L29" t="e">
        <f>AND(TOC!#REF!,"AAAAACv8dQs=")</f>
        <v>#REF!</v>
      </c>
      <c r="M29" t="e">
        <f>AND(TOC!#REF!,"AAAAACv8dQw=")</f>
        <v>#REF!</v>
      </c>
      <c r="N29" t="e">
        <f>AND(TOC!#REF!,"AAAAACv8dQ0=")</f>
        <v>#REF!</v>
      </c>
      <c r="O29" t="e">
        <f>AND(TOC!#REF!,"AAAAACv8dQ4=")</f>
        <v>#REF!</v>
      </c>
      <c r="P29" t="e">
        <f>AND(TOC!#REF!,"AAAAACv8dQ8=")</f>
        <v>#REF!</v>
      </c>
      <c r="Q29" t="e">
        <f>AND(TOC!#REF!,"AAAAACv8dRA=")</f>
        <v>#REF!</v>
      </c>
      <c r="R29" t="e">
        <f>AND(TOC!#REF!,"AAAAACv8dRE=")</f>
        <v>#REF!</v>
      </c>
      <c r="S29" t="e">
        <f>AND(TOC!#REF!,"AAAAACv8dRI=")</f>
        <v>#REF!</v>
      </c>
      <c r="T29" t="e">
        <f>AND(TOC!#REF!,"AAAAACv8dRM=")</f>
        <v>#REF!</v>
      </c>
      <c r="U29" t="e">
        <f>AND(TOC!#REF!,"AAAAACv8dRQ=")</f>
        <v>#REF!</v>
      </c>
      <c r="V29" t="e">
        <f>AND(TOC!#REF!,"AAAAACv8dRU=")</f>
        <v>#REF!</v>
      </c>
      <c r="W29" t="e">
        <f>AND(TOC!#REF!,"AAAAACv8dRY=")</f>
        <v>#REF!</v>
      </c>
      <c r="X29" t="e">
        <f>AND(TOC!#REF!,"AAAAACv8dRc=")</f>
        <v>#REF!</v>
      </c>
      <c r="Y29" t="e">
        <f>AND(TOC!#REF!,"AAAAACv8dRg=")</f>
        <v>#REF!</v>
      </c>
      <c r="Z29" t="e">
        <f>AND(TOC!#REF!,"AAAAACv8dRk=")</f>
        <v>#REF!</v>
      </c>
      <c r="AA29" t="e">
        <f>AND(TOC!#REF!,"AAAAACv8dRo=")</f>
        <v>#REF!</v>
      </c>
      <c r="AB29" t="e">
        <f>AND(TOC!#REF!,"AAAAACv8dRs=")</f>
        <v>#REF!</v>
      </c>
      <c r="AC29" t="e">
        <f>AND(TOC!#REF!,"AAAAACv8dRw=")</f>
        <v>#REF!</v>
      </c>
      <c r="AD29" t="e">
        <f>AND(TOC!#REF!,"AAAAACv8dR0=")</f>
        <v>#REF!</v>
      </c>
      <c r="AE29" t="e">
        <f>AND(TOC!#REF!,"AAAAACv8dR4=")</f>
        <v>#REF!</v>
      </c>
      <c r="AF29" t="e">
        <f>AND(TOC!#REF!,"AAAAACv8dR8=")</f>
        <v>#REF!</v>
      </c>
      <c r="AG29" t="e">
        <f>AND(TOC!#REF!,"AAAAACv8dSA=")</f>
        <v>#REF!</v>
      </c>
      <c r="AH29" t="e">
        <f>AND(TOC!#REF!,"AAAAACv8dSE=")</f>
        <v>#REF!</v>
      </c>
      <c r="AI29" t="e">
        <f>AND(TOC!#REF!,"AAAAACv8dSI=")</f>
        <v>#REF!</v>
      </c>
      <c r="AJ29" t="e">
        <f>AND(TOC!#REF!,"AAAAACv8dSM=")</f>
        <v>#REF!</v>
      </c>
      <c r="AK29" t="e">
        <f>AND(TOC!#REF!,"AAAAACv8dSQ=")</f>
        <v>#REF!</v>
      </c>
      <c r="AL29" t="e">
        <f>AND(TOC!#REF!,"AAAAACv8dSU=")</f>
        <v>#REF!</v>
      </c>
      <c r="AM29" t="e">
        <f>AND(TOC!#REF!,"AAAAACv8dSY=")</f>
        <v>#REF!</v>
      </c>
      <c r="AN29" t="e">
        <f>AND(TOC!#REF!,"AAAAACv8dSc=")</f>
        <v>#REF!</v>
      </c>
      <c r="AO29" t="e">
        <f>AND(TOC!#REF!,"AAAAACv8dSg=")</f>
        <v>#REF!</v>
      </c>
      <c r="AP29" t="e">
        <f>AND(TOC!#REF!,"AAAAACv8dSk=")</f>
        <v>#REF!</v>
      </c>
      <c r="AQ29" t="e">
        <f>AND(TOC!#REF!,"AAAAACv8dSo=")</f>
        <v>#REF!</v>
      </c>
      <c r="AR29" t="e">
        <f>AND(TOC!#REF!,"AAAAACv8dSs=")</f>
        <v>#REF!</v>
      </c>
      <c r="AS29" t="e">
        <f>AND(TOC!#REF!,"AAAAACv8dSw=")</f>
        <v>#REF!</v>
      </c>
      <c r="AT29" t="e">
        <f>AND(TOC!#REF!,"AAAAACv8dS0=")</f>
        <v>#REF!</v>
      </c>
      <c r="AU29" t="e">
        <f>AND(TOC!#REF!,"AAAAACv8dS4=")</f>
        <v>#REF!</v>
      </c>
      <c r="AV29" t="e">
        <f>IF(TOC!#REF!,"AAAAACv8dS8=",0)</f>
        <v>#REF!</v>
      </c>
      <c r="AW29" t="e">
        <f>AND(TOC!#REF!,"AAAAACv8dTA=")</f>
        <v>#REF!</v>
      </c>
      <c r="AX29" t="e">
        <f>AND(TOC!#REF!,"AAAAACv8dTE=")</f>
        <v>#REF!</v>
      </c>
      <c r="AY29" t="e">
        <f>AND(TOC!#REF!,"AAAAACv8dTI=")</f>
        <v>#REF!</v>
      </c>
      <c r="AZ29" t="e">
        <f>AND(TOC!#REF!,"AAAAACv8dTM=")</f>
        <v>#REF!</v>
      </c>
      <c r="BA29" t="e">
        <f>AND(TOC!#REF!,"AAAAACv8dTQ=")</f>
        <v>#REF!</v>
      </c>
      <c r="BB29" t="e">
        <f>AND(TOC!#REF!,"AAAAACv8dTU=")</f>
        <v>#REF!</v>
      </c>
      <c r="BC29" t="e">
        <f>AND(TOC!#REF!,"AAAAACv8dTY=")</f>
        <v>#REF!</v>
      </c>
      <c r="BD29" t="e">
        <f>AND(TOC!#REF!,"AAAAACv8dTc=")</f>
        <v>#REF!</v>
      </c>
      <c r="BE29" t="e">
        <f>AND(TOC!#REF!,"AAAAACv8dTg=")</f>
        <v>#REF!</v>
      </c>
      <c r="BF29" t="e">
        <f>AND(TOC!#REF!,"AAAAACv8dTk=")</f>
        <v>#REF!</v>
      </c>
      <c r="BG29" t="e">
        <f>AND(TOC!#REF!,"AAAAACv8dTo=")</f>
        <v>#REF!</v>
      </c>
      <c r="BH29" t="e">
        <f>AND(TOC!#REF!,"AAAAACv8dTs=")</f>
        <v>#REF!</v>
      </c>
      <c r="BI29" t="e">
        <f>AND(TOC!#REF!,"AAAAACv8dTw=")</f>
        <v>#REF!</v>
      </c>
      <c r="BJ29" t="e">
        <f>AND(TOC!#REF!,"AAAAACv8dT0=")</f>
        <v>#REF!</v>
      </c>
      <c r="BK29" t="e">
        <f>AND(TOC!#REF!,"AAAAACv8dT4=")</f>
        <v>#REF!</v>
      </c>
      <c r="BL29" t="e">
        <f>AND(TOC!#REF!,"AAAAACv8dT8=")</f>
        <v>#REF!</v>
      </c>
      <c r="BM29" t="e">
        <f>AND(TOC!#REF!,"AAAAACv8dUA=")</f>
        <v>#REF!</v>
      </c>
      <c r="BN29" t="e">
        <f>AND(TOC!#REF!,"AAAAACv8dUE=")</f>
        <v>#REF!</v>
      </c>
      <c r="BO29" t="e">
        <f>AND(TOC!#REF!,"AAAAACv8dUI=")</f>
        <v>#REF!</v>
      </c>
      <c r="BP29" t="e">
        <f>AND(TOC!#REF!,"AAAAACv8dUM=")</f>
        <v>#REF!</v>
      </c>
      <c r="BQ29" t="e">
        <f>AND(TOC!#REF!,"AAAAACv8dUQ=")</f>
        <v>#REF!</v>
      </c>
      <c r="BR29" t="e">
        <f>AND(TOC!#REF!,"AAAAACv8dUU=")</f>
        <v>#REF!</v>
      </c>
      <c r="BS29" t="e">
        <f>AND(TOC!#REF!,"AAAAACv8dUY=")</f>
        <v>#REF!</v>
      </c>
      <c r="BT29" t="e">
        <f>AND(TOC!#REF!,"AAAAACv8dUc=")</f>
        <v>#REF!</v>
      </c>
      <c r="BU29" t="e">
        <f>AND(TOC!#REF!,"AAAAACv8dUg=")</f>
        <v>#REF!</v>
      </c>
      <c r="BV29" t="e">
        <f>AND(TOC!#REF!,"AAAAACv8dUk=")</f>
        <v>#REF!</v>
      </c>
      <c r="BW29" t="e">
        <f>AND(TOC!#REF!,"AAAAACv8dUo=")</f>
        <v>#REF!</v>
      </c>
      <c r="BX29" t="e">
        <f>AND(TOC!#REF!,"AAAAACv8dUs=")</f>
        <v>#REF!</v>
      </c>
      <c r="BY29" t="e">
        <f>AND(TOC!#REF!,"AAAAACv8dUw=")</f>
        <v>#REF!</v>
      </c>
      <c r="BZ29" t="e">
        <f>AND(TOC!#REF!,"AAAAACv8dU0=")</f>
        <v>#REF!</v>
      </c>
      <c r="CA29" t="e">
        <f>AND(TOC!#REF!,"AAAAACv8dU4=")</f>
        <v>#REF!</v>
      </c>
      <c r="CB29" t="e">
        <f>AND(TOC!#REF!,"AAAAACv8dU8=")</f>
        <v>#REF!</v>
      </c>
      <c r="CC29" t="e">
        <f>AND(TOC!#REF!,"AAAAACv8dVA=")</f>
        <v>#REF!</v>
      </c>
      <c r="CD29" t="e">
        <f>AND(TOC!#REF!,"AAAAACv8dVE=")</f>
        <v>#REF!</v>
      </c>
      <c r="CE29" t="e">
        <f>AND(TOC!#REF!,"AAAAACv8dVI=")</f>
        <v>#REF!</v>
      </c>
      <c r="CF29" t="e">
        <f>AND(TOC!#REF!,"AAAAACv8dVM=")</f>
        <v>#REF!</v>
      </c>
      <c r="CG29" t="e">
        <f>IF(TOC!#REF!,"AAAAACv8dVQ=",0)</f>
        <v>#REF!</v>
      </c>
      <c r="CH29" t="e">
        <f>AND(TOC!#REF!,"AAAAACv8dVU=")</f>
        <v>#REF!</v>
      </c>
      <c r="CI29" t="e">
        <f>AND(TOC!#REF!,"AAAAACv8dVY=")</f>
        <v>#REF!</v>
      </c>
      <c r="CJ29" t="e">
        <f>AND(TOC!#REF!,"AAAAACv8dVc=")</f>
        <v>#REF!</v>
      </c>
      <c r="CK29" t="e">
        <f>AND(TOC!#REF!,"AAAAACv8dVg=")</f>
        <v>#REF!</v>
      </c>
      <c r="CL29" t="e">
        <f>AND(TOC!#REF!,"AAAAACv8dVk=")</f>
        <v>#REF!</v>
      </c>
      <c r="CM29" t="e">
        <f>AND(TOC!#REF!,"AAAAACv8dVo=")</f>
        <v>#REF!</v>
      </c>
      <c r="CN29" t="e">
        <f>AND(TOC!#REF!,"AAAAACv8dVs=")</f>
        <v>#REF!</v>
      </c>
      <c r="CO29" t="e">
        <f>AND(TOC!#REF!,"AAAAACv8dVw=")</f>
        <v>#REF!</v>
      </c>
      <c r="CP29" t="e">
        <f>AND(TOC!#REF!,"AAAAACv8dV0=")</f>
        <v>#REF!</v>
      </c>
      <c r="CQ29" t="e">
        <f>AND(TOC!#REF!,"AAAAACv8dV4=")</f>
        <v>#REF!</v>
      </c>
      <c r="CR29" t="e">
        <f>AND(TOC!#REF!,"AAAAACv8dV8=")</f>
        <v>#REF!</v>
      </c>
      <c r="CS29" t="e">
        <f>AND(TOC!#REF!,"AAAAACv8dWA=")</f>
        <v>#REF!</v>
      </c>
      <c r="CT29" t="e">
        <f>AND(TOC!#REF!,"AAAAACv8dWE=")</f>
        <v>#REF!</v>
      </c>
      <c r="CU29" t="e">
        <f>AND(TOC!#REF!,"AAAAACv8dWI=")</f>
        <v>#REF!</v>
      </c>
      <c r="CV29" t="e">
        <f>AND(TOC!#REF!,"AAAAACv8dWM=")</f>
        <v>#REF!</v>
      </c>
      <c r="CW29" t="e">
        <f>AND(TOC!#REF!,"AAAAACv8dWQ=")</f>
        <v>#REF!</v>
      </c>
      <c r="CX29" t="e">
        <f>AND(TOC!#REF!,"AAAAACv8dWU=")</f>
        <v>#REF!</v>
      </c>
      <c r="CY29" t="e">
        <f>AND(TOC!#REF!,"AAAAACv8dWY=")</f>
        <v>#REF!</v>
      </c>
      <c r="CZ29" t="e">
        <f>AND(TOC!#REF!,"AAAAACv8dWc=")</f>
        <v>#REF!</v>
      </c>
      <c r="DA29" t="e">
        <f>AND(TOC!#REF!,"AAAAACv8dWg=")</f>
        <v>#REF!</v>
      </c>
      <c r="DB29" t="e">
        <f>AND(TOC!#REF!,"AAAAACv8dWk=")</f>
        <v>#REF!</v>
      </c>
      <c r="DC29" t="e">
        <f>AND(TOC!#REF!,"AAAAACv8dWo=")</f>
        <v>#REF!</v>
      </c>
      <c r="DD29" t="e">
        <f>AND(TOC!#REF!,"AAAAACv8dWs=")</f>
        <v>#REF!</v>
      </c>
      <c r="DE29" t="e">
        <f>AND(TOC!#REF!,"AAAAACv8dWw=")</f>
        <v>#REF!</v>
      </c>
      <c r="DF29" t="e">
        <f>AND(TOC!#REF!,"AAAAACv8dW0=")</f>
        <v>#REF!</v>
      </c>
      <c r="DG29" t="e">
        <f>AND(TOC!#REF!,"AAAAACv8dW4=")</f>
        <v>#REF!</v>
      </c>
      <c r="DH29" t="e">
        <f>AND(TOC!#REF!,"AAAAACv8dW8=")</f>
        <v>#REF!</v>
      </c>
      <c r="DI29" t="e">
        <f>AND(TOC!#REF!,"AAAAACv8dXA=")</f>
        <v>#REF!</v>
      </c>
      <c r="DJ29" t="e">
        <f>AND(TOC!#REF!,"AAAAACv8dXE=")</f>
        <v>#REF!</v>
      </c>
      <c r="DK29" t="e">
        <f>AND(TOC!#REF!,"AAAAACv8dXI=")</f>
        <v>#REF!</v>
      </c>
      <c r="DL29" t="e">
        <f>AND(TOC!#REF!,"AAAAACv8dXM=")</f>
        <v>#REF!</v>
      </c>
      <c r="DM29" t="e">
        <f>AND(TOC!#REF!,"AAAAACv8dXQ=")</f>
        <v>#REF!</v>
      </c>
      <c r="DN29" t="e">
        <f>AND(TOC!#REF!,"AAAAACv8dXU=")</f>
        <v>#REF!</v>
      </c>
      <c r="DO29" t="e">
        <f>AND(TOC!#REF!,"AAAAACv8dXY=")</f>
        <v>#REF!</v>
      </c>
      <c r="DP29" t="e">
        <f>AND(TOC!#REF!,"AAAAACv8dXc=")</f>
        <v>#REF!</v>
      </c>
      <c r="DQ29" t="e">
        <f>AND(TOC!#REF!,"AAAAACv8dXg=")</f>
        <v>#REF!</v>
      </c>
      <c r="DR29" t="e">
        <f>IF(TOC!#REF!,"AAAAACv8dXk=",0)</f>
        <v>#REF!</v>
      </c>
      <c r="DS29" t="e">
        <f>AND(TOC!#REF!,"AAAAACv8dXo=")</f>
        <v>#REF!</v>
      </c>
      <c r="DT29" t="e">
        <f>AND(TOC!#REF!,"AAAAACv8dXs=")</f>
        <v>#REF!</v>
      </c>
      <c r="DU29" t="e">
        <f>AND(TOC!#REF!,"AAAAACv8dXw=")</f>
        <v>#REF!</v>
      </c>
      <c r="DV29" t="e">
        <f>AND(TOC!#REF!,"AAAAACv8dX0=")</f>
        <v>#REF!</v>
      </c>
      <c r="DW29" t="e">
        <f>AND(TOC!#REF!,"AAAAACv8dX4=")</f>
        <v>#REF!</v>
      </c>
      <c r="DX29" t="e">
        <f>AND(TOC!#REF!,"AAAAACv8dX8=")</f>
        <v>#REF!</v>
      </c>
      <c r="DY29" t="e">
        <f>AND(TOC!#REF!,"AAAAACv8dYA=")</f>
        <v>#REF!</v>
      </c>
      <c r="DZ29" t="e">
        <f>AND(TOC!#REF!,"AAAAACv8dYE=")</f>
        <v>#REF!</v>
      </c>
      <c r="EA29" t="e">
        <f>AND(TOC!#REF!,"AAAAACv8dYI=")</f>
        <v>#REF!</v>
      </c>
      <c r="EB29" t="e">
        <f>AND(TOC!#REF!,"AAAAACv8dYM=")</f>
        <v>#REF!</v>
      </c>
      <c r="EC29" t="e">
        <f>AND(TOC!#REF!,"AAAAACv8dYQ=")</f>
        <v>#REF!</v>
      </c>
      <c r="ED29" t="e">
        <f>AND(TOC!#REF!,"AAAAACv8dYU=")</f>
        <v>#REF!</v>
      </c>
      <c r="EE29" t="e">
        <f>AND(TOC!#REF!,"AAAAACv8dYY=")</f>
        <v>#REF!</v>
      </c>
      <c r="EF29" t="e">
        <f>AND(TOC!#REF!,"AAAAACv8dYc=")</f>
        <v>#REF!</v>
      </c>
      <c r="EG29" t="e">
        <f>AND(TOC!#REF!,"AAAAACv8dYg=")</f>
        <v>#REF!</v>
      </c>
      <c r="EH29" t="e">
        <f>AND(TOC!#REF!,"AAAAACv8dYk=")</f>
        <v>#REF!</v>
      </c>
      <c r="EI29" t="e">
        <f>AND(TOC!#REF!,"AAAAACv8dYo=")</f>
        <v>#REF!</v>
      </c>
      <c r="EJ29" t="e">
        <f>AND(TOC!#REF!,"AAAAACv8dYs=")</f>
        <v>#REF!</v>
      </c>
      <c r="EK29" t="e">
        <f>AND(TOC!#REF!,"AAAAACv8dYw=")</f>
        <v>#REF!</v>
      </c>
      <c r="EL29" t="e">
        <f>AND(TOC!#REF!,"AAAAACv8dY0=")</f>
        <v>#REF!</v>
      </c>
      <c r="EM29" t="e">
        <f>AND(TOC!#REF!,"AAAAACv8dY4=")</f>
        <v>#REF!</v>
      </c>
      <c r="EN29" t="e">
        <f>AND(TOC!#REF!,"AAAAACv8dY8=")</f>
        <v>#REF!</v>
      </c>
      <c r="EO29" t="e">
        <f>AND(TOC!#REF!,"AAAAACv8dZA=")</f>
        <v>#REF!</v>
      </c>
      <c r="EP29" t="e">
        <f>AND(TOC!#REF!,"AAAAACv8dZE=")</f>
        <v>#REF!</v>
      </c>
      <c r="EQ29" t="e">
        <f>AND(TOC!#REF!,"AAAAACv8dZI=")</f>
        <v>#REF!</v>
      </c>
      <c r="ER29" t="e">
        <f>AND(TOC!#REF!,"AAAAACv8dZM=")</f>
        <v>#REF!</v>
      </c>
      <c r="ES29" t="e">
        <f>AND(TOC!#REF!,"AAAAACv8dZQ=")</f>
        <v>#REF!</v>
      </c>
      <c r="ET29" t="e">
        <f>AND(TOC!#REF!,"AAAAACv8dZU=")</f>
        <v>#REF!</v>
      </c>
      <c r="EU29" t="e">
        <f>AND(TOC!#REF!,"AAAAACv8dZY=")</f>
        <v>#REF!</v>
      </c>
      <c r="EV29" t="e">
        <f>AND(TOC!#REF!,"AAAAACv8dZc=")</f>
        <v>#REF!</v>
      </c>
      <c r="EW29" t="e">
        <f>AND(TOC!#REF!,"AAAAACv8dZg=")</f>
        <v>#REF!</v>
      </c>
      <c r="EX29" t="e">
        <f>AND(TOC!#REF!,"AAAAACv8dZk=")</f>
        <v>#REF!</v>
      </c>
      <c r="EY29" t="e">
        <f>AND(TOC!#REF!,"AAAAACv8dZo=")</f>
        <v>#REF!</v>
      </c>
      <c r="EZ29" t="e">
        <f>AND(TOC!#REF!,"AAAAACv8dZs=")</f>
        <v>#REF!</v>
      </c>
      <c r="FA29" t="e">
        <f>AND(TOC!#REF!,"AAAAACv8dZw=")</f>
        <v>#REF!</v>
      </c>
      <c r="FB29" t="e">
        <f>AND(TOC!#REF!,"AAAAACv8dZ0=")</f>
        <v>#REF!</v>
      </c>
      <c r="FC29" t="e">
        <f>IF(TOC!#REF!,"AAAAACv8dZ4=",0)</f>
        <v>#REF!</v>
      </c>
      <c r="FD29" t="e">
        <f>AND(TOC!#REF!,"AAAAACv8dZ8=")</f>
        <v>#REF!</v>
      </c>
      <c r="FE29" t="e">
        <f>AND(TOC!#REF!,"AAAAACv8daA=")</f>
        <v>#REF!</v>
      </c>
      <c r="FF29" t="e">
        <f>AND(TOC!#REF!,"AAAAACv8daE=")</f>
        <v>#REF!</v>
      </c>
      <c r="FG29" t="e">
        <f>AND(TOC!#REF!,"AAAAACv8daI=")</f>
        <v>#REF!</v>
      </c>
      <c r="FH29" t="e">
        <f>AND(TOC!#REF!,"AAAAACv8daM=")</f>
        <v>#REF!</v>
      </c>
      <c r="FI29" t="e">
        <f>AND(TOC!#REF!,"AAAAACv8daQ=")</f>
        <v>#REF!</v>
      </c>
      <c r="FJ29" t="e">
        <f>AND(TOC!#REF!,"AAAAACv8daU=")</f>
        <v>#REF!</v>
      </c>
      <c r="FK29" t="e">
        <f>AND(TOC!#REF!,"AAAAACv8daY=")</f>
        <v>#REF!</v>
      </c>
      <c r="FL29" t="e">
        <f>AND(TOC!#REF!,"AAAAACv8dac=")</f>
        <v>#REF!</v>
      </c>
      <c r="FM29" t="e">
        <f>AND(TOC!#REF!,"AAAAACv8dag=")</f>
        <v>#REF!</v>
      </c>
      <c r="FN29" t="e">
        <f>AND(TOC!#REF!,"AAAAACv8dak=")</f>
        <v>#REF!</v>
      </c>
      <c r="FO29" t="e">
        <f>AND(TOC!#REF!,"AAAAACv8dao=")</f>
        <v>#REF!</v>
      </c>
      <c r="FP29" t="e">
        <f>AND(TOC!#REF!,"AAAAACv8das=")</f>
        <v>#REF!</v>
      </c>
      <c r="FQ29" t="e">
        <f>AND(TOC!#REF!,"AAAAACv8daw=")</f>
        <v>#REF!</v>
      </c>
      <c r="FR29" t="e">
        <f>AND(TOC!#REF!,"AAAAACv8da0=")</f>
        <v>#REF!</v>
      </c>
      <c r="FS29" t="e">
        <f>AND(TOC!#REF!,"AAAAACv8da4=")</f>
        <v>#REF!</v>
      </c>
      <c r="FT29" t="e">
        <f>AND(TOC!#REF!,"AAAAACv8da8=")</f>
        <v>#REF!</v>
      </c>
      <c r="FU29" t="e">
        <f>AND(TOC!#REF!,"AAAAACv8dbA=")</f>
        <v>#REF!</v>
      </c>
      <c r="FV29" t="e">
        <f>AND(TOC!#REF!,"AAAAACv8dbE=")</f>
        <v>#REF!</v>
      </c>
      <c r="FW29" t="e">
        <f>AND(TOC!#REF!,"AAAAACv8dbI=")</f>
        <v>#REF!</v>
      </c>
      <c r="FX29" t="e">
        <f>AND(TOC!#REF!,"AAAAACv8dbM=")</f>
        <v>#REF!</v>
      </c>
      <c r="FY29" t="e">
        <f>AND(TOC!#REF!,"AAAAACv8dbQ=")</f>
        <v>#REF!</v>
      </c>
      <c r="FZ29" t="e">
        <f>AND(TOC!#REF!,"AAAAACv8dbU=")</f>
        <v>#REF!</v>
      </c>
      <c r="GA29" t="e">
        <f>AND(TOC!#REF!,"AAAAACv8dbY=")</f>
        <v>#REF!</v>
      </c>
      <c r="GB29" t="e">
        <f>AND(TOC!#REF!,"AAAAACv8dbc=")</f>
        <v>#REF!</v>
      </c>
      <c r="GC29" t="e">
        <f>AND(TOC!#REF!,"AAAAACv8dbg=")</f>
        <v>#REF!</v>
      </c>
      <c r="GD29" t="e">
        <f>AND(TOC!#REF!,"AAAAACv8dbk=")</f>
        <v>#REF!</v>
      </c>
      <c r="GE29" t="e">
        <f>AND(TOC!#REF!,"AAAAACv8dbo=")</f>
        <v>#REF!</v>
      </c>
      <c r="GF29" t="e">
        <f>AND(TOC!#REF!,"AAAAACv8dbs=")</f>
        <v>#REF!</v>
      </c>
      <c r="GG29" t="e">
        <f>AND(TOC!#REF!,"AAAAACv8dbw=")</f>
        <v>#REF!</v>
      </c>
      <c r="GH29" t="e">
        <f>AND(TOC!#REF!,"AAAAACv8db0=")</f>
        <v>#REF!</v>
      </c>
      <c r="GI29" t="e">
        <f>AND(TOC!#REF!,"AAAAACv8db4=")</f>
        <v>#REF!</v>
      </c>
      <c r="GJ29" t="e">
        <f>AND(TOC!#REF!,"AAAAACv8db8=")</f>
        <v>#REF!</v>
      </c>
      <c r="GK29" t="e">
        <f>AND(TOC!#REF!,"AAAAACv8dcA=")</f>
        <v>#REF!</v>
      </c>
      <c r="GL29" t="e">
        <f>AND(TOC!#REF!,"AAAAACv8dcE=")</f>
        <v>#REF!</v>
      </c>
      <c r="GM29" t="e">
        <f>AND(TOC!#REF!,"AAAAACv8dcI=")</f>
        <v>#REF!</v>
      </c>
      <c r="GN29" t="e">
        <f>IF(TOC!#REF!,"AAAAACv8dcM=",0)</f>
        <v>#REF!</v>
      </c>
      <c r="GO29" t="e">
        <f>AND(TOC!#REF!,"AAAAACv8dcQ=")</f>
        <v>#REF!</v>
      </c>
      <c r="GP29" t="e">
        <f>AND(TOC!#REF!,"AAAAACv8dcU=")</f>
        <v>#REF!</v>
      </c>
      <c r="GQ29" t="e">
        <f>AND(TOC!#REF!,"AAAAACv8dcY=")</f>
        <v>#REF!</v>
      </c>
      <c r="GR29" t="e">
        <f>AND(TOC!#REF!,"AAAAACv8dcc=")</f>
        <v>#REF!</v>
      </c>
      <c r="GS29" t="e">
        <f>AND(TOC!#REF!,"AAAAACv8dcg=")</f>
        <v>#REF!</v>
      </c>
      <c r="GT29" t="e">
        <f>AND(TOC!#REF!,"AAAAACv8dck=")</f>
        <v>#REF!</v>
      </c>
      <c r="GU29" t="e">
        <f>AND(TOC!#REF!,"AAAAACv8dco=")</f>
        <v>#REF!</v>
      </c>
      <c r="GV29" t="e">
        <f>AND(TOC!#REF!,"AAAAACv8dcs=")</f>
        <v>#REF!</v>
      </c>
      <c r="GW29" t="e">
        <f>AND(TOC!#REF!,"AAAAACv8dcw=")</f>
        <v>#REF!</v>
      </c>
      <c r="GX29" t="e">
        <f>AND(TOC!#REF!,"AAAAACv8dc0=")</f>
        <v>#REF!</v>
      </c>
      <c r="GY29" t="e">
        <f>AND(TOC!#REF!,"AAAAACv8dc4=")</f>
        <v>#REF!</v>
      </c>
      <c r="GZ29" t="e">
        <f>AND(TOC!#REF!,"AAAAACv8dc8=")</f>
        <v>#REF!</v>
      </c>
      <c r="HA29" t="e">
        <f>AND(TOC!#REF!,"AAAAACv8ddA=")</f>
        <v>#REF!</v>
      </c>
      <c r="HB29" t="e">
        <f>AND(TOC!#REF!,"AAAAACv8ddE=")</f>
        <v>#REF!</v>
      </c>
      <c r="HC29" t="e">
        <f>AND(TOC!#REF!,"AAAAACv8ddI=")</f>
        <v>#REF!</v>
      </c>
      <c r="HD29" t="e">
        <f>AND(TOC!#REF!,"AAAAACv8ddM=")</f>
        <v>#REF!</v>
      </c>
      <c r="HE29" t="e">
        <f>AND(TOC!#REF!,"AAAAACv8ddQ=")</f>
        <v>#REF!</v>
      </c>
      <c r="HF29" t="e">
        <f>AND(TOC!#REF!,"AAAAACv8ddU=")</f>
        <v>#REF!</v>
      </c>
      <c r="HG29" t="e">
        <f>AND(TOC!#REF!,"AAAAACv8ddY=")</f>
        <v>#REF!</v>
      </c>
      <c r="HH29" t="e">
        <f>AND(TOC!#REF!,"AAAAACv8ddc=")</f>
        <v>#REF!</v>
      </c>
      <c r="HI29" t="e">
        <f>AND(TOC!#REF!,"AAAAACv8ddg=")</f>
        <v>#REF!</v>
      </c>
      <c r="HJ29" t="e">
        <f>AND(TOC!#REF!,"AAAAACv8ddk=")</f>
        <v>#REF!</v>
      </c>
      <c r="HK29" t="e">
        <f>AND(TOC!#REF!,"AAAAACv8ddo=")</f>
        <v>#REF!</v>
      </c>
      <c r="HL29" t="e">
        <f>AND(TOC!#REF!,"AAAAACv8dds=")</f>
        <v>#REF!</v>
      </c>
      <c r="HM29" t="e">
        <f>AND(TOC!#REF!,"AAAAACv8ddw=")</f>
        <v>#REF!</v>
      </c>
      <c r="HN29" t="e">
        <f>AND(TOC!#REF!,"AAAAACv8dd0=")</f>
        <v>#REF!</v>
      </c>
      <c r="HO29" t="e">
        <f>AND(TOC!#REF!,"AAAAACv8dd4=")</f>
        <v>#REF!</v>
      </c>
      <c r="HP29" t="e">
        <f>AND(TOC!#REF!,"AAAAACv8dd8=")</f>
        <v>#REF!</v>
      </c>
      <c r="HQ29" t="e">
        <f>AND(TOC!#REF!,"AAAAACv8deA=")</f>
        <v>#REF!</v>
      </c>
      <c r="HR29" t="e">
        <f>AND(TOC!#REF!,"AAAAACv8deE=")</f>
        <v>#REF!</v>
      </c>
      <c r="HS29" t="e">
        <f>AND(TOC!#REF!,"AAAAACv8deI=")</f>
        <v>#REF!</v>
      </c>
      <c r="HT29" t="e">
        <f>AND(TOC!#REF!,"AAAAACv8deM=")</f>
        <v>#REF!</v>
      </c>
      <c r="HU29" t="e">
        <f>AND(TOC!#REF!,"AAAAACv8deQ=")</f>
        <v>#REF!</v>
      </c>
      <c r="HV29" t="e">
        <f>AND(TOC!#REF!,"AAAAACv8deU=")</f>
        <v>#REF!</v>
      </c>
      <c r="HW29" t="e">
        <f>AND(TOC!#REF!,"AAAAACv8deY=")</f>
        <v>#REF!</v>
      </c>
      <c r="HX29" t="e">
        <f>AND(TOC!#REF!,"AAAAACv8dec=")</f>
        <v>#REF!</v>
      </c>
      <c r="HY29" t="e">
        <f>IF(TOC!#REF!,"AAAAACv8deg=",0)</f>
        <v>#REF!</v>
      </c>
      <c r="HZ29" t="e">
        <f>AND(TOC!#REF!,"AAAAACv8dek=")</f>
        <v>#REF!</v>
      </c>
      <c r="IA29" t="e">
        <f>AND(TOC!#REF!,"AAAAACv8deo=")</f>
        <v>#REF!</v>
      </c>
      <c r="IB29" t="e">
        <f>AND(TOC!#REF!,"AAAAACv8des=")</f>
        <v>#REF!</v>
      </c>
      <c r="IC29" t="e">
        <f>AND(TOC!#REF!,"AAAAACv8dew=")</f>
        <v>#REF!</v>
      </c>
      <c r="ID29" t="e">
        <f>AND(TOC!#REF!,"AAAAACv8de0=")</f>
        <v>#REF!</v>
      </c>
      <c r="IE29" t="e">
        <f>AND(TOC!#REF!,"AAAAACv8de4=")</f>
        <v>#REF!</v>
      </c>
      <c r="IF29" t="e">
        <f>AND(TOC!#REF!,"AAAAACv8de8=")</f>
        <v>#REF!</v>
      </c>
      <c r="IG29" t="e">
        <f>AND(TOC!#REF!,"AAAAACv8dfA=")</f>
        <v>#REF!</v>
      </c>
      <c r="IH29" t="e">
        <f>AND(TOC!#REF!,"AAAAACv8dfE=")</f>
        <v>#REF!</v>
      </c>
      <c r="II29" t="e">
        <f>AND(TOC!#REF!,"AAAAACv8dfI=")</f>
        <v>#REF!</v>
      </c>
      <c r="IJ29" t="e">
        <f>AND(TOC!#REF!,"AAAAACv8dfM=")</f>
        <v>#REF!</v>
      </c>
      <c r="IK29" t="e">
        <f>AND(TOC!#REF!,"AAAAACv8dfQ=")</f>
        <v>#REF!</v>
      </c>
      <c r="IL29" t="e">
        <f>AND(TOC!#REF!,"AAAAACv8dfU=")</f>
        <v>#REF!</v>
      </c>
      <c r="IM29" t="e">
        <f>AND(TOC!#REF!,"AAAAACv8dfY=")</f>
        <v>#REF!</v>
      </c>
      <c r="IN29" t="e">
        <f>AND(TOC!#REF!,"AAAAACv8dfc=")</f>
        <v>#REF!</v>
      </c>
      <c r="IO29" t="e">
        <f>AND(TOC!#REF!,"AAAAACv8dfg=")</f>
        <v>#REF!</v>
      </c>
      <c r="IP29" t="e">
        <f>AND(TOC!#REF!,"AAAAACv8dfk=")</f>
        <v>#REF!</v>
      </c>
      <c r="IQ29" t="e">
        <f>AND(TOC!#REF!,"AAAAACv8dfo=")</f>
        <v>#REF!</v>
      </c>
      <c r="IR29" t="e">
        <f>AND(TOC!#REF!,"AAAAACv8dfs=")</f>
        <v>#REF!</v>
      </c>
      <c r="IS29" t="e">
        <f>AND(TOC!#REF!,"AAAAACv8dfw=")</f>
        <v>#REF!</v>
      </c>
      <c r="IT29" t="e">
        <f>AND(TOC!#REF!,"AAAAACv8df0=")</f>
        <v>#REF!</v>
      </c>
      <c r="IU29" t="e">
        <f>AND(TOC!#REF!,"AAAAACv8df4=")</f>
        <v>#REF!</v>
      </c>
      <c r="IV29" t="e">
        <f>AND(TOC!#REF!,"AAAAACv8df8=")</f>
        <v>#REF!</v>
      </c>
    </row>
    <row r="30" spans="1:256" x14ac:dyDescent="0.2">
      <c r="A30" t="e">
        <f>AND(TOC!#REF!,"AAAAAG+8rQA=")</f>
        <v>#REF!</v>
      </c>
      <c r="B30" t="e">
        <f>AND(TOC!#REF!,"AAAAAG+8rQE=")</f>
        <v>#REF!</v>
      </c>
      <c r="C30" t="e">
        <f>AND(TOC!#REF!,"AAAAAG+8rQI=")</f>
        <v>#REF!</v>
      </c>
      <c r="D30" t="e">
        <f>AND(TOC!#REF!,"AAAAAG+8rQM=")</f>
        <v>#REF!</v>
      </c>
      <c r="E30" t="e">
        <f>AND(TOC!#REF!,"AAAAAG+8rQQ=")</f>
        <v>#REF!</v>
      </c>
      <c r="F30" t="e">
        <f>AND(TOC!#REF!,"AAAAAG+8rQU=")</f>
        <v>#REF!</v>
      </c>
      <c r="G30" t="e">
        <f>AND(TOC!#REF!,"AAAAAG+8rQY=")</f>
        <v>#REF!</v>
      </c>
      <c r="H30" t="e">
        <f>AND(TOC!#REF!,"AAAAAG+8rQc=")</f>
        <v>#REF!</v>
      </c>
      <c r="I30" t="e">
        <f>AND(TOC!#REF!,"AAAAAG+8rQg=")</f>
        <v>#REF!</v>
      </c>
      <c r="J30" t="e">
        <f>AND(TOC!#REF!,"AAAAAG+8rQk=")</f>
        <v>#REF!</v>
      </c>
      <c r="K30" t="e">
        <f>AND(TOC!#REF!,"AAAAAG+8rQo=")</f>
        <v>#REF!</v>
      </c>
      <c r="L30" t="e">
        <f>AND(TOC!#REF!,"AAAAAG+8rQs=")</f>
        <v>#REF!</v>
      </c>
      <c r="M30" t="e">
        <f>AND(TOC!#REF!,"AAAAAG+8rQw=")</f>
        <v>#REF!</v>
      </c>
      <c r="N30" t="e">
        <f>IF(TOC!#REF!,"AAAAAG+8rQ0=",0)</f>
        <v>#REF!</v>
      </c>
      <c r="O30" t="e">
        <f>AND(TOC!#REF!,"AAAAAG+8rQ4=")</f>
        <v>#REF!</v>
      </c>
      <c r="P30" t="e">
        <f>AND(TOC!#REF!,"AAAAAG+8rQ8=")</f>
        <v>#REF!</v>
      </c>
      <c r="Q30" t="e">
        <f>AND(TOC!#REF!,"AAAAAG+8rRA=")</f>
        <v>#REF!</v>
      </c>
      <c r="R30" t="e">
        <f>AND(TOC!#REF!,"AAAAAG+8rRE=")</f>
        <v>#REF!</v>
      </c>
      <c r="S30" t="e">
        <f>AND(TOC!#REF!,"AAAAAG+8rRI=")</f>
        <v>#REF!</v>
      </c>
      <c r="T30" t="e">
        <f>AND(TOC!#REF!,"AAAAAG+8rRM=")</f>
        <v>#REF!</v>
      </c>
      <c r="U30" t="e">
        <f>AND(TOC!#REF!,"AAAAAG+8rRQ=")</f>
        <v>#REF!</v>
      </c>
      <c r="V30" t="e">
        <f>AND(TOC!#REF!,"AAAAAG+8rRU=")</f>
        <v>#REF!</v>
      </c>
      <c r="W30" t="e">
        <f>AND(TOC!#REF!,"AAAAAG+8rRY=")</f>
        <v>#REF!</v>
      </c>
      <c r="X30" t="e">
        <f>AND(TOC!#REF!,"AAAAAG+8rRc=")</f>
        <v>#REF!</v>
      </c>
      <c r="Y30" t="e">
        <f>AND(TOC!#REF!,"AAAAAG+8rRg=")</f>
        <v>#REF!</v>
      </c>
      <c r="Z30" t="e">
        <f>AND(TOC!#REF!,"AAAAAG+8rRk=")</f>
        <v>#REF!</v>
      </c>
      <c r="AA30" t="e">
        <f>AND(TOC!#REF!,"AAAAAG+8rRo=")</f>
        <v>#REF!</v>
      </c>
      <c r="AB30" t="e">
        <f>AND(TOC!#REF!,"AAAAAG+8rRs=")</f>
        <v>#REF!</v>
      </c>
      <c r="AC30" t="e">
        <f>AND(TOC!#REF!,"AAAAAG+8rRw=")</f>
        <v>#REF!</v>
      </c>
      <c r="AD30" t="e">
        <f>AND(TOC!#REF!,"AAAAAG+8rR0=")</f>
        <v>#REF!</v>
      </c>
      <c r="AE30" t="e">
        <f>AND(TOC!#REF!,"AAAAAG+8rR4=")</f>
        <v>#REF!</v>
      </c>
      <c r="AF30" t="e">
        <f>AND(TOC!#REF!,"AAAAAG+8rR8=")</f>
        <v>#REF!</v>
      </c>
      <c r="AG30" t="e">
        <f>AND(TOC!#REF!,"AAAAAG+8rSA=")</f>
        <v>#REF!</v>
      </c>
      <c r="AH30" t="e">
        <f>AND(TOC!#REF!,"AAAAAG+8rSE=")</f>
        <v>#REF!</v>
      </c>
      <c r="AI30" t="e">
        <f>AND(TOC!#REF!,"AAAAAG+8rSI=")</f>
        <v>#REF!</v>
      </c>
      <c r="AJ30" t="e">
        <f>AND(TOC!#REF!,"AAAAAG+8rSM=")</f>
        <v>#REF!</v>
      </c>
      <c r="AK30" t="e">
        <f>AND(TOC!#REF!,"AAAAAG+8rSQ=")</f>
        <v>#REF!</v>
      </c>
      <c r="AL30" t="e">
        <f>AND(TOC!#REF!,"AAAAAG+8rSU=")</f>
        <v>#REF!</v>
      </c>
      <c r="AM30" t="e">
        <f>AND(TOC!#REF!,"AAAAAG+8rSY=")</f>
        <v>#REF!</v>
      </c>
      <c r="AN30" t="e">
        <f>AND(TOC!#REF!,"AAAAAG+8rSc=")</f>
        <v>#REF!</v>
      </c>
      <c r="AO30" t="e">
        <f>AND(TOC!#REF!,"AAAAAG+8rSg=")</f>
        <v>#REF!</v>
      </c>
      <c r="AP30" t="e">
        <f>AND(TOC!#REF!,"AAAAAG+8rSk=")</f>
        <v>#REF!</v>
      </c>
      <c r="AQ30" t="e">
        <f>AND(TOC!#REF!,"AAAAAG+8rSo=")</f>
        <v>#REF!</v>
      </c>
      <c r="AR30" t="e">
        <f>AND(TOC!#REF!,"AAAAAG+8rSs=")</f>
        <v>#REF!</v>
      </c>
      <c r="AS30" t="e">
        <f>AND(TOC!#REF!,"AAAAAG+8rSw=")</f>
        <v>#REF!</v>
      </c>
      <c r="AT30" t="e">
        <f>AND(TOC!#REF!,"AAAAAG+8rS0=")</f>
        <v>#REF!</v>
      </c>
      <c r="AU30" t="e">
        <f>AND(TOC!#REF!,"AAAAAG+8rS4=")</f>
        <v>#REF!</v>
      </c>
      <c r="AV30" t="e">
        <f>AND(TOC!#REF!,"AAAAAG+8rS8=")</f>
        <v>#REF!</v>
      </c>
      <c r="AW30" t="e">
        <f>AND(TOC!#REF!,"AAAAAG+8rTA=")</f>
        <v>#REF!</v>
      </c>
      <c r="AX30" t="e">
        <f>AND(TOC!#REF!,"AAAAAG+8rTE=")</f>
        <v>#REF!</v>
      </c>
      <c r="AY30" t="e">
        <f>IF(TOC!#REF!,"AAAAAG+8rTI=",0)</f>
        <v>#REF!</v>
      </c>
      <c r="AZ30" t="e">
        <f>AND(TOC!#REF!,"AAAAAG+8rTM=")</f>
        <v>#REF!</v>
      </c>
      <c r="BA30" t="e">
        <f>AND(TOC!#REF!,"AAAAAG+8rTQ=")</f>
        <v>#REF!</v>
      </c>
      <c r="BB30" t="e">
        <f>AND(TOC!#REF!,"AAAAAG+8rTU=")</f>
        <v>#REF!</v>
      </c>
      <c r="BC30" t="e">
        <f>AND(TOC!#REF!,"AAAAAG+8rTY=")</f>
        <v>#REF!</v>
      </c>
      <c r="BD30" t="e">
        <f>AND(TOC!#REF!,"AAAAAG+8rTc=")</f>
        <v>#REF!</v>
      </c>
      <c r="BE30" t="e">
        <f>AND(TOC!#REF!,"AAAAAG+8rTg=")</f>
        <v>#REF!</v>
      </c>
      <c r="BF30" t="e">
        <f>AND(TOC!#REF!,"AAAAAG+8rTk=")</f>
        <v>#REF!</v>
      </c>
      <c r="BG30" t="e">
        <f>AND(TOC!#REF!,"AAAAAG+8rTo=")</f>
        <v>#REF!</v>
      </c>
      <c r="BH30" t="e">
        <f>AND(TOC!#REF!,"AAAAAG+8rTs=")</f>
        <v>#REF!</v>
      </c>
      <c r="BI30" t="e">
        <f>AND(TOC!#REF!,"AAAAAG+8rTw=")</f>
        <v>#REF!</v>
      </c>
      <c r="BJ30" t="e">
        <f>AND(TOC!#REF!,"AAAAAG+8rT0=")</f>
        <v>#REF!</v>
      </c>
      <c r="BK30" t="e">
        <f>AND(TOC!#REF!,"AAAAAG+8rT4=")</f>
        <v>#REF!</v>
      </c>
      <c r="BL30" t="e">
        <f>AND(TOC!#REF!,"AAAAAG+8rT8=")</f>
        <v>#REF!</v>
      </c>
      <c r="BM30" t="e">
        <f>AND(TOC!#REF!,"AAAAAG+8rUA=")</f>
        <v>#REF!</v>
      </c>
      <c r="BN30" t="e">
        <f>AND(TOC!#REF!,"AAAAAG+8rUE=")</f>
        <v>#REF!</v>
      </c>
      <c r="BO30" t="e">
        <f>AND(TOC!#REF!,"AAAAAG+8rUI=")</f>
        <v>#REF!</v>
      </c>
      <c r="BP30" t="e">
        <f>AND(TOC!#REF!,"AAAAAG+8rUM=")</f>
        <v>#REF!</v>
      </c>
      <c r="BQ30" t="e">
        <f>AND(TOC!#REF!,"AAAAAG+8rUQ=")</f>
        <v>#REF!</v>
      </c>
      <c r="BR30" t="e">
        <f>AND(TOC!#REF!,"AAAAAG+8rUU=")</f>
        <v>#REF!</v>
      </c>
      <c r="BS30" t="e">
        <f>AND(TOC!#REF!,"AAAAAG+8rUY=")</f>
        <v>#REF!</v>
      </c>
      <c r="BT30" t="e">
        <f>AND(TOC!#REF!,"AAAAAG+8rUc=")</f>
        <v>#REF!</v>
      </c>
      <c r="BU30" t="e">
        <f>AND(TOC!#REF!,"AAAAAG+8rUg=")</f>
        <v>#REF!</v>
      </c>
      <c r="BV30" t="e">
        <f>AND(TOC!#REF!,"AAAAAG+8rUk=")</f>
        <v>#REF!</v>
      </c>
      <c r="BW30" t="e">
        <f>AND(TOC!#REF!,"AAAAAG+8rUo=")</f>
        <v>#REF!</v>
      </c>
      <c r="BX30" t="e">
        <f>AND(TOC!#REF!,"AAAAAG+8rUs=")</f>
        <v>#REF!</v>
      </c>
      <c r="BY30" t="e">
        <f>AND(TOC!#REF!,"AAAAAG+8rUw=")</f>
        <v>#REF!</v>
      </c>
      <c r="BZ30" t="e">
        <f>AND(TOC!#REF!,"AAAAAG+8rU0=")</f>
        <v>#REF!</v>
      </c>
      <c r="CA30" t="e">
        <f>AND(TOC!#REF!,"AAAAAG+8rU4=")</f>
        <v>#REF!</v>
      </c>
      <c r="CB30" t="e">
        <f>AND(TOC!#REF!,"AAAAAG+8rU8=")</f>
        <v>#REF!</v>
      </c>
      <c r="CC30" t="e">
        <f>AND(TOC!#REF!,"AAAAAG+8rVA=")</f>
        <v>#REF!</v>
      </c>
      <c r="CD30" t="e">
        <f>AND(TOC!#REF!,"AAAAAG+8rVE=")</f>
        <v>#REF!</v>
      </c>
      <c r="CE30" t="e">
        <f>AND(TOC!#REF!,"AAAAAG+8rVI=")</f>
        <v>#REF!</v>
      </c>
      <c r="CF30" t="e">
        <f>AND(TOC!#REF!,"AAAAAG+8rVM=")</f>
        <v>#REF!</v>
      </c>
      <c r="CG30" t="e">
        <f>AND(TOC!#REF!,"AAAAAG+8rVQ=")</f>
        <v>#REF!</v>
      </c>
      <c r="CH30" t="e">
        <f>AND(TOC!#REF!,"AAAAAG+8rVU=")</f>
        <v>#REF!</v>
      </c>
      <c r="CI30" t="e">
        <f>AND(TOC!#REF!,"AAAAAG+8rVY=")</f>
        <v>#REF!</v>
      </c>
      <c r="CJ30" t="e">
        <f>IF(TOC!#REF!,"AAAAAG+8rVc=",0)</f>
        <v>#REF!</v>
      </c>
      <c r="CK30" t="e">
        <f>AND(TOC!#REF!,"AAAAAG+8rVg=")</f>
        <v>#REF!</v>
      </c>
      <c r="CL30" t="e">
        <f>AND(TOC!#REF!,"AAAAAG+8rVk=")</f>
        <v>#REF!</v>
      </c>
      <c r="CM30" t="e">
        <f>AND(TOC!#REF!,"AAAAAG+8rVo=")</f>
        <v>#REF!</v>
      </c>
      <c r="CN30" t="e">
        <f>AND(TOC!#REF!,"AAAAAG+8rVs=")</f>
        <v>#REF!</v>
      </c>
      <c r="CO30" t="e">
        <f>AND(TOC!#REF!,"AAAAAG+8rVw=")</f>
        <v>#REF!</v>
      </c>
      <c r="CP30" t="e">
        <f>AND(TOC!#REF!,"AAAAAG+8rV0=")</f>
        <v>#REF!</v>
      </c>
      <c r="CQ30" t="e">
        <f>AND(TOC!#REF!,"AAAAAG+8rV4=")</f>
        <v>#REF!</v>
      </c>
      <c r="CR30" t="e">
        <f>AND(TOC!#REF!,"AAAAAG+8rV8=")</f>
        <v>#REF!</v>
      </c>
      <c r="CS30" t="e">
        <f>AND(TOC!#REF!,"AAAAAG+8rWA=")</f>
        <v>#REF!</v>
      </c>
      <c r="CT30" t="e">
        <f>AND(TOC!#REF!,"AAAAAG+8rWE=")</f>
        <v>#REF!</v>
      </c>
      <c r="CU30" t="e">
        <f>AND(TOC!#REF!,"AAAAAG+8rWI=")</f>
        <v>#REF!</v>
      </c>
      <c r="CV30" t="e">
        <f>AND(TOC!#REF!,"AAAAAG+8rWM=")</f>
        <v>#REF!</v>
      </c>
      <c r="CW30" t="e">
        <f>AND(TOC!#REF!,"AAAAAG+8rWQ=")</f>
        <v>#REF!</v>
      </c>
      <c r="CX30" t="e">
        <f>AND(TOC!#REF!,"AAAAAG+8rWU=")</f>
        <v>#REF!</v>
      </c>
      <c r="CY30" t="e">
        <f>AND(TOC!#REF!,"AAAAAG+8rWY=")</f>
        <v>#REF!</v>
      </c>
      <c r="CZ30" t="e">
        <f>AND(TOC!#REF!,"AAAAAG+8rWc=")</f>
        <v>#REF!</v>
      </c>
      <c r="DA30" t="e">
        <f>AND(TOC!#REF!,"AAAAAG+8rWg=")</f>
        <v>#REF!</v>
      </c>
      <c r="DB30" t="e">
        <f>AND(TOC!#REF!,"AAAAAG+8rWk=")</f>
        <v>#REF!</v>
      </c>
      <c r="DC30" t="e">
        <f>AND(TOC!#REF!,"AAAAAG+8rWo=")</f>
        <v>#REF!</v>
      </c>
      <c r="DD30" t="e">
        <f>AND(TOC!#REF!,"AAAAAG+8rWs=")</f>
        <v>#REF!</v>
      </c>
      <c r="DE30" t="e">
        <f>AND(TOC!#REF!,"AAAAAG+8rWw=")</f>
        <v>#REF!</v>
      </c>
      <c r="DF30" t="e">
        <f>AND(TOC!#REF!,"AAAAAG+8rW0=")</f>
        <v>#REF!</v>
      </c>
      <c r="DG30" t="e">
        <f>AND(TOC!#REF!,"AAAAAG+8rW4=")</f>
        <v>#REF!</v>
      </c>
      <c r="DH30" t="e">
        <f>AND(TOC!#REF!,"AAAAAG+8rW8=")</f>
        <v>#REF!</v>
      </c>
      <c r="DI30" t="e">
        <f>AND(TOC!#REF!,"AAAAAG+8rXA=")</f>
        <v>#REF!</v>
      </c>
      <c r="DJ30" t="e">
        <f>AND(TOC!#REF!,"AAAAAG+8rXE=")</f>
        <v>#REF!</v>
      </c>
      <c r="DK30" t="e">
        <f>AND(TOC!#REF!,"AAAAAG+8rXI=")</f>
        <v>#REF!</v>
      </c>
      <c r="DL30" t="e">
        <f>AND(TOC!#REF!,"AAAAAG+8rXM=")</f>
        <v>#REF!</v>
      </c>
      <c r="DM30" t="e">
        <f>AND(TOC!#REF!,"AAAAAG+8rXQ=")</f>
        <v>#REF!</v>
      </c>
      <c r="DN30" t="e">
        <f>AND(TOC!#REF!,"AAAAAG+8rXU=")</f>
        <v>#REF!</v>
      </c>
      <c r="DO30" t="e">
        <f>AND(TOC!#REF!,"AAAAAG+8rXY=")</f>
        <v>#REF!</v>
      </c>
      <c r="DP30" t="e">
        <f>AND(TOC!#REF!,"AAAAAG+8rXc=")</f>
        <v>#REF!</v>
      </c>
      <c r="DQ30" t="e">
        <f>AND(TOC!#REF!,"AAAAAG+8rXg=")</f>
        <v>#REF!</v>
      </c>
      <c r="DR30" t="e">
        <f>AND(TOC!#REF!,"AAAAAG+8rXk=")</f>
        <v>#REF!</v>
      </c>
      <c r="DS30" t="e">
        <f>AND(TOC!#REF!,"AAAAAG+8rXo=")</f>
        <v>#REF!</v>
      </c>
      <c r="DT30" t="e">
        <f>AND(TOC!#REF!,"AAAAAG+8rXs=")</f>
        <v>#REF!</v>
      </c>
      <c r="DU30" t="e">
        <f>IF(TOC!#REF!,"AAAAAG+8rXw=",0)</f>
        <v>#REF!</v>
      </c>
      <c r="DV30" t="e">
        <f>AND(TOC!#REF!,"AAAAAG+8rX0=")</f>
        <v>#REF!</v>
      </c>
      <c r="DW30" t="e">
        <f>AND(TOC!#REF!,"AAAAAG+8rX4=")</f>
        <v>#REF!</v>
      </c>
      <c r="DX30" t="e">
        <f>AND(TOC!#REF!,"AAAAAG+8rX8=")</f>
        <v>#REF!</v>
      </c>
      <c r="DY30" t="e">
        <f>AND(TOC!#REF!,"AAAAAG+8rYA=")</f>
        <v>#REF!</v>
      </c>
      <c r="DZ30" t="e">
        <f>AND(TOC!#REF!,"AAAAAG+8rYE=")</f>
        <v>#REF!</v>
      </c>
      <c r="EA30" t="e">
        <f>AND(TOC!#REF!,"AAAAAG+8rYI=")</f>
        <v>#REF!</v>
      </c>
      <c r="EB30" t="e">
        <f>AND(TOC!#REF!,"AAAAAG+8rYM=")</f>
        <v>#REF!</v>
      </c>
      <c r="EC30" t="e">
        <f>AND(TOC!#REF!,"AAAAAG+8rYQ=")</f>
        <v>#REF!</v>
      </c>
      <c r="ED30" t="e">
        <f>AND(TOC!#REF!,"AAAAAG+8rYU=")</f>
        <v>#REF!</v>
      </c>
      <c r="EE30" t="e">
        <f>AND(TOC!#REF!,"AAAAAG+8rYY=")</f>
        <v>#REF!</v>
      </c>
      <c r="EF30" t="e">
        <f>AND(TOC!#REF!,"AAAAAG+8rYc=")</f>
        <v>#REF!</v>
      </c>
      <c r="EG30" t="e">
        <f>AND(TOC!#REF!,"AAAAAG+8rYg=")</f>
        <v>#REF!</v>
      </c>
      <c r="EH30" t="e">
        <f>AND(TOC!#REF!,"AAAAAG+8rYk=")</f>
        <v>#REF!</v>
      </c>
      <c r="EI30" t="e">
        <f>AND(TOC!#REF!,"AAAAAG+8rYo=")</f>
        <v>#REF!</v>
      </c>
      <c r="EJ30" t="e">
        <f>AND(TOC!#REF!,"AAAAAG+8rYs=")</f>
        <v>#REF!</v>
      </c>
      <c r="EK30" t="e">
        <f>AND(TOC!#REF!,"AAAAAG+8rYw=")</f>
        <v>#REF!</v>
      </c>
      <c r="EL30" t="e">
        <f>AND(TOC!#REF!,"AAAAAG+8rY0=")</f>
        <v>#REF!</v>
      </c>
      <c r="EM30" t="e">
        <f>AND(TOC!#REF!,"AAAAAG+8rY4=")</f>
        <v>#REF!</v>
      </c>
      <c r="EN30" t="e">
        <f>AND(TOC!#REF!,"AAAAAG+8rY8=")</f>
        <v>#REF!</v>
      </c>
      <c r="EO30" t="e">
        <f>AND(TOC!#REF!,"AAAAAG+8rZA=")</f>
        <v>#REF!</v>
      </c>
      <c r="EP30" t="e">
        <f>AND(TOC!#REF!,"AAAAAG+8rZE=")</f>
        <v>#REF!</v>
      </c>
      <c r="EQ30" t="e">
        <f>AND(TOC!#REF!,"AAAAAG+8rZI=")</f>
        <v>#REF!</v>
      </c>
      <c r="ER30" t="e">
        <f>AND(TOC!#REF!,"AAAAAG+8rZM=")</f>
        <v>#REF!</v>
      </c>
      <c r="ES30" t="e">
        <f>AND(TOC!#REF!,"AAAAAG+8rZQ=")</f>
        <v>#REF!</v>
      </c>
      <c r="ET30" t="e">
        <f>AND(TOC!#REF!,"AAAAAG+8rZU=")</f>
        <v>#REF!</v>
      </c>
      <c r="EU30" t="e">
        <f>AND(TOC!#REF!,"AAAAAG+8rZY=")</f>
        <v>#REF!</v>
      </c>
      <c r="EV30" t="e">
        <f>AND(TOC!#REF!,"AAAAAG+8rZc=")</f>
        <v>#REF!</v>
      </c>
      <c r="EW30" t="e">
        <f>AND(TOC!#REF!,"AAAAAG+8rZg=")</f>
        <v>#REF!</v>
      </c>
      <c r="EX30" t="e">
        <f>AND(TOC!#REF!,"AAAAAG+8rZk=")</f>
        <v>#REF!</v>
      </c>
      <c r="EY30" t="e">
        <f>AND(TOC!#REF!,"AAAAAG+8rZo=")</f>
        <v>#REF!</v>
      </c>
      <c r="EZ30" t="e">
        <f>AND(TOC!#REF!,"AAAAAG+8rZs=")</f>
        <v>#REF!</v>
      </c>
      <c r="FA30" t="e">
        <f>AND(TOC!#REF!,"AAAAAG+8rZw=")</f>
        <v>#REF!</v>
      </c>
      <c r="FB30" t="e">
        <f>AND(TOC!#REF!,"AAAAAG+8rZ0=")</f>
        <v>#REF!</v>
      </c>
      <c r="FC30" t="e">
        <f>AND(TOC!#REF!,"AAAAAG+8rZ4=")</f>
        <v>#REF!</v>
      </c>
      <c r="FD30" t="e">
        <f>AND(TOC!#REF!,"AAAAAG+8rZ8=")</f>
        <v>#REF!</v>
      </c>
      <c r="FE30" t="e">
        <f>AND(TOC!#REF!,"AAAAAG+8raA=")</f>
        <v>#REF!</v>
      </c>
      <c r="FF30" t="e">
        <f>IF(TOC!#REF!,"AAAAAG+8raE=",0)</f>
        <v>#REF!</v>
      </c>
      <c r="FG30" t="e">
        <f>AND(TOC!#REF!,"AAAAAG+8raI=")</f>
        <v>#REF!</v>
      </c>
      <c r="FH30" t="e">
        <f>AND(TOC!#REF!,"AAAAAG+8raM=")</f>
        <v>#REF!</v>
      </c>
      <c r="FI30" t="e">
        <f>AND(TOC!#REF!,"AAAAAG+8raQ=")</f>
        <v>#REF!</v>
      </c>
      <c r="FJ30" t="e">
        <f>AND(TOC!#REF!,"AAAAAG+8raU=")</f>
        <v>#REF!</v>
      </c>
      <c r="FK30" t="e">
        <f>AND(TOC!#REF!,"AAAAAG+8raY=")</f>
        <v>#REF!</v>
      </c>
      <c r="FL30" t="e">
        <f>AND(TOC!#REF!,"AAAAAG+8rac=")</f>
        <v>#REF!</v>
      </c>
      <c r="FM30" t="e">
        <f>AND(TOC!#REF!,"AAAAAG+8rag=")</f>
        <v>#REF!</v>
      </c>
      <c r="FN30" t="e">
        <f>AND(TOC!#REF!,"AAAAAG+8rak=")</f>
        <v>#REF!</v>
      </c>
      <c r="FO30" t="e">
        <f>AND(TOC!#REF!,"AAAAAG+8rao=")</f>
        <v>#REF!</v>
      </c>
      <c r="FP30" t="e">
        <f>AND(TOC!#REF!,"AAAAAG+8ras=")</f>
        <v>#REF!</v>
      </c>
      <c r="FQ30" t="e">
        <f>AND(TOC!#REF!,"AAAAAG+8raw=")</f>
        <v>#REF!</v>
      </c>
      <c r="FR30" t="e">
        <f>AND(TOC!#REF!,"AAAAAG+8ra0=")</f>
        <v>#REF!</v>
      </c>
      <c r="FS30" t="e">
        <f>AND(TOC!#REF!,"AAAAAG+8ra4=")</f>
        <v>#REF!</v>
      </c>
      <c r="FT30" t="e">
        <f>AND(TOC!#REF!,"AAAAAG+8ra8=")</f>
        <v>#REF!</v>
      </c>
      <c r="FU30" t="e">
        <f>AND(TOC!#REF!,"AAAAAG+8rbA=")</f>
        <v>#REF!</v>
      </c>
      <c r="FV30" t="e">
        <f>AND(TOC!#REF!,"AAAAAG+8rbE=")</f>
        <v>#REF!</v>
      </c>
      <c r="FW30" t="e">
        <f>AND(TOC!#REF!,"AAAAAG+8rbI=")</f>
        <v>#REF!</v>
      </c>
      <c r="FX30" t="e">
        <f>AND(TOC!#REF!,"AAAAAG+8rbM=")</f>
        <v>#REF!</v>
      </c>
      <c r="FY30" t="e">
        <f>AND(TOC!#REF!,"AAAAAG+8rbQ=")</f>
        <v>#REF!</v>
      </c>
      <c r="FZ30" t="e">
        <f>AND(TOC!#REF!,"AAAAAG+8rbU=")</f>
        <v>#REF!</v>
      </c>
      <c r="GA30" t="e">
        <f>AND(TOC!#REF!,"AAAAAG+8rbY=")</f>
        <v>#REF!</v>
      </c>
      <c r="GB30" t="e">
        <f>AND(TOC!#REF!,"AAAAAG+8rbc=")</f>
        <v>#REF!</v>
      </c>
      <c r="GC30" t="e">
        <f>AND(TOC!#REF!,"AAAAAG+8rbg=")</f>
        <v>#REF!</v>
      </c>
      <c r="GD30" t="e">
        <f>AND(TOC!#REF!,"AAAAAG+8rbk=")</f>
        <v>#REF!</v>
      </c>
      <c r="GE30" t="e">
        <f>AND(TOC!#REF!,"AAAAAG+8rbo=")</f>
        <v>#REF!</v>
      </c>
      <c r="GF30" t="e">
        <f>AND(TOC!#REF!,"AAAAAG+8rbs=")</f>
        <v>#REF!</v>
      </c>
      <c r="GG30" t="e">
        <f>AND(TOC!#REF!,"AAAAAG+8rbw=")</f>
        <v>#REF!</v>
      </c>
      <c r="GH30" t="e">
        <f>AND(TOC!#REF!,"AAAAAG+8rb0=")</f>
        <v>#REF!</v>
      </c>
      <c r="GI30" t="e">
        <f>AND(TOC!#REF!,"AAAAAG+8rb4=")</f>
        <v>#REF!</v>
      </c>
      <c r="GJ30" t="e">
        <f>AND(TOC!#REF!,"AAAAAG+8rb8=")</f>
        <v>#REF!</v>
      </c>
      <c r="GK30" t="e">
        <f>AND(TOC!#REF!,"AAAAAG+8rcA=")</f>
        <v>#REF!</v>
      </c>
      <c r="GL30" t="e">
        <f>AND(TOC!#REF!,"AAAAAG+8rcE=")</f>
        <v>#REF!</v>
      </c>
      <c r="GM30" t="e">
        <f>AND(TOC!#REF!,"AAAAAG+8rcI=")</f>
        <v>#REF!</v>
      </c>
      <c r="GN30" t="e">
        <f>AND(TOC!#REF!,"AAAAAG+8rcM=")</f>
        <v>#REF!</v>
      </c>
      <c r="GO30" t="e">
        <f>AND(TOC!#REF!,"AAAAAG+8rcQ=")</f>
        <v>#REF!</v>
      </c>
      <c r="GP30" t="e">
        <f>AND(TOC!#REF!,"AAAAAG+8rcU=")</f>
        <v>#REF!</v>
      </c>
      <c r="GQ30" t="e">
        <f>IF(TOC!#REF!,"AAAAAG+8rcY=",0)</f>
        <v>#REF!</v>
      </c>
      <c r="GR30" t="e">
        <f>AND(TOC!#REF!,"AAAAAG+8rcc=")</f>
        <v>#REF!</v>
      </c>
      <c r="GS30" t="e">
        <f>AND(TOC!#REF!,"AAAAAG+8rcg=")</f>
        <v>#REF!</v>
      </c>
      <c r="GT30" t="e">
        <f>AND(TOC!#REF!,"AAAAAG+8rck=")</f>
        <v>#REF!</v>
      </c>
      <c r="GU30" t="e">
        <f>AND(TOC!#REF!,"AAAAAG+8rco=")</f>
        <v>#REF!</v>
      </c>
      <c r="GV30" t="e">
        <f>AND(TOC!#REF!,"AAAAAG+8rcs=")</f>
        <v>#REF!</v>
      </c>
      <c r="GW30" t="e">
        <f>AND(TOC!#REF!,"AAAAAG+8rcw=")</f>
        <v>#REF!</v>
      </c>
      <c r="GX30" t="e">
        <f>AND(TOC!#REF!,"AAAAAG+8rc0=")</f>
        <v>#REF!</v>
      </c>
      <c r="GY30" t="e">
        <f>AND(TOC!#REF!,"AAAAAG+8rc4=")</f>
        <v>#REF!</v>
      </c>
      <c r="GZ30" t="e">
        <f>AND(TOC!#REF!,"AAAAAG+8rc8=")</f>
        <v>#REF!</v>
      </c>
      <c r="HA30" t="e">
        <f>AND(TOC!#REF!,"AAAAAG+8rdA=")</f>
        <v>#REF!</v>
      </c>
      <c r="HB30" t="e">
        <f>AND(TOC!#REF!,"AAAAAG+8rdE=")</f>
        <v>#REF!</v>
      </c>
      <c r="HC30" t="e">
        <f>AND(TOC!#REF!,"AAAAAG+8rdI=")</f>
        <v>#REF!</v>
      </c>
      <c r="HD30" t="e">
        <f>AND(TOC!#REF!,"AAAAAG+8rdM=")</f>
        <v>#REF!</v>
      </c>
      <c r="HE30" t="e">
        <f>AND(TOC!#REF!,"AAAAAG+8rdQ=")</f>
        <v>#REF!</v>
      </c>
      <c r="HF30" t="e">
        <f>AND(TOC!#REF!,"AAAAAG+8rdU=")</f>
        <v>#REF!</v>
      </c>
      <c r="HG30" t="e">
        <f>AND(TOC!#REF!,"AAAAAG+8rdY=")</f>
        <v>#REF!</v>
      </c>
      <c r="HH30" t="e">
        <f>AND(TOC!#REF!,"AAAAAG+8rdc=")</f>
        <v>#REF!</v>
      </c>
      <c r="HI30" t="e">
        <f>AND(TOC!#REF!,"AAAAAG+8rdg=")</f>
        <v>#REF!</v>
      </c>
      <c r="HJ30" t="e">
        <f>AND(TOC!#REF!,"AAAAAG+8rdk=")</f>
        <v>#REF!</v>
      </c>
      <c r="HK30" t="e">
        <f>AND(TOC!#REF!,"AAAAAG+8rdo=")</f>
        <v>#REF!</v>
      </c>
      <c r="HL30" t="e">
        <f>AND(TOC!#REF!,"AAAAAG+8rds=")</f>
        <v>#REF!</v>
      </c>
      <c r="HM30" t="e">
        <f>AND(TOC!#REF!,"AAAAAG+8rdw=")</f>
        <v>#REF!</v>
      </c>
      <c r="HN30" t="e">
        <f>AND(TOC!#REF!,"AAAAAG+8rd0=")</f>
        <v>#REF!</v>
      </c>
      <c r="HO30" t="e">
        <f>AND(TOC!#REF!,"AAAAAG+8rd4=")</f>
        <v>#REF!</v>
      </c>
      <c r="HP30" t="e">
        <f>AND(TOC!#REF!,"AAAAAG+8rd8=")</f>
        <v>#REF!</v>
      </c>
      <c r="HQ30" t="e">
        <f>AND(TOC!#REF!,"AAAAAG+8reA=")</f>
        <v>#REF!</v>
      </c>
      <c r="HR30" t="e">
        <f>AND(TOC!#REF!,"AAAAAG+8reE=")</f>
        <v>#REF!</v>
      </c>
      <c r="HS30" t="e">
        <f>AND(TOC!#REF!,"AAAAAG+8reI=")</f>
        <v>#REF!</v>
      </c>
      <c r="HT30" t="e">
        <f>AND(TOC!#REF!,"AAAAAG+8reM=")</f>
        <v>#REF!</v>
      </c>
      <c r="HU30" t="e">
        <f>AND(TOC!#REF!,"AAAAAG+8reQ=")</f>
        <v>#REF!</v>
      </c>
      <c r="HV30" t="e">
        <f>AND(TOC!#REF!,"AAAAAG+8reU=")</f>
        <v>#REF!</v>
      </c>
      <c r="HW30" t="e">
        <f>AND(TOC!#REF!,"AAAAAG+8reY=")</f>
        <v>#REF!</v>
      </c>
      <c r="HX30" t="e">
        <f>AND(TOC!#REF!,"AAAAAG+8rec=")</f>
        <v>#REF!</v>
      </c>
      <c r="HY30" t="e">
        <f>AND(TOC!#REF!,"AAAAAG+8reg=")</f>
        <v>#REF!</v>
      </c>
      <c r="HZ30" t="e">
        <f>AND(TOC!#REF!,"AAAAAG+8rek=")</f>
        <v>#REF!</v>
      </c>
      <c r="IA30" t="e">
        <f>AND(TOC!#REF!,"AAAAAG+8reo=")</f>
        <v>#REF!</v>
      </c>
      <c r="IB30">
        <f>IF(TOC!3:3,"AAAAAG+8res=",0)</f>
        <v>0</v>
      </c>
      <c r="IC30" t="e">
        <f>AND(TOC!A3,"AAAAAG+8rew=")</f>
        <v>#VALUE!</v>
      </c>
      <c r="ID30" t="e">
        <f>AND(TOC!#REF!,"AAAAAG+8re0=")</f>
        <v>#REF!</v>
      </c>
      <c r="IE30" t="e">
        <f>AND(TOC!#REF!,"AAAAAG+8re4=")</f>
        <v>#REF!</v>
      </c>
      <c r="IF30" t="e">
        <f>AND(TOC!#REF!,"AAAAAG+8re8=")</f>
        <v>#REF!</v>
      </c>
      <c r="IG30" t="e">
        <f>AND(TOC!#REF!,"AAAAAG+8rfA=")</f>
        <v>#REF!</v>
      </c>
      <c r="IH30" t="e">
        <f>AND(TOC!#REF!,"AAAAAG+8rfE=")</f>
        <v>#REF!</v>
      </c>
      <c r="II30" t="e">
        <f>AND(TOC!#REF!,"AAAAAG+8rfI=")</f>
        <v>#REF!</v>
      </c>
      <c r="IJ30" t="e">
        <f>AND(TOC!#REF!,"AAAAAG+8rfM=")</f>
        <v>#REF!</v>
      </c>
      <c r="IK30" t="e">
        <f>AND(TOC!#REF!,"AAAAAG+8rfQ=")</f>
        <v>#REF!</v>
      </c>
      <c r="IL30" t="e">
        <f>AND(TOC!#REF!,"AAAAAG+8rfU=")</f>
        <v>#REF!</v>
      </c>
      <c r="IM30" t="e">
        <f>AND(TOC!#REF!,"AAAAAG+8rfY=")</f>
        <v>#REF!</v>
      </c>
      <c r="IN30" t="e">
        <f>AND(TOC!#REF!,"AAAAAG+8rfc=")</f>
        <v>#REF!</v>
      </c>
      <c r="IO30" t="e">
        <f>AND(TOC!#REF!,"AAAAAG+8rfg=")</f>
        <v>#REF!</v>
      </c>
      <c r="IP30" t="e">
        <f>AND(TOC!#REF!,"AAAAAG+8rfk=")</f>
        <v>#REF!</v>
      </c>
      <c r="IQ30" t="e">
        <f>AND(TOC!#REF!,"AAAAAG+8rfo=")</f>
        <v>#REF!</v>
      </c>
      <c r="IR30" t="e">
        <f>AND(TOC!#REF!,"AAAAAG+8rfs=")</f>
        <v>#REF!</v>
      </c>
      <c r="IS30" t="e">
        <f>AND(TOC!#REF!,"AAAAAG+8rfw=")</f>
        <v>#REF!</v>
      </c>
      <c r="IT30" t="e">
        <f>AND(TOC!#REF!,"AAAAAG+8rf0=")</f>
        <v>#REF!</v>
      </c>
      <c r="IU30" t="e">
        <f>AND(TOC!#REF!,"AAAAAG+8rf4=")</f>
        <v>#REF!</v>
      </c>
      <c r="IV30" t="e">
        <f>AND(TOC!#REF!,"AAAAAG+8rf8=")</f>
        <v>#REF!</v>
      </c>
    </row>
    <row r="31" spans="1:256" x14ac:dyDescent="0.2">
      <c r="A31" t="e">
        <f>AND(TOC!#REF!,"AAAAAHZ5ewA=")</f>
        <v>#REF!</v>
      </c>
      <c r="B31" t="e">
        <f>AND(TOC!#REF!,"AAAAAHZ5ewE=")</f>
        <v>#REF!</v>
      </c>
      <c r="C31" t="e">
        <f>AND(TOC!C3,"AAAAAHZ5ewI=")</f>
        <v>#VALUE!</v>
      </c>
      <c r="D31" t="e">
        <f>AND(TOC!D3,"AAAAAHZ5ewM=")</f>
        <v>#VALUE!</v>
      </c>
      <c r="E31" t="e">
        <f>AND(TOC!E3,"AAAAAHZ5ewQ=")</f>
        <v>#VALUE!</v>
      </c>
      <c r="F31" t="e">
        <f>AND(TOC!F3,"AAAAAHZ5ewU=")</f>
        <v>#VALUE!</v>
      </c>
      <c r="G31" t="e">
        <f>AND(TOC!G3,"AAAAAHZ5ewY=")</f>
        <v>#VALUE!</v>
      </c>
      <c r="H31" t="e">
        <f>AND(TOC!H3,"AAAAAHZ5ewc=")</f>
        <v>#VALUE!</v>
      </c>
      <c r="I31" t="e">
        <f>AND(TOC!I3,"AAAAAHZ5ewg=")</f>
        <v>#VALUE!</v>
      </c>
      <c r="J31" t="e">
        <f>AND(TOC!J3,"AAAAAHZ5ewk=")</f>
        <v>#VALUE!</v>
      </c>
      <c r="K31" t="e">
        <f>AND(TOC!K3,"AAAAAHZ5ewo=")</f>
        <v>#VALUE!</v>
      </c>
      <c r="L31" t="e">
        <f>AND(TOC!L3,"AAAAAHZ5ews=")</f>
        <v>#VALUE!</v>
      </c>
      <c r="M31" t="e">
        <f>AND(TOC!M3,"AAAAAHZ5eww=")</f>
        <v>#VALUE!</v>
      </c>
      <c r="N31" t="e">
        <f>AND(TOC!N3,"AAAAAHZ5ew0=")</f>
        <v>#VALUE!</v>
      </c>
      <c r="O31" t="e">
        <f>AND(TOC!O3,"AAAAAHZ5ew4=")</f>
        <v>#VALUE!</v>
      </c>
      <c r="P31" t="e">
        <f>AND(TOC!P3,"AAAAAHZ5ew8=")</f>
        <v>#VALUE!</v>
      </c>
      <c r="Q31">
        <f>IF(TOC!4:4,"AAAAAHZ5exA=",0)</f>
        <v>0</v>
      </c>
      <c r="R31" t="e">
        <f>AND(TOC!A4,"AAAAAHZ5exE=")</f>
        <v>#VALUE!</v>
      </c>
      <c r="S31" t="e">
        <f>AND(TOC!#REF!,"AAAAAHZ5exI=")</f>
        <v>#REF!</v>
      </c>
      <c r="T31" t="e">
        <f>AND(TOC!#REF!,"AAAAAHZ5exM=")</f>
        <v>#REF!</v>
      </c>
      <c r="U31" t="e">
        <f>AND(TOC!#REF!,"AAAAAHZ5exQ=")</f>
        <v>#REF!</v>
      </c>
      <c r="V31" t="e">
        <f>AND(TOC!#REF!,"AAAAAHZ5exU=")</f>
        <v>#REF!</v>
      </c>
      <c r="W31" t="e">
        <f>AND(TOC!#REF!,"AAAAAHZ5exY=")</f>
        <v>#REF!</v>
      </c>
      <c r="X31" t="e">
        <f>AND(TOC!#REF!,"AAAAAHZ5exc=")</f>
        <v>#REF!</v>
      </c>
      <c r="Y31" t="e">
        <f>AND(TOC!#REF!,"AAAAAHZ5exg=")</f>
        <v>#REF!</v>
      </c>
      <c r="Z31" t="e">
        <f>AND(TOC!#REF!,"AAAAAHZ5exk=")</f>
        <v>#REF!</v>
      </c>
      <c r="AA31" t="e">
        <f>AND(TOC!#REF!,"AAAAAHZ5exo=")</f>
        <v>#REF!</v>
      </c>
      <c r="AB31" t="e">
        <f>AND(TOC!#REF!,"AAAAAHZ5exs=")</f>
        <v>#REF!</v>
      </c>
      <c r="AC31" t="e">
        <f>AND(TOC!#REF!,"AAAAAHZ5exw=")</f>
        <v>#REF!</v>
      </c>
      <c r="AD31" t="e">
        <f>AND(TOC!#REF!,"AAAAAHZ5ex0=")</f>
        <v>#REF!</v>
      </c>
      <c r="AE31" t="e">
        <f>AND(TOC!#REF!,"AAAAAHZ5ex4=")</f>
        <v>#REF!</v>
      </c>
      <c r="AF31" t="e">
        <f>AND(TOC!#REF!,"AAAAAHZ5ex8=")</f>
        <v>#REF!</v>
      </c>
      <c r="AG31" t="e">
        <f>AND(TOC!#REF!,"AAAAAHZ5eyA=")</f>
        <v>#REF!</v>
      </c>
      <c r="AH31" t="e">
        <f>AND(TOC!#REF!,"AAAAAHZ5eyE=")</f>
        <v>#REF!</v>
      </c>
      <c r="AI31" t="e">
        <f>AND(TOC!#REF!,"AAAAAHZ5eyI=")</f>
        <v>#REF!</v>
      </c>
      <c r="AJ31" t="e">
        <f>AND(TOC!#REF!,"AAAAAHZ5eyM=")</f>
        <v>#REF!</v>
      </c>
      <c r="AK31" t="e">
        <f>AND(TOC!#REF!,"AAAAAHZ5eyQ=")</f>
        <v>#REF!</v>
      </c>
      <c r="AL31" t="e">
        <f>AND(TOC!#REF!,"AAAAAHZ5eyU=")</f>
        <v>#REF!</v>
      </c>
      <c r="AM31" t="e">
        <f>AND(TOC!#REF!,"AAAAAHZ5eyY=")</f>
        <v>#REF!</v>
      </c>
      <c r="AN31" t="e">
        <f>AND(TOC!C4,"AAAAAHZ5eyc=")</f>
        <v>#VALUE!</v>
      </c>
      <c r="AO31" t="e">
        <f>AND(TOC!D4,"AAAAAHZ5eyg=")</f>
        <v>#VALUE!</v>
      </c>
      <c r="AP31" t="e">
        <f>AND(TOC!E4,"AAAAAHZ5eyk=")</f>
        <v>#VALUE!</v>
      </c>
      <c r="AQ31" t="e">
        <f>AND(TOC!F4,"AAAAAHZ5eyo=")</f>
        <v>#VALUE!</v>
      </c>
      <c r="AR31" t="e">
        <f>AND(TOC!G4,"AAAAAHZ5eys=")</f>
        <v>#VALUE!</v>
      </c>
      <c r="AS31" t="e">
        <f>AND(TOC!H4,"AAAAAHZ5eyw=")</f>
        <v>#VALUE!</v>
      </c>
      <c r="AT31" t="e">
        <f>AND(TOC!I4,"AAAAAHZ5ey0=")</f>
        <v>#VALUE!</v>
      </c>
      <c r="AU31" t="e">
        <f>AND(TOC!J4,"AAAAAHZ5ey4=")</f>
        <v>#VALUE!</v>
      </c>
      <c r="AV31" t="e">
        <f>AND(TOC!K4,"AAAAAHZ5ey8=")</f>
        <v>#VALUE!</v>
      </c>
      <c r="AW31" t="e">
        <f>AND(TOC!L4,"AAAAAHZ5ezA=")</f>
        <v>#VALUE!</v>
      </c>
      <c r="AX31" t="e">
        <f>AND(TOC!M4,"AAAAAHZ5ezE=")</f>
        <v>#VALUE!</v>
      </c>
      <c r="AY31" t="e">
        <f>AND(TOC!N4,"AAAAAHZ5ezI=")</f>
        <v>#VALUE!</v>
      </c>
      <c r="AZ31" t="e">
        <f>AND(TOC!O4,"AAAAAHZ5ezM=")</f>
        <v>#VALUE!</v>
      </c>
      <c r="BA31" t="e">
        <f>AND(TOC!P4,"AAAAAHZ5ezQ=")</f>
        <v>#VALUE!</v>
      </c>
      <c r="BB31">
        <f>IF(TOC!5:5,"AAAAAHZ5ezU=",0)</f>
        <v>0</v>
      </c>
      <c r="BC31" t="e">
        <f>AND(TOC!A5,"AAAAAHZ5ezY=")</f>
        <v>#VALUE!</v>
      </c>
      <c r="BD31" t="e">
        <f>AND(TOC!#REF!,"AAAAAHZ5ezc=")</f>
        <v>#REF!</v>
      </c>
      <c r="BE31" t="e">
        <f>AND(TOC!#REF!,"AAAAAHZ5ezg=")</f>
        <v>#REF!</v>
      </c>
      <c r="BF31" t="e">
        <f>AND(TOC!#REF!,"AAAAAHZ5ezk=")</f>
        <v>#REF!</v>
      </c>
      <c r="BG31" t="e">
        <f>AND(TOC!#REF!,"AAAAAHZ5ezo=")</f>
        <v>#REF!</v>
      </c>
      <c r="BH31" t="e">
        <f>AND(TOC!#REF!,"AAAAAHZ5ezs=")</f>
        <v>#REF!</v>
      </c>
      <c r="BI31" t="e">
        <f>AND(TOC!#REF!,"AAAAAHZ5ezw=")</f>
        <v>#REF!</v>
      </c>
      <c r="BJ31" t="e">
        <f>AND(TOC!#REF!,"AAAAAHZ5ez0=")</f>
        <v>#REF!</v>
      </c>
      <c r="BK31" t="e">
        <f>AND(TOC!#REF!,"AAAAAHZ5ez4=")</f>
        <v>#REF!</v>
      </c>
      <c r="BL31" t="e">
        <f>AND(TOC!#REF!,"AAAAAHZ5ez8=")</f>
        <v>#REF!</v>
      </c>
      <c r="BM31" t="e">
        <f>AND(TOC!#REF!,"AAAAAHZ5e0A=")</f>
        <v>#REF!</v>
      </c>
      <c r="BN31" t="e">
        <f>AND(TOC!#REF!,"AAAAAHZ5e0E=")</f>
        <v>#REF!</v>
      </c>
      <c r="BO31" t="e">
        <f>AND(TOC!#REF!,"AAAAAHZ5e0I=")</f>
        <v>#REF!</v>
      </c>
      <c r="BP31" t="e">
        <f>AND(TOC!#REF!,"AAAAAHZ5e0M=")</f>
        <v>#REF!</v>
      </c>
      <c r="BQ31" t="e">
        <f>AND(TOC!#REF!,"AAAAAHZ5e0Q=")</f>
        <v>#REF!</v>
      </c>
      <c r="BR31" t="e">
        <f>AND(TOC!#REF!,"AAAAAHZ5e0U=")</f>
        <v>#REF!</v>
      </c>
      <c r="BS31" t="e">
        <f>AND(TOC!#REF!,"AAAAAHZ5e0Y=")</f>
        <v>#REF!</v>
      </c>
      <c r="BT31" t="e">
        <f>AND(TOC!#REF!,"AAAAAHZ5e0c=")</f>
        <v>#REF!</v>
      </c>
      <c r="BU31" t="e">
        <f>AND(TOC!#REF!,"AAAAAHZ5e0g=")</f>
        <v>#REF!</v>
      </c>
      <c r="BV31" t="e">
        <f>AND(TOC!#REF!,"AAAAAHZ5e0k=")</f>
        <v>#REF!</v>
      </c>
      <c r="BW31" t="e">
        <f>AND(TOC!#REF!,"AAAAAHZ5e0o=")</f>
        <v>#REF!</v>
      </c>
      <c r="BX31" t="e">
        <f>AND(TOC!#REF!,"AAAAAHZ5e0s=")</f>
        <v>#REF!</v>
      </c>
      <c r="BY31" t="e">
        <f>AND(TOC!C5,"AAAAAHZ5e0w=")</f>
        <v>#VALUE!</v>
      </c>
      <c r="BZ31" t="e">
        <f>AND(TOC!D5,"AAAAAHZ5e00=")</f>
        <v>#VALUE!</v>
      </c>
      <c r="CA31" t="e">
        <f>AND(TOC!E5,"AAAAAHZ5e04=")</f>
        <v>#VALUE!</v>
      </c>
      <c r="CB31" t="e">
        <f>AND(TOC!F5,"AAAAAHZ5e08=")</f>
        <v>#VALUE!</v>
      </c>
      <c r="CC31" t="e">
        <f>AND(TOC!G5,"AAAAAHZ5e1A=")</f>
        <v>#VALUE!</v>
      </c>
      <c r="CD31" t="e">
        <f>AND(TOC!H5,"AAAAAHZ5e1E=")</f>
        <v>#VALUE!</v>
      </c>
      <c r="CE31" t="e">
        <f>AND(TOC!I5,"AAAAAHZ5e1I=")</f>
        <v>#VALUE!</v>
      </c>
      <c r="CF31" t="e">
        <f>AND(TOC!J5,"AAAAAHZ5e1M=")</f>
        <v>#VALUE!</v>
      </c>
      <c r="CG31" t="e">
        <f>AND(TOC!K5,"AAAAAHZ5e1Q=")</f>
        <v>#VALUE!</v>
      </c>
      <c r="CH31" t="e">
        <f>AND(TOC!L5,"AAAAAHZ5e1U=")</f>
        <v>#VALUE!</v>
      </c>
      <c r="CI31" t="e">
        <f>AND(TOC!M5,"AAAAAHZ5e1Y=")</f>
        <v>#VALUE!</v>
      </c>
      <c r="CJ31" t="e">
        <f>AND(TOC!N5,"AAAAAHZ5e1c=")</f>
        <v>#VALUE!</v>
      </c>
      <c r="CK31" t="e">
        <f>AND(TOC!O5,"AAAAAHZ5e1g=")</f>
        <v>#VALUE!</v>
      </c>
      <c r="CL31" t="e">
        <f>AND(TOC!P5,"AAAAAHZ5e1k=")</f>
        <v>#VALUE!</v>
      </c>
      <c r="CM31">
        <f>IF(TOC!6:6,"AAAAAHZ5e1o=",0)</f>
        <v>0</v>
      </c>
      <c r="CN31" t="e">
        <f>AND(TOC!A6,"AAAAAHZ5e1s=")</f>
        <v>#VALUE!</v>
      </c>
      <c r="CO31" t="e">
        <f>AND(TOC!#REF!,"AAAAAHZ5e1w=")</f>
        <v>#REF!</v>
      </c>
      <c r="CP31" t="e">
        <f>AND(TOC!#REF!,"AAAAAHZ5e10=")</f>
        <v>#REF!</v>
      </c>
      <c r="CQ31" t="e">
        <f>AND(TOC!#REF!,"AAAAAHZ5e14=")</f>
        <v>#REF!</v>
      </c>
      <c r="CR31" t="e">
        <f>AND(TOC!#REF!,"AAAAAHZ5e18=")</f>
        <v>#REF!</v>
      </c>
      <c r="CS31" t="e">
        <f>AND(TOC!#REF!,"AAAAAHZ5e2A=")</f>
        <v>#REF!</v>
      </c>
      <c r="CT31" t="e">
        <f>AND(TOC!#REF!,"AAAAAHZ5e2E=")</f>
        <v>#REF!</v>
      </c>
      <c r="CU31" t="e">
        <f>AND(TOC!#REF!,"AAAAAHZ5e2I=")</f>
        <v>#REF!</v>
      </c>
      <c r="CV31" t="e">
        <f>AND(TOC!#REF!,"AAAAAHZ5e2M=")</f>
        <v>#REF!</v>
      </c>
      <c r="CW31" t="e">
        <f>AND(TOC!#REF!,"AAAAAHZ5e2Q=")</f>
        <v>#REF!</v>
      </c>
      <c r="CX31" t="e">
        <f>AND(TOC!#REF!,"AAAAAHZ5e2U=")</f>
        <v>#REF!</v>
      </c>
      <c r="CY31" t="e">
        <f>AND(TOC!#REF!,"AAAAAHZ5e2Y=")</f>
        <v>#REF!</v>
      </c>
      <c r="CZ31" t="e">
        <f>AND(TOC!#REF!,"AAAAAHZ5e2c=")</f>
        <v>#REF!</v>
      </c>
      <c r="DA31" t="e">
        <f>AND(TOC!#REF!,"AAAAAHZ5e2g=")</f>
        <v>#REF!</v>
      </c>
      <c r="DB31" t="e">
        <f>AND(TOC!#REF!,"AAAAAHZ5e2k=")</f>
        <v>#REF!</v>
      </c>
      <c r="DC31" t="e">
        <f>AND(TOC!#REF!,"AAAAAHZ5e2o=")</f>
        <v>#REF!</v>
      </c>
      <c r="DD31" t="e">
        <f>AND(TOC!#REF!,"AAAAAHZ5e2s=")</f>
        <v>#REF!</v>
      </c>
      <c r="DE31" t="e">
        <f>AND(TOC!#REF!,"AAAAAHZ5e2w=")</f>
        <v>#REF!</v>
      </c>
      <c r="DF31" t="e">
        <f>AND(TOC!#REF!,"AAAAAHZ5e20=")</f>
        <v>#REF!</v>
      </c>
      <c r="DG31" t="e">
        <f>AND(TOC!#REF!,"AAAAAHZ5e24=")</f>
        <v>#REF!</v>
      </c>
      <c r="DH31" t="e">
        <f>AND(TOC!#REF!,"AAAAAHZ5e28=")</f>
        <v>#REF!</v>
      </c>
      <c r="DI31" t="e">
        <f>AND(TOC!#REF!,"AAAAAHZ5e3A=")</f>
        <v>#REF!</v>
      </c>
      <c r="DJ31" t="e">
        <f>AND(TOC!C6,"AAAAAHZ5e3E=")</f>
        <v>#VALUE!</v>
      </c>
      <c r="DK31" t="e">
        <f>AND(TOC!D6,"AAAAAHZ5e3I=")</f>
        <v>#VALUE!</v>
      </c>
      <c r="DL31" t="e">
        <f>AND(TOC!E6,"AAAAAHZ5e3M=")</f>
        <v>#VALUE!</v>
      </c>
      <c r="DM31" t="e">
        <f>AND(TOC!F6,"AAAAAHZ5e3Q=")</f>
        <v>#VALUE!</v>
      </c>
      <c r="DN31" t="e">
        <f>AND(TOC!G6,"AAAAAHZ5e3U=")</f>
        <v>#VALUE!</v>
      </c>
      <c r="DO31" t="e">
        <f>AND(TOC!H6,"AAAAAHZ5e3Y=")</f>
        <v>#VALUE!</v>
      </c>
      <c r="DP31" t="e">
        <f>AND(TOC!I6,"AAAAAHZ5e3c=")</f>
        <v>#VALUE!</v>
      </c>
      <c r="DQ31" t="e">
        <f>AND(TOC!J6,"AAAAAHZ5e3g=")</f>
        <v>#VALUE!</v>
      </c>
      <c r="DR31" t="e">
        <f>AND(TOC!K6,"AAAAAHZ5e3k=")</f>
        <v>#VALUE!</v>
      </c>
      <c r="DS31" t="e">
        <f>AND(TOC!L6,"AAAAAHZ5e3o=")</f>
        <v>#VALUE!</v>
      </c>
      <c r="DT31" t="e">
        <f>AND(TOC!M6,"AAAAAHZ5e3s=")</f>
        <v>#VALUE!</v>
      </c>
      <c r="DU31" t="e">
        <f>AND(TOC!N6,"AAAAAHZ5e3w=")</f>
        <v>#VALUE!</v>
      </c>
      <c r="DV31" t="e">
        <f>AND(TOC!O6,"AAAAAHZ5e30=")</f>
        <v>#VALUE!</v>
      </c>
      <c r="DW31" t="e">
        <f>AND(TOC!P6,"AAAAAHZ5e34=")</f>
        <v>#VALUE!</v>
      </c>
      <c r="DX31" t="e">
        <f>IF(TOC!#REF!,"AAAAAHZ5e38=",0)</f>
        <v>#REF!</v>
      </c>
      <c r="DY31" t="e">
        <f>AND(TOC!#REF!,"AAAAAHZ5e4A=")</f>
        <v>#REF!</v>
      </c>
      <c r="DZ31" t="e">
        <f>AND(TOC!#REF!,"AAAAAHZ5e4E=")</f>
        <v>#REF!</v>
      </c>
      <c r="EA31" t="e">
        <f>AND(TOC!#REF!,"AAAAAHZ5e4I=")</f>
        <v>#REF!</v>
      </c>
      <c r="EB31" t="e">
        <f>AND(TOC!#REF!,"AAAAAHZ5e4M=")</f>
        <v>#REF!</v>
      </c>
      <c r="EC31" t="e">
        <f>AND(TOC!#REF!,"AAAAAHZ5e4Q=")</f>
        <v>#REF!</v>
      </c>
      <c r="ED31" t="e">
        <f>AND(TOC!#REF!,"AAAAAHZ5e4U=")</f>
        <v>#REF!</v>
      </c>
      <c r="EE31" t="e">
        <f>AND(TOC!#REF!,"AAAAAHZ5e4Y=")</f>
        <v>#REF!</v>
      </c>
      <c r="EF31" t="e">
        <f>AND(TOC!#REF!,"AAAAAHZ5e4c=")</f>
        <v>#REF!</v>
      </c>
      <c r="EG31" t="e">
        <f>AND(TOC!#REF!,"AAAAAHZ5e4g=")</f>
        <v>#REF!</v>
      </c>
      <c r="EH31" t="e">
        <f>AND(TOC!#REF!,"AAAAAHZ5e4k=")</f>
        <v>#REF!</v>
      </c>
      <c r="EI31" t="e">
        <f>AND(TOC!#REF!,"AAAAAHZ5e4o=")</f>
        <v>#REF!</v>
      </c>
      <c r="EJ31" t="e">
        <f>AND(TOC!#REF!,"AAAAAHZ5e4s=")</f>
        <v>#REF!</v>
      </c>
      <c r="EK31" t="e">
        <f>AND(TOC!#REF!,"AAAAAHZ5e4w=")</f>
        <v>#REF!</v>
      </c>
      <c r="EL31" t="e">
        <f>AND(TOC!#REF!,"AAAAAHZ5e40=")</f>
        <v>#REF!</v>
      </c>
      <c r="EM31" t="e">
        <f>AND(TOC!#REF!,"AAAAAHZ5e44=")</f>
        <v>#REF!</v>
      </c>
      <c r="EN31" t="e">
        <f>AND(TOC!#REF!,"AAAAAHZ5e48=")</f>
        <v>#REF!</v>
      </c>
      <c r="EO31" t="e">
        <f>AND(TOC!#REF!,"AAAAAHZ5e5A=")</f>
        <v>#REF!</v>
      </c>
      <c r="EP31" t="e">
        <f>AND(TOC!#REF!,"AAAAAHZ5e5E=")</f>
        <v>#REF!</v>
      </c>
      <c r="EQ31" t="e">
        <f>AND(TOC!#REF!,"AAAAAHZ5e5I=")</f>
        <v>#REF!</v>
      </c>
      <c r="ER31" t="e">
        <f>AND(TOC!#REF!,"AAAAAHZ5e5M=")</f>
        <v>#REF!</v>
      </c>
      <c r="ES31" t="e">
        <f>AND(TOC!#REF!,"AAAAAHZ5e5Q=")</f>
        <v>#REF!</v>
      </c>
      <c r="ET31" t="e">
        <f>AND(TOC!#REF!,"AAAAAHZ5e5U=")</f>
        <v>#REF!</v>
      </c>
      <c r="EU31" t="e">
        <f>AND(TOC!#REF!,"AAAAAHZ5e5Y=")</f>
        <v>#REF!</v>
      </c>
      <c r="EV31" t="e">
        <f>AND(TOC!#REF!,"AAAAAHZ5e5c=")</f>
        <v>#REF!</v>
      </c>
      <c r="EW31" t="e">
        <f>AND(TOC!#REF!,"AAAAAHZ5e5g=")</f>
        <v>#REF!</v>
      </c>
      <c r="EX31" t="e">
        <f>AND(TOC!#REF!,"AAAAAHZ5e5k=")</f>
        <v>#REF!</v>
      </c>
      <c r="EY31" t="e">
        <f>AND(TOC!#REF!,"AAAAAHZ5e5o=")</f>
        <v>#REF!</v>
      </c>
      <c r="EZ31" t="e">
        <f>AND(TOC!#REF!,"AAAAAHZ5e5s=")</f>
        <v>#REF!</v>
      </c>
      <c r="FA31" t="e">
        <f>AND(TOC!#REF!,"AAAAAHZ5e5w=")</f>
        <v>#REF!</v>
      </c>
      <c r="FB31" t="e">
        <f>AND(TOC!#REF!,"AAAAAHZ5e50=")</f>
        <v>#REF!</v>
      </c>
      <c r="FC31" t="e">
        <f>AND(TOC!#REF!,"AAAAAHZ5e54=")</f>
        <v>#REF!</v>
      </c>
      <c r="FD31" t="e">
        <f>AND(TOC!#REF!,"AAAAAHZ5e58=")</f>
        <v>#REF!</v>
      </c>
      <c r="FE31" t="e">
        <f>AND(TOC!#REF!,"AAAAAHZ5e6A=")</f>
        <v>#REF!</v>
      </c>
      <c r="FF31" t="e">
        <f>AND(TOC!#REF!,"AAAAAHZ5e6E=")</f>
        <v>#REF!</v>
      </c>
      <c r="FG31" t="e">
        <f>AND(TOC!#REF!,"AAAAAHZ5e6I=")</f>
        <v>#REF!</v>
      </c>
      <c r="FH31" t="e">
        <f>AND(TOC!#REF!,"AAAAAHZ5e6M=")</f>
        <v>#REF!</v>
      </c>
      <c r="FI31">
        <f>IF(TOC!7:7,"AAAAAHZ5e6Q=",0)</f>
        <v>0</v>
      </c>
      <c r="FJ31" t="e">
        <f>AND(TOC!A7,"AAAAAHZ5e6U=")</f>
        <v>#VALUE!</v>
      </c>
      <c r="FK31" t="e">
        <f>AND(TOC!#REF!,"AAAAAHZ5e6Y=")</f>
        <v>#REF!</v>
      </c>
      <c r="FL31" t="e">
        <f>AND(TOC!#REF!,"AAAAAHZ5e6c=")</f>
        <v>#REF!</v>
      </c>
      <c r="FM31" t="e">
        <f>AND(TOC!#REF!,"AAAAAHZ5e6g=")</f>
        <v>#REF!</v>
      </c>
      <c r="FN31" t="e">
        <f>AND(TOC!#REF!,"AAAAAHZ5e6k=")</f>
        <v>#REF!</v>
      </c>
      <c r="FO31" t="e">
        <f>AND(TOC!#REF!,"AAAAAHZ5e6o=")</f>
        <v>#REF!</v>
      </c>
      <c r="FP31" t="e">
        <f>AND(TOC!#REF!,"AAAAAHZ5e6s=")</f>
        <v>#REF!</v>
      </c>
      <c r="FQ31" t="e">
        <f>AND(TOC!#REF!,"AAAAAHZ5e6w=")</f>
        <v>#REF!</v>
      </c>
      <c r="FR31" t="e">
        <f>AND(TOC!#REF!,"AAAAAHZ5e60=")</f>
        <v>#REF!</v>
      </c>
      <c r="FS31" t="e">
        <f>AND(TOC!#REF!,"AAAAAHZ5e64=")</f>
        <v>#REF!</v>
      </c>
      <c r="FT31" t="e">
        <f>AND(TOC!#REF!,"AAAAAHZ5e68=")</f>
        <v>#REF!</v>
      </c>
      <c r="FU31" t="e">
        <f>AND(TOC!#REF!,"AAAAAHZ5e7A=")</f>
        <v>#REF!</v>
      </c>
      <c r="FV31" t="e">
        <f>AND(TOC!#REF!,"AAAAAHZ5e7E=")</f>
        <v>#REF!</v>
      </c>
      <c r="FW31" t="e">
        <f>AND(TOC!#REF!,"AAAAAHZ5e7I=")</f>
        <v>#REF!</v>
      </c>
      <c r="FX31" t="e">
        <f>AND(TOC!#REF!,"AAAAAHZ5e7M=")</f>
        <v>#REF!</v>
      </c>
      <c r="FY31" t="e">
        <f>AND(TOC!#REF!,"AAAAAHZ5e7Q=")</f>
        <v>#REF!</v>
      </c>
      <c r="FZ31" t="e">
        <f>AND(TOC!#REF!,"AAAAAHZ5e7U=")</f>
        <v>#REF!</v>
      </c>
      <c r="GA31" t="e">
        <f>AND(TOC!#REF!,"AAAAAHZ5e7Y=")</f>
        <v>#REF!</v>
      </c>
      <c r="GB31" t="e">
        <f>AND(TOC!#REF!,"AAAAAHZ5e7c=")</f>
        <v>#REF!</v>
      </c>
      <c r="GC31" t="e">
        <f>AND(TOC!#REF!,"AAAAAHZ5e7g=")</f>
        <v>#REF!</v>
      </c>
      <c r="GD31" t="e">
        <f>AND(TOC!#REF!,"AAAAAHZ5e7k=")</f>
        <v>#REF!</v>
      </c>
      <c r="GE31" t="e">
        <f>AND(TOC!#REF!,"AAAAAHZ5e7o=")</f>
        <v>#REF!</v>
      </c>
      <c r="GF31" t="e">
        <f>AND(TOC!C7,"AAAAAHZ5e7s=")</f>
        <v>#VALUE!</v>
      </c>
      <c r="GG31" t="e">
        <f>AND(TOC!D7,"AAAAAHZ5e7w=")</f>
        <v>#VALUE!</v>
      </c>
      <c r="GH31" t="e">
        <f>AND(TOC!E7,"AAAAAHZ5e70=")</f>
        <v>#VALUE!</v>
      </c>
      <c r="GI31" t="e">
        <f>AND(TOC!F7,"AAAAAHZ5e74=")</f>
        <v>#VALUE!</v>
      </c>
      <c r="GJ31" t="e">
        <f>AND(TOC!G7,"AAAAAHZ5e78=")</f>
        <v>#VALUE!</v>
      </c>
      <c r="GK31" t="e">
        <f>AND(TOC!H7,"AAAAAHZ5e8A=")</f>
        <v>#VALUE!</v>
      </c>
      <c r="GL31" t="e">
        <f>AND(TOC!I7,"AAAAAHZ5e8E=")</f>
        <v>#VALUE!</v>
      </c>
      <c r="GM31" t="e">
        <f>AND(TOC!J7,"AAAAAHZ5e8I=")</f>
        <v>#VALUE!</v>
      </c>
      <c r="GN31" t="e">
        <f>AND(TOC!K7,"AAAAAHZ5e8M=")</f>
        <v>#VALUE!</v>
      </c>
      <c r="GO31" t="e">
        <f>AND(TOC!L7,"AAAAAHZ5e8Q=")</f>
        <v>#VALUE!</v>
      </c>
      <c r="GP31" t="e">
        <f>AND(TOC!M7,"AAAAAHZ5e8U=")</f>
        <v>#VALUE!</v>
      </c>
      <c r="GQ31" t="e">
        <f>AND(TOC!N7,"AAAAAHZ5e8Y=")</f>
        <v>#VALUE!</v>
      </c>
      <c r="GR31" t="e">
        <f>AND(TOC!O7,"AAAAAHZ5e8c=")</f>
        <v>#VALUE!</v>
      </c>
      <c r="GS31" t="e">
        <f>AND(TOC!P7,"AAAAAHZ5e8g=")</f>
        <v>#VALUE!</v>
      </c>
      <c r="GT31">
        <f>IF(TOC!8:8,"AAAAAHZ5e8k=",0)</f>
        <v>0</v>
      </c>
      <c r="GU31" t="e">
        <f>AND(TOC!A8,"AAAAAHZ5e8o=")</f>
        <v>#VALUE!</v>
      </c>
      <c r="GV31" t="e">
        <f>AND(TOC!#REF!,"AAAAAHZ5e8s=")</f>
        <v>#REF!</v>
      </c>
      <c r="GW31" t="e">
        <f>AND(TOC!#REF!,"AAAAAHZ5e8w=")</f>
        <v>#REF!</v>
      </c>
      <c r="GX31" t="e">
        <f>AND(TOC!#REF!,"AAAAAHZ5e80=")</f>
        <v>#REF!</v>
      </c>
      <c r="GY31" t="e">
        <f>AND(TOC!#REF!,"AAAAAHZ5e84=")</f>
        <v>#REF!</v>
      </c>
      <c r="GZ31" t="e">
        <f>AND(TOC!#REF!,"AAAAAHZ5e88=")</f>
        <v>#REF!</v>
      </c>
      <c r="HA31" t="e">
        <f>AND(TOC!#REF!,"AAAAAHZ5e9A=")</f>
        <v>#REF!</v>
      </c>
      <c r="HB31" t="e">
        <f>AND(TOC!#REF!,"AAAAAHZ5e9E=")</f>
        <v>#REF!</v>
      </c>
      <c r="HC31" t="e">
        <f>AND(TOC!#REF!,"AAAAAHZ5e9I=")</f>
        <v>#REF!</v>
      </c>
      <c r="HD31" t="e">
        <f>AND(TOC!#REF!,"AAAAAHZ5e9M=")</f>
        <v>#REF!</v>
      </c>
      <c r="HE31" t="e">
        <f>AND(TOC!#REF!,"AAAAAHZ5e9Q=")</f>
        <v>#REF!</v>
      </c>
      <c r="HF31" t="e">
        <f>AND(TOC!#REF!,"AAAAAHZ5e9U=")</f>
        <v>#REF!</v>
      </c>
      <c r="HG31" t="e">
        <f>AND(TOC!#REF!,"AAAAAHZ5e9Y=")</f>
        <v>#REF!</v>
      </c>
      <c r="HH31" t="e">
        <f>AND(TOC!#REF!,"AAAAAHZ5e9c=")</f>
        <v>#REF!</v>
      </c>
      <c r="HI31" t="e">
        <f>AND(TOC!#REF!,"AAAAAHZ5e9g=")</f>
        <v>#REF!</v>
      </c>
      <c r="HJ31" t="e">
        <f>AND(TOC!#REF!,"AAAAAHZ5e9k=")</f>
        <v>#REF!</v>
      </c>
      <c r="HK31" t="e">
        <f>AND(TOC!#REF!,"AAAAAHZ5e9o=")</f>
        <v>#REF!</v>
      </c>
      <c r="HL31" t="e">
        <f>AND(TOC!#REF!,"AAAAAHZ5e9s=")</f>
        <v>#REF!</v>
      </c>
      <c r="HM31" t="e">
        <f>AND(TOC!#REF!,"AAAAAHZ5e9w=")</f>
        <v>#REF!</v>
      </c>
      <c r="HN31" t="e">
        <f>AND(TOC!#REF!,"AAAAAHZ5e90=")</f>
        <v>#REF!</v>
      </c>
      <c r="HO31" t="e">
        <f>AND(TOC!#REF!,"AAAAAHZ5e94=")</f>
        <v>#REF!</v>
      </c>
      <c r="HP31" t="e">
        <f>AND(TOC!#REF!,"AAAAAHZ5e98=")</f>
        <v>#REF!</v>
      </c>
      <c r="HQ31" t="e">
        <f>AND(TOC!C8,"AAAAAHZ5e+A=")</f>
        <v>#VALUE!</v>
      </c>
      <c r="HR31" t="e">
        <f>AND(TOC!D8,"AAAAAHZ5e+E=")</f>
        <v>#VALUE!</v>
      </c>
      <c r="HS31" t="e">
        <f>AND(TOC!E8,"AAAAAHZ5e+I=")</f>
        <v>#VALUE!</v>
      </c>
      <c r="HT31" t="e">
        <f>AND(TOC!F8,"AAAAAHZ5e+M=")</f>
        <v>#VALUE!</v>
      </c>
      <c r="HU31" t="e">
        <f>AND(TOC!G8,"AAAAAHZ5e+Q=")</f>
        <v>#VALUE!</v>
      </c>
      <c r="HV31" t="e">
        <f>AND(TOC!H8,"AAAAAHZ5e+U=")</f>
        <v>#VALUE!</v>
      </c>
      <c r="HW31" t="e">
        <f>AND(TOC!I8,"AAAAAHZ5e+Y=")</f>
        <v>#VALUE!</v>
      </c>
      <c r="HX31" t="e">
        <f>AND(TOC!J8,"AAAAAHZ5e+c=")</f>
        <v>#VALUE!</v>
      </c>
      <c r="HY31" t="e">
        <f>AND(TOC!K8,"AAAAAHZ5e+g=")</f>
        <v>#VALUE!</v>
      </c>
      <c r="HZ31" t="e">
        <f>AND(TOC!L8,"AAAAAHZ5e+k=")</f>
        <v>#VALUE!</v>
      </c>
      <c r="IA31" t="e">
        <f>AND(TOC!M8,"AAAAAHZ5e+o=")</f>
        <v>#VALUE!</v>
      </c>
      <c r="IB31" t="e">
        <f>AND(TOC!N8,"AAAAAHZ5e+s=")</f>
        <v>#VALUE!</v>
      </c>
      <c r="IC31" t="e">
        <f>AND(TOC!O8,"AAAAAHZ5e+w=")</f>
        <v>#VALUE!</v>
      </c>
      <c r="ID31" t="e">
        <f>AND(TOC!P8,"AAAAAHZ5e+0=")</f>
        <v>#VALUE!</v>
      </c>
      <c r="IE31">
        <f>IF(TOC!9:9,"AAAAAHZ5e+4=",0)</f>
        <v>0</v>
      </c>
      <c r="IF31" t="e">
        <f>AND(TOC!A9,"AAAAAHZ5e+8=")</f>
        <v>#VALUE!</v>
      </c>
      <c r="IG31" t="e">
        <f>AND(TOC!#REF!,"AAAAAHZ5e/A=")</f>
        <v>#REF!</v>
      </c>
      <c r="IH31" t="e">
        <f>AND(TOC!#REF!,"AAAAAHZ5e/E=")</f>
        <v>#REF!</v>
      </c>
      <c r="II31" t="e">
        <f>AND(TOC!#REF!,"AAAAAHZ5e/I=")</f>
        <v>#REF!</v>
      </c>
      <c r="IJ31" t="e">
        <f>AND(TOC!#REF!,"AAAAAHZ5e/M=")</f>
        <v>#REF!</v>
      </c>
      <c r="IK31" t="e">
        <f>AND(TOC!#REF!,"AAAAAHZ5e/Q=")</f>
        <v>#REF!</v>
      </c>
      <c r="IL31" t="e">
        <f>AND(TOC!#REF!,"AAAAAHZ5e/U=")</f>
        <v>#REF!</v>
      </c>
      <c r="IM31" t="e">
        <f>AND(TOC!#REF!,"AAAAAHZ5e/Y=")</f>
        <v>#REF!</v>
      </c>
      <c r="IN31" t="e">
        <f>AND(TOC!#REF!,"AAAAAHZ5e/c=")</f>
        <v>#REF!</v>
      </c>
      <c r="IO31" t="e">
        <f>AND(TOC!#REF!,"AAAAAHZ5e/g=")</f>
        <v>#REF!</v>
      </c>
      <c r="IP31" t="e">
        <f>AND(TOC!#REF!,"AAAAAHZ5e/k=")</f>
        <v>#REF!</v>
      </c>
      <c r="IQ31" t="e">
        <f>AND(TOC!#REF!,"AAAAAHZ5e/o=")</f>
        <v>#REF!</v>
      </c>
      <c r="IR31" t="e">
        <f>AND(TOC!#REF!,"AAAAAHZ5e/s=")</f>
        <v>#REF!</v>
      </c>
      <c r="IS31" t="e">
        <f>AND(TOC!#REF!,"AAAAAHZ5e/w=")</f>
        <v>#REF!</v>
      </c>
      <c r="IT31" t="e">
        <f>AND(TOC!#REF!,"AAAAAHZ5e/0=")</f>
        <v>#REF!</v>
      </c>
      <c r="IU31" t="e">
        <f>AND(TOC!#REF!,"AAAAAHZ5e/4=")</f>
        <v>#REF!</v>
      </c>
      <c r="IV31" t="e">
        <f>AND(TOC!#REF!,"AAAAAHZ5e/8=")</f>
        <v>#REF!</v>
      </c>
    </row>
    <row r="32" spans="1:256" x14ac:dyDescent="0.2">
      <c r="A32" t="e">
        <f>AND(TOC!#REF!,"AAAAAA7ufQA=")</f>
        <v>#REF!</v>
      </c>
      <c r="B32" t="e">
        <f>AND(TOC!#REF!,"AAAAAA7ufQE=")</f>
        <v>#REF!</v>
      </c>
      <c r="C32" t="e">
        <f>AND(TOC!#REF!,"AAAAAA7ufQI=")</f>
        <v>#REF!</v>
      </c>
      <c r="D32" t="e">
        <f>AND(TOC!#REF!,"AAAAAA7ufQM=")</f>
        <v>#REF!</v>
      </c>
      <c r="E32" t="e">
        <f>AND(TOC!#REF!,"AAAAAA7ufQQ=")</f>
        <v>#REF!</v>
      </c>
      <c r="F32" t="e">
        <f>AND(TOC!C9,"AAAAAA7ufQU=")</f>
        <v>#VALUE!</v>
      </c>
      <c r="G32" t="e">
        <f>AND(TOC!D9,"AAAAAA7ufQY=")</f>
        <v>#VALUE!</v>
      </c>
      <c r="H32" t="e">
        <f>AND(TOC!E9,"AAAAAA7ufQc=")</f>
        <v>#VALUE!</v>
      </c>
      <c r="I32" t="e">
        <f>AND(TOC!F9,"AAAAAA7ufQg=")</f>
        <v>#VALUE!</v>
      </c>
      <c r="J32" t="e">
        <f>AND(TOC!G9,"AAAAAA7ufQk=")</f>
        <v>#VALUE!</v>
      </c>
      <c r="K32" t="e">
        <f>AND(TOC!H9,"AAAAAA7ufQo=")</f>
        <v>#VALUE!</v>
      </c>
      <c r="L32" t="e">
        <f>AND(TOC!I9,"AAAAAA7ufQs=")</f>
        <v>#VALUE!</v>
      </c>
      <c r="M32" t="e">
        <f>AND(TOC!J9,"AAAAAA7ufQw=")</f>
        <v>#VALUE!</v>
      </c>
      <c r="N32" t="e">
        <f>AND(TOC!K9,"AAAAAA7ufQ0=")</f>
        <v>#VALUE!</v>
      </c>
      <c r="O32" t="e">
        <f>AND(TOC!L9,"AAAAAA7ufQ4=")</f>
        <v>#VALUE!</v>
      </c>
      <c r="P32" t="e">
        <f>AND(TOC!M9,"AAAAAA7ufQ8=")</f>
        <v>#VALUE!</v>
      </c>
      <c r="Q32" t="e">
        <f>AND(TOC!N9,"AAAAAA7ufRA=")</f>
        <v>#VALUE!</v>
      </c>
      <c r="R32" t="e">
        <f>AND(TOC!O9,"AAAAAA7ufRE=")</f>
        <v>#VALUE!</v>
      </c>
      <c r="S32" t="e">
        <f>AND(TOC!P9,"AAAAAA7ufRI=")</f>
        <v>#VALUE!</v>
      </c>
      <c r="T32">
        <f>IF(TOC!10:10,"AAAAAA7ufRM=",0)</f>
        <v>0</v>
      </c>
      <c r="U32" t="e">
        <f>AND(TOC!A10,"AAAAAA7ufRQ=")</f>
        <v>#VALUE!</v>
      </c>
      <c r="V32" t="e">
        <f>AND(TOC!#REF!,"AAAAAA7ufRU=")</f>
        <v>#REF!</v>
      </c>
      <c r="W32" t="e">
        <f>AND(TOC!#REF!,"AAAAAA7ufRY=")</f>
        <v>#REF!</v>
      </c>
      <c r="X32" t="e">
        <f>AND(TOC!#REF!,"AAAAAA7ufRc=")</f>
        <v>#REF!</v>
      </c>
      <c r="Y32" t="e">
        <f>AND(TOC!#REF!,"AAAAAA7ufRg=")</f>
        <v>#REF!</v>
      </c>
      <c r="Z32" t="e">
        <f>AND(TOC!#REF!,"AAAAAA7ufRk=")</f>
        <v>#REF!</v>
      </c>
      <c r="AA32" t="e">
        <f>AND(TOC!#REF!,"AAAAAA7ufRo=")</f>
        <v>#REF!</v>
      </c>
      <c r="AB32" t="e">
        <f>AND(TOC!#REF!,"AAAAAA7ufRs=")</f>
        <v>#REF!</v>
      </c>
      <c r="AC32" t="e">
        <f>AND(TOC!#REF!,"AAAAAA7ufRw=")</f>
        <v>#REF!</v>
      </c>
      <c r="AD32" t="e">
        <f>AND(TOC!#REF!,"AAAAAA7ufR0=")</f>
        <v>#REF!</v>
      </c>
      <c r="AE32" t="e">
        <f>AND(TOC!#REF!,"AAAAAA7ufR4=")</f>
        <v>#REF!</v>
      </c>
      <c r="AF32" t="e">
        <f>AND(TOC!#REF!,"AAAAAA7ufR8=")</f>
        <v>#REF!</v>
      </c>
      <c r="AG32" t="e">
        <f>AND(TOC!#REF!,"AAAAAA7ufSA=")</f>
        <v>#REF!</v>
      </c>
      <c r="AH32" t="e">
        <f>AND(TOC!#REF!,"AAAAAA7ufSE=")</f>
        <v>#REF!</v>
      </c>
      <c r="AI32" t="e">
        <f>AND(TOC!#REF!,"AAAAAA7ufSI=")</f>
        <v>#REF!</v>
      </c>
      <c r="AJ32" t="e">
        <f>AND(TOC!#REF!,"AAAAAA7ufSM=")</f>
        <v>#REF!</v>
      </c>
      <c r="AK32" t="e">
        <f>AND(TOC!#REF!,"AAAAAA7ufSQ=")</f>
        <v>#REF!</v>
      </c>
      <c r="AL32" t="e">
        <f>AND(TOC!#REF!,"AAAAAA7ufSU=")</f>
        <v>#REF!</v>
      </c>
      <c r="AM32" t="e">
        <f>AND(TOC!#REF!,"AAAAAA7ufSY=")</f>
        <v>#REF!</v>
      </c>
      <c r="AN32" t="e">
        <f>AND(TOC!#REF!,"AAAAAA7ufSc=")</f>
        <v>#REF!</v>
      </c>
      <c r="AO32" t="e">
        <f>AND(TOC!#REF!,"AAAAAA7ufSg=")</f>
        <v>#REF!</v>
      </c>
      <c r="AP32" t="e">
        <f>AND(TOC!#REF!,"AAAAAA7ufSk=")</f>
        <v>#REF!</v>
      </c>
      <c r="AQ32" t="e">
        <f>AND(TOC!C10,"AAAAAA7ufSo=")</f>
        <v>#VALUE!</v>
      </c>
      <c r="AR32" t="e">
        <f>AND(TOC!D10,"AAAAAA7ufSs=")</f>
        <v>#VALUE!</v>
      </c>
      <c r="AS32" t="e">
        <f>AND(TOC!E10,"AAAAAA7ufSw=")</f>
        <v>#VALUE!</v>
      </c>
      <c r="AT32" t="e">
        <f>AND(TOC!F10,"AAAAAA7ufS0=")</f>
        <v>#VALUE!</v>
      </c>
      <c r="AU32" t="e">
        <f>AND(TOC!G10,"AAAAAA7ufS4=")</f>
        <v>#VALUE!</v>
      </c>
      <c r="AV32" t="e">
        <f>AND(TOC!H10,"AAAAAA7ufS8=")</f>
        <v>#VALUE!</v>
      </c>
      <c r="AW32" t="e">
        <f>AND(TOC!I10,"AAAAAA7ufTA=")</f>
        <v>#VALUE!</v>
      </c>
      <c r="AX32" t="e">
        <f>AND(TOC!J10,"AAAAAA7ufTE=")</f>
        <v>#VALUE!</v>
      </c>
      <c r="AY32" t="e">
        <f>AND(TOC!K10,"AAAAAA7ufTI=")</f>
        <v>#VALUE!</v>
      </c>
      <c r="AZ32" t="e">
        <f>AND(TOC!L10,"AAAAAA7ufTM=")</f>
        <v>#VALUE!</v>
      </c>
      <c r="BA32" t="e">
        <f>AND(TOC!M10,"AAAAAA7ufTQ=")</f>
        <v>#VALUE!</v>
      </c>
      <c r="BB32" t="e">
        <f>AND(TOC!N10,"AAAAAA7ufTU=")</f>
        <v>#VALUE!</v>
      </c>
      <c r="BC32" t="e">
        <f>AND(TOC!O10,"AAAAAA7ufTY=")</f>
        <v>#VALUE!</v>
      </c>
      <c r="BD32" t="e">
        <f>AND(TOC!P10,"AAAAAA7ufTc=")</f>
        <v>#VALUE!</v>
      </c>
      <c r="BE32">
        <f>IF(TOC!11:11,"AAAAAA7ufTg=",0)</f>
        <v>0</v>
      </c>
      <c r="BF32" t="e">
        <f>AND(TOC!A11,"AAAAAA7ufTk=")</f>
        <v>#VALUE!</v>
      </c>
      <c r="BG32" t="e">
        <f>AND(TOC!#REF!,"AAAAAA7ufTo=")</f>
        <v>#REF!</v>
      </c>
      <c r="BH32" t="e">
        <f>AND(TOC!#REF!,"AAAAAA7ufTs=")</f>
        <v>#REF!</v>
      </c>
      <c r="BI32" t="e">
        <f>AND(TOC!#REF!,"AAAAAA7ufTw=")</f>
        <v>#REF!</v>
      </c>
      <c r="BJ32" t="e">
        <f>AND(TOC!#REF!,"AAAAAA7ufT0=")</f>
        <v>#REF!</v>
      </c>
      <c r="BK32" t="e">
        <f>AND(TOC!#REF!,"AAAAAA7ufT4=")</f>
        <v>#REF!</v>
      </c>
      <c r="BL32" t="e">
        <f>AND(TOC!#REF!,"AAAAAA7ufT8=")</f>
        <v>#REF!</v>
      </c>
      <c r="BM32" t="e">
        <f>AND(TOC!#REF!,"AAAAAA7ufUA=")</f>
        <v>#REF!</v>
      </c>
      <c r="BN32" t="e">
        <f>AND(TOC!#REF!,"AAAAAA7ufUE=")</f>
        <v>#REF!</v>
      </c>
      <c r="BO32" t="e">
        <f>AND(TOC!#REF!,"AAAAAA7ufUI=")</f>
        <v>#REF!</v>
      </c>
      <c r="BP32" t="e">
        <f>AND(TOC!#REF!,"AAAAAA7ufUM=")</f>
        <v>#REF!</v>
      </c>
      <c r="BQ32" t="e">
        <f>AND(TOC!#REF!,"AAAAAA7ufUQ=")</f>
        <v>#REF!</v>
      </c>
      <c r="BR32" t="e">
        <f>AND(TOC!#REF!,"AAAAAA7ufUU=")</f>
        <v>#REF!</v>
      </c>
      <c r="BS32" t="e">
        <f>AND(TOC!#REF!,"AAAAAA7ufUY=")</f>
        <v>#REF!</v>
      </c>
      <c r="BT32" t="e">
        <f>AND(TOC!#REF!,"AAAAAA7ufUc=")</f>
        <v>#REF!</v>
      </c>
      <c r="BU32" t="e">
        <f>AND(TOC!#REF!,"AAAAAA7ufUg=")</f>
        <v>#REF!</v>
      </c>
      <c r="BV32" t="e">
        <f>AND(TOC!#REF!,"AAAAAA7ufUk=")</f>
        <v>#REF!</v>
      </c>
      <c r="BW32" t="e">
        <f>AND(TOC!#REF!,"AAAAAA7ufUo=")</f>
        <v>#REF!</v>
      </c>
      <c r="BX32" t="e">
        <f>AND(TOC!#REF!,"AAAAAA7ufUs=")</f>
        <v>#REF!</v>
      </c>
      <c r="BY32" t="e">
        <f>AND(TOC!#REF!,"AAAAAA7ufUw=")</f>
        <v>#REF!</v>
      </c>
      <c r="BZ32" t="e">
        <f>AND(TOC!#REF!,"AAAAAA7ufU0=")</f>
        <v>#REF!</v>
      </c>
      <c r="CA32" t="e">
        <f>AND(TOC!#REF!,"AAAAAA7ufU4=")</f>
        <v>#REF!</v>
      </c>
      <c r="CB32" t="e">
        <f>AND(TOC!C11,"AAAAAA7ufU8=")</f>
        <v>#VALUE!</v>
      </c>
      <c r="CC32" t="e">
        <f>AND(TOC!D11,"AAAAAA7ufVA=")</f>
        <v>#VALUE!</v>
      </c>
      <c r="CD32" t="e">
        <f>AND(TOC!E11,"AAAAAA7ufVE=")</f>
        <v>#VALUE!</v>
      </c>
      <c r="CE32" t="e">
        <f>AND(TOC!F11,"AAAAAA7ufVI=")</f>
        <v>#VALUE!</v>
      </c>
      <c r="CF32" t="e">
        <f>AND(TOC!G11,"AAAAAA7ufVM=")</f>
        <v>#VALUE!</v>
      </c>
      <c r="CG32" t="e">
        <f>AND(TOC!H11,"AAAAAA7ufVQ=")</f>
        <v>#VALUE!</v>
      </c>
      <c r="CH32" t="e">
        <f>AND(TOC!I11,"AAAAAA7ufVU=")</f>
        <v>#VALUE!</v>
      </c>
      <c r="CI32" t="e">
        <f>AND(TOC!J11,"AAAAAA7ufVY=")</f>
        <v>#VALUE!</v>
      </c>
      <c r="CJ32" t="e">
        <f>AND(TOC!K11,"AAAAAA7ufVc=")</f>
        <v>#VALUE!</v>
      </c>
      <c r="CK32" t="e">
        <f>AND(TOC!L11,"AAAAAA7ufVg=")</f>
        <v>#VALUE!</v>
      </c>
      <c r="CL32" t="e">
        <f>AND(TOC!M11,"AAAAAA7ufVk=")</f>
        <v>#VALUE!</v>
      </c>
      <c r="CM32" t="e">
        <f>AND(TOC!N11,"AAAAAA7ufVo=")</f>
        <v>#VALUE!</v>
      </c>
      <c r="CN32" t="e">
        <f>AND(TOC!O11,"AAAAAA7ufVs=")</f>
        <v>#VALUE!</v>
      </c>
      <c r="CO32" t="e">
        <f>AND(TOC!P11,"AAAAAA7ufVw=")</f>
        <v>#VALUE!</v>
      </c>
      <c r="CP32">
        <f>IF(TOC!12:12,"AAAAAA7ufV0=",0)</f>
        <v>0</v>
      </c>
      <c r="CQ32" t="e">
        <f>AND(TOC!A12,"AAAAAA7ufV4=")</f>
        <v>#VALUE!</v>
      </c>
      <c r="CR32" t="e">
        <f>AND(TOC!#REF!,"AAAAAA7ufV8=")</f>
        <v>#REF!</v>
      </c>
      <c r="CS32" t="e">
        <f>AND(TOC!#REF!,"AAAAAA7ufWA=")</f>
        <v>#REF!</v>
      </c>
      <c r="CT32" t="e">
        <f>AND(TOC!#REF!,"AAAAAA7ufWE=")</f>
        <v>#REF!</v>
      </c>
      <c r="CU32" t="e">
        <f>AND(TOC!#REF!,"AAAAAA7ufWI=")</f>
        <v>#REF!</v>
      </c>
      <c r="CV32" t="e">
        <f>AND(TOC!#REF!,"AAAAAA7ufWM=")</f>
        <v>#REF!</v>
      </c>
      <c r="CW32" t="e">
        <f>AND(TOC!#REF!,"AAAAAA7ufWQ=")</f>
        <v>#REF!</v>
      </c>
      <c r="CX32" t="e">
        <f>AND(TOC!#REF!,"AAAAAA7ufWU=")</f>
        <v>#REF!</v>
      </c>
      <c r="CY32" t="e">
        <f>AND(TOC!#REF!,"AAAAAA7ufWY=")</f>
        <v>#REF!</v>
      </c>
      <c r="CZ32" t="e">
        <f>AND(TOC!#REF!,"AAAAAA7ufWc=")</f>
        <v>#REF!</v>
      </c>
      <c r="DA32" t="e">
        <f>AND(TOC!#REF!,"AAAAAA7ufWg=")</f>
        <v>#REF!</v>
      </c>
      <c r="DB32" t="e">
        <f>AND(TOC!#REF!,"AAAAAA7ufWk=")</f>
        <v>#REF!</v>
      </c>
      <c r="DC32" t="e">
        <f>AND(TOC!#REF!,"AAAAAA7ufWo=")</f>
        <v>#REF!</v>
      </c>
      <c r="DD32" t="e">
        <f>AND(TOC!#REF!,"AAAAAA7ufWs=")</f>
        <v>#REF!</v>
      </c>
      <c r="DE32" t="e">
        <f>AND(TOC!#REF!,"AAAAAA7ufWw=")</f>
        <v>#REF!</v>
      </c>
      <c r="DF32" t="e">
        <f>AND(TOC!#REF!,"AAAAAA7ufW0=")</f>
        <v>#REF!</v>
      </c>
      <c r="DG32" t="e">
        <f>AND(TOC!#REF!,"AAAAAA7ufW4=")</f>
        <v>#REF!</v>
      </c>
      <c r="DH32" t="e">
        <f>AND(TOC!#REF!,"AAAAAA7ufW8=")</f>
        <v>#REF!</v>
      </c>
      <c r="DI32" t="e">
        <f>AND(TOC!#REF!,"AAAAAA7ufXA=")</f>
        <v>#REF!</v>
      </c>
      <c r="DJ32" t="e">
        <f>AND(TOC!#REF!,"AAAAAA7ufXE=")</f>
        <v>#REF!</v>
      </c>
      <c r="DK32" t="e">
        <f>AND(TOC!#REF!,"AAAAAA7ufXI=")</f>
        <v>#REF!</v>
      </c>
      <c r="DL32" t="e">
        <f>AND(TOC!#REF!,"AAAAAA7ufXM=")</f>
        <v>#REF!</v>
      </c>
      <c r="DM32" t="e">
        <f>AND(TOC!C12,"AAAAAA7ufXQ=")</f>
        <v>#VALUE!</v>
      </c>
      <c r="DN32" t="e">
        <f>AND(TOC!D12,"AAAAAA7ufXU=")</f>
        <v>#VALUE!</v>
      </c>
      <c r="DO32" t="e">
        <f>AND(TOC!E12,"AAAAAA7ufXY=")</f>
        <v>#VALUE!</v>
      </c>
      <c r="DP32" t="e">
        <f>AND(TOC!F12,"AAAAAA7ufXc=")</f>
        <v>#VALUE!</v>
      </c>
      <c r="DQ32" t="e">
        <f>AND(TOC!G12,"AAAAAA7ufXg=")</f>
        <v>#VALUE!</v>
      </c>
      <c r="DR32" t="e">
        <f>AND(TOC!H12,"AAAAAA7ufXk=")</f>
        <v>#VALUE!</v>
      </c>
      <c r="DS32" t="e">
        <f>AND(TOC!I12,"AAAAAA7ufXo=")</f>
        <v>#VALUE!</v>
      </c>
      <c r="DT32" t="e">
        <f>AND(TOC!J12,"AAAAAA7ufXs=")</f>
        <v>#VALUE!</v>
      </c>
      <c r="DU32" t="e">
        <f>AND(TOC!K12,"AAAAAA7ufXw=")</f>
        <v>#VALUE!</v>
      </c>
      <c r="DV32" t="e">
        <f>AND(TOC!L12,"AAAAAA7ufX0=")</f>
        <v>#VALUE!</v>
      </c>
      <c r="DW32" t="e">
        <f>AND(TOC!M12,"AAAAAA7ufX4=")</f>
        <v>#VALUE!</v>
      </c>
      <c r="DX32" t="e">
        <f>AND(TOC!N12,"AAAAAA7ufX8=")</f>
        <v>#VALUE!</v>
      </c>
      <c r="DY32" t="e">
        <f>AND(TOC!O12,"AAAAAA7ufYA=")</f>
        <v>#VALUE!</v>
      </c>
      <c r="DZ32" t="e">
        <f>AND(TOC!P12,"AAAAAA7ufYE=")</f>
        <v>#VALUE!</v>
      </c>
      <c r="EA32">
        <f>IF(TOC!13:13,"AAAAAA7ufYI=",0)</f>
        <v>0</v>
      </c>
      <c r="EB32" t="e">
        <f>AND(TOC!A13,"AAAAAA7ufYM=")</f>
        <v>#VALUE!</v>
      </c>
      <c r="EC32" t="e">
        <f>AND(TOC!#REF!,"AAAAAA7ufYQ=")</f>
        <v>#REF!</v>
      </c>
      <c r="ED32" t="e">
        <f>AND(TOC!#REF!,"AAAAAA7ufYU=")</f>
        <v>#REF!</v>
      </c>
      <c r="EE32" t="e">
        <f>AND(TOC!#REF!,"AAAAAA7ufYY=")</f>
        <v>#REF!</v>
      </c>
      <c r="EF32" t="e">
        <f>AND(TOC!#REF!,"AAAAAA7ufYc=")</f>
        <v>#REF!</v>
      </c>
      <c r="EG32" t="e">
        <f>AND(TOC!#REF!,"AAAAAA7ufYg=")</f>
        <v>#REF!</v>
      </c>
      <c r="EH32" t="e">
        <f>AND(TOC!#REF!,"AAAAAA7ufYk=")</f>
        <v>#REF!</v>
      </c>
      <c r="EI32" t="e">
        <f>AND(TOC!#REF!,"AAAAAA7ufYo=")</f>
        <v>#REF!</v>
      </c>
      <c r="EJ32" t="e">
        <f>AND(TOC!#REF!,"AAAAAA7ufYs=")</f>
        <v>#REF!</v>
      </c>
      <c r="EK32" t="e">
        <f>AND(TOC!#REF!,"AAAAAA7ufYw=")</f>
        <v>#REF!</v>
      </c>
      <c r="EL32" t="e">
        <f>AND(TOC!#REF!,"AAAAAA7ufY0=")</f>
        <v>#REF!</v>
      </c>
      <c r="EM32" t="e">
        <f>AND(TOC!#REF!,"AAAAAA7ufY4=")</f>
        <v>#REF!</v>
      </c>
      <c r="EN32" t="e">
        <f>AND(TOC!#REF!,"AAAAAA7ufY8=")</f>
        <v>#REF!</v>
      </c>
      <c r="EO32" t="e">
        <f>AND(TOC!#REF!,"AAAAAA7ufZA=")</f>
        <v>#REF!</v>
      </c>
      <c r="EP32" t="e">
        <f>AND(TOC!#REF!,"AAAAAA7ufZE=")</f>
        <v>#REF!</v>
      </c>
      <c r="EQ32" t="e">
        <f>AND(TOC!#REF!,"AAAAAA7ufZI=")</f>
        <v>#REF!</v>
      </c>
      <c r="ER32" t="e">
        <f>AND(TOC!#REF!,"AAAAAA7ufZM=")</f>
        <v>#REF!</v>
      </c>
      <c r="ES32" t="e">
        <f>AND(TOC!#REF!,"AAAAAA7ufZQ=")</f>
        <v>#REF!</v>
      </c>
      <c r="ET32" t="e">
        <f>AND(TOC!#REF!,"AAAAAA7ufZU=")</f>
        <v>#REF!</v>
      </c>
      <c r="EU32" t="e">
        <f>AND(TOC!#REF!,"AAAAAA7ufZY=")</f>
        <v>#REF!</v>
      </c>
      <c r="EV32" t="e">
        <f>AND(TOC!#REF!,"AAAAAA7ufZc=")</f>
        <v>#REF!</v>
      </c>
      <c r="EW32" t="e">
        <f>AND(TOC!#REF!,"AAAAAA7ufZg=")</f>
        <v>#REF!</v>
      </c>
      <c r="EX32" t="e">
        <f>AND(TOC!C13,"AAAAAA7ufZk=")</f>
        <v>#VALUE!</v>
      </c>
      <c r="EY32" t="e">
        <f>AND(TOC!D13,"AAAAAA7ufZo=")</f>
        <v>#VALUE!</v>
      </c>
      <c r="EZ32" t="e">
        <f>AND(TOC!E13,"AAAAAA7ufZs=")</f>
        <v>#VALUE!</v>
      </c>
      <c r="FA32" t="e">
        <f>AND(TOC!F13,"AAAAAA7ufZw=")</f>
        <v>#VALUE!</v>
      </c>
      <c r="FB32" t="e">
        <f>AND(TOC!G13,"AAAAAA7ufZ0=")</f>
        <v>#VALUE!</v>
      </c>
      <c r="FC32" t="e">
        <f>AND(TOC!H13,"AAAAAA7ufZ4=")</f>
        <v>#VALUE!</v>
      </c>
      <c r="FD32" t="e">
        <f>AND(TOC!I13,"AAAAAA7ufZ8=")</f>
        <v>#VALUE!</v>
      </c>
      <c r="FE32" t="e">
        <f>AND(TOC!J13,"AAAAAA7ufaA=")</f>
        <v>#VALUE!</v>
      </c>
      <c r="FF32" t="e">
        <f>AND(TOC!K13,"AAAAAA7ufaE=")</f>
        <v>#VALUE!</v>
      </c>
      <c r="FG32" t="e">
        <f>AND(TOC!L13,"AAAAAA7ufaI=")</f>
        <v>#VALUE!</v>
      </c>
      <c r="FH32" t="e">
        <f>AND(TOC!M13,"AAAAAA7ufaM=")</f>
        <v>#VALUE!</v>
      </c>
      <c r="FI32" t="e">
        <f>AND(TOC!N13,"AAAAAA7ufaQ=")</f>
        <v>#VALUE!</v>
      </c>
      <c r="FJ32" t="e">
        <f>AND(TOC!O13,"AAAAAA7ufaU=")</f>
        <v>#VALUE!</v>
      </c>
      <c r="FK32" t="e">
        <f>AND(TOC!P13,"AAAAAA7ufaY=")</f>
        <v>#VALUE!</v>
      </c>
      <c r="FL32">
        <f>IF(TOC!14:14,"AAAAAA7ufac=",0)</f>
        <v>0</v>
      </c>
      <c r="FM32" t="e">
        <f>AND(TOC!A14,"AAAAAA7ufag=")</f>
        <v>#VALUE!</v>
      </c>
      <c r="FN32" t="e">
        <f>AND(TOC!#REF!,"AAAAAA7ufak=")</f>
        <v>#REF!</v>
      </c>
      <c r="FO32" t="e">
        <f>AND(TOC!#REF!,"AAAAAA7ufao=")</f>
        <v>#REF!</v>
      </c>
      <c r="FP32" t="e">
        <f>AND(TOC!#REF!,"AAAAAA7ufas=")</f>
        <v>#REF!</v>
      </c>
      <c r="FQ32" t="e">
        <f>AND(TOC!#REF!,"AAAAAA7ufaw=")</f>
        <v>#REF!</v>
      </c>
      <c r="FR32" t="e">
        <f>AND(TOC!#REF!,"AAAAAA7ufa0=")</f>
        <v>#REF!</v>
      </c>
      <c r="FS32" t="e">
        <f>AND(TOC!#REF!,"AAAAAA7ufa4=")</f>
        <v>#REF!</v>
      </c>
      <c r="FT32" t="e">
        <f>AND(TOC!#REF!,"AAAAAA7ufa8=")</f>
        <v>#REF!</v>
      </c>
      <c r="FU32" t="e">
        <f>AND(TOC!#REF!,"AAAAAA7ufbA=")</f>
        <v>#REF!</v>
      </c>
      <c r="FV32" t="e">
        <f>AND(TOC!#REF!,"AAAAAA7ufbE=")</f>
        <v>#REF!</v>
      </c>
      <c r="FW32" t="e">
        <f>AND(TOC!#REF!,"AAAAAA7ufbI=")</f>
        <v>#REF!</v>
      </c>
      <c r="FX32" t="e">
        <f>AND(TOC!#REF!,"AAAAAA7ufbM=")</f>
        <v>#REF!</v>
      </c>
      <c r="FY32" t="e">
        <f>AND(TOC!#REF!,"AAAAAA7ufbQ=")</f>
        <v>#REF!</v>
      </c>
      <c r="FZ32" t="e">
        <f>AND(TOC!#REF!,"AAAAAA7ufbU=")</f>
        <v>#REF!</v>
      </c>
      <c r="GA32" t="e">
        <f>AND(TOC!#REF!,"AAAAAA7ufbY=")</f>
        <v>#REF!</v>
      </c>
      <c r="GB32" t="e">
        <f>AND(TOC!#REF!,"AAAAAA7ufbc=")</f>
        <v>#REF!</v>
      </c>
      <c r="GC32" t="e">
        <f>AND(TOC!#REF!,"AAAAAA7ufbg=")</f>
        <v>#REF!</v>
      </c>
      <c r="GD32" t="e">
        <f>AND(TOC!#REF!,"AAAAAA7ufbk=")</f>
        <v>#REF!</v>
      </c>
      <c r="GE32" t="e">
        <f>AND(TOC!#REF!,"AAAAAA7ufbo=")</f>
        <v>#REF!</v>
      </c>
      <c r="GF32" t="e">
        <f>AND(TOC!#REF!,"AAAAAA7ufbs=")</f>
        <v>#REF!</v>
      </c>
      <c r="GG32" t="e">
        <f>AND(TOC!#REF!,"AAAAAA7ufbw=")</f>
        <v>#REF!</v>
      </c>
      <c r="GH32" t="e">
        <f>AND(TOC!#REF!,"AAAAAA7ufb0=")</f>
        <v>#REF!</v>
      </c>
      <c r="GI32" t="e">
        <f>AND(TOC!C14,"AAAAAA7ufb4=")</f>
        <v>#VALUE!</v>
      </c>
      <c r="GJ32" t="e">
        <f>AND(TOC!D14,"AAAAAA7ufb8=")</f>
        <v>#VALUE!</v>
      </c>
      <c r="GK32" t="e">
        <f>AND(TOC!E14,"AAAAAA7ufcA=")</f>
        <v>#VALUE!</v>
      </c>
      <c r="GL32" t="e">
        <f>AND(TOC!F14,"AAAAAA7ufcE=")</f>
        <v>#VALUE!</v>
      </c>
      <c r="GM32" t="e">
        <f>AND(TOC!G14,"AAAAAA7ufcI=")</f>
        <v>#VALUE!</v>
      </c>
      <c r="GN32" t="e">
        <f>AND(TOC!H14,"AAAAAA7ufcM=")</f>
        <v>#VALUE!</v>
      </c>
      <c r="GO32" t="e">
        <f>AND(TOC!I14,"AAAAAA7ufcQ=")</f>
        <v>#VALUE!</v>
      </c>
      <c r="GP32" t="e">
        <f>AND(TOC!J14,"AAAAAA7ufcU=")</f>
        <v>#VALUE!</v>
      </c>
      <c r="GQ32" t="e">
        <f>AND(TOC!K14,"AAAAAA7ufcY=")</f>
        <v>#VALUE!</v>
      </c>
      <c r="GR32" t="e">
        <f>AND(TOC!L14,"AAAAAA7ufcc=")</f>
        <v>#VALUE!</v>
      </c>
      <c r="GS32" t="e">
        <f>AND(TOC!M14,"AAAAAA7ufcg=")</f>
        <v>#VALUE!</v>
      </c>
      <c r="GT32" t="e">
        <f>AND(TOC!N14,"AAAAAA7ufck=")</f>
        <v>#VALUE!</v>
      </c>
      <c r="GU32" t="e">
        <f>AND(TOC!O14,"AAAAAA7ufco=")</f>
        <v>#VALUE!</v>
      </c>
      <c r="GV32" t="e">
        <f>AND(TOC!P14,"AAAAAA7ufcs=")</f>
        <v>#VALUE!</v>
      </c>
      <c r="GW32">
        <f>IF(TOC!15:15,"AAAAAA7ufcw=",0)</f>
        <v>0</v>
      </c>
      <c r="GX32" t="e">
        <f>AND(TOC!A15,"AAAAAA7ufc0=")</f>
        <v>#VALUE!</v>
      </c>
      <c r="GY32" t="e">
        <f>AND(TOC!#REF!,"AAAAAA7ufc4=")</f>
        <v>#REF!</v>
      </c>
      <c r="GZ32" t="e">
        <f>AND(TOC!#REF!,"AAAAAA7ufc8=")</f>
        <v>#REF!</v>
      </c>
      <c r="HA32" t="e">
        <f>AND(TOC!#REF!,"AAAAAA7ufdA=")</f>
        <v>#REF!</v>
      </c>
      <c r="HB32" t="e">
        <f>AND(TOC!#REF!,"AAAAAA7ufdE=")</f>
        <v>#REF!</v>
      </c>
      <c r="HC32" t="e">
        <f>AND(TOC!#REF!,"AAAAAA7ufdI=")</f>
        <v>#REF!</v>
      </c>
      <c r="HD32" t="e">
        <f>AND(TOC!#REF!,"AAAAAA7ufdM=")</f>
        <v>#REF!</v>
      </c>
      <c r="HE32" t="e">
        <f>AND(TOC!#REF!,"AAAAAA7ufdQ=")</f>
        <v>#REF!</v>
      </c>
      <c r="HF32" t="e">
        <f>AND(TOC!#REF!,"AAAAAA7ufdU=")</f>
        <v>#REF!</v>
      </c>
      <c r="HG32" t="e">
        <f>AND(TOC!#REF!,"AAAAAA7ufdY=")</f>
        <v>#REF!</v>
      </c>
      <c r="HH32" t="e">
        <f>AND(TOC!#REF!,"AAAAAA7ufdc=")</f>
        <v>#REF!</v>
      </c>
      <c r="HI32" t="e">
        <f>AND(TOC!#REF!,"AAAAAA7ufdg=")</f>
        <v>#REF!</v>
      </c>
      <c r="HJ32" t="e">
        <f>AND(TOC!#REF!,"AAAAAA7ufdk=")</f>
        <v>#REF!</v>
      </c>
      <c r="HK32" t="e">
        <f>AND(TOC!#REF!,"AAAAAA7ufdo=")</f>
        <v>#REF!</v>
      </c>
      <c r="HL32" t="e">
        <f>AND(TOC!#REF!,"AAAAAA7ufds=")</f>
        <v>#REF!</v>
      </c>
      <c r="HM32" t="e">
        <f>AND(TOC!#REF!,"AAAAAA7ufdw=")</f>
        <v>#REF!</v>
      </c>
      <c r="HN32" t="e">
        <f>AND(TOC!#REF!,"AAAAAA7ufd0=")</f>
        <v>#REF!</v>
      </c>
      <c r="HO32" t="e">
        <f>AND(TOC!#REF!,"AAAAAA7ufd4=")</f>
        <v>#REF!</v>
      </c>
      <c r="HP32" t="e">
        <f>AND(TOC!#REF!,"AAAAAA7ufd8=")</f>
        <v>#REF!</v>
      </c>
      <c r="HQ32" t="e">
        <f>AND(TOC!#REF!,"AAAAAA7ufeA=")</f>
        <v>#REF!</v>
      </c>
      <c r="HR32" t="e">
        <f>AND(TOC!#REF!,"AAAAAA7ufeE=")</f>
        <v>#REF!</v>
      </c>
      <c r="HS32" t="e">
        <f>AND(TOC!#REF!,"AAAAAA7ufeI=")</f>
        <v>#REF!</v>
      </c>
      <c r="HT32" t="e">
        <f>AND(TOC!C15,"AAAAAA7ufeM=")</f>
        <v>#VALUE!</v>
      </c>
      <c r="HU32" t="e">
        <f>AND(TOC!D15,"AAAAAA7ufeQ=")</f>
        <v>#VALUE!</v>
      </c>
      <c r="HV32" t="e">
        <f>AND(TOC!E15,"AAAAAA7ufeU=")</f>
        <v>#VALUE!</v>
      </c>
      <c r="HW32" t="e">
        <f>AND(TOC!F15,"AAAAAA7ufeY=")</f>
        <v>#VALUE!</v>
      </c>
      <c r="HX32" t="e">
        <f>AND(TOC!G15,"AAAAAA7ufec=")</f>
        <v>#VALUE!</v>
      </c>
      <c r="HY32" t="e">
        <f>AND(TOC!H15,"AAAAAA7ufeg=")</f>
        <v>#VALUE!</v>
      </c>
      <c r="HZ32" t="e">
        <f>AND(TOC!I15,"AAAAAA7ufek=")</f>
        <v>#VALUE!</v>
      </c>
      <c r="IA32" t="e">
        <f>AND(TOC!J15,"AAAAAA7ufeo=")</f>
        <v>#VALUE!</v>
      </c>
      <c r="IB32" t="e">
        <f>AND(TOC!K15,"AAAAAA7ufes=")</f>
        <v>#VALUE!</v>
      </c>
      <c r="IC32" t="e">
        <f>AND(TOC!L15,"AAAAAA7ufew=")</f>
        <v>#VALUE!</v>
      </c>
      <c r="ID32" t="e">
        <f>AND(TOC!M15,"AAAAAA7ufe0=")</f>
        <v>#VALUE!</v>
      </c>
      <c r="IE32" t="e">
        <f>AND(TOC!N15,"AAAAAA7ufe4=")</f>
        <v>#VALUE!</v>
      </c>
      <c r="IF32" t="e">
        <f>AND(TOC!O15,"AAAAAA7ufe8=")</f>
        <v>#VALUE!</v>
      </c>
      <c r="IG32" t="e">
        <f>AND(TOC!P15,"AAAAAA7uffA=")</f>
        <v>#VALUE!</v>
      </c>
      <c r="IH32">
        <f>IF(TOC!16:16,"AAAAAA7uffE=",0)</f>
        <v>0</v>
      </c>
      <c r="II32" t="e">
        <f>AND(TOC!A16,"AAAAAA7uffI=")</f>
        <v>#VALUE!</v>
      </c>
      <c r="IJ32" t="e">
        <f>AND(TOC!#REF!,"AAAAAA7uffM=")</f>
        <v>#REF!</v>
      </c>
      <c r="IK32" t="e">
        <f>AND(TOC!#REF!,"AAAAAA7uffQ=")</f>
        <v>#REF!</v>
      </c>
      <c r="IL32" t="e">
        <f>AND(TOC!#REF!,"AAAAAA7uffU=")</f>
        <v>#REF!</v>
      </c>
      <c r="IM32" t="e">
        <f>AND(TOC!#REF!,"AAAAAA7uffY=")</f>
        <v>#REF!</v>
      </c>
      <c r="IN32" t="e">
        <f>AND(TOC!#REF!,"AAAAAA7uffc=")</f>
        <v>#REF!</v>
      </c>
      <c r="IO32" t="e">
        <f>AND(TOC!#REF!,"AAAAAA7uffg=")</f>
        <v>#REF!</v>
      </c>
      <c r="IP32" t="e">
        <f>AND(TOC!#REF!,"AAAAAA7uffk=")</f>
        <v>#REF!</v>
      </c>
      <c r="IQ32" t="e">
        <f>AND(TOC!#REF!,"AAAAAA7uffo=")</f>
        <v>#REF!</v>
      </c>
      <c r="IR32" t="e">
        <f>AND(TOC!#REF!,"AAAAAA7uffs=")</f>
        <v>#REF!</v>
      </c>
      <c r="IS32" t="e">
        <f>AND(TOC!#REF!,"AAAAAA7uffw=")</f>
        <v>#REF!</v>
      </c>
      <c r="IT32" t="e">
        <f>AND(TOC!#REF!,"AAAAAA7uff0=")</f>
        <v>#REF!</v>
      </c>
      <c r="IU32" t="e">
        <f>AND(TOC!#REF!,"AAAAAA7uff4=")</f>
        <v>#REF!</v>
      </c>
      <c r="IV32" t="e">
        <f>AND(TOC!#REF!,"AAAAAA7uff8=")</f>
        <v>#REF!</v>
      </c>
    </row>
    <row r="33" spans="1:256" x14ac:dyDescent="0.2">
      <c r="A33" t="e">
        <f>AND(TOC!#REF!,"AAAAAGf0bAA=")</f>
        <v>#REF!</v>
      </c>
      <c r="B33" t="e">
        <f>AND(TOC!#REF!,"AAAAAGf0bAE=")</f>
        <v>#REF!</v>
      </c>
      <c r="C33" t="e">
        <f>AND(TOC!#REF!,"AAAAAGf0bAI=")</f>
        <v>#REF!</v>
      </c>
      <c r="D33" t="e">
        <f>AND(TOC!#REF!,"AAAAAGf0bAM=")</f>
        <v>#REF!</v>
      </c>
      <c r="E33" t="e">
        <f>AND(TOC!#REF!,"AAAAAGf0bAQ=")</f>
        <v>#REF!</v>
      </c>
      <c r="F33" t="e">
        <f>AND(TOC!#REF!,"AAAAAGf0bAU=")</f>
        <v>#REF!</v>
      </c>
      <c r="G33" t="e">
        <f>AND(TOC!#REF!,"AAAAAGf0bAY=")</f>
        <v>#REF!</v>
      </c>
      <c r="H33" t="e">
        <f>AND(TOC!#REF!,"AAAAAGf0bAc=")</f>
        <v>#REF!</v>
      </c>
      <c r="I33" t="e">
        <f>AND(TOC!C16,"AAAAAGf0bAg=")</f>
        <v>#VALUE!</v>
      </c>
      <c r="J33" t="e">
        <f>AND(TOC!D16,"AAAAAGf0bAk=")</f>
        <v>#VALUE!</v>
      </c>
      <c r="K33" t="e">
        <f>AND(TOC!E16,"AAAAAGf0bAo=")</f>
        <v>#VALUE!</v>
      </c>
      <c r="L33" t="e">
        <f>AND(TOC!F16,"AAAAAGf0bAs=")</f>
        <v>#VALUE!</v>
      </c>
      <c r="M33" t="e">
        <f>AND(TOC!G16,"AAAAAGf0bAw=")</f>
        <v>#VALUE!</v>
      </c>
      <c r="N33" t="e">
        <f>AND(TOC!H16,"AAAAAGf0bA0=")</f>
        <v>#VALUE!</v>
      </c>
      <c r="O33" t="e">
        <f>AND(TOC!I16,"AAAAAGf0bA4=")</f>
        <v>#VALUE!</v>
      </c>
      <c r="P33" t="e">
        <f>AND(TOC!J16,"AAAAAGf0bA8=")</f>
        <v>#VALUE!</v>
      </c>
      <c r="Q33" t="e">
        <f>AND(TOC!K16,"AAAAAGf0bBA=")</f>
        <v>#VALUE!</v>
      </c>
      <c r="R33" t="e">
        <f>AND(TOC!L16,"AAAAAGf0bBE=")</f>
        <v>#VALUE!</v>
      </c>
      <c r="S33" t="e">
        <f>AND(TOC!M16,"AAAAAGf0bBI=")</f>
        <v>#VALUE!</v>
      </c>
      <c r="T33" t="e">
        <f>AND(TOC!N16,"AAAAAGf0bBM=")</f>
        <v>#VALUE!</v>
      </c>
      <c r="U33" t="e">
        <f>AND(TOC!O16,"AAAAAGf0bBQ=")</f>
        <v>#VALUE!</v>
      </c>
      <c r="V33" t="e">
        <f>AND(TOC!P16,"AAAAAGf0bBU=")</f>
        <v>#VALUE!</v>
      </c>
      <c r="W33">
        <f>IF(TOC!17:17,"AAAAAGf0bBY=",0)</f>
        <v>0</v>
      </c>
      <c r="X33" t="e">
        <f>AND(TOC!A20,"AAAAAGf0bBc=")</f>
        <v>#VALUE!</v>
      </c>
      <c r="Y33" t="e">
        <f>AND(TOC!#REF!,"AAAAAGf0bBg=")</f>
        <v>#REF!</v>
      </c>
      <c r="Z33" t="e">
        <f>AND(TOC!#REF!,"AAAAAGf0bBk=")</f>
        <v>#REF!</v>
      </c>
      <c r="AA33" t="e">
        <f>AND(TOC!#REF!,"AAAAAGf0bBo=")</f>
        <v>#REF!</v>
      </c>
      <c r="AB33" t="e">
        <f>AND(TOC!#REF!,"AAAAAGf0bBs=")</f>
        <v>#REF!</v>
      </c>
      <c r="AC33" t="e">
        <f>AND(TOC!#REF!,"AAAAAGf0bBw=")</f>
        <v>#REF!</v>
      </c>
      <c r="AD33" t="e">
        <f>AND(TOC!#REF!,"AAAAAGf0bB0=")</f>
        <v>#REF!</v>
      </c>
      <c r="AE33" t="e">
        <f>AND(TOC!#REF!,"AAAAAGf0bB4=")</f>
        <v>#REF!</v>
      </c>
      <c r="AF33" t="e">
        <f>AND(TOC!#REF!,"AAAAAGf0bB8=")</f>
        <v>#REF!</v>
      </c>
      <c r="AG33" t="e">
        <f>AND(TOC!#REF!,"AAAAAGf0bCA=")</f>
        <v>#REF!</v>
      </c>
      <c r="AH33" t="e">
        <f>AND(TOC!#REF!,"AAAAAGf0bCE=")</f>
        <v>#REF!</v>
      </c>
      <c r="AI33" t="e">
        <f>AND(TOC!#REF!,"AAAAAGf0bCI=")</f>
        <v>#REF!</v>
      </c>
      <c r="AJ33" t="e">
        <f>AND(TOC!#REF!,"AAAAAGf0bCM=")</f>
        <v>#REF!</v>
      </c>
      <c r="AK33" t="e">
        <f>AND(TOC!#REF!,"AAAAAGf0bCQ=")</f>
        <v>#REF!</v>
      </c>
      <c r="AL33" t="e">
        <f>AND(TOC!#REF!,"AAAAAGf0bCU=")</f>
        <v>#REF!</v>
      </c>
      <c r="AM33" t="e">
        <f>AND(TOC!#REF!,"AAAAAGf0bCY=")</f>
        <v>#REF!</v>
      </c>
      <c r="AN33" t="e">
        <f>AND(TOC!#REF!,"AAAAAGf0bCc=")</f>
        <v>#REF!</v>
      </c>
      <c r="AO33" t="e">
        <f>AND(TOC!#REF!,"AAAAAGf0bCg=")</f>
        <v>#REF!</v>
      </c>
      <c r="AP33" t="e">
        <f>AND(TOC!#REF!,"AAAAAGf0bCk=")</f>
        <v>#REF!</v>
      </c>
      <c r="AQ33" t="e">
        <f>AND(TOC!#REF!,"AAAAAGf0bCo=")</f>
        <v>#REF!</v>
      </c>
      <c r="AR33" t="e">
        <f>AND(TOC!#REF!,"AAAAAGf0bCs=")</f>
        <v>#REF!</v>
      </c>
      <c r="AS33" t="e">
        <f>AND(TOC!#REF!,"AAAAAGf0bCw=")</f>
        <v>#REF!</v>
      </c>
      <c r="AT33" t="e">
        <f>AND(TOC!C17,"AAAAAGf0bC0=")</f>
        <v>#VALUE!</v>
      </c>
      <c r="AU33" t="e">
        <f>AND(TOC!D17,"AAAAAGf0bC4=")</f>
        <v>#VALUE!</v>
      </c>
      <c r="AV33" t="e">
        <f>AND(TOC!E17,"AAAAAGf0bC8=")</f>
        <v>#VALUE!</v>
      </c>
      <c r="AW33" t="e">
        <f>AND(TOC!F17,"AAAAAGf0bDA=")</f>
        <v>#VALUE!</v>
      </c>
      <c r="AX33" t="e">
        <f>AND(TOC!G17,"AAAAAGf0bDE=")</f>
        <v>#VALUE!</v>
      </c>
      <c r="AY33" t="e">
        <f>AND(TOC!H17,"AAAAAGf0bDI=")</f>
        <v>#VALUE!</v>
      </c>
      <c r="AZ33" t="e">
        <f>AND(TOC!I17,"AAAAAGf0bDM=")</f>
        <v>#VALUE!</v>
      </c>
      <c r="BA33" t="e">
        <f>AND(TOC!J17,"AAAAAGf0bDQ=")</f>
        <v>#VALUE!</v>
      </c>
      <c r="BB33" t="e">
        <f>AND(TOC!K17,"AAAAAGf0bDU=")</f>
        <v>#VALUE!</v>
      </c>
      <c r="BC33" t="e">
        <f>AND(TOC!L17,"AAAAAGf0bDY=")</f>
        <v>#VALUE!</v>
      </c>
      <c r="BD33" t="e">
        <f>AND(TOC!M17,"AAAAAGf0bDc=")</f>
        <v>#VALUE!</v>
      </c>
      <c r="BE33" t="e">
        <f>AND(TOC!N17,"AAAAAGf0bDg=")</f>
        <v>#VALUE!</v>
      </c>
      <c r="BF33" t="e">
        <f>AND(TOC!O17,"AAAAAGf0bDk=")</f>
        <v>#VALUE!</v>
      </c>
      <c r="BG33" t="e">
        <f>AND(TOC!P17,"AAAAAGf0bDo=")</f>
        <v>#VALUE!</v>
      </c>
      <c r="BH33">
        <f>IF(TOC!18:18,"AAAAAGf0bDs=",0)</f>
        <v>0</v>
      </c>
      <c r="BI33" t="e">
        <f>AND(TOC!A21,"AAAAAGf0bDw=")</f>
        <v>#VALUE!</v>
      </c>
      <c r="BJ33" t="e">
        <f>AND(TOC!#REF!,"AAAAAGf0bD0=")</f>
        <v>#REF!</v>
      </c>
      <c r="BK33" t="e">
        <f>AND(TOC!#REF!,"AAAAAGf0bD4=")</f>
        <v>#REF!</v>
      </c>
      <c r="BL33" t="e">
        <f>AND(TOC!#REF!,"AAAAAGf0bD8=")</f>
        <v>#REF!</v>
      </c>
      <c r="BM33" t="e">
        <f>AND(TOC!#REF!,"AAAAAGf0bEA=")</f>
        <v>#REF!</v>
      </c>
      <c r="BN33" t="e">
        <f>AND(TOC!#REF!,"AAAAAGf0bEE=")</f>
        <v>#REF!</v>
      </c>
      <c r="BO33" t="e">
        <f>AND(TOC!#REF!,"AAAAAGf0bEI=")</f>
        <v>#REF!</v>
      </c>
      <c r="BP33" t="e">
        <f>AND(TOC!#REF!,"AAAAAGf0bEM=")</f>
        <v>#REF!</v>
      </c>
      <c r="BQ33" t="e">
        <f>AND(TOC!#REF!,"AAAAAGf0bEQ=")</f>
        <v>#REF!</v>
      </c>
      <c r="BR33" t="e">
        <f>AND(TOC!#REF!,"AAAAAGf0bEU=")</f>
        <v>#REF!</v>
      </c>
      <c r="BS33" t="e">
        <f>AND(TOC!#REF!,"AAAAAGf0bEY=")</f>
        <v>#REF!</v>
      </c>
      <c r="BT33" t="e">
        <f>AND(TOC!#REF!,"AAAAAGf0bEc=")</f>
        <v>#REF!</v>
      </c>
      <c r="BU33" t="e">
        <f>AND(TOC!#REF!,"AAAAAGf0bEg=")</f>
        <v>#REF!</v>
      </c>
      <c r="BV33" t="e">
        <f>AND(TOC!#REF!,"AAAAAGf0bEk=")</f>
        <v>#REF!</v>
      </c>
      <c r="BW33" t="e">
        <f>AND(TOC!#REF!,"AAAAAGf0bEo=")</f>
        <v>#REF!</v>
      </c>
      <c r="BX33" t="e">
        <f>AND(TOC!#REF!,"AAAAAGf0bEs=")</f>
        <v>#REF!</v>
      </c>
      <c r="BY33" t="e">
        <f>AND(TOC!#REF!,"AAAAAGf0bEw=")</f>
        <v>#REF!</v>
      </c>
      <c r="BZ33" t="e">
        <f>AND(TOC!#REF!,"AAAAAGf0bE0=")</f>
        <v>#REF!</v>
      </c>
      <c r="CA33" t="e">
        <f>AND(TOC!#REF!,"AAAAAGf0bE4=")</f>
        <v>#REF!</v>
      </c>
      <c r="CB33" t="e">
        <f>AND(TOC!#REF!,"AAAAAGf0bE8=")</f>
        <v>#REF!</v>
      </c>
      <c r="CC33" t="e">
        <f>AND(TOC!#REF!,"AAAAAGf0bFA=")</f>
        <v>#REF!</v>
      </c>
      <c r="CD33" t="e">
        <f>AND(TOC!#REF!,"AAAAAGf0bFE=")</f>
        <v>#REF!</v>
      </c>
      <c r="CE33" t="e">
        <f>AND(TOC!C18,"AAAAAGf0bFI=")</f>
        <v>#VALUE!</v>
      </c>
      <c r="CF33" t="e">
        <f>AND(TOC!D18,"AAAAAGf0bFM=")</f>
        <v>#VALUE!</v>
      </c>
      <c r="CG33" t="e">
        <f>AND(TOC!E18,"AAAAAGf0bFQ=")</f>
        <v>#VALUE!</v>
      </c>
      <c r="CH33" t="e">
        <f>AND(TOC!F18,"AAAAAGf0bFU=")</f>
        <v>#VALUE!</v>
      </c>
      <c r="CI33" t="e">
        <f>AND(TOC!G18,"AAAAAGf0bFY=")</f>
        <v>#VALUE!</v>
      </c>
      <c r="CJ33" t="e">
        <f>AND(TOC!H18,"AAAAAGf0bFc=")</f>
        <v>#VALUE!</v>
      </c>
      <c r="CK33" t="e">
        <f>AND(TOC!I18,"AAAAAGf0bFg=")</f>
        <v>#VALUE!</v>
      </c>
      <c r="CL33" t="e">
        <f>AND(TOC!J18,"AAAAAGf0bFk=")</f>
        <v>#VALUE!</v>
      </c>
      <c r="CM33" t="e">
        <f>AND(TOC!K18,"AAAAAGf0bFo=")</f>
        <v>#VALUE!</v>
      </c>
      <c r="CN33" t="e">
        <f>AND(TOC!L18,"AAAAAGf0bFs=")</f>
        <v>#VALUE!</v>
      </c>
      <c r="CO33" t="e">
        <f>AND(TOC!M18,"AAAAAGf0bFw=")</f>
        <v>#VALUE!</v>
      </c>
      <c r="CP33" t="e">
        <f>AND(TOC!N18,"AAAAAGf0bF0=")</f>
        <v>#VALUE!</v>
      </c>
      <c r="CQ33" t="e">
        <f>AND(TOC!O18,"AAAAAGf0bF4=")</f>
        <v>#VALUE!</v>
      </c>
      <c r="CR33" t="e">
        <f>AND(TOC!P18,"AAAAAGf0bF8=")</f>
        <v>#VALUE!</v>
      </c>
      <c r="CS33">
        <f>IF(TOC!19:19,"AAAAAGf0bGA=",0)</f>
        <v>0</v>
      </c>
      <c r="CT33" t="e">
        <f>AND(TOC!A22,"AAAAAGf0bGE=")</f>
        <v>#VALUE!</v>
      </c>
      <c r="CU33" t="e">
        <f>AND(TOC!#REF!,"AAAAAGf0bGI=")</f>
        <v>#REF!</v>
      </c>
      <c r="CV33" t="e">
        <f>AND(TOC!#REF!,"AAAAAGf0bGM=")</f>
        <v>#REF!</v>
      </c>
      <c r="CW33" t="e">
        <f>AND(TOC!#REF!,"AAAAAGf0bGQ=")</f>
        <v>#REF!</v>
      </c>
      <c r="CX33" t="e">
        <f>AND(TOC!#REF!,"AAAAAGf0bGU=")</f>
        <v>#REF!</v>
      </c>
      <c r="CY33" t="e">
        <f>AND(TOC!#REF!,"AAAAAGf0bGY=")</f>
        <v>#REF!</v>
      </c>
      <c r="CZ33" t="e">
        <f>AND(TOC!#REF!,"AAAAAGf0bGc=")</f>
        <v>#REF!</v>
      </c>
      <c r="DA33" t="e">
        <f>AND(TOC!#REF!,"AAAAAGf0bGg=")</f>
        <v>#REF!</v>
      </c>
      <c r="DB33" t="e">
        <f>AND(TOC!#REF!,"AAAAAGf0bGk=")</f>
        <v>#REF!</v>
      </c>
      <c r="DC33" t="e">
        <f>AND(TOC!#REF!,"AAAAAGf0bGo=")</f>
        <v>#REF!</v>
      </c>
      <c r="DD33" t="e">
        <f>AND(TOC!#REF!,"AAAAAGf0bGs=")</f>
        <v>#REF!</v>
      </c>
      <c r="DE33" t="e">
        <f>AND(TOC!#REF!,"AAAAAGf0bGw=")</f>
        <v>#REF!</v>
      </c>
      <c r="DF33" t="e">
        <f>AND(TOC!#REF!,"AAAAAGf0bG0=")</f>
        <v>#REF!</v>
      </c>
      <c r="DG33" t="e">
        <f>AND(TOC!#REF!,"AAAAAGf0bG4=")</f>
        <v>#REF!</v>
      </c>
      <c r="DH33" t="e">
        <f>AND(TOC!#REF!,"AAAAAGf0bG8=")</f>
        <v>#REF!</v>
      </c>
      <c r="DI33" t="e">
        <f>AND(TOC!#REF!,"AAAAAGf0bHA=")</f>
        <v>#REF!</v>
      </c>
      <c r="DJ33" t="e">
        <f>AND(TOC!#REF!,"AAAAAGf0bHE=")</f>
        <v>#REF!</v>
      </c>
      <c r="DK33" t="e">
        <f>AND(TOC!#REF!,"AAAAAGf0bHI=")</f>
        <v>#REF!</v>
      </c>
      <c r="DL33" t="e">
        <f>AND(TOC!#REF!,"AAAAAGf0bHM=")</f>
        <v>#REF!</v>
      </c>
      <c r="DM33" t="e">
        <f>AND(TOC!#REF!,"AAAAAGf0bHQ=")</f>
        <v>#REF!</v>
      </c>
      <c r="DN33" t="e">
        <f>AND(TOC!#REF!,"AAAAAGf0bHU=")</f>
        <v>#REF!</v>
      </c>
      <c r="DO33" t="e">
        <f>AND(TOC!#REF!,"AAAAAGf0bHY=")</f>
        <v>#REF!</v>
      </c>
      <c r="DP33" t="e">
        <f>AND(TOC!C19,"AAAAAGf0bHc=")</f>
        <v>#VALUE!</v>
      </c>
      <c r="DQ33" t="e">
        <f>AND(TOC!D19,"AAAAAGf0bHg=")</f>
        <v>#VALUE!</v>
      </c>
      <c r="DR33" t="e">
        <f>AND(TOC!E19,"AAAAAGf0bHk=")</f>
        <v>#VALUE!</v>
      </c>
      <c r="DS33" t="e">
        <f>AND(TOC!F19,"AAAAAGf0bHo=")</f>
        <v>#VALUE!</v>
      </c>
      <c r="DT33" t="e">
        <f>AND(TOC!G19,"AAAAAGf0bHs=")</f>
        <v>#VALUE!</v>
      </c>
      <c r="DU33" t="e">
        <f>AND(TOC!H19,"AAAAAGf0bHw=")</f>
        <v>#VALUE!</v>
      </c>
      <c r="DV33" t="e">
        <f>AND(TOC!I19,"AAAAAGf0bH0=")</f>
        <v>#VALUE!</v>
      </c>
      <c r="DW33" t="e">
        <f>AND(TOC!J19,"AAAAAGf0bH4=")</f>
        <v>#VALUE!</v>
      </c>
      <c r="DX33" t="e">
        <f>AND(TOC!K19,"AAAAAGf0bH8=")</f>
        <v>#VALUE!</v>
      </c>
      <c r="DY33" t="e">
        <f>AND(TOC!L19,"AAAAAGf0bIA=")</f>
        <v>#VALUE!</v>
      </c>
      <c r="DZ33" t="e">
        <f>AND(TOC!M19,"AAAAAGf0bIE=")</f>
        <v>#VALUE!</v>
      </c>
      <c r="EA33" t="e">
        <f>AND(TOC!N19,"AAAAAGf0bII=")</f>
        <v>#VALUE!</v>
      </c>
      <c r="EB33" t="e">
        <f>AND(TOC!O19,"AAAAAGf0bIM=")</f>
        <v>#VALUE!</v>
      </c>
      <c r="EC33" t="e">
        <f>AND(TOC!P19,"AAAAAGf0bIQ=")</f>
        <v>#VALUE!</v>
      </c>
      <c r="ED33">
        <f>IF(TOC!20:20,"AAAAAGf0bIU=",0)</f>
        <v>0</v>
      </c>
      <c r="EE33" t="e">
        <f>AND(TOC!A23,"AAAAAGf0bIY=")</f>
        <v>#VALUE!</v>
      </c>
      <c r="EF33" t="e">
        <f>AND(TOC!#REF!,"AAAAAGf0bIc=")</f>
        <v>#REF!</v>
      </c>
      <c r="EG33" t="e">
        <f>AND(TOC!#REF!,"AAAAAGf0bIg=")</f>
        <v>#REF!</v>
      </c>
      <c r="EH33" t="e">
        <f>AND(TOC!#REF!,"AAAAAGf0bIk=")</f>
        <v>#REF!</v>
      </c>
      <c r="EI33" t="e">
        <f>AND(TOC!#REF!,"AAAAAGf0bIo=")</f>
        <v>#REF!</v>
      </c>
      <c r="EJ33" t="e">
        <f>AND(TOC!#REF!,"AAAAAGf0bIs=")</f>
        <v>#REF!</v>
      </c>
      <c r="EK33" t="e">
        <f>AND(TOC!A35,"AAAAAGf0bIw=")</f>
        <v>#VALUE!</v>
      </c>
      <c r="EL33" t="e">
        <f>AND(TOC!#REF!,"AAAAAGf0bI0=")</f>
        <v>#REF!</v>
      </c>
      <c r="EM33" t="e">
        <f>AND(TOC!#REF!,"AAAAAGf0bI4=")</f>
        <v>#REF!</v>
      </c>
      <c r="EN33" t="e">
        <f>AND(TOC!#REF!,"AAAAAGf0bI8=")</f>
        <v>#REF!</v>
      </c>
      <c r="EO33" t="e">
        <f>AND(TOC!#REF!,"AAAAAGf0bJA=")</f>
        <v>#REF!</v>
      </c>
      <c r="EP33" t="e">
        <f>AND(TOC!#REF!,"AAAAAGf0bJE=")</f>
        <v>#REF!</v>
      </c>
      <c r="EQ33" t="e">
        <f>AND(TOC!#REF!,"AAAAAGf0bJI=")</f>
        <v>#REF!</v>
      </c>
      <c r="ER33" t="e">
        <f>AND(TOC!#REF!,"AAAAAGf0bJM=")</f>
        <v>#REF!</v>
      </c>
      <c r="ES33" t="e">
        <f>AND(TOC!#REF!,"AAAAAGf0bJQ=")</f>
        <v>#REF!</v>
      </c>
      <c r="ET33" t="e">
        <f>AND(TOC!#REF!,"AAAAAGf0bJU=")</f>
        <v>#REF!</v>
      </c>
      <c r="EU33" t="e">
        <f>AND(TOC!#REF!,"AAAAAGf0bJY=")</f>
        <v>#REF!</v>
      </c>
      <c r="EV33" t="e">
        <f>AND(TOC!#REF!,"AAAAAGf0bJc=")</f>
        <v>#REF!</v>
      </c>
      <c r="EW33" t="e">
        <f>AND(TOC!#REF!,"AAAAAGf0bJg=")</f>
        <v>#REF!</v>
      </c>
      <c r="EX33" t="e">
        <f>AND(TOC!#REF!,"AAAAAGf0bJk=")</f>
        <v>#REF!</v>
      </c>
      <c r="EY33" t="e">
        <f>AND(TOC!#REF!,"AAAAAGf0bJo=")</f>
        <v>#REF!</v>
      </c>
      <c r="EZ33" t="e">
        <f>AND(TOC!#REF!,"AAAAAGf0bJs=")</f>
        <v>#REF!</v>
      </c>
      <c r="FA33" t="e">
        <f>AND(TOC!C20,"AAAAAGf0bJw=")</f>
        <v>#VALUE!</v>
      </c>
      <c r="FB33" t="e">
        <f>AND(TOC!D20,"AAAAAGf0bJ0=")</f>
        <v>#VALUE!</v>
      </c>
      <c r="FC33" t="e">
        <f>AND(TOC!E20,"AAAAAGf0bJ4=")</f>
        <v>#VALUE!</v>
      </c>
      <c r="FD33" t="e">
        <f>AND(TOC!F20,"AAAAAGf0bJ8=")</f>
        <v>#VALUE!</v>
      </c>
      <c r="FE33" t="e">
        <f>AND(TOC!G20,"AAAAAGf0bKA=")</f>
        <v>#VALUE!</v>
      </c>
      <c r="FF33" t="e">
        <f>AND(TOC!H20,"AAAAAGf0bKE=")</f>
        <v>#VALUE!</v>
      </c>
      <c r="FG33" t="e">
        <f>AND(TOC!I20,"AAAAAGf0bKI=")</f>
        <v>#VALUE!</v>
      </c>
      <c r="FH33" t="e">
        <f>AND(TOC!J20,"AAAAAGf0bKM=")</f>
        <v>#VALUE!</v>
      </c>
      <c r="FI33" t="e">
        <f>AND(TOC!K20,"AAAAAGf0bKQ=")</f>
        <v>#VALUE!</v>
      </c>
      <c r="FJ33" t="e">
        <f>AND(TOC!L20,"AAAAAGf0bKU=")</f>
        <v>#VALUE!</v>
      </c>
      <c r="FK33" t="e">
        <f>AND(TOC!M20,"AAAAAGf0bKY=")</f>
        <v>#VALUE!</v>
      </c>
      <c r="FL33" t="e">
        <f>AND(TOC!N20,"AAAAAGf0bKc=")</f>
        <v>#VALUE!</v>
      </c>
      <c r="FM33" t="e">
        <f>AND(TOC!O20,"AAAAAGf0bKg=")</f>
        <v>#VALUE!</v>
      </c>
      <c r="FN33" t="e">
        <f>AND(TOC!P20,"AAAAAGf0bKk=")</f>
        <v>#VALUE!</v>
      </c>
      <c r="FO33">
        <f>IF(TOC!21:21,"AAAAAGf0bKo=",0)</f>
        <v>0</v>
      </c>
      <c r="FP33" t="e">
        <f>AND(TOC!A24,"AAAAAGf0bKs=")</f>
        <v>#VALUE!</v>
      </c>
      <c r="FQ33" t="e">
        <f>AND(TOC!#REF!,"AAAAAGf0bKw=")</f>
        <v>#REF!</v>
      </c>
      <c r="FR33" t="e">
        <f>AND(TOC!#REF!,"AAAAAGf0bK0=")</f>
        <v>#REF!</v>
      </c>
      <c r="FS33" t="e">
        <f>AND(TOC!#REF!,"AAAAAGf0bK4=")</f>
        <v>#REF!</v>
      </c>
      <c r="FT33" t="e">
        <f>AND(TOC!#REF!,"AAAAAGf0bK8=")</f>
        <v>#REF!</v>
      </c>
      <c r="FU33" t="e">
        <f>AND(TOC!#REF!,"AAAAAGf0bLA=")</f>
        <v>#REF!</v>
      </c>
      <c r="FV33" t="e">
        <f>AND(TOC!A36,"AAAAAGf0bLE=")</f>
        <v>#VALUE!</v>
      </c>
      <c r="FW33" t="e">
        <f>AND(TOC!#REF!,"AAAAAGf0bLI=")</f>
        <v>#REF!</v>
      </c>
      <c r="FX33" t="e">
        <f>AND(TOC!#REF!,"AAAAAGf0bLM=")</f>
        <v>#REF!</v>
      </c>
      <c r="FY33" t="e">
        <f>AND(TOC!#REF!,"AAAAAGf0bLQ=")</f>
        <v>#REF!</v>
      </c>
      <c r="FZ33" t="e">
        <f>AND(TOC!#REF!,"AAAAAGf0bLU=")</f>
        <v>#REF!</v>
      </c>
      <c r="GA33" t="e">
        <f>AND(TOC!#REF!,"AAAAAGf0bLY=")</f>
        <v>#REF!</v>
      </c>
      <c r="GB33" t="e">
        <f>AND(TOC!#REF!,"AAAAAGf0bLc=")</f>
        <v>#REF!</v>
      </c>
      <c r="GC33" t="e">
        <f>AND(TOC!#REF!,"AAAAAGf0bLg=")</f>
        <v>#REF!</v>
      </c>
      <c r="GD33" t="e">
        <f>AND(TOC!#REF!,"AAAAAGf0bLk=")</f>
        <v>#REF!</v>
      </c>
      <c r="GE33" t="e">
        <f>AND(TOC!#REF!,"AAAAAGf0bLo=")</f>
        <v>#REF!</v>
      </c>
      <c r="GF33" t="e">
        <f>AND(TOC!#REF!,"AAAAAGf0bLs=")</f>
        <v>#REF!</v>
      </c>
      <c r="GG33" t="e">
        <f>AND(TOC!#REF!,"AAAAAGf0bLw=")</f>
        <v>#REF!</v>
      </c>
      <c r="GH33" t="e">
        <f>AND(TOC!#REF!,"AAAAAGf0bL0=")</f>
        <v>#REF!</v>
      </c>
      <c r="GI33" t="e">
        <f>AND(TOC!#REF!,"AAAAAGf0bL4=")</f>
        <v>#REF!</v>
      </c>
      <c r="GJ33" t="e">
        <f>AND(TOC!#REF!,"AAAAAGf0bL8=")</f>
        <v>#REF!</v>
      </c>
      <c r="GK33" t="e">
        <f>AND(TOC!#REF!,"AAAAAGf0bMA=")</f>
        <v>#REF!</v>
      </c>
      <c r="GL33" t="e">
        <f>AND(TOC!C21,"AAAAAGf0bME=")</f>
        <v>#VALUE!</v>
      </c>
      <c r="GM33" t="e">
        <f>AND(TOC!D21,"AAAAAGf0bMI=")</f>
        <v>#VALUE!</v>
      </c>
      <c r="GN33" t="e">
        <f>AND(TOC!E21,"AAAAAGf0bMM=")</f>
        <v>#VALUE!</v>
      </c>
      <c r="GO33" t="e">
        <f>AND(TOC!F21,"AAAAAGf0bMQ=")</f>
        <v>#VALUE!</v>
      </c>
      <c r="GP33" t="e">
        <f>AND(TOC!G21,"AAAAAGf0bMU=")</f>
        <v>#VALUE!</v>
      </c>
      <c r="GQ33" t="e">
        <f>AND(TOC!H21,"AAAAAGf0bMY=")</f>
        <v>#VALUE!</v>
      </c>
      <c r="GR33" t="e">
        <f>AND(TOC!I21,"AAAAAGf0bMc=")</f>
        <v>#VALUE!</v>
      </c>
      <c r="GS33" t="e">
        <f>AND(TOC!J21,"AAAAAGf0bMg=")</f>
        <v>#VALUE!</v>
      </c>
      <c r="GT33" t="e">
        <f>AND(TOC!K21,"AAAAAGf0bMk=")</f>
        <v>#VALUE!</v>
      </c>
      <c r="GU33" t="e">
        <f>AND(TOC!L21,"AAAAAGf0bMo=")</f>
        <v>#VALUE!</v>
      </c>
      <c r="GV33" t="e">
        <f>AND(TOC!M21,"AAAAAGf0bMs=")</f>
        <v>#VALUE!</v>
      </c>
      <c r="GW33" t="e">
        <f>AND(TOC!N21,"AAAAAGf0bMw=")</f>
        <v>#VALUE!</v>
      </c>
      <c r="GX33" t="e">
        <f>AND(TOC!O21,"AAAAAGf0bM0=")</f>
        <v>#VALUE!</v>
      </c>
      <c r="GY33" t="e">
        <f>AND(TOC!P21,"AAAAAGf0bM4=")</f>
        <v>#VALUE!</v>
      </c>
      <c r="GZ33">
        <f>IF(TOC!22:22,"AAAAAGf0bM8=",0)</f>
        <v>0</v>
      </c>
      <c r="HA33" t="e">
        <f>AND(TOC!A26,"AAAAAGf0bNA=")</f>
        <v>#VALUE!</v>
      </c>
      <c r="HB33" t="e">
        <f>AND(TOC!#REF!,"AAAAAGf0bNE=")</f>
        <v>#REF!</v>
      </c>
      <c r="HC33" t="e">
        <f>AND(TOC!#REF!,"AAAAAGf0bNI=")</f>
        <v>#REF!</v>
      </c>
      <c r="HD33" t="e">
        <f>AND(TOC!#REF!,"AAAAAGf0bNM=")</f>
        <v>#REF!</v>
      </c>
      <c r="HE33" t="e">
        <f>AND(TOC!#REF!,"AAAAAGf0bNQ=")</f>
        <v>#REF!</v>
      </c>
      <c r="HF33" t="e">
        <f>AND(TOC!#REF!,"AAAAAGf0bNU=")</f>
        <v>#REF!</v>
      </c>
      <c r="HG33" t="e">
        <f>AND(TOC!A37,"AAAAAGf0bNY=")</f>
        <v>#VALUE!</v>
      </c>
      <c r="HH33" t="e">
        <f>AND(TOC!#REF!,"AAAAAGf0bNc=")</f>
        <v>#REF!</v>
      </c>
      <c r="HI33" t="e">
        <f>AND(TOC!#REF!,"AAAAAGf0bNg=")</f>
        <v>#REF!</v>
      </c>
      <c r="HJ33" t="e">
        <f>AND(TOC!#REF!,"AAAAAGf0bNk=")</f>
        <v>#REF!</v>
      </c>
      <c r="HK33" t="e">
        <f>AND(TOC!#REF!,"AAAAAGf0bNo=")</f>
        <v>#REF!</v>
      </c>
      <c r="HL33" t="e">
        <f>AND(TOC!#REF!,"AAAAAGf0bNs=")</f>
        <v>#REF!</v>
      </c>
      <c r="HM33" t="e">
        <f>AND(TOC!#REF!,"AAAAAGf0bNw=")</f>
        <v>#REF!</v>
      </c>
      <c r="HN33" t="e">
        <f>AND(TOC!#REF!,"AAAAAGf0bN0=")</f>
        <v>#REF!</v>
      </c>
      <c r="HO33" t="e">
        <f>AND(TOC!#REF!,"AAAAAGf0bN4=")</f>
        <v>#REF!</v>
      </c>
      <c r="HP33" t="e">
        <f>AND(TOC!#REF!,"AAAAAGf0bN8=")</f>
        <v>#REF!</v>
      </c>
      <c r="HQ33" t="e">
        <f>AND(TOC!#REF!,"AAAAAGf0bOA=")</f>
        <v>#REF!</v>
      </c>
      <c r="HR33" t="e">
        <f>AND(TOC!#REF!,"AAAAAGf0bOE=")</f>
        <v>#REF!</v>
      </c>
      <c r="HS33" t="e">
        <f>AND(TOC!#REF!,"AAAAAGf0bOI=")</f>
        <v>#REF!</v>
      </c>
      <c r="HT33" t="e">
        <f>AND(TOC!#REF!,"AAAAAGf0bOM=")</f>
        <v>#REF!</v>
      </c>
      <c r="HU33" t="e">
        <f>AND(TOC!#REF!,"AAAAAGf0bOQ=")</f>
        <v>#REF!</v>
      </c>
      <c r="HV33" t="e">
        <f>AND(TOC!#REF!,"AAAAAGf0bOU=")</f>
        <v>#REF!</v>
      </c>
      <c r="HW33" t="e">
        <f>AND(TOC!C22,"AAAAAGf0bOY=")</f>
        <v>#VALUE!</v>
      </c>
      <c r="HX33" t="e">
        <f>AND(TOC!D22,"AAAAAGf0bOc=")</f>
        <v>#VALUE!</v>
      </c>
      <c r="HY33" t="e">
        <f>AND(TOC!E22,"AAAAAGf0bOg=")</f>
        <v>#VALUE!</v>
      </c>
      <c r="HZ33" t="e">
        <f>AND(TOC!F22,"AAAAAGf0bOk=")</f>
        <v>#VALUE!</v>
      </c>
      <c r="IA33" t="e">
        <f>AND(TOC!G22,"AAAAAGf0bOo=")</f>
        <v>#VALUE!</v>
      </c>
      <c r="IB33" t="e">
        <f>AND(TOC!H22,"AAAAAGf0bOs=")</f>
        <v>#VALUE!</v>
      </c>
      <c r="IC33" t="e">
        <f>AND(TOC!I22,"AAAAAGf0bOw=")</f>
        <v>#VALUE!</v>
      </c>
      <c r="ID33" t="e">
        <f>AND(TOC!J22,"AAAAAGf0bO0=")</f>
        <v>#VALUE!</v>
      </c>
      <c r="IE33" t="e">
        <f>AND(TOC!K22,"AAAAAGf0bO4=")</f>
        <v>#VALUE!</v>
      </c>
      <c r="IF33" t="e">
        <f>AND(TOC!L22,"AAAAAGf0bO8=")</f>
        <v>#VALUE!</v>
      </c>
      <c r="IG33" t="e">
        <f>AND(TOC!M22,"AAAAAGf0bPA=")</f>
        <v>#VALUE!</v>
      </c>
      <c r="IH33" t="e">
        <f>AND(TOC!N22,"AAAAAGf0bPE=")</f>
        <v>#VALUE!</v>
      </c>
      <c r="II33" t="e">
        <f>AND(TOC!O22,"AAAAAGf0bPI=")</f>
        <v>#VALUE!</v>
      </c>
      <c r="IJ33" t="e">
        <f>AND(TOC!P22,"AAAAAGf0bPM=")</f>
        <v>#VALUE!</v>
      </c>
      <c r="IK33">
        <f>IF(TOC!23:23,"AAAAAGf0bPQ=",0)</f>
        <v>0</v>
      </c>
      <c r="IL33" t="e">
        <f>AND(TOC!A27,"AAAAAGf0bPU=")</f>
        <v>#VALUE!</v>
      </c>
      <c r="IM33" t="e">
        <f>AND(TOC!#REF!,"AAAAAGf0bPY=")</f>
        <v>#REF!</v>
      </c>
      <c r="IN33" t="e">
        <f>AND(TOC!#REF!,"AAAAAGf0bPc=")</f>
        <v>#REF!</v>
      </c>
      <c r="IO33" t="e">
        <f>AND(TOC!#REF!,"AAAAAGf0bPg=")</f>
        <v>#REF!</v>
      </c>
      <c r="IP33" t="e">
        <f>AND(TOC!#REF!,"AAAAAGf0bPk=")</f>
        <v>#REF!</v>
      </c>
      <c r="IQ33" t="e">
        <f>AND(TOC!#REF!,"AAAAAGf0bPo=")</f>
        <v>#REF!</v>
      </c>
      <c r="IR33" t="e">
        <f>AND(TOC!A38,"AAAAAGf0bPs=")</f>
        <v>#VALUE!</v>
      </c>
      <c r="IS33" t="e">
        <f>AND(TOC!#REF!,"AAAAAGf0bPw=")</f>
        <v>#REF!</v>
      </c>
      <c r="IT33" t="e">
        <f>AND(TOC!#REF!,"AAAAAGf0bP0=")</f>
        <v>#REF!</v>
      </c>
      <c r="IU33" t="e">
        <f>AND(TOC!#REF!,"AAAAAGf0bP4=")</f>
        <v>#REF!</v>
      </c>
      <c r="IV33" t="e">
        <f>AND(TOC!#REF!,"AAAAAGf0bP8=")</f>
        <v>#REF!</v>
      </c>
    </row>
    <row r="34" spans="1:256" x14ac:dyDescent="0.2">
      <c r="A34" t="e">
        <f>AND(TOC!#REF!,"AAAAAH99vQA=")</f>
        <v>#REF!</v>
      </c>
      <c r="B34" t="e">
        <f>AND(TOC!#REF!,"AAAAAH99vQE=")</f>
        <v>#REF!</v>
      </c>
      <c r="C34" t="e">
        <f>AND(TOC!#REF!,"AAAAAH99vQI=")</f>
        <v>#REF!</v>
      </c>
      <c r="D34" t="e">
        <f>AND(TOC!#REF!,"AAAAAH99vQM=")</f>
        <v>#REF!</v>
      </c>
      <c r="E34" t="e">
        <f>AND(TOC!#REF!,"AAAAAH99vQQ=")</f>
        <v>#REF!</v>
      </c>
      <c r="F34" t="e">
        <f>AND(TOC!#REF!,"AAAAAH99vQU=")</f>
        <v>#REF!</v>
      </c>
      <c r="G34" t="e">
        <f>AND(TOC!#REF!,"AAAAAH99vQY=")</f>
        <v>#REF!</v>
      </c>
      <c r="H34" t="e">
        <f>AND(TOC!#REF!,"AAAAAH99vQc=")</f>
        <v>#REF!</v>
      </c>
      <c r="I34" t="e">
        <f>AND(TOC!#REF!,"AAAAAH99vQg=")</f>
        <v>#REF!</v>
      </c>
      <c r="J34" t="e">
        <f>AND(TOC!#REF!,"AAAAAH99vQk=")</f>
        <v>#REF!</v>
      </c>
      <c r="K34" t="e">
        <f>AND(TOC!#REF!,"AAAAAH99vQo=")</f>
        <v>#REF!</v>
      </c>
      <c r="L34" t="e">
        <f>AND(TOC!C23,"AAAAAH99vQs=")</f>
        <v>#VALUE!</v>
      </c>
      <c r="M34" t="e">
        <f>AND(TOC!D23,"AAAAAH99vQw=")</f>
        <v>#VALUE!</v>
      </c>
      <c r="N34" t="e">
        <f>AND(TOC!E23,"AAAAAH99vQ0=")</f>
        <v>#VALUE!</v>
      </c>
      <c r="O34" t="e">
        <f>AND(TOC!F23,"AAAAAH99vQ4=")</f>
        <v>#VALUE!</v>
      </c>
      <c r="P34" t="e">
        <f>AND(TOC!G23,"AAAAAH99vQ8=")</f>
        <v>#VALUE!</v>
      </c>
      <c r="Q34" t="e">
        <f>AND(TOC!H23,"AAAAAH99vRA=")</f>
        <v>#VALUE!</v>
      </c>
      <c r="R34" t="e">
        <f>AND(TOC!I23,"AAAAAH99vRE=")</f>
        <v>#VALUE!</v>
      </c>
      <c r="S34" t="e">
        <f>AND(TOC!J23,"AAAAAH99vRI=")</f>
        <v>#VALUE!</v>
      </c>
      <c r="T34" t="e">
        <f>AND(TOC!K23,"AAAAAH99vRM=")</f>
        <v>#VALUE!</v>
      </c>
      <c r="U34" t="e">
        <f>AND(TOC!L23,"AAAAAH99vRQ=")</f>
        <v>#VALUE!</v>
      </c>
      <c r="V34" t="e">
        <f>AND(TOC!M23,"AAAAAH99vRU=")</f>
        <v>#VALUE!</v>
      </c>
      <c r="W34" t="e">
        <f>AND(TOC!N23,"AAAAAH99vRY=")</f>
        <v>#VALUE!</v>
      </c>
      <c r="X34" t="e">
        <f>AND(TOC!O23,"AAAAAH99vRc=")</f>
        <v>#VALUE!</v>
      </c>
      <c r="Y34" t="e">
        <f>AND(TOC!P23,"AAAAAH99vRg=")</f>
        <v>#VALUE!</v>
      </c>
      <c r="Z34">
        <f>IF(TOC!24:24,"AAAAAH99vRk=",0)</f>
        <v>0</v>
      </c>
      <c r="AA34" t="e">
        <f>AND(TOC!A28,"AAAAAH99vRo=")</f>
        <v>#VALUE!</v>
      </c>
      <c r="AB34" t="e">
        <f>AND(TOC!#REF!,"AAAAAH99vRs=")</f>
        <v>#REF!</v>
      </c>
      <c r="AC34" t="e">
        <f>AND(TOC!#REF!,"AAAAAH99vRw=")</f>
        <v>#REF!</v>
      </c>
      <c r="AD34" t="e">
        <f>AND(TOC!#REF!,"AAAAAH99vR0=")</f>
        <v>#REF!</v>
      </c>
      <c r="AE34" t="e">
        <f>AND(TOC!#REF!,"AAAAAH99vR4=")</f>
        <v>#REF!</v>
      </c>
      <c r="AF34" t="e">
        <f>AND(TOC!#REF!,"AAAAAH99vR8=")</f>
        <v>#REF!</v>
      </c>
      <c r="AG34" t="e">
        <f>AND(TOC!A39,"AAAAAH99vSA=")</f>
        <v>#VALUE!</v>
      </c>
      <c r="AH34" t="e">
        <f>AND(TOC!#REF!,"AAAAAH99vSE=")</f>
        <v>#REF!</v>
      </c>
      <c r="AI34" t="e">
        <f>AND(TOC!#REF!,"AAAAAH99vSI=")</f>
        <v>#REF!</v>
      </c>
      <c r="AJ34" t="e">
        <f>AND(TOC!#REF!,"AAAAAH99vSM=")</f>
        <v>#REF!</v>
      </c>
      <c r="AK34" t="e">
        <f>AND(TOC!#REF!,"AAAAAH99vSQ=")</f>
        <v>#REF!</v>
      </c>
      <c r="AL34" t="e">
        <f>AND(TOC!#REF!,"AAAAAH99vSU=")</f>
        <v>#REF!</v>
      </c>
      <c r="AM34" t="e">
        <f>AND(TOC!#REF!,"AAAAAH99vSY=")</f>
        <v>#REF!</v>
      </c>
      <c r="AN34" t="e">
        <f>AND(TOC!#REF!,"AAAAAH99vSc=")</f>
        <v>#REF!</v>
      </c>
      <c r="AO34" t="e">
        <f>AND(TOC!#REF!,"AAAAAH99vSg=")</f>
        <v>#REF!</v>
      </c>
      <c r="AP34" t="e">
        <f>AND(TOC!#REF!,"AAAAAH99vSk=")</f>
        <v>#REF!</v>
      </c>
      <c r="AQ34" t="e">
        <f>AND(TOC!#REF!,"AAAAAH99vSo=")</f>
        <v>#REF!</v>
      </c>
      <c r="AR34" t="e">
        <f>AND(TOC!#REF!,"AAAAAH99vSs=")</f>
        <v>#REF!</v>
      </c>
      <c r="AS34" t="e">
        <f>AND(TOC!#REF!,"AAAAAH99vSw=")</f>
        <v>#REF!</v>
      </c>
      <c r="AT34" t="e">
        <f>AND(TOC!#REF!,"AAAAAH99vS0=")</f>
        <v>#REF!</v>
      </c>
      <c r="AU34" t="e">
        <f>AND(TOC!#REF!,"AAAAAH99vS4=")</f>
        <v>#REF!</v>
      </c>
      <c r="AV34" t="e">
        <f>AND(TOC!#REF!,"AAAAAH99vS8=")</f>
        <v>#REF!</v>
      </c>
      <c r="AW34" t="e">
        <f>AND(TOC!C24,"AAAAAH99vTA=")</f>
        <v>#VALUE!</v>
      </c>
      <c r="AX34" t="e">
        <f>AND(TOC!D24,"AAAAAH99vTE=")</f>
        <v>#VALUE!</v>
      </c>
      <c r="AY34" t="e">
        <f>AND(TOC!E24,"AAAAAH99vTI=")</f>
        <v>#VALUE!</v>
      </c>
      <c r="AZ34" t="e">
        <f>AND(TOC!F24,"AAAAAH99vTM=")</f>
        <v>#VALUE!</v>
      </c>
      <c r="BA34" t="e">
        <f>AND(TOC!G24,"AAAAAH99vTQ=")</f>
        <v>#VALUE!</v>
      </c>
      <c r="BB34" t="e">
        <f>AND(TOC!H24,"AAAAAH99vTU=")</f>
        <v>#VALUE!</v>
      </c>
      <c r="BC34" t="e">
        <f>AND(TOC!I24,"AAAAAH99vTY=")</f>
        <v>#VALUE!</v>
      </c>
      <c r="BD34" t="e">
        <f>AND(TOC!J24,"AAAAAH99vTc=")</f>
        <v>#VALUE!</v>
      </c>
      <c r="BE34" t="e">
        <f>AND(TOC!K24,"AAAAAH99vTg=")</f>
        <v>#VALUE!</v>
      </c>
      <c r="BF34" t="e">
        <f>AND(TOC!L24,"AAAAAH99vTk=")</f>
        <v>#VALUE!</v>
      </c>
      <c r="BG34" t="e">
        <f>AND(TOC!M24,"AAAAAH99vTo=")</f>
        <v>#VALUE!</v>
      </c>
      <c r="BH34" t="e">
        <f>AND(TOC!N24,"AAAAAH99vTs=")</f>
        <v>#VALUE!</v>
      </c>
      <c r="BI34" t="e">
        <f>AND(TOC!O24,"AAAAAH99vTw=")</f>
        <v>#VALUE!</v>
      </c>
      <c r="BJ34" t="e">
        <f>AND(TOC!P24,"AAAAAH99vT0=")</f>
        <v>#VALUE!</v>
      </c>
      <c r="BK34">
        <f>IF(TOC!26:26,"AAAAAH99vT4=",0)</f>
        <v>0</v>
      </c>
      <c r="BL34" t="e">
        <f>AND(TOC!A29,"AAAAAH99vT8=")</f>
        <v>#VALUE!</v>
      </c>
      <c r="BM34" t="e">
        <f>AND(TOC!#REF!,"AAAAAH99vUA=")</f>
        <v>#REF!</v>
      </c>
      <c r="BN34" t="e">
        <f>AND(TOC!#REF!,"AAAAAH99vUE=")</f>
        <v>#REF!</v>
      </c>
      <c r="BO34" t="e">
        <f>AND(TOC!#REF!,"AAAAAH99vUI=")</f>
        <v>#REF!</v>
      </c>
      <c r="BP34" t="e">
        <f>AND(TOC!#REF!,"AAAAAH99vUM=")</f>
        <v>#REF!</v>
      </c>
      <c r="BQ34" t="e">
        <f>AND(TOC!#REF!,"AAAAAH99vUQ=")</f>
        <v>#REF!</v>
      </c>
      <c r="BR34" t="e">
        <f>AND(TOC!A40,"AAAAAH99vUU=")</f>
        <v>#VALUE!</v>
      </c>
      <c r="BS34" t="e">
        <f>AND(TOC!#REF!,"AAAAAH99vUY=")</f>
        <v>#REF!</v>
      </c>
      <c r="BT34" t="e">
        <f>AND(TOC!#REF!,"AAAAAH99vUc=")</f>
        <v>#REF!</v>
      </c>
      <c r="BU34" t="e">
        <f>AND(TOC!#REF!,"AAAAAH99vUg=")</f>
        <v>#REF!</v>
      </c>
      <c r="BV34" t="e">
        <f>AND(TOC!#REF!,"AAAAAH99vUk=")</f>
        <v>#REF!</v>
      </c>
      <c r="BW34" t="e">
        <f>AND(TOC!#REF!,"AAAAAH99vUo=")</f>
        <v>#REF!</v>
      </c>
      <c r="BX34" t="e">
        <f>AND(TOC!#REF!,"AAAAAH99vUs=")</f>
        <v>#REF!</v>
      </c>
      <c r="BY34" t="e">
        <f>AND(TOC!#REF!,"AAAAAH99vUw=")</f>
        <v>#REF!</v>
      </c>
      <c r="BZ34" t="e">
        <f>AND(TOC!#REF!,"AAAAAH99vU0=")</f>
        <v>#REF!</v>
      </c>
      <c r="CA34" t="e">
        <f>AND(TOC!#REF!,"AAAAAH99vU4=")</f>
        <v>#REF!</v>
      </c>
      <c r="CB34" t="e">
        <f>AND(TOC!#REF!,"AAAAAH99vU8=")</f>
        <v>#REF!</v>
      </c>
      <c r="CC34" t="e">
        <f>AND(TOC!#REF!,"AAAAAH99vVA=")</f>
        <v>#REF!</v>
      </c>
      <c r="CD34" t="e">
        <f>AND(TOC!#REF!,"AAAAAH99vVE=")</f>
        <v>#REF!</v>
      </c>
      <c r="CE34" t="e">
        <f>AND(TOC!#REF!,"AAAAAH99vVI=")</f>
        <v>#REF!</v>
      </c>
      <c r="CF34" t="e">
        <f>AND(TOC!#REF!,"AAAAAH99vVM=")</f>
        <v>#REF!</v>
      </c>
      <c r="CG34" t="e">
        <f>AND(TOC!#REF!,"AAAAAH99vVQ=")</f>
        <v>#REF!</v>
      </c>
      <c r="CH34" t="e">
        <f>AND(TOC!C26,"AAAAAH99vVU=")</f>
        <v>#VALUE!</v>
      </c>
      <c r="CI34" t="e">
        <f>AND(TOC!D26,"AAAAAH99vVY=")</f>
        <v>#VALUE!</v>
      </c>
      <c r="CJ34" t="e">
        <f>AND(TOC!E26,"AAAAAH99vVc=")</f>
        <v>#VALUE!</v>
      </c>
      <c r="CK34" t="e">
        <f>AND(TOC!F26,"AAAAAH99vVg=")</f>
        <v>#VALUE!</v>
      </c>
      <c r="CL34" t="e">
        <f>AND(TOC!G26,"AAAAAH99vVk=")</f>
        <v>#VALUE!</v>
      </c>
      <c r="CM34" t="e">
        <f>AND(TOC!H26,"AAAAAH99vVo=")</f>
        <v>#VALUE!</v>
      </c>
      <c r="CN34" t="e">
        <f>AND(TOC!I26,"AAAAAH99vVs=")</f>
        <v>#VALUE!</v>
      </c>
      <c r="CO34" t="e">
        <f>AND(TOC!J26,"AAAAAH99vVw=")</f>
        <v>#VALUE!</v>
      </c>
      <c r="CP34" t="e">
        <f>AND(TOC!K26,"AAAAAH99vV0=")</f>
        <v>#VALUE!</v>
      </c>
      <c r="CQ34" t="e">
        <f>AND(TOC!L26,"AAAAAH99vV4=")</f>
        <v>#VALUE!</v>
      </c>
      <c r="CR34" t="e">
        <f>AND(TOC!M26,"AAAAAH99vV8=")</f>
        <v>#VALUE!</v>
      </c>
      <c r="CS34" t="e">
        <f>AND(TOC!N26,"AAAAAH99vWA=")</f>
        <v>#VALUE!</v>
      </c>
      <c r="CT34" t="e">
        <f>AND(TOC!O26,"AAAAAH99vWE=")</f>
        <v>#VALUE!</v>
      </c>
      <c r="CU34" t="e">
        <f>AND(TOC!P26,"AAAAAH99vWI=")</f>
        <v>#VALUE!</v>
      </c>
      <c r="CV34">
        <f>IF(TOC!27:27,"AAAAAH99vWM=",0)</f>
        <v>0</v>
      </c>
      <c r="CW34" t="e">
        <f>AND(TOC!A31,"AAAAAH99vWQ=")</f>
        <v>#VALUE!</v>
      </c>
      <c r="CX34" t="e">
        <f>AND(TOC!#REF!,"AAAAAH99vWU=")</f>
        <v>#REF!</v>
      </c>
      <c r="CY34" t="e">
        <f>AND(TOC!#REF!,"AAAAAH99vWY=")</f>
        <v>#REF!</v>
      </c>
      <c r="CZ34" t="e">
        <f>AND(TOC!#REF!,"AAAAAH99vWc=")</f>
        <v>#REF!</v>
      </c>
      <c r="DA34" t="e">
        <f>AND(TOC!#REF!,"AAAAAH99vWg=")</f>
        <v>#REF!</v>
      </c>
      <c r="DB34" t="e">
        <f>AND(TOC!#REF!,"AAAAAH99vWk=")</f>
        <v>#REF!</v>
      </c>
      <c r="DC34" t="e">
        <f>AND(TOC!A41,"AAAAAH99vWo=")</f>
        <v>#VALUE!</v>
      </c>
      <c r="DD34" t="e">
        <f>AND(TOC!#REF!,"AAAAAH99vWs=")</f>
        <v>#REF!</v>
      </c>
      <c r="DE34" t="e">
        <f>AND(TOC!#REF!,"AAAAAH99vWw=")</f>
        <v>#REF!</v>
      </c>
      <c r="DF34" t="e">
        <f>AND(TOC!#REF!,"AAAAAH99vW0=")</f>
        <v>#REF!</v>
      </c>
      <c r="DG34" t="e">
        <f>AND(TOC!#REF!,"AAAAAH99vW4=")</f>
        <v>#REF!</v>
      </c>
      <c r="DH34" t="e">
        <f>AND(TOC!#REF!,"AAAAAH99vW8=")</f>
        <v>#REF!</v>
      </c>
      <c r="DI34" t="e">
        <f>AND(TOC!#REF!,"AAAAAH99vXA=")</f>
        <v>#REF!</v>
      </c>
      <c r="DJ34" t="e">
        <f>AND(TOC!#REF!,"AAAAAH99vXE=")</f>
        <v>#REF!</v>
      </c>
      <c r="DK34" t="e">
        <f>AND(TOC!#REF!,"AAAAAH99vXI=")</f>
        <v>#REF!</v>
      </c>
      <c r="DL34" t="e">
        <f>AND(TOC!#REF!,"AAAAAH99vXM=")</f>
        <v>#REF!</v>
      </c>
      <c r="DM34" t="e">
        <f>AND(TOC!#REF!,"AAAAAH99vXQ=")</f>
        <v>#REF!</v>
      </c>
      <c r="DN34" t="e">
        <f>AND(TOC!#REF!,"AAAAAH99vXU=")</f>
        <v>#REF!</v>
      </c>
      <c r="DO34" t="e">
        <f>AND(TOC!#REF!,"AAAAAH99vXY=")</f>
        <v>#REF!</v>
      </c>
      <c r="DP34" t="e">
        <f>AND(TOC!#REF!,"AAAAAH99vXc=")</f>
        <v>#REF!</v>
      </c>
      <c r="DQ34" t="e">
        <f>AND(TOC!#REF!,"AAAAAH99vXg=")</f>
        <v>#REF!</v>
      </c>
      <c r="DR34" t="e">
        <f>AND(TOC!#REF!,"AAAAAH99vXk=")</f>
        <v>#REF!</v>
      </c>
      <c r="DS34" t="e">
        <f>AND(TOC!C27,"AAAAAH99vXo=")</f>
        <v>#VALUE!</v>
      </c>
      <c r="DT34" t="e">
        <f>AND(TOC!D27,"AAAAAH99vXs=")</f>
        <v>#VALUE!</v>
      </c>
      <c r="DU34" t="e">
        <f>AND(TOC!E27,"AAAAAH99vXw=")</f>
        <v>#VALUE!</v>
      </c>
      <c r="DV34" t="e">
        <f>AND(TOC!F27,"AAAAAH99vX0=")</f>
        <v>#VALUE!</v>
      </c>
      <c r="DW34" t="e">
        <f>AND(TOC!G27,"AAAAAH99vX4=")</f>
        <v>#VALUE!</v>
      </c>
      <c r="DX34" t="e">
        <f>AND(TOC!H27,"AAAAAH99vX8=")</f>
        <v>#VALUE!</v>
      </c>
      <c r="DY34" t="e">
        <f>AND(TOC!I27,"AAAAAH99vYA=")</f>
        <v>#VALUE!</v>
      </c>
      <c r="DZ34" t="e">
        <f>AND(TOC!J27,"AAAAAH99vYE=")</f>
        <v>#VALUE!</v>
      </c>
      <c r="EA34" t="e">
        <f>AND(TOC!K27,"AAAAAH99vYI=")</f>
        <v>#VALUE!</v>
      </c>
      <c r="EB34" t="e">
        <f>AND(TOC!L27,"AAAAAH99vYM=")</f>
        <v>#VALUE!</v>
      </c>
      <c r="EC34" t="e">
        <f>AND(TOC!M27,"AAAAAH99vYQ=")</f>
        <v>#VALUE!</v>
      </c>
      <c r="ED34" t="e">
        <f>AND(TOC!N27,"AAAAAH99vYU=")</f>
        <v>#VALUE!</v>
      </c>
      <c r="EE34" t="e">
        <f>AND(TOC!O27,"AAAAAH99vYY=")</f>
        <v>#VALUE!</v>
      </c>
      <c r="EF34" t="e">
        <f>AND(TOC!P27,"AAAAAH99vYc=")</f>
        <v>#VALUE!</v>
      </c>
      <c r="EG34">
        <f>IF(TOC!28:28,"AAAAAH99vYg=",0)</f>
        <v>0</v>
      </c>
      <c r="EH34" t="e">
        <f>AND(TOC!#REF!,"AAAAAH99vYk=")</f>
        <v>#REF!</v>
      </c>
      <c r="EI34" t="e">
        <f>AND(TOC!#REF!,"AAAAAH99vYo=")</f>
        <v>#REF!</v>
      </c>
      <c r="EJ34" t="e">
        <f>AND(TOC!#REF!,"AAAAAH99vYs=")</f>
        <v>#REF!</v>
      </c>
      <c r="EK34" t="e">
        <f>AND(TOC!#REF!,"AAAAAH99vYw=")</f>
        <v>#REF!</v>
      </c>
      <c r="EL34" t="e">
        <f>AND(TOC!#REF!,"AAAAAH99vY0=")</f>
        <v>#REF!</v>
      </c>
      <c r="EM34" t="e">
        <f>AND(TOC!#REF!,"AAAAAH99vY4=")</f>
        <v>#REF!</v>
      </c>
      <c r="EN34" t="e">
        <f>AND(TOC!B23,"AAAAAH99vY8=")</f>
        <v>#VALUE!</v>
      </c>
      <c r="EO34" t="e">
        <f>AND(TOC!#REF!,"AAAAAH99vZA=")</f>
        <v>#REF!</v>
      </c>
      <c r="EP34" t="e">
        <f>AND(TOC!#REF!,"AAAAAH99vZE=")</f>
        <v>#REF!</v>
      </c>
      <c r="EQ34" t="e">
        <f>AND(TOC!#REF!,"AAAAAH99vZI=")</f>
        <v>#REF!</v>
      </c>
      <c r="ER34" t="e">
        <f>AND(TOC!#REF!,"AAAAAH99vZM=")</f>
        <v>#REF!</v>
      </c>
      <c r="ES34" t="e">
        <f>AND(TOC!#REF!,"AAAAAH99vZQ=")</f>
        <v>#REF!</v>
      </c>
      <c r="ET34" t="e">
        <f>AND(TOC!#REF!,"AAAAAH99vZU=")</f>
        <v>#REF!</v>
      </c>
      <c r="EU34" t="e">
        <f>AND(TOC!#REF!,"AAAAAH99vZY=")</f>
        <v>#REF!</v>
      </c>
      <c r="EV34" t="e">
        <f>AND(TOC!#REF!,"AAAAAH99vZc=")</f>
        <v>#REF!</v>
      </c>
      <c r="EW34" t="e">
        <f>AND(TOC!#REF!,"AAAAAH99vZg=")</f>
        <v>#REF!</v>
      </c>
      <c r="EX34" t="e">
        <f>AND(TOC!#REF!,"AAAAAH99vZk=")</f>
        <v>#REF!</v>
      </c>
      <c r="EY34" t="e">
        <f>AND(TOC!#REF!,"AAAAAH99vZo=")</f>
        <v>#REF!</v>
      </c>
      <c r="EZ34" t="e">
        <f>AND(TOC!#REF!,"AAAAAH99vZs=")</f>
        <v>#REF!</v>
      </c>
      <c r="FA34" t="e">
        <f>AND(TOC!#REF!,"AAAAAH99vZw=")</f>
        <v>#REF!</v>
      </c>
      <c r="FB34" t="e">
        <f>AND(TOC!#REF!,"AAAAAH99vZ0=")</f>
        <v>#REF!</v>
      </c>
      <c r="FC34" t="e">
        <f>AND(TOC!#REF!,"AAAAAH99vZ4=")</f>
        <v>#REF!</v>
      </c>
      <c r="FD34" t="e">
        <f>AND(TOC!C28,"AAAAAH99vZ8=")</f>
        <v>#VALUE!</v>
      </c>
      <c r="FE34" t="e">
        <f>AND(TOC!D28,"AAAAAH99vaA=")</f>
        <v>#VALUE!</v>
      </c>
      <c r="FF34" t="e">
        <f>AND(TOC!E28,"AAAAAH99vaE=")</f>
        <v>#VALUE!</v>
      </c>
      <c r="FG34" t="e">
        <f>AND(TOC!F28,"AAAAAH99vaI=")</f>
        <v>#VALUE!</v>
      </c>
      <c r="FH34" t="e">
        <f>AND(TOC!G28,"AAAAAH99vaM=")</f>
        <v>#VALUE!</v>
      </c>
      <c r="FI34" t="e">
        <f>AND(TOC!H28,"AAAAAH99vaQ=")</f>
        <v>#VALUE!</v>
      </c>
      <c r="FJ34" t="e">
        <f>AND(TOC!I28,"AAAAAH99vaU=")</f>
        <v>#VALUE!</v>
      </c>
      <c r="FK34" t="e">
        <f>AND(TOC!J28,"AAAAAH99vaY=")</f>
        <v>#VALUE!</v>
      </c>
      <c r="FL34" t="e">
        <f>AND(TOC!K28,"AAAAAH99vac=")</f>
        <v>#VALUE!</v>
      </c>
      <c r="FM34" t="e">
        <f>AND(TOC!L28,"AAAAAH99vag=")</f>
        <v>#VALUE!</v>
      </c>
      <c r="FN34" t="e">
        <f>AND(TOC!M28,"AAAAAH99vak=")</f>
        <v>#VALUE!</v>
      </c>
      <c r="FO34" t="e">
        <f>AND(TOC!N28,"AAAAAH99vao=")</f>
        <v>#VALUE!</v>
      </c>
      <c r="FP34" t="e">
        <f>AND(TOC!O28,"AAAAAH99vas=")</f>
        <v>#VALUE!</v>
      </c>
      <c r="FQ34" t="e">
        <f>AND(TOC!P28,"AAAAAH99vaw=")</f>
        <v>#VALUE!</v>
      </c>
      <c r="FR34">
        <f>IF(TOC!29:29,"AAAAAH99va0=",0)</f>
        <v>0</v>
      </c>
      <c r="FS34" t="e">
        <f>AND(TOC!A32,"AAAAAH99va4=")</f>
        <v>#VALUE!</v>
      </c>
      <c r="FT34" t="e">
        <f>AND(TOC!#REF!,"AAAAAH99va8=")</f>
        <v>#REF!</v>
      </c>
      <c r="FU34" t="e">
        <f>AND(TOC!#REF!,"AAAAAH99vbA=")</f>
        <v>#REF!</v>
      </c>
      <c r="FV34" t="e">
        <f>AND(TOC!#REF!,"AAAAAH99vbE=")</f>
        <v>#REF!</v>
      </c>
      <c r="FW34" t="e">
        <f>AND(TOC!#REF!,"AAAAAH99vbI=")</f>
        <v>#REF!</v>
      </c>
      <c r="FX34" t="e">
        <f>AND(TOC!#REF!,"AAAAAH99vbM=")</f>
        <v>#REF!</v>
      </c>
      <c r="FY34" t="e">
        <f>AND(TOC!B24,"AAAAAH99vbQ=")</f>
        <v>#VALUE!</v>
      </c>
      <c r="FZ34" t="e">
        <f>AND(TOC!#REF!,"AAAAAH99vbU=")</f>
        <v>#REF!</v>
      </c>
      <c r="GA34" t="e">
        <f>AND(TOC!#REF!,"AAAAAH99vbY=")</f>
        <v>#REF!</v>
      </c>
      <c r="GB34" t="e">
        <f>AND(TOC!#REF!,"AAAAAH99vbc=")</f>
        <v>#REF!</v>
      </c>
      <c r="GC34" t="e">
        <f>AND(TOC!#REF!,"AAAAAH99vbg=")</f>
        <v>#REF!</v>
      </c>
      <c r="GD34" t="e">
        <f>AND(TOC!#REF!,"AAAAAH99vbk=")</f>
        <v>#REF!</v>
      </c>
      <c r="GE34" t="e">
        <f>AND(TOC!#REF!,"AAAAAH99vbo=")</f>
        <v>#REF!</v>
      </c>
      <c r="GF34" t="e">
        <f>AND(TOC!#REF!,"AAAAAH99vbs=")</f>
        <v>#REF!</v>
      </c>
      <c r="GG34" t="e">
        <f>AND(TOC!#REF!,"AAAAAH99vbw=")</f>
        <v>#REF!</v>
      </c>
      <c r="GH34" t="e">
        <f>AND(TOC!#REF!,"AAAAAH99vb0=")</f>
        <v>#REF!</v>
      </c>
      <c r="GI34" t="e">
        <f>AND(TOC!#REF!,"AAAAAH99vb4=")</f>
        <v>#REF!</v>
      </c>
      <c r="GJ34" t="e">
        <f>AND(TOC!#REF!,"AAAAAH99vb8=")</f>
        <v>#REF!</v>
      </c>
      <c r="GK34" t="e">
        <f>AND(TOC!#REF!,"AAAAAH99vcA=")</f>
        <v>#REF!</v>
      </c>
      <c r="GL34" t="e">
        <f>AND(TOC!#REF!,"AAAAAH99vcE=")</f>
        <v>#REF!</v>
      </c>
      <c r="GM34" t="e">
        <f>AND(TOC!#REF!,"AAAAAH99vcI=")</f>
        <v>#REF!</v>
      </c>
      <c r="GN34" t="e">
        <f>AND(TOC!#REF!,"AAAAAH99vcM=")</f>
        <v>#REF!</v>
      </c>
      <c r="GO34" t="e">
        <f>AND(TOC!C29,"AAAAAH99vcQ=")</f>
        <v>#VALUE!</v>
      </c>
      <c r="GP34" t="e">
        <f>AND(TOC!D29,"AAAAAH99vcU=")</f>
        <v>#VALUE!</v>
      </c>
      <c r="GQ34" t="e">
        <f>AND(TOC!E29,"AAAAAH99vcY=")</f>
        <v>#VALUE!</v>
      </c>
      <c r="GR34" t="e">
        <f>AND(TOC!F29,"AAAAAH99vcc=")</f>
        <v>#VALUE!</v>
      </c>
      <c r="GS34" t="e">
        <f>AND(TOC!G29,"AAAAAH99vcg=")</f>
        <v>#VALUE!</v>
      </c>
      <c r="GT34" t="e">
        <f>AND(TOC!H29,"AAAAAH99vck=")</f>
        <v>#VALUE!</v>
      </c>
      <c r="GU34" t="e">
        <f>AND(TOC!I29,"AAAAAH99vco=")</f>
        <v>#VALUE!</v>
      </c>
      <c r="GV34" t="e">
        <f>AND(TOC!J29,"AAAAAH99vcs=")</f>
        <v>#VALUE!</v>
      </c>
      <c r="GW34" t="e">
        <f>AND(TOC!K29,"AAAAAH99vcw=")</f>
        <v>#VALUE!</v>
      </c>
      <c r="GX34" t="e">
        <f>AND(TOC!L29,"AAAAAH99vc0=")</f>
        <v>#VALUE!</v>
      </c>
      <c r="GY34" t="e">
        <f>AND(TOC!M29,"AAAAAH99vc4=")</f>
        <v>#VALUE!</v>
      </c>
      <c r="GZ34" t="e">
        <f>AND(TOC!N29,"AAAAAH99vc8=")</f>
        <v>#VALUE!</v>
      </c>
      <c r="HA34" t="e">
        <f>AND(TOC!O29,"AAAAAH99vdA=")</f>
        <v>#VALUE!</v>
      </c>
      <c r="HB34" t="e">
        <f>AND(TOC!P29,"AAAAAH99vdE=")</f>
        <v>#VALUE!</v>
      </c>
      <c r="HC34">
        <f>IF(TOC!31:31,"AAAAAH99vdI=",0)</f>
        <v>0</v>
      </c>
      <c r="HD34" t="e">
        <f>AND(TOC!A33,"AAAAAH99vdM=")</f>
        <v>#VALUE!</v>
      </c>
      <c r="HE34" t="e">
        <f>AND(TOC!#REF!,"AAAAAH99vdQ=")</f>
        <v>#REF!</v>
      </c>
      <c r="HF34" t="e">
        <f>AND(TOC!#REF!,"AAAAAH99vdU=")</f>
        <v>#REF!</v>
      </c>
      <c r="HG34" t="e">
        <f>AND(TOC!#REF!,"AAAAAH99vdY=")</f>
        <v>#REF!</v>
      </c>
      <c r="HH34" t="e">
        <f>AND(TOC!#REF!,"AAAAAH99vdc=")</f>
        <v>#REF!</v>
      </c>
      <c r="HI34" t="e">
        <f>AND(TOC!#REF!,"AAAAAH99vdg=")</f>
        <v>#REF!</v>
      </c>
      <c r="HJ34" t="e">
        <f>AND(TOC!B26,"AAAAAH99vdk=")</f>
        <v>#VALUE!</v>
      </c>
      <c r="HK34" t="e">
        <f>AND(TOC!#REF!,"AAAAAH99vdo=")</f>
        <v>#REF!</v>
      </c>
      <c r="HL34" t="e">
        <f>AND(TOC!#REF!,"AAAAAH99vds=")</f>
        <v>#REF!</v>
      </c>
      <c r="HM34" t="e">
        <f>AND(TOC!#REF!,"AAAAAH99vdw=")</f>
        <v>#REF!</v>
      </c>
      <c r="HN34" t="e">
        <f>AND(TOC!#REF!,"AAAAAH99vd0=")</f>
        <v>#REF!</v>
      </c>
      <c r="HO34" t="e">
        <f>AND(TOC!#REF!,"AAAAAH99vd4=")</f>
        <v>#REF!</v>
      </c>
      <c r="HP34" t="e">
        <f>AND(TOC!#REF!,"AAAAAH99vd8=")</f>
        <v>#REF!</v>
      </c>
      <c r="HQ34" t="e">
        <f>AND(TOC!#REF!,"AAAAAH99veA=")</f>
        <v>#REF!</v>
      </c>
      <c r="HR34" t="e">
        <f>AND(TOC!#REF!,"AAAAAH99veE=")</f>
        <v>#REF!</v>
      </c>
      <c r="HS34" t="e">
        <f>AND(TOC!#REF!,"AAAAAH99veI=")</f>
        <v>#REF!</v>
      </c>
      <c r="HT34" t="e">
        <f>AND(TOC!#REF!,"AAAAAH99veM=")</f>
        <v>#REF!</v>
      </c>
      <c r="HU34" t="e">
        <f>AND(TOC!#REF!,"AAAAAH99veQ=")</f>
        <v>#REF!</v>
      </c>
      <c r="HV34" t="e">
        <f>AND(TOC!#REF!,"AAAAAH99veU=")</f>
        <v>#REF!</v>
      </c>
      <c r="HW34" t="e">
        <f>AND(TOC!#REF!,"AAAAAH99veY=")</f>
        <v>#REF!</v>
      </c>
      <c r="HX34" t="e">
        <f>AND(TOC!#REF!,"AAAAAH99vec=")</f>
        <v>#REF!</v>
      </c>
      <c r="HY34" t="e">
        <f>AND(TOC!#REF!,"AAAAAH99veg=")</f>
        <v>#REF!</v>
      </c>
      <c r="HZ34" t="e">
        <f>AND(TOC!C31,"AAAAAH99vek=")</f>
        <v>#VALUE!</v>
      </c>
      <c r="IA34" t="e">
        <f>AND(TOC!D31,"AAAAAH99veo=")</f>
        <v>#VALUE!</v>
      </c>
      <c r="IB34" t="e">
        <f>AND(TOC!E31,"AAAAAH99ves=")</f>
        <v>#VALUE!</v>
      </c>
      <c r="IC34" t="e">
        <f>AND(TOC!F31,"AAAAAH99vew=")</f>
        <v>#VALUE!</v>
      </c>
      <c r="ID34" t="e">
        <f>AND(TOC!G31,"AAAAAH99ve0=")</f>
        <v>#VALUE!</v>
      </c>
      <c r="IE34" t="e">
        <f>AND(TOC!H31,"AAAAAH99ve4=")</f>
        <v>#VALUE!</v>
      </c>
      <c r="IF34" t="e">
        <f>AND(TOC!I31,"AAAAAH99ve8=")</f>
        <v>#VALUE!</v>
      </c>
      <c r="IG34" t="e">
        <f>AND(TOC!J31,"AAAAAH99vfA=")</f>
        <v>#VALUE!</v>
      </c>
      <c r="IH34" t="e">
        <f>AND(TOC!K31,"AAAAAH99vfE=")</f>
        <v>#VALUE!</v>
      </c>
      <c r="II34" t="e">
        <f>AND(TOC!L31,"AAAAAH99vfI=")</f>
        <v>#VALUE!</v>
      </c>
      <c r="IJ34" t="e">
        <f>AND(TOC!M31,"AAAAAH99vfM=")</f>
        <v>#VALUE!</v>
      </c>
      <c r="IK34" t="e">
        <f>AND(TOC!N31,"AAAAAH99vfQ=")</f>
        <v>#VALUE!</v>
      </c>
      <c r="IL34" t="e">
        <f>AND(TOC!O31,"AAAAAH99vfU=")</f>
        <v>#VALUE!</v>
      </c>
      <c r="IM34" t="e">
        <f>AND(TOC!P31,"AAAAAH99vfY=")</f>
        <v>#VALUE!</v>
      </c>
      <c r="IN34" t="e">
        <f>IF(TOC!#REF!,"AAAAAH99vfc=",0)</f>
        <v>#REF!</v>
      </c>
      <c r="IO34" t="e">
        <f>AND(TOC!#REF!,"AAAAAH99vfg=")</f>
        <v>#REF!</v>
      </c>
      <c r="IP34" t="e">
        <f>AND(TOC!#REF!,"AAAAAH99vfk=")</f>
        <v>#REF!</v>
      </c>
      <c r="IQ34" t="e">
        <f>AND(TOC!#REF!,"AAAAAH99vfo=")</f>
        <v>#REF!</v>
      </c>
      <c r="IR34" t="e">
        <f>AND(TOC!#REF!,"AAAAAH99vfs=")</f>
        <v>#REF!</v>
      </c>
      <c r="IS34" t="e">
        <f>AND(TOC!#REF!,"AAAAAH99vfw=")</f>
        <v>#REF!</v>
      </c>
      <c r="IT34" t="e">
        <f>AND(TOC!#REF!,"AAAAAH99vf0=")</f>
        <v>#REF!</v>
      </c>
      <c r="IU34" t="e">
        <f>AND(TOC!B27,"AAAAAH99vf4=")</f>
        <v>#VALUE!</v>
      </c>
      <c r="IV34" t="e">
        <f>AND(TOC!#REF!,"AAAAAH99vf8=")</f>
        <v>#REF!</v>
      </c>
    </row>
    <row r="35" spans="1:256" x14ac:dyDescent="0.2">
      <c r="A35" t="e">
        <f>AND(TOC!#REF!,"AAAAAF+b8wA=")</f>
        <v>#REF!</v>
      </c>
      <c r="B35" t="e">
        <f>AND(TOC!#REF!,"AAAAAF+b8wE=")</f>
        <v>#REF!</v>
      </c>
      <c r="C35" t="e">
        <f>AND(TOC!#REF!,"AAAAAF+b8wI=")</f>
        <v>#REF!</v>
      </c>
      <c r="D35" t="e">
        <f>AND(TOC!#REF!,"AAAAAF+b8wM=")</f>
        <v>#REF!</v>
      </c>
      <c r="E35" t="e">
        <f>AND(TOC!#REF!,"AAAAAF+b8wQ=")</f>
        <v>#REF!</v>
      </c>
      <c r="F35" t="e">
        <f>AND(TOC!#REF!,"AAAAAF+b8wU=")</f>
        <v>#REF!</v>
      </c>
      <c r="G35" t="e">
        <f>AND(TOC!#REF!,"AAAAAF+b8wY=")</f>
        <v>#REF!</v>
      </c>
      <c r="H35" t="e">
        <f>AND(TOC!#REF!,"AAAAAF+b8wc=")</f>
        <v>#REF!</v>
      </c>
      <c r="I35" t="e">
        <f>AND(TOC!#REF!,"AAAAAF+b8wg=")</f>
        <v>#REF!</v>
      </c>
      <c r="J35" t="e">
        <f>AND(TOC!#REF!,"AAAAAF+b8wk=")</f>
        <v>#REF!</v>
      </c>
      <c r="K35" t="e">
        <f>AND(TOC!#REF!,"AAAAAF+b8wo=")</f>
        <v>#REF!</v>
      </c>
      <c r="L35" t="e">
        <f>AND(TOC!#REF!,"AAAAAF+b8ws=")</f>
        <v>#REF!</v>
      </c>
      <c r="M35" t="e">
        <f>AND(TOC!#REF!,"AAAAAF+b8ww=")</f>
        <v>#REF!</v>
      </c>
      <c r="N35" t="e">
        <f>AND(TOC!#REF!,"AAAAAF+b8w0=")</f>
        <v>#REF!</v>
      </c>
      <c r="O35" t="e">
        <f>AND(TOC!#REF!,"AAAAAF+b8w4=")</f>
        <v>#REF!</v>
      </c>
      <c r="P35" t="e">
        <f>AND(TOC!#REF!,"AAAAAF+b8w8=")</f>
        <v>#REF!</v>
      </c>
      <c r="Q35" t="e">
        <f>AND(TOC!#REF!,"AAAAAF+b8xA=")</f>
        <v>#REF!</v>
      </c>
      <c r="R35" t="e">
        <f>AND(TOC!#REF!,"AAAAAF+b8xE=")</f>
        <v>#REF!</v>
      </c>
      <c r="S35" t="e">
        <f>AND(TOC!#REF!,"AAAAAF+b8xI=")</f>
        <v>#REF!</v>
      </c>
      <c r="T35" t="e">
        <f>AND(TOC!#REF!,"AAAAAF+b8xM=")</f>
        <v>#REF!</v>
      </c>
      <c r="U35" t="e">
        <f>AND(TOC!#REF!,"AAAAAF+b8xQ=")</f>
        <v>#REF!</v>
      </c>
      <c r="V35" t="e">
        <f>AND(TOC!#REF!,"AAAAAF+b8xU=")</f>
        <v>#REF!</v>
      </c>
      <c r="W35" t="e">
        <f>AND(TOC!#REF!,"AAAAAF+b8xY=")</f>
        <v>#REF!</v>
      </c>
      <c r="X35" t="e">
        <f>AND(TOC!#REF!,"AAAAAF+b8xc=")</f>
        <v>#REF!</v>
      </c>
      <c r="Y35" t="e">
        <f>AND(TOC!#REF!,"AAAAAF+b8xg=")</f>
        <v>#REF!</v>
      </c>
      <c r="Z35" t="e">
        <f>AND(TOC!#REF!,"AAAAAF+b8xk=")</f>
        <v>#REF!</v>
      </c>
      <c r="AA35" t="e">
        <f>AND(TOC!#REF!,"AAAAAF+b8xo=")</f>
        <v>#REF!</v>
      </c>
      <c r="AB35" t="e">
        <f>AND(TOC!#REF!,"AAAAAF+b8xs=")</f>
        <v>#REF!</v>
      </c>
      <c r="AC35">
        <f>IF(TOC!32:32,"AAAAAF+b8xw=",0)</f>
        <v>0</v>
      </c>
      <c r="AD35" t="e">
        <f>AND(TOC!#REF!,"AAAAAF+b8x0=")</f>
        <v>#REF!</v>
      </c>
      <c r="AE35" t="e">
        <f>AND(TOC!#REF!,"AAAAAF+b8x4=")</f>
        <v>#REF!</v>
      </c>
      <c r="AF35" t="e">
        <f>AND(TOC!#REF!,"AAAAAF+b8x8=")</f>
        <v>#REF!</v>
      </c>
      <c r="AG35" t="e">
        <f>AND(TOC!#REF!,"AAAAAF+b8yA=")</f>
        <v>#REF!</v>
      </c>
      <c r="AH35" t="e">
        <f>AND(TOC!#REF!,"AAAAAF+b8yE=")</f>
        <v>#REF!</v>
      </c>
      <c r="AI35" t="e">
        <f>AND(TOC!#REF!,"AAAAAF+b8yI=")</f>
        <v>#REF!</v>
      </c>
      <c r="AJ35" t="e">
        <f>AND(TOC!B28,"AAAAAF+b8yM=")</f>
        <v>#VALUE!</v>
      </c>
      <c r="AK35" t="e">
        <f>AND(TOC!#REF!,"AAAAAF+b8yQ=")</f>
        <v>#REF!</v>
      </c>
      <c r="AL35" t="e">
        <f>AND(TOC!#REF!,"AAAAAF+b8yU=")</f>
        <v>#REF!</v>
      </c>
      <c r="AM35" t="e">
        <f>AND(TOC!#REF!,"AAAAAF+b8yY=")</f>
        <v>#REF!</v>
      </c>
      <c r="AN35" t="e">
        <f>AND(TOC!#REF!,"AAAAAF+b8yc=")</f>
        <v>#REF!</v>
      </c>
      <c r="AO35" t="e">
        <f>AND(TOC!#REF!,"AAAAAF+b8yg=")</f>
        <v>#REF!</v>
      </c>
      <c r="AP35" t="e">
        <f>AND(TOC!#REF!,"AAAAAF+b8yk=")</f>
        <v>#REF!</v>
      </c>
      <c r="AQ35" t="e">
        <f>AND(TOC!#REF!,"AAAAAF+b8yo=")</f>
        <v>#REF!</v>
      </c>
      <c r="AR35" t="e">
        <f>AND(TOC!#REF!,"AAAAAF+b8ys=")</f>
        <v>#REF!</v>
      </c>
      <c r="AS35" t="e">
        <f>AND(TOC!#REF!,"AAAAAF+b8yw=")</f>
        <v>#REF!</v>
      </c>
      <c r="AT35" t="e">
        <f>AND(TOC!#REF!,"AAAAAF+b8y0=")</f>
        <v>#REF!</v>
      </c>
      <c r="AU35" t="e">
        <f>AND(TOC!#REF!,"AAAAAF+b8y4=")</f>
        <v>#REF!</v>
      </c>
      <c r="AV35" t="e">
        <f>AND(TOC!#REF!,"AAAAAF+b8y8=")</f>
        <v>#REF!</v>
      </c>
      <c r="AW35" t="e">
        <f>AND(TOC!#REF!,"AAAAAF+b8zA=")</f>
        <v>#REF!</v>
      </c>
      <c r="AX35" t="e">
        <f>AND(TOC!#REF!,"AAAAAF+b8zE=")</f>
        <v>#REF!</v>
      </c>
      <c r="AY35" t="e">
        <f>AND(TOC!#REF!,"AAAAAF+b8zI=")</f>
        <v>#REF!</v>
      </c>
      <c r="AZ35" t="e">
        <f>AND(TOC!C32,"AAAAAF+b8zM=")</f>
        <v>#VALUE!</v>
      </c>
      <c r="BA35" t="e">
        <f>AND(TOC!D32,"AAAAAF+b8zQ=")</f>
        <v>#VALUE!</v>
      </c>
      <c r="BB35" t="e">
        <f>AND(TOC!E32,"AAAAAF+b8zU=")</f>
        <v>#VALUE!</v>
      </c>
      <c r="BC35" t="e">
        <f>AND(TOC!F32,"AAAAAF+b8zY=")</f>
        <v>#VALUE!</v>
      </c>
      <c r="BD35" t="e">
        <f>AND(TOC!G32,"AAAAAF+b8zc=")</f>
        <v>#VALUE!</v>
      </c>
      <c r="BE35" t="e">
        <f>AND(TOC!H32,"AAAAAF+b8zg=")</f>
        <v>#VALUE!</v>
      </c>
      <c r="BF35" t="e">
        <f>AND(TOC!I32,"AAAAAF+b8zk=")</f>
        <v>#VALUE!</v>
      </c>
      <c r="BG35" t="e">
        <f>AND(TOC!J32,"AAAAAF+b8zo=")</f>
        <v>#VALUE!</v>
      </c>
      <c r="BH35" t="e">
        <f>AND(TOC!K32,"AAAAAF+b8zs=")</f>
        <v>#VALUE!</v>
      </c>
      <c r="BI35" t="e">
        <f>AND(TOC!L32,"AAAAAF+b8zw=")</f>
        <v>#VALUE!</v>
      </c>
      <c r="BJ35" t="e">
        <f>AND(TOC!M32,"AAAAAF+b8z0=")</f>
        <v>#VALUE!</v>
      </c>
      <c r="BK35" t="e">
        <f>AND(TOC!N32,"AAAAAF+b8z4=")</f>
        <v>#VALUE!</v>
      </c>
      <c r="BL35" t="e">
        <f>AND(TOC!O32,"AAAAAF+b8z8=")</f>
        <v>#VALUE!</v>
      </c>
      <c r="BM35" t="e">
        <f>AND(TOC!P32,"AAAAAF+b80A=")</f>
        <v>#VALUE!</v>
      </c>
      <c r="BN35">
        <f>IF(TOC!33:33,"AAAAAF+b80E=",0)</f>
        <v>0</v>
      </c>
      <c r="BO35" t="e">
        <f>AND(TOC!#REF!,"AAAAAF+b80I=")</f>
        <v>#REF!</v>
      </c>
      <c r="BP35" t="e">
        <f>AND(TOC!#REF!,"AAAAAF+b80M=")</f>
        <v>#REF!</v>
      </c>
      <c r="BQ35" t="e">
        <f>AND(TOC!#REF!,"AAAAAF+b80Q=")</f>
        <v>#REF!</v>
      </c>
      <c r="BR35" t="e">
        <f>AND(TOC!#REF!,"AAAAAF+b80U=")</f>
        <v>#REF!</v>
      </c>
      <c r="BS35" t="e">
        <f>AND(TOC!#REF!,"AAAAAF+b80Y=")</f>
        <v>#REF!</v>
      </c>
      <c r="BT35" t="e">
        <f>AND(TOC!#REF!,"AAAAAF+b80c=")</f>
        <v>#REF!</v>
      </c>
      <c r="BU35" t="e">
        <f>AND(TOC!B29,"AAAAAF+b80g=")</f>
        <v>#VALUE!</v>
      </c>
      <c r="BV35" t="e">
        <f>AND(TOC!#REF!,"AAAAAF+b80k=")</f>
        <v>#REF!</v>
      </c>
      <c r="BW35" t="e">
        <f>AND(TOC!#REF!,"AAAAAF+b80o=")</f>
        <v>#REF!</v>
      </c>
      <c r="BX35" t="e">
        <f>AND(TOC!#REF!,"AAAAAF+b80s=")</f>
        <v>#REF!</v>
      </c>
      <c r="BY35" t="e">
        <f>AND(TOC!#REF!,"AAAAAF+b80w=")</f>
        <v>#REF!</v>
      </c>
      <c r="BZ35" t="e">
        <f>AND(TOC!#REF!,"AAAAAF+b800=")</f>
        <v>#REF!</v>
      </c>
      <c r="CA35" t="e">
        <f>AND(TOC!#REF!,"AAAAAF+b804=")</f>
        <v>#REF!</v>
      </c>
      <c r="CB35" t="e">
        <f>AND(TOC!#REF!,"AAAAAF+b808=")</f>
        <v>#REF!</v>
      </c>
      <c r="CC35" t="e">
        <f>AND(TOC!#REF!,"AAAAAF+b81A=")</f>
        <v>#REF!</v>
      </c>
      <c r="CD35" t="e">
        <f>AND(TOC!#REF!,"AAAAAF+b81E=")</f>
        <v>#REF!</v>
      </c>
      <c r="CE35" t="e">
        <f>AND(TOC!#REF!,"AAAAAF+b81I=")</f>
        <v>#REF!</v>
      </c>
      <c r="CF35" t="e">
        <f>AND(TOC!#REF!,"AAAAAF+b81M=")</f>
        <v>#REF!</v>
      </c>
      <c r="CG35" t="e">
        <f>AND(TOC!#REF!,"AAAAAF+b81Q=")</f>
        <v>#REF!</v>
      </c>
      <c r="CH35" t="e">
        <f>AND(TOC!#REF!,"AAAAAF+b81U=")</f>
        <v>#REF!</v>
      </c>
      <c r="CI35" t="e">
        <f>AND(TOC!#REF!,"AAAAAF+b81Y=")</f>
        <v>#REF!</v>
      </c>
      <c r="CJ35" t="e">
        <f>AND(TOC!#REF!,"AAAAAF+b81c=")</f>
        <v>#REF!</v>
      </c>
      <c r="CK35" t="e">
        <f>AND(TOC!C33,"AAAAAF+b81g=")</f>
        <v>#VALUE!</v>
      </c>
      <c r="CL35" t="e">
        <f>AND(TOC!D33,"AAAAAF+b81k=")</f>
        <v>#VALUE!</v>
      </c>
      <c r="CM35" t="e">
        <f>AND(TOC!E33,"AAAAAF+b81o=")</f>
        <v>#VALUE!</v>
      </c>
      <c r="CN35" t="e">
        <f>AND(TOC!F33,"AAAAAF+b81s=")</f>
        <v>#VALUE!</v>
      </c>
      <c r="CO35" t="e">
        <f>AND(TOC!G33,"AAAAAF+b81w=")</f>
        <v>#VALUE!</v>
      </c>
      <c r="CP35" t="e">
        <f>AND(TOC!H33,"AAAAAF+b810=")</f>
        <v>#VALUE!</v>
      </c>
      <c r="CQ35" t="e">
        <f>AND(TOC!I33,"AAAAAF+b814=")</f>
        <v>#VALUE!</v>
      </c>
      <c r="CR35" t="e">
        <f>AND(TOC!J33,"AAAAAF+b818=")</f>
        <v>#VALUE!</v>
      </c>
      <c r="CS35" t="e">
        <f>AND(TOC!K33,"AAAAAF+b82A=")</f>
        <v>#VALUE!</v>
      </c>
      <c r="CT35" t="e">
        <f>AND(TOC!L33,"AAAAAF+b82E=")</f>
        <v>#VALUE!</v>
      </c>
      <c r="CU35" t="e">
        <f>AND(TOC!M33,"AAAAAF+b82I=")</f>
        <v>#VALUE!</v>
      </c>
      <c r="CV35" t="e">
        <f>AND(TOC!N33,"AAAAAF+b82M=")</f>
        <v>#VALUE!</v>
      </c>
      <c r="CW35" t="e">
        <f>AND(TOC!O33,"AAAAAF+b82Q=")</f>
        <v>#VALUE!</v>
      </c>
      <c r="CX35" t="e">
        <f>AND(TOC!P33,"AAAAAF+b82U=")</f>
        <v>#VALUE!</v>
      </c>
      <c r="CY35" t="e">
        <f>IF(TOC!#REF!,"AAAAAF+b82Y=",0)</f>
        <v>#REF!</v>
      </c>
      <c r="CZ35" t="e">
        <f>AND(TOC!#REF!,"AAAAAF+b82c=")</f>
        <v>#REF!</v>
      </c>
      <c r="DA35" t="e">
        <f>AND(TOC!#REF!,"AAAAAF+b82g=")</f>
        <v>#REF!</v>
      </c>
      <c r="DB35" t="e">
        <f>AND(TOC!#REF!,"AAAAAF+b82k=")</f>
        <v>#REF!</v>
      </c>
      <c r="DC35" t="e">
        <f>AND(TOC!#REF!,"AAAAAF+b82o=")</f>
        <v>#REF!</v>
      </c>
      <c r="DD35" t="e">
        <f>AND(TOC!#REF!,"AAAAAF+b82s=")</f>
        <v>#REF!</v>
      </c>
      <c r="DE35" t="e">
        <f>AND(TOC!#REF!,"AAAAAF+b82w=")</f>
        <v>#REF!</v>
      </c>
      <c r="DF35" t="e">
        <f>AND(TOC!B31,"AAAAAF+b820=")</f>
        <v>#VALUE!</v>
      </c>
      <c r="DG35" t="e">
        <f>AND(TOC!#REF!,"AAAAAF+b824=")</f>
        <v>#REF!</v>
      </c>
      <c r="DH35" t="e">
        <f>AND(TOC!#REF!,"AAAAAF+b828=")</f>
        <v>#REF!</v>
      </c>
      <c r="DI35" t="e">
        <f>AND(TOC!#REF!,"AAAAAF+b83A=")</f>
        <v>#REF!</v>
      </c>
      <c r="DJ35" t="e">
        <f>AND(TOC!#REF!,"AAAAAF+b83E=")</f>
        <v>#REF!</v>
      </c>
      <c r="DK35" t="e">
        <f>AND(TOC!#REF!,"AAAAAF+b83I=")</f>
        <v>#REF!</v>
      </c>
      <c r="DL35" t="e">
        <f>AND(TOC!#REF!,"AAAAAF+b83M=")</f>
        <v>#REF!</v>
      </c>
      <c r="DM35" t="e">
        <f>AND(TOC!#REF!,"AAAAAF+b83Q=")</f>
        <v>#REF!</v>
      </c>
      <c r="DN35" t="e">
        <f>AND(TOC!#REF!,"AAAAAF+b83U=")</f>
        <v>#REF!</v>
      </c>
      <c r="DO35" t="e">
        <f>AND(TOC!#REF!,"AAAAAF+b83Y=")</f>
        <v>#REF!</v>
      </c>
      <c r="DP35" t="e">
        <f>AND(TOC!#REF!,"AAAAAF+b83c=")</f>
        <v>#REF!</v>
      </c>
      <c r="DQ35" t="e">
        <f>AND(TOC!#REF!,"AAAAAF+b83g=")</f>
        <v>#REF!</v>
      </c>
      <c r="DR35" t="e">
        <f>AND(TOC!#REF!,"AAAAAF+b83k=")</f>
        <v>#REF!</v>
      </c>
      <c r="DS35" t="e">
        <f>AND(TOC!#REF!,"AAAAAF+b83o=")</f>
        <v>#REF!</v>
      </c>
      <c r="DT35" t="e">
        <f>AND(TOC!#REF!,"AAAAAF+b83s=")</f>
        <v>#REF!</v>
      </c>
      <c r="DU35" t="e">
        <f>AND(TOC!#REF!,"AAAAAF+b83w=")</f>
        <v>#REF!</v>
      </c>
      <c r="DV35" t="e">
        <f>AND(TOC!#REF!,"AAAAAF+b830=")</f>
        <v>#REF!</v>
      </c>
      <c r="DW35" t="e">
        <f>AND(TOC!#REF!,"AAAAAF+b834=")</f>
        <v>#REF!</v>
      </c>
      <c r="DX35" t="e">
        <f>AND(TOC!#REF!,"AAAAAF+b838=")</f>
        <v>#REF!</v>
      </c>
      <c r="DY35" t="e">
        <f>AND(TOC!#REF!,"AAAAAF+b84A=")</f>
        <v>#REF!</v>
      </c>
      <c r="DZ35" t="e">
        <f>AND(TOC!#REF!,"AAAAAF+b84E=")</f>
        <v>#REF!</v>
      </c>
      <c r="EA35" t="e">
        <f>AND(TOC!#REF!,"AAAAAF+b84I=")</f>
        <v>#REF!</v>
      </c>
      <c r="EB35" t="e">
        <f>AND(TOC!#REF!,"AAAAAF+b84M=")</f>
        <v>#REF!</v>
      </c>
      <c r="EC35" t="e">
        <f>AND(TOC!#REF!,"AAAAAF+b84Q=")</f>
        <v>#REF!</v>
      </c>
      <c r="ED35" t="e">
        <f>AND(TOC!#REF!,"AAAAAF+b84U=")</f>
        <v>#REF!</v>
      </c>
      <c r="EE35" t="e">
        <f>AND(TOC!#REF!,"AAAAAF+b84Y=")</f>
        <v>#REF!</v>
      </c>
      <c r="EF35" t="e">
        <f>AND(TOC!#REF!,"AAAAAF+b84c=")</f>
        <v>#REF!</v>
      </c>
      <c r="EG35" t="e">
        <f>AND(TOC!#REF!,"AAAAAF+b84g=")</f>
        <v>#REF!</v>
      </c>
      <c r="EH35" t="e">
        <f>AND(TOC!#REF!,"AAAAAF+b84k=")</f>
        <v>#REF!</v>
      </c>
      <c r="EI35" t="e">
        <f>AND(TOC!#REF!,"AAAAAF+b84o=")</f>
        <v>#REF!</v>
      </c>
      <c r="EJ35">
        <f>IF(TOC!35:35,"AAAAAF+b84s=",0)</f>
        <v>0</v>
      </c>
      <c r="EK35" t="e">
        <f>AND(TOC!#REF!,"AAAAAF+b84w=")</f>
        <v>#REF!</v>
      </c>
      <c r="EL35" t="e">
        <f>AND(TOC!#REF!,"AAAAAF+b840=")</f>
        <v>#REF!</v>
      </c>
      <c r="EM35" t="e">
        <f>AND(TOC!#REF!,"AAAAAF+b844=")</f>
        <v>#REF!</v>
      </c>
      <c r="EN35" t="e">
        <f>AND(TOC!#REF!,"AAAAAF+b848=")</f>
        <v>#REF!</v>
      </c>
      <c r="EO35" t="e">
        <f>AND(TOC!#REF!,"AAAAAF+b85A=")</f>
        <v>#REF!</v>
      </c>
      <c r="EP35" t="e">
        <f>AND(TOC!#REF!,"AAAAAF+b85E=")</f>
        <v>#REF!</v>
      </c>
      <c r="EQ35" t="e">
        <f>AND(TOC!#REF!,"AAAAAF+b85I=")</f>
        <v>#REF!</v>
      </c>
      <c r="ER35" t="e">
        <f>AND(TOC!#REF!,"AAAAAF+b85M=")</f>
        <v>#REF!</v>
      </c>
      <c r="ES35" t="e">
        <f>AND(TOC!#REF!,"AAAAAF+b85Q=")</f>
        <v>#REF!</v>
      </c>
      <c r="ET35" t="e">
        <f>AND(TOC!#REF!,"AAAAAF+b85U=")</f>
        <v>#REF!</v>
      </c>
      <c r="EU35" t="e">
        <f>AND(TOC!#REF!,"AAAAAF+b85Y=")</f>
        <v>#REF!</v>
      </c>
      <c r="EV35" t="e">
        <f>AND(TOC!#REF!,"AAAAAF+b85c=")</f>
        <v>#REF!</v>
      </c>
      <c r="EW35" t="e">
        <f>AND(TOC!#REF!,"AAAAAF+b85g=")</f>
        <v>#REF!</v>
      </c>
      <c r="EX35" t="e">
        <f>AND(TOC!#REF!,"AAAAAF+b85k=")</f>
        <v>#REF!</v>
      </c>
      <c r="EY35" t="e">
        <f>AND(TOC!#REF!,"AAAAAF+b85o=")</f>
        <v>#REF!</v>
      </c>
      <c r="EZ35" t="e">
        <f>AND(TOC!#REF!,"AAAAAF+b85s=")</f>
        <v>#REF!</v>
      </c>
      <c r="FA35" t="e">
        <f>AND(TOC!#REF!,"AAAAAF+b85w=")</f>
        <v>#REF!</v>
      </c>
      <c r="FB35" t="e">
        <f>AND(TOC!#REF!,"AAAAAF+b850=")</f>
        <v>#REF!</v>
      </c>
      <c r="FC35" t="e">
        <f>AND(TOC!#REF!,"AAAAAF+b854=")</f>
        <v>#REF!</v>
      </c>
      <c r="FD35" t="e">
        <f>AND(TOC!#REF!,"AAAAAF+b858=")</f>
        <v>#REF!</v>
      </c>
      <c r="FE35" t="e">
        <f>AND(TOC!#REF!,"AAAAAF+b86A=")</f>
        <v>#REF!</v>
      </c>
      <c r="FF35" t="e">
        <f>AND(TOC!#REF!,"AAAAAF+b86E=")</f>
        <v>#REF!</v>
      </c>
      <c r="FG35" t="e">
        <f>AND(TOC!C35,"AAAAAF+b86I=")</f>
        <v>#VALUE!</v>
      </c>
      <c r="FH35" t="e">
        <f>AND(TOC!D35,"AAAAAF+b86M=")</f>
        <v>#VALUE!</v>
      </c>
      <c r="FI35" t="e">
        <f>AND(TOC!E35,"AAAAAF+b86Q=")</f>
        <v>#VALUE!</v>
      </c>
      <c r="FJ35" t="e">
        <f>AND(TOC!F35,"AAAAAF+b86U=")</f>
        <v>#VALUE!</v>
      </c>
      <c r="FK35" t="e">
        <f>AND(TOC!G35,"AAAAAF+b86Y=")</f>
        <v>#VALUE!</v>
      </c>
      <c r="FL35" t="e">
        <f>AND(TOC!H35,"AAAAAF+b86c=")</f>
        <v>#VALUE!</v>
      </c>
      <c r="FM35" t="e">
        <f>AND(TOC!I35,"AAAAAF+b86g=")</f>
        <v>#VALUE!</v>
      </c>
      <c r="FN35" t="e">
        <f>AND(TOC!J35,"AAAAAF+b86k=")</f>
        <v>#VALUE!</v>
      </c>
      <c r="FO35" t="e">
        <f>AND(TOC!K35,"AAAAAF+b86o=")</f>
        <v>#VALUE!</v>
      </c>
      <c r="FP35" t="e">
        <f>AND(TOC!L35,"AAAAAF+b86s=")</f>
        <v>#VALUE!</v>
      </c>
      <c r="FQ35" t="e">
        <f>AND(TOC!M35,"AAAAAF+b86w=")</f>
        <v>#VALUE!</v>
      </c>
      <c r="FR35" t="e">
        <f>AND(TOC!N35,"AAAAAF+b860=")</f>
        <v>#VALUE!</v>
      </c>
      <c r="FS35" t="e">
        <f>AND(TOC!O35,"AAAAAF+b864=")</f>
        <v>#VALUE!</v>
      </c>
      <c r="FT35" t="e">
        <f>AND(TOC!P35,"AAAAAF+b868=")</f>
        <v>#VALUE!</v>
      </c>
      <c r="FU35">
        <f>IF(TOC!36:36,"AAAAAF+b87A=",0)</f>
        <v>0</v>
      </c>
      <c r="FV35" t="e">
        <f>AND(TOC!#REF!,"AAAAAF+b87E=")</f>
        <v>#REF!</v>
      </c>
      <c r="FW35" t="e">
        <f>AND(TOC!#REF!,"AAAAAF+b87I=")</f>
        <v>#REF!</v>
      </c>
      <c r="FX35" t="e">
        <f>AND(TOC!#REF!,"AAAAAF+b87M=")</f>
        <v>#REF!</v>
      </c>
      <c r="FY35" t="e">
        <f>AND(TOC!#REF!,"AAAAAF+b87Q=")</f>
        <v>#REF!</v>
      </c>
      <c r="FZ35" t="e">
        <f>AND(TOC!#REF!,"AAAAAF+b87U=")</f>
        <v>#REF!</v>
      </c>
      <c r="GA35" t="e">
        <f>AND(TOC!#REF!,"AAAAAF+b87Y=")</f>
        <v>#REF!</v>
      </c>
      <c r="GB35" t="e">
        <f>AND(TOC!B32,"AAAAAF+b87c=")</f>
        <v>#VALUE!</v>
      </c>
      <c r="GC35" t="e">
        <f>AND(TOC!#REF!,"AAAAAF+b87g=")</f>
        <v>#REF!</v>
      </c>
      <c r="GD35" t="e">
        <f>AND(TOC!#REF!,"AAAAAF+b87k=")</f>
        <v>#REF!</v>
      </c>
      <c r="GE35" t="e">
        <f>AND(TOC!#REF!,"AAAAAF+b87o=")</f>
        <v>#REF!</v>
      </c>
      <c r="GF35" t="e">
        <f>AND(TOC!#REF!,"AAAAAF+b87s=")</f>
        <v>#REF!</v>
      </c>
      <c r="GG35" t="e">
        <f>AND(TOC!#REF!,"AAAAAF+b87w=")</f>
        <v>#REF!</v>
      </c>
      <c r="GH35" t="e">
        <f>AND(TOC!#REF!,"AAAAAF+b870=")</f>
        <v>#REF!</v>
      </c>
      <c r="GI35" t="e">
        <f>AND(TOC!#REF!,"AAAAAF+b874=")</f>
        <v>#REF!</v>
      </c>
      <c r="GJ35" t="e">
        <f>AND(TOC!#REF!,"AAAAAF+b878=")</f>
        <v>#REF!</v>
      </c>
      <c r="GK35" t="e">
        <f>AND(TOC!#REF!,"AAAAAF+b88A=")</f>
        <v>#REF!</v>
      </c>
      <c r="GL35" t="e">
        <f>AND(TOC!#REF!,"AAAAAF+b88E=")</f>
        <v>#REF!</v>
      </c>
      <c r="GM35" t="e">
        <f>AND(TOC!#REF!,"AAAAAF+b88I=")</f>
        <v>#REF!</v>
      </c>
      <c r="GN35" t="e">
        <f>AND(TOC!#REF!,"AAAAAF+b88M=")</f>
        <v>#REF!</v>
      </c>
      <c r="GO35" t="e">
        <f>AND(TOC!#REF!,"AAAAAF+b88Q=")</f>
        <v>#REF!</v>
      </c>
      <c r="GP35" t="e">
        <f>AND(TOC!#REF!,"AAAAAF+b88U=")</f>
        <v>#REF!</v>
      </c>
      <c r="GQ35" t="e">
        <f>AND(TOC!#REF!,"AAAAAF+b88Y=")</f>
        <v>#REF!</v>
      </c>
      <c r="GR35" t="e">
        <f>AND(TOC!C36,"AAAAAF+b88c=")</f>
        <v>#VALUE!</v>
      </c>
      <c r="GS35" t="e">
        <f>AND(TOC!D36,"AAAAAF+b88g=")</f>
        <v>#VALUE!</v>
      </c>
      <c r="GT35" t="e">
        <f>AND(TOC!E36,"AAAAAF+b88k=")</f>
        <v>#VALUE!</v>
      </c>
      <c r="GU35" t="e">
        <f>AND(TOC!F36,"AAAAAF+b88o=")</f>
        <v>#VALUE!</v>
      </c>
      <c r="GV35" t="e">
        <f>AND(TOC!G36,"AAAAAF+b88s=")</f>
        <v>#VALUE!</v>
      </c>
      <c r="GW35" t="e">
        <f>AND(TOC!H36,"AAAAAF+b88w=")</f>
        <v>#VALUE!</v>
      </c>
      <c r="GX35" t="e">
        <f>AND(TOC!I36,"AAAAAF+b880=")</f>
        <v>#VALUE!</v>
      </c>
      <c r="GY35" t="e">
        <f>AND(TOC!J36,"AAAAAF+b884=")</f>
        <v>#VALUE!</v>
      </c>
      <c r="GZ35" t="e">
        <f>AND(TOC!K36,"AAAAAF+b888=")</f>
        <v>#VALUE!</v>
      </c>
      <c r="HA35" t="e">
        <f>AND(TOC!L36,"AAAAAF+b89A=")</f>
        <v>#VALUE!</v>
      </c>
      <c r="HB35" t="e">
        <f>AND(TOC!M36,"AAAAAF+b89E=")</f>
        <v>#VALUE!</v>
      </c>
      <c r="HC35" t="e">
        <f>AND(TOC!N36,"AAAAAF+b89I=")</f>
        <v>#VALUE!</v>
      </c>
      <c r="HD35" t="e">
        <f>AND(TOC!O36,"AAAAAF+b89M=")</f>
        <v>#VALUE!</v>
      </c>
      <c r="HE35" t="e">
        <f>AND(TOC!P36,"AAAAAF+b89Q=")</f>
        <v>#VALUE!</v>
      </c>
      <c r="HF35" t="e">
        <f>IF(TOC!A:A,"AAAAAF+b89U=",0)</f>
        <v>#VALUE!</v>
      </c>
      <c r="HG35" t="e">
        <f>IF(TOC!#REF!,"AAAAAF+b89Y=",0)</f>
        <v>#REF!</v>
      </c>
      <c r="HH35" t="e">
        <f>IF(TOC!#REF!,"AAAAAF+b89c=",0)</f>
        <v>#REF!</v>
      </c>
      <c r="HI35" t="e">
        <f>IF(TOC!#REF!,"AAAAAF+b89g=",0)</f>
        <v>#REF!</v>
      </c>
      <c r="HJ35" t="e">
        <f>IF(TOC!#REF!,"AAAAAF+b89k=",0)</f>
        <v>#REF!</v>
      </c>
      <c r="HK35" t="e">
        <f>IF(TOC!#REF!,"AAAAAF+b89o=",0)</f>
        <v>#REF!</v>
      </c>
      <c r="HL35">
        <f>IF(TOC!B:B,"AAAAAF+b89s=",0)</f>
        <v>0</v>
      </c>
      <c r="HM35" t="e">
        <f>IF(TOC!#REF!,"AAAAAF+b89w=",0)</f>
        <v>#REF!</v>
      </c>
      <c r="HN35" t="e">
        <f>IF(TOC!#REF!,"AAAAAF+b890=",0)</f>
        <v>#REF!</v>
      </c>
      <c r="HO35" t="e">
        <f>IF(TOC!#REF!,"AAAAAF+b894=",0)</f>
        <v>#REF!</v>
      </c>
      <c r="HP35" t="e">
        <f>IF(TOC!#REF!,"AAAAAF+b898=",0)</f>
        <v>#REF!</v>
      </c>
      <c r="HQ35" t="e">
        <f>IF(TOC!#REF!,"AAAAAF+b8+A=",0)</f>
        <v>#REF!</v>
      </c>
      <c r="HR35" t="e">
        <f>IF(TOC!#REF!,"AAAAAF+b8+E=",0)</f>
        <v>#REF!</v>
      </c>
      <c r="HS35" t="e">
        <f>IF(TOC!#REF!,"AAAAAF+b8+I=",0)</f>
        <v>#REF!</v>
      </c>
      <c r="HT35" t="e">
        <f>IF(TOC!#REF!,"AAAAAF+b8+M=",0)</f>
        <v>#REF!</v>
      </c>
      <c r="HU35" t="e">
        <f>IF(TOC!#REF!,"AAAAAF+b8+Q=",0)</f>
        <v>#REF!</v>
      </c>
      <c r="HV35" t="e">
        <f>IF(TOC!#REF!,"AAAAAF+b8+U=",0)</f>
        <v>#REF!</v>
      </c>
      <c r="HW35" t="e">
        <f>IF(TOC!#REF!,"AAAAAF+b8+Y=",0)</f>
        <v>#REF!</v>
      </c>
      <c r="HX35" t="e">
        <f>IF(TOC!#REF!,"AAAAAF+b8+c=",0)</f>
        <v>#REF!</v>
      </c>
      <c r="HY35" t="e">
        <f>IF(TOC!#REF!,"AAAAAF+b8+g=",0)</f>
        <v>#REF!</v>
      </c>
      <c r="HZ35" t="e">
        <f>IF(TOC!#REF!,"AAAAAF+b8+k=",0)</f>
        <v>#REF!</v>
      </c>
      <c r="IA35" t="e">
        <f>IF(TOC!#REF!,"AAAAAF+b8+o=",0)</f>
        <v>#REF!</v>
      </c>
      <c r="IB35">
        <f>IF(TOC!C:C,"AAAAAF+b8+s=",0)</f>
        <v>0</v>
      </c>
      <c r="IC35">
        <f>IF(TOC!D:D,"AAAAAF+b8+w=",0)</f>
        <v>0</v>
      </c>
      <c r="ID35">
        <f>IF(TOC!E:E,"AAAAAF+b8+0=",0)</f>
        <v>0</v>
      </c>
      <c r="IE35">
        <f>IF(TOC!F:F,"AAAAAF+b8+4=",0)</f>
        <v>0</v>
      </c>
      <c r="IF35">
        <f>IF(TOC!G:G,"AAAAAF+b8+8=",0)</f>
        <v>0</v>
      </c>
      <c r="IG35">
        <f>IF(TOC!H:H,"AAAAAF+b8/A=",0)</f>
        <v>0</v>
      </c>
      <c r="IH35">
        <f>IF(TOC!I:I,"AAAAAF+b8/E=",0)</f>
        <v>0</v>
      </c>
      <c r="II35">
        <f>IF(TOC!J:J,"AAAAAF+b8/I=",0)</f>
        <v>0</v>
      </c>
      <c r="IJ35">
        <f>IF(TOC!K:K,"AAAAAF+b8/M=",0)</f>
        <v>0</v>
      </c>
      <c r="IK35">
        <f>IF(TOC!L:L,"AAAAAF+b8/Q=",0)</f>
        <v>0</v>
      </c>
      <c r="IL35">
        <f>IF(TOC!M:M,"AAAAAF+b8/U=",0)</f>
        <v>0</v>
      </c>
      <c r="IM35">
        <f>IF(TOC!N:N,"AAAAAF+b8/Y=",0)</f>
        <v>0</v>
      </c>
      <c r="IN35">
        <f>IF(TOC!O:O,"AAAAAF+b8/c=",0)</f>
        <v>0</v>
      </c>
      <c r="IO35">
        <f>IF(TOC!P:P,"AAAAAF+b8/g=",0)</f>
        <v>0</v>
      </c>
      <c r="IP35">
        <f>IF('Show Info'!1:1,"AAAAAF+b8/k=",0)</f>
        <v>0</v>
      </c>
      <c r="IQ35" t="e">
        <f>AND('Show Info'!A1,"AAAAAF+b8/o=")</f>
        <v>#VALUE!</v>
      </c>
      <c r="IR35" t="e">
        <f>AND('Show Info'!B1,"AAAAAF+b8/s=")</f>
        <v>#VALUE!</v>
      </c>
      <c r="IS35" t="e">
        <f>AND('Show Info'!C1,"AAAAAF+b8/w=")</f>
        <v>#VALUE!</v>
      </c>
      <c r="IT35" t="e">
        <f>AND('Show Info'!D1,"AAAAAF+b8/0=")</f>
        <v>#VALUE!</v>
      </c>
      <c r="IU35" t="e">
        <f>AND('Show Info'!E1,"AAAAAF+b8/4=")</f>
        <v>#VALUE!</v>
      </c>
      <c r="IV35" t="e">
        <f>AND('Show Info'!F1,"AAAAAF+b8/8=")</f>
        <v>#VALUE!</v>
      </c>
    </row>
    <row r="36" spans="1:256" x14ac:dyDescent="0.2">
      <c r="A36" t="e">
        <f>AND('Show Info'!G1,"AAAAAC31ywA=")</f>
        <v>#VALUE!</v>
      </c>
      <c r="B36" t="e">
        <f>AND('Show Info'!H1,"AAAAAC31ywE=")</f>
        <v>#VALUE!</v>
      </c>
      <c r="C36" t="e">
        <f>AND('Show Info'!I1,"AAAAAC31ywI=")</f>
        <v>#VALUE!</v>
      </c>
      <c r="D36" t="e">
        <f>AND('Show Info'!J1,"AAAAAC31ywM=")</f>
        <v>#VALUE!</v>
      </c>
      <c r="E36" t="e">
        <f>AND('Show Info'!K1,"AAAAAC31ywQ=")</f>
        <v>#VALUE!</v>
      </c>
      <c r="F36" t="e">
        <f>AND('Show Info'!L1,"AAAAAC31ywU=")</f>
        <v>#VALUE!</v>
      </c>
      <c r="G36" t="e">
        <f>AND('Show Info'!M1,"AAAAAC31ywY=")</f>
        <v>#VALUE!</v>
      </c>
      <c r="H36" t="e">
        <f>AND('Show Info'!N1,"AAAAAC31ywc=")</f>
        <v>#VALUE!</v>
      </c>
      <c r="I36" t="e">
        <f>AND('Show Info'!O1,"AAAAAC31ywg=")</f>
        <v>#VALUE!</v>
      </c>
      <c r="J36" t="e">
        <f>AND('Show Info'!P1,"AAAAAC31ywk=")</f>
        <v>#VALUE!</v>
      </c>
      <c r="K36" t="e">
        <f>AND('Show Info'!Q1,"AAAAAC31ywo=")</f>
        <v>#VALUE!</v>
      </c>
      <c r="L36" t="e">
        <f>AND('Show Info'!R1,"AAAAAC31yws=")</f>
        <v>#VALUE!</v>
      </c>
      <c r="M36" t="e">
        <f>AND('Show Info'!S1,"AAAAAC31yww=")</f>
        <v>#VALUE!</v>
      </c>
      <c r="N36" t="e">
        <f>AND('Show Info'!T1,"AAAAAC31yw0=")</f>
        <v>#VALUE!</v>
      </c>
      <c r="O36" t="e">
        <f>AND('Show Info'!U1,"AAAAAC31yw4=")</f>
        <v>#VALUE!</v>
      </c>
      <c r="P36" t="e">
        <f>AND('Show Info'!V1,"AAAAAC31yw8=")</f>
        <v>#VALUE!</v>
      </c>
      <c r="Q36">
        <f>IF('Show Info'!2:2,"AAAAAC31yxA=",0)</f>
        <v>0</v>
      </c>
      <c r="R36" t="e">
        <f>AND('Show Info'!A2,"AAAAAC31yxE=")</f>
        <v>#VALUE!</v>
      </c>
      <c r="S36" t="e">
        <f>AND('Show Info'!B2,"AAAAAC31yxI=")</f>
        <v>#VALUE!</v>
      </c>
      <c r="T36" t="e">
        <f>AND('Show Info'!C2,"AAAAAC31yxM=")</f>
        <v>#VALUE!</v>
      </c>
      <c r="U36" t="e">
        <f>AND('Show Info'!D2,"AAAAAC31yxQ=")</f>
        <v>#VALUE!</v>
      </c>
      <c r="V36" t="e">
        <f>AND('Show Info'!E2,"AAAAAC31yxU=")</f>
        <v>#VALUE!</v>
      </c>
      <c r="W36" t="e">
        <f>AND('Show Info'!F2,"AAAAAC31yxY=")</f>
        <v>#VALUE!</v>
      </c>
      <c r="X36" t="e">
        <f>AND('Show Info'!G2,"AAAAAC31yxc=")</f>
        <v>#VALUE!</v>
      </c>
      <c r="Y36" t="e">
        <f>AND('Show Info'!H2,"AAAAAC31yxg=")</f>
        <v>#VALUE!</v>
      </c>
      <c r="Z36" t="e">
        <f>AND('Show Info'!I2,"AAAAAC31yxk=")</f>
        <v>#VALUE!</v>
      </c>
      <c r="AA36" t="e">
        <f>AND('Show Info'!J2,"AAAAAC31yxo=")</f>
        <v>#VALUE!</v>
      </c>
      <c r="AB36" t="e">
        <f>AND('Show Info'!K2,"AAAAAC31yxs=")</f>
        <v>#VALUE!</v>
      </c>
      <c r="AC36" t="e">
        <f>AND('Show Info'!L2,"AAAAAC31yxw=")</f>
        <v>#VALUE!</v>
      </c>
      <c r="AD36" t="e">
        <f>AND('Show Info'!M2,"AAAAAC31yx0=")</f>
        <v>#VALUE!</v>
      </c>
      <c r="AE36" t="e">
        <f>AND('Show Info'!N2,"AAAAAC31yx4=")</f>
        <v>#VALUE!</v>
      </c>
      <c r="AF36" t="e">
        <f>AND('Show Info'!O2,"AAAAAC31yx8=")</f>
        <v>#VALUE!</v>
      </c>
      <c r="AG36" t="e">
        <f>AND('Show Info'!P2,"AAAAAC31yyA=")</f>
        <v>#VALUE!</v>
      </c>
      <c r="AH36" t="e">
        <f>AND('Show Info'!Q2,"AAAAAC31yyE=")</f>
        <v>#VALUE!</v>
      </c>
      <c r="AI36" t="e">
        <f>AND('Show Info'!R2,"AAAAAC31yyI=")</f>
        <v>#VALUE!</v>
      </c>
      <c r="AJ36" t="e">
        <f>AND('Show Info'!S2,"AAAAAC31yyM=")</f>
        <v>#VALUE!</v>
      </c>
      <c r="AK36" t="e">
        <f>AND('Show Info'!T2,"AAAAAC31yyQ=")</f>
        <v>#VALUE!</v>
      </c>
      <c r="AL36" t="e">
        <f>AND('Show Info'!U2,"AAAAAC31yyU=")</f>
        <v>#VALUE!</v>
      </c>
      <c r="AM36" t="e">
        <f>AND('Show Info'!V2,"AAAAAC31yyY=")</f>
        <v>#VALUE!</v>
      </c>
      <c r="AN36">
        <f>IF('Show Info'!3:3,"AAAAAC31yyc=",0)</f>
        <v>0</v>
      </c>
      <c r="AO36" t="e">
        <f>AND('Show Info'!A3,"AAAAAC31yyg=")</f>
        <v>#VALUE!</v>
      </c>
      <c r="AP36" t="e">
        <f>AND('Show Info'!B3,"AAAAAC31yyk=")</f>
        <v>#VALUE!</v>
      </c>
      <c r="AQ36" t="e">
        <f>AND('Show Info'!C3,"AAAAAC31yyo=")</f>
        <v>#VALUE!</v>
      </c>
      <c r="AR36" t="e">
        <f>AND('Show Info'!D3,"AAAAAC31yys=")</f>
        <v>#VALUE!</v>
      </c>
      <c r="AS36" t="e">
        <f>AND('Show Info'!E3,"AAAAAC31yyw=")</f>
        <v>#VALUE!</v>
      </c>
      <c r="AT36" t="e">
        <f>AND('Show Info'!F3,"AAAAAC31yy0=")</f>
        <v>#VALUE!</v>
      </c>
      <c r="AU36" t="e">
        <f>AND('Show Info'!G3,"AAAAAC31yy4=")</f>
        <v>#VALUE!</v>
      </c>
      <c r="AV36" t="e">
        <f>AND('Show Info'!H3,"AAAAAC31yy8=")</f>
        <v>#VALUE!</v>
      </c>
      <c r="AW36" t="e">
        <f>AND('Show Info'!I3,"AAAAAC31yzA=")</f>
        <v>#VALUE!</v>
      </c>
      <c r="AX36" t="e">
        <f>AND('Show Info'!J3,"AAAAAC31yzE=")</f>
        <v>#VALUE!</v>
      </c>
      <c r="AY36" t="e">
        <f>AND('Show Info'!K3,"AAAAAC31yzI=")</f>
        <v>#VALUE!</v>
      </c>
      <c r="AZ36" t="e">
        <f>AND('Show Info'!L3,"AAAAAC31yzM=")</f>
        <v>#VALUE!</v>
      </c>
      <c r="BA36" t="e">
        <f>AND('Show Info'!M3,"AAAAAC31yzQ=")</f>
        <v>#VALUE!</v>
      </c>
      <c r="BB36" t="e">
        <f>AND('Show Info'!N3,"AAAAAC31yzU=")</f>
        <v>#VALUE!</v>
      </c>
      <c r="BC36" t="e">
        <f>AND('Show Info'!O3,"AAAAAC31yzY=")</f>
        <v>#VALUE!</v>
      </c>
      <c r="BD36" t="e">
        <f>AND('Show Info'!P3,"AAAAAC31yzc=")</f>
        <v>#VALUE!</v>
      </c>
      <c r="BE36" t="e">
        <f>AND('Show Info'!Q3,"AAAAAC31yzg=")</f>
        <v>#VALUE!</v>
      </c>
      <c r="BF36" t="e">
        <f>AND('Show Info'!R3,"AAAAAC31yzk=")</f>
        <v>#VALUE!</v>
      </c>
      <c r="BG36" t="e">
        <f>AND('Show Info'!S3,"AAAAAC31yzo=")</f>
        <v>#VALUE!</v>
      </c>
      <c r="BH36" t="e">
        <f>AND('Show Info'!T3,"AAAAAC31yzs=")</f>
        <v>#VALUE!</v>
      </c>
      <c r="BI36" t="e">
        <f>AND('Show Info'!U3,"AAAAAC31yzw=")</f>
        <v>#VALUE!</v>
      </c>
      <c r="BJ36" t="e">
        <f>AND('Show Info'!V3,"AAAAAC31yz0=")</f>
        <v>#VALUE!</v>
      </c>
      <c r="BK36">
        <f>IF('Show Info'!4:4,"AAAAAC31yz4=",0)</f>
        <v>0</v>
      </c>
      <c r="BL36" t="e">
        <f>AND('Show Info'!A4,"AAAAAC31yz8=")</f>
        <v>#VALUE!</v>
      </c>
      <c r="BM36" t="e">
        <f>AND('Show Info'!B4,"AAAAAC31y0A=")</f>
        <v>#VALUE!</v>
      </c>
      <c r="BN36" t="e">
        <f>AND('Show Info'!C4,"AAAAAC31y0E=")</f>
        <v>#VALUE!</v>
      </c>
      <c r="BO36" t="e">
        <f>AND('Show Info'!D4,"AAAAAC31y0I=")</f>
        <v>#VALUE!</v>
      </c>
      <c r="BP36" t="e">
        <f>AND('Show Info'!E4,"AAAAAC31y0M=")</f>
        <v>#VALUE!</v>
      </c>
      <c r="BQ36" t="e">
        <f>AND('Show Info'!F4,"AAAAAC31y0Q=")</f>
        <v>#VALUE!</v>
      </c>
      <c r="BR36" t="e">
        <f>AND('Show Info'!G4,"AAAAAC31y0U=")</f>
        <v>#VALUE!</v>
      </c>
      <c r="BS36" t="e">
        <f>AND('Show Info'!H4,"AAAAAC31y0Y=")</f>
        <v>#VALUE!</v>
      </c>
      <c r="BT36" t="e">
        <f>AND('Show Info'!I4,"AAAAAC31y0c=")</f>
        <v>#VALUE!</v>
      </c>
      <c r="BU36" t="e">
        <f>AND('Show Info'!J4,"AAAAAC31y0g=")</f>
        <v>#VALUE!</v>
      </c>
      <c r="BV36" t="e">
        <f>AND('Show Info'!K4,"AAAAAC31y0k=")</f>
        <v>#VALUE!</v>
      </c>
      <c r="BW36" t="e">
        <f>AND('Show Info'!L4,"AAAAAC31y0o=")</f>
        <v>#VALUE!</v>
      </c>
      <c r="BX36" t="e">
        <f>AND('Show Info'!M4,"AAAAAC31y0s=")</f>
        <v>#VALUE!</v>
      </c>
      <c r="BY36" t="e">
        <f>AND('Show Info'!N4,"AAAAAC31y0w=")</f>
        <v>#VALUE!</v>
      </c>
      <c r="BZ36" t="e">
        <f>AND('Show Info'!O4,"AAAAAC31y00=")</f>
        <v>#VALUE!</v>
      </c>
      <c r="CA36" t="e">
        <f>AND('Show Info'!P4,"AAAAAC31y04=")</f>
        <v>#VALUE!</v>
      </c>
      <c r="CB36" t="e">
        <f>AND('Show Info'!Q4,"AAAAAC31y08=")</f>
        <v>#VALUE!</v>
      </c>
      <c r="CC36" t="e">
        <f>AND('Show Info'!R4,"AAAAAC31y1A=")</f>
        <v>#VALUE!</v>
      </c>
      <c r="CD36" t="e">
        <f>AND('Show Info'!S4,"AAAAAC31y1E=")</f>
        <v>#VALUE!</v>
      </c>
      <c r="CE36" t="e">
        <f>AND('Show Info'!T4,"AAAAAC31y1I=")</f>
        <v>#VALUE!</v>
      </c>
      <c r="CF36" t="e">
        <f>AND('Show Info'!U4,"AAAAAC31y1M=")</f>
        <v>#VALUE!</v>
      </c>
      <c r="CG36" t="e">
        <f>AND('Show Info'!V4,"AAAAAC31y1Q=")</f>
        <v>#VALUE!</v>
      </c>
      <c r="CH36">
        <f>IF('Show Info'!6:6,"AAAAAC31y1U=",0)</f>
        <v>0</v>
      </c>
      <c r="CI36" t="e">
        <f>AND('Show Info'!A6,"AAAAAC31y1Y=")</f>
        <v>#VALUE!</v>
      </c>
      <c r="CJ36" t="e">
        <f>AND('Show Info'!B6,"AAAAAC31y1c=")</f>
        <v>#VALUE!</v>
      </c>
      <c r="CK36" t="e">
        <f>AND('Show Info'!C6,"AAAAAC31y1g=")</f>
        <v>#VALUE!</v>
      </c>
      <c r="CL36" t="e">
        <f>AND('Show Info'!D6,"AAAAAC31y1k=")</f>
        <v>#VALUE!</v>
      </c>
      <c r="CM36" t="e">
        <f>AND('Show Info'!E6,"AAAAAC31y1o=")</f>
        <v>#VALUE!</v>
      </c>
      <c r="CN36" t="e">
        <f>AND('Show Info'!F6,"AAAAAC31y1s=")</f>
        <v>#VALUE!</v>
      </c>
      <c r="CO36" t="e">
        <f>AND('Show Info'!G6,"AAAAAC31y1w=")</f>
        <v>#VALUE!</v>
      </c>
      <c r="CP36" t="e">
        <f>AND('Show Info'!H6,"AAAAAC31y10=")</f>
        <v>#VALUE!</v>
      </c>
      <c r="CQ36" t="e">
        <f>AND('Show Info'!I6,"AAAAAC31y14=")</f>
        <v>#VALUE!</v>
      </c>
      <c r="CR36" t="e">
        <f>AND('Show Info'!J6,"AAAAAC31y18=")</f>
        <v>#VALUE!</v>
      </c>
      <c r="CS36" t="e">
        <f>AND('Show Info'!K6,"AAAAAC31y2A=")</f>
        <v>#VALUE!</v>
      </c>
      <c r="CT36" t="e">
        <f>AND('Show Info'!L6,"AAAAAC31y2E=")</f>
        <v>#VALUE!</v>
      </c>
      <c r="CU36" t="e">
        <f>AND('Show Info'!M6,"AAAAAC31y2I=")</f>
        <v>#VALUE!</v>
      </c>
      <c r="CV36" t="e">
        <f>AND('Show Info'!N6,"AAAAAC31y2M=")</f>
        <v>#VALUE!</v>
      </c>
      <c r="CW36" t="e">
        <f>AND('Show Info'!O6,"AAAAAC31y2Q=")</f>
        <v>#VALUE!</v>
      </c>
      <c r="CX36" t="e">
        <f>AND('Show Info'!P6,"AAAAAC31y2U=")</f>
        <v>#VALUE!</v>
      </c>
      <c r="CY36" t="e">
        <f>AND('Show Info'!Q6,"AAAAAC31y2Y=")</f>
        <v>#VALUE!</v>
      </c>
      <c r="CZ36" t="e">
        <f>AND('Show Info'!R6,"AAAAAC31y2c=")</f>
        <v>#VALUE!</v>
      </c>
      <c r="DA36" t="e">
        <f>AND('Show Info'!S6,"AAAAAC31y2g=")</f>
        <v>#VALUE!</v>
      </c>
      <c r="DB36" t="e">
        <f>AND('Show Info'!T6,"AAAAAC31y2k=")</f>
        <v>#VALUE!</v>
      </c>
      <c r="DC36" t="e">
        <f>AND('Show Info'!U6,"AAAAAC31y2o=")</f>
        <v>#VALUE!</v>
      </c>
      <c r="DD36" t="e">
        <f>AND('Show Info'!V6,"AAAAAC31y2s=")</f>
        <v>#VALUE!</v>
      </c>
      <c r="DE36">
        <f>IF('Show Info'!7:7,"AAAAAC31y2w=",0)</f>
        <v>0</v>
      </c>
      <c r="DF36" t="e">
        <f>AND('Show Info'!A7,"AAAAAC31y20=")</f>
        <v>#VALUE!</v>
      </c>
      <c r="DG36" t="e">
        <f>AND('Show Info'!B7,"AAAAAC31y24=")</f>
        <v>#VALUE!</v>
      </c>
      <c r="DH36" t="e">
        <f>AND('Show Info'!C7,"AAAAAC31y28=")</f>
        <v>#VALUE!</v>
      </c>
      <c r="DI36" t="e">
        <f>AND('Show Info'!D7,"AAAAAC31y3A=")</f>
        <v>#VALUE!</v>
      </c>
      <c r="DJ36" t="e">
        <f>AND('Show Info'!E7,"AAAAAC31y3E=")</f>
        <v>#VALUE!</v>
      </c>
      <c r="DK36" t="e">
        <f>AND('Show Info'!F7,"AAAAAC31y3I=")</f>
        <v>#VALUE!</v>
      </c>
      <c r="DL36" t="e">
        <f>AND('Show Info'!G7,"AAAAAC31y3M=")</f>
        <v>#VALUE!</v>
      </c>
      <c r="DM36" t="e">
        <f>AND('Show Info'!H7,"AAAAAC31y3Q=")</f>
        <v>#VALUE!</v>
      </c>
      <c r="DN36" t="e">
        <f>AND('Show Info'!I7,"AAAAAC31y3U=")</f>
        <v>#VALUE!</v>
      </c>
      <c r="DO36" t="e">
        <f>AND('Show Info'!J7,"AAAAAC31y3Y=")</f>
        <v>#VALUE!</v>
      </c>
      <c r="DP36" t="e">
        <f>AND('Show Info'!K7,"AAAAAC31y3c=")</f>
        <v>#VALUE!</v>
      </c>
      <c r="DQ36" t="e">
        <f>AND('Show Info'!L7,"AAAAAC31y3g=")</f>
        <v>#VALUE!</v>
      </c>
      <c r="DR36" t="e">
        <f>AND('Show Info'!M7,"AAAAAC31y3k=")</f>
        <v>#VALUE!</v>
      </c>
      <c r="DS36" t="e">
        <f>AND('Show Info'!N7,"AAAAAC31y3o=")</f>
        <v>#VALUE!</v>
      </c>
      <c r="DT36" t="e">
        <f>AND('Show Info'!O7,"AAAAAC31y3s=")</f>
        <v>#VALUE!</v>
      </c>
      <c r="DU36" t="e">
        <f>AND('Show Info'!P7,"AAAAAC31y3w=")</f>
        <v>#VALUE!</v>
      </c>
      <c r="DV36" t="e">
        <f>AND('Show Info'!Q7,"AAAAAC31y30=")</f>
        <v>#VALUE!</v>
      </c>
      <c r="DW36" t="e">
        <f>AND('Show Info'!R7,"AAAAAC31y34=")</f>
        <v>#VALUE!</v>
      </c>
      <c r="DX36" t="e">
        <f>AND('Show Info'!S7,"AAAAAC31y38=")</f>
        <v>#VALUE!</v>
      </c>
      <c r="DY36" t="e">
        <f>AND('Show Info'!T7,"AAAAAC31y4A=")</f>
        <v>#VALUE!</v>
      </c>
      <c r="DZ36" t="e">
        <f>AND('Show Info'!U7,"AAAAAC31y4E=")</f>
        <v>#VALUE!</v>
      </c>
      <c r="EA36" t="e">
        <f>AND('Show Info'!V7,"AAAAAC31y4I=")</f>
        <v>#VALUE!</v>
      </c>
      <c r="EB36">
        <f>IF('Show Info'!8:8,"AAAAAC31y4M=",0)</f>
        <v>0</v>
      </c>
      <c r="EC36" t="e">
        <f>AND('Show Info'!A8,"AAAAAC31y4Q=")</f>
        <v>#VALUE!</v>
      </c>
      <c r="ED36" t="e">
        <f>AND('Show Info'!B8,"AAAAAC31y4U=")</f>
        <v>#VALUE!</v>
      </c>
      <c r="EE36" t="e">
        <f>AND('Show Info'!C8,"AAAAAC31y4Y=")</f>
        <v>#VALUE!</v>
      </c>
      <c r="EF36" t="e">
        <f>AND('Show Info'!D8,"AAAAAC31y4c=")</f>
        <v>#VALUE!</v>
      </c>
      <c r="EG36" t="e">
        <f>AND('Show Info'!E8,"AAAAAC31y4g=")</f>
        <v>#VALUE!</v>
      </c>
      <c r="EH36" t="e">
        <f>AND('Show Info'!F8,"AAAAAC31y4k=")</f>
        <v>#VALUE!</v>
      </c>
      <c r="EI36" t="e">
        <f>AND('Show Info'!G8,"AAAAAC31y4o=")</f>
        <v>#VALUE!</v>
      </c>
      <c r="EJ36" t="e">
        <f>AND('Show Info'!H8,"AAAAAC31y4s=")</f>
        <v>#VALUE!</v>
      </c>
      <c r="EK36" t="e">
        <f>AND('Show Info'!I8,"AAAAAC31y4w=")</f>
        <v>#VALUE!</v>
      </c>
      <c r="EL36" t="e">
        <f>AND('Show Info'!J8,"AAAAAC31y40=")</f>
        <v>#VALUE!</v>
      </c>
      <c r="EM36" t="e">
        <f>AND('Show Info'!K8,"AAAAAC31y44=")</f>
        <v>#VALUE!</v>
      </c>
      <c r="EN36" t="e">
        <f>AND('Show Info'!L8,"AAAAAC31y48=")</f>
        <v>#VALUE!</v>
      </c>
      <c r="EO36" t="e">
        <f>AND('Show Info'!M8,"AAAAAC31y5A=")</f>
        <v>#VALUE!</v>
      </c>
      <c r="EP36" t="e">
        <f>AND('Show Info'!N8,"AAAAAC31y5E=")</f>
        <v>#VALUE!</v>
      </c>
      <c r="EQ36" t="e">
        <f>AND('Show Info'!O8,"AAAAAC31y5I=")</f>
        <v>#VALUE!</v>
      </c>
      <c r="ER36" t="e">
        <f>AND('Show Info'!P8,"AAAAAC31y5M=")</f>
        <v>#VALUE!</v>
      </c>
      <c r="ES36" t="e">
        <f>AND('Show Info'!Q8,"AAAAAC31y5Q=")</f>
        <v>#VALUE!</v>
      </c>
      <c r="ET36" t="e">
        <f>AND('Show Info'!R8,"AAAAAC31y5U=")</f>
        <v>#VALUE!</v>
      </c>
      <c r="EU36" t="e">
        <f>AND('Show Info'!S8,"AAAAAC31y5Y=")</f>
        <v>#VALUE!</v>
      </c>
      <c r="EV36" t="e">
        <f>AND('Show Info'!T8,"AAAAAC31y5c=")</f>
        <v>#VALUE!</v>
      </c>
      <c r="EW36" t="e">
        <f>AND('Show Info'!U8,"AAAAAC31y5g=")</f>
        <v>#VALUE!</v>
      </c>
      <c r="EX36" t="e">
        <f>AND('Show Info'!V8,"AAAAAC31y5k=")</f>
        <v>#VALUE!</v>
      </c>
      <c r="EY36">
        <f>IF('Show Info'!9:9,"AAAAAC31y5o=",0)</f>
        <v>0</v>
      </c>
      <c r="EZ36" t="e">
        <f>AND('Show Info'!A9,"AAAAAC31y5s=")</f>
        <v>#VALUE!</v>
      </c>
      <c r="FA36" t="e">
        <f>AND('Show Info'!B9,"AAAAAC31y5w=")</f>
        <v>#VALUE!</v>
      </c>
      <c r="FB36" t="e">
        <f>AND('Show Info'!C9,"AAAAAC31y50=")</f>
        <v>#VALUE!</v>
      </c>
      <c r="FC36" t="e">
        <f>AND('Show Info'!D9,"AAAAAC31y54=")</f>
        <v>#VALUE!</v>
      </c>
      <c r="FD36" t="e">
        <f>AND('Show Info'!E9,"AAAAAC31y58=")</f>
        <v>#VALUE!</v>
      </c>
      <c r="FE36" t="e">
        <f>AND('Show Info'!F9,"AAAAAC31y6A=")</f>
        <v>#VALUE!</v>
      </c>
      <c r="FF36" t="e">
        <f>AND('Show Info'!G9,"AAAAAC31y6E=")</f>
        <v>#VALUE!</v>
      </c>
      <c r="FG36" t="e">
        <f>AND('Show Info'!H9,"AAAAAC31y6I=")</f>
        <v>#VALUE!</v>
      </c>
      <c r="FH36" t="e">
        <f>AND('Show Info'!I9,"AAAAAC31y6M=")</f>
        <v>#VALUE!</v>
      </c>
      <c r="FI36" t="e">
        <f>AND('Show Info'!J9,"AAAAAC31y6Q=")</f>
        <v>#VALUE!</v>
      </c>
      <c r="FJ36" t="e">
        <f>AND('Show Info'!K9,"AAAAAC31y6U=")</f>
        <v>#VALUE!</v>
      </c>
      <c r="FK36" t="e">
        <f>AND('Show Info'!L9,"AAAAAC31y6Y=")</f>
        <v>#VALUE!</v>
      </c>
      <c r="FL36" t="e">
        <f>AND('Show Info'!M9,"AAAAAC31y6c=")</f>
        <v>#VALUE!</v>
      </c>
      <c r="FM36" t="e">
        <f>AND('Show Info'!N9,"AAAAAC31y6g=")</f>
        <v>#VALUE!</v>
      </c>
      <c r="FN36" t="e">
        <f>AND('Show Info'!O9,"AAAAAC31y6k=")</f>
        <v>#VALUE!</v>
      </c>
      <c r="FO36" t="e">
        <f>AND('Show Info'!P9,"AAAAAC31y6o=")</f>
        <v>#VALUE!</v>
      </c>
      <c r="FP36" t="e">
        <f>AND('Show Info'!Q9,"AAAAAC31y6s=")</f>
        <v>#VALUE!</v>
      </c>
      <c r="FQ36" t="e">
        <f>AND('Show Info'!R9,"AAAAAC31y6w=")</f>
        <v>#VALUE!</v>
      </c>
      <c r="FR36" t="e">
        <f>AND('Show Info'!S9,"AAAAAC31y60=")</f>
        <v>#VALUE!</v>
      </c>
      <c r="FS36" t="e">
        <f>AND('Show Info'!T9,"AAAAAC31y64=")</f>
        <v>#VALUE!</v>
      </c>
      <c r="FT36" t="e">
        <f>AND('Show Info'!U9,"AAAAAC31y68=")</f>
        <v>#VALUE!</v>
      </c>
      <c r="FU36" t="e">
        <f>AND('Show Info'!V9,"AAAAAC31y7A=")</f>
        <v>#VALUE!</v>
      </c>
      <c r="FV36">
        <f>IF('Show Info'!10:10,"AAAAAC31y7E=",0)</f>
        <v>0</v>
      </c>
      <c r="FW36" t="e">
        <f>AND('Show Info'!A10,"AAAAAC31y7I=")</f>
        <v>#VALUE!</v>
      </c>
      <c r="FX36" t="e">
        <f>AND('Show Info'!B10,"AAAAAC31y7M=")</f>
        <v>#VALUE!</v>
      </c>
      <c r="FY36" t="e">
        <f>AND('Show Info'!C10,"AAAAAC31y7Q=")</f>
        <v>#VALUE!</v>
      </c>
      <c r="FZ36" t="e">
        <f>AND('Show Info'!D10,"AAAAAC31y7U=")</f>
        <v>#VALUE!</v>
      </c>
      <c r="GA36" t="e">
        <f>AND('Show Info'!E10,"AAAAAC31y7Y=")</f>
        <v>#VALUE!</v>
      </c>
      <c r="GB36" t="e">
        <f>AND('Show Info'!F10,"AAAAAC31y7c=")</f>
        <v>#VALUE!</v>
      </c>
      <c r="GC36" t="e">
        <f>AND('Show Info'!G10,"AAAAAC31y7g=")</f>
        <v>#VALUE!</v>
      </c>
      <c r="GD36" t="e">
        <f>AND('Show Info'!H10,"AAAAAC31y7k=")</f>
        <v>#VALUE!</v>
      </c>
      <c r="GE36" t="e">
        <f>AND('Show Info'!I10,"AAAAAC31y7o=")</f>
        <v>#VALUE!</v>
      </c>
      <c r="GF36" t="e">
        <f>AND('Show Info'!J10,"AAAAAC31y7s=")</f>
        <v>#VALUE!</v>
      </c>
      <c r="GG36" t="e">
        <f>AND('Show Info'!K10,"AAAAAC31y7w=")</f>
        <v>#VALUE!</v>
      </c>
      <c r="GH36" t="e">
        <f>AND('Show Info'!L10,"AAAAAC31y70=")</f>
        <v>#VALUE!</v>
      </c>
      <c r="GI36" t="e">
        <f>AND('Show Info'!M10,"AAAAAC31y74=")</f>
        <v>#VALUE!</v>
      </c>
      <c r="GJ36" t="e">
        <f>AND('Show Info'!N10,"AAAAAC31y78=")</f>
        <v>#VALUE!</v>
      </c>
      <c r="GK36" t="e">
        <f>AND('Show Info'!O10,"AAAAAC31y8A=")</f>
        <v>#VALUE!</v>
      </c>
      <c r="GL36" t="e">
        <f>AND('Show Info'!P10,"AAAAAC31y8E=")</f>
        <v>#VALUE!</v>
      </c>
      <c r="GM36" t="e">
        <f>AND('Show Info'!Q10,"AAAAAC31y8I=")</f>
        <v>#VALUE!</v>
      </c>
      <c r="GN36" t="e">
        <f>AND('Show Info'!R10,"AAAAAC31y8M=")</f>
        <v>#VALUE!</v>
      </c>
      <c r="GO36" t="e">
        <f>AND('Show Info'!S10,"AAAAAC31y8Q=")</f>
        <v>#VALUE!</v>
      </c>
      <c r="GP36" t="e">
        <f>AND('Show Info'!T10,"AAAAAC31y8U=")</f>
        <v>#VALUE!</v>
      </c>
      <c r="GQ36" t="e">
        <f>AND('Show Info'!U10,"AAAAAC31y8Y=")</f>
        <v>#VALUE!</v>
      </c>
      <c r="GR36" t="e">
        <f>AND('Show Info'!V10,"AAAAAC31y8c=")</f>
        <v>#VALUE!</v>
      </c>
      <c r="GS36">
        <f>IF('Show Info'!11:11,"AAAAAC31y8g=",0)</f>
        <v>0</v>
      </c>
      <c r="GT36" t="e">
        <f>AND('Show Info'!A11,"AAAAAC31y8k=")</f>
        <v>#VALUE!</v>
      </c>
      <c r="GU36" t="e">
        <f>AND('Show Info'!B11,"AAAAAC31y8o=")</f>
        <v>#VALUE!</v>
      </c>
      <c r="GV36" t="e">
        <f>AND('Show Info'!C11,"AAAAAC31y8s=")</f>
        <v>#VALUE!</v>
      </c>
      <c r="GW36" t="e">
        <f>AND('Show Info'!D11,"AAAAAC31y8w=")</f>
        <v>#VALUE!</v>
      </c>
      <c r="GX36" t="e">
        <f>AND('Show Info'!E11,"AAAAAC31y80=")</f>
        <v>#VALUE!</v>
      </c>
      <c r="GY36" t="e">
        <f>AND('Show Info'!F11,"AAAAAC31y84=")</f>
        <v>#VALUE!</v>
      </c>
      <c r="GZ36" t="e">
        <f>AND('Show Info'!G11,"AAAAAC31y88=")</f>
        <v>#VALUE!</v>
      </c>
      <c r="HA36" t="e">
        <f>AND('Show Info'!H11,"AAAAAC31y9A=")</f>
        <v>#VALUE!</v>
      </c>
      <c r="HB36" t="e">
        <f>AND('Show Info'!I11,"AAAAAC31y9E=")</f>
        <v>#VALUE!</v>
      </c>
      <c r="HC36" t="e">
        <f>AND('Show Info'!J11,"AAAAAC31y9I=")</f>
        <v>#VALUE!</v>
      </c>
      <c r="HD36" t="e">
        <f>AND('Show Info'!K11,"AAAAAC31y9M=")</f>
        <v>#VALUE!</v>
      </c>
      <c r="HE36" t="e">
        <f>AND('Show Info'!L11,"AAAAAC31y9Q=")</f>
        <v>#VALUE!</v>
      </c>
      <c r="HF36" t="e">
        <f>AND('Show Info'!M11,"AAAAAC31y9U=")</f>
        <v>#VALUE!</v>
      </c>
      <c r="HG36" t="e">
        <f>AND('Show Info'!N11,"AAAAAC31y9Y=")</f>
        <v>#VALUE!</v>
      </c>
      <c r="HH36" t="e">
        <f>AND('Show Info'!O11,"AAAAAC31y9c=")</f>
        <v>#VALUE!</v>
      </c>
      <c r="HI36" t="e">
        <f>AND('Show Info'!P11,"AAAAAC31y9g=")</f>
        <v>#VALUE!</v>
      </c>
      <c r="HJ36" t="e">
        <f>AND('Show Info'!Q11,"AAAAAC31y9k=")</f>
        <v>#VALUE!</v>
      </c>
      <c r="HK36" t="e">
        <f>AND('Show Info'!R11,"AAAAAC31y9o=")</f>
        <v>#VALUE!</v>
      </c>
      <c r="HL36" t="e">
        <f>AND('Show Info'!S11,"AAAAAC31y9s=")</f>
        <v>#VALUE!</v>
      </c>
      <c r="HM36" t="e">
        <f>AND('Show Info'!T11,"AAAAAC31y9w=")</f>
        <v>#VALUE!</v>
      </c>
      <c r="HN36" t="e">
        <f>AND('Show Info'!U11,"AAAAAC31y90=")</f>
        <v>#VALUE!</v>
      </c>
      <c r="HO36" t="e">
        <f>AND('Show Info'!V11,"AAAAAC31y94=")</f>
        <v>#VALUE!</v>
      </c>
      <c r="HP36">
        <f>IF('Show Info'!13:13,"AAAAAC31y98=",0)</f>
        <v>0</v>
      </c>
      <c r="HQ36" t="e">
        <f>AND('Show Info'!A13,"AAAAAC31y+A=")</f>
        <v>#VALUE!</v>
      </c>
      <c r="HR36" t="e">
        <f>AND('Show Info'!B13,"AAAAAC31y+E=")</f>
        <v>#VALUE!</v>
      </c>
      <c r="HS36" t="e">
        <f>AND('Show Info'!C13,"AAAAAC31y+I=")</f>
        <v>#VALUE!</v>
      </c>
      <c r="HT36" t="e">
        <f>AND('Show Info'!D13,"AAAAAC31y+M=")</f>
        <v>#VALUE!</v>
      </c>
      <c r="HU36" t="e">
        <f>AND('Show Info'!E13,"AAAAAC31y+Q=")</f>
        <v>#VALUE!</v>
      </c>
      <c r="HV36" t="e">
        <f>AND('Show Info'!F13,"AAAAAC31y+U=")</f>
        <v>#VALUE!</v>
      </c>
      <c r="HW36" t="e">
        <f>AND('Show Info'!G13,"AAAAAC31y+Y=")</f>
        <v>#VALUE!</v>
      </c>
      <c r="HX36" t="e">
        <f>AND('Show Info'!H13,"AAAAAC31y+c=")</f>
        <v>#VALUE!</v>
      </c>
      <c r="HY36" t="e">
        <f>AND('Show Info'!I13,"AAAAAC31y+g=")</f>
        <v>#VALUE!</v>
      </c>
      <c r="HZ36" t="e">
        <f>AND('Show Info'!J13,"AAAAAC31y+k=")</f>
        <v>#VALUE!</v>
      </c>
      <c r="IA36" t="e">
        <f>AND('Show Info'!K13,"AAAAAC31y+o=")</f>
        <v>#VALUE!</v>
      </c>
      <c r="IB36" t="e">
        <f>AND('Show Info'!L13,"AAAAAC31y+s=")</f>
        <v>#VALUE!</v>
      </c>
      <c r="IC36" t="e">
        <f>AND('Show Info'!M13,"AAAAAC31y+w=")</f>
        <v>#VALUE!</v>
      </c>
      <c r="ID36" t="e">
        <f>AND('Show Info'!N13,"AAAAAC31y+0=")</f>
        <v>#VALUE!</v>
      </c>
      <c r="IE36" t="e">
        <f>AND('Show Info'!O13,"AAAAAC31y+4=")</f>
        <v>#VALUE!</v>
      </c>
      <c r="IF36" t="e">
        <f>AND('Show Info'!P13,"AAAAAC31y+8=")</f>
        <v>#VALUE!</v>
      </c>
      <c r="IG36" t="e">
        <f>AND('Show Info'!Q13,"AAAAAC31y/A=")</f>
        <v>#VALUE!</v>
      </c>
      <c r="IH36" t="e">
        <f>AND('Show Info'!R13,"AAAAAC31y/E=")</f>
        <v>#VALUE!</v>
      </c>
      <c r="II36" t="e">
        <f>AND('Show Info'!S13,"AAAAAC31y/I=")</f>
        <v>#VALUE!</v>
      </c>
      <c r="IJ36" t="e">
        <f>AND('Show Info'!T13,"AAAAAC31y/M=")</f>
        <v>#VALUE!</v>
      </c>
      <c r="IK36" t="e">
        <f>AND('Show Info'!U13,"AAAAAC31y/Q=")</f>
        <v>#VALUE!</v>
      </c>
      <c r="IL36" t="e">
        <f>AND('Show Info'!V13,"AAAAAC31y/U=")</f>
        <v>#VALUE!</v>
      </c>
      <c r="IM36">
        <f>IF('Show Info'!14:14,"AAAAAC31y/Y=",0)</f>
        <v>0</v>
      </c>
      <c r="IN36" t="e">
        <f>AND('Show Info'!A14,"AAAAAC31y/c=")</f>
        <v>#VALUE!</v>
      </c>
      <c r="IO36" t="e">
        <f>AND('Show Info'!B14,"AAAAAC31y/g=")</f>
        <v>#VALUE!</v>
      </c>
      <c r="IP36" t="e">
        <f>AND('Show Info'!C14,"AAAAAC31y/k=")</f>
        <v>#VALUE!</v>
      </c>
      <c r="IQ36" t="e">
        <f>AND('Show Info'!D14,"AAAAAC31y/o=")</f>
        <v>#VALUE!</v>
      </c>
      <c r="IR36" t="e">
        <f>AND('Show Info'!E14,"AAAAAC31y/s=")</f>
        <v>#VALUE!</v>
      </c>
      <c r="IS36" t="e">
        <f>AND('Show Info'!F14,"AAAAAC31y/w=")</f>
        <v>#VALUE!</v>
      </c>
      <c r="IT36" t="e">
        <f>AND('Show Info'!G14,"AAAAAC31y/0=")</f>
        <v>#VALUE!</v>
      </c>
      <c r="IU36" t="e">
        <f>AND('Show Info'!H14,"AAAAAC31y/4=")</f>
        <v>#VALUE!</v>
      </c>
      <c r="IV36" t="e">
        <f>AND('Show Info'!I14,"AAAAAC31y/8=")</f>
        <v>#VALUE!</v>
      </c>
    </row>
    <row r="37" spans="1:256" x14ac:dyDescent="0.2">
      <c r="A37" t="e">
        <f>AND('Show Info'!J14,"AAAAAH/8/wA=")</f>
        <v>#VALUE!</v>
      </c>
      <c r="B37" t="e">
        <f>AND('Show Info'!K14,"AAAAAH/8/wE=")</f>
        <v>#VALUE!</v>
      </c>
      <c r="C37" t="e">
        <f>AND('Show Info'!L14,"AAAAAH/8/wI=")</f>
        <v>#VALUE!</v>
      </c>
      <c r="D37" t="e">
        <f>AND('Show Info'!M14,"AAAAAH/8/wM=")</f>
        <v>#VALUE!</v>
      </c>
      <c r="E37" t="e">
        <f>AND('Show Info'!N14,"AAAAAH/8/wQ=")</f>
        <v>#VALUE!</v>
      </c>
      <c r="F37" t="e">
        <f>AND('Show Info'!O14,"AAAAAH/8/wU=")</f>
        <v>#VALUE!</v>
      </c>
      <c r="G37" t="e">
        <f>AND('Show Info'!P14,"AAAAAH/8/wY=")</f>
        <v>#VALUE!</v>
      </c>
      <c r="H37" t="e">
        <f>AND('Show Info'!Q14,"AAAAAH/8/wc=")</f>
        <v>#VALUE!</v>
      </c>
      <c r="I37" t="e">
        <f>AND('Show Info'!R14,"AAAAAH/8/wg=")</f>
        <v>#VALUE!</v>
      </c>
      <c r="J37" t="e">
        <f>AND('Show Info'!S14,"AAAAAH/8/wk=")</f>
        <v>#VALUE!</v>
      </c>
      <c r="K37" t="e">
        <f>AND('Show Info'!T14,"AAAAAH/8/wo=")</f>
        <v>#VALUE!</v>
      </c>
      <c r="L37" t="e">
        <f>AND('Show Info'!U14,"AAAAAH/8/ws=")</f>
        <v>#VALUE!</v>
      </c>
      <c r="M37" t="e">
        <f>AND('Show Info'!V14,"AAAAAH/8/ww=")</f>
        <v>#VALUE!</v>
      </c>
      <c r="N37">
        <f>IF('Show Info'!15:15,"AAAAAH/8/w0=",0)</f>
        <v>0</v>
      </c>
      <c r="O37" t="e">
        <f>AND('Show Info'!A15,"AAAAAH/8/w4=")</f>
        <v>#VALUE!</v>
      </c>
      <c r="P37" t="e">
        <f>AND('Show Info'!B15,"AAAAAH/8/w8=")</f>
        <v>#VALUE!</v>
      </c>
      <c r="Q37" t="e">
        <f>AND('Show Info'!C15,"AAAAAH/8/xA=")</f>
        <v>#VALUE!</v>
      </c>
      <c r="R37" t="e">
        <f>AND('Show Info'!D15,"AAAAAH/8/xE=")</f>
        <v>#VALUE!</v>
      </c>
      <c r="S37" t="e">
        <f>AND('Show Info'!E15,"AAAAAH/8/xI=")</f>
        <v>#VALUE!</v>
      </c>
      <c r="T37" t="e">
        <f>AND('Show Info'!F15,"AAAAAH/8/xM=")</f>
        <v>#VALUE!</v>
      </c>
      <c r="U37" t="e">
        <f>AND('Show Info'!G15,"AAAAAH/8/xQ=")</f>
        <v>#VALUE!</v>
      </c>
      <c r="V37" t="e">
        <f>AND('Show Info'!H15,"AAAAAH/8/xU=")</f>
        <v>#VALUE!</v>
      </c>
      <c r="W37" t="e">
        <f>AND('Show Info'!I15,"AAAAAH/8/xY=")</f>
        <v>#VALUE!</v>
      </c>
      <c r="X37" t="e">
        <f>AND('Show Info'!J15,"AAAAAH/8/xc=")</f>
        <v>#VALUE!</v>
      </c>
      <c r="Y37" t="e">
        <f>AND('Show Info'!K15,"AAAAAH/8/xg=")</f>
        <v>#VALUE!</v>
      </c>
      <c r="Z37" t="e">
        <f>AND('Show Info'!L15,"AAAAAH/8/xk=")</f>
        <v>#VALUE!</v>
      </c>
      <c r="AA37" t="e">
        <f>AND('Show Info'!M15,"AAAAAH/8/xo=")</f>
        <v>#VALUE!</v>
      </c>
      <c r="AB37" t="e">
        <f>AND('Show Info'!N15,"AAAAAH/8/xs=")</f>
        <v>#VALUE!</v>
      </c>
      <c r="AC37" t="e">
        <f>AND('Show Info'!O15,"AAAAAH/8/xw=")</f>
        <v>#VALUE!</v>
      </c>
      <c r="AD37" t="e">
        <f>AND('Show Info'!P15,"AAAAAH/8/x0=")</f>
        <v>#VALUE!</v>
      </c>
      <c r="AE37" t="e">
        <f>AND('Show Info'!Q15,"AAAAAH/8/x4=")</f>
        <v>#VALUE!</v>
      </c>
      <c r="AF37" t="e">
        <f>AND('Show Info'!R15,"AAAAAH/8/x8=")</f>
        <v>#VALUE!</v>
      </c>
      <c r="AG37" t="e">
        <f>AND('Show Info'!S15,"AAAAAH/8/yA=")</f>
        <v>#VALUE!</v>
      </c>
      <c r="AH37" t="e">
        <f>AND('Show Info'!T15,"AAAAAH/8/yE=")</f>
        <v>#VALUE!</v>
      </c>
      <c r="AI37" t="e">
        <f>AND('Show Info'!U15,"AAAAAH/8/yI=")</f>
        <v>#VALUE!</v>
      </c>
      <c r="AJ37" t="e">
        <f>AND('Show Info'!V15,"AAAAAH/8/yM=")</f>
        <v>#VALUE!</v>
      </c>
      <c r="AK37">
        <f>IF('Show Info'!18:18,"AAAAAH/8/yQ=",0)</f>
        <v>0</v>
      </c>
      <c r="AL37" t="e">
        <f>AND('Show Info'!A18,"AAAAAH/8/yU=")</f>
        <v>#VALUE!</v>
      </c>
      <c r="AM37" t="e">
        <f>AND('Show Info'!B18,"AAAAAH/8/yY=")</f>
        <v>#VALUE!</v>
      </c>
      <c r="AN37" t="e">
        <f>AND('Show Info'!C18,"AAAAAH/8/yc=")</f>
        <v>#VALUE!</v>
      </c>
      <c r="AO37" t="e">
        <f>AND('Show Info'!D18,"AAAAAH/8/yg=")</f>
        <v>#VALUE!</v>
      </c>
      <c r="AP37" t="e">
        <f>AND('Show Info'!E18,"AAAAAH/8/yk=")</f>
        <v>#VALUE!</v>
      </c>
      <c r="AQ37" t="e">
        <f>AND('Show Info'!F18,"AAAAAH/8/yo=")</f>
        <v>#VALUE!</v>
      </c>
      <c r="AR37" t="e">
        <f>AND('Show Info'!G18,"AAAAAH/8/ys=")</f>
        <v>#VALUE!</v>
      </c>
      <c r="AS37" t="e">
        <f>AND('Show Info'!H18,"AAAAAH/8/yw=")</f>
        <v>#VALUE!</v>
      </c>
      <c r="AT37" t="e">
        <f>AND('Show Info'!I18,"AAAAAH/8/y0=")</f>
        <v>#VALUE!</v>
      </c>
      <c r="AU37" t="e">
        <f>AND('Show Info'!J18,"AAAAAH/8/y4=")</f>
        <v>#VALUE!</v>
      </c>
      <c r="AV37" t="e">
        <f>AND('Show Info'!K18,"AAAAAH/8/y8=")</f>
        <v>#VALUE!</v>
      </c>
      <c r="AW37" t="e">
        <f>AND('Show Info'!L18,"AAAAAH/8/zA=")</f>
        <v>#VALUE!</v>
      </c>
      <c r="AX37" t="e">
        <f>AND('Show Info'!M18,"AAAAAH/8/zE=")</f>
        <v>#VALUE!</v>
      </c>
      <c r="AY37" t="e">
        <f>AND('Show Info'!N18,"AAAAAH/8/zI=")</f>
        <v>#VALUE!</v>
      </c>
      <c r="AZ37" t="e">
        <f>AND('Show Info'!O18,"AAAAAH/8/zM=")</f>
        <v>#VALUE!</v>
      </c>
      <c r="BA37" t="e">
        <f>AND('Show Info'!P18,"AAAAAH/8/zQ=")</f>
        <v>#VALUE!</v>
      </c>
      <c r="BB37" t="e">
        <f>AND('Show Info'!Q18,"AAAAAH/8/zU=")</f>
        <v>#VALUE!</v>
      </c>
      <c r="BC37" t="e">
        <f>AND('Show Info'!R18,"AAAAAH/8/zY=")</f>
        <v>#VALUE!</v>
      </c>
      <c r="BD37" t="e">
        <f>AND('Show Info'!S18,"AAAAAH/8/zc=")</f>
        <v>#VALUE!</v>
      </c>
      <c r="BE37" t="e">
        <f>AND('Show Info'!T18,"AAAAAH/8/zg=")</f>
        <v>#VALUE!</v>
      </c>
      <c r="BF37" t="e">
        <f>AND('Show Info'!U18,"AAAAAH/8/zk=")</f>
        <v>#VALUE!</v>
      </c>
      <c r="BG37" t="e">
        <f>AND('Show Info'!V18,"AAAAAH/8/zo=")</f>
        <v>#VALUE!</v>
      </c>
      <c r="BH37">
        <f>IF('Show Info'!19:19,"AAAAAH/8/zs=",0)</f>
        <v>0</v>
      </c>
      <c r="BI37" t="e">
        <f>AND('Show Info'!A19,"AAAAAH/8/zw=")</f>
        <v>#VALUE!</v>
      </c>
      <c r="BJ37" t="e">
        <f>AND('Show Info'!B19,"AAAAAH/8/z0=")</f>
        <v>#VALUE!</v>
      </c>
      <c r="BK37" t="e">
        <f>AND('Show Info'!C19,"AAAAAH/8/z4=")</f>
        <v>#VALUE!</v>
      </c>
      <c r="BL37" t="e">
        <f>AND('Show Info'!D19,"AAAAAH/8/z8=")</f>
        <v>#VALUE!</v>
      </c>
      <c r="BM37" t="e">
        <f>AND('Show Info'!E19,"AAAAAH/8/0A=")</f>
        <v>#VALUE!</v>
      </c>
      <c r="BN37" t="e">
        <f>AND('Show Info'!F19,"AAAAAH/8/0E=")</f>
        <v>#VALUE!</v>
      </c>
      <c r="BO37" t="e">
        <f>AND('Show Info'!G19,"AAAAAH/8/0I=")</f>
        <v>#VALUE!</v>
      </c>
      <c r="BP37" t="e">
        <f>AND('Show Info'!H19,"AAAAAH/8/0M=")</f>
        <v>#VALUE!</v>
      </c>
      <c r="BQ37" t="e">
        <f>AND('Show Info'!I19,"AAAAAH/8/0Q=")</f>
        <v>#VALUE!</v>
      </c>
      <c r="BR37" t="e">
        <f>AND('Show Info'!J19,"AAAAAH/8/0U=")</f>
        <v>#VALUE!</v>
      </c>
      <c r="BS37" t="e">
        <f>AND('Show Info'!K19,"AAAAAH/8/0Y=")</f>
        <v>#VALUE!</v>
      </c>
      <c r="BT37" t="e">
        <f>AND('Show Info'!L19,"AAAAAH/8/0c=")</f>
        <v>#VALUE!</v>
      </c>
      <c r="BU37" t="e">
        <f>AND('Show Info'!M19,"AAAAAH/8/0g=")</f>
        <v>#VALUE!</v>
      </c>
      <c r="BV37" t="e">
        <f>AND('Show Info'!N19,"AAAAAH/8/0k=")</f>
        <v>#VALUE!</v>
      </c>
      <c r="BW37" t="e">
        <f>AND('Show Info'!O19,"AAAAAH/8/0o=")</f>
        <v>#VALUE!</v>
      </c>
      <c r="BX37" t="e">
        <f>AND('Show Info'!P19,"AAAAAH/8/0s=")</f>
        <v>#VALUE!</v>
      </c>
      <c r="BY37" t="e">
        <f>AND('Show Info'!Q19,"AAAAAH/8/0w=")</f>
        <v>#VALUE!</v>
      </c>
      <c r="BZ37" t="e">
        <f>AND('Show Info'!R19,"AAAAAH/8/00=")</f>
        <v>#VALUE!</v>
      </c>
      <c r="CA37" t="e">
        <f>AND('Show Info'!S19,"AAAAAH/8/04=")</f>
        <v>#VALUE!</v>
      </c>
      <c r="CB37" t="e">
        <f>AND('Show Info'!T19,"AAAAAH/8/08=")</f>
        <v>#VALUE!</v>
      </c>
      <c r="CC37" t="e">
        <f>AND('Show Info'!U19,"AAAAAH/8/1A=")</f>
        <v>#VALUE!</v>
      </c>
      <c r="CD37" t="e">
        <f>AND('Show Info'!V19,"AAAAAH/8/1E=")</f>
        <v>#VALUE!</v>
      </c>
      <c r="CE37">
        <f>IF('Show Info'!17:17,"AAAAAH/8/1I=",0)</f>
        <v>0</v>
      </c>
      <c r="CF37" t="e">
        <f>AND('Show Info'!A17,"AAAAAH/8/1M=")</f>
        <v>#VALUE!</v>
      </c>
      <c r="CG37" t="e">
        <f>AND('Show Info'!B17,"AAAAAH/8/1Q=")</f>
        <v>#VALUE!</v>
      </c>
      <c r="CH37" t="e">
        <f>AND('Show Info'!C17,"AAAAAH/8/1U=")</f>
        <v>#VALUE!</v>
      </c>
      <c r="CI37" t="e">
        <f>AND('Show Info'!D17,"AAAAAH/8/1Y=")</f>
        <v>#VALUE!</v>
      </c>
      <c r="CJ37" t="e">
        <f>AND('Show Info'!E17,"AAAAAH/8/1c=")</f>
        <v>#VALUE!</v>
      </c>
      <c r="CK37" t="e">
        <f>AND('Show Info'!F17,"AAAAAH/8/1g=")</f>
        <v>#VALUE!</v>
      </c>
      <c r="CL37" t="e">
        <f>AND('Show Info'!G17,"AAAAAH/8/1k=")</f>
        <v>#VALUE!</v>
      </c>
      <c r="CM37" t="e">
        <f>AND('Show Info'!H17,"AAAAAH/8/1o=")</f>
        <v>#VALUE!</v>
      </c>
      <c r="CN37" t="e">
        <f>AND('Show Info'!I17,"AAAAAH/8/1s=")</f>
        <v>#VALUE!</v>
      </c>
      <c r="CO37" t="e">
        <f>AND('Show Info'!J17,"AAAAAH/8/1w=")</f>
        <v>#VALUE!</v>
      </c>
      <c r="CP37" t="e">
        <f>AND('Show Info'!K17,"AAAAAH/8/10=")</f>
        <v>#VALUE!</v>
      </c>
      <c r="CQ37" t="e">
        <f>AND('Show Info'!L17,"AAAAAH/8/14=")</f>
        <v>#VALUE!</v>
      </c>
      <c r="CR37" t="e">
        <f>AND('Show Info'!M17,"AAAAAH/8/18=")</f>
        <v>#VALUE!</v>
      </c>
      <c r="CS37" t="e">
        <f>AND('Show Info'!N17,"AAAAAH/8/2A=")</f>
        <v>#VALUE!</v>
      </c>
      <c r="CT37" t="e">
        <f>AND('Show Info'!O17,"AAAAAH/8/2E=")</f>
        <v>#VALUE!</v>
      </c>
      <c r="CU37" t="e">
        <f>AND('Show Info'!P17,"AAAAAH/8/2I=")</f>
        <v>#VALUE!</v>
      </c>
      <c r="CV37" t="e">
        <f>AND('Show Info'!Q17,"AAAAAH/8/2M=")</f>
        <v>#VALUE!</v>
      </c>
      <c r="CW37" t="e">
        <f>AND('Show Info'!R17,"AAAAAH/8/2Q=")</f>
        <v>#VALUE!</v>
      </c>
      <c r="CX37" t="e">
        <f>AND('Show Info'!S17,"AAAAAH/8/2U=")</f>
        <v>#VALUE!</v>
      </c>
      <c r="CY37" t="e">
        <f>AND('Show Info'!T17,"AAAAAH/8/2Y=")</f>
        <v>#VALUE!</v>
      </c>
      <c r="CZ37" t="e">
        <f>AND('Show Info'!U17,"AAAAAH/8/2c=")</f>
        <v>#VALUE!</v>
      </c>
      <c r="DA37" t="e">
        <f>AND('Show Info'!V17,"AAAAAH/8/2g=")</f>
        <v>#VALUE!</v>
      </c>
      <c r="DB37" t="e">
        <f>IF('Show Info'!#REF!,"AAAAAH/8/2k=",0)</f>
        <v>#REF!</v>
      </c>
      <c r="DC37" t="e">
        <f>AND('Show Info'!#REF!,"AAAAAH/8/2o=")</f>
        <v>#REF!</v>
      </c>
      <c r="DD37" t="e">
        <f>AND('Show Info'!#REF!,"AAAAAH/8/2s=")</f>
        <v>#REF!</v>
      </c>
      <c r="DE37" t="e">
        <f>AND('Show Info'!#REF!,"AAAAAH/8/2w=")</f>
        <v>#REF!</v>
      </c>
      <c r="DF37" t="e">
        <f>AND('Show Info'!#REF!,"AAAAAH/8/20=")</f>
        <v>#REF!</v>
      </c>
      <c r="DG37" t="e">
        <f>AND('Show Info'!#REF!,"AAAAAH/8/24=")</f>
        <v>#REF!</v>
      </c>
      <c r="DH37" t="e">
        <f>AND('Show Info'!#REF!,"AAAAAH/8/28=")</f>
        <v>#REF!</v>
      </c>
      <c r="DI37" t="e">
        <f>AND('Show Info'!#REF!,"AAAAAH/8/3A=")</f>
        <v>#REF!</v>
      </c>
      <c r="DJ37" t="e">
        <f>AND('Show Info'!#REF!,"AAAAAH/8/3E=")</f>
        <v>#REF!</v>
      </c>
      <c r="DK37" t="e">
        <f>AND('Show Info'!#REF!,"AAAAAH/8/3I=")</f>
        <v>#REF!</v>
      </c>
      <c r="DL37" t="e">
        <f>AND('Show Info'!#REF!,"AAAAAH/8/3M=")</f>
        <v>#REF!</v>
      </c>
      <c r="DM37" t="e">
        <f>AND('Show Info'!#REF!,"AAAAAH/8/3Q=")</f>
        <v>#REF!</v>
      </c>
      <c r="DN37" t="e">
        <f>AND('Show Info'!#REF!,"AAAAAH/8/3U=")</f>
        <v>#REF!</v>
      </c>
      <c r="DO37" t="e">
        <f>AND('Show Info'!#REF!,"AAAAAH/8/3Y=")</f>
        <v>#REF!</v>
      </c>
      <c r="DP37" t="e">
        <f>AND('Show Info'!#REF!,"AAAAAH/8/3c=")</f>
        <v>#REF!</v>
      </c>
      <c r="DQ37" t="e">
        <f>AND('Show Info'!#REF!,"AAAAAH/8/3g=")</f>
        <v>#REF!</v>
      </c>
      <c r="DR37" t="e">
        <f>AND('Show Info'!#REF!,"AAAAAH/8/3k=")</f>
        <v>#REF!</v>
      </c>
      <c r="DS37" t="e">
        <f>AND('Show Info'!#REF!,"AAAAAH/8/3o=")</f>
        <v>#REF!</v>
      </c>
      <c r="DT37" t="e">
        <f>AND('Show Info'!#REF!,"AAAAAH/8/3s=")</f>
        <v>#REF!</v>
      </c>
      <c r="DU37" t="e">
        <f>AND('Show Info'!#REF!,"AAAAAH/8/3w=")</f>
        <v>#REF!</v>
      </c>
      <c r="DV37" t="e">
        <f>AND('Show Info'!#REF!,"AAAAAH/8/30=")</f>
        <v>#REF!</v>
      </c>
      <c r="DW37" t="e">
        <f>AND('Show Info'!#REF!,"AAAAAH/8/34=")</f>
        <v>#REF!</v>
      </c>
      <c r="DX37" t="e">
        <f>AND('Show Info'!#REF!,"AAAAAH/8/38=")</f>
        <v>#REF!</v>
      </c>
      <c r="DY37" t="e">
        <f>IF('Show Info'!#REF!,"AAAAAH/8/4A=",0)</f>
        <v>#REF!</v>
      </c>
      <c r="DZ37" t="e">
        <f>AND('Show Info'!#REF!,"AAAAAH/8/4E=")</f>
        <v>#REF!</v>
      </c>
      <c r="EA37" t="e">
        <f>AND('Show Info'!#REF!,"AAAAAH/8/4I=")</f>
        <v>#REF!</v>
      </c>
      <c r="EB37" t="e">
        <f>AND('Show Info'!#REF!,"AAAAAH/8/4M=")</f>
        <v>#REF!</v>
      </c>
      <c r="EC37" t="e">
        <f>AND('Show Info'!#REF!,"AAAAAH/8/4Q=")</f>
        <v>#REF!</v>
      </c>
      <c r="ED37" t="e">
        <f>AND('Show Info'!#REF!,"AAAAAH/8/4U=")</f>
        <v>#REF!</v>
      </c>
      <c r="EE37" t="e">
        <f>AND('Show Info'!#REF!,"AAAAAH/8/4Y=")</f>
        <v>#REF!</v>
      </c>
      <c r="EF37" t="e">
        <f>AND('Show Info'!#REF!,"AAAAAH/8/4c=")</f>
        <v>#REF!</v>
      </c>
      <c r="EG37" t="e">
        <f>AND('Show Info'!#REF!,"AAAAAH/8/4g=")</f>
        <v>#REF!</v>
      </c>
      <c r="EH37" t="e">
        <f>AND('Show Info'!#REF!,"AAAAAH/8/4k=")</f>
        <v>#REF!</v>
      </c>
      <c r="EI37" t="e">
        <f>AND('Show Info'!#REF!,"AAAAAH/8/4o=")</f>
        <v>#REF!</v>
      </c>
      <c r="EJ37" t="e">
        <f>AND('Show Info'!#REF!,"AAAAAH/8/4s=")</f>
        <v>#REF!</v>
      </c>
      <c r="EK37" t="e">
        <f>AND('Show Info'!#REF!,"AAAAAH/8/4w=")</f>
        <v>#REF!</v>
      </c>
      <c r="EL37" t="e">
        <f>AND('Show Info'!#REF!,"AAAAAH/8/40=")</f>
        <v>#REF!</v>
      </c>
      <c r="EM37" t="e">
        <f>AND('Show Info'!#REF!,"AAAAAH/8/44=")</f>
        <v>#REF!</v>
      </c>
      <c r="EN37" t="e">
        <f>AND('Show Info'!#REF!,"AAAAAH/8/48=")</f>
        <v>#REF!</v>
      </c>
      <c r="EO37" t="e">
        <f>AND('Show Info'!#REF!,"AAAAAH/8/5A=")</f>
        <v>#REF!</v>
      </c>
      <c r="EP37" t="e">
        <f>AND('Show Info'!#REF!,"AAAAAH/8/5E=")</f>
        <v>#REF!</v>
      </c>
      <c r="EQ37" t="e">
        <f>AND('Show Info'!#REF!,"AAAAAH/8/5I=")</f>
        <v>#REF!</v>
      </c>
      <c r="ER37" t="e">
        <f>AND('Show Info'!#REF!,"AAAAAH/8/5M=")</f>
        <v>#REF!</v>
      </c>
      <c r="ES37" t="e">
        <f>AND('Show Info'!#REF!,"AAAAAH/8/5Q=")</f>
        <v>#REF!</v>
      </c>
      <c r="ET37" t="e">
        <f>AND('Show Info'!#REF!,"AAAAAH/8/5U=")</f>
        <v>#REF!</v>
      </c>
      <c r="EU37" t="e">
        <f>AND('Show Info'!#REF!,"AAAAAH/8/5Y=")</f>
        <v>#REF!</v>
      </c>
      <c r="EV37" t="e">
        <f>IF('Show Info'!#REF!,"AAAAAH/8/5c=",0)</f>
        <v>#REF!</v>
      </c>
      <c r="EW37" t="e">
        <f>AND('Show Info'!#REF!,"AAAAAH/8/5g=")</f>
        <v>#REF!</v>
      </c>
      <c r="EX37" t="e">
        <f>AND('Show Info'!#REF!,"AAAAAH/8/5k=")</f>
        <v>#REF!</v>
      </c>
      <c r="EY37" t="e">
        <f>AND('Show Info'!#REF!,"AAAAAH/8/5o=")</f>
        <v>#REF!</v>
      </c>
      <c r="EZ37" t="e">
        <f>AND('Show Info'!#REF!,"AAAAAH/8/5s=")</f>
        <v>#REF!</v>
      </c>
      <c r="FA37" t="e">
        <f>AND('Show Info'!#REF!,"AAAAAH/8/5w=")</f>
        <v>#REF!</v>
      </c>
      <c r="FB37" t="e">
        <f>AND('Show Info'!#REF!,"AAAAAH/8/50=")</f>
        <v>#REF!</v>
      </c>
      <c r="FC37" t="e">
        <f>AND('Show Info'!#REF!,"AAAAAH/8/54=")</f>
        <v>#REF!</v>
      </c>
      <c r="FD37" t="e">
        <f>AND('Show Info'!#REF!,"AAAAAH/8/58=")</f>
        <v>#REF!</v>
      </c>
      <c r="FE37" t="e">
        <f>AND('Show Info'!#REF!,"AAAAAH/8/6A=")</f>
        <v>#REF!</v>
      </c>
      <c r="FF37" t="e">
        <f>AND('Show Info'!#REF!,"AAAAAH/8/6E=")</f>
        <v>#REF!</v>
      </c>
      <c r="FG37" t="e">
        <f>AND('Show Info'!#REF!,"AAAAAH/8/6I=")</f>
        <v>#REF!</v>
      </c>
      <c r="FH37" t="e">
        <f>AND('Show Info'!#REF!,"AAAAAH/8/6M=")</f>
        <v>#REF!</v>
      </c>
      <c r="FI37" t="e">
        <f>AND('Show Info'!#REF!,"AAAAAH/8/6Q=")</f>
        <v>#REF!</v>
      </c>
      <c r="FJ37" t="e">
        <f>AND('Show Info'!#REF!,"AAAAAH/8/6U=")</f>
        <v>#REF!</v>
      </c>
      <c r="FK37" t="e">
        <f>AND('Show Info'!#REF!,"AAAAAH/8/6Y=")</f>
        <v>#REF!</v>
      </c>
      <c r="FL37" t="e">
        <f>AND('Show Info'!#REF!,"AAAAAH/8/6c=")</f>
        <v>#REF!</v>
      </c>
      <c r="FM37" t="e">
        <f>AND('Show Info'!#REF!,"AAAAAH/8/6g=")</f>
        <v>#REF!</v>
      </c>
      <c r="FN37" t="e">
        <f>AND('Show Info'!#REF!,"AAAAAH/8/6k=")</f>
        <v>#REF!</v>
      </c>
      <c r="FO37" t="e">
        <f>AND('Show Info'!#REF!,"AAAAAH/8/6o=")</f>
        <v>#REF!</v>
      </c>
      <c r="FP37" t="e">
        <f>AND('Show Info'!#REF!,"AAAAAH/8/6s=")</f>
        <v>#REF!</v>
      </c>
      <c r="FQ37" t="e">
        <f>AND('Show Info'!#REF!,"AAAAAH/8/6w=")</f>
        <v>#REF!</v>
      </c>
      <c r="FR37" t="e">
        <f>AND('Show Info'!#REF!,"AAAAAH/8/60=")</f>
        <v>#REF!</v>
      </c>
      <c r="FS37" t="e">
        <f>IF('Show Info'!#REF!,"AAAAAH/8/64=",0)</f>
        <v>#REF!</v>
      </c>
      <c r="FT37" t="e">
        <f>AND('Show Info'!#REF!,"AAAAAH/8/68=")</f>
        <v>#REF!</v>
      </c>
      <c r="FU37" t="e">
        <f>AND('Show Info'!#REF!,"AAAAAH/8/7A=")</f>
        <v>#REF!</v>
      </c>
      <c r="FV37" t="e">
        <f>AND('Show Info'!#REF!,"AAAAAH/8/7E=")</f>
        <v>#REF!</v>
      </c>
      <c r="FW37" t="e">
        <f>AND('Show Info'!#REF!,"AAAAAH/8/7I=")</f>
        <v>#REF!</v>
      </c>
      <c r="FX37" t="e">
        <f>AND('Show Info'!#REF!,"AAAAAH/8/7M=")</f>
        <v>#REF!</v>
      </c>
      <c r="FY37" t="e">
        <f>AND('Show Info'!#REF!,"AAAAAH/8/7Q=")</f>
        <v>#REF!</v>
      </c>
      <c r="FZ37" t="e">
        <f>AND('Show Info'!#REF!,"AAAAAH/8/7U=")</f>
        <v>#REF!</v>
      </c>
      <c r="GA37" t="e">
        <f>AND('Show Info'!#REF!,"AAAAAH/8/7Y=")</f>
        <v>#REF!</v>
      </c>
      <c r="GB37" t="e">
        <f>AND('Show Info'!#REF!,"AAAAAH/8/7c=")</f>
        <v>#REF!</v>
      </c>
      <c r="GC37" t="e">
        <f>AND('Show Info'!#REF!,"AAAAAH/8/7g=")</f>
        <v>#REF!</v>
      </c>
      <c r="GD37" t="e">
        <f>AND('Show Info'!#REF!,"AAAAAH/8/7k=")</f>
        <v>#REF!</v>
      </c>
      <c r="GE37" t="e">
        <f>AND('Show Info'!#REF!,"AAAAAH/8/7o=")</f>
        <v>#REF!</v>
      </c>
      <c r="GF37" t="e">
        <f>AND('Show Info'!#REF!,"AAAAAH/8/7s=")</f>
        <v>#REF!</v>
      </c>
      <c r="GG37" t="e">
        <f>AND('Show Info'!#REF!,"AAAAAH/8/7w=")</f>
        <v>#REF!</v>
      </c>
      <c r="GH37" t="e">
        <f>AND('Show Info'!#REF!,"AAAAAH/8/70=")</f>
        <v>#REF!</v>
      </c>
      <c r="GI37" t="e">
        <f>AND('Show Info'!#REF!,"AAAAAH/8/74=")</f>
        <v>#REF!</v>
      </c>
      <c r="GJ37" t="e">
        <f>AND('Show Info'!#REF!,"AAAAAH/8/78=")</f>
        <v>#REF!</v>
      </c>
      <c r="GK37" t="e">
        <f>AND('Show Info'!#REF!,"AAAAAH/8/8A=")</f>
        <v>#REF!</v>
      </c>
      <c r="GL37" t="e">
        <f>AND('Show Info'!#REF!,"AAAAAH/8/8E=")</f>
        <v>#REF!</v>
      </c>
      <c r="GM37" t="e">
        <f>AND('Show Info'!#REF!,"AAAAAH/8/8I=")</f>
        <v>#REF!</v>
      </c>
      <c r="GN37" t="e">
        <f>AND('Show Info'!#REF!,"AAAAAH/8/8M=")</f>
        <v>#REF!</v>
      </c>
      <c r="GO37" t="e">
        <f>AND('Show Info'!#REF!,"AAAAAH/8/8Q=")</f>
        <v>#REF!</v>
      </c>
      <c r="GP37">
        <f>IF('Show Info'!61:61,"AAAAAH/8/8U=",0)</f>
        <v>0</v>
      </c>
      <c r="GQ37" t="e">
        <f>AND('Show Info'!A61,"AAAAAH/8/8Y=")</f>
        <v>#VALUE!</v>
      </c>
      <c r="GR37" t="e">
        <f>AND('Show Info'!B61,"AAAAAH/8/8c=")</f>
        <v>#VALUE!</v>
      </c>
      <c r="GS37" t="e">
        <f>AND('Show Info'!C61,"AAAAAH/8/8g=")</f>
        <v>#VALUE!</v>
      </c>
      <c r="GT37" t="e">
        <f>AND('Show Info'!D61,"AAAAAH/8/8k=")</f>
        <v>#VALUE!</v>
      </c>
      <c r="GU37" t="e">
        <f>AND('Show Info'!E61,"AAAAAH/8/8o=")</f>
        <v>#VALUE!</v>
      </c>
      <c r="GV37" t="e">
        <f>AND('Show Info'!F61,"AAAAAH/8/8s=")</f>
        <v>#VALUE!</v>
      </c>
      <c r="GW37" t="e">
        <f>AND('Show Info'!G61,"AAAAAH/8/8w=")</f>
        <v>#VALUE!</v>
      </c>
      <c r="GX37" t="e">
        <f>AND('Show Info'!H61,"AAAAAH/8/80=")</f>
        <v>#VALUE!</v>
      </c>
      <c r="GY37" t="e">
        <f>AND('Show Info'!I61,"AAAAAH/8/84=")</f>
        <v>#VALUE!</v>
      </c>
      <c r="GZ37" t="e">
        <f>AND('Show Info'!J61,"AAAAAH/8/88=")</f>
        <v>#VALUE!</v>
      </c>
      <c r="HA37" t="e">
        <f>AND('Show Info'!K61,"AAAAAH/8/9A=")</f>
        <v>#VALUE!</v>
      </c>
      <c r="HB37" t="e">
        <f>AND('Show Info'!L61,"AAAAAH/8/9E=")</f>
        <v>#VALUE!</v>
      </c>
      <c r="HC37" t="e">
        <f>AND('Show Info'!M61,"AAAAAH/8/9I=")</f>
        <v>#VALUE!</v>
      </c>
      <c r="HD37" t="e">
        <f>AND('Show Info'!N61,"AAAAAH/8/9M=")</f>
        <v>#VALUE!</v>
      </c>
      <c r="HE37" t="e">
        <f>AND('Show Info'!O61,"AAAAAH/8/9Q=")</f>
        <v>#VALUE!</v>
      </c>
      <c r="HF37" t="e">
        <f>AND('Show Info'!P61,"AAAAAH/8/9U=")</f>
        <v>#VALUE!</v>
      </c>
      <c r="HG37" t="e">
        <f>AND('Show Info'!Q61,"AAAAAH/8/9Y=")</f>
        <v>#VALUE!</v>
      </c>
      <c r="HH37" t="e">
        <f>AND('Show Info'!R61,"AAAAAH/8/9c=")</f>
        <v>#VALUE!</v>
      </c>
      <c r="HI37" t="e">
        <f>AND('Show Info'!S61,"AAAAAH/8/9g=")</f>
        <v>#VALUE!</v>
      </c>
      <c r="HJ37" t="e">
        <f>AND('Show Info'!T61,"AAAAAH/8/9k=")</f>
        <v>#VALUE!</v>
      </c>
      <c r="HK37" t="e">
        <f>AND('Show Info'!U61,"AAAAAH/8/9o=")</f>
        <v>#VALUE!</v>
      </c>
      <c r="HL37" t="e">
        <f>AND('Show Info'!V61,"AAAAAH/8/9s=")</f>
        <v>#VALUE!</v>
      </c>
      <c r="HM37">
        <f>IF('Show Info'!62:62,"AAAAAH/8/9w=",0)</f>
        <v>0</v>
      </c>
      <c r="HN37" t="e">
        <f>AND('Show Info'!A62,"AAAAAH/8/90=")</f>
        <v>#VALUE!</v>
      </c>
      <c r="HO37" t="e">
        <f>AND('Show Info'!B62,"AAAAAH/8/94=")</f>
        <v>#VALUE!</v>
      </c>
      <c r="HP37" t="e">
        <f>AND('Show Info'!C62,"AAAAAH/8/98=")</f>
        <v>#VALUE!</v>
      </c>
      <c r="HQ37" t="e">
        <f>AND('Show Info'!D62,"AAAAAH/8/+A=")</f>
        <v>#VALUE!</v>
      </c>
      <c r="HR37" t="e">
        <f>AND('Show Info'!E62,"AAAAAH/8/+E=")</f>
        <v>#VALUE!</v>
      </c>
      <c r="HS37" t="e">
        <f>AND('Show Info'!F62,"AAAAAH/8/+I=")</f>
        <v>#VALUE!</v>
      </c>
      <c r="HT37" t="e">
        <f>AND('Show Info'!G62,"AAAAAH/8/+M=")</f>
        <v>#VALUE!</v>
      </c>
      <c r="HU37" t="e">
        <f>AND('Show Info'!H62,"AAAAAH/8/+Q=")</f>
        <v>#VALUE!</v>
      </c>
      <c r="HV37" t="e">
        <f>AND('Show Info'!I62,"AAAAAH/8/+U=")</f>
        <v>#VALUE!</v>
      </c>
      <c r="HW37" t="e">
        <f>AND('Show Info'!J62,"AAAAAH/8/+Y=")</f>
        <v>#VALUE!</v>
      </c>
      <c r="HX37" t="e">
        <f>AND('Show Info'!K62,"AAAAAH/8/+c=")</f>
        <v>#VALUE!</v>
      </c>
      <c r="HY37" t="e">
        <f>AND('Show Info'!L62,"AAAAAH/8/+g=")</f>
        <v>#VALUE!</v>
      </c>
      <c r="HZ37" t="e">
        <f>AND('Show Info'!#REF!,"AAAAAH/8/+k=")</f>
        <v>#REF!</v>
      </c>
      <c r="IA37" t="e">
        <f>AND('Show Info'!#REF!,"AAAAAH/8/+o=")</f>
        <v>#REF!</v>
      </c>
      <c r="IB37" t="e">
        <f>AND('Show Info'!#REF!,"AAAAAH/8/+s=")</f>
        <v>#REF!</v>
      </c>
      <c r="IC37" t="e">
        <f>AND('Show Info'!#REF!,"AAAAAH/8/+w=")</f>
        <v>#REF!</v>
      </c>
      <c r="ID37" t="e">
        <f>AND('Show Info'!#REF!,"AAAAAH/8/+0=")</f>
        <v>#REF!</v>
      </c>
      <c r="IE37" t="e">
        <f>AND('Show Info'!M62,"AAAAAH/8/+4=")</f>
        <v>#VALUE!</v>
      </c>
      <c r="IF37" t="e">
        <f>AND('Show Info'!N62,"AAAAAH/8/+8=")</f>
        <v>#VALUE!</v>
      </c>
      <c r="IG37" t="e">
        <f>AND('Show Info'!O62,"AAAAAH/8//A=")</f>
        <v>#VALUE!</v>
      </c>
      <c r="IH37" t="e">
        <f>AND('Show Info'!P62,"AAAAAH/8//E=")</f>
        <v>#VALUE!</v>
      </c>
      <c r="II37" t="e">
        <f>AND('Show Info'!Q62,"AAAAAH/8//I=")</f>
        <v>#VALUE!</v>
      </c>
      <c r="IJ37" t="e">
        <f>IF('Show Info'!#REF!,"AAAAAH/8//M=",0)</f>
        <v>#REF!</v>
      </c>
      <c r="IK37" t="e">
        <f>AND('Show Info'!#REF!,"AAAAAH/8//Q=")</f>
        <v>#REF!</v>
      </c>
      <c r="IL37" t="e">
        <f>AND('Show Info'!#REF!,"AAAAAH/8//U=")</f>
        <v>#REF!</v>
      </c>
      <c r="IM37" t="e">
        <f>AND('Show Info'!#REF!,"AAAAAH/8//Y=")</f>
        <v>#REF!</v>
      </c>
      <c r="IN37" t="e">
        <f>AND('Show Info'!#REF!,"AAAAAH/8//c=")</f>
        <v>#REF!</v>
      </c>
      <c r="IO37" t="e">
        <f>AND('Show Info'!#REF!,"AAAAAH/8//g=")</f>
        <v>#REF!</v>
      </c>
      <c r="IP37" t="e">
        <f>AND('Show Info'!#REF!,"AAAAAH/8//k=")</f>
        <v>#REF!</v>
      </c>
      <c r="IQ37" t="e">
        <f>AND('Show Info'!#REF!,"AAAAAH/8//o=")</f>
        <v>#REF!</v>
      </c>
      <c r="IR37" t="e">
        <f>AND('Show Info'!#REF!,"AAAAAH/8//s=")</f>
        <v>#REF!</v>
      </c>
      <c r="IS37" t="e">
        <f>AND('Show Info'!#REF!,"AAAAAH/8//w=")</f>
        <v>#REF!</v>
      </c>
      <c r="IT37" t="e">
        <f>AND('Show Info'!#REF!,"AAAAAH/8//0=")</f>
        <v>#REF!</v>
      </c>
      <c r="IU37" t="e">
        <f>AND('Show Info'!#REF!,"AAAAAH/8//4=")</f>
        <v>#REF!</v>
      </c>
      <c r="IV37" t="e">
        <f>AND('Show Info'!#REF!,"AAAAAH/8//8=")</f>
        <v>#REF!</v>
      </c>
    </row>
    <row r="38" spans="1:256" x14ac:dyDescent="0.2">
      <c r="A38" t="e">
        <f>AND('Show Info'!#REF!,"AAAAAFb3uAA=")</f>
        <v>#REF!</v>
      </c>
      <c r="B38" t="e">
        <f>AND('Show Info'!#REF!,"AAAAAFb3uAE=")</f>
        <v>#REF!</v>
      </c>
      <c r="C38" t="e">
        <f>AND('Show Info'!#REF!,"AAAAAFb3uAI=")</f>
        <v>#REF!</v>
      </c>
      <c r="D38" t="e">
        <f>AND('Show Info'!#REF!,"AAAAAFb3uAM=")</f>
        <v>#REF!</v>
      </c>
      <c r="E38" t="e">
        <f>AND('Show Info'!#REF!,"AAAAAFb3uAQ=")</f>
        <v>#REF!</v>
      </c>
      <c r="F38" t="e">
        <f>AND('Show Info'!#REF!,"AAAAAFb3uAU=")</f>
        <v>#REF!</v>
      </c>
      <c r="G38" t="e">
        <f>AND('Show Info'!#REF!,"AAAAAFb3uAY=")</f>
        <v>#REF!</v>
      </c>
      <c r="H38" t="e">
        <f>AND('Show Info'!#REF!,"AAAAAFb3uAc=")</f>
        <v>#REF!</v>
      </c>
      <c r="I38" t="e">
        <f>AND('Show Info'!#REF!,"AAAAAFb3uAg=")</f>
        <v>#REF!</v>
      </c>
      <c r="J38" t="e">
        <f>AND('Show Info'!#REF!,"AAAAAFb3uAk=")</f>
        <v>#REF!</v>
      </c>
      <c r="K38">
        <f>IF('Show Info'!63:63,"AAAAAFb3uAo=",0)</f>
        <v>0</v>
      </c>
      <c r="L38" t="e">
        <f>AND('Show Info'!A63,"AAAAAFb3uAs=")</f>
        <v>#VALUE!</v>
      </c>
      <c r="M38" t="e">
        <f>AND('Show Info'!B63,"AAAAAFb3uAw=")</f>
        <v>#VALUE!</v>
      </c>
      <c r="N38" t="e">
        <f>AND('Show Info'!C63,"AAAAAFb3uA0=")</f>
        <v>#VALUE!</v>
      </c>
      <c r="O38" t="e">
        <f>AND('Show Info'!D63,"AAAAAFb3uA4=")</f>
        <v>#VALUE!</v>
      </c>
      <c r="P38" t="e">
        <f>AND('Show Info'!E63,"AAAAAFb3uA8=")</f>
        <v>#VALUE!</v>
      </c>
      <c r="Q38" t="e">
        <f>AND('Show Info'!F63,"AAAAAFb3uBA=")</f>
        <v>#VALUE!</v>
      </c>
      <c r="R38" t="e">
        <f>AND('Show Info'!G63,"AAAAAFb3uBE=")</f>
        <v>#VALUE!</v>
      </c>
      <c r="S38" t="e">
        <f>AND('Show Info'!H63,"AAAAAFb3uBI=")</f>
        <v>#VALUE!</v>
      </c>
      <c r="T38" t="e">
        <f>AND('Show Info'!I63,"AAAAAFb3uBM=")</f>
        <v>#VALUE!</v>
      </c>
      <c r="U38" t="e">
        <f>AND('Show Info'!J63,"AAAAAFb3uBQ=")</f>
        <v>#VALUE!</v>
      </c>
      <c r="V38" t="e">
        <f>AND('Show Info'!K63,"AAAAAFb3uBU=")</f>
        <v>#VALUE!</v>
      </c>
      <c r="W38" t="e">
        <f>AND('Show Info'!L63,"AAAAAFb3uBY=")</f>
        <v>#VALUE!</v>
      </c>
      <c r="X38" t="e">
        <f>AND('Show Info'!M63,"AAAAAFb3uBc=")</f>
        <v>#VALUE!</v>
      </c>
      <c r="Y38" t="e">
        <f>AND('Show Info'!N63,"AAAAAFb3uBg=")</f>
        <v>#VALUE!</v>
      </c>
      <c r="Z38" t="e">
        <f>AND('Show Info'!O63,"AAAAAFb3uBk=")</f>
        <v>#VALUE!</v>
      </c>
      <c r="AA38" t="e">
        <f>AND('Show Info'!P63,"AAAAAFb3uBo=")</f>
        <v>#VALUE!</v>
      </c>
      <c r="AB38" t="e">
        <f>AND('Show Info'!Q63,"AAAAAFb3uBs=")</f>
        <v>#VALUE!</v>
      </c>
      <c r="AC38" t="e">
        <f>AND('Show Info'!R63,"AAAAAFb3uBw=")</f>
        <v>#VALUE!</v>
      </c>
      <c r="AD38" t="e">
        <f>AND('Show Info'!S63,"AAAAAFb3uB0=")</f>
        <v>#VALUE!</v>
      </c>
      <c r="AE38" t="e">
        <f>AND('Show Info'!T63,"AAAAAFb3uB4=")</f>
        <v>#VALUE!</v>
      </c>
      <c r="AF38" t="e">
        <f>AND('Show Info'!U63,"AAAAAFb3uB8=")</f>
        <v>#VALUE!</v>
      </c>
      <c r="AG38" t="e">
        <f>AND('Show Info'!V63,"AAAAAFb3uCA=")</f>
        <v>#VALUE!</v>
      </c>
      <c r="AH38" t="e">
        <f>IF('Show Info'!#REF!,"AAAAAFb3uCE=",0)</f>
        <v>#REF!</v>
      </c>
      <c r="AI38" t="e">
        <f>AND('Show Info'!#REF!,"AAAAAFb3uCI=")</f>
        <v>#REF!</v>
      </c>
      <c r="AJ38" t="e">
        <f>AND('Show Info'!#REF!,"AAAAAFb3uCM=")</f>
        <v>#REF!</v>
      </c>
      <c r="AK38" t="e">
        <f>AND('Show Info'!#REF!,"AAAAAFb3uCQ=")</f>
        <v>#REF!</v>
      </c>
      <c r="AL38" t="e">
        <f>AND('Show Info'!#REF!,"AAAAAFb3uCU=")</f>
        <v>#REF!</v>
      </c>
      <c r="AM38" t="e">
        <f>AND('Show Info'!#REF!,"AAAAAFb3uCY=")</f>
        <v>#REF!</v>
      </c>
      <c r="AN38" t="e">
        <f>AND('Show Info'!#REF!,"AAAAAFb3uCc=")</f>
        <v>#REF!</v>
      </c>
      <c r="AO38" t="e">
        <f>AND('Show Info'!#REF!,"AAAAAFb3uCg=")</f>
        <v>#REF!</v>
      </c>
      <c r="AP38" t="e">
        <f>AND('Show Info'!#REF!,"AAAAAFb3uCk=")</f>
        <v>#REF!</v>
      </c>
      <c r="AQ38" t="e">
        <f>AND('Show Info'!#REF!,"AAAAAFb3uCo=")</f>
        <v>#REF!</v>
      </c>
      <c r="AR38" t="e">
        <f>AND('Show Info'!#REF!,"AAAAAFb3uCs=")</f>
        <v>#REF!</v>
      </c>
      <c r="AS38" t="e">
        <f>AND('Show Info'!#REF!,"AAAAAFb3uCw=")</f>
        <v>#REF!</v>
      </c>
      <c r="AT38" t="e">
        <f>AND('Show Info'!#REF!,"AAAAAFb3uC0=")</f>
        <v>#REF!</v>
      </c>
      <c r="AU38" t="e">
        <f>AND('Show Info'!#REF!,"AAAAAFb3uC4=")</f>
        <v>#REF!</v>
      </c>
      <c r="AV38" t="e">
        <f>AND('Show Info'!#REF!,"AAAAAFb3uC8=")</f>
        <v>#REF!</v>
      </c>
      <c r="AW38" t="e">
        <f>AND('Show Info'!#REF!,"AAAAAFb3uDA=")</f>
        <v>#REF!</v>
      </c>
      <c r="AX38" t="e">
        <f>AND('Show Info'!#REF!,"AAAAAFb3uDE=")</f>
        <v>#REF!</v>
      </c>
      <c r="AY38" t="e">
        <f>AND('Show Info'!#REF!,"AAAAAFb3uDI=")</f>
        <v>#REF!</v>
      </c>
      <c r="AZ38" t="e">
        <f>AND('Show Info'!#REF!,"AAAAAFb3uDM=")</f>
        <v>#REF!</v>
      </c>
      <c r="BA38" t="e">
        <f>AND('Show Info'!#REF!,"AAAAAFb3uDQ=")</f>
        <v>#REF!</v>
      </c>
      <c r="BB38" t="e">
        <f>AND('Show Info'!#REF!,"AAAAAFb3uDU=")</f>
        <v>#REF!</v>
      </c>
      <c r="BC38" t="e">
        <f>AND('Show Info'!#REF!,"AAAAAFb3uDY=")</f>
        <v>#REF!</v>
      </c>
      <c r="BD38" t="e">
        <f>AND('Show Info'!#REF!,"AAAAAFb3uDc=")</f>
        <v>#REF!</v>
      </c>
      <c r="BE38" t="e">
        <f>IF('Show Info'!#REF!,"AAAAAFb3uDg=",0)</f>
        <v>#REF!</v>
      </c>
      <c r="BF38" t="e">
        <f>AND('Show Info'!#REF!,"AAAAAFb3uDk=")</f>
        <v>#REF!</v>
      </c>
      <c r="BG38" t="e">
        <f>AND('Show Info'!#REF!,"AAAAAFb3uDo=")</f>
        <v>#REF!</v>
      </c>
      <c r="BH38" t="e">
        <f>AND('Show Info'!#REF!,"AAAAAFb3uDs=")</f>
        <v>#REF!</v>
      </c>
      <c r="BI38" t="e">
        <f>AND('Show Info'!#REF!,"AAAAAFb3uDw=")</f>
        <v>#REF!</v>
      </c>
      <c r="BJ38" t="e">
        <f>AND('Show Info'!#REF!,"AAAAAFb3uD0=")</f>
        <v>#REF!</v>
      </c>
      <c r="BK38" t="e">
        <f>AND('Show Info'!#REF!,"AAAAAFb3uD4=")</f>
        <v>#REF!</v>
      </c>
      <c r="BL38" t="e">
        <f>AND('Show Info'!#REF!,"AAAAAFb3uD8=")</f>
        <v>#REF!</v>
      </c>
      <c r="BM38" t="e">
        <f>AND('Show Info'!#REF!,"AAAAAFb3uEA=")</f>
        <v>#REF!</v>
      </c>
      <c r="BN38" t="e">
        <f>AND('Show Info'!#REF!,"AAAAAFb3uEE=")</f>
        <v>#REF!</v>
      </c>
      <c r="BO38" t="e">
        <f>AND('Show Info'!#REF!,"AAAAAFb3uEI=")</f>
        <v>#REF!</v>
      </c>
      <c r="BP38" t="e">
        <f>AND('Show Info'!#REF!,"AAAAAFb3uEM=")</f>
        <v>#REF!</v>
      </c>
      <c r="BQ38" t="e">
        <f>AND('Show Info'!#REF!,"AAAAAFb3uEQ=")</f>
        <v>#REF!</v>
      </c>
      <c r="BR38" t="e">
        <f>AND('Show Info'!#REF!,"AAAAAFb3uEU=")</f>
        <v>#REF!</v>
      </c>
      <c r="BS38" t="e">
        <f>AND('Show Info'!#REF!,"AAAAAFb3uEY=")</f>
        <v>#REF!</v>
      </c>
      <c r="BT38" t="e">
        <f>AND('Show Info'!#REF!,"AAAAAFb3uEc=")</f>
        <v>#REF!</v>
      </c>
      <c r="BU38" t="e">
        <f>AND('Show Info'!#REF!,"AAAAAFb3uEg=")</f>
        <v>#REF!</v>
      </c>
      <c r="BV38" t="e">
        <f>AND('Show Info'!#REF!,"AAAAAFb3uEk=")</f>
        <v>#REF!</v>
      </c>
      <c r="BW38" t="e">
        <f>AND('Show Info'!#REF!,"AAAAAFb3uEo=")</f>
        <v>#REF!</v>
      </c>
      <c r="BX38" t="e">
        <f>AND('Show Info'!#REF!,"AAAAAFb3uEs=")</f>
        <v>#REF!</v>
      </c>
      <c r="BY38" t="e">
        <f>AND('Show Info'!#REF!,"AAAAAFb3uEw=")</f>
        <v>#REF!</v>
      </c>
      <c r="BZ38" t="e">
        <f>AND('Show Info'!#REF!,"AAAAAFb3uE0=")</f>
        <v>#REF!</v>
      </c>
      <c r="CA38" t="e">
        <f>AND('Show Info'!#REF!,"AAAAAFb3uE4=")</f>
        <v>#REF!</v>
      </c>
      <c r="CB38">
        <f>IF('Show Info'!87:87,"AAAAAFb3uE8=",0)</f>
        <v>0</v>
      </c>
      <c r="CC38" t="e">
        <f>AND('Show Info'!A87,"AAAAAFb3uFA=")</f>
        <v>#VALUE!</v>
      </c>
      <c r="CD38" t="e">
        <f>AND('Show Info'!B87,"AAAAAFb3uFE=")</f>
        <v>#VALUE!</v>
      </c>
      <c r="CE38" t="e">
        <f>AND('Show Info'!C87,"AAAAAFb3uFI=")</f>
        <v>#VALUE!</v>
      </c>
      <c r="CF38" t="e">
        <f>AND('Show Info'!D87,"AAAAAFb3uFM=")</f>
        <v>#VALUE!</v>
      </c>
      <c r="CG38" t="e">
        <f>AND('Show Info'!E87,"AAAAAFb3uFQ=")</f>
        <v>#VALUE!</v>
      </c>
      <c r="CH38" t="e">
        <f>AND('Show Info'!F87,"AAAAAFb3uFU=")</f>
        <v>#VALUE!</v>
      </c>
      <c r="CI38" t="e">
        <f>AND('Show Info'!G87,"AAAAAFb3uFY=")</f>
        <v>#VALUE!</v>
      </c>
      <c r="CJ38" t="e">
        <f>AND('Show Info'!H87,"AAAAAFb3uFc=")</f>
        <v>#VALUE!</v>
      </c>
      <c r="CK38" t="e">
        <f>AND('Show Info'!I87,"AAAAAFb3uFg=")</f>
        <v>#VALUE!</v>
      </c>
      <c r="CL38" t="e">
        <f>AND('Show Info'!J87,"AAAAAFb3uFk=")</f>
        <v>#VALUE!</v>
      </c>
      <c r="CM38" t="e">
        <f>AND('Show Info'!K87,"AAAAAFb3uFo=")</f>
        <v>#VALUE!</v>
      </c>
      <c r="CN38" t="e">
        <f>AND('Show Info'!L87,"AAAAAFb3uFs=")</f>
        <v>#VALUE!</v>
      </c>
      <c r="CO38" t="e">
        <f>AND('Show Info'!M87,"AAAAAFb3uFw=")</f>
        <v>#VALUE!</v>
      </c>
      <c r="CP38" t="e">
        <f>AND('Show Info'!N87,"AAAAAFb3uF0=")</f>
        <v>#VALUE!</v>
      </c>
      <c r="CQ38" t="e">
        <f>AND('Show Info'!O87,"AAAAAFb3uF4=")</f>
        <v>#VALUE!</v>
      </c>
      <c r="CR38" t="e">
        <f>AND('Show Info'!P87,"AAAAAFb3uF8=")</f>
        <v>#VALUE!</v>
      </c>
      <c r="CS38" t="e">
        <f>AND('Show Info'!Q87,"AAAAAFb3uGA=")</f>
        <v>#VALUE!</v>
      </c>
      <c r="CT38" t="e">
        <f>AND('Show Info'!R87,"AAAAAFb3uGE=")</f>
        <v>#VALUE!</v>
      </c>
      <c r="CU38" t="e">
        <f>AND('Show Info'!S87,"AAAAAFb3uGI=")</f>
        <v>#VALUE!</v>
      </c>
      <c r="CV38" t="e">
        <f>AND('Show Info'!T87,"AAAAAFb3uGM=")</f>
        <v>#VALUE!</v>
      </c>
      <c r="CW38" t="e">
        <f>AND('Show Info'!U87,"AAAAAFb3uGQ=")</f>
        <v>#VALUE!</v>
      </c>
      <c r="CX38" t="e">
        <f>AND('Show Info'!V87,"AAAAAFb3uGU=")</f>
        <v>#VALUE!</v>
      </c>
      <c r="CY38" t="e">
        <f>IF('Show Info'!#REF!,"AAAAAFb3uGY=",0)</f>
        <v>#REF!</v>
      </c>
      <c r="CZ38" t="e">
        <f>AND('Show Info'!#REF!,"AAAAAFb3uGc=")</f>
        <v>#REF!</v>
      </c>
      <c r="DA38" t="e">
        <f>AND('Show Info'!#REF!,"AAAAAFb3uGg=")</f>
        <v>#REF!</v>
      </c>
      <c r="DB38" t="e">
        <f>AND('Show Info'!#REF!,"AAAAAFb3uGk=")</f>
        <v>#REF!</v>
      </c>
      <c r="DC38" t="e">
        <f>AND('Show Info'!#REF!,"AAAAAFb3uGo=")</f>
        <v>#REF!</v>
      </c>
      <c r="DD38" t="e">
        <f>AND('Show Info'!#REF!,"AAAAAFb3uGs=")</f>
        <v>#REF!</v>
      </c>
      <c r="DE38" t="e">
        <f>AND('Show Info'!#REF!,"AAAAAFb3uGw=")</f>
        <v>#REF!</v>
      </c>
      <c r="DF38" t="e">
        <f>AND('Show Info'!#REF!,"AAAAAFb3uG0=")</f>
        <v>#REF!</v>
      </c>
      <c r="DG38" t="e">
        <f>AND('Show Info'!#REF!,"AAAAAFb3uG4=")</f>
        <v>#REF!</v>
      </c>
      <c r="DH38" t="e">
        <f>AND('Show Info'!#REF!,"AAAAAFb3uG8=")</f>
        <v>#REF!</v>
      </c>
      <c r="DI38" t="e">
        <f>AND('Show Info'!#REF!,"AAAAAFb3uHA=")</f>
        <v>#REF!</v>
      </c>
      <c r="DJ38" t="e">
        <f>AND('Show Info'!#REF!,"AAAAAFb3uHE=")</f>
        <v>#REF!</v>
      </c>
      <c r="DK38" t="e">
        <f>AND('Show Info'!#REF!,"AAAAAFb3uHI=")</f>
        <v>#REF!</v>
      </c>
      <c r="DL38" t="e">
        <f>AND('Show Info'!#REF!,"AAAAAFb3uHM=")</f>
        <v>#REF!</v>
      </c>
      <c r="DM38" t="e">
        <f>AND('Show Info'!#REF!,"AAAAAFb3uHQ=")</f>
        <v>#REF!</v>
      </c>
      <c r="DN38" t="e">
        <f>AND('Show Info'!#REF!,"AAAAAFb3uHU=")</f>
        <v>#REF!</v>
      </c>
      <c r="DO38" t="e">
        <f>AND('Show Info'!#REF!,"AAAAAFb3uHY=")</f>
        <v>#REF!</v>
      </c>
      <c r="DP38" t="e">
        <f>AND('Show Info'!#REF!,"AAAAAFb3uHc=")</f>
        <v>#REF!</v>
      </c>
      <c r="DQ38" t="e">
        <f>AND('Show Info'!#REF!,"AAAAAFb3uHg=")</f>
        <v>#REF!</v>
      </c>
      <c r="DR38" t="e">
        <f>AND('Show Info'!#REF!,"AAAAAFb3uHk=")</f>
        <v>#REF!</v>
      </c>
      <c r="DS38" t="e">
        <f>AND('Show Info'!#REF!,"AAAAAFb3uHo=")</f>
        <v>#REF!</v>
      </c>
      <c r="DT38" t="e">
        <f>AND('Show Info'!#REF!,"AAAAAFb3uHs=")</f>
        <v>#REF!</v>
      </c>
      <c r="DU38" t="e">
        <f>AND('Show Info'!#REF!,"AAAAAFb3uHw=")</f>
        <v>#REF!</v>
      </c>
      <c r="DV38">
        <f>IF('Show Info'!88:88,"AAAAAFb3uH0=",0)</f>
        <v>0</v>
      </c>
      <c r="DW38" t="e">
        <f>AND('Show Info'!A88,"AAAAAFb3uH4=")</f>
        <v>#VALUE!</v>
      </c>
      <c r="DX38" t="e">
        <f>AND('Show Info'!B88,"AAAAAFb3uH8=")</f>
        <v>#VALUE!</v>
      </c>
      <c r="DY38" t="e">
        <f>AND('Show Info'!C88,"AAAAAFb3uIA=")</f>
        <v>#VALUE!</v>
      </c>
      <c r="DZ38" t="e">
        <f>AND('Show Info'!D88,"AAAAAFb3uIE=")</f>
        <v>#VALUE!</v>
      </c>
      <c r="EA38" t="e">
        <f>AND('Show Info'!E88,"AAAAAFb3uII=")</f>
        <v>#VALUE!</v>
      </c>
      <c r="EB38" t="e">
        <f>AND('Show Info'!F88,"AAAAAFb3uIM=")</f>
        <v>#VALUE!</v>
      </c>
      <c r="EC38" t="e">
        <f>AND('Show Info'!G88,"AAAAAFb3uIQ=")</f>
        <v>#VALUE!</v>
      </c>
      <c r="ED38" t="e">
        <f>AND('Show Info'!H88,"AAAAAFb3uIU=")</f>
        <v>#VALUE!</v>
      </c>
      <c r="EE38" t="e">
        <f>AND('Show Info'!I88,"AAAAAFb3uIY=")</f>
        <v>#VALUE!</v>
      </c>
      <c r="EF38" t="e">
        <f>AND('Show Info'!J88,"AAAAAFb3uIc=")</f>
        <v>#VALUE!</v>
      </c>
      <c r="EG38" t="e">
        <f>AND('Show Info'!K88,"AAAAAFb3uIg=")</f>
        <v>#VALUE!</v>
      </c>
      <c r="EH38" t="e">
        <f>AND('Show Info'!L88,"AAAAAFb3uIk=")</f>
        <v>#VALUE!</v>
      </c>
      <c r="EI38" t="e">
        <f>AND('Show Info'!M88,"AAAAAFb3uIo=")</f>
        <v>#VALUE!</v>
      </c>
      <c r="EJ38" t="e">
        <f>AND('Show Info'!N88,"AAAAAFb3uIs=")</f>
        <v>#VALUE!</v>
      </c>
      <c r="EK38" t="e">
        <f>AND('Show Info'!O88,"AAAAAFb3uIw=")</f>
        <v>#VALUE!</v>
      </c>
      <c r="EL38" t="e">
        <f>AND('Show Info'!P88,"AAAAAFb3uI0=")</f>
        <v>#VALUE!</v>
      </c>
      <c r="EM38" t="e">
        <f>AND('Show Info'!Q88,"AAAAAFb3uI4=")</f>
        <v>#VALUE!</v>
      </c>
      <c r="EN38" t="e">
        <f>AND('Show Info'!R88,"AAAAAFb3uI8=")</f>
        <v>#VALUE!</v>
      </c>
      <c r="EO38" t="e">
        <f>AND('Show Info'!S88,"AAAAAFb3uJA=")</f>
        <v>#VALUE!</v>
      </c>
      <c r="EP38" t="e">
        <f>AND('Show Info'!T88,"AAAAAFb3uJE=")</f>
        <v>#VALUE!</v>
      </c>
      <c r="EQ38" t="e">
        <f>AND('Show Info'!U88,"AAAAAFb3uJI=")</f>
        <v>#VALUE!</v>
      </c>
      <c r="ER38" t="e">
        <f>AND('Show Info'!V88,"AAAAAFb3uJM=")</f>
        <v>#VALUE!</v>
      </c>
      <c r="ES38">
        <f>IF('Show Info'!89:89,"AAAAAFb3uJQ=",0)</f>
        <v>0</v>
      </c>
      <c r="ET38" t="e">
        <f>AND('Show Info'!A89,"AAAAAFb3uJU=")</f>
        <v>#VALUE!</v>
      </c>
      <c r="EU38" t="e">
        <f>AND('Show Info'!B89,"AAAAAFb3uJY=")</f>
        <v>#VALUE!</v>
      </c>
      <c r="EV38" t="e">
        <f>AND('Show Info'!C89,"AAAAAFb3uJc=")</f>
        <v>#VALUE!</v>
      </c>
      <c r="EW38" t="e">
        <f>AND('Show Info'!D89,"AAAAAFb3uJg=")</f>
        <v>#VALUE!</v>
      </c>
      <c r="EX38" t="e">
        <f>AND('Show Info'!E89,"AAAAAFb3uJk=")</f>
        <v>#VALUE!</v>
      </c>
      <c r="EY38" t="e">
        <f>AND('Show Info'!F89,"AAAAAFb3uJo=")</f>
        <v>#VALUE!</v>
      </c>
      <c r="EZ38" t="e">
        <f>AND('Show Info'!G89,"AAAAAFb3uJs=")</f>
        <v>#VALUE!</v>
      </c>
      <c r="FA38" t="e">
        <f>AND('Show Info'!H89,"AAAAAFb3uJw=")</f>
        <v>#VALUE!</v>
      </c>
      <c r="FB38" t="e">
        <f>AND('Show Info'!I89,"AAAAAFb3uJ0=")</f>
        <v>#VALUE!</v>
      </c>
      <c r="FC38" t="e">
        <f>AND('Show Info'!J89,"AAAAAFb3uJ4=")</f>
        <v>#VALUE!</v>
      </c>
      <c r="FD38" t="e">
        <f>AND('Show Info'!K89,"AAAAAFb3uJ8=")</f>
        <v>#VALUE!</v>
      </c>
      <c r="FE38" t="e">
        <f>AND('Show Info'!L89,"AAAAAFb3uKA=")</f>
        <v>#VALUE!</v>
      </c>
      <c r="FF38" t="e">
        <f>AND('Show Info'!M89,"AAAAAFb3uKE=")</f>
        <v>#VALUE!</v>
      </c>
      <c r="FG38" t="e">
        <f>AND('Show Info'!N89,"AAAAAFb3uKI=")</f>
        <v>#VALUE!</v>
      </c>
      <c r="FH38" t="e">
        <f>AND('Show Info'!O89,"AAAAAFb3uKM=")</f>
        <v>#VALUE!</v>
      </c>
      <c r="FI38" t="e">
        <f>AND('Show Info'!P89,"AAAAAFb3uKQ=")</f>
        <v>#VALUE!</v>
      </c>
      <c r="FJ38" t="e">
        <f>AND('Show Info'!Q89,"AAAAAFb3uKU=")</f>
        <v>#VALUE!</v>
      </c>
      <c r="FK38" t="e">
        <f>AND('Show Info'!R89,"AAAAAFb3uKY=")</f>
        <v>#VALUE!</v>
      </c>
      <c r="FL38" t="e">
        <f>AND('Show Info'!S89,"AAAAAFb3uKc=")</f>
        <v>#VALUE!</v>
      </c>
      <c r="FM38" t="e">
        <f>AND('Show Info'!T89,"AAAAAFb3uKg=")</f>
        <v>#VALUE!</v>
      </c>
      <c r="FN38" t="e">
        <f>AND('Show Info'!U89,"AAAAAFb3uKk=")</f>
        <v>#VALUE!</v>
      </c>
      <c r="FO38" t="e">
        <f>AND('Show Info'!V89,"AAAAAFb3uKo=")</f>
        <v>#VALUE!</v>
      </c>
      <c r="FP38" t="e">
        <f>IF('Show Info'!#REF!,"AAAAAFb3uKs=",0)</f>
        <v>#REF!</v>
      </c>
      <c r="FQ38" t="e">
        <f>AND('Show Info'!#REF!,"AAAAAFb3uKw=")</f>
        <v>#REF!</v>
      </c>
      <c r="FR38" t="e">
        <f>AND('Show Info'!#REF!,"AAAAAFb3uK0=")</f>
        <v>#REF!</v>
      </c>
      <c r="FS38" t="e">
        <f>AND('Show Info'!#REF!,"AAAAAFb3uK4=")</f>
        <v>#REF!</v>
      </c>
      <c r="FT38" t="e">
        <f>AND('Show Info'!#REF!,"AAAAAFb3uK8=")</f>
        <v>#REF!</v>
      </c>
      <c r="FU38" t="e">
        <f>AND('Show Info'!#REF!,"AAAAAFb3uLA=")</f>
        <v>#REF!</v>
      </c>
      <c r="FV38" t="e">
        <f>AND('Show Info'!#REF!,"AAAAAFb3uLE=")</f>
        <v>#REF!</v>
      </c>
      <c r="FW38" t="e">
        <f>AND('Show Info'!#REF!,"AAAAAFb3uLI=")</f>
        <v>#REF!</v>
      </c>
      <c r="FX38" t="e">
        <f>AND('Show Info'!#REF!,"AAAAAFb3uLM=")</f>
        <v>#REF!</v>
      </c>
      <c r="FY38" t="e">
        <f>AND('Show Info'!#REF!,"AAAAAFb3uLQ=")</f>
        <v>#REF!</v>
      </c>
      <c r="FZ38" t="e">
        <f>AND('Show Info'!#REF!,"AAAAAFb3uLU=")</f>
        <v>#REF!</v>
      </c>
      <c r="GA38" t="e">
        <f>AND('Show Info'!#REF!,"AAAAAFb3uLY=")</f>
        <v>#REF!</v>
      </c>
      <c r="GB38" t="e">
        <f>AND('Show Info'!#REF!,"AAAAAFb3uLc=")</f>
        <v>#REF!</v>
      </c>
      <c r="GC38" t="e">
        <f>AND('Show Info'!#REF!,"AAAAAFb3uLg=")</f>
        <v>#REF!</v>
      </c>
      <c r="GD38" t="e">
        <f>AND('Show Info'!#REF!,"AAAAAFb3uLk=")</f>
        <v>#REF!</v>
      </c>
      <c r="GE38" t="e">
        <f>AND('Show Info'!#REF!,"AAAAAFb3uLo=")</f>
        <v>#REF!</v>
      </c>
      <c r="GF38" t="e">
        <f>AND('Show Info'!#REF!,"AAAAAFb3uLs=")</f>
        <v>#REF!</v>
      </c>
      <c r="GG38" t="e">
        <f>AND('Show Info'!#REF!,"AAAAAFb3uLw=")</f>
        <v>#REF!</v>
      </c>
      <c r="GH38" t="e">
        <f>AND('Show Info'!#REF!,"AAAAAFb3uL0=")</f>
        <v>#REF!</v>
      </c>
      <c r="GI38" t="e">
        <f>AND('Show Info'!#REF!,"AAAAAFb3uL4=")</f>
        <v>#REF!</v>
      </c>
      <c r="GJ38" t="e">
        <f>AND('Show Info'!#REF!,"AAAAAFb3uL8=")</f>
        <v>#REF!</v>
      </c>
      <c r="GK38" t="e">
        <f>AND('Show Info'!#REF!,"AAAAAFb3uMA=")</f>
        <v>#REF!</v>
      </c>
      <c r="GL38" t="e">
        <f>AND('Show Info'!#REF!,"AAAAAFb3uME=")</f>
        <v>#REF!</v>
      </c>
      <c r="GM38" t="e">
        <f>IF('Show Info'!#REF!,"AAAAAFb3uMI=",0)</f>
        <v>#REF!</v>
      </c>
      <c r="GN38" t="e">
        <f>AND('Show Info'!#REF!,"AAAAAFb3uMM=")</f>
        <v>#REF!</v>
      </c>
      <c r="GO38" t="e">
        <f>AND('Show Info'!#REF!,"AAAAAFb3uMQ=")</f>
        <v>#REF!</v>
      </c>
      <c r="GP38" t="e">
        <f>AND('Show Info'!#REF!,"AAAAAFb3uMU=")</f>
        <v>#REF!</v>
      </c>
      <c r="GQ38" t="e">
        <f>AND('Show Info'!#REF!,"AAAAAFb3uMY=")</f>
        <v>#REF!</v>
      </c>
      <c r="GR38" t="e">
        <f>AND('Show Info'!#REF!,"AAAAAFb3uMc=")</f>
        <v>#REF!</v>
      </c>
      <c r="GS38" t="e">
        <f>AND('Show Info'!#REF!,"AAAAAFb3uMg=")</f>
        <v>#REF!</v>
      </c>
      <c r="GT38" t="e">
        <f>AND('Show Info'!#REF!,"AAAAAFb3uMk=")</f>
        <v>#REF!</v>
      </c>
      <c r="GU38" t="e">
        <f>AND('Show Info'!#REF!,"AAAAAFb3uMo=")</f>
        <v>#REF!</v>
      </c>
      <c r="GV38" t="e">
        <f>AND('Show Info'!#REF!,"AAAAAFb3uMs=")</f>
        <v>#REF!</v>
      </c>
      <c r="GW38" t="e">
        <f>AND('Show Info'!#REF!,"AAAAAFb3uMw=")</f>
        <v>#REF!</v>
      </c>
      <c r="GX38" t="e">
        <f>AND('Show Info'!#REF!,"AAAAAFb3uM0=")</f>
        <v>#REF!</v>
      </c>
      <c r="GY38" t="e">
        <f>AND('Show Info'!#REF!,"AAAAAFb3uM4=")</f>
        <v>#REF!</v>
      </c>
      <c r="GZ38" t="e">
        <f>AND('Show Info'!#REF!,"AAAAAFb3uM8=")</f>
        <v>#REF!</v>
      </c>
      <c r="HA38" t="e">
        <f>AND('Show Info'!#REF!,"AAAAAFb3uNA=")</f>
        <v>#REF!</v>
      </c>
      <c r="HB38" t="e">
        <f>AND('Show Info'!#REF!,"AAAAAFb3uNE=")</f>
        <v>#REF!</v>
      </c>
      <c r="HC38" t="e">
        <f>AND('Show Info'!#REF!,"AAAAAFb3uNI=")</f>
        <v>#REF!</v>
      </c>
      <c r="HD38" t="e">
        <f>AND('Show Info'!#REF!,"AAAAAFb3uNM=")</f>
        <v>#REF!</v>
      </c>
      <c r="HE38" t="e">
        <f>AND('Show Info'!#REF!,"AAAAAFb3uNQ=")</f>
        <v>#REF!</v>
      </c>
      <c r="HF38" t="e">
        <f>AND('Show Info'!#REF!,"AAAAAFb3uNU=")</f>
        <v>#REF!</v>
      </c>
      <c r="HG38" t="e">
        <f>AND('Show Info'!#REF!,"AAAAAFb3uNY=")</f>
        <v>#REF!</v>
      </c>
      <c r="HH38" t="e">
        <f>AND('Show Info'!#REF!,"AAAAAFb3uNc=")</f>
        <v>#REF!</v>
      </c>
      <c r="HI38" t="e">
        <f>AND('Show Info'!#REF!,"AAAAAFb3uNg=")</f>
        <v>#REF!</v>
      </c>
      <c r="HJ38" t="e">
        <f>IF('Show Info'!#REF!,"AAAAAFb3uNk=",0)</f>
        <v>#REF!</v>
      </c>
      <c r="HK38" t="e">
        <f>AND('Show Info'!#REF!,"AAAAAFb3uNo=")</f>
        <v>#REF!</v>
      </c>
      <c r="HL38" t="e">
        <f>AND('Show Info'!#REF!,"AAAAAFb3uNs=")</f>
        <v>#REF!</v>
      </c>
      <c r="HM38" t="e">
        <f>AND('Show Info'!#REF!,"AAAAAFb3uNw=")</f>
        <v>#REF!</v>
      </c>
      <c r="HN38" t="e">
        <f>AND('Show Info'!#REF!,"AAAAAFb3uN0=")</f>
        <v>#REF!</v>
      </c>
      <c r="HO38" t="e">
        <f>AND('Show Info'!#REF!,"AAAAAFb3uN4=")</f>
        <v>#REF!</v>
      </c>
      <c r="HP38" t="e">
        <f>AND('Show Info'!#REF!,"AAAAAFb3uN8=")</f>
        <v>#REF!</v>
      </c>
      <c r="HQ38" t="e">
        <f>AND('Show Info'!#REF!,"AAAAAFb3uOA=")</f>
        <v>#REF!</v>
      </c>
      <c r="HR38" t="e">
        <f>AND('Show Info'!#REF!,"AAAAAFb3uOE=")</f>
        <v>#REF!</v>
      </c>
      <c r="HS38" t="e">
        <f>AND('Show Info'!#REF!,"AAAAAFb3uOI=")</f>
        <v>#REF!</v>
      </c>
      <c r="HT38" t="e">
        <f>AND('Show Info'!#REF!,"AAAAAFb3uOM=")</f>
        <v>#REF!</v>
      </c>
      <c r="HU38" t="e">
        <f>AND('Show Info'!#REF!,"AAAAAFb3uOQ=")</f>
        <v>#REF!</v>
      </c>
      <c r="HV38" t="e">
        <f>AND('Show Info'!#REF!,"AAAAAFb3uOU=")</f>
        <v>#REF!</v>
      </c>
      <c r="HW38" t="e">
        <f>AND('Show Info'!#REF!,"AAAAAFb3uOY=")</f>
        <v>#REF!</v>
      </c>
      <c r="HX38" t="e">
        <f>AND('Show Info'!#REF!,"AAAAAFb3uOc=")</f>
        <v>#REF!</v>
      </c>
      <c r="HY38" t="e">
        <f>AND('Show Info'!#REF!,"AAAAAFb3uOg=")</f>
        <v>#REF!</v>
      </c>
      <c r="HZ38" t="e">
        <f>AND('Show Info'!#REF!,"AAAAAFb3uOk=")</f>
        <v>#REF!</v>
      </c>
      <c r="IA38" t="e">
        <f>AND('Show Info'!#REF!,"AAAAAFb3uOo=")</f>
        <v>#REF!</v>
      </c>
      <c r="IB38" t="e">
        <f>AND('Show Info'!#REF!,"AAAAAFb3uOs=")</f>
        <v>#REF!</v>
      </c>
      <c r="IC38" t="e">
        <f>AND('Show Info'!#REF!,"AAAAAFb3uOw=")</f>
        <v>#REF!</v>
      </c>
      <c r="ID38" t="e">
        <f>AND('Show Info'!#REF!,"AAAAAFb3uO0=")</f>
        <v>#REF!</v>
      </c>
      <c r="IE38" t="e">
        <f>AND('Show Info'!#REF!,"AAAAAFb3uO4=")</f>
        <v>#REF!</v>
      </c>
      <c r="IF38" t="e">
        <f>AND('Show Info'!#REF!,"AAAAAFb3uO8=")</f>
        <v>#REF!</v>
      </c>
      <c r="IG38" t="e">
        <f>IF('Show Info'!#REF!,"AAAAAFb3uPA=",0)</f>
        <v>#REF!</v>
      </c>
      <c r="IH38" t="e">
        <f>AND('Show Info'!#REF!,"AAAAAFb3uPE=")</f>
        <v>#REF!</v>
      </c>
      <c r="II38" t="e">
        <f>AND('Show Info'!#REF!,"AAAAAFb3uPI=")</f>
        <v>#REF!</v>
      </c>
      <c r="IJ38" t="e">
        <f>AND('Show Info'!#REF!,"AAAAAFb3uPM=")</f>
        <v>#REF!</v>
      </c>
      <c r="IK38" t="e">
        <f>AND('Show Info'!#REF!,"AAAAAFb3uPQ=")</f>
        <v>#REF!</v>
      </c>
      <c r="IL38" t="e">
        <f>AND('Show Info'!#REF!,"AAAAAFb3uPU=")</f>
        <v>#REF!</v>
      </c>
      <c r="IM38" t="e">
        <f>AND('Show Info'!#REF!,"AAAAAFb3uPY=")</f>
        <v>#REF!</v>
      </c>
      <c r="IN38" t="e">
        <f>AND('Show Info'!#REF!,"AAAAAFb3uPc=")</f>
        <v>#REF!</v>
      </c>
      <c r="IO38" t="e">
        <f>AND('Show Info'!#REF!,"AAAAAFb3uPg=")</f>
        <v>#REF!</v>
      </c>
      <c r="IP38" t="e">
        <f>AND('Show Info'!#REF!,"AAAAAFb3uPk=")</f>
        <v>#REF!</v>
      </c>
      <c r="IQ38" t="e">
        <f>AND('Show Info'!#REF!,"AAAAAFb3uPo=")</f>
        <v>#REF!</v>
      </c>
      <c r="IR38" t="e">
        <f>AND('Show Info'!#REF!,"AAAAAFb3uPs=")</f>
        <v>#REF!</v>
      </c>
      <c r="IS38" t="e">
        <f>AND('Show Info'!#REF!,"AAAAAFb3uPw=")</f>
        <v>#REF!</v>
      </c>
      <c r="IT38" t="e">
        <f>AND('Show Info'!#REF!,"AAAAAFb3uP0=")</f>
        <v>#REF!</v>
      </c>
      <c r="IU38" t="e">
        <f>AND('Show Info'!#REF!,"AAAAAFb3uP4=")</f>
        <v>#REF!</v>
      </c>
      <c r="IV38" t="e">
        <f>AND('Show Info'!#REF!,"AAAAAFb3uP8=")</f>
        <v>#REF!</v>
      </c>
    </row>
    <row r="39" spans="1:256" x14ac:dyDescent="0.2">
      <c r="A39" t="e">
        <f>AND('Show Info'!#REF!,"AAAAAHdu8gA=")</f>
        <v>#REF!</v>
      </c>
      <c r="B39" t="e">
        <f>AND('Show Info'!#REF!,"AAAAAHdu8gE=")</f>
        <v>#REF!</v>
      </c>
      <c r="C39" t="e">
        <f>AND('Show Info'!#REF!,"AAAAAHdu8gI=")</f>
        <v>#REF!</v>
      </c>
      <c r="D39" t="e">
        <f>AND('Show Info'!#REF!,"AAAAAHdu8gM=")</f>
        <v>#REF!</v>
      </c>
      <c r="E39" t="e">
        <f>AND('Show Info'!#REF!,"AAAAAHdu8gQ=")</f>
        <v>#REF!</v>
      </c>
      <c r="F39" t="e">
        <f>AND('Show Info'!#REF!,"AAAAAHdu8gU=")</f>
        <v>#REF!</v>
      </c>
      <c r="G39" t="e">
        <f>AND('Show Info'!#REF!,"AAAAAHdu8gY=")</f>
        <v>#REF!</v>
      </c>
      <c r="H39" t="e">
        <f>IF('Show Info'!#REF!,"AAAAAHdu8gc=",0)</f>
        <v>#REF!</v>
      </c>
      <c r="I39" t="e">
        <f>AND('Show Info'!#REF!,"AAAAAHdu8gg=")</f>
        <v>#REF!</v>
      </c>
      <c r="J39" t="e">
        <f>AND('Show Info'!#REF!,"AAAAAHdu8gk=")</f>
        <v>#REF!</v>
      </c>
      <c r="K39" t="e">
        <f>AND('Show Info'!#REF!,"AAAAAHdu8go=")</f>
        <v>#REF!</v>
      </c>
      <c r="L39" t="e">
        <f>AND('Show Info'!#REF!,"AAAAAHdu8gs=")</f>
        <v>#REF!</v>
      </c>
      <c r="M39" t="e">
        <f>AND('Show Info'!#REF!,"AAAAAHdu8gw=")</f>
        <v>#REF!</v>
      </c>
      <c r="N39" t="e">
        <f>AND('Show Info'!#REF!,"AAAAAHdu8g0=")</f>
        <v>#REF!</v>
      </c>
      <c r="O39" t="e">
        <f>AND('Show Info'!#REF!,"AAAAAHdu8g4=")</f>
        <v>#REF!</v>
      </c>
      <c r="P39" t="e">
        <f>AND('Show Info'!#REF!,"AAAAAHdu8g8=")</f>
        <v>#REF!</v>
      </c>
      <c r="Q39" t="e">
        <f>AND('Show Info'!#REF!,"AAAAAHdu8hA=")</f>
        <v>#REF!</v>
      </c>
      <c r="R39" t="e">
        <f>AND('Show Info'!#REF!,"AAAAAHdu8hE=")</f>
        <v>#REF!</v>
      </c>
      <c r="S39" t="e">
        <f>AND('Show Info'!#REF!,"AAAAAHdu8hI=")</f>
        <v>#REF!</v>
      </c>
      <c r="T39" t="e">
        <f>AND('Show Info'!#REF!,"AAAAAHdu8hM=")</f>
        <v>#REF!</v>
      </c>
      <c r="U39" t="e">
        <f>AND('Show Info'!#REF!,"AAAAAHdu8hQ=")</f>
        <v>#REF!</v>
      </c>
      <c r="V39" t="e">
        <f>AND('Show Info'!#REF!,"AAAAAHdu8hU=")</f>
        <v>#REF!</v>
      </c>
      <c r="W39" t="e">
        <f>AND('Show Info'!#REF!,"AAAAAHdu8hY=")</f>
        <v>#REF!</v>
      </c>
      <c r="X39" t="e">
        <f>AND('Show Info'!#REF!,"AAAAAHdu8hc=")</f>
        <v>#REF!</v>
      </c>
      <c r="Y39" t="e">
        <f>AND('Show Info'!#REF!,"AAAAAHdu8hg=")</f>
        <v>#REF!</v>
      </c>
      <c r="Z39" t="e">
        <f>AND('Show Info'!#REF!,"AAAAAHdu8hk=")</f>
        <v>#REF!</v>
      </c>
      <c r="AA39" t="e">
        <f>AND('Show Info'!#REF!,"AAAAAHdu8ho=")</f>
        <v>#REF!</v>
      </c>
      <c r="AB39" t="e">
        <f>AND('Show Info'!#REF!,"AAAAAHdu8hs=")</f>
        <v>#REF!</v>
      </c>
      <c r="AC39" t="e">
        <f>AND('Show Info'!#REF!,"AAAAAHdu8hw=")</f>
        <v>#REF!</v>
      </c>
      <c r="AD39" t="e">
        <f>AND('Show Info'!#REF!,"AAAAAHdu8h0=")</f>
        <v>#REF!</v>
      </c>
      <c r="AE39" t="e">
        <f>IF('Show Info'!#REF!,"AAAAAHdu8h4=",0)</f>
        <v>#REF!</v>
      </c>
      <c r="AF39" t="e">
        <f>AND('Show Info'!#REF!,"AAAAAHdu8h8=")</f>
        <v>#REF!</v>
      </c>
      <c r="AG39" t="e">
        <f>AND('Show Info'!#REF!,"AAAAAHdu8iA=")</f>
        <v>#REF!</v>
      </c>
      <c r="AH39" t="e">
        <f>AND('Show Info'!#REF!,"AAAAAHdu8iE=")</f>
        <v>#REF!</v>
      </c>
      <c r="AI39" t="e">
        <f>AND('Show Info'!#REF!,"AAAAAHdu8iI=")</f>
        <v>#REF!</v>
      </c>
      <c r="AJ39" t="e">
        <f>AND('Show Info'!#REF!,"AAAAAHdu8iM=")</f>
        <v>#REF!</v>
      </c>
      <c r="AK39" t="e">
        <f>AND('Show Info'!#REF!,"AAAAAHdu8iQ=")</f>
        <v>#REF!</v>
      </c>
      <c r="AL39" t="e">
        <f>AND('Show Info'!#REF!,"AAAAAHdu8iU=")</f>
        <v>#REF!</v>
      </c>
      <c r="AM39" t="e">
        <f>AND('Show Info'!#REF!,"AAAAAHdu8iY=")</f>
        <v>#REF!</v>
      </c>
      <c r="AN39" t="e">
        <f>AND('Show Info'!#REF!,"AAAAAHdu8ic=")</f>
        <v>#REF!</v>
      </c>
      <c r="AO39" t="e">
        <f>AND('Show Info'!#REF!,"AAAAAHdu8ig=")</f>
        <v>#REF!</v>
      </c>
      <c r="AP39" t="e">
        <f>AND('Show Info'!#REF!,"AAAAAHdu8ik=")</f>
        <v>#REF!</v>
      </c>
      <c r="AQ39" t="e">
        <f>AND('Show Info'!#REF!,"AAAAAHdu8io=")</f>
        <v>#REF!</v>
      </c>
      <c r="AR39" t="e">
        <f>AND('Show Info'!#REF!,"AAAAAHdu8is=")</f>
        <v>#REF!</v>
      </c>
      <c r="AS39" t="e">
        <f>AND('Show Info'!#REF!,"AAAAAHdu8iw=")</f>
        <v>#REF!</v>
      </c>
      <c r="AT39" t="e">
        <f>AND('Show Info'!#REF!,"AAAAAHdu8i0=")</f>
        <v>#REF!</v>
      </c>
      <c r="AU39" t="e">
        <f>AND('Show Info'!#REF!,"AAAAAHdu8i4=")</f>
        <v>#REF!</v>
      </c>
      <c r="AV39" t="e">
        <f>AND('Show Info'!#REF!,"AAAAAHdu8i8=")</f>
        <v>#REF!</v>
      </c>
      <c r="AW39" t="e">
        <f>AND('Show Info'!#REF!,"AAAAAHdu8jA=")</f>
        <v>#REF!</v>
      </c>
      <c r="AX39" t="e">
        <f>AND('Show Info'!#REF!,"AAAAAHdu8jE=")</f>
        <v>#REF!</v>
      </c>
      <c r="AY39" t="e">
        <f>AND('Show Info'!#REF!,"AAAAAHdu8jI=")</f>
        <v>#REF!</v>
      </c>
      <c r="AZ39" t="e">
        <f>AND('Show Info'!#REF!,"AAAAAHdu8jM=")</f>
        <v>#REF!</v>
      </c>
      <c r="BA39" t="e">
        <f>AND('Show Info'!#REF!,"AAAAAHdu8jQ=")</f>
        <v>#REF!</v>
      </c>
      <c r="BB39" t="e">
        <f>IF('Show Info'!#REF!,"AAAAAHdu8jU=",0)</f>
        <v>#REF!</v>
      </c>
      <c r="BC39" t="e">
        <f>AND('Show Info'!#REF!,"AAAAAHdu8jY=")</f>
        <v>#REF!</v>
      </c>
      <c r="BD39" t="e">
        <f>AND('Show Info'!#REF!,"AAAAAHdu8jc=")</f>
        <v>#REF!</v>
      </c>
      <c r="BE39" t="e">
        <f>AND('Show Info'!#REF!,"AAAAAHdu8jg=")</f>
        <v>#REF!</v>
      </c>
      <c r="BF39" t="e">
        <f>AND('Show Info'!#REF!,"AAAAAHdu8jk=")</f>
        <v>#REF!</v>
      </c>
      <c r="BG39" t="e">
        <f>AND('Show Info'!#REF!,"AAAAAHdu8jo=")</f>
        <v>#REF!</v>
      </c>
      <c r="BH39" t="e">
        <f>AND('Show Info'!#REF!,"AAAAAHdu8js=")</f>
        <v>#REF!</v>
      </c>
      <c r="BI39" t="e">
        <f>AND('Show Info'!#REF!,"AAAAAHdu8jw=")</f>
        <v>#REF!</v>
      </c>
      <c r="BJ39" t="e">
        <f>AND('Show Info'!#REF!,"AAAAAHdu8j0=")</f>
        <v>#REF!</v>
      </c>
      <c r="BK39" t="e">
        <f>AND('Show Info'!#REF!,"AAAAAHdu8j4=")</f>
        <v>#REF!</v>
      </c>
      <c r="BL39" t="e">
        <f>AND('Show Info'!#REF!,"AAAAAHdu8j8=")</f>
        <v>#REF!</v>
      </c>
      <c r="BM39" t="e">
        <f>AND('Show Info'!#REF!,"AAAAAHdu8kA=")</f>
        <v>#REF!</v>
      </c>
      <c r="BN39" t="e">
        <f>AND('Show Info'!#REF!,"AAAAAHdu8kE=")</f>
        <v>#REF!</v>
      </c>
      <c r="BO39" t="e">
        <f>AND('Show Info'!#REF!,"AAAAAHdu8kI=")</f>
        <v>#REF!</v>
      </c>
      <c r="BP39" t="e">
        <f>AND('Show Info'!#REF!,"AAAAAHdu8kM=")</f>
        <v>#REF!</v>
      </c>
      <c r="BQ39" t="e">
        <f>AND('Show Info'!#REF!,"AAAAAHdu8kQ=")</f>
        <v>#REF!</v>
      </c>
      <c r="BR39" t="e">
        <f>AND('Show Info'!#REF!,"AAAAAHdu8kU=")</f>
        <v>#REF!</v>
      </c>
      <c r="BS39" t="e">
        <f>AND('Show Info'!#REF!,"AAAAAHdu8kY=")</f>
        <v>#REF!</v>
      </c>
      <c r="BT39" t="e">
        <f>AND('Show Info'!#REF!,"AAAAAHdu8kc=")</f>
        <v>#REF!</v>
      </c>
      <c r="BU39" t="e">
        <f>AND('Show Info'!#REF!,"AAAAAHdu8kg=")</f>
        <v>#REF!</v>
      </c>
      <c r="BV39" t="e">
        <f>AND('Show Info'!#REF!,"AAAAAHdu8kk=")</f>
        <v>#REF!</v>
      </c>
      <c r="BW39" t="e">
        <f>AND('Show Info'!#REF!,"AAAAAHdu8ko=")</f>
        <v>#REF!</v>
      </c>
      <c r="BX39" t="e">
        <f>AND('Show Info'!#REF!,"AAAAAHdu8ks=")</f>
        <v>#REF!</v>
      </c>
      <c r="BY39" t="e">
        <f>IF('Show Info'!#REF!,"AAAAAHdu8kw=",0)</f>
        <v>#REF!</v>
      </c>
      <c r="BZ39" t="e">
        <f>AND('Show Info'!#REF!,"AAAAAHdu8k0=")</f>
        <v>#REF!</v>
      </c>
      <c r="CA39" t="e">
        <f>AND('Show Info'!#REF!,"AAAAAHdu8k4=")</f>
        <v>#REF!</v>
      </c>
      <c r="CB39" t="e">
        <f>AND('Show Info'!#REF!,"AAAAAHdu8k8=")</f>
        <v>#REF!</v>
      </c>
      <c r="CC39" t="e">
        <f>AND('Show Info'!#REF!,"AAAAAHdu8lA=")</f>
        <v>#REF!</v>
      </c>
      <c r="CD39" t="e">
        <f>AND('Show Info'!#REF!,"AAAAAHdu8lE=")</f>
        <v>#REF!</v>
      </c>
      <c r="CE39" t="e">
        <f>AND('Show Info'!#REF!,"AAAAAHdu8lI=")</f>
        <v>#REF!</v>
      </c>
      <c r="CF39" t="e">
        <f>AND('Show Info'!#REF!,"AAAAAHdu8lM=")</f>
        <v>#REF!</v>
      </c>
      <c r="CG39" t="e">
        <f>AND('Show Info'!#REF!,"AAAAAHdu8lQ=")</f>
        <v>#REF!</v>
      </c>
      <c r="CH39" t="e">
        <f>AND('Show Info'!#REF!,"AAAAAHdu8lU=")</f>
        <v>#REF!</v>
      </c>
      <c r="CI39" t="e">
        <f>AND('Show Info'!#REF!,"AAAAAHdu8lY=")</f>
        <v>#REF!</v>
      </c>
      <c r="CJ39" t="e">
        <f>AND('Show Info'!#REF!,"AAAAAHdu8lc=")</f>
        <v>#REF!</v>
      </c>
      <c r="CK39" t="e">
        <f>AND('Show Info'!#REF!,"AAAAAHdu8lg=")</f>
        <v>#REF!</v>
      </c>
      <c r="CL39" t="e">
        <f>AND('Show Info'!#REF!,"AAAAAHdu8lk=")</f>
        <v>#REF!</v>
      </c>
      <c r="CM39" t="e">
        <f>AND('Show Info'!#REF!,"AAAAAHdu8lo=")</f>
        <v>#REF!</v>
      </c>
      <c r="CN39" t="e">
        <f>AND('Show Info'!#REF!,"AAAAAHdu8ls=")</f>
        <v>#REF!</v>
      </c>
      <c r="CO39" t="e">
        <f>AND('Show Info'!#REF!,"AAAAAHdu8lw=")</f>
        <v>#REF!</v>
      </c>
      <c r="CP39" t="e">
        <f>AND('Show Info'!#REF!,"AAAAAHdu8l0=")</f>
        <v>#REF!</v>
      </c>
      <c r="CQ39" t="e">
        <f>AND('Show Info'!#REF!,"AAAAAHdu8l4=")</f>
        <v>#REF!</v>
      </c>
      <c r="CR39" t="e">
        <f>AND('Show Info'!#REF!,"AAAAAHdu8l8=")</f>
        <v>#REF!</v>
      </c>
      <c r="CS39" t="e">
        <f>AND('Show Info'!#REF!,"AAAAAHdu8mA=")</f>
        <v>#REF!</v>
      </c>
      <c r="CT39" t="e">
        <f>AND('Show Info'!#REF!,"AAAAAHdu8mE=")</f>
        <v>#REF!</v>
      </c>
      <c r="CU39" t="e">
        <f>AND('Show Info'!#REF!,"AAAAAHdu8mI=")</f>
        <v>#REF!</v>
      </c>
      <c r="CV39" t="e">
        <f>IF('Show Info'!#REF!,"AAAAAHdu8mM=",0)</f>
        <v>#REF!</v>
      </c>
      <c r="CW39" t="e">
        <f>AND('Show Info'!#REF!,"AAAAAHdu8mQ=")</f>
        <v>#REF!</v>
      </c>
      <c r="CX39" t="e">
        <f>AND('Show Info'!#REF!,"AAAAAHdu8mU=")</f>
        <v>#REF!</v>
      </c>
      <c r="CY39" t="e">
        <f>AND('Show Info'!#REF!,"AAAAAHdu8mY=")</f>
        <v>#REF!</v>
      </c>
      <c r="CZ39" t="e">
        <f>AND('Show Info'!#REF!,"AAAAAHdu8mc=")</f>
        <v>#REF!</v>
      </c>
      <c r="DA39" t="e">
        <f>AND('Show Info'!#REF!,"AAAAAHdu8mg=")</f>
        <v>#REF!</v>
      </c>
      <c r="DB39" t="e">
        <f>AND('Show Info'!#REF!,"AAAAAHdu8mk=")</f>
        <v>#REF!</v>
      </c>
      <c r="DC39" t="e">
        <f>AND('Show Info'!#REF!,"AAAAAHdu8mo=")</f>
        <v>#REF!</v>
      </c>
      <c r="DD39" t="e">
        <f>AND('Show Info'!#REF!,"AAAAAHdu8ms=")</f>
        <v>#REF!</v>
      </c>
      <c r="DE39" t="e">
        <f>AND('Show Info'!#REF!,"AAAAAHdu8mw=")</f>
        <v>#REF!</v>
      </c>
      <c r="DF39" t="e">
        <f>AND('Show Info'!#REF!,"AAAAAHdu8m0=")</f>
        <v>#REF!</v>
      </c>
      <c r="DG39" t="e">
        <f>AND('Show Info'!#REF!,"AAAAAHdu8m4=")</f>
        <v>#REF!</v>
      </c>
      <c r="DH39" t="e">
        <f>AND('Show Info'!#REF!,"AAAAAHdu8m8=")</f>
        <v>#REF!</v>
      </c>
      <c r="DI39" t="e">
        <f>AND('Show Info'!#REF!,"AAAAAHdu8nA=")</f>
        <v>#REF!</v>
      </c>
      <c r="DJ39" t="e">
        <f>AND('Show Info'!#REF!,"AAAAAHdu8nE=")</f>
        <v>#REF!</v>
      </c>
      <c r="DK39" t="e">
        <f>AND('Show Info'!#REF!,"AAAAAHdu8nI=")</f>
        <v>#REF!</v>
      </c>
      <c r="DL39" t="e">
        <f>AND('Show Info'!#REF!,"AAAAAHdu8nM=")</f>
        <v>#REF!</v>
      </c>
      <c r="DM39" t="e">
        <f>AND('Show Info'!#REF!,"AAAAAHdu8nQ=")</f>
        <v>#REF!</v>
      </c>
      <c r="DN39" t="e">
        <f>AND('Show Info'!#REF!,"AAAAAHdu8nU=")</f>
        <v>#REF!</v>
      </c>
      <c r="DO39" t="e">
        <f>AND('Show Info'!#REF!,"AAAAAHdu8nY=")</f>
        <v>#REF!</v>
      </c>
      <c r="DP39" t="e">
        <f>AND('Show Info'!#REF!,"AAAAAHdu8nc=")</f>
        <v>#REF!</v>
      </c>
      <c r="DQ39" t="e">
        <f>AND('Show Info'!#REF!,"AAAAAHdu8ng=")</f>
        <v>#REF!</v>
      </c>
      <c r="DR39" t="e">
        <f>AND('Show Info'!#REF!,"AAAAAHdu8nk=")</f>
        <v>#REF!</v>
      </c>
      <c r="DS39" t="e">
        <f>IF('Show Info'!#REF!,"AAAAAHdu8no=",0)</f>
        <v>#REF!</v>
      </c>
      <c r="DT39" t="e">
        <f>AND('Show Info'!#REF!,"AAAAAHdu8ns=")</f>
        <v>#REF!</v>
      </c>
      <c r="DU39" t="e">
        <f>AND('Show Info'!#REF!,"AAAAAHdu8nw=")</f>
        <v>#REF!</v>
      </c>
      <c r="DV39" t="e">
        <f>AND('Show Info'!#REF!,"AAAAAHdu8n0=")</f>
        <v>#REF!</v>
      </c>
      <c r="DW39" t="e">
        <f>AND('Show Info'!#REF!,"AAAAAHdu8n4=")</f>
        <v>#REF!</v>
      </c>
      <c r="DX39" t="e">
        <f>AND('Show Info'!#REF!,"AAAAAHdu8n8=")</f>
        <v>#REF!</v>
      </c>
      <c r="DY39" t="e">
        <f>AND('Show Info'!#REF!,"AAAAAHdu8oA=")</f>
        <v>#REF!</v>
      </c>
      <c r="DZ39" t="e">
        <f>AND('Show Info'!#REF!,"AAAAAHdu8oE=")</f>
        <v>#REF!</v>
      </c>
      <c r="EA39" t="e">
        <f>AND('Show Info'!#REF!,"AAAAAHdu8oI=")</f>
        <v>#REF!</v>
      </c>
      <c r="EB39" t="e">
        <f>AND('Show Info'!#REF!,"AAAAAHdu8oM=")</f>
        <v>#REF!</v>
      </c>
      <c r="EC39" t="e">
        <f>AND('Show Info'!#REF!,"AAAAAHdu8oQ=")</f>
        <v>#REF!</v>
      </c>
      <c r="ED39" t="e">
        <f>AND('Show Info'!#REF!,"AAAAAHdu8oU=")</f>
        <v>#REF!</v>
      </c>
      <c r="EE39" t="e">
        <f>AND('Show Info'!#REF!,"AAAAAHdu8oY=")</f>
        <v>#REF!</v>
      </c>
      <c r="EF39" t="e">
        <f>AND('Show Info'!#REF!,"AAAAAHdu8oc=")</f>
        <v>#REF!</v>
      </c>
      <c r="EG39" t="e">
        <f>AND('Show Info'!#REF!,"AAAAAHdu8og=")</f>
        <v>#REF!</v>
      </c>
      <c r="EH39" t="e">
        <f>AND('Show Info'!#REF!,"AAAAAHdu8ok=")</f>
        <v>#REF!</v>
      </c>
      <c r="EI39" t="e">
        <f>AND('Show Info'!#REF!,"AAAAAHdu8oo=")</f>
        <v>#REF!</v>
      </c>
      <c r="EJ39" t="e">
        <f>AND('Show Info'!#REF!,"AAAAAHdu8os=")</f>
        <v>#REF!</v>
      </c>
      <c r="EK39" t="e">
        <f>AND('Show Info'!#REF!,"AAAAAHdu8ow=")</f>
        <v>#REF!</v>
      </c>
      <c r="EL39" t="e">
        <f>AND('Show Info'!#REF!,"AAAAAHdu8o0=")</f>
        <v>#REF!</v>
      </c>
      <c r="EM39" t="e">
        <f>AND('Show Info'!#REF!,"AAAAAHdu8o4=")</f>
        <v>#REF!</v>
      </c>
      <c r="EN39" t="e">
        <f>AND('Show Info'!#REF!,"AAAAAHdu8o8=")</f>
        <v>#REF!</v>
      </c>
      <c r="EO39" t="e">
        <f>AND('Show Info'!#REF!,"AAAAAHdu8pA=")</f>
        <v>#REF!</v>
      </c>
      <c r="EP39" t="e">
        <f>IF('Show Info'!#REF!,"AAAAAHdu8pE=",0)</f>
        <v>#REF!</v>
      </c>
      <c r="EQ39" t="e">
        <f>AND('Show Info'!#REF!,"AAAAAHdu8pI=")</f>
        <v>#REF!</v>
      </c>
      <c r="ER39" t="e">
        <f>AND('Show Info'!#REF!,"AAAAAHdu8pM=")</f>
        <v>#REF!</v>
      </c>
      <c r="ES39" t="e">
        <f>AND('Show Info'!#REF!,"AAAAAHdu8pQ=")</f>
        <v>#REF!</v>
      </c>
      <c r="ET39" t="e">
        <f>AND('Show Info'!#REF!,"AAAAAHdu8pU=")</f>
        <v>#REF!</v>
      </c>
      <c r="EU39" t="e">
        <f>AND('Show Info'!#REF!,"AAAAAHdu8pY=")</f>
        <v>#REF!</v>
      </c>
      <c r="EV39" t="e">
        <f>AND('Show Info'!#REF!,"AAAAAHdu8pc=")</f>
        <v>#REF!</v>
      </c>
      <c r="EW39" t="e">
        <f>AND('Show Info'!#REF!,"AAAAAHdu8pg=")</f>
        <v>#REF!</v>
      </c>
      <c r="EX39" t="e">
        <f>AND('Show Info'!#REF!,"AAAAAHdu8pk=")</f>
        <v>#REF!</v>
      </c>
      <c r="EY39" t="e">
        <f>AND('Show Info'!#REF!,"AAAAAHdu8po=")</f>
        <v>#REF!</v>
      </c>
      <c r="EZ39" t="e">
        <f>AND('Show Info'!#REF!,"AAAAAHdu8ps=")</f>
        <v>#REF!</v>
      </c>
      <c r="FA39" t="e">
        <f>AND('Show Info'!#REF!,"AAAAAHdu8pw=")</f>
        <v>#REF!</v>
      </c>
      <c r="FB39" t="e">
        <f>AND('Show Info'!#REF!,"AAAAAHdu8p0=")</f>
        <v>#REF!</v>
      </c>
      <c r="FC39" t="e">
        <f>AND('Show Info'!#REF!,"AAAAAHdu8p4=")</f>
        <v>#REF!</v>
      </c>
      <c r="FD39" t="e">
        <f>AND('Show Info'!#REF!,"AAAAAHdu8p8=")</f>
        <v>#REF!</v>
      </c>
      <c r="FE39" t="e">
        <f>AND('Show Info'!#REF!,"AAAAAHdu8qA=")</f>
        <v>#REF!</v>
      </c>
      <c r="FF39" t="e">
        <f>AND('Show Info'!#REF!,"AAAAAHdu8qE=")</f>
        <v>#REF!</v>
      </c>
      <c r="FG39" t="e">
        <f>AND('Show Info'!#REF!,"AAAAAHdu8qI=")</f>
        <v>#REF!</v>
      </c>
      <c r="FH39" t="e">
        <f>AND('Show Info'!#REF!,"AAAAAHdu8qM=")</f>
        <v>#REF!</v>
      </c>
      <c r="FI39" t="e">
        <f>AND('Show Info'!#REF!,"AAAAAHdu8qQ=")</f>
        <v>#REF!</v>
      </c>
      <c r="FJ39" t="e">
        <f>AND('Show Info'!#REF!,"AAAAAHdu8qU=")</f>
        <v>#REF!</v>
      </c>
      <c r="FK39" t="e">
        <f>AND('Show Info'!#REF!,"AAAAAHdu8qY=")</f>
        <v>#REF!</v>
      </c>
      <c r="FL39" t="e">
        <f>AND('Show Info'!#REF!,"AAAAAHdu8qc=")</f>
        <v>#REF!</v>
      </c>
      <c r="FM39" t="e">
        <f>IF('Show Info'!#REF!,"AAAAAHdu8qg=",0)</f>
        <v>#REF!</v>
      </c>
      <c r="FN39" t="e">
        <f>AND('Show Info'!#REF!,"AAAAAHdu8qk=")</f>
        <v>#REF!</v>
      </c>
      <c r="FO39" t="e">
        <f>AND('Show Info'!#REF!,"AAAAAHdu8qo=")</f>
        <v>#REF!</v>
      </c>
      <c r="FP39" t="e">
        <f>AND('Show Info'!#REF!,"AAAAAHdu8qs=")</f>
        <v>#REF!</v>
      </c>
      <c r="FQ39" t="e">
        <f>AND('Show Info'!#REF!,"AAAAAHdu8qw=")</f>
        <v>#REF!</v>
      </c>
      <c r="FR39" t="e">
        <f>AND('Show Info'!#REF!,"AAAAAHdu8q0=")</f>
        <v>#REF!</v>
      </c>
      <c r="FS39" t="e">
        <f>AND('Show Info'!#REF!,"AAAAAHdu8q4=")</f>
        <v>#REF!</v>
      </c>
      <c r="FT39" t="e">
        <f>AND('Show Info'!#REF!,"AAAAAHdu8q8=")</f>
        <v>#REF!</v>
      </c>
      <c r="FU39" t="e">
        <f>AND('Show Info'!#REF!,"AAAAAHdu8rA=")</f>
        <v>#REF!</v>
      </c>
      <c r="FV39" t="e">
        <f>AND('Show Info'!#REF!,"AAAAAHdu8rE=")</f>
        <v>#REF!</v>
      </c>
      <c r="FW39" t="e">
        <f>AND('Show Info'!#REF!,"AAAAAHdu8rI=")</f>
        <v>#REF!</v>
      </c>
      <c r="FX39" t="e">
        <f>AND('Show Info'!#REF!,"AAAAAHdu8rM=")</f>
        <v>#REF!</v>
      </c>
      <c r="FY39" t="e">
        <f>AND('Show Info'!#REF!,"AAAAAHdu8rQ=")</f>
        <v>#REF!</v>
      </c>
      <c r="FZ39" t="e">
        <f>AND('Show Info'!#REF!,"AAAAAHdu8rU=")</f>
        <v>#REF!</v>
      </c>
      <c r="GA39" t="e">
        <f>AND('Show Info'!#REF!,"AAAAAHdu8rY=")</f>
        <v>#REF!</v>
      </c>
      <c r="GB39" t="e">
        <f>AND('Show Info'!#REF!,"AAAAAHdu8rc=")</f>
        <v>#REF!</v>
      </c>
      <c r="GC39" t="e">
        <f>AND('Show Info'!#REF!,"AAAAAHdu8rg=")</f>
        <v>#REF!</v>
      </c>
      <c r="GD39" t="e">
        <f>AND('Show Info'!#REF!,"AAAAAHdu8rk=")</f>
        <v>#REF!</v>
      </c>
      <c r="GE39" t="e">
        <f>AND('Show Info'!#REF!,"AAAAAHdu8ro=")</f>
        <v>#REF!</v>
      </c>
      <c r="GF39" t="e">
        <f>AND('Show Info'!#REF!,"AAAAAHdu8rs=")</f>
        <v>#REF!</v>
      </c>
      <c r="GG39" t="e">
        <f>AND('Show Info'!#REF!,"AAAAAHdu8rw=")</f>
        <v>#REF!</v>
      </c>
      <c r="GH39" t="e">
        <f>AND('Show Info'!#REF!,"AAAAAHdu8r0=")</f>
        <v>#REF!</v>
      </c>
      <c r="GI39" t="e">
        <f>AND('Show Info'!#REF!,"AAAAAHdu8r4=")</f>
        <v>#REF!</v>
      </c>
      <c r="GJ39" t="e">
        <f>IF('Show Info'!#REF!,"AAAAAHdu8r8=",0)</f>
        <v>#REF!</v>
      </c>
      <c r="GK39" t="e">
        <f>AND('Show Info'!#REF!,"AAAAAHdu8sA=")</f>
        <v>#REF!</v>
      </c>
      <c r="GL39" t="e">
        <f>AND('Show Info'!#REF!,"AAAAAHdu8sE=")</f>
        <v>#REF!</v>
      </c>
      <c r="GM39" t="e">
        <f>AND('Show Info'!#REF!,"AAAAAHdu8sI=")</f>
        <v>#REF!</v>
      </c>
      <c r="GN39" t="e">
        <f>AND('Show Info'!#REF!,"AAAAAHdu8sM=")</f>
        <v>#REF!</v>
      </c>
      <c r="GO39" t="e">
        <f>AND('Show Info'!#REF!,"AAAAAHdu8sQ=")</f>
        <v>#REF!</v>
      </c>
      <c r="GP39" t="e">
        <f>AND('Show Info'!#REF!,"AAAAAHdu8sU=")</f>
        <v>#REF!</v>
      </c>
      <c r="GQ39" t="e">
        <f>AND('Show Info'!#REF!,"AAAAAHdu8sY=")</f>
        <v>#REF!</v>
      </c>
      <c r="GR39" t="e">
        <f>AND('Show Info'!#REF!,"AAAAAHdu8sc=")</f>
        <v>#REF!</v>
      </c>
      <c r="GS39" t="e">
        <f>AND('Show Info'!#REF!,"AAAAAHdu8sg=")</f>
        <v>#REF!</v>
      </c>
      <c r="GT39" t="e">
        <f>AND('Show Info'!#REF!,"AAAAAHdu8sk=")</f>
        <v>#REF!</v>
      </c>
      <c r="GU39" t="e">
        <f>AND('Show Info'!#REF!,"AAAAAHdu8so=")</f>
        <v>#REF!</v>
      </c>
      <c r="GV39" t="e">
        <f>AND('Show Info'!#REF!,"AAAAAHdu8ss=")</f>
        <v>#REF!</v>
      </c>
      <c r="GW39" t="e">
        <f>AND('Show Info'!#REF!,"AAAAAHdu8sw=")</f>
        <v>#REF!</v>
      </c>
      <c r="GX39" t="e">
        <f>AND('Show Info'!#REF!,"AAAAAHdu8s0=")</f>
        <v>#REF!</v>
      </c>
      <c r="GY39" t="e">
        <f>AND('Show Info'!#REF!,"AAAAAHdu8s4=")</f>
        <v>#REF!</v>
      </c>
      <c r="GZ39" t="e">
        <f>AND('Show Info'!#REF!,"AAAAAHdu8s8=")</f>
        <v>#REF!</v>
      </c>
      <c r="HA39" t="e">
        <f>AND('Show Info'!#REF!,"AAAAAHdu8tA=")</f>
        <v>#REF!</v>
      </c>
      <c r="HB39" t="e">
        <f>AND('Show Info'!#REF!,"AAAAAHdu8tE=")</f>
        <v>#REF!</v>
      </c>
      <c r="HC39" t="e">
        <f>AND('Show Info'!#REF!,"AAAAAHdu8tI=")</f>
        <v>#REF!</v>
      </c>
      <c r="HD39" t="e">
        <f>AND('Show Info'!#REF!,"AAAAAHdu8tM=")</f>
        <v>#REF!</v>
      </c>
      <c r="HE39" t="e">
        <f>AND('Show Info'!#REF!,"AAAAAHdu8tQ=")</f>
        <v>#REF!</v>
      </c>
      <c r="HF39" t="e">
        <f>AND('Show Info'!#REF!,"AAAAAHdu8tU=")</f>
        <v>#REF!</v>
      </c>
      <c r="HG39" t="e">
        <f>IF('Show Info'!#REF!,"AAAAAHdu8tY=",0)</f>
        <v>#REF!</v>
      </c>
      <c r="HH39" t="e">
        <f>AND('Show Info'!#REF!,"AAAAAHdu8tc=")</f>
        <v>#REF!</v>
      </c>
      <c r="HI39" t="e">
        <f>AND('Show Info'!#REF!,"AAAAAHdu8tg=")</f>
        <v>#REF!</v>
      </c>
      <c r="HJ39" t="e">
        <f>AND('Show Info'!#REF!,"AAAAAHdu8tk=")</f>
        <v>#REF!</v>
      </c>
      <c r="HK39" t="e">
        <f>AND('Show Info'!#REF!,"AAAAAHdu8to=")</f>
        <v>#REF!</v>
      </c>
      <c r="HL39" t="e">
        <f>AND('Show Info'!#REF!,"AAAAAHdu8ts=")</f>
        <v>#REF!</v>
      </c>
      <c r="HM39" t="e">
        <f>AND('Show Info'!#REF!,"AAAAAHdu8tw=")</f>
        <v>#REF!</v>
      </c>
      <c r="HN39" t="e">
        <f>AND('Show Info'!#REF!,"AAAAAHdu8t0=")</f>
        <v>#REF!</v>
      </c>
      <c r="HO39" t="e">
        <f>AND('Show Info'!#REF!,"AAAAAHdu8t4=")</f>
        <v>#REF!</v>
      </c>
      <c r="HP39" t="e">
        <f>AND('Show Info'!#REF!,"AAAAAHdu8t8=")</f>
        <v>#REF!</v>
      </c>
      <c r="HQ39" t="e">
        <f>AND('Show Info'!#REF!,"AAAAAHdu8uA=")</f>
        <v>#REF!</v>
      </c>
      <c r="HR39" t="e">
        <f>AND('Show Info'!#REF!,"AAAAAHdu8uE=")</f>
        <v>#REF!</v>
      </c>
      <c r="HS39" t="e">
        <f>AND('Show Info'!#REF!,"AAAAAHdu8uI=")</f>
        <v>#REF!</v>
      </c>
      <c r="HT39" t="e">
        <f>AND('Show Info'!#REF!,"AAAAAHdu8uM=")</f>
        <v>#REF!</v>
      </c>
      <c r="HU39" t="e">
        <f>AND('Show Info'!#REF!,"AAAAAHdu8uQ=")</f>
        <v>#REF!</v>
      </c>
      <c r="HV39" t="e">
        <f>AND('Show Info'!#REF!,"AAAAAHdu8uU=")</f>
        <v>#REF!</v>
      </c>
      <c r="HW39" t="e">
        <f>AND('Show Info'!#REF!,"AAAAAHdu8uY=")</f>
        <v>#REF!</v>
      </c>
      <c r="HX39" t="e">
        <f>AND('Show Info'!#REF!,"AAAAAHdu8uc=")</f>
        <v>#REF!</v>
      </c>
      <c r="HY39" t="e">
        <f>AND('Show Info'!#REF!,"AAAAAHdu8ug=")</f>
        <v>#REF!</v>
      </c>
      <c r="HZ39" t="e">
        <f>AND('Show Info'!#REF!,"AAAAAHdu8uk=")</f>
        <v>#REF!</v>
      </c>
      <c r="IA39" t="e">
        <f>AND('Show Info'!#REF!,"AAAAAHdu8uo=")</f>
        <v>#REF!</v>
      </c>
      <c r="IB39" t="e">
        <f>AND('Show Info'!#REF!,"AAAAAHdu8us=")</f>
        <v>#REF!</v>
      </c>
      <c r="IC39" t="e">
        <f>AND('Show Info'!#REF!,"AAAAAHdu8uw=")</f>
        <v>#REF!</v>
      </c>
      <c r="ID39" t="e">
        <f>IF('Show Info'!#REF!,"AAAAAHdu8u0=",0)</f>
        <v>#REF!</v>
      </c>
      <c r="IE39" t="e">
        <f>AND('Show Info'!#REF!,"AAAAAHdu8u4=")</f>
        <v>#REF!</v>
      </c>
      <c r="IF39" t="e">
        <f>AND('Show Info'!#REF!,"AAAAAHdu8u8=")</f>
        <v>#REF!</v>
      </c>
      <c r="IG39" t="e">
        <f>AND('Show Info'!#REF!,"AAAAAHdu8vA=")</f>
        <v>#REF!</v>
      </c>
      <c r="IH39" t="e">
        <f>AND('Show Info'!#REF!,"AAAAAHdu8vE=")</f>
        <v>#REF!</v>
      </c>
      <c r="II39" t="e">
        <f>AND('Show Info'!#REF!,"AAAAAHdu8vI=")</f>
        <v>#REF!</v>
      </c>
      <c r="IJ39" t="e">
        <f>AND('Show Info'!#REF!,"AAAAAHdu8vM=")</f>
        <v>#REF!</v>
      </c>
      <c r="IK39" t="e">
        <f>AND('Show Info'!#REF!,"AAAAAHdu8vQ=")</f>
        <v>#REF!</v>
      </c>
      <c r="IL39" t="e">
        <f>AND('Show Info'!#REF!,"AAAAAHdu8vU=")</f>
        <v>#REF!</v>
      </c>
      <c r="IM39" t="e">
        <f>AND('Show Info'!#REF!,"AAAAAHdu8vY=")</f>
        <v>#REF!</v>
      </c>
      <c r="IN39" t="e">
        <f>AND('Show Info'!#REF!,"AAAAAHdu8vc=")</f>
        <v>#REF!</v>
      </c>
      <c r="IO39" t="e">
        <f>AND('Show Info'!#REF!,"AAAAAHdu8vg=")</f>
        <v>#REF!</v>
      </c>
      <c r="IP39" t="e">
        <f>AND('Show Info'!#REF!,"AAAAAHdu8vk=")</f>
        <v>#REF!</v>
      </c>
      <c r="IQ39" t="e">
        <f>AND('Show Info'!#REF!,"AAAAAHdu8vo=")</f>
        <v>#REF!</v>
      </c>
      <c r="IR39" t="e">
        <f>AND('Show Info'!#REF!,"AAAAAHdu8vs=")</f>
        <v>#REF!</v>
      </c>
      <c r="IS39" t="e">
        <f>AND('Show Info'!#REF!,"AAAAAHdu8vw=")</f>
        <v>#REF!</v>
      </c>
      <c r="IT39" t="e">
        <f>AND('Show Info'!#REF!,"AAAAAHdu8v0=")</f>
        <v>#REF!</v>
      </c>
      <c r="IU39" t="e">
        <f>AND('Show Info'!#REF!,"AAAAAHdu8v4=")</f>
        <v>#REF!</v>
      </c>
      <c r="IV39" t="e">
        <f>AND('Show Info'!#REF!,"AAAAAHdu8v8=")</f>
        <v>#REF!</v>
      </c>
    </row>
    <row r="40" spans="1:256" x14ac:dyDescent="0.2">
      <c r="A40" t="e">
        <f>AND('Show Info'!#REF!,"AAAAAC16bwA=")</f>
        <v>#REF!</v>
      </c>
      <c r="B40" t="e">
        <f>AND('Show Info'!#REF!,"AAAAAC16bwE=")</f>
        <v>#REF!</v>
      </c>
      <c r="C40" t="e">
        <f>AND('Show Info'!#REF!,"AAAAAC16bwI=")</f>
        <v>#REF!</v>
      </c>
      <c r="D40" t="e">
        <f>AND('Show Info'!#REF!,"AAAAAC16bwM=")</f>
        <v>#REF!</v>
      </c>
      <c r="E40" t="e">
        <f>IF('Show Info'!#REF!,"AAAAAC16bwQ=",0)</f>
        <v>#REF!</v>
      </c>
      <c r="F40" t="e">
        <f>AND('Show Info'!#REF!,"AAAAAC16bwU=")</f>
        <v>#REF!</v>
      </c>
      <c r="G40" t="e">
        <f>AND('Show Info'!#REF!,"AAAAAC16bwY=")</f>
        <v>#REF!</v>
      </c>
      <c r="H40" t="e">
        <f>AND('Show Info'!#REF!,"AAAAAC16bwc=")</f>
        <v>#REF!</v>
      </c>
      <c r="I40" t="e">
        <f>AND('Show Info'!#REF!,"AAAAAC16bwg=")</f>
        <v>#REF!</v>
      </c>
      <c r="J40" t="e">
        <f>AND('Show Info'!#REF!,"AAAAAC16bwk=")</f>
        <v>#REF!</v>
      </c>
      <c r="K40" t="e">
        <f>AND('Show Info'!#REF!,"AAAAAC16bwo=")</f>
        <v>#REF!</v>
      </c>
      <c r="L40" t="e">
        <f>AND('Show Info'!#REF!,"AAAAAC16bws=")</f>
        <v>#REF!</v>
      </c>
      <c r="M40" t="e">
        <f>AND('Show Info'!#REF!,"AAAAAC16bww=")</f>
        <v>#REF!</v>
      </c>
      <c r="N40" t="e">
        <f>AND('Show Info'!#REF!,"AAAAAC16bw0=")</f>
        <v>#REF!</v>
      </c>
      <c r="O40" t="e">
        <f>AND('Show Info'!#REF!,"AAAAAC16bw4=")</f>
        <v>#REF!</v>
      </c>
      <c r="P40" t="e">
        <f>AND('Show Info'!#REF!,"AAAAAC16bw8=")</f>
        <v>#REF!</v>
      </c>
      <c r="Q40" t="e">
        <f>AND('Show Info'!#REF!,"AAAAAC16bxA=")</f>
        <v>#REF!</v>
      </c>
      <c r="R40" t="e">
        <f>AND('Show Info'!#REF!,"AAAAAC16bxE=")</f>
        <v>#REF!</v>
      </c>
      <c r="S40" t="e">
        <f>AND('Show Info'!#REF!,"AAAAAC16bxI=")</f>
        <v>#REF!</v>
      </c>
      <c r="T40" t="e">
        <f>AND('Show Info'!#REF!,"AAAAAC16bxM=")</f>
        <v>#REF!</v>
      </c>
      <c r="U40" t="e">
        <f>AND('Show Info'!#REF!,"AAAAAC16bxQ=")</f>
        <v>#REF!</v>
      </c>
      <c r="V40" t="e">
        <f>AND('Show Info'!#REF!,"AAAAAC16bxU=")</f>
        <v>#REF!</v>
      </c>
      <c r="W40" t="e">
        <f>AND('Show Info'!#REF!,"AAAAAC16bxY=")</f>
        <v>#REF!</v>
      </c>
      <c r="X40" t="e">
        <f>AND('Show Info'!#REF!,"AAAAAC16bxc=")</f>
        <v>#REF!</v>
      </c>
      <c r="Y40" t="e">
        <f>AND('Show Info'!#REF!,"AAAAAC16bxg=")</f>
        <v>#REF!</v>
      </c>
      <c r="Z40" t="e">
        <f>AND('Show Info'!#REF!,"AAAAAC16bxk=")</f>
        <v>#REF!</v>
      </c>
      <c r="AA40" t="e">
        <f>AND('Show Info'!#REF!,"AAAAAC16bxo=")</f>
        <v>#REF!</v>
      </c>
      <c r="AB40" t="e">
        <f>IF('Show Info'!#REF!,"AAAAAC16bxs=",0)</f>
        <v>#REF!</v>
      </c>
      <c r="AC40" t="e">
        <f>AND('Show Info'!#REF!,"AAAAAC16bxw=")</f>
        <v>#REF!</v>
      </c>
      <c r="AD40" t="e">
        <f>AND('Show Info'!#REF!,"AAAAAC16bx0=")</f>
        <v>#REF!</v>
      </c>
      <c r="AE40" t="e">
        <f>AND('Show Info'!#REF!,"AAAAAC16bx4=")</f>
        <v>#REF!</v>
      </c>
      <c r="AF40" t="e">
        <f>AND('Show Info'!#REF!,"AAAAAC16bx8=")</f>
        <v>#REF!</v>
      </c>
      <c r="AG40" t="e">
        <f>AND('Show Info'!#REF!,"AAAAAC16byA=")</f>
        <v>#REF!</v>
      </c>
      <c r="AH40" t="e">
        <f>AND('Show Info'!#REF!,"AAAAAC16byE=")</f>
        <v>#REF!</v>
      </c>
      <c r="AI40" t="e">
        <f>AND('Show Info'!#REF!,"AAAAAC16byI=")</f>
        <v>#REF!</v>
      </c>
      <c r="AJ40" t="e">
        <f>AND('Show Info'!#REF!,"AAAAAC16byM=")</f>
        <v>#REF!</v>
      </c>
      <c r="AK40" t="e">
        <f>AND('Show Info'!#REF!,"AAAAAC16byQ=")</f>
        <v>#REF!</v>
      </c>
      <c r="AL40" t="e">
        <f>AND('Show Info'!#REF!,"AAAAAC16byU=")</f>
        <v>#REF!</v>
      </c>
      <c r="AM40" t="e">
        <f>AND('Show Info'!#REF!,"AAAAAC16byY=")</f>
        <v>#REF!</v>
      </c>
      <c r="AN40" t="e">
        <f>AND('Show Info'!#REF!,"AAAAAC16byc=")</f>
        <v>#REF!</v>
      </c>
      <c r="AO40" t="e">
        <f>AND('Show Info'!#REF!,"AAAAAC16byg=")</f>
        <v>#REF!</v>
      </c>
      <c r="AP40" t="e">
        <f>AND('Show Info'!#REF!,"AAAAAC16byk=")</f>
        <v>#REF!</v>
      </c>
      <c r="AQ40" t="e">
        <f>AND('Show Info'!#REF!,"AAAAAC16byo=")</f>
        <v>#REF!</v>
      </c>
      <c r="AR40" t="e">
        <f>AND('Show Info'!#REF!,"AAAAAC16bys=")</f>
        <v>#REF!</v>
      </c>
      <c r="AS40" t="e">
        <f>AND('Show Info'!#REF!,"AAAAAC16byw=")</f>
        <v>#REF!</v>
      </c>
      <c r="AT40" t="e">
        <f>AND('Show Info'!#REF!,"AAAAAC16by0=")</f>
        <v>#REF!</v>
      </c>
      <c r="AU40" t="e">
        <f>AND('Show Info'!#REF!,"AAAAAC16by4=")</f>
        <v>#REF!</v>
      </c>
      <c r="AV40" t="e">
        <f>AND('Show Info'!#REF!,"AAAAAC16by8=")</f>
        <v>#REF!</v>
      </c>
      <c r="AW40" t="e">
        <f>AND('Show Info'!#REF!,"AAAAAC16bzA=")</f>
        <v>#REF!</v>
      </c>
      <c r="AX40" t="e">
        <f>AND('Show Info'!#REF!,"AAAAAC16bzE=")</f>
        <v>#REF!</v>
      </c>
      <c r="AY40" t="e">
        <f>IF('Show Info'!#REF!,"AAAAAC16bzI=",0)</f>
        <v>#REF!</v>
      </c>
      <c r="AZ40" t="e">
        <f>AND('Show Info'!#REF!,"AAAAAC16bzM=")</f>
        <v>#REF!</v>
      </c>
      <c r="BA40" t="e">
        <f>AND('Show Info'!#REF!,"AAAAAC16bzQ=")</f>
        <v>#REF!</v>
      </c>
      <c r="BB40" t="e">
        <f>AND('Show Info'!#REF!,"AAAAAC16bzU=")</f>
        <v>#REF!</v>
      </c>
      <c r="BC40" t="e">
        <f>AND('Show Info'!#REF!,"AAAAAC16bzY=")</f>
        <v>#REF!</v>
      </c>
      <c r="BD40" t="e">
        <f>AND('Show Info'!#REF!,"AAAAAC16bzc=")</f>
        <v>#REF!</v>
      </c>
      <c r="BE40" t="e">
        <f>AND('Show Info'!#REF!,"AAAAAC16bzg=")</f>
        <v>#REF!</v>
      </c>
      <c r="BF40" t="e">
        <f>AND('Show Info'!#REF!,"AAAAAC16bzk=")</f>
        <v>#REF!</v>
      </c>
      <c r="BG40" t="e">
        <f>AND('Show Info'!#REF!,"AAAAAC16bzo=")</f>
        <v>#REF!</v>
      </c>
      <c r="BH40" t="e">
        <f>AND('Show Info'!#REF!,"AAAAAC16bzs=")</f>
        <v>#REF!</v>
      </c>
      <c r="BI40" t="e">
        <f>AND('Show Info'!#REF!,"AAAAAC16bzw=")</f>
        <v>#REF!</v>
      </c>
      <c r="BJ40" t="e">
        <f>AND('Show Info'!#REF!,"AAAAAC16bz0=")</f>
        <v>#REF!</v>
      </c>
      <c r="BK40" t="e">
        <f>AND('Show Info'!#REF!,"AAAAAC16bz4=")</f>
        <v>#REF!</v>
      </c>
      <c r="BL40" t="e">
        <f>AND('Show Info'!#REF!,"AAAAAC16bz8=")</f>
        <v>#REF!</v>
      </c>
      <c r="BM40" t="e">
        <f>AND('Show Info'!#REF!,"AAAAAC16b0A=")</f>
        <v>#REF!</v>
      </c>
      <c r="BN40" t="e">
        <f>AND('Show Info'!#REF!,"AAAAAC16b0E=")</f>
        <v>#REF!</v>
      </c>
      <c r="BO40" t="e">
        <f>AND('Show Info'!#REF!,"AAAAAC16b0I=")</f>
        <v>#REF!</v>
      </c>
      <c r="BP40" t="e">
        <f>AND('Show Info'!#REF!,"AAAAAC16b0M=")</f>
        <v>#REF!</v>
      </c>
      <c r="BQ40" t="e">
        <f>AND('Show Info'!#REF!,"AAAAAC16b0Q=")</f>
        <v>#REF!</v>
      </c>
      <c r="BR40" t="e">
        <f>AND('Show Info'!#REF!,"AAAAAC16b0U=")</f>
        <v>#REF!</v>
      </c>
      <c r="BS40" t="e">
        <f>AND('Show Info'!#REF!,"AAAAAC16b0Y=")</f>
        <v>#REF!</v>
      </c>
      <c r="BT40" t="e">
        <f>AND('Show Info'!#REF!,"AAAAAC16b0c=")</f>
        <v>#REF!</v>
      </c>
      <c r="BU40" t="e">
        <f>AND('Show Info'!#REF!,"AAAAAC16b0g=")</f>
        <v>#REF!</v>
      </c>
      <c r="BV40" t="e">
        <f>IF('Show Info'!#REF!,"AAAAAC16b0k=",0)</f>
        <v>#REF!</v>
      </c>
      <c r="BW40" t="e">
        <f>AND('Show Info'!#REF!,"AAAAAC16b0o=")</f>
        <v>#REF!</v>
      </c>
      <c r="BX40" t="e">
        <f>AND('Show Info'!#REF!,"AAAAAC16b0s=")</f>
        <v>#REF!</v>
      </c>
      <c r="BY40" t="e">
        <f>AND('Show Info'!#REF!,"AAAAAC16b0w=")</f>
        <v>#REF!</v>
      </c>
      <c r="BZ40" t="e">
        <f>AND('Show Info'!#REF!,"AAAAAC16b00=")</f>
        <v>#REF!</v>
      </c>
      <c r="CA40" t="e">
        <f>AND('Show Info'!#REF!,"AAAAAC16b04=")</f>
        <v>#REF!</v>
      </c>
      <c r="CB40" t="e">
        <f>AND('Show Info'!#REF!,"AAAAAC16b08=")</f>
        <v>#REF!</v>
      </c>
      <c r="CC40" t="e">
        <f>AND('Show Info'!#REF!,"AAAAAC16b1A=")</f>
        <v>#REF!</v>
      </c>
      <c r="CD40" t="e">
        <f>AND('Show Info'!#REF!,"AAAAAC16b1E=")</f>
        <v>#REF!</v>
      </c>
      <c r="CE40" t="e">
        <f>AND('Show Info'!#REF!,"AAAAAC16b1I=")</f>
        <v>#REF!</v>
      </c>
      <c r="CF40" t="e">
        <f>AND('Show Info'!#REF!,"AAAAAC16b1M=")</f>
        <v>#REF!</v>
      </c>
      <c r="CG40" t="e">
        <f>AND('Show Info'!#REF!,"AAAAAC16b1Q=")</f>
        <v>#REF!</v>
      </c>
      <c r="CH40" t="e">
        <f>AND('Show Info'!#REF!,"AAAAAC16b1U=")</f>
        <v>#REF!</v>
      </c>
      <c r="CI40" t="e">
        <f>AND('Show Info'!#REF!,"AAAAAC16b1Y=")</f>
        <v>#REF!</v>
      </c>
      <c r="CJ40" t="e">
        <f>AND('Show Info'!#REF!,"AAAAAC16b1c=")</f>
        <v>#REF!</v>
      </c>
      <c r="CK40" t="e">
        <f>AND('Show Info'!#REF!,"AAAAAC16b1g=")</f>
        <v>#REF!</v>
      </c>
      <c r="CL40" t="e">
        <f>AND('Show Info'!#REF!,"AAAAAC16b1k=")</f>
        <v>#REF!</v>
      </c>
      <c r="CM40" t="e">
        <f>AND('Show Info'!#REF!,"AAAAAC16b1o=")</f>
        <v>#REF!</v>
      </c>
      <c r="CN40" t="e">
        <f>AND('Show Info'!#REF!,"AAAAAC16b1s=")</f>
        <v>#REF!</v>
      </c>
      <c r="CO40" t="e">
        <f>AND('Show Info'!#REF!,"AAAAAC16b1w=")</f>
        <v>#REF!</v>
      </c>
      <c r="CP40" t="e">
        <f>AND('Show Info'!#REF!,"AAAAAC16b10=")</f>
        <v>#REF!</v>
      </c>
      <c r="CQ40" t="e">
        <f>AND('Show Info'!#REF!,"AAAAAC16b14=")</f>
        <v>#REF!</v>
      </c>
      <c r="CR40" t="e">
        <f>AND('Show Info'!#REF!,"AAAAAC16b18=")</f>
        <v>#REF!</v>
      </c>
      <c r="CS40" t="e">
        <f>IF('Show Info'!#REF!,"AAAAAC16b2A=",0)</f>
        <v>#REF!</v>
      </c>
      <c r="CT40" t="e">
        <f>AND('Show Info'!#REF!,"AAAAAC16b2E=")</f>
        <v>#REF!</v>
      </c>
      <c r="CU40" t="e">
        <f>AND('Show Info'!#REF!,"AAAAAC16b2I=")</f>
        <v>#REF!</v>
      </c>
      <c r="CV40" t="e">
        <f>AND('Show Info'!#REF!,"AAAAAC16b2M=")</f>
        <v>#REF!</v>
      </c>
      <c r="CW40" t="e">
        <f>AND('Show Info'!#REF!,"AAAAAC16b2Q=")</f>
        <v>#REF!</v>
      </c>
      <c r="CX40" t="e">
        <f>AND('Show Info'!#REF!,"AAAAAC16b2U=")</f>
        <v>#REF!</v>
      </c>
      <c r="CY40" t="e">
        <f>AND('Show Info'!#REF!,"AAAAAC16b2Y=")</f>
        <v>#REF!</v>
      </c>
      <c r="CZ40" t="e">
        <f>AND('Show Info'!#REF!,"AAAAAC16b2c=")</f>
        <v>#REF!</v>
      </c>
      <c r="DA40" t="e">
        <f>AND('Show Info'!#REF!,"AAAAAC16b2g=")</f>
        <v>#REF!</v>
      </c>
      <c r="DB40" t="e">
        <f>AND('Show Info'!#REF!,"AAAAAC16b2k=")</f>
        <v>#REF!</v>
      </c>
      <c r="DC40" t="e">
        <f>AND('Show Info'!#REF!,"AAAAAC16b2o=")</f>
        <v>#REF!</v>
      </c>
      <c r="DD40" t="e">
        <f>AND('Show Info'!#REF!,"AAAAAC16b2s=")</f>
        <v>#REF!</v>
      </c>
      <c r="DE40" t="e">
        <f>AND('Show Info'!#REF!,"AAAAAC16b2w=")</f>
        <v>#REF!</v>
      </c>
      <c r="DF40" t="e">
        <f>AND('Show Info'!#REF!,"AAAAAC16b20=")</f>
        <v>#REF!</v>
      </c>
      <c r="DG40" t="e">
        <f>AND('Show Info'!#REF!,"AAAAAC16b24=")</f>
        <v>#REF!</v>
      </c>
      <c r="DH40" t="e">
        <f>AND('Show Info'!#REF!,"AAAAAC16b28=")</f>
        <v>#REF!</v>
      </c>
      <c r="DI40" t="e">
        <f>AND('Show Info'!#REF!,"AAAAAC16b3A=")</f>
        <v>#REF!</v>
      </c>
      <c r="DJ40" t="e">
        <f>AND('Show Info'!#REF!,"AAAAAC16b3E=")</f>
        <v>#REF!</v>
      </c>
      <c r="DK40" t="e">
        <f>AND('Show Info'!#REF!,"AAAAAC16b3I=")</f>
        <v>#REF!</v>
      </c>
      <c r="DL40" t="e">
        <f>AND('Show Info'!#REF!,"AAAAAC16b3M=")</f>
        <v>#REF!</v>
      </c>
      <c r="DM40" t="e">
        <f>AND('Show Info'!#REF!,"AAAAAC16b3Q=")</f>
        <v>#REF!</v>
      </c>
      <c r="DN40" t="e">
        <f>AND('Show Info'!#REF!,"AAAAAC16b3U=")</f>
        <v>#REF!</v>
      </c>
      <c r="DO40" t="e">
        <f>AND('Show Info'!#REF!,"AAAAAC16b3Y=")</f>
        <v>#REF!</v>
      </c>
      <c r="DP40" t="e">
        <f>IF('Show Info'!#REF!,"AAAAAC16b3c=",0)</f>
        <v>#REF!</v>
      </c>
      <c r="DQ40" t="e">
        <f>AND('Show Info'!#REF!,"AAAAAC16b3g=")</f>
        <v>#REF!</v>
      </c>
      <c r="DR40" t="e">
        <f>AND('Show Info'!#REF!,"AAAAAC16b3k=")</f>
        <v>#REF!</v>
      </c>
      <c r="DS40" t="e">
        <f>AND('Show Info'!#REF!,"AAAAAC16b3o=")</f>
        <v>#REF!</v>
      </c>
      <c r="DT40" t="e">
        <f>AND('Show Info'!#REF!,"AAAAAC16b3s=")</f>
        <v>#REF!</v>
      </c>
      <c r="DU40" t="e">
        <f>AND('Show Info'!#REF!,"AAAAAC16b3w=")</f>
        <v>#REF!</v>
      </c>
      <c r="DV40" t="e">
        <f>AND('Show Info'!#REF!,"AAAAAC16b30=")</f>
        <v>#REF!</v>
      </c>
      <c r="DW40" t="e">
        <f>AND('Show Info'!#REF!,"AAAAAC16b34=")</f>
        <v>#REF!</v>
      </c>
      <c r="DX40" t="e">
        <f>AND('Show Info'!#REF!,"AAAAAC16b38=")</f>
        <v>#REF!</v>
      </c>
      <c r="DY40" t="e">
        <f>AND('Show Info'!#REF!,"AAAAAC16b4A=")</f>
        <v>#REF!</v>
      </c>
      <c r="DZ40" t="e">
        <f>AND('Show Info'!#REF!,"AAAAAC16b4E=")</f>
        <v>#REF!</v>
      </c>
      <c r="EA40" t="e">
        <f>AND('Show Info'!#REF!,"AAAAAC16b4I=")</f>
        <v>#REF!</v>
      </c>
      <c r="EB40" t="e">
        <f>AND('Show Info'!#REF!,"AAAAAC16b4M=")</f>
        <v>#REF!</v>
      </c>
      <c r="EC40" t="e">
        <f>AND('Show Info'!#REF!,"AAAAAC16b4Q=")</f>
        <v>#REF!</v>
      </c>
      <c r="ED40" t="e">
        <f>AND('Show Info'!#REF!,"AAAAAC16b4U=")</f>
        <v>#REF!</v>
      </c>
      <c r="EE40" t="e">
        <f>AND('Show Info'!#REF!,"AAAAAC16b4Y=")</f>
        <v>#REF!</v>
      </c>
      <c r="EF40" t="e">
        <f>AND('Show Info'!#REF!,"AAAAAC16b4c=")</f>
        <v>#REF!</v>
      </c>
      <c r="EG40" t="e">
        <f>AND('Show Info'!#REF!,"AAAAAC16b4g=")</f>
        <v>#REF!</v>
      </c>
      <c r="EH40" t="e">
        <f>AND('Show Info'!#REF!,"AAAAAC16b4k=")</f>
        <v>#REF!</v>
      </c>
      <c r="EI40" t="e">
        <f>AND('Show Info'!#REF!,"AAAAAC16b4o=")</f>
        <v>#REF!</v>
      </c>
      <c r="EJ40" t="e">
        <f>AND('Show Info'!#REF!,"AAAAAC16b4s=")</f>
        <v>#REF!</v>
      </c>
      <c r="EK40" t="e">
        <f>AND('Show Info'!#REF!,"AAAAAC16b4w=")</f>
        <v>#REF!</v>
      </c>
      <c r="EL40" t="e">
        <f>AND('Show Info'!#REF!,"AAAAAC16b40=")</f>
        <v>#REF!</v>
      </c>
      <c r="EM40" t="e">
        <f>IF('Show Info'!#REF!,"AAAAAC16b44=",0)</f>
        <v>#REF!</v>
      </c>
      <c r="EN40" t="e">
        <f>AND('Show Info'!#REF!,"AAAAAC16b48=")</f>
        <v>#REF!</v>
      </c>
      <c r="EO40" t="e">
        <f>AND('Show Info'!#REF!,"AAAAAC16b5A=")</f>
        <v>#REF!</v>
      </c>
      <c r="EP40" t="e">
        <f>AND('Show Info'!#REF!,"AAAAAC16b5E=")</f>
        <v>#REF!</v>
      </c>
      <c r="EQ40" t="e">
        <f>AND('Show Info'!#REF!,"AAAAAC16b5I=")</f>
        <v>#REF!</v>
      </c>
      <c r="ER40" t="e">
        <f>AND('Show Info'!#REF!,"AAAAAC16b5M=")</f>
        <v>#REF!</v>
      </c>
      <c r="ES40" t="e">
        <f>AND('Show Info'!#REF!,"AAAAAC16b5Q=")</f>
        <v>#REF!</v>
      </c>
      <c r="ET40" t="e">
        <f>AND('Show Info'!#REF!,"AAAAAC16b5U=")</f>
        <v>#REF!</v>
      </c>
      <c r="EU40" t="e">
        <f>AND('Show Info'!#REF!,"AAAAAC16b5Y=")</f>
        <v>#REF!</v>
      </c>
      <c r="EV40" t="e">
        <f>AND('Show Info'!#REF!,"AAAAAC16b5c=")</f>
        <v>#REF!</v>
      </c>
      <c r="EW40" t="e">
        <f>AND('Show Info'!#REF!,"AAAAAC16b5g=")</f>
        <v>#REF!</v>
      </c>
      <c r="EX40" t="e">
        <f>AND('Show Info'!#REF!,"AAAAAC16b5k=")</f>
        <v>#REF!</v>
      </c>
      <c r="EY40" t="e">
        <f>AND('Show Info'!#REF!,"AAAAAC16b5o=")</f>
        <v>#REF!</v>
      </c>
      <c r="EZ40" t="e">
        <f>AND('Show Info'!#REF!,"AAAAAC16b5s=")</f>
        <v>#REF!</v>
      </c>
      <c r="FA40" t="e">
        <f>AND('Show Info'!#REF!,"AAAAAC16b5w=")</f>
        <v>#REF!</v>
      </c>
      <c r="FB40" t="e">
        <f>AND('Show Info'!#REF!,"AAAAAC16b50=")</f>
        <v>#REF!</v>
      </c>
      <c r="FC40" t="e">
        <f>AND('Show Info'!#REF!,"AAAAAC16b54=")</f>
        <v>#REF!</v>
      </c>
      <c r="FD40" t="e">
        <f>AND('Show Info'!#REF!,"AAAAAC16b58=")</f>
        <v>#REF!</v>
      </c>
      <c r="FE40" t="e">
        <f>AND('Show Info'!#REF!,"AAAAAC16b6A=")</f>
        <v>#REF!</v>
      </c>
      <c r="FF40" t="e">
        <f>AND('Show Info'!#REF!,"AAAAAC16b6E=")</f>
        <v>#REF!</v>
      </c>
      <c r="FG40" t="e">
        <f>AND('Show Info'!#REF!,"AAAAAC16b6I=")</f>
        <v>#REF!</v>
      </c>
      <c r="FH40" t="e">
        <f>AND('Show Info'!#REF!,"AAAAAC16b6M=")</f>
        <v>#REF!</v>
      </c>
      <c r="FI40" t="e">
        <f>AND('Show Info'!#REF!,"AAAAAC16b6Q=")</f>
        <v>#REF!</v>
      </c>
      <c r="FJ40" t="e">
        <f>IF('Show Info'!#REF!,"AAAAAC16b6U=",0)</f>
        <v>#REF!</v>
      </c>
      <c r="FK40" t="e">
        <f>AND('Show Info'!#REF!,"AAAAAC16b6Y=")</f>
        <v>#REF!</v>
      </c>
      <c r="FL40" t="e">
        <f>AND('Show Info'!#REF!,"AAAAAC16b6c=")</f>
        <v>#REF!</v>
      </c>
      <c r="FM40" t="e">
        <f>AND('Show Info'!#REF!,"AAAAAC16b6g=")</f>
        <v>#REF!</v>
      </c>
      <c r="FN40" t="e">
        <f>AND('Show Info'!#REF!,"AAAAAC16b6k=")</f>
        <v>#REF!</v>
      </c>
      <c r="FO40" t="e">
        <f>AND('Show Info'!#REF!,"AAAAAC16b6o=")</f>
        <v>#REF!</v>
      </c>
      <c r="FP40" t="e">
        <f>AND('Show Info'!#REF!,"AAAAAC16b6s=")</f>
        <v>#REF!</v>
      </c>
      <c r="FQ40" t="e">
        <f>AND('Show Info'!#REF!,"AAAAAC16b6w=")</f>
        <v>#REF!</v>
      </c>
      <c r="FR40" t="e">
        <f>AND('Show Info'!#REF!,"AAAAAC16b60=")</f>
        <v>#REF!</v>
      </c>
      <c r="FS40" t="e">
        <f>AND('Show Info'!#REF!,"AAAAAC16b64=")</f>
        <v>#REF!</v>
      </c>
      <c r="FT40" t="e">
        <f>AND('Show Info'!#REF!,"AAAAAC16b68=")</f>
        <v>#REF!</v>
      </c>
      <c r="FU40" t="e">
        <f>AND('Show Info'!#REF!,"AAAAAC16b7A=")</f>
        <v>#REF!</v>
      </c>
      <c r="FV40" t="e">
        <f>AND('Show Info'!#REF!,"AAAAAC16b7E=")</f>
        <v>#REF!</v>
      </c>
      <c r="FW40" t="e">
        <f>AND('Show Info'!#REF!,"AAAAAC16b7I=")</f>
        <v>#REF!</v>
      </c>
      <c r="FX40" t="e">
        <f>AND('Show Info'!#REF!,"AAAAAC16b7M=")</f>
        <v>#REF!</v>
      </c>
      <c r="FY40" t="e">
        <f>AND('Show Info'!#REF!,"AAAAAC16b7Q=")</f>
        <v>#REF!</v>
      </c>
      <c r="FZ40" t="e">
        <f>AND('Show Info'!#REF!,"AAAAAC16b7U=")</f>
        <v>#REF!</v>
      </c>
      <c r="GA40" t="e">
        <f>AND('Show Info'!#REF!,"AAAAAC16b7Y=")</f>
        <v>#REF!</v>
      </c>
      <c r="GB40" t="e">
        <f>AND('Show Info'!#REF!,"AAAAAC16b7c=")</f>
        <v>#REF!</v>
      </c>
      <c r="GC40" t="e">
        <f>AND('Show Info'!#REF!,"AAAAAC16b7g=")</f>
        <v>#REF!</v>
      </c>
      <c r="GD40" t="e">
        <f>AND('Show Info'!#REF!,"AAAAAC16b7k=")</f>
        <v>#REF!</v>
      </c>
      <c r="GE40" t="e">
        <f>AND('Show Info'!#REF!,"AAAAAC16b7o=")</f>
        <v>#REF!</v>
      </c>
      <c r="GF40" t="e">
        <f>AND('Show Info'!#REF!,"AAAAAC16b7s=")</f>
        <v>#REF!</v>
      </c>
      <c r="GG40" t="e">
        <f>IF('Show Info'!#REF!,"AAAAAC16b7w=",0)</f>
        <v>#REF!</v>
      </c>
      <c r="GH40" t="e">
        <f>AND('Show Info'!#REF!,"AAAAAC16b70=")</f>
        <v>#REF!</v>
      </c>
      <c r="GI40" t="e">
        <f>AND('Show Info'!#REF!,"AAAAAC16b74=")</f>
        <v>#REF!</v>
      </c>
      <c r="GJ40" t="e">
        <f>AND('Show Info'!#REF!,"AAAAAC16b78=")</f>
        <v>#REF!</v>
      </c>
      <c r="GK40" t="e">
        <f>AND('Show Info'!#REF!,"AAAAAC16b8A=")</f>
        <v>#REF!</v>
      </c>
      <c r="GL40" t="e">
        <f>AND('Show Info'!#REF!,"AAAAAC16b8E=")</f>
        <v>#REF!</v>
      </c>
      <c r="GM40" t="e">
        <f>AND('Show Info'!#REF!,"AAAAAC16b8I=")</f>
        <v>#REF!</v>
      </c>
      <c r="GN40" t="e">
        <f>AND('Show Info'!#REF!,"AAAAAC16b8M=")</f>
        <v>#REF!</v>
      </c>
      <c r="GO40" t="e">
        <f>AND('Show Info'!#REF!,"AAAAAC16b8Q=")</f>
        <v>#REF!</v>
      </c>
      <c r="GP40" t="e">
        <f>AND('Show Info'!#REF!,"AAAAAC16b8U=")</f>
        <v>#REF!</v>
      </c>
      <c r="GQ40" t="e">
        <f>AND('Show Info'!#REF!,"AAAAAC16b8Y=")</f>
        <v>#REF!</v>
      </c>
      <c r="GR40" t="e">
        <f>AND('Show Info'!#REF!,"AAAAAC16b8c=")</f>
        <v>#REF!</v>
      </c>
      <c r="GS40" t="e">
        <f>AND('Show Info'!#REF!,"AAAAAC16b8g=")</f>
        <v>#REF!</v>
      </c>
      <c r="GT40" t="e">
        <f>AND('Show Info'!#REF!,"AAAAAC16b8k=")</f>
        <v>#REF!</v>
      </c>
      <c r="GU40" t="e">
        <f>AND('Show Info'!#REF!,"AAAAAC16b8o=")</f>
        <v>#REF!</v>
      </c>
      <c r="GV40" t="e">
        <f>AND('Show Info'!#REF!,"AAAAAC16b8s=")</f>
        <v>#REF!</v>
      </c>
      <c r="GW40" t="e">
        <f>AND('Show Info'!#REF!,"AAAAAC16b8w=")</f>
        <v>#REF!</v>
      </c>
      <c r="GX40" t="e">
        <f>AND('Show Info'!#REF!,"AAAAAC16b80=")</f>
        <v>#REF!</v>
      </c>
      <c r="GY40" t="e">
        <f>AND('Show Info'!#REF!,"AAAAAC16b84=")</f>
        <v>#REF!</v>
      </c>
      <c r="GZ40" t="e">
        <f>AND('Show Info'!#REF!,"AAAAAC16b88=")</f>
        <v>#REF!</v>
      </c>
      <c r="HA40" t="e">
        <f>AND('Show Info'!#REF!,"AAAAAC16b9A=")</f>
        <v>#REF!</v>
      </c>
      <c r="HB40" t="e">
        <f>AND('Show Info'!#REF!,"AAAAAC16b9E=")</f>
        <v>#REF!</v>
      </c>
      <c r="HC40" t="e">
        <f>AND('Show Info'!#REF!,"AAAAAC16b9I=")</f>
        <v>#REF!</v>
      </c>
      <c r="HD40" t="e">
        <f>IF('Show Info'!#REF!,"AAAAAC16b9M=",0)</f>
        <v>#REF!</v>
      </c>
      <c r="HE40" t="e">
        <f>AND('Show Info'!#REF!,"AAAAAC16b9Q=")</f>
        <v>#REF!</v>
      </c>
      <c r="HF40" t="e">
        <f>AND('Show Info'!#REF!,"AAAAAC16b9U=")</f>
        <v>#REF!</v>
      </c>
      <c r="HG40" t="e">
        <f>AND('Show Info'!#REF!,"AAAAAC16b9Y=")</f>
        <v>#REF!</v>
      </c>
      <c r="HH40" t="e">
        <f>AND('Show Info'!#REF!,"AAAAAC16b9c=")</f>
        <v>#REF!</v>
      </c>
      <c r="HI40" t="e">
        <f>AND('Show Info'!#REF!,"AAAAAC16b9g=")</f>
        <v>#REF!</v>
      </c>
      <c r="HJ40" t="e">
        <f>AND('Show Info'!#REF!,"AAAAAC16b9k=")</f>
        <v>#REF!</v>
      </c>
      <c r="HK40" t="e">
        <f>AND('Show Info'!#REF!,"AAAAAC16b9o=")</f>
        <v>#REF!</v>
      </c>
      <c r="HL40" t="e">
        <f>AND('Show Info'!#REF!,"AAAAAC16b9s=")</f>
        <v>#REF!</v>
      </c>
      <c r="HM40" t="e">
        <f>AND('Show Info'!#REF!,"AAAAAC16b9w=")</f>
        <v>#REF!</v>
      </c>
      <c r="HN40" t="e">
        <f>AND('Show Info'!#REF!,"AAAAAC16b90=")</f>
        <v>#REF!</v>
      </c>
      <c r="HO40" t="e">
        <f>AND('Show Info'!#REF!,"AAAAAC16b94=")</f>
        <v>#REF!</v>
      </c>
      <c r="HP40" t="e">
        <f>AND('Show Info'!#REF!,"AAAAAC16b98=")</f>
        <v>#REF!</v>
      </c>
      <c r="HQ40" t="e">
        <f>AND('Show Info'!#REF!,"AAAAAC16b+A=")</f>
        <v>#REF!</v>
      </c>
      <c r="HR40" t="e">
        <f>AND('Show Info'!#REF!,"AAAAAC16b+E=")</f>
        <v>#REF!</v>
      </c>
      <c r="HS40" t="e">
        <f>AND('Show Info'!#REF!,"AAAAAC16b+I=")</f>
        <v>#REF!</v>
      </c>
      <c r="HT40" t="e">
        <f>AND('Show Info'!#REF!,"AAAAAC16b+M=")</f>
        <v>#REF!</v>
      </c>
      <c r="HU40" t="e">
        <f>AND('Show Info'!#REF!,"AAAAAC16b+Q=")</f>
        <v>#REF!</v>
      </c>
      <c r="HV40" t="e">
        <f>AND('Show Info'!#REF!,"AAAAAC16b+U=")</f>
        <v>#REF!</v>
      </c>
      <c r="HW40" t="e">
        <f>AND('Show Info'!#REF!,"AAAAAC16b+Y=")</f>
        <v>#REF!</v>
      </c>
      <c r="HX40" t="e">
        <f>AND('Show Info'!#REF!,"AAAAAC16b+c=")</f>
        <v>#REF!</v>
      </c>
      <c r="HY40" t="e">
        <f>AND('Show Info'!#REF!,"AAAAAC16b+g=")</f>
        <v>#REF!</v>
      </c>
      <c r="HZ40" t="e">
        <f>AND('Show Info'!#REF!,"AAAAAC16b+k=")</f>
        <v>#REF!</v>
      </c>
      <c r="IA40" t="e">
        <f>IF('Show Info'!#REF!,"AAAAAC16b+o=",0)</f>
        <v>#REF!</v>
      </c>
      <c r="IB40" t="e">
        <f>AND('Show Info'!#REF!,"AAAAAC16b+s=")</f>
        <v>#REF!</v>
      </c>
      <c r="IC40" t="e">
        <f>AND('Show Info'!#REF!,"AAAAAC16b+w=")</f>
        <v>#REF!</v>
      </c>
      <c r="ID40" t="e">
        <f>AND('Show Info'!#REF!,"AAAAAC16b+0=")</f>
        <v>#REF!</v>
      </c>
      <c r="IE40" t="e">
        <f>AND('Show Info'!#REF!,"AAAAAC16b+4=")</f>
        <v>#REF!</v>
      </c>
      <c r="IF40" t="e">
        <f>AND('Show Info'!#REF!,"AAAAAC16b+8=")</f>
        <v>#REF!</v>
      </c>
      <c r="IG40" t="e">
        <f>AND('Show Info'!#REF!,"AAAAAC16b/A=")</f>
        <v>#REF!</v>
      </c>
      <c r="IH40" t="e">
        <f>AND('Show Info'!#REF!,"AAAAAC16b/E=")</f>
        <v>#REF!</v>
      </c>
      <c r="II40" t="e">
        <f>AND('Show Info'!#REF!,"AAAAAC16b/I=")</f>
        <v>#REF!</v>
      </c>
      <c r="IJ40" t="e">
        <f>AND('Show Info'!#REF!,"AAAAAC16b/M=")</f>
        <v>#REF!</v>
      </c>
      <c r="IK40" t="e">
        <f>AND('Show Info'!#REF!,"AAAAAC16b/Q=")</f>
        <v>#REF!</v>
      </c>
      <c r="IL40" t="e">
        <f>AND('Show Info'!#REF!,"AAAAAC16b/U=")</f>
        <v>#REF!</v>
      </c>
      <c r="IM40" t="e">
        <f>AND('Show Info'!#REF!,"AAAAAC16b/Y=")</f>
        <v>#REF!</v>
      </c>
      <c r="IN40" t="e">
        <f>AND('Show Info'!#REF!,"AAAAAC16b/c=")</f>
        <v>#REF!</v>
      </c>
      <c r="IO40" t="e">
        <f>AND('Show Info'!#REF!,"AAAAAC16b/g=")</f>
        <v>#REF!</v>
      </c>
      <c r="IP40" t="e">
        <f>AND('Show Info'!#REF!,"AAAAAC16b/k=")</f>
        <v>#REF!</v>
      </c>
      <c r="IQ40" t="e">
        <f>AND('Show Info'!#REF!,"AAAAAC16b/o=")</f>
        <v>#REF!</v>
      </c>
      <c r="IR40" t="e">
        <f>AND('Show Info'!#REF!,"AAAAAC16b/s=")</f>
        <v>#REF!</v>
      </c>
      <c r="IS40" t="e">
        <f>AND('Show Info'!#REF!,"AAAAAC16b/w=")</f>
        <v>#REF!</v>
      </c>
      <c r="IT40" t="e">
        <f>AND('Show Info'!#REF!,"AAAAAC16b/0=")</f>
        <v>#REF!</v>
      </c>
      <c r="IU40" t="e">
        <f>AND('Show Info'!#REF!,"AAAAAC16b/4=")</f>
        <v>#REF!</v>
      </c>
      <c r="IV40" t="e">
        <f>AND('Show Info'!#REF!,"AAAAAC16b/8=")</f>
        <v>#REF!</v>
      </c>
    </row>
    <row r="41" spans="1:256" x14ac:dyDescent="0.2">
      <c r="A41" t="e">
        <f>AND('Show Info'!#REF!,"AAAAAH/rlwA=")</f>
        <v>#REF!</v>
      </c>
      <c r="B41" t="e">
        <f>IF('Show Info'!#REF!,"AAAAAH/rlwE=",0)</f>
        <v>#REF!</v>
      </c>
      <c r="C41" t="e">
        <f>AND('Show Info'!#REF!,"AAAAAH/rlwI=")</f>
        <v>#REF!</v>
      </c>
      <c r="D41" t="e">
        <f>AND('Show Info'!#REF!,"AAAAAH/rlwM=")</f>
        <v>#REF!</v>
      </c>
      <c r="E41" t="e">
        <f>AND('Show Info'!#REF!,"AAAAAH/rlwQ=")</f>
        <v>#REF!</v>
      </c>
      <c r="F41" t="e">
        <f>AND('Show Info'!#REF!,"AAAAAH/rlwU=")</f>
        <v>#REF!</v>
      </c>
      <c r="G41" t="e">
        <f>AND('Show Info'!#REF!,"AAAAAH/rlwY=")</f>
        <v>#REF!</v>
      </c>
      <c r="H41" t="e">
        <f>AND('Show Info'!#REF!,"AAAAAH/rlwc=")</f>
        <v>#REF!</v>
      </c>
      <c r="I41" t="e">
        <f>AND('Show Info'!#REF!,"AAAAAH/rlwg=")</f>
        <v>#REF!</v>
      </c>
      <c r="J41" t="e">
        <f>AND('Show Info'!#REF!,"AAAAAH/rlwk=")</f>
        <v>#REF!</v>
      </c>
      <c r="K41" t="e">
        <f>AND('Show Info'!#REF!,"AAAAAH/rlwo=")</f>
        <v>#REF!</v>
      </c>
      <c r="L41" t="e">
        <f>AND('Show Info'!#REF!,"AAAAAH/rlws=")</f>
        <v>#REF!</v>
      </c>
      <c r="M41" t="e">
        <f>AND('Show Info'!#REF!,"AAAAAH/rlww=")</f>
        <v>#REF!</v>
      </c>
      <c r="N41" t="e">
        <f>AND('Show Info'!#REF!,"AAAAAH/rlw0=")</f>
        <v>#REF!</v>
      </c>
      <c r="O41" t="e">
        <f>AND('Show Info'!#REF!,"AAAAAH/rlw4=")</f>
        <v>#REF!</v>
      </c>
      <c r="P41" t="e">
        <f>AND('Show Info'!#REF!,"AAAAAH/rlw8=")</f>
        <v>#REF!</v>
      </c>
      <c r="Q41" t="e">
        <f>AND('Show Info'!#REF!,"AAAAAH/rlxA=")</f>
        <v>#REF!</v>
      </c>
      <c r="R41" t="e">
        <f>AND('Show Info'!#REF!,"AAAAAH/rlxE=")</f>
        <v>#REF!</v>
      </c>
      <c r="S41" t="e">
        <f>AND('Show Info'!#REF!,"AAAAAH/rlxI=")</f>
        <v>#REF!</v>
      </c>
      <c r="T41" t="e">
        <f>AND('Show Info'!#REF!,"AAAAAH/rlxM=")</f>
        <v>#REF!</v>
      </c>
      <c r="U41" t="e">
        <f>AND('Show Info'!#REF!,"AAAAAH/rlxQ=")</f>
        <v>#REF!</v>
      </c>
      <c r="V41" t="e">
        <f>AND('Show Info'!#REF!,"AAAAAH/rlxU=")</f>
        <v>#REF!</v>
      </c>
      <c r="W41" t="e">
        <f>AND('Show Info'!#REF!,"AAAAAH/rlxY=")</f>
        <v>#REF!</v>
      </c>
      <c r="X41" t="e">
        <f>AND('Show Info'!#REF!,"AAAAAH/rlxc=")</f>
        <v>#REF!</v>
      </c>
      <c r="Y41" t="e">
        <f>IF('Show Info'!#REF!,"AAAAAH/rlxg=",0)</f>
        <v>#REF!</v>
      </c>
      <c r="Z41" t="e">
        <f>AND('Show Info'!#REF!,"AAAAAH/rlxk=")</f>
        <v>#REF!</v>
      </c>
      <c r="AA41" t="e">
        <f>AND('Show Info'!#REF!,"AAAAAH/rlxo=")</f>
        <v>#REF!</v>
      </c>
      <c r="AB41" t="e">
        <f>AND('Show Info'!#REF!,"AAAAAH/rlxs=")</f>
        <v>#REF!</v>
      </c>
      <c r="AC41" t="e">
        <f>AND('Show Info'!#REF!,"AAAAAH/rlxw=")</f>
        <v>#REF!</v>
      </c>
      <c r="AD41" t="e">
        <f>AND('Show Info'!#REF!,"AAAAAH/rlx0=")</f>
        <v>#REF!</v>
      </c>
      <c r="AE41" t="e">
        <f>AND('Show Info'!#REF!,"AAAAAH/rlx4=")</f>
        <v>#REF!</v>
      </c>
      <c r="AF41" t="e">
        <f>AND('Show Info'!#REF!,"AAAAAH/rlx8=")</f>
        <v>#REF!</v>
      </c>
      <c r="AG41" t="e">
        <f>AND('Show Info'!#REF!,"AAAAAH/rlyA=")</f>
        <v>#REF!</v>
      </c>
      <c r="AH41" t="e">
        <f>AND('Show Info'!#REF!,"AAAAAH/rlyE=")</f>
        <v>#REF!</v>
      </c>
      <c r="AI41" t="e">
        <f>AND('Show Info'!#REF!,"AAAAAH/rlyI=")</f>
        <v>#REF!</v>
      </c>
      <c r="AJ41" t="e">
        <f>AND('Show Info'!#REF!,"AAAAAH/rlyM=")</f>
        <v>#REF!</v>
      </c>
      <c r="AK41" t="e">
        <f>AND('Show Info'!#REF!,"AAAAAH/rlyQ=")</f>
        <v>#REF!</v>
      </c>
      <c r="AL41" t="e">
        <f>AND('Show Info'!#REF!,"AAAAAH/rlyU=")</f>
        <v>#REF!</v>
      </c>
      <c r="AM41" t="e">
        <f>AND('Show Info'!#REF!,"AAAAAH/rlyY=")</f>
        <v>#REF!</v>
      </c>
      <c r="AN41" t="e">
        <f>AND('Show Info'!#REF!,"AAAAAH/rlyc=")</f>
        <v>#REF!</v>
      </c>
      <c r="AO41" t="e">
        <f>AND('Show Info'!#REF!,"AAAAAH/rlyg=")</f>
        <v>#REF!</v>
      </c>
      <c r="AP41" t="e">
        <f>AND('Show Info'!#REF!,"AAAAAH/rlyk=")</f>
        <v>#REF!</v>
      </c>
      <c r="AQ41" t="e">
        <f>AND('Show Info'!#REF!,"AAAAAH/rlyo=")</f>
        <v>#REF!</v>
      </c>
      <c r="AR41" t="e">
        <f>AND('Show Info'!#REF!,"AAAAAH/rlys=")</f>
        <v>#REF!</v>
      </c>
      <c r="AS41" t="e">
        <f>AND('Show Info'!#REF!,"AAAAAH/rlyw=")</f>
        <v>#REF!</v>
      </c>
      <c r="AT41" t="e">
        <f>AND('Show Info'!#REF!,"AAAAAH/rly0=")</f>
        <v>#REF!</v>
      </c>
      <c r="AU41" t="e">
        <f>AND('Show Info'!#REF!,"AAAAAH/rly4=")</f>
        <v>#REF!</v>
      </c>
      <c r="AV41" t="e">
        <f>IF('Show Info'!#REF!,"AAAAAH/rly8=",0)</f>
        <v>#REF!</v>
      </c>
      <c r="AW41" t="e">
        <f>AND('Show Info'!#REF!,"AAAAAH/rlzA=")</f>
        <v>#REF!</v>
      </c>
      <c r="AX41" t="e">
        <f>AND('Show Info'!#REF!,"AAAAAH/rlzE=")</f>
        <v>#REF!</v>
      </c>
      <c r="AY41" t="e">
        <f>AND('Show Info'!#REF!,"AAAAAH/rlzI=")</f>
        <v>#REF!</v>
      </c>
      <c r="AZ41" t="e">
        <f>AND('Show Info'!#REF!,"AAAAAH/rlzM=")</f>
        <v>#REF!</v>
      </c>
      <c r="BA41" t="e">
        <f>AND('Show Info'!#REF!,"AAAAAH/rlzQ=")</f>
        <v>#REF!</v>
      </c>
      <c r="BB41" t="e">
        <f>AND('Show Info'!#REF!,"AAAAAH/rlzU=")</f>
        <v>#REF!</v>
      </c>
      <c r="BC41" t="e">
        <f>AND('Show Info'!#REF!,"AAAAAH/rlzY=")</f>
        <v>#REF!</v>
      </c>
      <c r="BD41" t="e">
        <f>AND('Show Info'!#REF!,"AAAAAH/rlzc=")</f>
        <v>#REF!</v>
      </c>
      <c r="BE41" t="e">
        <f>AND('Show Info'!#REF!,"AAAAAH/rlzg=")</f>
        <v>#REF!</v>
      </c>
      <c r="BF41" t="e">
        <f>AND('Show Info'!#REF!,"AAAAAH/rlzk=")</f>
        <v>#REF!</v>
      </c>
      <c r="BG41" t="e">
        <f>AND('Show Info'!#REF!,"AAAAAH/rlzo=")</f>
        <v>#REF!</v>
      </c>
      <c r="BH41" t="e">
        <f>AND('Show Info'!#REF!,"AAAAAH/rlzs=")</f>
        <v>#REF!</v>
      </c>
      <c r="BI41" t="e">
        <f>AND('Show Info'!#REF!,"AAAAAH/rlzw=")</f>
        <v>#REF!</v>
      </c>
      <c r="BJ41" t="e">
        <f>AND('Show Info'!#REF!,"AAAAAH/rlz0=")</f>
        <v>#REF!</v>
      </c>
      <c r="BK41" t="e">
        <f>AND('Show Info'!#REF!,"AAAAAH/rlz4=")</f>
        <v>#REF!</v>
      </c>
      <c r="BL41" t="e">
        <f>AND('Show Info'!#REF!,"AAAAAH/rlz8=")</f>
        <v>#REF!</v>
      </c>
      <c r="BM41" t="e">
        <f>AND('Show Info'!#REF!,"AAAAAH/rl0A=")</f>
        <v>#REF!</v>
      </c>
      <c r="BN41" t="e">
        <f>AND('Show Info'!#REF!,"AAAAAH/rl0E=")</f>
        <v>#REF!</v>
      </c>
      <c r="BO41" t="e">
        <f>AND('Show Info'!#REF!,"AAAAAH/rl0I=")</f>
        <v>#REF!</v>
      </c>
      <c r="BP41" t="e">
        <f>AND('Show Info'!#REF!,"AAAAAH/rl0M=")</f>
        <v>#REF!</v>
      </c>
      <c r="BQ41" t="e">
        <f>AND('Show Info'!#REF!,"AAAAAH/rl0Q=")</f>
        <v>#REF!</v>
      </c>
      <c r="BR41" t="e">
        <f>AND('Show Info'!#REF!,"AAAAAH/rl0U=")</f>
        <v>#REF!</v>
      </c>
      <c r="BS41" t="e">
        <f>IF('Show Info'!#REF!,"AAAAAH/rl0Y=",0)</f>
        <v>#REF!</v>
      </c>
      <c r="BT41" t="e">
        <f>AND('Show Info'!#REF!,"AAAAAH/rl0c=")</f>
        <v>#REF!</v>
      </c>
      <c r="BU41" t="e">
        <f>AND('Show Info'!#REF!,"AAAAAH/rl0g=")</f>
        <v>#REF!</v>
      </c>
      <c r="BV41" t="e">
        <f>AND('Show Info'!#REF!,"AAAAAH/rl0k=")</f>
        <v>#REF!</v>
      </c>
      <c r="BW41" t="e">
        <f>AND('Show Info'!#REF!,"AAAAAH/rl0o=")</f>
        <v>#REF!</v>
      </c>
      <c r="BX41" t="e">
        <f>AND('Show Info'!#REF!,"AAAAAH/rl0s=")</f>
        <v>#REF!</v>
      </c>
      <c r="BY41" t="e">
        <f>AND('Show Info'!#REF!,"AAAAAH/rl0w=")</f>
        <v>#REF!</v>
      </c>
      <c r="BZ41" t="e">
        <f>AND('Show Info'!#REF!,"AAAAAH/rl00=")</f>
        <v>#REF!</v>
      </c>
      <c r="CA41" t="e">
        <f>AND('Show Info'!#REF!,"AAAAAH/rl04=")</f>
        <v>#REF!</v>
      </c>
      <c r="CB41" t="e">
        <f>AND('Show Info'!#REF!,"AAAAAH/rl08=")</f>
        <v>#REF!</v>
      </c>
      <c r="CC41" t="e">
        <f>AND('Show Info'!#REF!,"AAAAAH/rl1A=")</f>
        <v>#REF!</v>
      </c>
      <c r="CD41" t="e">
        <f>AND('Show Info'!#REF!,"AAAAAH/rl1E=")</f>
        <v>#REF!</v>
      </c>
      <c r="CE41" t="e">
        <f>AND('Show Info'!#REF!,"AAAAAH/rl1I=")</f>
        <v>#REF!</v>
      </c>
      <c r="CF41" t="e">
        <f>AND('Show Info'!#REF!,"AAAAAH/rl1M=")</f>
        <v>#REF!</v>
      </c>
      <c r="CG41" t="e">
        <f>AND('Show Info'!#REF!,"AAAAAH/rl1Q=")</f>
        <v>#REF!</v>
      </c>
      <c r="CH41" t="e">
        <f>AND('Show Info'!#REF!,"AAAAAH/rl1U=")</f>
        <v>#REF!</v>
      </c>
      <c r="CI41" t="e">
        <f>AND('Show Info'!#REF!,"AAAAAH/rl1Y=")</f>
        <v>#REF!</v>
      </c>
      <c r="CJ41" t="e">
        <f>AND('Show Info'!#REF!,"AAAAAH/rl1c=")</f>
        <v>#REF!</v>
      </c>
      <c r="CK41" t="e">
        <f>AND('Show Info'!#REF!,"AAAAAH/rl1g=")</f>
        <v>#REF!</v>
      </c>
      <c r="CL41" t="e">
        <f>AND('Show Info'!#REF!,"AAAAAH/rl1k=")</f>
        <v>#REF!</v>
      </c>
      <c r="CM41" t="e">
        <f>AND('Show Info'!#REF!,"AAAAAH/rl1o=")</f>
        <v>#REF!</v>
      </c>
      <c r="CN41" t="e">
        <f>AND('Show Info'!#REF!,"AAAAAH/rl1s=")</f>
        <v>#REF!</v>
      </c>
      <c r="CO41" t="e">
        <f>AND('Show Info'!#REF!,"AAAAAH/rl1w=")</f>
        <v>#REF!</v>
      </c>
      <c r="CP41" t="e">
        <f>IF('Show Info'!#REF!,"AAAAAH/rl10=",0)</f>
        <v>#REF!</v>
      </c>
      <c r="CQ41" t="e">
        <f>AND('Show Info'!#REF!,"AAAAAH/rl14=")</f>
        <v>#REF!</v>
      </c>
      <c r="CR41" t="e">
        <f>AND('Show Info'!#REF!,"AAAAAH/rl18=")</f>
        <v>#REF!</v>
      </c>
      <c r="CS41" t="e">
        <f>AND('Show Info'!#REF!,"AAAAAH/rl2A=")</f>
        <v>#REF!</v>
      </c>
      <c r="CT41" t="e">
        <f>AND('Show Info'!#REF!,"AAAAAH/rl2E=")</f>
        <v>#REF!</v>
      </c>
      <c r="CU41" t="e">
        <f>AND('Show Info'!#REF!,"AAAAAH/rl2I=")</f>
        <v>#REF!</v>
      </c>
      <c r="CV41" t="e">
        <f>AND('Show Info'!#REF!,"AAAAAH/rl2M=")</f>
        <v>#REF!</v>
      </c>
      <c r="CW41" t="e">
        <f>AND('Show Info'!#REF!,"AAAAAH/rl2Q=")</f>
        <v>#REF!</v>
      </c>
      <c r="CX41" t="e">
        <f>AND('Show Info'!#REF!,"AAAAAH/rl2U=")</f>
        <v>#REF!</v>
      </c>
      <c r="CY41" t="e">
        <f>AND('Show Info'!#REF!,"AAAAAH/rl2Y=")</f>
        <v>#REF!</v>
      </c>
      <c r="CZ41" t="e">
        <f>AND('Show Info'!#REF!,"AAAAAH/rl2c=")</f>
        <v>#REF!</v>
      </c>
      <c r="DA41" t="e">
        <f>AND('Show Info'!#REF!,"AAAAAH/rl2g=")</f>
        <v>#REF!</v>
      </c>
      <c r="DB41" t="e">
        <f>AND('Show Info'!#REF!,"AAAAAH/rl2k=")</f>
        <v>#REF!</v>
      </c>
      <c r="DC41" t="e">
        <f>AND('Show Info'!#REF!,"AAAAAH/rl2o=")</f>
        <v>#REF!</v>
      </c>
      <c r="DD41" t="e">
        <f>AND('Show Info'!#REF!,"AAAAAH/rl2s=")</f>
        <v>#REF!</v>
      </c>
      <c r="DE41" t="e">
        <f>AND('Show Info'!#REF!,"AAAAAH/rl2w=")</f>
        <v>#REF!</v>
      </c>
      <c r="DF41" t="e">
        <f>AND('Show Info'!#REF!,"AAAAAH/rl20=")</f>
        <v>#REF!</v>
      </c>
      <c r="DG41" t="e">
        <f>AND('Show Info'!#REF!,"AAAAAH/rl24=")</f>
        <v>#REF!</v>
      </c>
      <c r="DH41" t="e">
        <f>AND('Show Info'!#REF!,"AAAAAH/rl28=")</f>
        <v>#REF!</v>
      </c>
      <c r="DI41" t="e">
        <f>AND('Show Info'!#REF!,"AAAAAH/rl3A=")</f>
        <v>#REF!</v>
      </c>
      <c r="DJ41" t="e">
        <f>AND('Show Info'!#REF!,"AAAAAH/rl3E=")</f>
        <v>#REF!</v>
      </c>
      <c r="DK41" t="e">
        <f>AND('Show Info'!#REF!,"AAAAAH/rl3I=")</f>
        <v>#REF!</v>
      </c>
      <c r="DL41" t="e">
        <f>AND('Show Info'!#REF!,"AAAAAH/rl3M=")</f>
        <v>#REF!</v>
      </c>
      <c r="DM41" t="e">
        <f>IF('Show Info'!#REF!,"AAAAAH/rl3Q=",0)</f>
        <v>#REF!</v>
      </c>
      <c r="DN41" t="e">
        <f>AND('Show Info'!#REF!,"AAAAAH/rl3U=")</f>
        <v>#REF!</v>
      </c>
      <c r="DO41" t="e">
        <f>AND('Show Info'!#REF!,"AAAAAH/rl3Y=")</f>
        <v>#REF!</v>
      </c>
      <c r="DP41" t="e">
        <f>AND('Show Info'!#REF!,"AAAAAH/rl3c=")</f>
        <v>#REF!</v>
      </c>
      <c r="DQ41" t="e">
        <f>AND('Show Info'!#REF!,"AAAAAH/rl3g=")</f>
        <v>#REF!</v>
      </c>
      <c r="DR41" t="e">
        <f>AND('Show Info'!#REF!,"AAAAAH/rl3k=")</f>
        <v>#REF!</v>
      </c>
      <c r="DS41" t="e">
        <f>AND('Show Info'!#REF!,"AAAAAH/rl3o=")</f>
        <v>#REF!</v>
      </c>
      <c r="DT41" t="e">
        <f>AND('Show Info'!#REF!,"AAAAAH/rl3s=")</f>
        <v>#REF!</v>
      </c>
      <c r="DU41" t="e">
        <f>AND('Show Info'!#REF!,"AAAAAH/rl3w=")</f>
        <v>#REF!</v>
      </c>
      <c r="DV41" t="e">
        <f>AND('Show Info'!#REF!,"AAAAAH/rl30=")</f>
        <v>#REF!</v>
      </c>
      <c r="DW41" t="e">
        <f>AND('Show Info'!#REF!,"AAAAAH/rl34=")</f>
        <v>#REF!</v>
      </c>
      <c r="DX41" t="e">
        <f>AND('Show Info'!#REF!,"AAAAAH/rl38=")</f>
        <v>#REF!</v>
      </c>
      <c r="DY41" t="e">
        <f>AND('Show Info'!#REF!,"AAAAAH/rl4A=")</f>
        <v>#REF!</v>
      </c>
      <c r="DZ41" t="e">
        <f>AND('Show Info'!#REF!,"AAAAAH/rl4E=")</f>
        <v>#REF!</v>
      </c>
      <c r="EA41" t="e">
        <f>AND('Show Info'!#REF!,"AAAAAH/rl4I=")</f>
        <v>#REF!</v>
      </c>
      <c r="EB41" t="e">
        <f>AND('Show Info'!#REF!,"AAAAAH/rl4M=")</f>
        <v>#REF!</v>
      </c>
      <c r="EC41" t="e">
        <f>AND('Show Info'!#REF!,"AAAAAH/rl4Q=")</f>
        <v>#REF!</v>
      </c>
      <c r="ED41" t="e">
        <f>AND('Show Info'!#REF!,"AAAAAH/rl4U=")</f>
        <v>#REF!</v>
      </c>
      <c r="EE41" t="e">
        <f>AND('Show Info'!#REF!,"AAAAAH/rl4Y=")</f>
        <v>#REF!</v>
      </c>
      <c r="EF41" t="e">
        <f>AND('Show Info'!#REF!,"AAAAAH/rl4c=")</f>
        <v>#REF!</v>
      </c>
      <c r="EG41" t="e">
        <f>AND('Show Info'!#REF!,"AAAAAH/rl4g=")</f>
        <v>#REF!</v>
      </c>
      <c r="EH41" t="e">
        <f>AND('Show Info'!#REF!,"AAAAAH/rl4k=")</f>
        <v>#REF!</v>
      </c>
      <c r="EI41" t="e">
        <f>AND('Show Info'!#REF!,"AAAAAH/rl4o=")</f>
        <v>#REF!</v>
      </c>
      <c r="EJ41" t="e">
        <f>IF('Show Info'!#REF!,"AAAAAH/rl4s=",0)</f>
        <v>#REF!</v>
      </c>
      <c r="EK41" t="e">
        <f>AND('Show Info'!#REF!,"AAAAAH/rl4w=")</f>
        <v>#REF!</v>
      </c>
      <c r="EL41" t="e">
        <f>AND('Show Info'!#REF!,"AAAAAH/rl40=")</f>
        <v>#REF!</v>
      </c>
      <c r="EM41" t="e">
        <f>AND('Show Info'!#REF!,"AAAAAH/rl44=")</f>
        <v>#REF!</v>
      </c>
      <c r="EN41" t="e">
        <f>AND('Show Info'!#REF!,"AAAAAH/rl48=")</f>
        <v>#REF!</v>
      </c>
      <c r="EO41" t="e">
        <f>AND('Show Info'!#REF!,"AAAAAH/rl5A=")</f>
        <v>#REF!</v>
      </c>
      <c r="EP41" t="e">
        <f>AND('Show Info'!#REF!,"AAAAAH/rl5E=")</f>
        <v>#REF!</v>
      </c>
      <c r="EQ41" t="e">
        <f>AND('Show Info'!#REF!,"AAAAAH/rl5I=")</f>
        <v>#REF!</v>
      </c>
      <c r="ER41" t="e">
        <f>AND('Show Info'!#REF!,"AAAAAH/rl5M=")</f>
        <v>#REF!</v>
      </c>
      <c r="ES41" t="e">
        <f>AND('Show Info'!#REF!,"AAAAAH/rl5Q=")</f>
        <v>#REF!</v>
      </c>
      <c r="ET41" t="e">
        <f>AND('Show Info'!#REF!,"AAAAAH/rl5U=")</f>
        <v>#REF!</v>
      </c>
      <c r="EU41" t="e">
        <f>AND('Show Info'!#REF!,"AAAAAH/rl5Y=")</f>
        <v>#REF!</v>
      </c>
      <c r="EV41" t="e">
        <f>AND('Show Info'!#REF!,"AAAAAH/rl5c=")</f>
        <v>#REF!</v>
      </c>
      <c r="EW41" t="e">
        <f>AND('Show Info'!#REF!,"AAAAAH/rl5g=")</f>
        <v>#REF!</v>
      </c>
      <c r="EX41" t="e">
        <f>AND('Show Info'!#REF!,"AAAAAH/rl5k=")</f>
        <v>#REF!</v>
      </c>
      <c r="EY41" t="e">
        <f>AND('Show Info'!#REF!,"AAAAAH/rl5o=")</f>
        <v>#REF!</v>
      </c>
      <c r="EZ41" t="e">
        <f>AND('Show Info'!#REF!,"AAAAAH/rl5s=")</f>
        <v>#REF!</v>
      </c>
      <c r="FA41" t="e">
        <f>AND('Show Info'!#REF!,"AAAAAH/rl5w=")</f>
        <v>#REF!</v>
      </c>
      <c r="FB41" t="e">
        <f>AND('Show Info'!#REF!,"AAAAAH/rl50=")</f>
        <v>#REF!</v>
      </c>
      <c r="FC41" t="e">
        <f>AND('Show Info'!#REF!,"AAAAAH/rl54=")</f>
        <v>#REF!</v>
      </c>
      <c r="FD41" t="e">
        <f>AND('Show Info'!#REF!,"AAAAAH/rl58=")</f>
        <v>#REF!</v>
      </c>
      <c r="FE41" t="e">
        <f>AND('Show Info'!#REF!,"AAAAAH/rl6A=")</f>
        <v>#REF!</v>
      </c>
      <c r="FF41" t="e">
        <f>AND('Show Info'!#REF!,"AAAAAH/rl6E=")</f>
        <v>#REF!</v>
      </c>
      <c r="FG41" t="e">
        <f>IF('Show Info'!#REF!,"AAAAAH/rl6I=",0)</f>
        <v>#REF!</v>
      </c>
      <c r="FH41" t="e">
        <f>AND('Show Info'!#REF!,"AAAAAH/rl6M=")</f>
        <v>#REF!</v>
      </c>
      <c r="FI41" t="e">
        <f>AND('Show Info'!#REF!,"AAAAAH/rl6Q=")</f>
        <v>#REF!</v>
      </c>
      <c r="FJ41" t="e">
        <f>AND('Show Info'!#REF!,"AAAAAH/rl6U=")</f>
        <v>#REF!</v>
      </c>
      <c r="FK41" t="e">
        <f>AND('Show Info'!#REF!,"AAAAAH/rl6Y=")</f>
        <v>#REF!</v>
      </c>
      <c r="FL41" t="e">
        <f>AND('Show Info'!#REF!,"AAAAAH/rl6c=")</f>
        <v>#REF!</v>
      </c>
      <c r="FM41" t="e">
        <f>AND('Show Info'!#REF!,"AAAAAH/rl6g=")</f>
        <v>#REF!</v>
      </c>
      <c r="FN41" t="e">
        <f>AND('Show Info'!#REF!,"AAAAAH/rl6k=")</f>
        <v>#REF!</v>
      </c>
      <c r="FO41" t="e">
        <f>AND('Show Info'!#REF!,"AAAAAH/rl6o=")</f>
        <v>#REF!</v>
      </c>
      <c r="FP41" t="e">
        <f>AND('Show Info'!#REF!,"AAAAAH/rl6s=")</f>
        <v>#REF!</v>
      </c>
      <c r="FQ41" t="e">
        <f>AND('Show Info'!#REF!,"AAAAAH/rl6w=")</f>
        <v>#REF!</v>
      </c>
      <c r="FR41" t="e">
        <f>AND('Show Info'!#REF!,"AAAAAH/rl60=")</f>
        <v>#REF!</v>
      </c>
      <c r="FS41" t="e">
        <f>AND('Show Info'!#REF!,"AAAAAH/rl64=")</f>
        <v>#REF!</v>
      </c>
      <c r="FT41" t="e">
        <f>AND('Show Info'!#REF!,"AAAAAH/rl68=")</f>
        <v>#REF!</v>
      </c>
      <c r="FU41" t="e">
        <f>AND('Show Info'!#REF!,"AAAAAH/rl7A=")</f>
        <v>#REF!</v>
      </c>
      <c r="FV41" t="e">
        <f>AND('Show Info'!#REF!,"AAAAAH/rl7E=")</f>
        <v>#REF!</v>
      </c>
      <c r="FW41" t="e">
        <f>AND('Show Info'!#REF!,"AAAAAH/rl7I=")</f>
        <v>#REF!</v>
      </c>
      <c r="FX41" t="e">
        <f>AND('Show Info'!#REF!,"AAAAAH/rl7M=")</f>
        <v>#REF!</v>
      </c>
      <c r="FY41" t="e">
        <f>AND('Show Info'!#REF!,"AAAAAH/rl7Q=")</f>
        <v>#REF!</v>
      </c>
      <c r="FZ41" t="e">
        <f>AND('Show Info'!#REF!,"AAAAAH/rl7U=")</f>
        <v>#REF!</v>
      </c>
      <c r="GA41" t="e">
        <f>AND('Show Info'!#REF!,"AAAAAH/rl7Y=")</f>
        <v>#REF!</v>
      </c>
      <c r="GB41" t="e">
        <f>AND('Show Info'!#REF!,"AAAAAH/rl7c=")</f>
        <v>#REF!</v>
      </c>
      <c r="GC41" t="e">
        <f>AND('Show Info'!#REF!,"AAAAAH/rl7g=")</f>
        <v>#REF!</v>
      </c>
      <c r="GD41" t="e">
        <f>IF('Show Info'!#REF!,"AAAAAH/rl7k=",0)</f>
        <v>#REF!</v>
      </c>
      <c r="GE41" t="e">
        <f>AND('Show Info'!#REF!,"AAAAAH/rl7o=")</f>
        <v>#REF!</v>
      </c>
      <c r="GF41" t="e">
        <f>AND('Show Info'!#REF!,"AAAAAH/rl7s=")</f>
        <v>#REF!</v>
      </c>
      <c r="GG41" t="e">
        <f>AND('Show Info'!#REF!,"AAAAAH/rl7w=")</f>
        <v>#REF!</v>
      </c>
      <c r="GH41" t="e">
        <f>AND('Show Info'!#REF!,"AAAAAH/rl70=")</f>
        <v>#REF!</v>
      </c>
      <c r="GI41" t="e">
        <f>AND('Show Info'!#REF!,"AAAAAH/rl74=")</f>
        <v>#REF!</v>
      </c>
      <c r="GJ41" t="e">
        <f>AND('Show Info'!#REF!,"AAAAAH/rl78=")</f>
        <v>#REF!</v>
      </c>
      <c r="GK41" t="e">
        <f>AND('Show Info'!#REF!,"AAAAAH/rl8A=")</f>
        <v>#REF!</v>
      </c>
      <c r="GL41" t="e">
        <f>AND('Show Info'!#REF!,"AAAAAH/rl8E=")</f>
        <v>#REF!</v>
      </c>
      <c r="GM41" t="e">
        <f>AND('Show Info'!#REF!,"AAAAAH/rl8I=")</f>
        <v>#REF!</v>
      </c>
      <c r="GN41" t="e">
        <f>AND('Show Info'!#REF!,"AAAAAH/rl8M=")</f>
        <v>#REF!</v>
      </c>
      <c r="GO41" t="e">
        <f>AND('Show Info'!#REF!,"AAAAAH/rl8Q=")</f>
        <v>#REF!</v>
      </c>
      <c r="GP41" t="e">
        <f>AND('Show Info'!#REF!,"AAAAAH/rl8U=")</f>
        <v>#REF!</v>
      </c>
      <c r="GQ41" t="e">
        <f>AND('Show Info'!#REF!,"AAAAAH/rl8Y=")</f>
        <v>#REF!</v>
      </c>
      <c r="GR41" t="e">
        <f>AND('Show Info'!#REF!,"AAAAAH/rl8c=")</f>
        <v>#REF!</v>
      </c>
      <c r="GS41" t="e">
        <f>AND('Show Info'!#REF!,"AAAAAH/rl8g=")</f>
        <v>#REF!</v>
      </c>
      <c r="GT41" t="e">
        <f>AND('Show Info'!#REF!,"AAAAAH/rl8k=")</f>
        <v>#REF!</v>
      </c>
      <c r="GU41" t="e">
        <f>AND('Show Info'!#REF!,"AAAAAH/rl8o=")</f>
        <v>#REF!</v>
      </c>
      <c r="GV41" t="e">
        <f>AND('Show Info'!#REF!,"AAAAAH/rl8s=")</f>
        <v>#REF!</v>
      </c>
      <c r="GW41" t="e">
        <f>AND('Show Info'!#REF!,"AAAAAH/rl8w=")</f>
        <v>#REF!</v>
      </c>
      <c r="GX41" t="e">
        <f>AND('Show Info'!#REF!,"AAAAAH/rl80=")</f>
        <v>#REF!</v>
      </c>
      <c r="GY41" t="e">
        <f>AND('Show Info'!#REF!,"AAAAAH/rl84=")</f>
        <v>#REF!</v>
      </c>
      <c r="GZ41" t="e">
        <f>AND('Show Info'!#REF!,"AAAAAH/rl88=")</f>
        <v>#REF!</v>
      </c>
      <c r="HA41" t="e">
        <f>IF('Show Info'!#REF!,"AAAAAH/rl9A=",0)</f>
        <v>#REF!</v>
      </c>
      <c r="HB41" t="e">
        <f>AND('Show Info'!#REF!,"AAAAAH/rl9E=")</f>
        <v>#REF!</v>
      </c>
      <c r="HC41" t="e">
        <f>AND('Show Info'!#REF!,"AAAAAH/rl9I=")</f>
        <v>#REF!</v>
      </c>
      <c r="HD41" t="e">
        <f>AND('Show Info'!#REF!,"AAAAAH/rl9M=")</f>
        <v>#REF!</v>
      </c>
      <c r="HE41" t="e">
        <f>AND('Show Info'!#REF!,"AAAAAH/rl9Q=")</f>
        <v>#REF!</v>
      </c>
      <c r="HF41" t="e">
        <f>AND('Show Info'!#REF!,"AAAAAH/rl9U=")</f>
        <v>#REF!</v>
      </c>
      <c r="HG41" t="e">
        <f>AND('Show Info'!#REF!,"AAAAAH/rl9Y=")</f>
        <v>#REF!</v>
      </c>
      <c r="HH41" t="e">
        <f>AND('Show Info'!#REF!,"AAAAAH/rl9c=")</f>
        <v>#REF!</v>
      </c>
      <c r="HI41" t="e">
        <f>AND('Show Info'!#REF!,"AAAAAH/rl9g=")</f>
        <v>#REF!</v>
      </c>
      <c r="HJ41" t="e">
        <f>AND('Show Info'!#REF!,"AAAAAH/rl9k=")</f>
        <v>#REF!</v>
      </c>
      <c r="HK41" t="e">
        <f>AND('Show Info'!#REF!,"AAAAAH/rl9o=")</f>
        <v>#REF!</v>
      </c>
      <c r="HL41" t="e">
        <f>AND('Show Info'!#REF!,"AAAAAH/rl9s=")</f>
        <v>#REF!</v>
      </c>
      <c r="HM41" t="e">
        <f>AND('Show Info'!#REF!,"AAAAAH/rl9w=")</f>
        <v>#REF!</v>
      </c>
      <c r="HN41" t="e">
        <f>AND('Show Info'!#REF!,"AAAAAH/rl90=")</f>
        <v>#REF!</v>
      </c>
      <c r="HO41" t="e">
        <f>AND('Show Info'!#REF!,"AAAAAH/rl94=")</f>
        <v>#REF!</v>
      </c>
      <c r="HP41" t="e">
        <f>AND('Show Info'!#REF!,"AAAAAH/rl98=")</f>
        <v>#REF!</v>
      </c>
      <c r="HQ41" t="e">
        <f>AND('Show Info'!#REF!,"AAAAAH/rl+A=")</f>
        <v>#REF!</v>
      </c>
      <c r="HR41" t="e">
        <f>AND('Show Info'!#REF!,"AAAAAH/rl+E=")</f>
        <v>#REF!</v>
      </c>
      <c r="HS41" t="e">
        <f>AND('Show Info'!#REF!,"AAAAAH/rl+I=")</f>
        <v>#REF!</v>
      </c>
      <c r="HT41" t="e">
        <f>AND('Show Info'!#REF!,"AAAAAH/rl+M=")</f>
        <v>#REF!</v>
      </c>
      <c r="HU41" t="e">
        <f>AND('Show Info'!#REF!,"AAAAAH/rl+Q=")</f>
        <v>#REF!</v>
      </c>
      <c r="HV41" t="e">
        <f>AND('Show Info'!#REF!,"AAAAAH/rl+U=")</f>
        <v>#REF!</v>
      </c>
      <c r="HW41" t="e">
        <f>AND('Show Info'!#REF!,"AAAAAH/rl+Y=")</f>
        <v>#REF!</v>
      </c>
      <c r="HX41" t="e">
        <f>IF('Show Info'!#REF!,"AAAAAH/rl+c=",0)</f>
        <v>#REF!</v>
      </c>
      <c r="HY41" t="e">
        <f>AND('Show Info'!#REF!,"AAAAAH/rl+g=")</f>
        <v>#REF!</v>
      </c>
      <c r="HZ41" t="e">
        <f>AND('Show Info'!#REF!,"AAAAAH/rl+k=")</f>
        <v>#REF!</v>
      </c>
      <c r="IA41" t="e">
        <f>AND('Show Info'!#REF!,"AAAAAH/rl+o=")</f>
        <v>#REF!</v>
      </c>
      <c r="IB41" t="e">
        <f>AND('Show Info'!#REF!,"AAAAAH/rl+s=")</f>
        <v>#REF!</v>
      </c>
      <c r="IC41" t="e">
        <f>AND('Show Info'!#REF!,"AAAAAH/rl+w=")</f>
        <v>#REF!</v>
      </c>
      <c r="ID41" t="e">
        <f>AND('Show Info'!#REF!,"AAAAAH/rl+0=")</f>
        <v>#REF!</v>
      </c>
      <c r="IE41" t="e">
        <f>AND('Show Info'!#REF!,"AAAAAH/rl+4=")</f>
        <v>#REF!</v>
      </c>
      <c r="IF41" t="e">
        <f>AND('Show Info'!#REF!,"AAAAAH/rl+8=")</f>
        <v>#REF!</v>
      </c>
      <c r="IG41" t="e">
        <f>AND('Show Info'!#REF!,"AAAAAH/rl/A=")</f>
        <v>#REF!</v>
      </c>
      <c r="IH41" t="e">
        <f>AND('Show Info'!#REF!,"AAAAAH/rl/E=")</f>
        <v>#REF!</v>
      </c>
      <c r="II41" t="e">
        <f>AND('Show Info'!#REF!,"AAAAAH/rl/I=")</f>
        <v>#REF!</v>
      </c>
      <c r="IJ41" t="e">
        <f>AND('Show Info'!#REF!,"AAAAAH/rl/M=")</f>
        <v>#REF!</v>
      </c>
      <c r="IK41" t="e">
        <f>AND('Show Info'!#REF!,"AAAAAH/rl/Q=")</f>
        <v>#REF!</v>
      </c>
      <c r="IL41" t="e">
        <f>AND('Show Info'!#REF!,"AAAAAH/rl/U=")</f>
        <v>#REF!</v>
      </c>
      <c r="IM41" t="e">
        <f>AND('Show Info'!#REF!,"AAAAAH/rl/Y=")</f>
        <v>#REF!</v>
      </c>
      <c r="IN41" t="e">
        <f>AND('Show Info'!#REF!,"AAAAAH/rl/c=")</f>
        <v>#REF!</v>
      </c>
      <c r="IO41" t="e">
        <f>AND('Show Info'!#REF!,"AAAAAH/rl/g=")</f>
        <v>#REF!</v>
      </c>
      <c r="IP41" t="e">
        <f>AND('Show Info'!#REF!,"AAAAAH/rl/k=")</f>
        <v>#REF!</v>
      </c>
      <c r="IQ41" t="e">
        <f>AND('Show Info'!#REF!,"AAAAAH/rl/o=")</f>
        <v>#REF!</v>
      </c>
      <c r="IR41" t="e">
        <f>AND('Show Info'!#REF!,"AAAAAH/rl/s=")</f>
        <v>#REF!</v>
      </c>
      <c r="IS41" t="e">
        <f>AND('Show Info'!#REF!,"AAAAAH/rl/w=")</f>
        <v>#REF!</v>
      </c>
      <c r="IT41" t="e">
        <f>AND('Show Info'!#REF!,"AAAAAH/rl/0=")</f>
        <v>#REF!</v>
      </c>
      <c r="IU41" t="e">
        <f>IF('Show Info'!#REF!,"AAAAAH/rl/4=",0)</f>
        <v>#REF!</v>
      </c>
      <c r="IV41" t="e">
        <f>AND('Show Info'!#REF!,"AAAAAH/rl/8=")</f>
        <v>#REF!</v>
      </c>
    </row>
    <row r="42" spans="1:256" x14ac:dyDescent="0.2">
      <c r="A42" t="e">
        <f>AND('Show Info'!#REF!,"AAAAAH658wA=")</f>
        <v>#REF!</v>
      </c>
      <c r="B42" t="e">
        <f>AND('Show Info'!#REF!,"AAAAAH658wE=")</f>
        <v>#REF!</v>
      </c>
      <c r="C42" t="e">
        <f>AND('Show Info'!#REF!,"AAAAAH658wI=")</f>
        <v>#REF!</v>
      </c>
      <c r="D42" t="e">
        <f>AND('Show Info'!#REF!,"AAAAAH658wM=")</f>
        <v>#REF!</v>
      </c>
      <c r="E42" t="e">
        <f>AND('Show Info'!#REF!,"AAAAAH658wQ=")</f>
        <v>#REF!</v>
      </c>
      <c r="F42" t="e">
        <f>AND('Show Info'!#REF!,"AAAAAH658wU=")</f>
        <v>#REF!</v>
      </c>
      <c r="G42" t="e">
        <f>AND('Show Info'!#REF!,"AAAAAH658wY=")</f>
        <v>#REF!</v>
      </c>
      <c r="H42" t="e">
        <f>AND('Show Info'!#REF!,"AAAAAH658wc=")</f>
        <v>#REF!</v>
      </c>
      <c r="I42" t="e">
        <f>AND('Show Info'!#REF!,"AAAAAH658wg=")</f>
        <v>#REF!</v>
      </c>
      <c r="J42" t="e">
        <f>AND('Show Info'!#REF!,"AAAAAH658wk=")</f>
        <v>#REF!</v>
      </c>
      <c r="K42" t="e">
        <f>AND('Show Info'!#REF!,"AAAAAH658wo=")</f>
        <v>#REF!</v>
      </c>
      <c r="L42" t="e">
        <f>AND('Show Info'!#REF!,"AAAAAH658ws=")</f>
        <v>#REF!</v>
      </c>
      <c r="M42" t="e">
        <f>AND('Show Info'!#REF!,"AAAAAH658ww=")</f>
        <v>#REF!</v>
      </c>
      <c r="N42" t="e">
        <f>AND('Show Info'!#REF!,"AAAAAH658w0=")</f>
        <v>#REF!</v>
      </c>
      <c r="O42" t="e">
        <f>AND('Show Info'!#REF!,"AAAAAH658w4=")</f>
        <v>#REF!</v>
      </c>
      <c r="P42" t="e">
        <f>AND('Show Info'!#REF!,"AAAAAH658w8=")</f>
        <v>#REF!</v>
      </c>
      <c r="Q42" t="e">
        <f>AND('Show Info'!#REF!,"AAAAAH658xA=")</f>
        <v>#REF!</v>
      </c>
      <c r="R42" t="e">
        <f>AND('Show Info'!#REF!,"AAAAAH658xE=")</f>
        <v>#REF!</v>
      </c>
      <c r="S42" t="e">
        <f>AND('Show Info'!#REF!,"AAAAAH658xI=")</f>
        <v>#REF!</v>
      </c>
      <c r="T42" t="e">
        <f>AND('Show Info'!#REF!,"AAAAAH658xM=")</f>
        <v>#REF!</v>
      </c>
      <c r="U42" t="e">
        <f>AND('Show Info'!#REF!,"AAAAAH658xQ=")</f>
        <v>#REF!</v>
      </c>
      <c r="V42" t="e">
        <f>IF('Show Info'!#REF!,"AAAAAH658xU=",0)</f>
        <v>#REF!</v>
      </c>
      <c r="W42" t="e">
        <f>AND('Show Info'!#REF!,"AAAAAH658xY=")</f>
        <v>#REF!</v>
      </c>
      <c r="X42" t="e">
        <f>AND('Show Info'!#REF!,"AAAAAH658xc=")</f>
        <v>#REF!</v>
      </c>
      <c r="Y42" t="e">
        <f>AND('Show Info'!#REF!,"AAAAAH658xg=")</f>
        <v>#REF!</v>
      </c>
      <c r="Z42" t="e">
        <f>AND('Show Info'!#REF!,"AAAAAH658xk=")</f>
        <v>#REF!</v>
      </c>
      <c r="AA42" t="e">
        <f>AND('Show Info'!#REF!,"AAAAAH658xo=")</f>
        <v>#REF!</v>
      </c>
      <c r="AB42" t="e">
        <f>AND('Show Info'!#REF!,"AAAAAH658xs=")</f>
        <v>#REF!</v>
      </c>
      <c r="AC42" t="e">
        <f>AND('Show Info'!#REF!,"AAAAAH658xw=")</f>
        <v>#REF!</v>
      </c>
      <c r="AD42" t="e">
        <f>AND('Show Info'!#REF!,"AAAAAH658x0=")</f>
        <v>#REF!</v>
      </c>
      <c r="AE42" t="e">
        <f>AND('Show Info'!#REF!,"AAAAAH658x4=")</f>
        <v>#REF!</v>
      </c>
      <c r="AF42" t="e">
        <f>AND('Show Info'!#REF!,"AAAAAH658x8=")</f>
        <v>#REF!</v>
      </c>
      <c r="AG42" t="e">
        <f>AND('Show Info'!#REF!,"AAAAAH658yA=")</f>
        <v>#REF!</v>
      </c>
      <c r="AH42" t="e">
        <f>AND('Show Info'!#REF!,"AAAAAH658yE=")</f>
        <v>#REF!</v>
      </c>
      <c r="AI42" t="e">
        <f>AND('Show Info'!#REF!,"AAAAAH658yI=")</f>
        <v>#REF!</v>
      </c>
      <c r="AJ42" t="e">
        <f>AND('Show Info'!#REF!,"AAAAAH658yM=")</f>
        <v>#REF!</v>
      </c>
      <c r="AK42" t="e">
        <f>AND('Show Info'!#REF!,"AAAAAH658yQ=")</f>
        <v>#REF!</v>
      </c>
      <c r="AL42" t="e">
        <f>AND('Show Info'!#REF!,"AAAAAH658yU=")</f>
        <v>#REF!</v>
      </c>
      <c r="AM42" t="e">
        <f>AND('Show Info'!#REF!,"AAAAAH658yY=")</f>
        <v>#REF!</v>
      </c>
      <c r="AN42" t="e">
        <f>AND('Show Info'!#REF!,"AAAAAH658yc=")</f>
        <v>#REF!</v>
      </c>
      <c r="AO42" t="e">
        <f>AND('Show Info'!#REF!,"AAAAAH658yg=")</f>
        <v>#REF!</v>
      </c>
      <c r="AP42" t="e">
        <f>AND('Show Info'!#REF!,"AAAAAH658yk=")</f>
        <v>#REF!</v>
      </c>
      <c r="AQ42" t="e">
        <f>AND('Show Info'!#REF!,"AAAAAH658yo=")</f>
        <v>#REF!</v>
      </c>
      <c r="AR42" t="e">
        <f>AND('Show Info'!#REF!,"AAAAAH658ys=")</f>
        <v>#REF!</v>
      </c>
      <c r="AS42" t="e">
        <f>IF('Show Info'!#REF!,"AAAAAH658yw=",0)</f>
        <v>#REF!</v>
      </c>
      <c r="AT42" t="e">
        <f>AND('Show Info'!#REF!,"AAAAAH658y0=")</f>
        <v>#REF!</v>
      </c>
      <c r="AU42" t="e">
        <f>AND('Show Info'!#REF!,"AAAAAH658y4=")</f>
        <v>#REF!</v>
      </c>
      <c r="AV42" t="e">
        <f>AND('Show Info'!#REF!,"AAAAAH658y8=")</f>
        <v>#REF!</v>
      </c>
      <c r="AW42" t="e">
        <f>AND('Show Info'!#REF!,"AAAAAH658zA=")</f>
        <v>#REF!</v>
      </c>
      <c r="AX42" t="e">
        <f>AND('Show Info'!#REF!,"AAAAAH658zE=")</f>
        <v>#REF!</v>
      </c>
      <c r="AY42" t="e">
        <f>AND('Show Info'!#REF!,"AAAAAH658zI=")</f>
        <v>#REF!</v>
      </c>
      <c r="AZ42" t="e">
        <f>AND('Show Info'!#REF!,"AAAAAH658zM=")</f>
        <v>#REF!</v>
      </c>
      <c r="BA42" t="e">
        <f>AND('Show Info'!#REF!,"AAAAAH658zQ=")</f>
        <v>#REF!</v>
      </c>
      <c r="BB42" t="e">
        <f>AND('Show Info'!#REF!,"AAAAAH658zU=")</f>
        <v>#REF!</v>
      </c>
      <c r="BC42" t="e">
        <f>AND('Show Info'!#REF!,"AAAAAH658zY=")</f>
        <v>#REF!</v>
      </c>
      <c r="BD42" t="e">
        <f>AND('Show Info'!#REF!,"AAAAAH658zc=")</f>
        <v>#REF!</v>
      </c>
      <c r="BE42" t="e">
        <f>AND('Show Info'!#REF!,"AAAAAH658zg=")</f>
        <v>#REF!</v>
      </c>
      <c r="BF42" t="e">
        <f>AND('Show Info'!#REF!,"AAAAAH658zk=")</f>
        <v>#REF!</v>
      </c>
      <c r="BG42" t="e">
        <f>AND('Show Info'!#REF!,"AAAAAH658zo=")</f>
        <v>#REF!</v>
      </c>
      <c r="BH42" t="e">
        <f>AND('Show Info'!#REF!,"AAAAAH658zs=")</f>
        <v>#REF!</v>
      </c>
      <c r="BI42" t="e">
        <f>AND('Show Info'!#REF!,"AAAAAH658zw=")</f>
        <v>#REF!</v>
      </c>
      <c r="BJ42" t="e">
        <f>AND('Show Info'!#REF!,"AAAAAH658z0=")</f>
        <v>#REF!</v>
      </c>
      <c r="BK42" t="e">
        <f>AND('Show Info'!#REF!,"AAAAAH658z4=")</f>
        <v>#REF!</v>
      </c>
      <c r="BL42" t="e">
        <f>AND('Show Info'!#REF!,"AAAAAH658z8=")</f>
        <v>#REF!</v>
      </c>
      <c r="BM42" t="e">
        <f>AND('Show Info'!#REF!,"AAAAAH6580A=")</f>
        <v>#REF!</v>
      </c>
      <c r="BN42" t="e">
        <f>AND('Show Info'!#REF!,"AAAAAH6580E=")</f>
        <v>#REF!</v>
      </c>
      <c r="BO42" t="e">
        <f>AND('Show Info'!#REF!,"AAAAAH6580I=")</f>
        <v>#REF!</v>
      </c>
      <c r="BP42" t="e">
        <f>IF('Show Info'!#REF!,"AAAAAH6580M=",0)</f>
        <v>#REF!</v>
      </c>
      <c r="BQ42" t="e">
        <f>AND('Show Info'!#REF!,"AAAAAH6580Q=")</f>
        <v>#REF!</v>
      </c>
      <c r="BR42" t="e">
        <f>AND('Show Info'!#REF!,"AAAAAH6580U=")</f>
        <v>#REF!</v>
      </c>
      <c r="BS42" t="e">
        <f>AND('Show Info'!#REF!,"AAAAAH6580Y=")</f>
        <v>#REF!</v>
      </c>
      <c r="BT42" t="e">
        <f>AND('Show Info'!#REF!,"AAAAAH6580c=")</f>
        <v>#REF!</v>
      </c>
      <c r="BU42" t="e">
        <f>AND('Show Info'!#REF!,"AAAAAH6580g=")</f>
        <v>#REF!</v>
      </c>
      <c r="BV42" t="e">
        <f>AND('Show Info'!#REF!,"AAAAAH6580k=")</f>
        <v>#REF!</v>
      </c>
      <c r="BW42" t="e">
        <f>AND('Show Info'!#REF!,"AAAAAH6580o=")</f>
        <v>#REF!</v>
      </c>
      <c r="BX42" t="e">
        <f>AND('Show Info'!#REF!,"AAAAAH6580s=")</f>
        <v>#REF!</v>
      </c>
      <c r="BY42" t="e">
        <f>AND('Show Info'!#REF!,"AAAAAH6580w=")</f>
        <v>#REF!</v>
      </c>
      <c r="BZ42" t="e">
        <f>AND('Show Info'!#REF!,"AAAAAH65800=")</f>
        <v>#REF!</v>
      </c>
      <c r="CA42" t="e">
        <f>AND('Show Info'!#REF!,"AAAAAH65804=")</f>
        <v>#REF!</v>
      </c>
      <c r="CB42" t="e">
        <f>AND('Show Info'!#REF!,"AAAAAH65808=")</f>
        <v>#REF!</v>
      </c>
      <c r="CC42" t="e">
        <f>AND('Show Info'!#REF!,"AAAAAH6581A=")</f>
        <v>#REF!</v>
      </c>
      <c r="CD42" t="e">
        <f>AND('Show Info'!#REF!,"AAAAAH6581E=")</f>
        <v>#REF!</v>
      </c>
      <c r="CE42" t="e">
        <f>AND('Show Info'!#REF!,"AAAAAH6581I=")</f>
        <v>#REF!</v>
      </c>
      <c r="CF42" t="e">
        <f>AND('Show Info'!#REF!,"AAAAAH6581M=")</f>
        <v>#REF!</v>
      </c>
      <c r="CG42" t="e">
        <f>AND('Show Info'!#REF!,"AAAAAH6581Q=")</f>
        <v>#REF!</v>
      </c>
      <c r="CH42" t="e">
        <f>AND('Show Info'!#REF!,"AAAAAH6581U=")</f>
        <v>#REF!</v>
      </c>
      <c r="CI42" t="e">
        <f>AND('Show Info'!#REF!,"AAAAAH6581Y=")</f>
        <v>#REF!</v>
      </c>
      <c r="CJ42" t="e">
        <f>AND('Show Info'!#REF!,"AAAAAH6581c=")</f>
        <v>#REF!</v>
      </c>
      <c r="CK42" t="e">
        <f>AND('Show Info'!#REF!,"AAAAAH6581g=")</f>
        <v>#REF!</v>
      </c>
      <c r="CL42" t="e">
        <f>AND('Show Info'!#REF!,"AAAAAH6581k=")</f>
        <v>#REF!</v>
      </c>
      <c r="CM42" t="e">
        <f>IF('Show Info'!#REF!,"AAAAAH6581o=",0)</f>
        <v>#REF!</v>
      </c>
      <c r="CN42" t="e">
        <f>AND('Show Info'!#REF!,"AAAAAH6581s=")</f>
        <v>#REF!</v>
      </c>
      <c r="CO42" t="e">
        <f>AND('Show Info'!#REF!,"AAAAAH6581w=")</f>
        <v>#REF!</v>
      </c>
      <c r="CP42" t="e">
        <f>AND('Show Info'!#REF!,"AAAAAH65810=")</f>
        <v>#REF!</v>
      </c>
      <c r="CQ42" t="e">
        <f>AND('Show Info'!#REF!,"AAAAAH65814=")</f>
        <v>#REF!</v>
      </c>
      <c r="CR42" t="e">
        <f>AND('Show Info'!#REF!,"AAAAAH65818=")</f>
        <v>#REF!</v>
      </c>
      <c r="CS42" t="e">
        <f>AND('Show Info'!#REF!,"AAAAAH6582A=")</f>
        <v>#REF!</v>
      </c>
      <c r="CT42" t="e">
        <f>AND('Show Info'!#REF!,"AAAAAH6582E=")</f>
        <v>#REF!</v>
      </c>
      <c r="CU42" t="e">
        <f>AND('Show Info'!#REF!,"AAAAAH6582I=")</f>
        <v>#REF!</v>
      </c>
      <c r="CV42" t="e">
        <f>AND('Show Info'!#REF!,"AAAAAH6582M=")</f>
        <v>#REF!</v>
      </c>
      <c r="CW42" t="e">
        <f>AND('Show Info'!#REF!,"AAAAAH6582Q=")</f>
        <v>#REF!</v>
      </c>
      <c r="CX42" t="e">
        <f>AND('Show Info'!#REF!,"AAAAAH6582U=")</f>
        <v>#REF!</v>
      </c>
      <c r="CY42" t="e">
        <f>AND('Show Info'!#REF!,"AAAAAH6582Y=")</f>
        <v>#REF!</v>
      </c>
      <c r="CZ42" t="e">
        <f>AND('Show Info'!#REF!,"AAAAAH6582c=")</f>
        <v>#REF!</v>
      </c>
      <c r="DA42" t="e">
        <f>AND('Show Info'!#REF!,"AAAAAH6582g=")</f>
        <v>#REF!</v>
      </c>
      <c r="DB42" t="e">
        <f>AND('Show Info'!#REF!,"AAAAAH6582k=")</f>
        <v>#REF!</v>
      </c>
      <c r="DC42" t="e">
        <f>AND('Show Info'!#REF!,"AAAAAH6582o=")</f>
        <v>#REF!</v>
      </c>
      <c r="DD42" t="e">
        <f>AND('Show Info'!#REF!,"AAAAAH6582s=")</f>
        <v>#REF!</v>
      </c>
      <c r="DE42" t="e">
        <f>AND('Show Info'!#REF!,"AAAAAH6582w=")</f>
        <v>#REF!</v>
      </c>
      <c r="DF42" t="e">
        <f>AND('Show Info'!#REF!,"AAAAAH65820=")</f>
        <v>#REF!</v>
      </c>
      <c r="DG42" t="e">
        <f>AND('Show Info'!#REF!,"AAAAAH65824=")</f>
        <v>#REF!</v>
      </c>
      <c r="DH42" t="e">
        <f>AND('Show Info'!#REF!,"AAAAAH65828=")</f>
        <v>#REF!</v>
      </c>
      <c r="DI42" t="e">
        <f>AND('Show Info'!#REF!,"AAAAAH6583A=")</f>
        <v>#REF!</v>
      </c>
      <c r="DJ42" t="e">
        <f>IF('Show Info'!#REF!,"AAAAAH6583E=",0)</f>
        <v>#REF!</v>
      </c>
      <c r="DK42" t="e">
        <f>AND('Show Info'!#REF!,"AAAAAH6583I=")</f>
        <v>#REF!</v>
      </c>
      <c r="DL42" t="e">
        <f>AND('Show Info'!#REF!,"AAAAAH6583M=")</f>
        <v>#REF!</v>
      </c>
      <c r="DM42" t="e">
        <f>AND('Show Info'!#REF!,"AAAAAH6583Q=")</f>
        <v>#REF!</v>
      </c>
      <c r="DN42" t="e">
        <f>AND('Show Info'!#REF!,"AAAAAH6583U=")</f>
        <v>#REF!</v>
      </c>
      <c r="DO42" t="e">
        <f>AND('Show Info'!#REF!,"AAAAAH6583Y=")</f>
        <v>#REF!</v>
      </c>
      <c r="DP42" t="e">
        <f>AND('Show Info'!#REF!,"AAAAAH6583c=")</f>
        <v>#REF!</v>
      </c>
      <c r="DQ42" t="e">
        <f>AND('Show Info'!#REF!,"AAAAAH6583g=")</f>
        <v>#REF!</v>
      </c>
      <c r="DR42" t="e">
        <f>AND('Show Info'!#REF!,"AAAAAH6583k=")</f>
        <v>#REF!</v>
      </c>
      <c r="DS42" t="e">
        <f>AND('Show Info'!#REF!,"AAAAAH6583o=")</f>
        <v>#REF!</v>
      </c>
      <c r="DT42" t="e">
        <f>AND('Show Info'!#REF!,"AAAAAH6583s=")</f>
        <v>#REF!</v>
      </c>
      <c r="DU42" t="e">
        <f>AND('Show Info'!#REF!,"AAAAAH6583w=")</f>
        <v>#REF!</v>
      </c>
      <c r="DV42" t="e">
        <f>AND('Show Info'!#REF!,"AAAAAH65830=")</f>
        <v>#REF!</v>
      </c>
      <c r="DW42" t="e">
        <f>AND('Show Info'!#REF!,"AAAAAH65834=")</f>
        <v>#REF!</v>
      </c>
      <c r="DX42" t="e">
        <f>AND('Show Info'!#REF!,"AAAAAH65838=")</f>
        <v>#REF!</v>
      </c>
      <c r="DY42" t="e">
        <f>AND('Show Info'!#REF!,"AAAAAH6584A=")</f>
        <v>#REF!</v>
      </c>
      <c r="DZ42" t="e">
        <f>AND('Show Info'!#REF!,"AAAAAH6584E=")</f>
        <v>#REF!</v>
      </c>
      <c r="EA42" t="e">
        <f>AND('Show Info'!#REF!,"AAAAAH6584I=")</f>
        <v>#REF!</v>
      </c>
      <c r="EB42" t="e">
        <f>AND('Show Info'!#REF!,"AAAAAH6584M=")</f>
        <v>#REF!</v>
      </c>
      <c r="EC42" t="e">
        <f>AND('Show Info'!#REF!,"AAAAAH6584Q=")</f>
        <v>#REF!</v>
      </c>
      <c r="ED42" t="e">
        <f>AND('Show Info'!#REF!,"AAAAAH6584U=")</f>
        <v>#REF!</v>
      </c>
      <c r="EE42" t="e">
        <f>AND('Show Info'!#REF!,"AAAAAH6584Y=")</f>
        <v>#REF!</v>
      </c>
      <c r="EF42" t="e">
        <f>AND('Show Info'!#REF!,"AAAAAH6584c=")</f>
        <v>#REF!</v>
      </c>
      <c r="EG42" t="e">
        <f>IF('Show Info'!#REF!,"AAAAAH6584g=",0)</f>
        <v>#REF!</v>
      </c>
      <c r="EH42" t="e">
        <f>AND('Show Info'!#REF!,"AAAAAH6584k=")</f>
        <v>#REF!</v>
      </c>
      <c r="EI42" t="e">
        <f>AND('Show Info'!#REF!,"AAAAAH6584o=")</f>
        <v>#REF!</v>
      </c>
      <c r="EJ42" t="e">
        <f>AND('Show Info'!#REF!,"AAAAAH6584s=")</f>
        <v>#REF!</v>
      </c>
      <c r="EK42" t="e">
        <f>AND('Show Info'!#REF!,"AAAAAH6584w=")</f>
        <v>#REF!</v>
      </c>
      <c r="EL42" t="e">
        <f>AND('Show Info'!#REF!,"AAAAAH65840=")</f>
        <v>#REF!</v>
      </c>
      <c r="EM42" t="e">
        <f>AND('Show Info'!#REF!,"AAAAAH65844=")</f>
        <v>#REF!</v>
      </c>
      <c r="EN42" t="e">
        <f>AND('Show Info'!#REF!,"AAAAAH65848=")</f>
        <v>#REF!</v>
      </c>
      <c r="EO42" t="e">
        <f>AND('Show Info'!#REF!,"AAAAAH6585A=")</f>
        <v>#REF!</v>
      </c>
      <c r="EP42" t="e">
        <f>AND('Show Info'!#REF!,"AAAAAH6585E=")</f>
        <v>#REF!</v>
      </c>
      <c r="EQ42" t="e">
        <f>AND('Show Info'!#REF!,"AAAAAH6585I=")</f>
        <v>#REF!</v>
      </c>
      <c r="ER42" t="e">
        <f>AND('Show Info'!#REF!,"AAAAAH6585M=")</f>
        <v>#REF!</v>
      </c>
      <c r="ES42" t="e">
        <f>AND('Show Info'!#REF!,"AAAAAH6585Q=")</f>
        <v>#REF!</v>
      </c>
      <c r="ET42" t="e">
        <f>AND('Show Info'!#REF!,"AAAAAH6585U=")</f>
        <v>#REF!</v>
      </c>
      <c r="EU42" t="e">
        <f>AND('Show Info'!#REF!,"AAAAAH6585Y=")</f>
        <v>#REF!</v>
      </c>
      <c r="EV42" t="e">
        <f>AND('Show Info'!#REF!,"AAAAAH6585c=")</f>
        <v>#REF!</v>
      </c>
      <c r="EW42" t="e">
        <f>AND('Show Info'!#REF!,"AAAAAH6585g=")</f>
        <v>#REF!</v>
      </c>
      <c r="EX42" t="e">
        <f>AND('Show Info'!#REF!,"AAAAAH6585k=")</f>
        <v>#REF!</v>
      </c>
      <c r="EY42" t="e">
        <f>AND('Show Info'!#REF!,"AAAAAH6585o=")</f>
        <v>#REF!</v>
      </c>
      <c r="EZ42" t="e">
        <f>AND('Show Info'!#REF!,"AAAAAH6585s=")</f>
        <v>#REF!</v>
      </c>
      <c r="FA42" t="e">
        <f>AND('Show Info'!#REF!,"AAAAAH6585w=")</f>
        <v>#REF!</v>
      </c>
      <c r="FB42" t="e">
        <f>AND('Show Info'!#REF!,"AAAAAH65850=")</f>
        <v>#REF!</v>
      </c>
      <c r="FC42" t="e">
        <f>AND('Show Info'!#REF!,"AAAAAH65854=")</f>
        <v>#REF!</v>
      </c>
      <c r="FD42" t="e">
        <f>IF('Show Info'!#REF!,"AAAAAH65858=",0)</f>
        <v>#REF!</v>
      </c>
      <c r="FE42" t="e">
        <f>AND('Show Info'!#REF!,"AAAAAH6586A=")</f>
        <v>#REF!</v>
      </c>
      <c r="FF42" t="e">
        <f>AND('Show Info'!#REF!,"AAAAAH6586E=")</f>
        <v>#REF!</v>
      </c>
      <c r="FG42" t="e">
        <f>AND('Show Info'!#REF!,"AAAAAH6586I=")</f>
        <v>#REF!</v>
      </c>
      <c r="FH42" t="e">
        <f>AND('Show Info'!#REF!,"AAAAAH6586M=")</f>
        <v>#REF!</v>
      </c>
      <c r="FI42" t="e">
        <f>AND('Show Info'!#REF!,"AAAAAH6586Q=")</f>
        <v>#REF!</v>
      </c>
      <c r="FJ42" t="e">
        <f>AND('Show Info'!#REF!,"AAAAAH6586U=")</f>
        <v>#REF!</v>
      </c>
      <c r="FK42" t="e">
        <f>AND('Show Info'!#REF!,"AAAAAH6586Y=")</f>
        <v>#REF!</v>
      </c>
      <c r="FL42" t="e">
        <f>AND('Show Info'!#REF!,"AAAAAH6586c=")</f>
        <v>#REF!</v>
      </c>
      <c r="FM42" t="e">
        <f>AND('Show Info'!#REF!,"AAAAAH6586g=")</f>
        <v>#REF!</v>
      </c>
      <c r="FN42" t="e">
        <f>AND('Show Info'!#REF!,"AAAAAH6586k=")</f>
        <v>#REF!</v>
      </c>
      <c r="FO42" t="e">
        <f>AND('Show Info'!#REF!,"AAAAAH6586o=")</f>
        <v>#REF!</v>
      </c>
      <c r="FP42" t="e">
        <f>AND('Show Info'!#REF!,"AAAAAH6586s=")</f>
        <v>#REF!</v>
      </c>
      <c r="FQ42" t="e">
        <f>AND('Show Info'!#REF!,"AAAAAH6586w=")</f>
        <v>#REF!</v>
      </c>
      <c r="FR42" t="e">
        <f>AND('Show Info'!#REF!,"AAAAAH65860=")</f>
        <v>#REF!</v>
      </c>
      <c r="FS42" t="e">
        <f>AND('Show Info'!#REF!,"AAAAAH65864=")</f>
        <v>#REF!</v>
      </c>
      <c r="FT42" t="e">
        <f>AND('Show Info'!#REF!,"AAAAAH65868=")</f>
        <v>#REF!</v>
      </c>
      <c r="FU42" t="e">
        <f>AND('Show Info'!#REF!,"AAAAAH6587A=")</f>
        <v>#REF!</v>
      </c>
      <c r="FV42" t="e">
        <f>AND('Show Info'!#REF!,"AAAAAH6587E=")</f>
        <v>#REF!</v>
      </c>
      <c r="FW42" t="e">
        <f>AND('Show Info'!#REF!,"AAAAAH6587I=")</f>
        <v>#REF!</v>
      </c>
      <c r="FX42" t="e">
        <f>AND('Show Info'!#REF!,"AAAAAH6587M=")</f>
        <v>#REF!</v>
      </c>
      <c r="FY42" t="e">
        <f>AND('Show Info'!#REF!,"AAAAAH6587Q=")</f>
        <v>#REF!</v>
      </c>
      <c r="FZ42" t="e">
        <f>AND('Show Info'!#REF!,"AAAAAH6587U=")</f>
        <v>#REF!</v>
      </c>
      <c r="GA42" t="e">
        <f>IF('Show Info'!#REF!,"AAAAAH6587Y=",0)</f>
        <v>#REF!</v>
      </c>
      <c r="GB42" t="e">
        <f>AND('Show Info'!#REF!,"AAAAAH6587c=")</f>
        <v>#REF!</v>
      </c>
      <c r="GC42" t="e">
        <f>AND('Show Info'!#REF!,"AAAAAH6587g=")</f>
        <v>#REF!</v>
      </c>
      <c r="GD42" t="e">
        <f>AND('Show Info'!#REF!,"AAAAAH6587k=")</f>
        <v>#REF!</v>
      </c>
      <c r="GE42" t="e">
        <f>AND('Show Info'!#REF!,"AAAAAH6587o=")</f>
        <v>#REF!</v>
      </c>
      <c r="GF42" t="e">
        <f>AND('Show Info'!#REF!,"AAAAAH6587s=")</f>
        <v>#REF!</v>
      </c>
      <c r="GG42" t="e">
        <f>AND('Show Info'!#REF!,"AAAAAH6587w=")</f>
        <v>#REF!</v>
      </c>
      <c r="GH42" t="e">
        <f>AND('Show Info'!#REF!,"AAAAAH65870=")</f>
        <v>#REF!</v>
      </c>
      <c r="GI42" t="e">
        <f>AND('Show Info'!#REF!,"AAAAAH65874=")</f>
        <v>#REF!</v>
      </c>
      <c r="GJ42" t="e">
        <f>AND('Show Info'!#REF!,"AAAAAH65878=")</f>
        <v>#REF!</v>
      </c>
      <c r="GK42" t="e">
        <f>AND('Show Info'!#REF!,"AAAAAH6588A=")</f>
        <v>#REF!</v>
      </c>
      <c r="GL42" t="e">
        <f>AND('Show Info'!#REF!,"AAAAAH6588E=")</f>
        <v>#REF!</v>
      </c>
      <c r="GM42" t="e">
        <f>AND('Show Info'!#REF!,"AAAAAH6588I=")</f>
        <v>#REF!</v>
      </c>
      <c r="GN42" t="e">
        <f>AND('Show Info'!#REF!,"AAAAAH6588M=")</f>
        <v>#REF!</v>
      </c>
      <c r="GO42" t="e">
        <f>AND('Show Info'!#REF!,"AAAAAH6588Q=")</f>
        <v>#REF!</v>
      </c>
      <c r="GP42" t="e">
        <f>AND('Show Info'!#REF!,"AAAAAH6588U=")</f>
        <v>#REF!</v>
      </c>
      <c r="GQ42" t="e">
        <f>AND('Show Info'!#REF!,"AAAAAH6588Y=")</f>
        <v>#REF!</v>
      </c>
      <c r="GR42" t="e">
        <f>AND('Show Info'!#REF!,"AAAAAH6588c=")</f>
        <v>#REF!</v>
      </c>
      <c r="GS42" t="e">
        <f>AND('Show Info'!#REF!,"AAAAAH6588g=")</f>
        <v>#REF!</v>
      </c>
      <c r="GT42" t="e">
        <f>AND('Show Info'!#REF!,"AAAAAH6588k=")</f>
        <v>#REF!</v>
      </c>
      <c r="GU42" t="e">
        <f>AND('Show Info'!#REF!,"AAAAAH6588o=")</f>
        <v>#REF!</v>
      </c>
      <c r="GV42" t="e">
        <f>AND('Show Info'!#REF!,"AAAAAH6588s=")</f>
        <v>#REF!</v>
      </c>
      <c r="GW42" t="e">
        <f>AND('Show Info'!#REF!,"AAAAAH6588w=")</f>
        <v>#REF!</v>
      </c>
      <c r="GX42" t="e">
        <f>IF('Show Info'!#REF!,"AAAAAH65880=",0)</f>
        <v>#REF!</v>
      </c>
      <c r="GY42" t="e">
        <f>AND('Show Info'!#REF!,"AAAAAH65884=")</f>
        <v>#REF!</v>
      </c>
      <c r="GZ42" t="e">
        <f>AND('Show Info'!#REF!,"AAAAAH65888=")</f>
        <v>#REF!</v>
      </c>
      <c r="HA42" t="e">
        <f>AND('Show Info'!#REF!,"AAAAAH6589A=")</f>
        <v>#REF!</v>
      </c>
      <c r="HB42" t="e">
        <f>AND('Show Info'!#REF!,"AAAAAH6589E=")</f>
        <v>#REF!</v>
      </c>
      <c r="HC42" t="e">
        <f>AND('Show Info'!#REF!,"AAAAAH6589I=")</f>
        <v>#REF!</v>
      </c>
      <c r="HD42" t="e">
        <f>AND('Show Info'!#REF!,"AAAAAH6589M=")</f>
        <v>#REF!</v>
      </c>
      <c r="HE42" t="e">
        <f>AND('Show Info'!#REF!,"AAAAAH6589Q=")</f>
        <v>#REF!</v>
      </c>
      <c r="HF42" t="e">
        <f>AND('Show Info'!#REF!,"AAAAAH6589U=")</f>
        <v>#REF!</v>
      </c>
      <c r="HG42" t="e">
        <f>AND('Show Info'!#REF!,"AAAAAH6589Y=")</f>
        <v>#REF!</v>
      </c>
      <c r="HH42" t="e">
        <f>AND('Show Info'!#REF!,"AAAAAH6589c=")</f>
        <v>#REF!</v>
      </c>
      <c r="HI42" t="e">
        <f>AND('Show Info'!#REF!,"AAAAAH6589g=")</f>
        <v>#REF!</v>
      </c>
      <c r="HJ42" t="e">
        <f>AND('Show Info'!#REF!,"AAAAAH6589k=")</f>
        <v>#REF!</v>
      </c>
      <c r="HK42" t="e">
        <f>AND('Show Info'!#REF!,"AAAAAH6589o=")</f>
        <v>#REF!</v>
      </c>
      <c r="HL42" t="e">
        <f>AND('Show Info'!#REF!,"AAAAAH6589s=")</f>
        <v>#REF!</v>
      </c>
      <c r="HM42" t="e">
        <f>AND('Show Info'!#REF!,"AAAAAH6589w=")</f>
        <v>#REF!</v>
      </c>
      <c r="HN42" t="e">
        <f>AND('Show Info'!#REF!,"AAAAAH65890=")</f>
        <v>#REF!</v>
      </c>
      <c r="HO42" t="e">
        <f>AND('Show Info'!#REF!,"AAAAAH65894=")</f>
        <v>#REF!</v>
      </c>
      <c r="HP42" t="e">
        <f>AND('Show Info'!#REF!,"AAAAAH65898=")</f>
        <v>#REF!</v>
      </c>
      <c r="HQ42" t="e">
        <f>AND('Show Info'!#REF!,"AAAAAH658+A=")</f>
        <v>#REF!</v>
      </c>
      <c r="HR42" t="e">
        <f>AND('Show Info'!#REF!,"AAAAAH658+E=")</f>
        <v>#REF!</v>
      </c>
      <c r="HS42" t="e">
        <f>AND('Show Info'!#REF!,"AAAAAH658+I=")</f>
        <v>#REF!</v>
      </c>
      <c r="HT42" t="e">
        <f>AND('Show Info'!#REF!,"AAAAAH658+M=")</f>
        <v>#REF!</v>
      </c>
      <c r="HU42" t="e">
        <f>IF('Show Info'!#REF!,"AAAAAH658+Q=",0)</f>
        <v>#REF!</v>
      </c>
      <c r="HV42" t="e">
        <f>AND('Show Info'!#REF!,"AAAAAH658+U=")</f>
        <v>#REF!</v>
      </c>
      <c r="HW42" t="e">
        <f>AND('Show Info'!#REF!,"AAAAAH658+Y=")</f>
        <v>#REF!</v>
      </c>
      <c r="HX42" t="e">
        <f>AND('Show Info'!#REF!,"AAAAAH658+c=")</f>
        <v>#REF!</v>
      </c>
      <c r="HY42" t="e">
        <f>AND('Show Info'!#REF!,"AAAAAH658+g=")</f>
        <v>#REF!</v>
      </c>
      <c r="HZ42" t="e">
        <f>AND('Show Info'!#REF!,"AAAAAH658+k=")</f>
        <v>#REF!</v>
      </c>
      <c r="IA42" t="e">
        <f>AND('Show Info'!#REF!,"AAAAAH658+o=")</f>
        <v>#REF!</v>
      </c>
      <c r="IB42" t="e">
        <f>AND('Show Info'!#REF!,"AAAAAH658+s=")</f>
        <v>#REF!</v>
      </c>
      <c r="IC42" t="e">
        <f>AND('Show Info'!#REF!,"AAAAAH658+w=")</f>
        <v>#REF!</v>
      </c>
      <c r="ID42" t="e">
        <f>AND('Show Info'!#REF!,"AAAAAH658+0=")</f>
        <v>#REF!</v>
      </c>
      <c r="IE42" t="e">
        <f>AND('Show Info'!#REF!,"AAAAAH658+4=")</f>
        <v>#REF!</v>
      </c>
      <c r="IF42" t="e">
        <f>AND('Show Info'!#REF!,"AAAAAH658+8=")</f>
        <v>#REF!</v>
      </c>
      <c r="IG42" t="e">
        <f>AND('Show Info'!#REF!,"AAAAAH658/A=")</f>
        <v>#REF!</v>
      </c>
      <c r="IH42" t="e">
        <f>AND('Show Info'!#REF!,"AAAAAH658/E=")</f>
        <v>#REF!</v>
      </c>
      <c r="II42" t="e">
        <f>AND('Show Info'!#REF!,"AAAAAH658/I=")</f>
        <v>#REF!</v>
      </c>
      <c r="IJ42" t="e">
        <f>AND('Show Info'!#REF!,"AAAAAH658/M=")</f>
        <v>#REF!</v>
      </c>
      <c r="IK42" t="e">
        <f>AND('Show Info'!#REF!,"AAAAAH658/Q=")</f>
        <v>#REF!</v>
      </c>
      <c r="IL42" t="e">
        <f>AND('Show Info'!#REF!,"AAAAAH658/U=")</f>
        <v>#REF!</v>
      </c>
      <c r="IM42" t="e">
        <f>AND('Show Info'!#REF!,"AAAAAH658/Y=")</f>
        <v>#REF!</v>
      </c>
      <c r="IN42" t="e">
        <f>AND('Show Info'!#REF!,"AAAAAH658/c=")</f>
        <v>#REF!</v>
      </c>
      <c r="IO42" t="e">
        <f>AND('Show Info'!#REF!,"AAAAAH658/g=")</f>
        <v>#REF!</v>
      </c>
      <c r="IP42" t="e">
        <f>AND('Show Info'!#REF!,"AAAAAH658/k=")</f>
        <v>#REF!</v>
      </c>
      <c r="IQ42" t="e">
        <f>AND('Show Info'!#REF!,"AAAAAH658/o=")</f>
        <v>#REF!</v>
      </c>
      <c r="IR42" t="e">
        <f>IF('Show Info'!#REF!,"AAAAAH658/s=",0)</f>
        <v>#REF!</v>
      </c>
      <c r="IS42" t="e">
        <f>AND('Show Info'!#REF!,"AAAAAH658/w=")</f>
        <v>#REF!</v>
      </c>
      <c r="IT42" t="e">
        <f>AND('Show Info'!#REF!,"AAAAAH658/0=")</f>
        <v>#REF!</v>
      </c>
      <c r="IU42" t="e">
        <f>AND('Show Info'!#REF!,"AAAAAH658/4=")</f>
        <v>#REF!</v>
      </c>
      <c r="IV42" t="e">
        <f>AND('Show Info'!#REF!,"AAAAAH658/8=")</f>
        <v>#REF!</v>
      </c>
    </row>
    <row r="43" spans="1:256" x14ac:dyDescent="0.2">
      <c r="A43" t="e">
        <f>AND('Show Info'!#REF!,"AAAAAH/+/QA=")</f>
        <v>#REF!</v>
      </c>
      <c r="B43" t="e">
        <f>AND('Show Info'!#REF!,"AAAAAH/+/QE=")</f>
        <v>#REF!</v>
      </c>
      <c r="C43" t="e">
        <f>AND('Show Info'!#REF!,"AAAAAH/+/QI=")</f>
        <v>#REF!</v>
      </c>
      <c r="D43" t="e">
        <f>AND('Show Info'!#REF!,"AAAAAH/+/QM=")</f>
        <v>#REF!</v>
      </c>
      <c r="E43" t="e">
        <f>AND('Show Info'!#REF!,"AAAAAH/+/QQ=")</f>
        <v>#REF!</v>
      </c>
      <c r="F43" t="e">
        <f>AND('Show Info'!#REF!,"AAAAAH/+/QU=")</f>
        <v>#REF!</v>
      </c>
      <c r="G43" t="e">
        <f>AND('Show Info'!#REF!,"AAAAAH/+/QY=")</f>
        <v>#REF!</v>
      </c>
      <c r="H43" t="e">
        <f>AND('Show Info'!#REF!,"AAAAAH/+/Qc=")</f>
        <v>#REF!</v>
      </c>
      <c r="I43" t="e">
        <f>AND('Show Info'!#REF!,"AAAAAH/+/Qg=")</f>
        <v>#REF!</v>
      </c>
      <c r="J43" t="e">
        <f>AND('Show Info'!#REF!,"AAAAAH/+/Qk=")</f>
        <v>#REF!</v>
      </c>
      <c r="K43" t="e">
        <f>AND('Show Info'!#REF!,"AAAAAH/+/Qo=")</f>
        <v>#REF!</v>
      </c>
      <c r="L43" t="e">
        <f>AND('Show Info'!#REF!,"AAAAAH/+/Qs=")</f>
        <v>#REF!</v>
      </c>
      <c r="M43" t="e">
        <f>AND('Show Info'!#REF!,"AAAAAH/+/Qw=")</f>
        <v>#REF!</v>
      </c>
      <c r="N43" t="e">
        <f>AND('Show Info'!#REF!,"AAAAAH/+/Q0=")</f>
        <v>#REF!</v>
      </c>
      <c r="O43" t="e">
        <f>AND('Show Info'!#REF!,"AAAAAH/+/Q4=")</f>
        <v>#REF!</v>
      </c>
      <c r="P43" t="e">
        <f>AND('Show Info'!#REF!,"AAAAAH/+/Q8=")</f>
        <v>#REF!</v>
      </c>
      <c r="Q43" t="e">
        <f>AND('Show Info'!#REF!,"AAAAAH/+/RA=")</f>
        <v>#REF!</v>
      </c>
      <c r="R43" t="e">
        <f>AND('Show Info'!#REF!,"AAAAAH/+/RE=")</f>
        <v>#REF!</v>
      </c>
      <c r="S43" t="e">
        <f>IF('Show Info'!#REF!,"AAAAAH/+/RI=",0)</f>
        <v>#REF!</v>
      </c>
      <c r="T43" t="e">
        <f>AND('Show Info'!#REF!,"AAAAAH/+/RM=")</f>
        <v>#REF!</v>
      </c>
      <c r="U43" t="e">
        <f>AND('Show Info'!#REF!,"AAAAAH/+/RQ=")</f>
        <v>#REF!</v>
      </c>
      <c r="V43" t="e">
        <f>AND('Show Info'!#REF!,"AAAAAH/+/RU=")</f>
        <v>#REF!</v>
      </c>
      <c r="W43" t="e">
        <f>AND('Show Info'!#REF!,"AAAAAH/+/RY=")</f>
        <v>#REF!</v>
      </c>
      <c r="X43" t="e">
        <f>AND('Show Info'!#REF!,"AAAAAH/+/Rc=")</f>
        <v>#REF!</v>
      </c>
      <c r="Y43" t="e">
        <f>AND('Show Info'!#REF!,"AAAAAH/+/Rg=")</f>
        <v>#REF!</v>
      </c>
      <c r="Z43" t="e">
        <f>AND('Show Info'!#REF!,"AAAAAH/+/Rk=")</f>
        <v>#REF!</v>
      </c>
      <c r="AA43" t="e">
        <f>AND('Show Info'!#REF!,"AAAAAH/+/Ro=")</f>
        <v>#REF!</v>
      </c>
      <c r="AB43" t="e">
        <f>AND('Show Info'!#REF!,"AAAAAH/+/Rs=")</f>
        <v>#REF!</v>
      </c>
      <c r="AC43" t="e">
        <f>AND('Show Info'!#REF!,"AAAAAH/+/Rw=")</f>
        <v>#REF!</v>
      </c>
      <c r="AD43" t="e">
        <f>AND('Show Info'!#REF!,"AAAAAH/+/R0=")</f>
        <v>#REF!</v>
      </c>
      <c r="AE43" t="e">
        <f>AND('Show Info'!#REF!,"AAAAAH/+/R4=")</f>
        <v>#REF!</v>
      </c>
      <c r="AF43" t="e">
        <f>AND('Show Info'!#REF!,"AAAAAH/+/R8=")</f>
        <v>#REF!</v>
      </c>
      <c r="AG43" t="e">
        <f>AND('Show Info'!#REF!,"AAAAAH/+/SA=")</f>
        <v>#REF!</v>
      </c>
      <c r="AH43" t="e">
        <f>AND('Show Info'!#REF!,"AAAAAH/+/SE=")</f>
        <v>#REF!</v>
      </c>
      <c r="AI43" t="e">
        <f>AND('Show Info'!#REF!,"AAAAAH/+/SI=")</f>
        <v>#REF!</v>
      </c>
      <c r="AJ43" t="e">
        <f>AND('Show Info'!#REF!,"AAAAAH/+/SM=")</f>
        <v>#REF!</v>
      </c>
      <c r="AK43" t="e">
        <f>AND('Show Info'!#REF!,"AAAAAH/+/SQ=")</f>
        <v>#REF!</v>
      </c>
      <c r="AL43" t="e">
        <f>AND('Show Info'!#REF!,"AAAAAH/+/SU=")</f>
        <v>#REF!</v>
      </c>
      <c r="AM43" t="e">
        <f>AND('Show Info'!#REF!,"AAAAAH/+/SY=")</f>
        <v>#REF!</v>
      </c>
      <c r="AN43" t="e">
        <f>AND('Show Info'!#REF!,"AAAAAH/+/Sc=")</f>
        <v>#REF!</v>
      </c>
      <c r="AO43" t="e">
        <f>AND('Show Info'!#REF!,"AAAAAH/+/Sg=")</f>
        <v>#REF!</v>
      </c>
      <c r="AP43" t="e">
        <f>IF('Show Info'!#REF!,"AAAAAH/+/Sk=",0)</f>
        <v>#REF!</v>
      </c>
      <c r="AQ43" t="e">
        <f>AND('Show Info'!#REF!,"AAAAAH/+/So=")</f>
        <v>#REF!</v>
      </c>
      <c r="AR43" t="e">
        <f>AND('Show Info'!#REF!,"AAAAAH/+/Ss=")</f>
        <v>#REF!</v>
      </c>
      <c r="AS43" t="e">
        <f>AND('Show Info'!#REF!,"AAAAAH/+/Sw=")</f>
        <v>#REF!</v>
      </c>
      <c r="AT43" t="e">
        <f>AND('Show Info'!#REF!,"AAAAAH/+/S0=")</f>
        <v>#REF!</v>
      </c>
      <c r="AU43" t="e">
        <f>AND('Show Info'!#REF!,"AAAAAH/+/S4=")</f>
        <v>#REF!</v>
      </c>
      <c r="AV43" t="e">
        <f>AND('Show Info'!#REF!,"AAAAAH/+/S8=")</f>
        <v>#REF!</v>
      </c>
      <c r="AW43" t="e">
        <f>AND('Show Info'!#REF!,"AAAAAH/+/TA=")</f>
        <v>#REF!</v>
      </c>
      <c r="AX43" t="e">
        <f>AND('Show Info'!#REF!,"AAAAAH/+/TE=")</f>
        <v>#REF!</v>
      </c>
      <c r="AY43" t="e">
        <f>AND('Show Info'!#REF!,"AAAAAH/+/TI=")</f>
        <v>#REF!</v>
      </c>
      <c r="AZ43" t="e">
        <f>AND('Show Info'!#REF!,"AAAAAH/+/TM=")</f>
        <v>#REF!</v>
      </c>
      <c r="BA43" t="e">
        <f>AND('Show Info'!#REF!,"AAAAAH/+/TQ=")</f>
        <v>#REF!</v>
      </c>
      <c r="BB43" t="e">
        <f>AND('Show Info'!#REF!,"AAAAAH/+/TU=")</f>
        <v>#REF!</v>
      </c>
      <c r="BC43" t="e">
        <f>AND('Show Info'!#REF!,"AAAAAH/+/TY=")</f>
        <v>#REF!</v>
      </c>
      <c r="BD43" t="e">
        <f>AND('Show Info'!#REF!,"AAAAAH/+/Tc=")</f>
        <v>#REF!</v>
      </c>
      <c r="BE43" t="e">
        <f>AND('Show Info'!#REF!,"AAAAAH/+/Tg=")</f>
        <v>#REF!</v>
      </c>
      <c r="BF43" t="e">
        <f>AND('Show Info'!#REF!,"AAAAAH/+/Tk=")</f>
        <v>#REF!</v>
      </c>
      <c r="BG43" t="e">
        <f>AND('Show Info'!#REF!,"AAAAAH/+/To=")</f>
        <v>#REF!</v>
      </c>
      <c r="BH43" t="e">
        <f>AND('Show Info'!#REF!,"AAAAAH/+/Ts=")</f>
        <v>#REF!</v>
      </c>
      <c r="BI43" t="e">
        <f>AND('Show Info'!#REF!,"AAAAAH/+/Tw=")</f>
        <v>#REF!</v>
      </c>
      <c r="BJ43" t="e">
        <f>AND('Show Info'!#REF!,"AAAAAH/+/T0=")</f>
        <v>#REF!</v>
      </c>
      <c r="BK43" t="e">
        <f>AND('Show Info'!#REF!,"AAAAAH/+/T4=")</f>
        <v>#REF!</v>
      </c>
      <c r="BL43" t="e">
        <f>AND('Show Info'!#REF!,"AAAAAH/+/T8=")</f>
        <v>#REF!</v>
      </c>
      <c r="BM43" t="e">
        <f>IF('Show Info'!#REF!,"AAAAAH/+/UA=",0)</f>
        <v>#REF!</v>
      </c>
      <c r="BN43" t="e">
        <f>AND('Show Info'!#REF!,"AAAAAH/+/UE=")</f>
        <v>#REF!</v>
      </c>
      <c r="BO43" t="e">
        <f>AND('Show Info'!#REF!,"AAAAAH/+/UI=")</f>
        <v>#REF!</v>
      </c>
      <c r="BP43" t="e">
        <f>AND('Show Info'!#REF!,"AAAAAH/+/UM=")</f>
        <v>#REF!</v>
      </c>
      <c r="BQ43" t="e">
        <f>AND('Show Info'!#REF!,"AAAAAH/+/UQ=")</f>
        <v>#REF!</v>
      </c>
      <c r="BR43" t="e">
        <f>AND('Show Info'!#REF!,"AAAAAH/+/UU=")</f>
        <v>#REF!</v>
      </c>
      <c r="BS43" t="e">
        <f>AND('Show Info'!#REF!,"AAAAAH/+/UY=")</f>
        <v>#REF!</v>
      </c>
      <c r="BT43" t="e">
        <f>AND('Show Info'!#REF!,"AAAAAH/+/Uc=")</f>
        <v>#REF!</v>
      </c>
      <c r="BU43" t="e">
        <f>AND('Show Info'!#REF!,"AAAAAH/+/Ug=")</f>
        <v>#REF!</v>
      </c>
      <c r="BV43" t="e">
        <f>AND('Show Info'!#REF!,"AAAAAH/+/Uk=")</f>
        <v>#REF!</v>
      </c>
      <c r="BW43" t="e">
        <f>AND('Show Info'!#REF!,"AAAAAH/+/Uo=")</f>
        <v>#REF!</v>
      </c>
      <c r="BX43" t="e">
        <f>AND('Show Info'!#REF!,"AAAAAH/+/Us=")</f>
        <v>#REF!</v>
      </c>
      <c r="BY43" t="e">
        <f>AND('Show Info'!#REF!,"AAAAAH/+/Uw=")</f>
        <v>#REF!</v>
      </c>
      <c r="BZ43" t="e">
        <f>AND('Show Info'!#REF!,"AAAAAH/+/U0=")</f>
        <v>#REF!</v>
      </c>
      <c r="CA43" t="e">
        <f>AND('Show Info'!#REF!,"AAAAAH/+/U4=")</f>
        <v>#REF!</v>
      </c>
      <c r="CB43" t="e">
        <f>AND('Show Info'!#REF!,"AAAAAH/+/U8=")</f>
        <v>#REF!</v>
      </c>
      <c r="CC43" t="e">
        <f>AND('Show Info'!#REF!,"AAAAAH/+/VA=")</f>
        <v>#REF!</v>
      </c>
      <c r="CD43" t="e">
        <f>AND('Show Info'!#REF!,"AAAAAH/+/VE=")</f>
        <v>#REF!</v>
      </c>
      <c r="CE43" t="e">
        <f>AND('Show Info'!#REF!,"AAAAAH/+/VI=")</f>
        <v>#REF!</v>
      </c>
      <c r="CF43" t="e">
        <f>AND('Show Info'!#REF!,"AAAAAH/+/VM=")</f>
        <v>#REF!</v>
      </c>
      <c r="CG43" t="e">
        <f>AND('Show Info'!#REF!,"AAAAAH/+/VQ=")</f>
        <v>#REF!</v>
      </c>
      <c r="CH43" t="e">
        <f>AND('Show Info'!#REF!,"AAAAAH/+/VU=")</f>
        <v>#REF!</v>
      </c>
      <c r="CI43" t="e">
        <f>AND('Show Info'!#REF!,"AAAAAH/+/VY=")</f>
        <v>#REF!</v>
      </c>
      <c r="CJ43" t="e">
        <f>IF('Show Info'!#REF!,"AAAAAH/+/Vc=",0)</f>
        <v>#REF!</v>
      </c>
      <c r="CK43" t="e">
        <f>AND('Show Info'!#REF!,"AAAAAH/+/Vg=")</f>
        <v>#REF!</v>
      </c>
      <c r="CL43" t="e">
        <f>AND('Show Info'!#REF!,"AAAAAH/+/Vk=")</f>
        <v>#REF!</v>
      </c>
      <c r="CM43" t="e">
        <f>AND('Show Info'!#REF!,"AAAAAH/+/Vo=")</f>
        <v>#REF!</v>
      </c>
      <c r="CN43" t="e">
        <f>AND('Show Info'!#REF!,"AAAAAH/+/Vs=")</f>
        <v>#REF!</v>
      </c>
      <c r="CO43" t="e">
        <f>AND('Show Info'!#REF!,"AAAAAH/+/Vw=")</f>
        <v>#REF!</v>
      </c>
      <c r="CP43" t="e">
        <f>AND('Show Info'!#REF!,"AAAAAH/+/V0=")</f>
        <v>#REF!</v>
      </c>
      <c r="CQ43" t="e">
        <f>AND('Show Info'!#REF!,"AAAAAH/+/V4=")</f>
        <v>#REF!</v>
      </c>
      <c r="CR43" t="e">
        <f>AND('Show Info'!#REF!,"AAAAAH/+/V8=")</f>
        <v>#REF!</v>
      </c>
      <c r="CS43" t="e">
        <f>AND('Show Info'!#REF!,"AAAAAH/+/WA=")</f>
        <v>#REF!</v>
      </c>
      <c r="CT43" t="e">
        <f>AND('Show Info'!#REF!,"AAAAAH/+/WE=")</f>
        <v>#REF!</v>
      </c>
      <c r="CU43" t="e">
        <f>AND('Show Info'!#REF!,"AAAAAH/+/WI=")</f>
        <v>#REF!</v>
      </c>
      <c r="CV43" t="e">
        <f>AND('Show Info'!#REF!,"AAAAAH/+/WM=")</f>
        <v>#REF!</v>
      </c>
      <c r="CW43" t="e">
        <f>AND('Show Info'!#REF!,"AAAAAH/+/WQ=")</f>
        <v>#REF!</v>
      </c>
      <c r="CX43" t="e">
        <f>AND('Show Info'!#REF!,"AAAAAH/+/WU=")</f>
        <v>#REF!</v>
      </c>
      <c r="CY43" t="e">
        <f>AND('Show Info'!#REF!,"AAAAAH/+/WY=")</f>
        <v>#REF!</v>
      </c>
      <c r="CZ43" t="e">
        <f>AND('Show Info'!#REF!,"AAAAAH/+/Wc=")</f>
        <v>#REF!</v>
      </c>
      <c r="DA43" t="e">
        <f>AND('Show Info'!#REF!,"AAAAAH/+/Wg=")</f>
        <v>#REF!</v>
      </c>
      <c r="DB43" t="e">
        <f>AND('Show Info'!#REF!,"AAAAAH/+/Wk=")</f>
        <v>#REF!</v>
      </c>
      <c r="DC43" t="e">
        <f>AND('Show Info'!#REF!,"AAAAAH/+/Wo=")</f>
        <v>#REF!</v>
      </c>
      <c r="DD43" t="e">
        <f>AND('Show Info'!#REF!,"AAAAAH/+/Ws=")</f>
        <v>#REF!</v>
      </c>
      <c r="DE43" t="e">
        <f>AND('Show Info'!#REF!,"AAAAAH/+/Ww=")</f>
        <v>#REF!</v>
      </c>
      <c r="DF43" t="e">
        <f>AND('Show Info'!#REF!,"AAAAAH/+/W0=")</f>
        <v>#REF!</v>
      </c>
      <c r="DG43" t="e">
        <f>IF('Show Info'!#REF!,"AAAAAH/+/W4=",0)</f>
        <v>#REF!</v>
      </c>
      <c r="DH43" t="e">
        <f>AND('Show Info'!#REF!,"AAAAAH/+/W8=")</f>
        <v>#REF!</v>
      </c>
      <c r="DI43" t="e">
        <f>AND('Show Info'!#REF!,"AAAAAH/+/XA=")</f>
        <v>#REF!</v>
      </c>
      <c r="DJ43" t="e">
        <f>AND('Show Info'!#REF!,"AAAAAH/+/XE=")</f>
        <v>#REF!</v>
      </c>
      <c r="DK43" t="e">
        <f>AND('Show Info'!#REF!,"AAAAAH/+/XI=")</f>
        <v>#REF!</v>
      </c>
      <c r="DL43" t="e">
        <f>AND('Show Info'!#REF!,"AAAAAH/+/XM=")</f>
        <v>#REF!</v>
      </c>
      <c r="DM43" t="e">
        <f>AND('Show Info'!#REF!,"AAAAAH/+/XQ=")</f>
        <v>#REF!</v>
      </c>
      <c r="DN43" t="e">
        <f>AND('Show Info'!#REF!,"AAAAAH/+/XU=")</f>
        <v>#REF!</v>
      </c>
      <c r="DO43" t="e">
        <f>AND('Show Info'!#REF!,"AAAAAH/+/XY=")</f>
        <v>#REF!</v>
      </c>
      <c r="DP43" t="e">
        <f>AND('Show Info'!#REF!,"AAAAAH/+/Xc=")</f>
        <v>#REF!</v>
      </c>
      <c r="DQ43" t="e">
        <f>AND('Show Info'!#REF!,"AAAAAH/+/Xg=")</f>
        <v>#REF!</v>
      </c>
      <c r="DR43" t="e">
        <f>AND('Show Info'!#REF!,"AAAAAH/+/Xk=")</f>
        <v>#REF!</v>
      </c>
      <c r="DS43" t="e">
        <f>AND('Show Info'!#REF!,"AAAAAH/+/Xo=")</f>
        <v>#REF!</v>
      </c>
      <c r="DT43" t="e">
        <f>AND('Show Info'!#REF!,"AAAAAH/+/Xs=")</f>
        <v>#REF!</v>
      </c>
      <c r="DU43" t="e">
        <f>AND('Show Info'!#REF!,"AAAAAH/+/Xw=")</f>
        <v>#REF!</v>
      </c>
      <c r="DV43" t="e">
        <f>AND('Show Info'!#REF!,"AAAAAH/+/X0=")</f>
        <v>#REF!</v>
      </c>
      <c r="DW43" t="e">
        <f>AND('Show Info'!#REF!,"AAAAAH/+/X4=")</f>
        <v>#REF!</v>
      </c>
      <c r="DX43" t="e">
        <f>AND('Show Info'!#REF!,"AAAAAH/+/X8=")</f>
        <v>#REF!</v>
      </c>
      <c r="DY43" t="e">
        <f>AND('Show Info'!#REF!,"AAAAAH/+/YA=")</f>
        <v>#REF!</v>
      </c>
      <c r="DZ43" t="e">
        <f>AND('Show Info'!#REF!,"AAAAAH/+/YE=")</f>
        <v>#REF!</v>
      </c>
      <c r="EA43" t="e">
        <f>AND('Show Info'!#REF!,"AAAAAH/+/YI=")</f>
        <v>#REF!</v>
      </c>
      <c r="EB43" t="e">
        <f>AND('Show Info'!#REF!,"AAAAAH/+/YM=")</f>
        <v>#REF!</v>
      </c>
      <c r="EC43" t="e">
        <f>AND('Show Info'!#REF!,"AAAAAH/+/YQ=")</f>
        <v>#REF!</v>
      </c>
      <c r="ED43" t="e">
        <f>IF('Show Info'!#REF!,"AAAAAH/+/YU=",0)</f>
        <v>#REF!</v>
      </c>
      <c r="EE43" t="e">
        <f>AND('Show Info'!#REF!,"AAAAAH/+/YY=")</f>
        <v>#REF!</v>
      </c>
      <c r="EF43" t="e">
        <f>AND('Show Info'!#REF!,"AAAAAH/+/Yc=")</f>
        <v>#REF!</v>
      </c>
      <c r="EG43" t="e">
        <f>AND('Show Info'!#REF!,"AAAAAH/+/Yg=")</f>
        <v>#REF!</v>
      </c>
      <c r="EH43" t="e">
        <f>AND('Show Info'!#REF!,"AAAAAH/+/Yk=")</f>
        <v>#REF!</v>
      </c>
      <c r="EI43" t="e">
        <f>AND('Show Info'!#REF!,"AAAAAH/+/Yo=")</f>
        <v>#REF!</v>
      </c>
      <c r="EJ43" t="e">
        <f>AND('Show Info'!#REF!,"AAAAAH/+/Ys=")</f>
        <v>#REF!</v>
      </c>
      <c r="EK43" t="e">
        <f>AND('Show Info'!#REF!,"AAAAAH/+/Yw=")</f>
        <v>#REF!</v>
      </c>
      <c r="EL43" t="e">
        <f>AND('Show Info'!#REF!,"AAAAAH/+/Y0=")</f>
        <v>#REF!</v>
      </c>
      <c r="EM43" t="e">
        <f>AND('Show Info'!#REF!,"AAAAAH/+/Y4=")</f>
        <v>#REF!</v>
      </c>
      <c r="EN43" t="e">
        <f>AND('Show Info'!#REF!,"AAAAAH/+/Y8=")</f>
        <v>#REF!</v>
      </c>
      <c r="EO43" t="e">
        <f>AND('Show Info'!#REF!,"AAAAAH/+/ZA=")</f>
        <v>#REF!</v>
      </c>
      <c r="EP43" t="e">
        <f>AND('Show Info'!#REF!,"AAAAAH/+/ZE=")</f>
        <v>#REF!</v>
      </c>
      <c r="EQ43" t="e">
        <f>AND('Show Info'!#REF!,"AAAAAH/+/ZI=")</f>
        <v>#REF!</v>
      </c>
      <c r="ER43" t="e">
        <f>AND('Show Info'!#REF!,"AAAAAH/+/ZM=")</f>
        <v>#REF!</v>
      </c>
      <c r="ES43" t="e">
        <f>AND('Show Info'!#REF!,"AAAAAH/+/ZQ=")</f>
        <v>#REF!</v>
      </c>
      <c r="ET43" t="e">
        <f>AND('Show Info'!#REF!,"AAAAAH/+/ZU=")</f>
        <v>#REF!</v>
      </c>
      <c r="EU43" t="e">
        <f>AND('Show Info'!#REF!,"AAAAAH/+/ZY=")</f>
        <v>#REF!</v>
      </c>
      <c r="EV43" t="e">
        <f>AND('Show Info'!#REF!,"AAAAAH/+/Zc=")</f>
        <v>#REF!</v>
      </c>
      <c r="EW43" t="e">
        <f>AND('Show Info'!#REF!,"AAAAAH/+/Zg=")</f>
        <v>#REF!</v>
      </c>
      <c r="EX43" t="e">
        <f>AND('Show Info'!#REF!,"AAAAAH/+/Zk=")</f>
        <v>#REF!</v>
      </c>
      <c r="EY43" t="e">
        <f>AND('Show Info'!#REF!,"AAAAAH/+/Zo=")</f>
        <v>#REF!</v>
      </c>
      <c r="EZ43" t="e">
        <f>AND('Show Info'!#REF!,"AAAAAH/+/Zs=")</f>
        <v>#REF!</v>
      </c>
      <c r="FA43" t="e">
        <f>IF('Show Info'!#REF!,"AAAAAH/+/Zw=",0)</f>
        <v>#REF!</v>
      </c>
      <c r="FB43" t="e">
        <f>AND('Show Info'!#REF!,"AAAAAH/+/Z0=")</f>
        <v>#REF!</v>
      </c>
      <c r="FC43" t="e">
        <f>AND('Show Info'!#REF!,"AAAAAH/+/Z4=")</f>
        <v>#REF!</v>
      </c>
      <c r="FD43" t="e">
        <f>AND('Show Info'!#REF!,"AAAAAH/+/Z8=")</f>
        <v>#REF!</v>
      </c>
      <c r="FE43" t="e">
        <f>AND('Show Info'!#REF!,"AAAAAH/+/aA=")</f>
        <v>#REF!</v>
      </c>
      <c r="FF43" t="e">
        <f>AND('Show Info'!#REF!,"AAAAAH/+/aE=")</f>
        <v>#REF!</v>
      </c>
      <c r="FG43" t="e">
        <f>AND('Show Info'!#REF!,"AAAAAH/+/aI=")</f>
        <v>#REF!</v>
      </c>
      <c r="FH43" t="e">
        <f>AND('Show Info'!#REF!,"AAAAAH/+/aM=")</f>
        <v>#REF!</v>
      </c>
      <c r="FI43" t="e">
        <f>AND('Show Info'!#REF!,"AAAAAH/+/aQ=")</f>
        <v>#REF!</v>
      </c>
      <c r="FJ43" t="e">
        <f>AND('Show Info'!#REF!,"AAAAAH/+/aU=")</f>
        <v>#REF!</v>
      </c>
      <c r="FK43" t="e">
        <f>AND('Show Info'!#REF!,"AAAAAH/+/aY=")</f>
        <v>#REF!</v>
      </c>
      <c r="FL43" t="e">
        <f>AND('Show Info'!#REF!,"AAAAAH/+/ac=")</f>
        <v>#REF!</v>
      </c>
      <c r="FM43" t="e">
        <f>AND('Show Info'!#REF!,"AAAAAH/+/ag=")</f>
        <v>#REF!</v>
      </c>
      <c r="FN43" t="e">
        <f>AND('Show Info'!#REF!,"AAAAAH/+/ak=")</f>
        <v>#REF!</v>
      </c>
      <c r="FO43" t="e">
        <f>AND('Show Info'!#REF!,"AAAAAH/+/ao=")</f>
        <v>#REF!</v>
      </c>
      <c r="FP43" t="e">
        <f>AND('Show Info'!#REF!,"AAAAAH/+/as=")</f>
        <v>#REF!</v>
      </c>
      <c r="FQ43" t="e">
        <f>AND('Show Info'!#REF!,"AAAAAH/+/aw=")</f>
        <v>#REF!</v>
      </c>
      <c r="FR43" t="e">
        <f>AND('Show Info'!#REF!,"AAAAAH/+/a0=")</f>
        <v>#REF!</v>
      </c>
      <c r="FS43" t="e">
        <f>AND('Show Info'!#REF!,"AAAAAH/+/a4=")</f>
        <v>#REF!</v>
      </c>
      <c r="FT43" t="e">
        <f>AND('Show Info'!#REF!,"AAAAAH/+/a8=")</f>
        <v>#REF!</v>
      </c>
      <c r="FU43" t="e">
        <f>AND('Show Info'!#REF!,"AAAAAH/+/bA=")</f>
        <v>#REF!</v>
      </c>
      <c r="FV43" t="e">
        <f>AND('Show Info'!#REF!,"AAAAAH/+/bE=")</f>
        <v>#REF!</v>
      </c>
      <c r="FW43" t="e">
        <f>AND('Show Info'!#REF!,"AAAAAH/+/bI=")</f>
        <v>#REF!</v>
      </c>
      <c r="FX43" t="e">
        <f>IF('Show Info'!#REF!,"AAAAAH/+/bM=",0)</f>
        <v>#REF!</v>
      </c>
      <c r="FY43" t="e">
        <f>AND('Show Info'!#REF!,"AAAAAH/+/bQ=")</f>
        <v>#REF!</v>
      </c>
      <c r="FZ43" t="e">
        <f>AND('Show Info'!#REF!,"AAAAAH/+/bU=")</f>
        <v>#REF!</v>
      </c>
      <c r="GA43" t="e">
        <f>AND('Show Info'!#REF!,"AAAAAH/+/bY=")</f>
        <v>#REF!</v>
      </c>
      <c r="GB43" t="e">
        <f>AND('Show Info'!#REF!,"AAAAAH/+/bc=")</f>
        <v>#REF!</v>
      </c>
      <c r="GC43" t="e">
        <f>AND('Show Info'!#REF!,"AAAAAH/+/bg=")</f>
        <v>#REF!</v>
      </c>
      <c r="GD43" t="e">
        <f>AND('Show Info'!#REF!,"AAAAAH/+/bk=")</f>
        <v>#REF!</v>
      </c>
      <c r="GE43" t="e">
        <f>AND('Show Info'!#REF!,"AAAAAH/+/bo=")</f>
        <v>#REF!</v>
      </c>
      <c r="GF43" t="e">
        <f>AND('Show Info'!#REF!,"AAAAAH/+/bs=")</f>
        <v>#REF!</v>
      </c>
      <c r="GG43" t="e">
        <f>AND('Show Info'!#REF!,"AAAAAH/+/bw=")</f>
        <v>#REF!</v>
      </c>
      <c r="GH43" t="e">
        <f>AND('Show Info'!#REF!,"AAAAAH/+/b0=")</f>
        <v>#REF!</v>
      </c>
      <c r="GI43" t="e">
        <f>AND('Show Info'!#REF!,"AAAAAH/+/b4=")</f>
        <v>#REF!</v>
      </c>
      <c r="GJ43" t="e">
        <f>AND('Show Info'!#REF!,"AAAAAH/+/b8=")</f>
        <v>#REF!</v>
      </c>
      <c r="GK43" t="e">
        <f>AND('Show Info'!#REF!,"AAAAAH/+/cA=")</f>
        <v>#REF!</v>
      </c>
      <c r="GL43" t="e">
        <f>AND('Show Info'!#REF!,"AAAAAH/+/cE=")</f>
        <v>#REF!</v>
      </c>
      <c r="GM43" t="e">
        <f>AND('Show Info'!#REF!,"AAAAAH/+/cI=")</f>
        <v>#REF!</v>
      </c>
      <c r="GN43" t="e">
        <f>AND('Show Info'!#REF!,"AAAAAH/+/cM=")</f>
        <v>#REF!</v>
      </c>
      <c r="GO43" t="e">
        <f>AND('Show Info'!#REF!,"AAAAAH/+/cQ=")</f>
        <v>#REF!</v>
      </c>
      <c r="GP43" t="e">
        <f>AND('Show Info'!#REF!,"AAAAAH/+/cU=")</f>
        <v>#REF!</v>
      </c>
      <c r="GQ43" t="e">
        <f>AND('Show Info'!#REF!,"AAAAAH/+/cY=")</f>
        <v>#REF!</v>
      </c>
      <c r="GR43" t="e">
        <f>AND('Show Info'!#REF!,"AAAAAH/+/cc=")</f>
        <v>#REF!</v>
      </c>
      <c r="GS43" t="e">
        <f>AND('Show Info'!#REF!,"AAAAAH/+/cg=")</f>
        <v>#REF!</v>
      </c>
      <c r="GT43" t="e">
        <f>AND('Show Info'!#REF!,"AAAAAH/+/ck=")</f>
        <v>#REF!</v>
      </c>
      <c r="GU43" t="e">
        <f>IF('Show Info'!#REF!,"AAAAAH/+/co=",0)</f>
        <v>#REF!</v>
      </c>
      <c r="GV43" t="e">
        <f>AND('Show Info'!#REF!,"AAAAAH/+/cs=")</f>
        <v>#REF!</v>
      </c>
      <c r="GW43" t="e">
        <f>AND('Show Info'!#REF!,"AAAAAH/+/cw=")</f>
        <v>#REF!</v>
      </c>
      <c r="GX43" t="e">
        <f>AND('Show Info'!#REF!,"AAAAAH/+/c0=")</f>
        <v>#REF!</v>
      </c>
      <c r="GY43" t="e">
        <f>AND('Show Info'!#REF!,"AAAAAH/+/c4=")</f>
        <v>#REF!</v>
      </c>
      <c r="GZ43" t="e">
        <f>AND('Show Info'!#REF!,"AAAAAH/+/c8=")</f>
        <v>#REF!</v>
      </c>
      <c r="HA43" t="e">
        <f>AND('Show Info'!#REF!,"AAAAAH/+/dA=")</f>
        <v>#REF!</v>
      </c>
      <c r="HB43" t="e">
        <f>AND('Show Info'!#REF!,"AAAAAH/+/dE=")</f>
        <v>#REF!</v>
      </c>
      <c r="HC43" t="e">
        <f>AND('Show Info'!#REF!,"AAAAAH/+/dI=")</f>
        <v>#REF!</v>
      </c>
      <c r="HD43" t="e">
        <f>AND('Show Info'!#REF!,"AAAAAH/+/dM=")</f>
        <v>#REF!</v>
      </c>
      <c r="HE43" t="e">
        <f>AND('Show Info'!#REF!,"AAAAAH/+/dQ=")</f>
        <v>#REF!</v>
      </c>
      <c r="HF43" t="e">
        <f>AND('Show Info'!#REF!,"AAAAAH/+/dU=")</f>
        <v>#REF!</v>
      </c>
      <c r="HG43" t="e">
        <f>AND('Show Info'!#REF!,"AAAAAH/+/dY=")</f>
        <v>#REF!</v>
      </c>
      <c r="HH43" t="e">
        <f>AND('Show Info'!#REF!,"AAAAAH/+/dc=")</f>
        <v>#REF!</v>
      </c>
      <c r="HI43" t="e">
        <f>AND('Show Info'!#REF!,"AAAAAH/+/dg=")</f>
        <v>#REF!</v>
      </c>
      <c r="HJ43" t="e">
        <f>AND('Show Info'!#REF!,"AAAAAH/+/dk=")</f>
        <v>#REF!</v>
      </c>
      <c r="HK43" t="e">
        <f>AND('Show Info'!#REF!,"AAAAAH/+/do=")</f>
        <v>#REF!</v>
      </c>
      <c r="HL43" t="e">
        <f>AND('Show Info'!#REF!,"AAAAAH/+/ds=")</f>
        <v>#REF!</v>
      </c>
      <c r="HM43" t="e">
        <f>AND('Show Info'!#REF!,"AAAAAH/+/dw=")</f>
        <v>#REF!</v>
      </c>
      <c r="HN43" t="e">
        <f>AND('Show Info'!#REF!,"AAAAAH/+/d0=")</f>
        <v>#REF!</v>
      </c>
      <c r="HO43" t="e">
        <f>AND('Show Info'!#REF!,"AAAAAH/+/d4=")</f>
        <v>#REF!</v>
      </c>
      <c r="HP43" t="e">
        <f>AND('Show Info'!#REF!,"AAAAAH/+/d8=")</f>
        <v>#REF!</v>
      </c>
      <c r="HQ43" t="e">
        <f>AND('Show Info'!#REF!,"AAAAAH/+/eA=")</f>
        <v>#REF!</v>
      </c>
      <c r="HR43" t="e">
        <f>IF('Show Info'!#REF!,"AAAAAH/+/eE=",0)</f>
        <v>#REF!</v>
      </c>
      <c r="HS43" t="e">
        <f>AND('Show Info'!#REF!,"AAAAAH/+/eI=")</f>
        <v>#REF!</v>
      </c>
      <c r="HT43" t="e">
        <f>AND('Show Info'!#REF!,"AAAAAH/+/eM=")</f>
        <v>#REF!</v>
      </c>
      <c r="HU43" t="e">
        <f>AND('Show Info'!#REF!,"AAAAAH/+/eQ=")</f>
        <v>#REF!</v>
      </c>
      <c r="HV43" t="e">
        <f>AND('Show Info'!#REF!,"AAAAAH/+/eU=")</f>
        <v>#REF!</v>
      </c>
      <c r="HW43" t="e">
        <f>AND('Show Info'!#REF!,"AAAAAH/+/eY=")</f>
        <v>#REF!</v>
      </c>
      <c r="HX43" t="e">
        <f>AND('Show Info'!#REF!,"AAAAAH/+/ec=")</f>
        <v>#REF!</v>
      </c>
      <c r="HY43" t="e">
        <f>AND('Show Info'!#REF!,"AAAAAH/+/eg=")</f>
        <v>#REF!</v>
      </c>
      <c r="HZ43" t="e">
        <f>AND('Show Info'!#REF!,"AAAAAH/+/ek=")</f>
        <v>#REF!</v>
      </c>
      <c r="IA43" t="e">
        <f>AND('Show Info'!#REF!,"AAAAAH/+/eo=")</f>
        <v>#REF!</v>
      </c>
      <c r="IB43" t="e">
        <f>AND('Show Info'!#REF!,"AAAAAH/+/es=")</f>
        <v>#REF!</v>
      </c>
      <c r="IC43" t="e">
        <f>AND('Show Info'!#REF!,"AAAAAH/+/ew=")</f>
        <v>#REF!</v>
      </c>
      <c r="ID43" t="e">
        <f>AND('Show Info'!#REF!,"AAAAAH/+/e0=")</f>
        <v>#REF!</v>
      </c>
      <c r="IE43" t="e">
        <f>AND('Show Info'!#REF!,"AAAAAH/+/e4=")</f>
        <v>#REF!</v>
      </c>
      <c r="IF43" t="e">
        <f>AND('Show Info'!#REF!,"AAAAAH/+/e8=")</f>
        <v>#REF!</v>
      </c>
      <c r="IG43" t="e">
        <f>AND('Show Info'!#REF!,"AAAAAH/+/fA=")</f>
        <v>#REF!</v>
      </c>
      <c r="IH43" t="e">
        <f>AND('Show Info'!#REF!,"AAAAAH/+/fE=")</f>
        <v>#REF!</v>
      </c>
      <c r="II43" t="e">
        <f>AND('Show Info'!#REF!,"AAAAAH/+/fI=")</f>
        <v>#REF!</v>
      </c>
      <c r="IJ43" t="e">
        <f>AND('Show Info'!#REF!,"AAAAAH/+/fM=")</f>
        <v>#REF!</v>
      </c>
      <c r="IK43" t="e">
        <f>AND('Show Info'!#REF!,"AAAAAH/+/fQ=")</f>
        <v>#REF!</v>
      </c>
      <c r="IL43" t="e">
        <f>AND('Show Info'!#REF!,"AAAAAH/+/fU=")</f>
        <v>#REF!</v>
      </c>
      <c r="IM43" t="e">
        <f>AND('Show Info'!#REF!,"AAAAAH/+/fY=")</f>
        <v>#REF!</v>
      </c>
      <c r="IN43" t="e">
        <f>AND('Show Info'!#REF!,"AAAAAH/+/fc=")</f>
        <v>#REF!</v>
      </c>
      <c r="IO43" t="e">
        <f>IF('Show Info'!#REF!,"AAAAAH/+/fg=",0)</f>
        <v>#REF!</v>
      </c>
      <c r="IP43" t="e">
        <f>AND('Show Info'!#REF!,"AAAAAH/+/fk=")</f>
        <v>#REF!</v>
      </c>
      <c r="IQ43" t="e">
        <f>AND('Show Info'!#REF!,"AAAAAH/+/fo=")</f>
        <v>#REF!</v>
      </c>
      <c r="IR43" t="e">
        <f>AND('Show Info'!#REF!,"AAAAAH/+/fs=")</f>
        <v>#REF!</v>
      </c>
      <c r="IS43" t="e">
        <f>AND('Show Info'!#REF!,"AAAAAH/+/fw=")</f>
        <v>#REF!</v>
      </c>
      <c r="IT43" t="e">
        <f>AND('Show Info'!#REF!,"AAAAAH/+/f0=")</f>
        <v>#REF!</v>
      </c>
      <c r="IU43" t="e">
        <f>AND('Show Info'!#REF!,"AAAAAH/+/f4=")</f>
        <v>#REF!</v>
      </c>
      <c r="IV43" t="e">
        <f>AND('Show Info'!#REF!,"AAAAAH/+/f8=")</f>
        <v>#REF!</v>
      </c>
    </row>
    <row r="44" spans="1:256" x14ac:dyDescent="0.2">
      <c r="A44" t="e">
        <f>AND('Show Info'!#REF!,"AAAAAHba/QA=")</f>
        <v>#REF!</v>
      </c>
      <c r="B44" t="e">
        <f>AND('Show Info'!#REF!,"AAAAAHba/QE=")</f>
        <v>#REF!</v>
      </c>
      <c r="C44" t="e">
        <f>AND('Show Info'!#REF!,"AAAAAHba/QI=")</f>
        <v>#REF!</v>
      </c>
      <c r="D44" t="e">
        <f>AND('Show Info'!#REF!,"AAAAAHba/QM=")</f>
        <v>#REF!</v>
      </c>
      <c r="E44" t="e">
        <f>AND('Show Info'!#REF!,"AAAAAHba/QQ=")</f>
        <v>#REF!</v>
      </c>
      <c r="F44" t="e">
        <f>AND('Show Info'!#REF!,"AAAAAHba/QU=")</f>
        <v>#REF!</v>
      </c>
      <c r="G44" t="e">
        <f>AND('Show Info'!#REF!,"AAAAAHba/QY=")</f>
        <v>#REF!</v>
      </c>
      <c r="H44" t="e">
        <f>AND('Show Info'!#REF!,"AAAAAHba/Qc=")</f>
        <v>#REF!</v>
      </c>
      <c r="I44" t="e">
        <f>AND('Show Info'!#REF!,"AAAAAHba/Qg=")</f>
        <v>#REF!</v>
      </c>
      <c r="J44" t="e">
        <f>AND('Show Info'!#REF!,"AAAAAHba/Qk=")</f>
        <v>#REF!</v>
      </c>
      <c r="K44" t="e">
        <f>AND('Show Info'!#REF!,"AAAAAHba/Qo=")</f>
        <v>#REF!</v>
      </c>
      <c r="L44" t="e">
        <f>AND('Show Info'!#REF!,"AAAAAHba/Qs=")</f>
        <v>#REF!</v>
      </c>
      <c r="M44" t="e">
        <f>AND('Show Info'!#REF!,"AAAAAHba/Qw=")</f>
        <v>#REF!</v>
      </c>
      <c r="N44" t="e">
        <f>AND('Show Info'!#REF!,"AAAAAHba/Q0=")</f>
        <v>#REF!</v>
      </c>
      <c r="O44" t="e">
        <f>AND('Show Info'!#REF!,"AAAAAHba/Q4=")</f>
        <v>#REF!</v>
      </c>
      <c r="P44" t="e">
        <f>IF('Show Info'!#REF!,"AAAAAHba/Q8=",0)</f>
        <v>#REF!</v>
      </c>
      <c r="Q44" t="e">
        <f>AND('Show Info'!#REF!,"AAAAAHba/RA=")</f>
        <v>#REF!</v>
      </c>
      <c r="R44" t="e">
        <f>AND('Show Info'!#REF!,"AAAAAHba/RE=")</f>
        <v>#REF!</v>
      </c>
      <c r="S44" t="e">
        <f>AND('Show Info'!#REF!,"AAAAAHba/RI=")</f>
        <v>#REF!</v>
      </c>
      <c r="T44" t="e">
        <f>AND('Show Info'!#REF!,"AAAAAHba/RM=")</f>
        <v>#REF!</v>
      </c>
      <c r="U44" t="e">
        <f>AND('Show Info'!#REF!,"AAAAAHba/RQ=")</f>
        <v>#REF!</v>
      </c>
      <c r="V44" t="e">
        <f>AND('Show Info'!#REF!,"AAAAAHba/RU=")</f>
        <v>#REF!</v>
      </c>
      <c r="W44" t="e">
        <f>AND('Show Info'!#REF!,"AAAAAHba/RY=")</f>
        <v>#REF!</v>
      </c>
      <c r="X44" t="e">
        <f>AND('Show Info'!#REF!,"AAAAAHba/Rc=")</f>
        <v>#REF!</v>
      </c>
      <c r="Y44" t="e">
        <f>AND('Show Info'!#REF!,"AAAAAHba/Rg=")</f>
        <v>#REF!</v>
      </c>
      <c r="Z44" t="e">
        <f>AND('Show Info'!#REF!,"AAAAAHba/Rk=")</f>
        <v>#REF!</v>
      </c>
      <c r="AA44" t="e">
        <f>AND('Show Info'!#REF!,"AAAAAHba/Ro=")</f>
        <v>#REF!</v>
      </c>
      <c r="AB44" t="e">
        <f>AND('Show Info'!#REF!,"AAAAAHba/Rs=")</f>
        <v>#REF!</v>
      </c>
      <c r="AC44" t="e">
        <f>AND('Show Info'!#REF!,"AAAAAHba/Rw=")</f>
        <v>#REF!</v>
      </c>
      <c r="AD44" t="e">
        <f>AND('Show Info'!#REF!,"AAAAAHba/R0=")</f>
        <v>#REF!</v>
      </c>
      <c r="AE44" t="e">
        <f>AND('Show Info'!#REF!,"AAAAAHba/R4=")</f>
        <v>#REF!</v>
      </c>
      <c r="AF44" t="e">
        <f>AND('Show Info'!#REF!,"AAAAAHba/R8=")</f>
        <v>#REF!</v>
      </c>
      <c r="AG44" t="e">
        <f>AND('Show Info'!#REF!,"AAAAAHba/SA=")</f>
        <v>#REF!</v>
      </c>
      <c r="AH44" t="e">
        <f>AND('Show Info'!#REF!,"AAAAAHba/SE=")</f>
        <v>#REF!</v>
      </c>
      <c r="AI44" t="e">
        <f>AND('Show Info'!#REF!,"AAAAAHba/SI=")</f>
        <v>#REF!</v>
      </c>
      <c r="AJ44" t="e">
        <f>AND('Show Info'!#REF!,"AAAAAHba/SM=")</f>
        <v>#REF!</v>
      </c>
      <c r="AK44" t="e">
        <f>AND('Show Info'!#REF!,"AAAAAHba/SQ=")</f>
        <v>#REF!</v>
      </c>
      <c r="AL44" t="e">
        <f>AND('Show Info'!#REF!,"AAAAAHba/SU=")</f>
        <v>#REF!</v>
      </c>
      <c r="AM44" t="e">
        <f>IF('Show Info'!#REF!,"AAAAAHba/SY=",0)</f>
        <v>#REF!</v>
      </c>
      <c r="AN44" t="e">
        <f>AND('Show Info'!#REF!,"AAAAAHba/Sc=")</f>
        <v>#REF!</v>
      </c>
      <c r="AO44" t="e">
        <f>AND('Show Info'!#REF!,"AAAAAHba/Sg=")</f>
        <v>#REF!</v>
      </c>
      <c r="AP44" t="e">
        <f>AND('Show Info'!#REF!,"AAAAAHba/Sk=")</f>
        <v>#REF!</v>
      </c>
      <c r="AQ44" t="e">
        <f>AND('Show Info'!#REF!,"AAAAAHba/So=")</f>
        <v>#REF!</v>
      </c>
      <c r="AR44" t="e">
        <f>AND('Show Info'!#REF!,"AAAAAHba/Ss=")</f>
        <v>#REF!</v>
      </c>
      <c r="AS44" t="e">
        <f>AND('Show Info'!#REF!,"AAAAAHba/Sw=")</f>
        <v>#REF!</v>
      </c>
      <c r="AT44" t="e">
        <f>AND('Show Info'!#REF!,"AAAAAHba/S0=")</f>
        <v>#REF!</v>
      </c>
      <c r="AU44" t="e">
        <f>AND('Show Info'!#REF!,"AAAAAHba/S4=")</f>
        <v>#REF!</v>
      </c>
      <c r="AV44" t="e">
        <f>AND('Show Info'!#REF!,"AAAAAHba/S8=")</f>
        <v>#REF!</v>
      </c>
      <c r="AW44" t="e">
        <f>AND('Show Info'!#REF!,"AAAAAHba/TA=")</f>
        <v>#REF!</v>
      </c>
      <c r="AX44" t="e">
        <f>AND('Show Info'!#REF!,"AAAAAHba/TE=")</f>
        <v>#REF!</v>
      </c>
      <c r="AY44" t="e">
        <f>AND('Show Info'!#REF!,"AAAAAHba/TI=")</f>
        <v>#REF!</v>
      </c>
      <c r="AZ44" t="e">
        <f>AND('Show Info'!#REF!,"AAAAAHba/TM=")</f>
        <v>#REF!</v>
      </c>
      <c r="BA44" t="e">
        <f>AND('Show Info'!#REF!,"AAAAAHba/TQ=")</f>
        <v>#REF!</v>
      </c>
      <c r="BB44" t="e">
        <f>AND('Show Info'!#REF!,"AAAAAHba/TU=")</f>
        <v>#REF!</v>
      </c>
      <c r="BC44" t="e">
        <f>AND('Show Info'!#REF!,"AAAAAHba/TY=")</f>
        <v>#REF!</v>
      </c>
      <c r="BD44" t="e">
        <f>AND('Show Info'!#REF!,"AAAAAHba/Tc=")</f>
        <v>#REF!</v>
      </c>
      <c r="BE44" t="e">
        <f>AND('Show Info'!#REF!,"AAAAAHba/Tg=")</f>
        <v>#REF!</v>
      </c>
      <c r="BF44" t="e">
        <f>AND('Show Info'!#REF!,"AAAAAHba/Tk=")</f>
        <v>#REF!</v>
      </c>
      <c r="BG44" t="e">
        <f>AND('Show Info'!#REF!,"AAAAAHba/To=")</f>
        <v>#REF!</v>
      </c>
      <c r="BH44" t="e">
        <f>AND('Show Info'!#REF!,"AAAAAHba/Ts=")</f>
        <v>#REF!</v>
      </c>
      <c r="BI44" t="e">
        <f>AND('Show Info'!#REF!,"AAAAAHba/Tw=")</f>
        <v>#REF!</v>
      </c>
      <c r="BJ44" t="e">
        <f>IF('Show Info'!#REF!,"AAAAAHba/T0=",0)</f>
        <v>#REF!</v>
      </c>
      <c r="BK44" t="e">
        <f>AND('Show Info'!#REF!,"AAAAAHba/T4=")</f>
        <v>#REF!</v>
      </c>
      <c r="BL44" t="e">
        <f>AND('Show Info'!#REF!,"AAAAAHba/T8=")</f>
        <v>#REF!</v>
      </c>
      <c r="BM44" t="e">
        <f>AND('Show Info'!#REF!,"AAAAAHba/UA=")</f>
        <v>#REF!</v>
      </c>
      <c r="BN44" t="e">
        <f>AND('Show Info'!#REF!,"AAAAAHba/UE=")</f>
        <v>#REF!</v>
      </c>
      <c r="BO44" t="e">
        <f>AND('Show Info'!#REF!,"AAAAAHba/UI=")</f>
        <v>#REF!</v>
      </c>
      <c r="BP44" t="e">
        <f>AND('Show Info'!#REF!,"AAAAAHba/UM=")</f>
        <v>#REF!</v>
      </c>
      <c r="BQ44" t="e">
        <f>AND('Show Info'!#REF!,"AAAAAHba/UQ=")</f>
        <v>#REF!</v>
      </c>
      <c r="BR44" t="e">
        <f>AND('Show Info'!#REF!,"AAAAAHba/UU=")</f>
        <v>#REF!</v>
      </c>
      <c r="BS44" t="e">
        <f>AND('Show Info'!#REF!,"AAAAAHba/UY=")</f>
        <v>#REF!</v>
      </c>
      <c r="BT44" t="e">
        <f>AND('Show Info'!#REF!,"AAAAAHba/Uc=")</f>
        <v>#REF!</v>
      </c>
      <c r="BU44" t="e">
        <f>AND('Show Info'!#REF!,"AAAAAHba/Ug=")</f>
        <v>#REF!</v>
      </c>
      <c r="BV44" t="e">
        <f>AND('Show Info'!#REF!,"AAAAAHba/Uk=")</f>
        <v>#REF!</v>
      </c>
      <c r="BW44" t="e">
        <f>AND('Show Info'!#REF!,"AAAAAHba/Uo=")</f>
        <v>#REF!</v>
      </c>
      <c r="BX44" t="e">
        <f>AND('Show Info'!#REF!,"AAAAAHba/Us=")</f>
        <v>#REF!</v>
      </c>
      <c r="BY44" t="e">
        <f>AND('Show Info'!#REF!,"AAAAAHba/Uw=")</f>
        <v>#REF!</v>
      </c>
      <c r="BZ44" t="e">
        <f>AND('Show Info'!#REF!,"AAAAAHba/U0=")</f>
        <v>#REF!</v>
      </c>
      <c r="CA44" t="e">
        <f>AND('Show Info'!#REF!,"AAAAAHba/U4=")</f>
        <v>#REF!</v>
      </c>
      <c r="CB44" t="e">
        <f>AND('Show Info'!#REF!,"AAAAAHba/U8=")</f>
        <v>#REF!</v>
      </c>
      <c r="CC44" t="e">
        <f>AND('Show Info'!#REF!,"AAAAAHba/VA=")</f>
        <v>#REF!</v>
      </c>
      <c r="CD44" t="e">
        <f>AND('Show Info'!#REF!,"AAAAAHba/VE=")</f>
        <v>#REF!</v>
      </c>
      <c r="CE44" t="e">
        <f>AND('Show Info'!#REF!,"AAAAAHba/VI=")</f>
        <v>#REF!</v>
      </c>
      <c r="CF44" t="e">
        <f>AND('Show Info'!#REF!,"AAAAAHba/VM=")</f>
        <v>#REF!</v>
      </c>
      <c r="CG44" t="e">
        <f>IF('Show Info'!#REF!,"AAAAAHba/VQ=",0)</f>
        <v>#REF!</v>
      </c>
      <c r="CH44" t="e">
        <f>AND('Show Info'!#REF!,"AAAAAHba/VU=")</f>
        <v>#REF!</v>
      </c>
      <c r="CI44" t="e">
        <f>AND('Show Info'!#REF!,"AAAAAHba/VY=")</f>
        <v>#REF!</v>
      </c>
      <c r="CJ44" t="e">
        <f>AND('Show Info'!#REF!,"AAAAAHba/Vc=")</f>
        <v>#REF!</v>
      </c>
      <c r="CK44" t="e">
        <f>AND('Show Info'!#REF!,"AAAAAHba/Vg=")</f>
        <v>#REF!</v>
      </c>
      <c r="CL44" t="e">
        <f>AND('Show Info'!#REF!,"AAAAAHba/Vk=")</f>
        <v>#REF!</v>
      </c>
      <c r="CM44" t="e">
        <f>AND('Show Info'!#REF!,"AAAAAHba/Vo=")</f>
        <v>#REF!</v>
      </c>
      <c r="CN44" t="e">
        <f>AND('Show Info'!#REF!,"AAAAAHba/Vs=")</f>
        <v>#REF!</v>
      </c>
      <c r="CO44" t="e">
        <f>AND('Show Info'!#REF!,"AAAAAHba/Vw=")</f>
        <v>#REF!</v>
      </c>
      <c r="CP44" t="e">
        <f>AND('Show Info'!#REF!,"AAAAAHba/V0=")</f>
        <v>#REF!</v>
      </c>
      <c r="CQ44" t="e">
        <f>AND('Show Info'!#REF!,"AAAAAHba/V4=")</f>
        <v>#REF!</v>
      </c>
      <c r="CR44" t="e">
        <f>AND('Show Info'!#REF!,"AAAAAHba/V8=")</f>
        <v>#REF!</v>
      </c>
      <c r="CS44" t="e">
        <f>AND('Show Info'!#REF!,"AAAAAHba/WA=")</f>
        <v>#REF!</v>
      </c>
      <c r="CT44" t="e">
        <f>AND('Show Info'!#REF!,"AAAAAHba/WE=")</f>
        <v>#REF!</v>
      </c>
      <c r="CU44" t="e">
        <f>AND('Show Info'!#REF!,"AAAAAHba/WI=")</f>
        <v>#REF!</v>
      </c>
      <c r="CV44" t="e">
        <f>AND('Show Info'!#REF!,"AAAAAHba/WM=")</f>
        <v>#REF!</v>
      </c>
      <c r="CW44" t="e">
        <f>AND('Show Info'!#REF!,"AAAAAHba/WQ=")</f>
        <v>#REF!</v>
      </c>
      <c r="CX44" t="e">
        <f>AND('Show Info'!#REF!,"AAAAAHba/WU=")</f>
        <v>#REF!</v>
      </c>
      <c r="CY44" t="e">
        <f>AND('Show Info'!#REF!,"AAAAAHba/WY=")</f>
        <v>#REF!</v>
      </c>
      <c r="CZ44" t="e">
        <f>AND('Show Info'!#REF!,"AAAAAHba/Wc=")</f>
        <v>#REF!</v>
      </c>
      <c r="DA44" t="e">
        <f>AND('Show Info'!#REF!,"AAAAAHba/Wg=")</f>
        <v>#REF!</v>
      </c>
      <c r="DB44" t="e">
        <f>AND('Show Info'!#REF!,"AAAAAHba/Wk=")</f>
        <v>#REF!</v>
      </c>
      <c r="DC44" t="e">
        <f>AND('Show Info'!#REF!,"AAAAAHba/Wo=")</f>
        <v>#REF!</v>
      </c>
      <c r="DD44" t="e">
        <f>IF('Show Info'!#REF!,"AAAAAHba/Ws=",0)</f>
        <v>#REF!</v>
      </c>
      <c r="DE44" t="e">
        <f>AND('Show Info'!#REF!,"AAAAAHba/Ww=")</f>
        <v>#REF!</v>
      </c>
      <c r="DF44" t="e">
        <f>AND('Show Info'!#REF!,"AAAAAHba/W0=")</f>
        <v>#REF!</v>
      </c>
      <c r="DG44" t="e">
        <f>AND('Show Info'!#REF!,"AAAAAHba/W4=")</f>
        <v>#REF!</v>
      </c>
      <c r="DH44" t="e">
        <f>AND('Show Info'!#REF!,"AAAAAHba/W8=")</f>
        <v>#REF!</v>
      </c>
      <c r="DI44" t="e">
        <f>AND('Show Info'!#REF!,"AAAAAHba/XA=")</f>
        <v>#REF!</v>
      </c>
      <c r="DJ44" t="e">
        <f>AND('Show Info'!#REF!,"AAAAAHba/XE=")</f>
        <v>#REF!</v>
      </c>
      <c r="DK44" t="e">
        <f>AND('Show Info'!#REF!,"AAAAAHba/XI=")</f>
        <v>#REF!</v>
      </c>
      <c r="DL44" t="e">
        <f>AND('Show Info'!#REF!,"AAAAAHba/XM=")</f>
        <v>#REF!</v>
      </c>
      <c r="DM44" t="e">
        <f>AND('Show Info'!#REF!,"AAAAAHba/XQ=")</f>
        <v>#REF!</v>
      </c>
      <c r="DN44" t="e">
        <f>AND('Show Info'!#REF!,"AAAAAHba/XU=")</f>
        <v>#REF!</v>
      </c>
      <c r="DO44" t="e">
        <f>AND('Show Info'!#REF!,"AAAAAHba/XY=")</f>
        <v>#REF!</v>
      </c>
      <c r="DP44" t="e">
        <f>AND('Show Info'!#REF!,"AAAAAHba/Xc=")</f>
        <v>#REF!</v>
      </c>
      <c r="DQ44" t="e">
        <f>AND('Show Info'!#REF!,"AAAAAHba/Xg=")</f>
        <v>#REF!</v>
      </c>
      <c r="DR44" t="e">
        <f>AND('Show Info'!#REF!,"AAAAAHba/Xk=")</f>
        <v>#REF!</v>
      </c>
      <c r="DS44" t="e">
        <f>AND('Show Info'!#REF!,"AAAAAHba/Xo=")</f>
        <v>#REF!</v>
      </c>
      <c r="DT44" t="e">
        <f>AND('Show Info'!#REF!,"AAAAAHba/Xs=")</f>
        <v>#REF!</v>
      </c>
      <c r="DU44" t="e">
        <f>AND('Show Info'!#REF!,"AAAAAHba/Xw=")</f>
        <v>#REF!</v>
      </c>
      <c r="DV44" t="e">
        <f>AND('Show Info'!#REF!,"AAAAAHba/X0=")</f>
        <v>#REF!</v>
      </c>
      <c r="DW44" t="e">
        <f>AND('Show Info'!#REF!,"AAAAAHba/X4=")</f>
        <v>#REF!</v>
      </c>
      <c r="DX44" t="e">
        <f>AND('Show Info'!#REF!,"AAAAAHba/X8=")</f>
        <v>#REF!</v>
      </c>
      <c r="DY44" t="e">
        <f>AND('Show Info'!#REF!,"AAAAAHba/YA=")</f>
        <v>#REF!</v>
      </c>
      <c r="DZ44" t="e">
        <f>AND('Show Info'!#REF!,"AAAAAHba/YE=")</f>
        <v>#REF!</v>
      </c>
      <c r="EA44" t="e">
        <f>IF('Show Info'!#REF!,"AAAAAHba/YI=",0)</f>
        <v>#REF!</v>
      </c>
      <c r="EB44" t="e">
        <f>AND('Show Info'!#REF!,"AAAAAHba/YM=")</f>
        <v>#REF!</v>
      </c>
      <c r="EC44" t="e">
        <f>AND('Show Info'!#REF!,"AAAAAHba/YQ=")</f>
        <v>#REF!</v>
      </c>
      <c r="ED44" t="e">
        <f>AND('Show Info'!#REF!,"AAAAAHba/YU=")</f>
        <v>#REF!</v>
      </c>
      <c r="EE44" t="e">
        <f>AND('Show Info'!#REF!,"AAAAAHba/YY=")</f>
        <v>#REF!</v>
      </c>
      <c r="EF44" t="e">
        <f>AND('Show Info'!#REF!,"AAAAAHba/Yc=")</f>
        <v>#REF!</v>
      </c>
      <c r="EG44" t="e">
        <f>AND('Show Info'!#REF!,"AAAAAHba/Yg=")</f>
        <v>#REF!</v>
      </c>
      <c r="EH44" t="e">
        <f>AND('Show Info'!#REF!,"AAAAAHba/Yk=")</f>
        <v>#REF!</v>
      </c>
      <c r="EI44" t="e">
        <f>AND('Show Info'!#REF!,"AAAAAHba/Yo=")</f>
        <v>#REF!</v>
      </c>
      <c r="EJ44" t="e">
        <f>AND('Show Info'!#REF!,"AAAAAHba/Ys=")</f>
        <v>#REF!</v>
      </c>
      <c r="EK44" t="e">
        <f>AND('Show Info'!#REF!,"AAAAAHba/Yw=")</f>
        <v>#REF!</v>
      </c>
      <c r="EL44" t="e">
        <f>AND('Show Info'!#REF!,"AAAAAHba/Y0=")</f>
        <v>#REF!</v>
      </c>
      <c r="EM44" t="e">
        <f>AND('Show Info'!#REF!,"AAAAAHba/Y4=")</f>
        <v>#REF!</v>
      </c>
      <c r="EN44" t="e">
        <f>AND('Show Info'!#REF!,"AAAAAHba/Y8=")</f>
        <v>#REF!</v>
      </c>
      <c r="EO44" t="e">
        <f>AND('Show Info'!#REF!,"AAAAAHba/ZA=")</f>
        <v>#REF!</v>
      </c>
      <c r="EP44" t="e">
        <f>AND('Show Info'!#REF!,"AAAAAHba/ZE=")</f>
        <v>#REF!</v>
      </c>
      <c r="EQ44" t="e">
        <f>AND('Show Info'!#REF!,"AAAAAHba/ZI=")</f>
        <v>#REF!</v>
      </c>
      <c r="ER44" t="e">
        <f>AND('Show Info'!#REF!,"AAAAAHba/ZM=")</f>
        <v>#REF!</v>
      </c>
      <c r="ES44" t="e">
        <f>AND('Show Info'!#REF!,"AAAAAHba/ZQ=")</f>
        <v>#REF!</v>
      </c>
      <c r="ET44" t="e">
        <f>AND('Show Info'!#REF!,"AAAAAHba/ZU=")</f>
        <v>#REF!</v>
      </c>
      <c r="EU44" t="e">
        <f>AND('Show Info'!#REF!,"AAAAAHba/ZY=")</f>
        <v>#REF!</v>
      </c>
      <c r="EV44" t="e">
        <f>AND('Show Info'!#REF!,"AAAAAHba/Zc=")</f>
        <v>#REF!</v>
      </c>
      <c r="EW44" t="e">
        <f>AND('Show Info'!#REF!,"AAAAAHba/Zg=")</f>
        <v>#REF!</v>
      </c>
      <c r="EX44" t="e">
        <f>IF('Show Info'!#REF!,"AAAAAHba/Zk=",0)</f>
        <v>#REF!</v>
      </c>
      <c r="EY44" t="e">
        <f>AND('Show Info'!#REF!,"AAAAAHba/Zo=")</f>
        <v>#REF!</v>
      </c>
      <c r="EZ44" t="e">
        <f>AND('Show Info'!#REF!,"AAAAAHba/Zs=")</f>
        <v>#REF!</v>
      </c>
      <c r="FA44" t="e">
        <f>AND('Show Info'!#REF!,"AAAAAHba/Zw=")</f>
        <v>#REF!</v>
      </c>
      <c r="FB44" t="e">
        <f>AND('Show Info'!#REF!,"AAAAAHba/Z0=")</f>
        <v>#REF!</v>
      </c>
      <c r="FC44" t="e">
        <f>AND('Show Info'!#REF!,"AAAAAHba/Z4=")</f>
        <v>#REF!</v>
      </c>
      <c r="FD44" t="e">
        <f>AND('Show Info'!#REF!,"AAAAAHba/Z8=")</f>
        <v>#REF!</v>
      </c>
      <c r="FE44" t="e">
        <f>AND('Show Info'!#REF!,"AAAAAHba/aA=")</f>
        <v>#REF!</v>
      </c>
      <c r="FF44" t="e">
        <f>AND('Show Info'!#REF!,"AAAAAHba/aE=")</f>
        <v>#REF!</v>
      </c>
      <c r="FG44" t="e">
        <f>AND('Show Info'!#REF!,"AAAAAHba/aI=")</f>
        <v>#REF!</v>
      </c>
      <c r="FH44" t="e">
        <f>AND('Show Info'!#REF!,"AAAAAHba/aM=")</f>
        <v>#REF!</v>
      </c>
      <c r="FI44" t="e">
        <f>AND('Show Info'!#REF!,"AAAAAHba/aQ=")</f>
        <v>#REF!</v>
      </c>
      <c r="FJ44" t="e">
        <f>AND('Show Info'!#REF!,"AAAAAHba/aU=")</f>
        <v>#REF!</v>
      </c>
      <c r="FK44" t="e">
        <f>AND('Show Info'!#REF!,"AAAAAHba/aY=")</f>
        <v>#REF!</v>
      </c>
      <c r="FL44" t="e">
        <f>AND('Show Info'!#REF!,"AAAAAHba/ac=")</f>
        <v>#REF!</v>
      </c>
      <c r="FM44" t="e">
        <f>AND('Show Info'!#REF!,"AAAAAHba/ag=")</f>
        <v>#REF!</v>
      </c>
      <c r="FN44" t="e">
        <f>AND('Show Info'!#REF!,"AAAAAHba/ak=")</f>
        <v>#REF!</v>
      </c>
      <c r="FO44" t="e">
        <f>AND('Show Info'!#REF!,"AAAAAHba/ao=")</f>
        <v>#REF!</v>
      </c>
      <c r="FP44" t="e">
        <f>AND('Show Info'!#REF!,"AAAAAHba/as=")</f>
        <v>#REF!</v>
      </c>
      <c r="FQ44" t="e">
        <f>AND('Show Info'!#REF!,"AAAAAHba/aw=")</f>
        <v>#REF!</v>
      </c>
      <c r="FR44" t="e">
        <f>AND('Show Info'!#REF!,"AAAAAHba/a0=")</f>
        <v>#REF!</v>
      </c>
      <c r="FS44" t="e">
        <f>AND('Show Info'!#REF!,"AAAAAHba/a4=")</f>
        <v>#REF!</v>
      </c>
      <c r="FT44" t="e">
        <f>AND('Show Info'!#REF!,"AAAAAHba/a8=")</f>
        <v>#REF!</v>
      </c>
      <c r="FU44" t="e">
        <f>IF('Show Info'!#REF!,"AAAAAHba/bA=",0)</f>
        <v>#REF!</v>
      </c>
      <c r="FV44" t="e">
        <f>AND('Show Info'!#REF!,"AAAAAHba/bE=")</f>
        <v>#REF!</v>
      </c>
      <c r="FW44" t="e">
        <f>AND('Show Info'!#REF!,"AAAAAHba/bI=")</f>
        <v>#REF!</v>
      </c>
      <c r="FX44" t="e">
        <f>AND('Show Info'!#REF!,"AAAAAHba/bM=")</f>
        <v>#REF!</v>
      </c>
      <c r="FY44" t="e">
        <f>AND('Show Info'!#REF!,"AAAAAHba/bQ=")</f>
        <v>#REF!</v>
      </c>
      <c r="FZ44" t="e">
        <f>AND('Show Info'!#REF!,"AAAAAHba/bU=")</f>
        <v>#REF!</v>
      </c>
      <c r="GA44" t="e">
        <f>AND('Show Info'!#REF!,"AAAAAHba/bY=")</f>
        <v>#REF!</v>
      </c>
      <c r="GB44" t="e">
        <f>AND('Show Info'!#REF!,"AAAAAHba/bc=")</f>
        <v>#REF!</v>
      </c>
      <c r="GC44" t="e">
        <f>AND('Show Info'!#REF!,"AAAAAHba/bg=")</f>
        <v>#REF!</v>
      </c>
      <c r="GD44" t="e">
        <f>AND('Show Info'!#REF!,"AAAAAHba/bk=")</f>
        <v>#REF!</v>
      </c>
      <c r="GE44" t="e">
        <f>AND('Show Info'!#REF!,"AAAAAHba/bo=")</f>
        <v>#REF!</v>
      </c>
      <c r="GF44" t="e">
        <f>AND('Show Info'!#REF!,"AAAAAHba/bs=")</f>
        <v>#REF!</v>
      </c>
      <c r="GG44" t="e">
        <f>AND('Show Info'!#REF!,"AAAAAHba/bw=")</f>
        <v>#REF!</v>
      </c>
      <c r="GH44" t="e">
        <f>AND('Show Info'!#REF!,"AAAAAHba/b0=")</f>
        <v>#REF!</v>
      </c>
      <c r="GI44" t="e">
        <f>AND('Show Info'!#REF!,"AAAAAHba/b4=")</f>
        <v>#REF!</v>
      </c>
      <c r="GJ44" t="e">
        <f>AND('Show Info'!#REF!,"AAAAAHba/b8=")</f>
        <v>#REF!</v>
      </c>
      <c r="GK44" t="e">
        <f>AND('Show Info'!#REF!,"AAAAAHba/cA=")</f>
        <v>#REF!</v>
      </c>
      <c r="GL44" t="e">
        <f>AND('Show Info'!#REF!,"AAAAAHba/cE=")</f>
        <v>#REF!</v>
      </c>
      <c r="GM44" t="e">
        <f>AND('Show Info'!#REF!,"AAAAAHba/cI=")</f>
        <v>#REF!</v>
      </c>
      <c r="GN44" t="e">
        <f>AND('Show Info'!#REF!,"AAAAAHba/cM=")</f>
        <v>#REF!</v>
      </c>
      <c r="GO44" t="e">
        <f>AND('Show Info'!#REF!,"AAAAAHba/cQ=")</f>
        <v>#REF!</v>
      </c>
      <c r="GP44" t="e">
        <f>AND('Show Info'!#REF!,"AAAAAHba/cU=")</f>
        <v>#REF!</v>
      </c>
      <c r="GQ44" t="e">
        <f>AND('Show Info'!#REF!,"AAAAAHba/cY=")</f>
        <v>#REF!</v>
      </c>
      <c r="GR44" t="e">
        <f>IF('Show Info'!#REF!,"AAAAAHba/cc=",0)</f>
        <v>#REF!</v>
      </c>
      <c r="GS44" t="e">
        <f>AND('Show Info'!#REF!,"AAAAAHba/cg=")</f>
        <v>#REF!</v>
      </c>
      <c r="GT44" t="e">
        <f>AND('Show Info'!#REF!,"AAAAAHba/ck=")</f>
        <v>#REF!</v>
      </c>
      <c r="GU44" t="e">
        <f>AND('Show Info'!#REF!,"AAAAAHba/co=")</f>
        <v>#REF!</v>
      </c>
      <c r="GV44" t="e">
        <f>AND('Show Info'!#REF!,"AAAAAHba/cs=")</f>
        <v>#REF!</v>
      </c>
      <c r="GW44" t="e">
        <f>AND('Show Info'!#REF!,"AAAAAHba/cw=")</f>
        <v>#REF!</v>
      </c>
      <c r="GX44" t="e">
        <f>AND('Show Info'!#REF!,"AAAAAHba/c0=")</f>
        <v>#REF!</v>
      </c>
      <c r="GY44" t="e">
        <f>AND('Show Info'!#REF!,"AAAAAHba/c4=")</f>
        <v>#REF!</v>
      </c>
      <c r="GZ44" t="e">
        <f>AND('Show Info'!#REF!,"AAAAAHba/c8=")</f>
        <v>#REF!</v>
      </c>
      <c r="HA44" t="e">
        <f>AND('Show Info'!#REF!,"AAAAAHba/dA=")</f>
        <v>#REF!</v>
      </c>
      <c r="HB44" t="e">
        <f>AND('Show Info'!#REF!,"AAAAAHba/dE=")</f>
        <v>#REF!</v>
      </c>
      <c r="HC44" t="e">
        <f>AND('Show Info'!#REF!,"AAAAAHba/dI=")</f>
        <v>#REF!</v>
      </c>
      <c r="HD44" t="e">
        <f>AND('Show Info'!#REF!,"AAAAAHba/dM=")</f>
        <v>#REF!</v>
      </c>
      <c r="HE44" t="e">
        <f>AND('Show Info'!#REF!,"AAAAAHba/dQ=")</f>
        <v>#REF!</v>
      </c>
      <c r="HF44" t="e">
        <f>AND('Show Info'!#REF!,"AAAAAHba/dU=")</f>
        <v>#REF!</v>
      </c>
      <c r="HG44" t="e">
        <f>AND('Show Info'!#REF!,"AAAAAHba/dY=")</f>
        <v>#REF!</v>
      </c>
      <c r="HH44" t="e">
        <f>AND('Show Info'!#REF!,"AAAAAHba/dc=")</f>
        <v>#REF!</v>
      </c>
      <c r="HI44" t="e">
        <f>AND('Show Info'!#REF!,"AAAAAHba/dg=")</f>
        <v>#REF!</v>
      </c>
      <c r="HJ44" t="e">
        <f>AND('Show Info'!#REF!,"AAAAAHba/dk=")</f>
        <v>#REF!</v>
      </c>
      <c r="HK44" t="e">
        <f>AND('Show Info'!#REF!,"AAAAAHba/do=")</f>
        <v>#REF!</v>
      </c>
      <c r="HL44" t="e">
        <f>AND('Show Info'!#REF!,"AAAAAHba/ds=")</f>
        <v>#REF!</v>
      </c>
      <c r="HM44" t="e">
        <f>AND('Show Info'!#REF!,"AAAAAHba/dw=")</f>
        <v>#REF!</v>
      </c>
      <c r="HN44" t="e">
        <f>AND('Show Info'!#REF!,"AAAAAHba/d0=")</f>
        <v>#REF!</v>
      </c>
      <c r="HO44" t="e">
        <f>IF('Show Info'!#REF!,"AAAAAHba/d4=",0)</f>
        <v>#REF!</v>
      </c>
      <c r="HP44" t="e">
        <f>AND('Show Info'!#REF!,"AAAAAHba/d8=")</f>
        <v>#REF!</v>
      </c>
      <c r="HQ44" t="e">
        <f>AND('Show Info'!#REF!,"AAAAAHba/eA=")</f>
        <v>#REF!</v>
      </c>
      <c r="HR44" t="e">
        <f>AND('Show Info'!#REF!,"AAAAAHba/eE=")</f>
        <v>#REF!</v>
      </c>
      <c r="HS44" t="e">
        <f>AND('Show Info'!#REF!,"AAAAAHba/eI=")</f>
        <v>#REF!</v>
      </c>
      <c r="HT44" t="e">
        <f>AND('Show Info'!#REF!,"AAAAAHba/eM=")</f>
        <v>#REF!</v>
      </c>
      <c r="HU44" t="e">
        <f>AND('Show Info'!#REF!,"AAAAAHba/eQ=")</f>
        <v>#REF!</v>
      </c>
      <c r="HV44" t="e">
        <f>AND('Show Info'!#REF!,"AAAAAHba/eU=")</f>
        <v>#REF!</v>
      </c>
      <c r="HW44" t="e">
        <f>AND('Show Info'!#REF!,"AAAAAHba/eY=")</f>
        <v>#REF!</v>
      </c>
      <c r="HX44" t="e">
        <f>AND('Show Info'!#REF!,"AAAAAHba/ec=")</f>
        <v>#REF!</v>
      </c>
      <c r="HY44" t="e">
        <f>AND('Show Info'!#REF!,"AAAAAHba/eg=")</f>
        <v>#REF!</v>
      </c>
      <c r="HZ44" t="e">
        <f>AND('Show Info'!#REF!,"AAAAAHba/ek=")</f>
        <v>#REF!</v>
      </c>
      <c r="IA44" t="e">
        <f>AND('Show Info'!#REF!,"AAAAAHba/eo=")</f>
        <v>#REF!</v>
      </c>
      <c r="IB44" t="e">
        <f>AND('Show Info'!#REF!,"AAAAAHba/es=")</f>
        <v>#REF!</v>
      </c>
      <c r="IC44" t="e">
        <f>AND('Show Info'!#REF!,"AAAAAHba/ew=")</f>
        <v>#REF!</v>
      </c>
      <c r="ID44" t="e">
        <f>AND('Show Info'!#REF!,"AAAAAHba/e0=")</f>
        <v>#REF!</v>
      </c>
      <c r="IE44" t="e">
        <f>AND('Show Info'!#REF!,"AAAAAHba/e4=")</f>
        <v>#REF!</v>
      </c>
      <c r="IF44" t="e">
        <f>AND('Show Info'!#REF!,"AAAAAHba/e8=")</f>
        <v>#REF!</v>
      </c>
      <c r="IG44" t="e">
        <f>AND('Show Info'!#REF!,"AAAAAHba/fA=")</f>
        <v>#REF!</v>
      </c>
      <c r="IH44" t="e">
        <f>AND('Show Info'!#REF!,"AAAAAHba/fE=")</f>
        <v>#REF!</v>
      </c>
      <c r="II44" t="e">
        <f>AND('Show Info'!#REF!,"AAAAAHba/fI=")</f>
        <v>#REF!</v>
      </c>
      <c r="IJ44" t="e">
        <f>AND('Show Info'!#REF!,"AAAAAHba/fM=")</f>
        <v>#REF!</v>
      </c>
      <c r="IK44" t="e">
        <f>AND('Show Info'!#REF!,"AAAAAHba/fQ=")</f>
        <v>#REF!</v>
      </c>
      <c r="IL44" t="e">
        <f>IF('Show Info'!#REF!,"AAAAAHba/fU=",0)</f>
        <v>#REF!</v>
      </c>
      <c r="IM44" t="e">
        <f>AND('Show Info'!#REF!,"AAAAAHba/fY=")</f>
        <v>#REF!</v>
      </c>
      <c r="IN44" t="e">
        <f>AND('Show Info'!#REF!,"AAAAAHba/fc=")</f>
        <v>#REF!</v>
      </c>
      <c r="IO44" t="e">
        <f>AND('Show Info'!#REF!,"AAAAAHba/fg=")</f>
        <v>#REF!</v>
      </c>
      <c r="IP44" t="e">
        <f>AND('Show Info'!#REF!,"AAAAAHba/fk=")</f>
        <v>#REF!</v>
      </c>
      <c r="IQ44" t="e">
        <f>AND('Show Info'!#REF!,"AAAAAHba/fo=")</f>
        <v>#REF!</v>
      </c>
      <c r="IR44" t="e">
        <f>AND('Show Info'!#REF!,"AAAAAHba/fs=")</f>
        <v>#REF!</v>
      </c>
      <c r="IS44" t="e">
        <f>AND('Show Info'!#REF!,"AAAAAHba/fw=")</f>
        <v>#REF!</v>
      </c>
      <c r="IT44" t="e">
        <f>AND('Show Info'!#REF!,"AAAAAHba/f0=")</f>
        <v>#REF!</v>
      </c>
      <c r="IU44" t="e">
        <f>AND('Show Info'!#REF!,"AAAAAHba/f4=")</f>
        <v>#REF!</v>
      </c>
      <c r="IV44" t="e">
        <f>AND('Show Info'!#REF!,"AAAAAHba/f8=")</f>
        <v>#REF!</v>
      </c>
    </row>
    <row r="45" spans="1:256" x14ac:dyDescent="0.2">
      <c r="A45" t="e">
        <f>AND('Show Info'!#REF!,"AAAAAG/71wA=")</f>
        <v>#REF!</v>
      </c>
      <c r="B45" t="e">
        <f>AND('Show Info'!#REF!,"AAAAAG/71wE=")</f>
        <v>#REF!</v>
      </c>
      <c r="C45" t="e">
        <f>AND('Show Info'!#REF!,"AAAAAG/71wI=")</f>
        <v>#REF!</v>
      </c>
      <c r="D45" t="e">
        <f>AND('Show Info'!#REF!,"AAAAAG/71wM=")</f>
        <v>#REF!</v>
      </c>
      <c r="E45" t="e">
        <f>AND('Show Info'!#REF!,"AAAAAG/71wQ=")</f>
        <v>#REF!</v>
      </c>
      <c r="F45" t="e">
        <f>AND('Show Info'!#REF!,"AAAAAG/71wU=")</f>
        <v>#REF!</v>
      </c>
      <c r="G45" t="e">
        <f>AND('Show Info'!#REF!,"AAAAAG/71wY=")</f>
        <v>#REF!</v>
      </c>
      <c r="H45" t="e">
        <f>AND('Show Info'!#REF!,"AAAAAG/71wc=")</f>
        <v>#REF!</v>
      </c>
      <c r="I45" t="e">
        <f>AND('Show Info'!#REF!,"AAAAAG/71wg=")</f>
        <v>#REF!</v>
      </c>
      <c r="J45" t="e">
        <f>AND('Show Info'!#REF!,"AAAAAG/71wk=")</f>
        <v>#REF!</v>
      </c>
      <c r="K45" t="e">
        <f>AND('Show Info'!#REF!,"AAAAAG/71wo=")</f>
        <v>#REF!</v>
      </c>
      <c r="L45" t="e">
        <f>AND('Show Info'!#REF!,"AAAAAG/71ws=")</f>
        <v>#REF!</v>
      </c>
      <c r="M45" t="e">
        <f>IF('Show Info'!#REF!,"AAAAAG/71ww=",0)</f>
        <v>#REF!</v>
      </c>
      <c r="N45" t="e">
        <f>AND('Show Info'!#REF!,"AAAAAG/71w0=")</f>
        <v>#REF!</v>
      </c>
      <c r="O45" t="e">
        <f>AND('Show Info'!#REF!,"AAAAAG/71w4=")</f>
        <v>#REF!</v>
      </c>
      <c r="P45" t="e">
        <f>AND('Show Info'!#REF!,"AAAAAG/71w8=")</f>
        <v>#REF!</v>
      </c>
      <c r="Q45" t="e">
        <f>AND('Show Info'!#REF!,"AAAAAG/71xA=")</f>
        <v>#REF!</v>
      </c>
      <c r="R45" t="e">
        <f>AND('Show Info'!#REF!,"AAAAAG/71xE=")</f>
        <v>#REF!</v>
      </c>
      <c r="S45" t="e">
        <f>AND('Show Info'!#REF!,"AAAAAG/71xI=")</f>
        <v>#REF!</v>
      </c>
      <c r="T45" t="e">
        <f>AND('Show Info'!#REF!,"AAAAAG/71xM=")</f>
        <v>#REF!</v>
      </c>
      <c r="U45" t="e">
        <f>AND('Show Info'!#REF!,"AAAAAG/71xQ=")</f>
        <v>#REF!</v>
      </c>
      <c r="V45" t="e">
        <f>AND('Show Info'!#REF!,"AAAAAG/71xU=")</f>
        <v>#REF!</v>
      </c>
      <c r="W45" t="e">
        <f>AND('Show Info'!#REF!,"AAAAAG/71xY=")</f>
        <v>#REF!</v>
      </c>
      <c r="X45" t="e">
        <f>AND('Show Info'!#REF!,"AAAAAG/71xc=")</f>
        <v>#REF!</v>
      </c>
      <c r="Y45" t="e">
        <f>AND('Show Info'!#REF!,"AAAAAG/71xg=")</f>
        <v>#REF!</v>
      </c>
      <c r="Z45" t="e">
        <f>AND('Show Info'!#REF!,"AAAAAG/71xk=")</f>
        <v>#REF!</v>
      </c>
      <c r="AA45" t="e">
        <f>AND('Show Info'!#REF!,"AAAAAG/71xo=")</f>
        <v>#REF!</v>
      </c>
      <c r="AB45" t="e">
        <f>AND('Show Info'!#REF!,"AAAAAG/71xs=")</f>
        <v>#REF!</v>
      </c>
      <c r="AC45" t="e">
        <f>AND('Show Info'!#REF!,"AAAAAG/71xw=")</f>
        <v>#REF!</v>
      </c>
      <c r="AD45" t="e">
        <f>AND('Show Info'!#REF!,"AAAAAG/71x0=")</f>
        <v>#REF!</v>
      </c>
      <c r="AE45" t="e">
        <f>AND('Show Info'!#REF!,"AAAAAG/71x4=")</f>
        <v>#REF!</v>
      </c>
      <c r="AF45" t="e">
        <f>AND('Show Info'!#REF!,"AAAAAG/71x8=")</f>
        <v>#REF!</v>
      </c>
      <c r="AG45" t="e">
        <f>AND('Show Info'!#REF!,"AAAAAG/71yA=")</f>
        <v>#REF!</v>
      </c>
      <c r="AH45" t="e">
        <f>AND('Show Info'!#REF!,"AAAAAG/71yE=")</f>
        <v>#REF!</v>
      </c>
      <c r="AI45" t="e">
        <f>AND('Show Info'!#REF!,"AAAAAG/71yI=")</f>
        <v>#REF!</v>
      </c>
      <c r="AJ45" t="e">
        <f>IF('Show Info'!#REF!,"AAAAAG/71yM=",0)</f>
        <v>#REF!</v>
      </c>
      <c r="AK45" t="e">
        <f>AND('Show Info'!#REF!,"AAAAAG/71yQ=")</f>
        <v>#REF!</v>
      </c>
      <c r="AL45" t="e">
        <f>AND('Show Info'!#REF!,"AAAAAG/71yU=")</f>
        <v>#REF!</v>
      </c>
      <c r="AM45" t="e">
        <f>AND('Show Info'!#REF!,"AAAAAG/71yY=")</f>
        <v>#REF!</v>
      </c>
      <c r="AN45" t="e">
        <f>AND('Show Info'!#REF!,"AAAAAG/71yc=")</f>
        <v>#REF!</v>
      </c>
      <c r="AO45" t="e">
        <f>AND('Show Info'!#REF!,"AAAAAG/71yg=")</f>
        <v>#REF!</v>
      </c>
      <c r="AP45" t="e">
        <f>AND('Show Info'!#REF!,"AAAAAG/71yk=")</f>
        <v>#REF!</v>
      </c>
      <c r="AQ45" t="e">
        <f>AND('Show Info'!#REF!,"AAAAAG/71yo=")</f>
        <v>#REF!</v>
      </c>
      <c r="AR45" t="e">
        <f>AND('Show Info'!#REF!,"AAAAAG/71ys=")</f>
        <v>#REF!</v>
      </c>
      <c r="AS45" t="e">
        <f>AND('Show Info'!#REF!,"AAAAAG/71yw=")</f>
        <v>#REF!</v>
      </c>
      <c r="AT45" t="e">
        <f>AND('Show Info'!#REF!,"AAAAAG/71y0=")</f>
        <v>#REF!</v>
      </c>
      <c r="AU45" t="e">
        <f>AND('Show Info'!#REF!,"AAAAAG/71y4=")</f>
        <v>#REF!</v>
      </c>
      <c r="AV45" t="e">
        <f>AND('Show Info'!#REF!,"AAAAAG/71y8=")</f>
        <v>#REF!</v>
      </c>
      <c r="AW45" t="e">
        <f>AND('Show Info'!#REF!,"AAAAAG/71zA=")</f>
        <v>#REF!</v>
      </c>
      <c r="AX45" t="e">
        <f>AND('Show Info'!#REF!,"AAAAAG/71zE=")</f>
        <v>#REF!</v>
      </c>
      <c r="AY45" t="e">
        <f>AND('Show Info'!#REF!,"AAAAAG/71zI=")</f>
        <v>#REF!</v>
      </c>
      <c r="AZ45" t="e">
        <f>AND('Show Info'!#REF!,"AAAAAG/71zM=")</f>
        <v>#REF!</v>
      </c>
      <c r="BA45" t="e">
        <f>AND('Show Info'!#REF!,"AAAAAG/71zQ=")</f>
        <v>#REF!</v>
      </c>
      <c r="BB45" t="e">
        <f>AND('Show Info'!#REF!,"AAAAAG/71zU=")</f>
        <v>#REF!</v>
      </c>
      <c r="BC45" t="e">
        <f>AND('Show Info'!#REF!,"AAAAAG/71zY=")</f>
        <v>#REF!</v>
      </c>
      <c r="BD45" t="e">
        <f>AND('Show Info'!#REF!,"AAAAAG/71zc=")</f>
        <v>#REF!</v>
      </c>
      <c r="BE45" t="e">
        <f>AND('Show Info'!#REF!,"AAAAAG/71zg=")</f>
        <v>#REF!</v>
      </c>
      <c r="BF45" t="e">
        <f>AND('Show Info'!#REF!,"AAAAAG/71zk=")</f>
        <v>#REF!</v>
      </c>
      <c r="BG45" t="e">
        <f>IF('Show Info'!#REF!,"AAAAAG/71zo=",0)</f>
        <v>#REF!</v>
      </c>
      <c r="BH45" t="e">
        <f>AND('Show Info'!#REF!,"AAAAAG/71zs=")</f>
        <v>#REF!</v>
      </c>
      <c r="BI45" t="e">
        <f>AND('Show Info'!#REF!,"AAAAAG/71zw=")</f>
        <v>#REF!</v>
      </c>
      <c r="BJ45" t="e">
        <f>AND('Show Info'!#REF!,"AAAAAG/71z0=")</f>
        <v>#REF!</v>
      </c>
      <c r="BK45" t="e">
        <f>AND('Show Info'!#REF!,"AAAAAG/71z4=")</f>
        <v>#REF!</v>
      </c>
      <c r="BL45" t="e">
        <f>AND('Show Info'!#REF!,"AAAAAG/71z8=")</f>
        <v>#REF!</v>
      </c>
      <c r="BM45" t="e">
        <f>AND('Show Info'!#REF!,"AAAAAG/710A=")</f>
        <v>#REF!</v>
      </c>
      <c r="BN45" t="e">
        <f>AND('Show Info'!#REF!,"AAAAAG/710E=")</f>
        <v>#REF!</v>
      </c>
      <c r="BO45" t="e">
        <f>AND('Show Info'!#REF!,"AAAAAG/710I=")</f>
        <v>#REF!</v>
      </c>
      <c r="BP45" t="e">
        <f>AND('Show Info'!#REF!,"AAAAAG/710M=")</f>
        <v>#REF!</v>
      </c>
      <c r="BQ45" t="e">
        <f>AND('Show Info'!#REF!,"AAAAAG/710Q=")</f>
        <v>#REF!</v>
      </c>
      <c r="BR45" t="e">
        <f>AND('Show Info'!#REF!,"AAAAAG/710U=")</f>
        <v>#REF!</v>
      </c>
      <c r="BS45" t="e">
        <f>AND('Show Info'!#REF!,"AAAAAG/710Y=")</f>
        <v>#REF!</v>
      </c>
      <c r="BT45" t="e">
        <f>AND('Show Info'!#REF!,"AAAAAG/710c=")</f>
        <v>#REF!</v>
      </c>
      <c r="BU45" t="e">
        <f>AND('Show Info'!#REF!,"AAAAAG/710g=")</f>
        <v>#REF!</v>
      </c>
      <c r="BV45" t="e">
        <f>AND('Show Info'!#REF!,"AAAAAG/710k=")</f>
        <v>#REF!</v>
      </c>
      <c r="BW45" t="e">
        <f>AND('Show Info'!#REF!,"AAAAAG/710o=")</f>
        <v>#REF!</v>
      </c>
      <c r="BX45" t="e">
        <f>AND('Show Info'!#REF!,"AAAAAG/710s=")</f>
        <v>#REF!</v>
      </c>
      <c r="BY45" t="e">
        <f>AND('Show Info'!#REF!,"AAAAAG/710w=")</f>
        <v>#REF!</v>
      </c>
      <c r="BZ45" t="e">
        <f>AND('Show Info'!#REF!,"AAAAAG/7100=")</f>
        <v>#REF!</v>
      </c>
      <c r="CA45" t="e">
        <f>AND('Show Info'!#REF!,"AAAAAG/7104=")</f>
        <v>#REF!</v>
      </c>
      <c r="CB45" t="e">
        <f>AND('Show Info'!#REF!,"AAAAAG/7108=")</f>
        <v>#REF!</v>
      </c>
      <c r="CC45" t="e">
        <f>AND('Show Info'!#REF!,"AAAAAG/711A=")</f>
        <v>#REF!</v>
      </c>
      <c r="CD45" t="e">
        <f>IF('Show Info'!#REF!,"AAAAAG/711E=",0)</f>
        <v>#REF!</v>
      </c>
      <c r="CE45" t="e">
        <f>AND('Show Info'!#REF!,"AAAAAG/711I=")</f>
        <v>#REF!</v>
      </c>
      <c r="CF45" t="e">
        <f>AND('Show Info'!#REF!,"AAAAAG/711M=")</f>
        <v>#REF!</v>
      </c>
      <c r="CG45" t="e">
        <f>AND('Show Info'!#REF!,"AAAAAG/711Q=")</f>
        <v>#REF!</v>
      </c>
      <c r="CH45" t="e">
        <f>AND('Show Info'!#REF!,"AAAAAG/711U=")</f>
        <v>#REF!</v>
      </c>
      <c r="CI45" t="e">
        <f>AND('Show Info'!#REF!,"AAAAAG/711Y=")</f>
        <v>#REF!</v>
      </c>
      <c r="CJ45" t="e">
        <f>AND('Show Info'!#REF!,"AAAAAG/711c=")</f>
        <v>#REF!</v>
      </c>
      <c r="CK45" t="e">
        <f>AND('Show Info'!#REF!,"AAAAAG/711g=")</f>
        <v>#REF!</v>
      </c>
      <c r="CL45" t="e">
        <f>AND('Show Info'!#REF!,"AAAAAG/711k=")</f>
        <v>#REF!</v>
      </c>
      <c r="CM45" t="e">
        <f>AND('Show Info'!#REF!,"AAAAAG/711o=")</f>
        <v>#REF!</v>
      </c>
      <c r="CN45" t="e">
        <f>AND('Show Info'!#REF!,"AAAAAG/711s=")</f>
        <v>#REF!</v>
      </c>
      <c r="CO45" t="e">
        <f>AND('Show Info'!#REF!,"AAAAAG/711w=")</f>
        <v>#REF!</v>
      </c>
      <c r="CP45" t="e">
        <f>AND('Show Info'!#REF!,"AAAAAG/7110=")</f>
        <v>#REF!</v>
      </c>
      <c r="CQ45" t="e">
        <f>AND('Show Info'!#REF!,"AAAAAG/7114=")</f>
        <v>#REF!</v>
      </c>
      <c r="CR45" t="e">
        <f>AND('Show Info'!#REF!,"AAAAAG/7118=")</f>
        <v>#REF!</v>
      </c>
      <c r="CS45" t="e">
        <f>AND('Show Info'!#REF!,"AAAAAG/712A=")</f>
        <v>#REF!</v>
      </c>
      <c r="CT45" t="e">
        <f>AND('Show Info'!#REF!,"AAAAAG/712E=")</f>
        <v>#REF!</v>
      </c>
      <c r="CU45" t="e">
        <f>AND('Show Info'!#REF!,"AAAAAG/712I=")</f>
        <v>#REF!</v>
      </c>
      <c r="CV45" t="e">
        <f>AND('Show Info'!#REF!,"AAAAAG/712M=")</f>
        <v>#REF!</v>
      </c>
      <c r="CW45" t="e">
        <f>AND('Show Info'!#REF!,"AAAAAG/712Q=")</f>
        <v>#REF!</v>
      </c>
      <c r="CX45" t="e">
        <f>AND('Show Info'!#REF!,"AAAAAG/712U=")</f>
        <v>#REF!</v>
      </c>
      <c r="CY45" t="e">
        <f>AND('Show Info'!#REF!,"AAAAAG/712Y=")</f>
        <v>#REF!</v>
      </c>
      <c r="CZ45" t="e">
        <f>AND('Show Info'!#REF!,"AAAAAG/712c=")</f>
        <v>#REF!</v>
      </c>
      <c r="DA45" t="e">
        <f>IF('Show Info'!#REF!,"AAAAAG/712g=",0)</f>
        <v>#REF!</v>
      </c>
      <c r="DB45" t="e">
        <f>AND('Show Info'!#REF!,"AAAAAG/712k=")</f>
        <v>#REF!</v>
      </c>
      <c r="DC45" t="e">
        <f>AND('Show Info'!#REF!,"AAAAAG/712o=")</f>
        <v>#REF!</v>
      </c>
      <c r="DD45" t="e">
        <f>AND('Show Info'!#REF!,"AAAAAG/712s=")</f>
        <v>#REF!</v>
      </c>
      <c r="DE45" t="e">
        <f>AND('Show Info'!#REF!,"AAAAAG/712w=")</f>
        <v>#REF!</v>
      </c>
      <c r="DF45" t="e">
        <f>AND('Show Info'!#REF!,"AAAAAG/7120=")</f>
        <v>#REF!</v>
      </c>
      <c r="DG45" t="e">
        <f>AND('Show Info'!#REF!,"AAAAAG/7124=")</f>
        <v>#REF!</v>
      </c>
      <c r="DH45" t="e">
        <f>AND('Show Info'!#REF!,"AAAAAG/7128=")</f>
        <v>#REF!</v>
      </c>
      <c r="DI45" t="e">
        <f>AND('Show Info'!#REF!,"AAAAAG/713A=")</f>
        <v>#REF!</v>
      </c>
      <c r="DJ45" t="e">
        <f>AND('Show Info'!#REF!,"AAAAAG/713E=")</f>
        <v>#REF!</v>
      </c>
      <c r="DK45" t="e">
        <f>AND('Show Info'!#REF!,"AAAAAG/713I=")</f>
        <v>#REF!</v>
      </c>
      <c r="DL45" t="e">
        <f>AND('Show Info'!#REF!,"AAAAAG/713M=")</f>
        <v>#REF!</v>
      </c>
      <c r="DM45" t="e">
        <f>AND('Show Info'!#REF!,"AAAAAG/713Q=")</f>
        <v>#REF!</v>
      </c>
      <c r="DN45" t="e">
        <f>AND('Show Info'!#REF!,"AAAAAG/713U=")</f>
        <v>#REF!</v>
      </c>
      <c r="DO45" t="e">
        <f>AND('Show Info'!#REF!,"AAAAAG/713Y=")</f>
        <v>#REF!</v>
      </c>
      <c r="DP45" t="e">
        <f>AND('Show Info'!#REF!,"AAAAAG/713c=")</f>
        <v>#REF!</v>
      </c>
      <c r="DQ45" t="e">
        <f>AND('Show Info'!#REF!,"AAAAAG/713g=")</f>
        <v>#REF!</v>
      </c>
      <c r="DR45" t="e">
        <f>AND('Show Info'!#REF!,"AAAAAG/713k=")</f>
        <v>#REF!</v>
      </c>
      <c r="DS45" t="e">
        <f>AND('Show Info'!#REF!,"AAAAAG/713o=")</f>
        <v>#REF!</v>
      </c>
      <c r="DT45" t="e">
        <f>AND('Show Info'!#REF!,"AAAAAG/713s=")</f>
        <v>#REF!</v>
      </c>
      <c r="DU45" t="e">
        <f>AND('Show Info'!#REF!,"AAAAAG/713w=")</f>
        <v>#REF!</v>
      </c>
      <c r="DV45" t="e">
        <f>AND('Show Info'!#REF!,"AAAAAG/7130=")</f>
        <v>#REF!</v>
      </c>
      <c r="DW45" t="e">
        <f>AND('Show Info'!#REF!,"AAAAAG/7134=")</f>
        <v>#REF!</v>
      </c>
      <c r="DX45" t="e">
        <f>IF('Show Info'!#REF!,"AAAAAG/7138=",0)</f>
        <v>#REF!</v>
      </c>
      <c r="DY45" t="e">
        <f>AND('Show Info'!#REF!,"AAAAAG/714A=")</f>
        <v>#REF!</v>
      </c>
      <c r="DZ45" t="e">
        <f>AND('Show Info'!#REF!,"AAAAAG/714E=")</f>
        <v>#REF!</v>
      </c>
      <c r="EA45" t="e">
        <f>AND('Show Info'!#REF!,"AAAAAG/714I=")</f>
        <v>#REF!</v>
      </c>
      <c r="EB45" t="e">
        <f>AND('Show Info'!#REF!,"AAAAAG/714M=")</f>
        <v>#REF!</v>
      </c>
      <c r="EC45" t="e">
        <f>AND('Show Info'!#REF!,"AAAAAG/714Q=")</f>
        <v>#REF!</v>
      </c>
      <c r="ED45" t="e">
        <f>AND('Show Info'!#REF!,"AAAAAG/714U=")</f>
        <v>#REF!</v>
      </c>
      <c r="EE45" t="e">
        <f>AND('Show Info'!#REF!,"AAAAAG/714Y=")</f>
        <v>#REF!</v>
      </c>
      <c r="EF45" t="e">
        <f>AND('Show Info'!#REF!,"AAAAAG/714c=")</f>
        <v>#REF!</v>
      </c>
      <c r="EG45" t="e">
        <f>AND('Show Info'!#REF!,"AAAAAG/714g=")</f>
        <v>#REF!</v>
      </c>
      <c r="EH45" t="e">
        <f>AND('Show Info'!#REF!,"AAAAAG/714k=")</f>
        <v>#REF!</v>
      </c>
      <c r="EI45" t="e">
        <f>AND('Show Info'!#REF!,"AAAAAG/714o=")</f>
        <v>#REF!</v>
      </c>
      <c r="EJ45" t="e">
        <f>AND('Show Info'!#REF!,"AAAAAG/714s=")</f>
        <v>#REF!</v>
      </c>
      <c r="EK45" t="e">
        <f>AND('Show Info'!#REF!,"AAAAAG/714w=")</f>
        <v>#REF!</v>
      </c>
      <c r="EL45" t="e">
        <f>AND('Show Info'!#REF!,"AAAAAG/7140=")</f>
        <v>#REF!</v>
      </c>
      <c r="EM45" t="e">
        <f>AND('Show Info'!#REF!,"AAAAAG/7144=")</f>
        <v>#REF!</v>
      </c>
      <c r="EN45" t="e">
        <f>AND('Show Info'!#REF!,"AAAAAG/7148=")</f>
        <v>#REF!</v>
      </c>
      <c r="EO45" t="e">
        <f>AND('Show Info'!#REF!,"AAAAAG/715A=")</f>
        <v>#REF!</v>
      </c>
      <c r="EP45" t="e">
        <f>AND('Show Info'!#REF!,"AAAAAG/715E=")</f>
        <v>#REF!</v>
      </c>
      <c r="EQ45" t="e">
        <f>AND('Show Info'!#REF!,"AAAAAG/715I=")</f>
        <v>#REF!</v>
      </c>
      <c r="ER45" t="e">
        <f>AND('Show Info'!#REF!,"AAAAAG/715M=")</f>
        <v>#REF!</v>
      </c>
      <c r="ES45" t="e">
        <f>AND('Show Info'!#REF!,"AAAAAG/715Q=")</f>
        <v>#REF!</v>
      </c>
      <c r="ET45" t="e">
        <f>AND('Show Info'!#REF!,"AAAAAG/715U=")</f>
        <v>#REF!</v>
      </c>
      <c r="EU45" t="e">
        <f>IF('Show Info'!#REF!,"AAAAAG/715Y=",0)</f>
        <v>#REF!</v>
      </c>
      <c r="EV45" t="e">
        <f>AND('Show Info'!#REF!,"AAAAAG/715c=")</f>
        <v>#REF!</v>
      </c>
      <c r="EW45" t="e">
        <f>AND('Show Info'!#REF!,"AAAAAG/715g=")</f>
        <v>#REF!</v>
      </c>
      <c r="EX45" t="e">
        <f>AND('Show Info'!#REF!,"AAAAAG/715k=")</f>
        <v>#REF!</v>
      </c>
      <c r="EY45" t="e">
        <f>AND('Show Info'!#REF!,"AAAAAG/715o=")</f>
        <v>#REF!</v>
      </c>
      <c r="EZ45" t="e">
        <f>AND('Show Info'!#REF!,"AAAAAG/715s=")</f>
        <v>#REF!</v>
      </c>
      <c r="FA45" t="e">
        <f>AND('Show Info'!#REF!,"AAAAAG/715w=")</f>
        <v>#REF!</v>
      </c>
      <c r="FB45" t="e">
        <f>AND('Show Info'!#REF!,"AAAAAG/7150=")</f>
        <v>#REF!</v>
      </c>
      <c r="FC45" t="e">
        <f>AND('Show Info'!#REF!,"AAAAAG/7154=")</f>
        <v>#REF!</v>
      </c>
      <c r="FD45" t="e">
        <f>AND('Show Info'!#REF!,"AAAAAG/7158=")</f>
        <v>#REF!</v>
      </c>
      <c r="FE45" t="e">
        <f>AND('Show Info'!#REF!,"AAAAAG/716A=")</f>
        <v>#REF!</v>
      </c>
      <c r="FF45" t="e">
        <f>AND('Show Info'!#REF!,"AAAAAG/716E=")</f>
        <v>#REF!</v>
      </c>
      <c r="FG45" t="e">
        <f>AND('Show Info'!#REF!,"AAAAAG/716I=")</f>
        <v>#REF!</v>
      </c>
      <c r="FH45" t="e">
        <f>AND('Show Info'!#REF!,"AAAAAG/716M=")</f>
        <v>#REF!</v>
      </c>
      <c r="FI45" t="e">
        <f>AND('Show Info'!#REF!,"AAAAAG/716Q=")</f>
        <v>#REF!</v>
      </c>
      <c r="FJ45" t="e">
        <f>AND('Show Info'!#REF!,"AAAAAG/716U=")</f>
        <v>#REF!</v>
      </c>
      <c r="FK45" t="e">
        <f>AND('Show Info'!#REF!,"AAAAAG/716Y=")</f>
        <v>#REF!</v>
      </c>
      <c r="FL45" t="e">
        <f>AND('Show Info'!#REF!,"AAAAAG/716c=")</f>
        <v>#REF!</v>
      </c>
      <c r="FM45" t="e">
        <f>AND('Show Info'!#REF!,"AAAAAG/716g=")</f>
        <v>#REF!</v>
      </c>
      <c r="FN45" t="e">
        <f>AND('Show Info'!#REF!,"AAAAAG/716k=")</f>
        <v>#REF!</v>
      </c>
      <c r="FO45" t="e">
        <f>AND('Show Info'!#REF!,"AAAAAG/716o=")</f>
        <v>#REF!</v>
      </c>
      <c r="FP45" t="e">
        <f>AND('Show Info'!#REF!,"AAAAAG/716s=")</f>
        <v>#REF!</v>
      </c>
      <c r="FQ45" t="e">
        <f>AND('Show Info'!#REF!,"AAAAAG/716w=")</f>
        <v>#REF!</v>
      </c>
      <c r="FR45" t="e">
        <f>IF('Show Info'!#REF!,"AAAAAG/7160=",0)</f>
        <v>#REF!</v>
      </c>
      <c r="FS45" t="e">
        <f>AND('Show Info'!#REF!,"AAAAAG/7164=")</f>
        <v>#REF!</v>
      </c>
      <c r="FT45" t="e">
        <f>AND('Show Info'!#REF!,"AAAAAG/7168=")</f>
        <v>#REF!</v>
      </c>
      <c r="FU45" t="e">
        <f>AND('Show Info'!#REF!,"AAAAAG/717A=")</f>
        <v>#REF!</v>
      </c>
      <c r="FV45" t="e">
        <f>AND('Show Info'!#REF!,"AAAAAG/717E=")</f>
        <v>#REF!</v>
      </c>
      <c r="FW45" t="e">
        <f>AND('Show Info'!#REF!,"AAAAAG/717I=")</f>
        <v>#REF!</v>
      </c>
      <c r="FX45" t="e">
        <f>AND('Show Info'!#REF!,"AAAAAG/717M=")</f>
        <v>#REF!</v>
      </c>
      <c r="FY45" t="e">
        <f>AND('Show Info'!#REF!,"AAAAAG/717Q=")</f>
        <v>#REF!</v>
      </c>
      <c r="FZ45" t="e">
        <f>AND('Show Info'!#REF!,"AAAAAG/717U=")</f>
        <v>#REF!</v>
      </c>
      <c r="GA45" t="e">
        <f>AND('Show Info'!#REF!,"AAAAAG/717Y=")</f>
        <v>#REF!</v>
      </c>
      <c r="GB45" t="e">
        <f>AND('Show Info'!#REF!,"AAAAAG/717c=")</f>
        <v>#REF!</v>
      </c>
      <c r="GC45" t="e">
        <f>AND('Show Info'!#REF!,"AAAAAG/717g=")</f>
        <v>#REF!</v>
      </c>
      <c r="GD45" t="e">
        <f>AND('Show Info'!#REF!,"AAAAAG/717k=")</f>
        <v>#REF!</v>
      </c>
      <c r="GE45" t="e">
        <f>AND('Show Info'!#REF!,"AAAAAG/717o=")</f>
        <v>#REF!</v>
      </c>
      <c r="GF45" t="e">
        <f>AND('Show Info'!#REF!,"AAAAAG/717s=")</f>
        <v>#REF!</v>
      </c>
      <c r="GG45" t="e">
        <f>AND('Show Info'!#REF!,"AAAAAG/717w=")</f>
        <v>#REF!</v>
      </c>
      <c r="GH45" t="e">
        <f>AND('Show Info'!#REF!,"AAAAAG/7170=")</f>
        <v>#REF!</v>
      </c>
      <c r="GI45" t="e">
        <f>AND('Show Info'!#REF!,"AAAAAG/7174=")</f>
        <v>#REF!</v>
      </c>
      <c r="GJ45" t="e">
        <f>AND('Show Info'!#REF!,"AAAAAG/7178=")</f>
        <v>#REF!</v>
      </c>
      <c r="GK45" t="e">
        <f>AND('Show Info'!#REF!,"AAAAAG/718A=")</f>
        <v>#REF!</v>
      </c>
      <c r="GL45" t="e">
        <f>AND('Show Info'!#REF!,"AAAAAG/718E=")</f>
        <v>#REF!</v>
      </c>
      <c r="GM45" t="e">
        <f>AND('Show Info'!#REF!,"AAAAAG/718I=")</f>
        <v>#REF!</v>
      </c>
      <c r="GN45" t="e">
        <f>AND('Show Info'!#REF!,"AAAAAG/718M=")</f>
        <v>#REF!</v>
      </c>
      <c r="GO45" t="e">
        <f>IF('Show Info'!#REF!,"AAAAAG/718Q=",0)</f>
        <v>#REF!</v>
      </c>
      <c r="GP45" t="e">
        <f>AND('Show Info'!#REF!,"AAAAAG/718U=")</f>
        <v>#REF!</v>
      </c>
      <c r="GQ45" t="e">
        <f>AND('Show Info'!#REF!,"AAAAAG/718Y=")</f>
        <v>#REF!</v>
      </c>
      <c r="GR45" t="e">
        <f>AND('Show Info'!#REF!,"AAAAAG/718c=")</f>
        <v>#REF!</v>
      </c>
      <c r="GS45" t="e">
        <f>AND('Show Info'!#REF!,"AAAAAG/718g=")</f>
        <v>#REF!</v>
      </c>
      <c r="GT45" t="e">
        <f>AND('Show Info'!#REF!,"AAAAAG/718k=")</f>
        <v>#REF!</v>
      </c>
      <c r="GU45" t="e">
        <f>AND('Show Info'!#REF!,"AAAAAG/718o=")</f>
        <v>#REF!</v>
      </c>
      <c r="GV45" t="e">
        <f>AND('Show Info'!#REF!,"AAAAAG/718s=")</f>
        <v>#REF!</v>
      </c>
      <c r="GW45" t="e">
        <f>AND('Show Info'!#REF!,"AAAAAG/718w=")</f>
        <v>#REF!</v>
      </c>
      <c r="GX45" t="e">
        <f>AND('Show Info'!#REF!,"AAAAAG/7180=")</f>
        <v>#REF!</v>
      </c>
      <c r="GY45" t="e">
        <f>AND('Show Info'!#REF!,"AAAAAG/7184=")</f>
        <v>#REF!</v>
      </c>
      <c r="GZ45" t="e">
        <f>AND('Show Info'!#REF!,"AAAAAG/7188=")</f>
        <v>#REF!</v>
      </c>
      <c r="HA45" t="e">
        <f>AND('Show Info'!#REF!,"AAAAAG/719A=")</f>
        <v>#REF!</v>
      </c>
      <c r="HB45" t="e">
        <f>AND('Show Info'!#REF!,"AAAAAG/719E=")</f>
        <v>#REF!</v>
      </c>
      <c r="HC45" t="e">
        <f>AND('Show Info'!#REF!,"AAAAAG/719I=")</f>
        <v>#REF!</v>
      </c>
      <c r="HD45" t="e">
        <f>AND('Show Info'!#REF!,"AAAAAG/719M=")</f>
        <v>#REF!</v>
      </c>
      <c r="HE45" t="e">
        <f>AND('Show Info'!#REF!,"AAAAAG/719Q=")</f>
        <v>#REF!</v>
      </c>
      <c r="HF45" t="e">
        <f>AND('Show Info'!#REF!,"AAAAAG/719U=")</f>
        <v>#REF!</v>
      </c>
      <c r="HG45" t="e">
        <f>AND('Show Info'!#REF!,"AAAAAG/719Y=")</f>
        <v>#REF!</v>
      </c>
      <c r="HH45" t="e">
        <f>AND('Show Info'!#REF!,"AAAAAG/719c=")</f>
        <v>#REF!</v>
      </c>
      <c r="HI45" t="e">
        <f>AND('Show Info'!#REF!,"AAAAAG/719g=")</f>
        <v>#REF!</v>
      </c>
      <c r="HJ45" t="e">
        <f>AND('Show Info'!#REF!,"AAAAAG/719k=")</f>
        <v>#REF!</v>
      </c>
      <c r="HK45" t="e">
        <f>AND('Show Info'!#REF!,"AAAAAG/719o=")</f>
        <v>#REF!</v>
      </c>
      <c r="HL45" t="e">
        <f>IF('Show Info'!#REF!,"AAAAAG/719s=",0)</f>
        <v>#REF!</v>
      </c>
      <c r="HM45" t="e">
        <f>AND('Show Info'!#REF!,"AAAAAG/719w=")</f>
        <v>#REF!</v>
      </c>
      <c r="HN45" t="e">
        <f>AND('Show Info'!#REF!,"AAAAAG/7190=")</f>
        <v>#REF!</v>
      </c>
      <c r="HO45" t="e">
        <f>AND('Show Info'!#REF!,"AAAAAG/7194=")</f>
        <v>#REF!</v>
      </c>
      <c r="HP45" t="e">
        <f>AND('Show Info'!#REF!,"AAAAAG/7198=")</f>
        <v>#REF!</v>
      </c>
      <c r="HQ45" t="e">
        <f>AND('Show Info'!#REF!,"AAAAAG/71+A=")</f>
        <v>#REF!</v>
      </c>
      <c r="HR45" t="e">
        <f>AND('Show Info'!#REF!,"AAAAAG/71+E=")</f>
        <v>#REF!</v>
      </c>
      <c r="HS45" t="e">
        <f>AND('Show Info'!#REF!,"AAAAAG/71+I=")</f>
        <v>#REF!</v>
      </c>
      <c r="HT45" t="e">
        <f>AND('Show Info'!#REF!,"AAAAAG/71+M=")</f>
        <v>#REF!</v>
      </c>
      <c r="HU45" t="e">
        <f>AND('Show Info'!#REF!,"AAAAAG/71+Q=")</f>
        <v>#REF!</v>
      </c>
      <c r="HV45" t="e">
        <f>AND('Show Info'!#REF!,"AAAAAG/71+U=")</f>
        <v>#REF!</v>
      </c>
      <c r="HW45" t="e">
        <f>AND('Show Info'!#REF!,"AAAAAG/71+Y=")</f>
        <v>#REF!</v>
      </c>
      <c r="HX45" t="e">
        <f>AND('Show Info'!#REF!,"AAAAAG/71+c=")</f>
        <v>#REF!</v>
      </c>
      <c r="HY45" t="e">
        <f>AND('Show Info'!#REF!,"AAAAAG/71+g=")</f>
        <v>#REF!</v>
      </c>
      <c r="HZ45" t="e">
        <f>AND('Show Info'!#REF!,"AAAAAG/71+k=")</f>
        <v>#REF!</v>
      </c>
      <c r="IA45" t="e">
        <f>AND('Show Info'!#REF!,"AAAAAG/71+o=")</f>
        <v>#REF!</v>
      </c>
      <c r="IB45" t="e">
        <f>AND('Show Info'!#REF!,"AAAAAG/71+s=")</f>
        <v>#REF!</v>
      </c>
      <c r="IC45" t="e">
        <f>AND('Show Info'!#REF!,"AAAAAG/71+w=")</f>
        <v>#REF!</v>
      </c>
      <c r="ID45" t="e">
        <f>AND('Show Info'!#REF!,"AAAAAG/71+0=")</f>
        <v>#REF!</v>
      </c>
      <c r="IE45" t="e">
        <f>AND('Show Info'!#REF!,"AAAAAG/71+4=")</f>
        <v>#REF!</v>
      </c>
      <c r="IF45" t="e">
        <f>AND('Show Info'!#REF!,"AAAAAG/71+8=")</f>
        <v>#REF!</v>
      </c>
      <c r="IG45" t="e">
        <f>AND('Show Info'!#REF!,"AAAAAG/71/A=")</f>
        <v>#REF!</v>
      </c>
      <c r="IH45" t="e">
        <f>AND('Show Info'!#REF!,"AAAAAG/71/E=")</f>
        <v>#REF!</v>
      </c>
      <c r="II45" t="e">
        <f>IF('Show Info'!#REF!,"AAAAAG/71/I=",0)</f>
        <v>#REF!</v>
      </c>
      <c r="IJ45" t="e">
        <f>AND('Show Info'!#REF!,"AAAAAG/71/M=")</f>
        <v>#REF!</v>
      </c>
      <c r="IK45" t="e">
        <f>AND('Show Info'!#REF!,"AAAAAG/71/Q=")</f>
        <v>#REF!</v>
      </c>
      <c r="IL45" t="e">
        <f>AND('Show Info'!#REF!,"AAAAAG/71/U=")</f>
        <v>#REF!</v>
      </c>
      <c r="IM45" t="e">
        <f>AND('Show Info'!#REF!,"AAAAAG/71/Y=")</f>
        <v>#REF!</v>
      </c>
      <c r="IN45" t="e">
        <f>AND('Show Info'!#REF!,"AAAAAG/71/c=")</f>
        <v>#REF!</v>
      </c>
      <c r="IO45" t="e">
        <f>AND('Show Info'!#REF!,"AAAAAG/71/g=")</f>
        <v>#REF!</v>
      </c>
      <c r="IP45" t="e">
        <f>AND('Show Info'!#REF!,"AAAAAG/71/k=")</f>
        <v>#REF!</v>
      </c>
      <c r="IQ45" t="e">
        <f>AND('Show Info'!#REF!,"AAAAAG/71/o=")</f>
        <v>#REF!</v>
      </c>
      <c r="IR45" t="e">
        <f>AND('Show Info'!#REF!,"AAAAAG/71/s=")</f>
        <v>#REF!</v>
      </c>
      <c r="IS45" t="e">
        <f>AND('Show Info'!#REF!,"AAAAAG/71/w=")</f>
        <v>#REF!</v>
      </c>
      <c r="IT45" t="e">
        <f>AND('Show Info'!#REF!,"AAAAAG/71/0=")</f>
        <v>#REF!</v>
      </c>
      <c r="IU45" t="e">
        <f>AND('Show Info'!#REF!,"AAAAAG/71/4=")</f>
        <v>#REF!</v>
      </c>
      <c r="IV45" t="e">
        <f>AND('Show Info'!#REF!,"AAAAAG/71/8=")</f>
        <v>#REF!</v>
      </c>
    </row>
    <row r="46" spans="1:256" x14ac:dyDescent="0.2">
      <c r="A46" t="e">
        <f>AND('Show Info'!#REF!,"AAAAAHqf/wA=")</f>
        <v>#REF!</v>
      </c>
      <c r="B46" t="e">
        <f>AND('Show Info'!#REF!,"AAAAAHqf/wE=")</f>
        <v>#REF!</v>
      </c>
      <c r="C46" t="e">
        <f>AND('Show Info'!#REF!,"AAAAAHqf/wI=")</f>
        <v>#REF!</v>
      </c>
      <c r="D46" t="e">
        <f>AND('Show Info'!#REF!,"AAAAAHqf/wM=")</f>
        <v>#REF!</v>
      </c>
      <c r="E46" t="e">
        <f>AND('Show Info'!#REF!,"AAAAAHqf/wQ=")</f>
        <v>#REF!</v>
      </c>
      <c r="F46" t="e">
        <f>AND('Show Info'!#REF!,"AAAAAHqf/wU=")</f>
        <v>#REF!</v>
      </c>
      <c r="G46" t="e">
        <f>AND('Show Info'!#REF!,"AAAAAHqf/wY=")</f>
        <v>#REF!</v>
      </c>
      <c r="H46" t="e">
        <f>AND('Show Info'!#REF!,"AAAAAHqf/wc=")</f>
        <v>#REF!</v>
      </c>
      <c r="I46" t="e">
        <f>AND('Show Info'!#REF!,"AAAAAHqf/wg=")</f>
        <v>#REF!</v>
      </c>
      <c r="J46" t="e">
        <f>IF('Show Info'!#REF!,"AAAAAHqf/wk=",0)</f>
        <v>#REF!</v>
      </c>
      <c r="K46" t="e">
        <f>AND('Show Info'!#REF!,"AAAAAHqf/wo=")</f>
        <v>#REF!</v>
      </c>
      <c r="L46" t="e">
        <f>AND('Show Info'!#REF!,"AAAAAHqf/ws=")</f>
        <v>#REF!</v>
      </c>
      <c r="M46" t="e">
        <f>AND('Show Info'!#REF!,"AAAAAHqf/ww=")</f>
        <v>#REF!</v>
      </c>
      <c r="N46" t="e">
        <f>AND('Show Info'!#REF!,"AAAAAHqf/w0=")</f>
        <v>#REF!</v>
      </c>
      <c r="O46" t="e">
        <f>AND('Show Info'!#REF!,"AAAAAHqf/w4=")</f>
        <v>#REF!</v>
      </c>
      <c r="P46" t="e">
        <f>AND('Show Info'!#REF!,"AAAAAHqf/w8=")</f>
        <v>#REF!</v>
      </c>
      <c r="Q46" t="e">
        <f>AND('Show Info'!#REF!,"AAAAAHqf/xA=")</f>
        <v>#REF!</v>
      </c>
      <c r="R46" t="e">
        <f>AND('Show Info'!#REF!,"AAAAAHqf/xE=")</f>
        <v>#REF!</v>
      </c>
      <c r="S46" t="e">
        <f>AND('Show Info'!#REF!,"AAAAAHqf/xI=")</f>
        <v>#REF!</v>
      </c>
      <c r="T46" t="e">
        <f>AND('Show Info'!#REF!,"AAAAAHqf/xM=")</f>
        <v>#REF!</v>
      </c>
      <c r="U46" t="e">
        <f>AND('Show Info'!#REF!,"AAAAAHqf/xQ=")</f>
        <v>#REF!</v>
      </c>
      <c r="V46" t="e">
        <f>AND('Show Info'!#REF!,"AAAAAHqf/xU=")</f>
        <v>#REF!</v>
      </c>
      <c r="W46" t="e">
        <f>AND('Show Info'!#REF!,"AAAAAHqf/xY=")</f>
        <v>#REF!</v>
      </c>
      <c r="X46" t="e">
        <f>AND('Show Info'!#REF!,"AAAAAHqf/xc=")</f>
        <v>#REF!</v>
      </c>
      <c r="Y46" t="e">
        <f>AND('Show Info'!#REF!,"AAAAAHqf/xg=")</f>
        <v>#REF!</v>
      </c>
      <c r="Z46" t="e">
        <f>AND('Show Info'!#REF!,"AAAAAHqf/xk=")</f>
        <v>#REF!</v>
      </c>
      <c r="AA46" t="e">
        <f>AND('Show Info'!#REF!,"AAAAAHqf/xo=")</f>
        <v>#REF!</v>
      </c>
      <c r="AB46" t="e">
        <f>AND('Show Info'!#REF!,"AAAAAHqf/xs=")</f>
        <v>#REF!</v>
      </c>
      <c r="AC46" t="e">
        <f>AND('Show Info'!#REF!,"AAAAAHqf/xw=")</f>
        <v>#REF!</v>
      </c>
      <c r="AD46" t="e">
        <f>AND('Show Info'!#REF!,"AAAAAHqf/x0=")</f>
        <v>#REF!</v>
      </c>
      <c r="AE46" t="e">
        <f>AND('Show Info'!#REF!,"AAAAAHqf/x4=")</f>
        <v>#REF!</v>
      </c>
      <c r="AF46" t="e">
        <f>AND('Show Info'!#REF!,"AAAAAHqf/x8=")</f>
        <v>#REF!</v>
      </c>
      <c r="AG46" t="e">
        <f>IF('Show Info'!#REF!,"AAAAAHqf/yA=",0)</f>
        <v>#REF!</v>
      </c>
      <c r="AH46" t="e">
        <f>AND('Show Info'!#REF!,"AAAAAHqf/yE=")</f>
        <v>#REF!</v>
      </c>
      <c r="AI46" t="e">
        <f>AND('Show Info'!#REF!,"AAAAAHqf/yI=")</f>
        <v>#REF!</v>
      </c>
      <c r="AJ46" t="e">
        <f>AND('Show Info'!#REF!,"AAAAAHqf/yM=")</f>
        <v>#REF!</v>
      </c>
      <c r="AK46" t="e">
        <f>AND('Show Info'!#REF!,"AAAAAHqf/yQ=")</f>
        <v>#REF!</v>
      </c>
      <c r="AL46" t="e">
        <f>AND('Show Info'!#REF!,"AAAAAHqf/yU=")</f>
        <v>#REF!</v>
      </c>
      <c r="AM46" t="e">
        <f>AND('Show Info'!#REF!,"AAAAAHqf/yY=")</f>
        <v>#REF!</v>
      </c>
      <c r="AN46" t="e">
        <f>AND('Show Info'!#REF!,"AAAAAHqf/yc=")</f>
        <v>#REF!</v>
      </c>
      <c r="AO46" t="e">
        <f>AND('Show Info'!#REF!,"AAAAAHqf/yg=")</f>
        <v>#REF!</v>
      </c>
      <c r="AP46" t="e">
        <f>AND('Show Info'!#REF!,"AAAAAHqf/yk=")</f>
        <v>#REF!</v>
      </c>
      <c r="AQ46" t="e">
        <f>AND('Show Info'!#REF!,"AAAAAHqf/yo=")</f>
        <v>#REF!</v>
      </c>
      <c r="AR46" t="e">
        <f>AND('Show Info'!#REF!,"AAAAAHqf/ys=")</f>
        <v>#REF!</v>
      </c>
      <c r="AS46" t="e">
        <f>AND('Show Info'!#REF!,"AAAAAHqf/yw=")</f>
        <v>#REF!</v>
      </c>
      <c r="AT46" t="e">
        <f>AND('Show Info'!#REF!,"AAAAAHqf/y0=")</f>
        <v>#REF!</v>
      </c>
      <c r="AU46" t="e">
        <f>AND('Show Info'!#REF!,"AAAAAHqf/y4=")</f>
        <v>#REF!</v>
      </c>
      <c r="AV46" t="e">
        <f>AND('Show Info'!#REF!,"AAAAAHqf/y8=")</f>
        <v>#REF!</v>
      </c>
      <c r="AW46" t="e">
        <f>AND('Show Info'!#REF!,"AAAAAHqf/zA=")</f>
        <v>#REF!</v>
      </c>
      <c r="AX46" t="e">
        <f>AND('Show Info'!#REF!,"AAAAAHqf/zE=")</f>
        <v>#REF!</v>
      </c>
      <c r="AY46" t="e">
        <f>AND('Show Info'!#REF!,"AAAAAHqf/zI=")</f>
        <v>#REF!</v>
      </c>
      <c r="AZ46" t="e">
        <f>AND('Show Info'!#REF!,"AAAAAHqf/zM=")</f>
        <v>#REF!</v>
      </c>
      <c r="BA46" t="e">
        <f>AND('Show Info'!#REF!,"AAAAAHqf/zQ=")</f>
        <v>#REF!</v>
      </c>
      <c r="BB46" t="e">
        <f>AND('Show Info'!#REF!,"AAAAAHqf/zU=")</f>
        <v>#REF!</v>
      </c>
      <c r="BC46" t="e">
        <f>AND('Show Info'!#REF!,"AAAAAHqf/zY=")</f>
        <v>#REF!</v>
      </c>
      <c r="BD46" t="e">
        <f>IF('Show Info'!#REF!,"AAAAAHqf/zc=",0)</f>
        <v>#REF!</v>
      </c>
      <c r="BE46" t="e">
        <f>AND('Show Info'!#REF!,"AAAAAHqf/zg=")</f>
        <v>#REF!</v>
      </c>
      <c r="BF46" t="e">
        <f>AND('Show Info'!#REF!,"AAAAAHqf/zk=")</f>
        <v>#REF!</v>
      </c>
      <c r="BG46" t="e">
        <f>AND('Show Info'!#REF!,"AAAAAHqf/zo=")</f>
        <v>#REF!</v>
      </c>
      <c r="BH46" t="e">
        <f>AND('Show Info'!#REF!,"AAAAAHqf/zs=")</f>
        <v>#REF!</v>
      </c>
      <c r="BI46" t="e">
        <f>AND('Show Info'!#REF!,"AAAAAHqf/zw=")</f>
        <v>#REF!</v>
      </c>
      <c r="BJ46" t="e">
        <f>AND('Show Info'!#REF!,"AAAAAHqf/z0=")</f>
        <v>#REF!</v>
      </c>
      <c r="BK46" t="e">
        <f>AND('Show Info'!#REF!,"AAAAAHqf/z4=")</f>
        <v>#REF!</v>
      </c>
      <c r="BL46" t="e">
        <f>AND('Show Info'!#REF!,"AAAAAHqf/z8=")</f>
        <v>#REF!</v>
      </c>
      <c r="BM46" t="e">
        <f>AND('Show Info'!#REF!,"AAAAAHqf/0A=")</f>
        <v>#REF!</v>
      </c>
      <c r="BN46" t="e">
        <f>AND('Show Info'!#REF!,"AAAAAHqf/0E=")</f>
        <v>#REF!</v>
      </c>
      <c r="BO46" t="e">
        <f>AND('Show Info'!#REF!,"AAAAAHqf/0I=")</f>
        <v>#REF!</v>
      </c>
      <c r="BP46" t="e">
        <f>AND('Show Info'!#REF!,"AAAAAHqf/0M=")</f>
        <v>#REF!</v>
      </c>
      <c r="BQ46" t="e">
        <f>AND('Show Info'!#REF!,"AAAAAHqf/0Q=")</f>
        <v>#REF!</v>
      </c>
      <c r="BR46" t="e">
        <f>AND('Show Info'!#REF!,"AAAAAHqf/0U=")</f>
        <v>#REF!</v>
      </c>
      <c r="BS46" t="e">
        <f>AND('Show Info'!#REF!,"AAAAAHqf/0Y=")</f>
        <v>#REF!</v>
      </c>
      <c r="BT46" t="e">
        <f>AND('Show Info'!#REF!,"AAAAAHqf/0c=")</f>
        <v>#REF!</v>
      </c>
      <c r="BU46" t="e">
        <f>AND('Show Info'!#REF!,"AAAAAHqf/0g=")</f>
        <v>#REF!</v>
      </c>
      <c r="BV46" t="e">
        <f>AND('Show Info'!#REF!,"AAAAAHqf/0k=")</f>
        <v>#REF!</v>
      </c>
      <c r="BW46" t="e">
        <f>AND('Show Info'!#REF!,"AAAAAHqf/0o=")</f>
        <v>#REF!</v>
      </c>
      <c r="BX46" t="e">
        <f>AND('Show Info'!#REF!,"AAAAAHqf/0s=")</f>
        <v>#REF!</v>
      </c>
      <c r="BY46" t="e">
        <f>AND('Show Info'!#REF!,"AAAAAHqf/0w=")</f>
        <v>#REF!</v>
      </c>
      <c r="BZ46" t="e">
        <f>AND('Show Info'!#REF!,"AAAAAHqf/00=")</f>
        <v>#REF!</v>
      </c>
      <c r="CA46" t="e">
        <f>IF('Show Info'!#REF!,"AAAAAHqf/04=",0)</f>
        <v>#REF!</v>
      </c>
      <c r="CB46" t="e">
        <f>AND('Show Info'!#REF!,"AAAAAHqf/08=")</f>
        <v>#REF!</v>
      </c>
      <c r="CC46" t="e">
        <f>AND('Show Info'!#REF!,"AAAAAHqf/1A=")</f>
        <v>#REF!</v>
      </c>
      <c r="CD46" t="e">
        <f>AND('Show Info'!#REF!,"AAAAAHqf/1E=")</f>
        <v>#REF!</v>
      </c>
      <c r="CE46" t="e">
        <f>AND('Show Info'!#REF!,"AAAAAHqf/1I=")</f>
        <v>#REF!</v>
      </c>
      <c r="CF46" t="e">
        <f>AND('Show Info'!#REF!,"AAAAAHqf/1M=")</f>
        <v>#REF!</v>
      </c>
      <c r="CG46" t="e">
        <f>AND('Show Info'!#REF!,"AAAAAHqf/1Q=")</f>
        <v>#REF!</v>
      </c>
      <c r="CH46" t="e">
        <f>AND('Show Info'!#REF!,"AAAAAHqf/1U=")</f>
        <v>#REF!</v>
      </c>
      <c r="CI46" t="e">
        <f>AND('Show Info'!#REF!,"AAAAAHqf/1Y=")</f>
        <v>#REF!</v>
      </c>
      <c r="CJ46" t="e">
        <f>AND('Show Info'!#REF!,"AAAAAHqf/1c=")</f>
        <v>#REF!</v>
      </c>
      <c r="CK46" t="e">
        <f>AND('Show Info'!#REF!,"AAAAAHqf/1g=")</f>
        <v>#REF!</v>
      </c>
      <c r="CL46" t="e">
        <f>AND('Show Info'!#REF!,"AAAAAHqf/1k=")</f>
        <v>#REF!</v>
      </c>
      <c r="CM46" t="e">
        <f>AND('Show Info'!#REF!,"AAAAAHqf/1o=")</f>
        <v>#REF!</v>
      </c>
      <c r="CN46" t="e">
        <f>AND('Show Info'!#REF!,"AAAAAHqf/1s=")</f>
        <v>#REF!</v>
      </c>
      <c r="CO46" t="e">
        <f>AND('Show Info'!#REF!,"AAAAAHqf/1w=")</f>
        <v>#REF!</v>
      </c>
      <c r="CP46" t="e">
        <f>AND('Show Info'!#REF!,"AAAAAHqf/10=")</f>
        <v>#REF!</v>
      </c>
      <c r="CQ46" t="e">
        <f>AND('Show Info'!#REF!,"AAAAAHqf/14=")</f>
        <v>#REF!</v>
      </c>
      <c r="CR46" t="e">
        <f>AND('Show Info'!#REF!,"AAAAAHqf/18=")</f>
        <v>#REF!</v>
      </c>
      <c r="CS46" t="e">
        <f>AND('Show Info'!#REF!,"AAAAAHqf/2A=")</f>
        <v>#REF!</v>
      </c>
      <c r="CT46" t="e">
        <f>AND('Show Info'!#REF!,"AAAAAHqf/2E=")</f>
        <v>#REF!</v>
      </c>
      <c r="CU46" t="e">
        <f>AND('Show Info'!#REF!,"AAAAAHqf/2I=")</f>
        <v>#REF!</v>
      </c>
      <c r="CV46" t="e">
        <f>AND('Show Info'!#REF!,"AAAAAHqf/2M=")</f>
        <v>#REF!</v>
      </c>
      <c r="CW46" t="e">
        <f>AND('Show Info'!#REF!,"AAAAAHqf/2Q=")</f>
        <v>#REF!</v>
      </c>
      <c r="CX46" t="e">
        <f>IF('Show Info'!#REF!,"AAAAAHqf/2U=",0)</f>
        <v>#REF!</v>
      </c>
      <c r="CY46" t="e">
        <f>AND('Show Info'!#REF!,"AAAAAHqf/2Y=")</f>
        <v>#REF!</v>
      </c>
      <c r="CZ46" t="e">
        <f>AND('Show Info'!#REF!,"AAAAAHqf/2c=")</f>
        <v>#REF!</v>
      </c>
      <c r="DA46" t="e">
        <f>AND('Show Info'!#REF!,"AAAAAHqf/2g=")</f>
        <v>#REF!</v>
      </c>
      <c r="DB46" t="e">
        <f>AND('Show Info'!#REF!,"AAAAAHqf/2k=")</f>
        <v>#REF!</v>
      </c>
      <c r="DC46" t="e">
        <f>AND('Show Info'!#REF!,"AAAAAHqf/2o=")</f>
        <v>#REF!</v>
      </c>
      <c r="DD46" t="e">
        <f>AND('Show Info'!#REF!,"AAAAAHqf/2s=")</f>
        <v>#REF!</v>
      </c>
      <c r="DE46" t="e">
        <f>AND('Show Info'!#REF!,"AAAAAHqf/2w=")</f>
        <v>#REF!</v>
      </c>
      <c r="DF46" t="e">
        <f>AND('Show Info'!#REF!,"AAAAAHqf/20=")</f>
        <v>#REF!</v>
      </c>
      <c r="DG46" t="e">
        <f>AND('Show Info'!#REF!,"AAAAAHqf/24=")</f>
        <v>#REF!</v>
      </c>
      <c r="DH46" t="e">
        <f>AND('Show Info'!#REF!,"AAAAAHqf/28=")</f>
        <v>#REF!</v>
      </c>
      <c r="DI46" t="e">
        <f>AND('Show Info'!#REF!,"AAAAAHqf/3A=")</f>
        <v>#REF!</v>
      </c>
      <c r="DJ46" t="e">
        <f>AND('Show Info'!#REF!,"AAAAAHqf/3E=")</f>
        <v>#REF!</v>
      </c>
      <c r="DK46" t="e">
        <f>AND('Show Info'!#REF!,"AAAAAHqf/3I=")</f>
        <v>#REF!</v>
      </c>
      <c r="DL46" t="e">
        <f>AND('Show Info'!#REF!,"AAAAAHqf/3M=")</f>
        <v>#REF!</v>
      </c>
      <c r="DM46" t="e">
        <f>AND('Show Info'!#REF!,"AAAAAHqf/3Q=")</f>
        <v>#REF!</v>
      </c>
      <c r="DN46" t="e">
        <f>AND('Show Info'!#REF!,"AAAAAHqf/3U=")</f>
        <v>#REF!</v>
      </c>
      <c r="DO46" t="e">
        <f>AND('Show Info'!#REF!,"AAAAAHqf/3Y=")</f>
        <v>#REF!</v>
      </c>
      <c r="DP46" t="e">
        <f>AND('Show Info'!#REF!,"AAAAAHqf/3c=")</f>
        <v>#REF!</v>
      </c>
      <c r="DQ46" t="e">
        <f>AND('Show Info'!#REF!,"AAAAAHqf/3g=")</f>
        <v>#REF!</v>
      </c>
      <c r="DR46" t="e">
        <f>AND('Show Info'!#REF!,"AAAAAHqf/3k=")</f>
        <v>#REF!</v>
      </c>
      <c r="DS46" t="e">
        <f>AND('Show Info'!#REF!,"AAAAAHqf/3o=")</f>
        <v>#REF!</v>
      </c>
      <c r="DT46" t="e">
        <f>AND('Show Info'!#REF!,"AAAAAHqf/3s=")</f>
        <v>#REF!</v>
      </c>
      <c r="DU46" t="e">
        <f>IF('Show Info'!#REF!,"AAAAAHqf/3w=",0)</f>
        <v>#REF!</v>
      </c>
      <c r="DV46" t="e">
        <f>AND('Show Info'!#REF!,"AAAAAHqf/30=")</f>
        <v>#REF!</v>
      </c>
      <c r="DW46" t="e">
        <f>AND('Show Info'!#REF!,"AAAAAHqf/34=")</f>
        <v>#REF!</v>
      </c>
      <c r="DX46" t="e">
        <f>AND('Show Info'!#REF!,"AAAAAHqf/38=")</f>
        <v>#REF!</v>
      </c>
      <c r="DY46" t="e">
        <f>AND('Show Info'!#REF!,"AAAAAHqf/4A=")</f>
        <v>#REF!</v>
      </c>
      <c r="DZ46" t="e">
        <f>AND('Show Info'!#REF!,"AAAAAHqf/4E=")</f>
        <v>#REF!</v>
      </c>
      <c r="EA46" t="e">
        <f>AND('Show Info'!#REF!,"AAAAAHqf/4I=")</f>
        <v>#REF!</v>
      </c>
      <c r="EB46" t="e">
        <f>AND('Show Info'!#REF!,"AAAAAHqf/4M=")</f>
        <v>#REF!</v>
      </c>
      <c r="EC46" t="e">
        <f>AND('Show Info'!#REF!,"AAAAAHqf/4Q=")</f>
        <v>#REF!</v>
      </c>
      <c r="ED46" t="e">
        <f>AND('Show Info'!#REF!,"AAAAAHqf/4U=")</f>
        <v>#REF!</v>
      </c>
      <c r="EE46" t="e">
        <f>AND('Show Info'!#REF!,"AAAAAHqf/4Y=")</f>
        <v>#REF!</v>
      </c>
      <c r="EF46" t="e">
        <f>AND('Show Info'!#REF!,"AAAAAHqf/4c=")</f>
        <v>#REF!</v>
      </c>
      <c r="EG46" t="e">
        <f>AND('Show Info'!#REF!,"AAAAAHqf/4g=")</f>
        <v>#REF!</v>
      </c>
      <c r="EH46" t="e">
        <f>AND('Show Info'!#REF!,"AAAAAHqf/4k=")</f>
        <v>#REF!</v>
      </c>
      <c r="EI46" t="e">
        <f>AND('Show Info'!#REF!,"AAAAAHqf/4o=")</f>
        <v>#REF!</v>
      </c>
      <c r="EJ46" t="e">
        <f>AND('Show Info'!#REF!,"AAAAAHqf/4s=")</f>
        <v>#REF!</v>
      </c>
      <c r="EK46" t="e">
        <f>AND('Show Info'!#REF!,"AAAAAHqf/4w=")</f>
        <v>#REF!</v>
      </c>
      <c r="EL46" t="e">
        <f>AND('Show Info'!#REF!,"AAAAAHqf/40=")</f>
        <v>#REF!</v>
      </c>
      <c r="EM46" t="e">
        <f>AND('Show Info'!#REF!,"AAAAAHqf/44=")</f>
        <v>#REF!</v>
      </c>
      <c r="EN46" t="e">
        <f>AND('Show Info'!#REF!,"AAAAAHqf/48=")</f>
        <v>#REF!</v>
      </c>
      <c r="EO46" t="e">
        <f>AND('Show Info'!#REF!,"AAAAAHqf/5A=")</f>
        <v>#REF!</v>
      </c>
      <c r="EP46" t="e">
        <f>AND('Show Info'!#REF!,"AAAAAHqf/5E=")</f>
        <v>#REF!</v>
      </c>
      <c r="EQ46" t="e">
        <f>AND('Show Info'!#REF!,"AAAAAHqf/5I=")</f>
        <v>#REF!</v>
      </c>
      <c r="ER46" t="e">
        <f>IF('Show Info'!#REF!,"AAAAAHqf/5M=",0)</f>
        <v>#REF!</v>
      </c>
      <c r="ES46" t="e">
        <f>AND('Show Info'!#REF!,"AAAAAHqf/5Q=")</f>
        <v>#REF!</v>
      </c>
      <c r="ET46" t="e">
        <f>AND('Show Info'!#REF!,"AAAAAHqf/5U=")</f>
        <v>#REF!</v>
      </c>
      <c r="EU46" t="e">
        <f>AND('Show Info'!#REF!,"AAAAAHqf/5Y=")</f>
        <v>#REF!</v>
      </c>
      <c r="EV46" t="e">
        <f>AND('Show Info'!#REF!,"AAAAAHqf/5c=")</f>
        <v>#REF!</v>
      </c>
      <c r="EW46" t="e">
        <f>AND('Show Info'!#REF!,"AAAAAHqf/5g=")</f>
        <v>#REF!</v>
      </c>
      <c r="EX46" t="e">
        <f>AND('Show Info'!#REF!,"AAAAAHqf/5k=")</f>
        <v>#REF!</v>
      </c>
      <c r="EY46" t="e">
        <f>AND('Show Info'!#REF!,"AAAAAHqf/5o=")</f>
        <v>#REF!</v>
      </c>
      <c r="EZ46" t="e">
        <f>AND('Show Info'!#REF!,"AAAAAHqf/5s=")</f>
        <v>#REF!</v>
      </c>
      <c r="FA46" t="e">
        <f>AND('Show Info'!#REF!,"AAAAAHqf/5w=")</f>
        <v>#REF!</v>
      </c>
      <c r="FB46" t="e">
        <f>AND('Show Info'!#REF!,"AAAAAHqf/50=")</f>
        <v>#REF!</v>
      </c>
      <c r="FC46" t="e">
        <f>AND('Show Info'!#REF!,"AAAAAHqf/54=")</f>
        <v>#REF!</v>
      </c>
      <c r="FD46" t="e">
        <f>AND('Show Info'!#REF!,"AAAAAHqf/58=")</f>
        <v>#REF!</v>
      </c>
      <c r="FE46" t="e">
        <f>AND('Show Info'!#REF!,"AAAAAHqf/6A=")</f>
        <v>#REF!</v>
      </c>
      <c r="FF46" t="e">
        <f>AND('Show Info'!#REF!,"AAAAAHqf/6E=")</f>
        <v>#REF!</v>
      </c>
      <c r="FG46" t="e">
        <f>AND('Show Info'!#REF!,"AAAAAHqf/6I=")</f>
        <v>#REF!</v>
      </c>
      <c r="FH46" t="e">
        <f>AND('Show Info'!#REF!,"AAAAAHqf/6M=")</f>
        <v>#REF!</v>
      </c>
      <c r="FI46" t="e">
        <f>AND('Show Info'!#REF!,"AAAAAHqf/6Q=")</f>
        <v>#REF!</v>
      </c>
      <c r="FJ46" t="e">
        <f>AND('Show Info'!#REF!,"AAAAAHqf/6U=")</f>
        <v>#REF!</v>
      </c>
      <c r="FK46" t="e">
        <f>AND('Show Info'!#REF!,"AAAAAHqf/6Y=")</f>
        <v>#REF!</v>
      </c>
      <c r="FL46" t="e">
        <f>AND('Show Info'!#REF!,"AAAAAHqf/6c=")</f>
        <v>#REF!</v>
      </c>
      <c r="FM46" t="e">
        <f>AND('Show Info'!#REF!,"AAAAAHqf/6g=")</f>
        <v>#REF!</v>
      </c>
      <c r="FN46" t="e">
        <f>AND('Show Info'!#REF!,"AAAAAHqf/6k=")</f>
        <v>#REF!</v>
      </c>
      <c r="FO46" t="e">
        <f>IF('Show Info'!#REF!,"AAAAAHqf/6o=",0)</f>
        <v>#REF!</v>
      </c>
      <c r="FP46" t="e">
        <f>AND('Show Info'!#REF!,"AAAAAHqf/6s=")</f>
        <v>#REF!</v>
      </c>
      <c r="FQ46" t="e">
        <f>AND('Show Info'!#REF!,"AAAAAHqf/6w=")</f>
        <v>#REF!</v>
      </c>
      <c r="FR46" t="e">
        <f>AND('Show Info'!#REF!,"AAAAAHqf/60=")</f>
        <v>#REF!</v>
      </c>
      <c r="FS46" t="e">
        <f>AND('Show Info'!#REF!,"AAAAAHqf/64=")</f>
        <v>#REF!</v>
      </c>
      <c r="FT46" t="e">
        <f>AND('Show Info'!#REF!,"AAAAAHqf/68=")</f>
        <v>#REF!</v>
      </c>
      <c r="FU46" t="e">
        <f>AND('Show Info'!#REF!,"AAAAAHqf/7A=")</f>
        <v>#REF!</v>
      </c>
      <c r="FV46" t="e">
        <f>AND('Show Info'!#REF!,"AAAAAHqf/7E=")</f>
        <v>#REF!</v>
      </c>
      <c r="FW46" t="e">
        <f>AND('Show Info'!#REF!,"AAAAAHqf/7I=")</f>
        <v>#REF!</v>
      </c>
      <c r="FX46" t="e">
        <f>AND('Show Info'!#REF!,"AAAAAHqf/7M=")</f>
        <v>#REF!</v>
      </c>
      <c r="FY46" t="e">
        <f>AND('Show Info'!#REF!,"AAAAAHqf/7Q=")</f>
        <v>#REF!</v>
      </c>
      <c r="FZ46" t="e">
        <f>AND('Show Info'!#REF!,"AAAAAHqf/7U=")</f>
        <v>#REF!</v>
      </c>
      <c r="GA46" t="e">
        <f>AND('Show Info'!#REF!,"AAAAAHqf/7Y=")</f>
        <v>#REF!</v>
      </c>
      <c r="GB46" t="e">
        <f>AND('Show Info'!#REF!,"AAAAAHqf/7c=")</f>
        <v>#REF!</v>
      </c>
      <c r="GC46" t="e">
        <f>AND('Show Info'!#REF!,"AAAAAHqf/7g=")</f>
        <v>#REF!</v>
      </c>
      <c r="GD46" t="e">
        <f>AND('Show Info'!#REF!,"AAAAAHqf/7k=")</f>
        <v>#REF!</v>
      </c>
      <c r="GE46" t="e">
        <f>AND('Show Info'!#REF!,"AAAAAHqf/7o=")</f>
        <v>#REF!</v>
      </c>
      <c r="GF46" t="e">
        <f>AND('Show Info'!#REF!,"AAAAAHqf/7s=")</f>
        <v>#REF!</v>
      </c>
      <c r="GG46" t="e">
        <f>AND('Show Info'!#REF!,"AAAAAHqf/7w=")</f>
        <v>#REF!</v>
      </c>
      <c r="GH46" t="e">
        <f>AND('Show Info'!#REF!,"AAAAAHqf/70=")</f>
        <v>#REF!</v>
      </c>
      <c r="GI46" t="e">
        <f>AND('Show Info'!#REF!,"AAAAAHqf/74=")</f>
        <v>#REF!</v>
      </c>
      <c r="GJ46" t="e">
        <f>AND('Show Info'!#REF!,"AAAAAHqf/78=")</f>
        <v>#REF!</v>
      </c>
      <c r="GK46" t="e">
        <f>AND('Show Info'!#REF!,"AAAAAHqf/8A=")</f>
        <v>#REF!</v>
      </c>
      <c r="GL46" t="e">
        <f>IF('Show Info'!#REF!,"AAAAAHqf/8E=",0)</f>
        <v>#REF!</v>
      </c>
      <c r="GM46" t="e">
        <f>AND('Show Info'!#REF!,"AAAAAHqf/8I=")</f>
        <v>#REF!</v>
      </c>
      <c r="GN46" t="e">
        <f>AND('Show Info'!#REF!,"AAAAAHqf/8M=")</f>
        <v>#REF!</v>
      </c>
      <c r="GO46" t="e">
        <f>AND('Show Info'!#REF!,"AAAAAHqf/8Q=")</f>
        <v>#REF!</v>
      </c>
      <c r="GP46" t="e">
        <f>AND('Show Info'!#REF!,"AAAAAHqf/8U=")</f>
        <v>#REF!</v>
      </c>
      <c r="GQ46" t="e">
        <f>AND('Show Info'!#REF!,"AAAAAHqf/8Y=")</f>
        <v>#REF!</v>
      </c>
      <c r="GR46" t="e">
        <f>AND('Show Info'!#REF!,"AAAAAHqf/8c=")</f>
        <v>#REF!</v>
      </c>
      <c r="GS46" t="e">
        <f>AND('Show Info'!#REF!,"AAAAAHqf/8g=")</f>
        <v>#REF!</v>
      </c>
      <c r="GT46" t="e">
        <f>AND('Show Info'!#REF!,"AAAAAHqf/8k=")</f>
        <v>#REF!</v>
      </c>
      <c r="GU46" t="e">
        <f>AND('Show Info'!#REF!,"AAAAAHqf/8o=")</f>
        <v>#REF!</v>
      </c>
      <c r="GV46" t="e">
        <f>AND('Show Info'!#REF!,"AAAAAHqf/8s=")</f>
        <v>#REF!</v>
      </c>
      <c r="GW46" t="e">
        <f>AND('Show Info'!#REF!,"AAAAAHqf/8w=")</f>
        <v>#REF!</v>
      </c>
      <c r="GX46" t="e">
        <f>AND('Show Info'!#REF!,"AAAAAHqf/80=")</f>
        <v>#REF!</v>
      </c>
      <c r="GY46" t="e">
        <f>AND('Show Info'!#REF!,"AAAAAHqf/84=")</f>
        <v>#REF!</v>
      </c>
      <c r="GZ46" t="e">
        <f>AND('Show Info'!#REF!,"AAAAAHqf/88=")</f>
        <v>#REF!</v>
      </c>
      <c r="HA46" t="e">
        <f>AND('Show Info'!#REF!,"AAAAAHqf/9A=")</f>
        <v>#REF!</v>
      </c>
      <c r="HB46" t="e">
        <f>AND('Show Info'!#REF!,"AAAAAHqf/9E=")</f>
        <v>#REF!</v>
      </c>
      <c r="HC46" t="e">
        <f>AND('Show Info'!#REF!,"AAAAAHqf/9I=")</f>
        <v>#REF!</v>
      </c>
      <c r="HD46" t="e">
        <f>AND('Show Info'!#REF!,"AAAAAHqf/9M=")</f>
        <v>#REF!</v>
      </c>
      <c r="HE46" t="e">
        <f>AND('Show Info'!#REF!,"AAAAAHqf/9Q=")</f>
        <v>#REF!</v>
      </c>
      <c r="HF46" t="e">
        <f>AND('Show Info'!#REF!,"AAAAAHqf/9U=")</f>
        <v>#REF!</v>
      </c>
      <c r="HG46" t="e">
        <f>AND('Show Info'!#REF!,"AAAAAHqf/9Y=")</f>
        <v>#REF!</v>
      </c>
      <c r="HH46" t="e">
        <f>AND('Show Info'!#REF!,"AAAAAHqf/9c=")</f>
        <v>#REF!</v>
      </c>
      <c r="HI46">
        <f>IF('Show Info'!112:112,"AAAAAHqf/9g=",0)</f>
        <v>0</v>
      </c>
      <c r="HJ46" t="e">
        <f>AND('Show Info'!A112,"AAAAAHqf/9k=")</f>
        <v>#VALUE!</v>
      </c>
      <c r="HK46" t="e">
        <f>AND('Show Info'!B112,"AAAAAHqf/9o=")</f>
        <v>#VALUE!</v>
      </c>
      <c r="HL46" t="e">
        <f>AND('Show Info'!C112,"AAAAAHqf/9s=")</f>
        <v>#VALUE!</v>
      </c>
      <c r="HM46" t="e">
        <f>AND('Show Info'!D112,"AAAAAHqf/9w=")</f>
        <v>#VALUE!</v>
      </c>
      <c r="HN46" t="e">
        <f>AND('Show Info'!E112,"AAAAAHqf/90=")</f>
        <v>#VALUE!</v>
      </c>
      <c r="HO46" t="e">
        <f>AND('Show Info'!F112,"AAAAAHqf/94=")</f>
        <v>#VALUE!</v>
      </c>
      <c r="HP46" t="e">
        <f>AND('Show Info'!G112,"AAAAAHqf/98=")</f>
        <v>#VALUE!</v>
      </c>
      <c r="HQ46" t="e">
        <f>AND('Show Info'!H112,"AAAAAHqf/+A=")</f>
        <v>#VALUE!</v>
      </c>
      <c r="HR46" t="e">
        <f>AND('Show Info'!I112,"AAAAAHqf/+E=")</f>
        <v>#VALUE!</v>
      </c>
      <c r="HS46" t="e">
        <f>AND('Show Info'!J112,"AAAAAHqf/+I=")</f>
        <v>#VALUE!</v>
      </c>
      <c r="HT46" t="e">
        <f>AND('Show Info'!K112,"AAAAAHqf/+M=")</f>
        <v>#VALUE!</v>
      </c>
      <c r="HU46" t="e">
        <f>AND('Show Info'!L112,"AAAAAHqf/+Q=")</f>
        <v>#VALUE!</v>
      </c>
      <c r="HV46" t="e">
        <f>AND('Show Info'!M112,"AAAAAHqf/+U=")</f>
        <v>#VALUE!</v>
      </c>
      <c r="HW46" t="e">
        <f>AND('Show Info'!N112,"AAAAAHqf/+Y=")</f>
        <v>#VALUE!</v>
      </c>
      <c r="HX46" t="e">
        <f>AND('Show Info'!O112,"AAAAAHqf/+c=")</f>
        <v>#VALUE!</v>
      </c>
      <c r="HY46" t="e">
        <f>AND('Show Info'!P112,"AAAAAHqf/+g=")</f>
        <v>#VALUE!</v>
      </c>
      <c r="HZ46" t="e">
        <f>AND('Show Info'!Q112,"AAAAAHqf/+k=")</f>
        <v>#VALUE!</v>
      </c>
      <c r="IA46" t="e">
        <f>AND('Show Info'!R112,"AAAAAHqf/+o=")</f>
        <v>#VALUE!</v>
      </c>
      <c r="IB46" t="e">
        <f>AND('Show Info'!S112,"AAAAAHqf/+s=")</f>
        <v>#VALUE!</v>
      </c>
      <c r="IC46" t="e">
        <f>AND('Show Info'!T112,"AAAAAHqf/+w=")</f>
        <v>#VALUE!</v>
      </c>
      <c r="ID46" t="e">
        <f>AND('Show Info'!U112,"AAAAAHqf/+0=")</f>
        <v>#VALUE!</v>
      </c>
      <c r="IE46" t="e">
        <f>AND('Show Info'!V112,"AAAAAHqf/+4=")</f>
        <v>#VALUE!</v>
      </c>
      <c r="IF46">
        <f>IF('Show Info'!113:113,"AAAAAHqf/+8=",0)</f>
        <v>0</v>
      </c>
      <c r="IG46" t="e">
        <f>AND('Show Info'!A113,"AAAAAHqf//A=")</f>
        <v>#VALUE!</v>
      </c>
      <c r="IH46" t="e">
        <f>AND('Show Info'!B113,"AAAAAHqf//E=")</f>
        <v>#VALUE!</v>
      </c>
      <c r="II46" t="e">
        <f>AND('Show Info'!C113,"AAAAAHqf//I=")</f>
        <v>#VALUE!</v>
      </c>
      <c r="IJ46" t="e">
        <f>AND('Show Info'!D113,"AAAAAHqf//M=")</f>
        <v>#VALUE!</v>
      </c>
      <c r="IK46" t="e">
        <f>AND('Show Info'!E113,"AAAAAHqf//Q=")</f>
        <v>#VALUE!</v>
      </c>
      <c r="IL46" t="e">
        <f>AND('Show Info'!F113,"AAAAAHqf//U=")</f>
        <v>#VALUE!</v>
      </c>
      <c r="IM46" t="e">
        <f>AND('Show Info'!G113,"AAAAAHqf//Y=")</f>
        <v>#VALUE!</v>
      </c>
      <c r="IN46" t="e">
        <f>AND('Show Info'!H113,"AAAAAHqf//c=")</f>
        <v>#VALUE!</v>
      </c>
      <c r="IO46" t="e">
        <f>AND('Show Info'!I113,"AAAAAHqf//g=")</f>
        <v>#VALUE!</v>
      </c>
      <c r="IP46" t="e">
        <f>AND('Show Info'!J113,"AAAAAHqf//k=")</f>
        <v>#VALUE!</v>
      </c>
      <c r="IQ46" t="e">
        <f>AND('Show Info'!K113,"AAAAAHqf//o=")</f>
        <v>#VALUE!</v>
      </c>
      <c r="IR46" t="e">
        <f>AND('Show Info'!L113,"AAAAAHqf//s=")</f>
        <v>#VALUE!</v>
      </c>
      <c r="IS46" t="e">
        <f>AND('Show Info'!M113,"AAAAAHqf//w=")</f>
        <v>#VALUE!</v>
      </c>
      <c r="IT46" t="e">
        <f>AND('Show Info'!N113,"AAAAAHqf//0=")</f>
        <v>#VALUE!</v>
      </c>
      <c r="IU46" t="e">
        <f>AND('Show Info'!O113,"AAAAAHqf//4=")</f>
        <v>#VALUE!</v>
      </c>
      <c r="IV46" t="e">
        <f>AND('Show Info'!P113,"AAAAAHqf//8=")</f>
        <v>#VALUE!</v>
      </c>
    </row>
    <row r="47" spans="1:256" x14ac:dyDescent="0.2">
      <c r="A47" t="e">
        <f>AND('Show Info'!Q113,"AAAAAEl+bwA=")</f>
        <v>#VALUE!</v>
      </c>
      <c r="B47" t="e">
        <f>AND('Show Info'!R113,"AAAAAEl+bwE=")</f>
        <v>#VALUE!</v>
      </c>
      <c r="C47" t="e">
        <f>AND('Show Info'!S113,"AAAAAEl+bwI=")</f>
        <v>#VALUE!</v>
      </c>
      <c r="D47" t="e">
        <f>AND('Show Info'!T113,"AAAAAEl+bwM=")</f>
        <v>#VALUE!</v>
      </c>
      <c r="E47" t="e">
        <f>AND('Show Info'!U113,"AAAAAEl+bwQ=")</f>
        <v>#VALUE!</v>
      </c>
      <c r="F47" t="e">
        <f>AND('Show Info'!V113,"AAAAAEl+bwU=")</f>
        <v>#VALUE!</v>
      </c>
      <c r="G47">
        <f>IF('Show Info'!114:114,"AAAAAEl+bwY=",0)</f>
        <v>0</v>
      </c>
      <c r="H47" t="e">
        <f>AND('Show Info'!A114,"AAAAAEl+bwc=")</f>
        <v>#VALUE!</v>
      </c>
      <c r="I47" t="e">
        <f>AND('Show Info'!B114,"AAAAAEl+bwg=")</f>
        <v>#VALUE!</v>
      </c>
      <c r="J47" t="e">
        <f>AND('Show Info'!C114,"AAAAAEl+bwk=")</f>
        <v>#VALUE!</v>
      </c>
      <c r="K47" t="e">
        <f>AND('Show Info'!D114,"AAAAAEl+bwo=")</f>
        <v>#VALUE!</v>
      </c>
      <c r="L47" t="e">
        <f>AND('Show Info'!E114,"AAAAAEl+bws=")</f>
        <v>#VALUE!</v>
      </c>
      <c r="M47" t="e">
        <f>AND('Show Info'!F114,"AAAAAEl+bww=")</f>
        <v>#VALUE!</v>
      </c>
      <c r="N47" t="e">
        <f>AND('Show Info'!G114,"AAAAAEl+bw0=")</f>
        <v>#VALUE!</v>
      </c>
      <c r="O47" t="e">
        <f>AND('Show Info'!H114,"AAAAAEl+bw4=")</f>
        <v>#VALUE!</v>
      </c>
      <c r="P47" t="e">
        <f>AND('Show Info'!I114,"AAAAAEl+bw8=")</f>
        <v>#VALUE!</v>
      </c>
      <c r="Q47" t="e">
        <f>AND('Show Info'!J114,"AAAAAEl+bxA=")</f>
        <v>#VALUE!</v>
      </c>
      <c r="R47" t="e">
        <f>AND('Show Info'!K114,"AAAAAEl+bxE=")</f>
        <v>#VALUE!</v>
      </c>
      <c r="S47" t="e">
        <f>AND('Show Info'!L114,"AAAAAEl+bxI=")</f>
        <v>#VALUE!</v>
      </c>
      <c r="T47" t="e">
        <f>AND('Show Info'!M114,"AAAAAEl+bxM=")</f>
        <v>#VALUE!</v>
      </c>
      <c r="U47" t="e">
        <f>AND('Show Info'!N114,"AAAAAEl+bxQ=")</f>
        <v>#VALUE!</v>
      </c>
      <c r="V47" t="e">
        <f>AND('Show Info'!O114,"AAAAAEl+bxU=")</f>
        <v>#VALUE!</v>
      </c>
      <c r="W47" t="e">
        <f>AND('Show Info'!P114,"AAAAAEl+bxY=")</f>
        <v>#VALUE!</v>
      </c>
      <c r="X47" t="e">
        <f>AND('Show Info'!Q114,"AAAAAEl+bxc=")</f>
        <v>#VALUE!</v>
      </c>
      <c r="Y47" t="e">
        <f>AND('Show Info'!R114,"AAAAAEl+bxg=")</f>
        <v>#VALUE!</v>
      </c>
      <c r="Z47" t="e">
        <f>AND('Show Info'!S114,"AAAAAEl+bxk=")</f>
        <v>#VALUE!</v>
      </c>
      <c r="AA47" t="e">
        <f>AND('Show Info'!T114,"AAAAAEl+bxo=")</f>
        <v>#VALUE!</v>
      </c>
      <c r="AB47" t="e">
        <f>AND('Show Info'!U114,"AAAAAEl+bxs=")</f>
        <v>#VALUE!</v>
      </c>
      <c r="AC47" t="e">
        <f>AND('Show Info'!V114,"AAAAAEl+bxw=")</f>
        <v>#VALUE!</v>
      </c>
      <c r="AD47">
        <f>IF('Show Info'!115:115,"AAAAAEl+bx0=",0)</f>
        <v>0</v>
      </c>
      <c r="AE47" t="e">
        <f>AND('Show Info'!A115,"AAAAAEl+bx4=")</f>
        <v>#VALUE!</v>
      </c>
      <c r="AF47" t="e">
        <f>AND('Show Info'!B115,"AAAAAEl+bx8=")</f>
        <v>#VALUE!</v>
      </c>
      <c r="AG47" t="e">
        <f>AND('Show Info'!C115,"AAAAAEl+byA=")</f>
        <v>#VALUE!</v>
      </c>
      <c r="AH47" t="e">
        <f>AND('Show Info'!D115,"AAAAAEl+byE=")</f>
        <v>#VALUE!</v>
      </c>
      <c r="AI47" t="e">
        <f>AND('Show Info'!E115,"AAAAAEl+byI=")</f>
        <v>#VALUE!</v>
      </c>
      <c r="AJ47" t="e">
        <f>AND('Show Info'!F115,"AAAAAEl+byM=")</f>
        <v>#VALUE!</v>
      </c>
      <c r="AK47" t="e">
        <f>AND('Show Info'!G115,"AAAAAEl+byQ=")</f>
        <v>#VALUE!</v>
      </c>
      <c r="AL47" t="e">
        <f>AND('Show Info'!H115,"AAAAAEl+byU=")</f>
        <v>#VALUE!</v>
      </c>
      <c r="AM47" t="e">
        <f>AND('Show Info'!I115,"AAAAAEl+byY=")</f>
        <v>#VALUE!</v>
      </c>
      <c r="AN47" t="e">
        <f>AND('Show Info'!J115,"AAAAAEl+byc=")</f>
        <v>#VALUE!</v>
      </c>
      <c r="AO47" t="e">
        <f>AND('Show Info'!K115,"AAAAAEl+byg=")</f>
        <v>#VALUE!</v>
      </c>
      <c r="AP47" t="e">
        <f>AND('Show Info'!L115,"AAAAAEl+byk=")</f>
        <v>#VALUE!</v>
      </c>
      <c r="AQ47" t="e">
        <f>AND('Show Info'!M115,"AAAAAEl+byo=")</f>
        <v>#VALUE!</v>
      </c>
      <c r="AR47" t="e">
        <f>AND('Show Info'!N115,"AAAAAEl+bys=")</f>
        <v>#VALUE!</v>
      </c>
      <c r="AS47" t="e">
        <f>AND('Show Info'!O115,"AAAAAEl+byw=")</f>
        <v>#VALUE!</v>
      </c>
      <c r="AT47" t="e">
        <f>AND('Show Info'!P115,"AAAAAEl+by0=")</f>
        <v>#VALUE!</v>
      </c>
      <c r="AU47" t="e">
        <f>AND('Show Info'!Q115,"AAAAAEl+by4=")</f>
        <v>#VALUE!</v>
      </c>
      <c r="AV47" t="e">
        <f>AND('Show Info'!R115,"AAAAAEl+by8=")</f>
        <v>#VALUE!</v>
      </c>
      <c r="AW47" t="e">
        <f>AND('Show Info'!S115,"AAAAAEl+bzA=")</f>
        <v>#VALUE!</v>
      </c>
      <c r="AX47" t="e">
        <f>AND('Show Info'!T115,"AAAAAEl+bzE=")</f>
        <v>#VALUE!</v>
      </c>
      <c r="AY47" t="e">
        <f>AND('Show Info'!U115,"AAAAAEl+bzI=")</f>
        <v>#VALUE!</v>
      </c>
      <c r="AZ47" t="e">
        <f>AND('Show Info'!V115,"AAAAAEl+bzM=")</f>
        <v>#VALUE!</v>
      </c>
      <c r="BA47">
        <f>IF('Show Info'!116:116,"AAAAAEl+bzQ=",0)</f>
        <v>0</v>
      </c>
      <c r="BB47" t="e">
        <f>AND('Show Info'!A116,"AAAAAEl+bzU=")</f>
        <v>#VALUE!</v>
      </c>
      <c r="BC47" t="e">
        <f>AND('Show Info'!B116,"AAAAAEl+bzY=")</f>
        <v>#VALUE!</v>
      </c>
      <c r="BD47" t="e">
        <f>AND('Show Info'!C116,"AAAAAEl+bzc=")</f>
        <v>#VALUE!</v>
      </c>
      <c r="BE47" t="e">
        <f>AND('Show Info'!D116,"AAAAAEl+bzg=")</f>
        <v>#VALUE!</v>
      </c>
      <c r="BF47" t="e">
        <f>AND('Show Info'!E116,"AAAAAEl+bzk=")</f>
        <v>#VALUE!</v>
      </c>
      <c r="BG47" t="e">
        <f>AND('Show Info'!F116,"AAAAAEl+bzo=")</f>
        <v>#VALUE!</v>
      </c>
      <c r="BH47" t="e">
        <f>AND('Show Info'!G116,"AAAAAEl+bzs=")</f>
        <v>#VALUE!</v>
      </c>
      <c r="BI47" t="e">
        <f>AND('Show Info'!H116,"AAAAAEl+bzw=")</f>
        <v>#VALUE!</v>
      </c>
      <c r="BJ47" t="e">
        <f>AND('Show Info'!I116,"AAAAAEl+bz0=")</f>
        <v>#VALUE!</v>
      </c>
      <c r="BK47" t="e">
        <f>AND('Show Info'!J116,"AAAAAEl+bz4=")</f>
        <v>#VALUE!</v>
      </c>
      <c r="BL47" t="e">
        <f>AND('Show Info'!K116,"AAAAAEl+bz8=")</f>
        <v>#VALUE!</v>
      </c>
      <c r="BM47" t="e">
        <f>AND('Show Info'!L116,"AAAAAEl+b0A=")</f>
        <v>#VALUE!</v>
      </c>
      <c r="BN47" t="e">
        <f>AND('Show Info'!M116,"AAAAAEl+b0E=")</f>
        <v>#VALUE!</v>
      </c>
      <c r="BO47" t="e">
        <f>AND('Show Info'!N116,"AAAAAEl+b0I=")</f>
        <v>#VALUE!</v>
      </c>
      <c r="BP47" t="e">
        <f>AND('Show Info'!O116,"AAAAAEl+b0M=")</f>
        <v>#VALUE!</v>
      </c>
      <c r="BQ47" t="e">
        <f>AND('Show Info'!P116,"AAAAAEl+b0Q=")</f>
        <v>#VALUE!</v>
      </c>
      <c r="BR47" t="e">
        <f>AND('Show Info'!Q116,"AAAAAEl+b0U=")</f>
        <v>#VALUE!</v>
      </c>
      <c r="BS47" t="e">
        <f>AND('Show Info'!R116,"AAAAAEl+b0Y=")</f>
        <v>#VALUE!</v>
      </c>
      <c r="BT47" t="e">
        <f>AND('Show Info'!S116,"AAAAAEl+b0c=")</f>
        <v>#VALUE!</v>
      </c>
      <c r="BU47" t="e">
        <f>AND('Show Info'!T116,"AAAAAEl+b0g=")</f>
        <v>#VALUE!</v>
      </c>
      <c r="BV47" t="e">
        <f>AND('Show Info'!U116,"AAAAAEl+b0k=")</f>
        <v>#VALUE!</v>
      </c>
      <c r="BW47" t="e">
        <f>AND('Show Info'!V116,"AAAAAEl+b0o=")</f>
        <v>#VALUE!</v>
      </c>
      <c r="BX47" t="e">
        <f>IF('Show Info'!#REF!,"AAAAAEl+b0s=",0)</f>
        <v>#REF!</v>
      </c>
      <c r="BY47" t="e">
        <f>AND('Show Info'!#REF!,"AAAAAEl+b0w=")</f>
        <v>#REF!</v>
      </c>
      <c r="BZ47" t="e">
        <f>AND('Show Info'!#REF!,"AAAAAEl+b00=")</f>
        <v>#REF!</v>
      </c>
      <c r="CA47" t="e">
        <f>AND('Show Info'!#REF!,"AAAAAEl+b04=")</f>
        <v>#REF!</v>
      </c>
      <c r="CB47" t="e">
        <f>AND('Show Info'!#REF!,"AAAAAEl+b08=")</f>
        <v>#REF!</v>
      </c>
      <c r="CC47" t="e">
        <f>AND('Show Info'!#REF!,"AAAAAEl+b1A=")</f>
        <v>#REF!</v>
      </c>
      <c r="CD47" t="e">
        <f>AND('Show Info'!#REF!,"AAAAAEl+b1E=")</f>
        <v>#REF!</v>
      </c>
      <c r="CE47" t="e">
        <f>AND('Show Info'!#REF!,"AAAAAEl+b1I=")</f>
        <v>#REF!</v>
      </c>
      <c r="CF47" t="e">
        <f>AND('Show Info'!#REF!,"AAAAAEl+b1M=")</f>
        <v>#REF!</v>
      </c>
      <c r="CG47" t="e">
        <f>AND('Show Info'!#REF!,"AAAAAEl+b1Q=")</f>
        <v>#REF!</v>
      </c>
      <c r="CH47" t="e">
        <f>AND('Show Info'!#REF!,"AAAAAEl+b1U=")</f>
        <v>#REF!</v>
      </c>
      <c r="CI47" t="e">
        <f>AND('Show Info'!#REF!,"AAAAAEl+b1Y=")</f>
        <v>#REF!</v>
      </c>
      <c r="CJ47" t="e">
        <f>AND('Show Info'!#REF!,"AAAAAEl+b1c=")</f>
        <v>#REF!</v>
      </c>
      <c r="CK47" t="e">
        <f>AND('Show Info'!#REF!,"AAAAAEl+b1g=")</f>
        <v>#REF!</v>
      </c>
      <c r="CL47" t="e">
        <f>AND('Show Info'!#REF!,"AAAAAEl+b1k=")</f>
        <v>#REF!</v>
      </c>
      <c r="CM47" t="e">
        <f>AND('Show Info'!#REF!,"AAAAAEl+b1o=")</f>
        <v>#REF!</v>
      </c>
      <c r="CN47" t="e">
        <f>AND('Show Info'!#REF!,"AAAAAEl+b1s=")</f>
        <v>#REF!</v>
      </c>
      <c r="CO47" t="e">
        <f>AND('Show Info'!#REF!,"AAAAAEl+b1w=")</f>
        <v>#REF!</v>
      </c>
      <c r="CP47" t="e">
        <f>AND('Show Info'!#REF!,"AAAAAEl+b10=")</f>
        <v>#REF!</v>
      </c>
      <c r="CQ47" t="e">
        <f>AND('Show Info'!#REF!,"AAAAAEl+b14=")</f>
        <v>#REF!</v>
      </c>
      <c r="CR47" t="e">
        <f>AND('Show Info'!#REF!,"AAAAAEl+b18=")</f>
        <v>#REF!</v>
      </c>
      <c r="CS47" t="e">
        <f>AND('Show Info'!#REF!,"AAAAAEl+b2A=")</f>
        <v>#REF!</v>
      </c>
      <c r="CT47" t="e">
        <f>AND('Show Info'!#REF!,"AAAAAEl+b2E=")</f>
        <v>#REF!</v>
      </c>
      <c r="CU47" t="e">
        <f>IF('Show Info'!#REF!,"AAAAAEl+b2I=",0)</f>
        <v>#REF!</v>
      </c>
      <c r="CV47" t="e">
        <f>AND('Show Info'!#REF!,"AAAAAEl+b2M=")</f>
        <v>#REF!</v>
      </c>
      <c r="CW47" t="e">
        <f>AND('Show Info'!#REF!,"AAAAAEl+b2Q=")</f>
        <v>#REF!</v>
      </c>
      <c r="CX47" t="e">
        <f>AND('Show Info'!#REF!,"AAAAAEl+b2U=")</f>
        <v>#REF!</v>
      </c>
      <c r="CY47" t="e">
        <f>AND('Show Info'!#REF!,"AAAAAEl+b2Y=")</f>
        <v>#REF!</v>
      </c>
      <c r="CZ47" t="e">
        <f>AND('Show Info'!#REF!,"AAAAAEl+b2c=")</f>
        <v>#REF!</v>
      </c>
      <c r="DA47" t="e">
        <f>AND('Show Info'!#REF!,"AAAAAEl+b2g=")</f>
        <v>#REF!</v>
      </c>
      <c r="DB47" t="e">
        <f>AND('Show Info'!#REF!,"AAAAAEl+b2k=")</f>
        <v>#REF!</v>
      </c>
      <c r="DC47" t="e">
        <f>AND('Show Info'!#REF!,"AAAAAEl+b2o=")</f>
        <v>#REF!</v>
      </c>
      <c r="DD47" t="e">
        <f>AND('Show Info'!#REF!,"AAAAAEl+b2s=")</f>
        <v>#REF!</v>
      </c>
      <c r="DE47" t="e">
        <f>AND('Show Info'!#REF!,"AAAAAEl+b2w=")</f>
        <v>#REF!</v>
      </c>
      <c r="DF47" t="e">
        <f>AND('Show Info'!#REF!,"AAAAAEl+b20=")</f>
        <v>#REF!</v>
      </c>
      <c r="DG47" t="e">
        <f>AND('Show Info'!#REF!,"AAAAAEl+b24=")</f>
        <v>#REF!</v>
      </c>
      <c r="DH47" t="e">
        <f>AND('Show Info'!#REF!,"AAAAAEl+b28=")</f>
        <v>#REF!</v>
      </c>
      <c r="DI47" t="e">
        <f>AND('Show Info'!#REF!,"AAAAAEl+b3A=")</f>
        <v>#REF!</v>
      </c>
      <c r="DJ47" t="e">
        <f>AND('Show Info'!#REF!,"AAAAAEl+b3E=")</f>
        <v>#REF!</v>
      </c>
      <c r="DK47" t="e">
        <f>AND('Show Info'!#REF!,"AAAAAEl+b3I=")</f>
        <v>#REF!</v>
      </c>
      <c r="DL47" t="e">
        <f>AND('Show Info'!#REF!,"AAAAAEl+b3M=")</f>
        <v>#REF!</v>
      </c>
      <c r="DM47" t="e">
        <f>AND('Show Info'!#REF!,"AAAAAEl+b3Q=")</f>
        <v>#REF!</v>
      </c>
      <c r="DN47" t="e">
        <f>AND('Show Info'!#REF!,"AAAAAEl+b3U=")</f>
        <v>#REF!</v>
      </c>
      <c r="DO47" t="e">
        <f>AND('Show Info'!#REF!,"AAAAAEl+b3Y=")</f>
        <v>#REF!</v>
      </c>
      <c r="DP47" t="e">
        <f>AND('Show Info'!#REF!,"AAAAAEl+b3c=")</f>
        <v>#REF!</v>
      </c>
      <c r="DQ47" t="e">
        <f>AND('Show Info'!#REF!,"AAAAAEl+b3g=")</f>
        <v>#REF!</v>
      </c>
      <c r="DR47">
        <f>IF('Show Info'!117:117,"AAAAAEl+b3k=",0)</f>
        <v>0</v>
      </c>
      <c r="DS47" t="e">
        <f>AND('Show Info'!A117,"AAAAAEl+b3o=")</f>
        <v>#VALUE!</v>
      </c>
      <c r="DT47" t="e">
        <f>AND('Show Info'!B117,"AAAAAEl+b3s=")</f>
        <v>#VALUE!</v>
      </c>
      <c r="DU47" t="e">
        <f>AND('Show Info'!C117,"AAAAAEl+b3w=")</f>
        <v>#VALUE!</v>
      </c>
      <c r="DV47" t="e">
        <f>AND('Show Info'!D117,"AAAAAEl+b30=")</f>
        <v>#VALUE!</v>
      </c>
      <c r="DW47" t="e">
        <f>AND('Show Info'!E117,"AAAAAEl+b34=")</f>
        <v>#VALUE!</v>
      </c>
      <c r="DX47" t="e">
        <f>AND('Show Info'!F117,"AAAAAEl+b38=")</f>
        <v>#VALUE!</v>
      </c>
      <c r="DY47" t="e">
        <f>AND('Show Info'!G117,"AAAAAEl+b4A=")</f>
        <v>#VALUE!</v>
      </c>
      <c r="DZ47" t="e">
        <f>AND('Show Info'!H117,"AAAAAEl+b4E=")</f>
        <v>#VALUE!</v>
      </c>
      <c r="EA47" t="e">
        <f>AND('Show Info'!I117,"AAAAAEl+b4I=")</f>
        <v>#VALUE!</v>
      </c>
      <c r="EB47" t="e">
        <f>AND('Show Info'!J117,"AAAAAEl+b4M=")</f>
        <v>#VALUE!</v>
      </c>
      <c r="EC47" t="e">
        <f>AND('Show Info'!K117,"AAAAAEl+b4Q=")</f>
        <v>#VALUE!</v>
      </c>
      <c r="ED47" t="e">
        <f>AND('Show Info'!L117,"AAAAAEl+b4U=")</f>
        <v>#VALUE!</v>
      </c>
      <c r="EE47" t="e">
        <f>AND('Show Info'!M117,"AAAAAEl+b4Y=")</f>
        <v>#VALUE!</v>
      </c>
      <c r="EF47" t="e">
        <f>AND('Show Info'!N117,"AAAAAEl+b4c=")</f>
        <v>#VALUE!</v>
      </c>
      <c r="EG47" t="e">
        <f>AND('Show Info'!O117,"AAAAAEl+b4g=")</f>
        <v>#VALUE!</v>
      </c>
      <c r="EH47" t="e">
        <f>AND('Show Info'!P117,"AAAAAEl+b4k=")</f>
        <v>#VALUE!</v>
      </c>
      <c r="EI47" t="e">
        <f>AND('Show Info'!Q117,"AAAAAEl+b4o=")</f>
        <v>#VALUE!</v>
      </c>
      <c r="EJ47" t="e">
        <f>AND('Show Info'!R117,"AAAAAEl+b4s=")</f>
        <v>#VALUE!</v>
      </c>
      <c r="EK47" t="e">
        <f>AND('Show Info'!S117,"AAAAAEl+b4w=")</f>
        <v>#VALUE!</v>
      </c>
      <c r="EL47" t="e">
        <f>AND('Show Info'!T117,"AAAAAEl+b40=")</f>
        <v>#VALUE!</v>
      </c>
      <c r="EM47" t="e">
        <f>AND('Show Info'!U117,"AAAAAEl+b44=")</f>
        <v>#VALUE!</v>
      </c>
      <c r="EN47" t="e">
        <f>AND('Show Info'!V117,"AAAAAEl+b48=")</f>
        <v>#VALUE!</v>
      </c>
      <c r="EO47" t="e">
        <f>IF('Show Info'!#REF!,"AAAAAEl+b5A=",0)</f>
        <v>#REF!</v>
      </c>
      <c r="EP47" t="e">
        <f>AND('Show Info'!#REF!,"AAAAAEl+b5E=")</f>
        <v>#REF!</v>
      </c>
      <c r="EQ47" t="e">
        <f>AND('Show Info'!#REF!,"AAAAAEl+b5I=")</f>
        <v>#REF!</v>
      </c>
      <c r="ER47" t="e">
        <f>AND('Show Info'!#REF!,"AAAAAEl+b5M=")</f>
        <v>#REF!</v>
      </c>
      <c r="ES47" t="e">
        <f>AND('Show Info'!#REF!,"AAAAAEl+b5Q=")</f>
        <v>#REF!</v>
      </c>
      <c r="ET47" t="e">
        <f>AND('Show Info'!#REF!,"AAAAAEl+b5U=")</f>
        <v>#REF!</v>
      </c>
      <c r="EU47" t="e">
        <f>AND('Show Info'!#REF!,"AAAAAEl+b5Y=")</f>
        <v>#REF!</v>
      </c>
      <c r="EV47" t="e">
        <f>AND('Show Info'!#REF!,"AAAAAEl+b5c=")</f>
        <v>#REF!</v>
      </c>
      <c r="EW47" t="e">
        <f>AND('Show Info'!#REF!,"AAAAAEl+b5g=")</f>
        <v>#REF!</v>
      </c>
      <c r="EX47" t="e">
        <f>AND('Show Info'!#REF!,"AAAAAEl+b5k=")</f>
        <v>#REF!</v>
      </c>
      <c r="EY47" t="e">
        <f>AND('Show Info'!#REF!,"AAAAAEl+b5o=")</f>
        <v>#REF!</v>
      </c>
      <c r="EZ47" t="e">
        <f>AND('Show Info'!#REF!,"AAAAAEl+b5s=")</f>
        <v>#REF!</v>
      </c>
      <c r="FA47" t="e">
        <f>AND('Show Info'!#REF!,"AAAAAEl+b5w=")</f>
        <v>#REF!</v>
      </c>
      <c r="FB47" t="e">
        <f>AND('Show Info'!#REF!,"AAAAAEl+b50=")</f>
        <v>#REF!</v>
      </c>
      <c r="FC47" t="e">
        <f>AND('Show Info'!#REF!,"AAAAAEl+b54=")</f>
        <v>#REF!</v>
      </c>
      <c r="FD47" t="e">
        <f>AND('Show Info'!#REF!,"AAAAAEl+b58=")</f>
        <v>#REF!</v>
      </c>
      <c r="FE47" t="e">
        <f>AND('Show Info'!#REF!,"AAAAAEl+b6A=")</f>
        <v>#REF!</v>
      </c>
      <c r="FF47" t="e">
        <f>AND('Show Info'!#REF!,"AAAAAEl+b6E=")</f>
        <v>#REF!</v>
      </c>
      <c r="FG47" t="e">
        <f>AND('Show Info'!#REF!,"AAAAAEl+b6I=")</f>
        <v>#REF!</v>
      </c>
      <c r="FH47" t="e">
        <f>AND('Show Info'!#REF!,"AAAAAEl+b6M=")</f>
        <v>#REF!</v>
      </c>
      <c r="FI47" t="e">
        <f>AND('Show Info'!#REF!,"AAAAAEl+b6Q=")</f>
        <v>#REF!</v>
      </c>
      <c r="FJ47" t="e">
        <f>AND('Show Info'!#REF!,"AAAAAEl+b6U=")</f>
        <v>#REF!</v>
      </c>
      <c r="FK47" t="e">
        <f>AND('Show Info'!#REF!,"AAAAAEl+b6Y=")</f>
        <v>#REF!</v>
      </c>
      <c r="FL47">
        <f>IF('Show Info'!51:51,"AAAAAEl+b6c=",0)</f>
        <v>0</v>
      </c>
      <c r="FM47" t="e">
        <f>AND('Show Info'!A51,"AAAAAEl+b6g=")</f>
        <v>#VALUE!</v>
      </c>
      <c r="FN47" t="e">
        <f>AND('Show Info'!B51,"AAAAAEl+b6k=")</f>
        <v>#VALUE!</v>
      </c>
      <c r="FO47" t="e">
        <f>AND('Show Info'!C51,"AAAAAEl+b6o=")</f>
        <v>#VALUE!</v>
      </c>
      <c r="FP47" t="e">
        <f>AND('Show Info'!D51,"AAAAAEl+b6s=")</f>
        <v>#VALUE!</v>
      </c>
      <c r="FQ47" t="e">
        <f>AND('Show Info'!E51,"AAAAAEl+b6w=")</f>
        <v>#VALUE!</v>
      </c>
      <c r="FR47" t="e">
        <f>AND('Show Info'!F51,"AAAAAEl+b60=")</f>
        <v>#VALUE!</v>
      </c>
      <c r="FS47" t="e">
        <f>AND('Show Info'!G51,"AAAAAEl+b64=")</f>
        <v>#VALUE!</v>
      </c>
      <c r="FT47" t="e">
        <f>AND('Show Info'!H51,"AAAAAEl+b68=")</f>
        <v>#VALUE!</v>
      </c>
      <c r="FU47" t="e">
        <f>AND('Show Info'!I51,"AAAAAEl+b7A=")</f>
        <v>#VALUE!</v>
      </c>
      <c r="FV47" t="e">
        <f>AND('Show Info'!J51,"AAAAAEl+b7E=")</f>
        <v>#VALUE!</v>
      </c>
      <c r="FW47" t="e">
        <f>AND('Show Info'!K51,"AAAAAEl+b7I=")</f>
        <v>#VALUE!</v>
      </c>
      <c r="FX47" t="e">
        <f>AND('Show Info'!L51,"AAAAAEl+b7M=")</f>
        <v>#VALUE!</v>
      </c>
      <c r="FY47" t="e">
        <f>AND('Show Info'!M51,"AAAAAEl+b7Q=")</f>
        <v>#VALUE!</v>
      </c>
      <c r="FZ47" t="e">
        <f>AND('Show Info'!N51,"AAAAAEl+b7U=")</f>
        <v>#VALUE!</v>
      </c>
      <c r="GA47" t="e">
        <f>AND('Show Info'!O51,"AAAAAEl+b7Y=")</f>
        <v>#VALUE!</v>
      </c>
      <c r="GB47" t="e">
        <f>AND('Show Info'!P51,"AAAAAEl+b7c=")</f>
        <v>#VALUE!</v>
      </c>
      <c r="GC47" t="e">
        <f>AND('Show Info'!Q51,"AAAAAEl+b7g=")</f>
        <v>#VALUE!</v>
      </c>
      <c r="GD47" t="e">
        <f>AND('Show Info'!R51,"AAAAAEl+b7k=")</f>
        <v>#VALUE!</v>
      </c>
      <c r="GE47" t="e">
        <f>AND('Show Info'!S51,"AAAAAEl+b7o=")</f>
        <v>#VALUE!</v>
      </c>
      <c r="GF47" t="e">
        <f>AND('Show Info'!T51,"AAAAAEl+b7s=")</f>
        <v>#VALUE!</v>
      </c>
      <c r="GG47" t="e">
        <f>AND('Show Info'!U51,"AAAAAEl+b7w=")</f>
        <v>#VALUE!</v>
      </c>
      <c r="GH47" t="e">
        <f>AND('Show Info'!V51,"AAAAAEl+b70=")</f>
        <v>#VALUE!</v>
      </c>
      <c r="GI47">
        <f>IF('Show Info'!52:52,"AAAAAEl+b74=",0)</f>
        <v>0</v>
      </c>
      <c r="GJ47" t="e">
        <f>AND('Show Info'!A52,"AAAAAEl+b78=")</f>
        <v>#VALUE!</v>
      </c>
      <c r="GK47" t="e">
        <f>AND('Show Info'!B52,"AAAAAEl+b8A=")</f>
        <v>#VALUE!</v>
      </c>
      <c r="GL47" t="e">
        <f>AND('Show Info'!C52,"AAAAAEl+b8E=")</f>
        <v>#VALUE!</v>
      </c>
      <c r="GM47" t="e">
        <f>AND('Show Info'!D52,"AAAAAEl+b8I=")</f>
        <v>#VALUE!</v>
      </c>
      <c r="GN47" t="e">
        <f>AND('Show Info'!E52,"AAAAAEl+b8M=")</f>
        <v>#VALUE!</v>
      </c>
      <c r="GO47" t="e">
        <f>AND('Show Info'!F52,"AAAAAEl+b8Q=")</f>
        <v>#VALUE!</v>
      </c>
      <c r="GP47" t="e">
        <f>AND('Show Info'!G52,"AAAAAEl+b8U=")</f>
        <v>#VALUE!</v>
      </c>
      <c r="GQ47" t="e">
        <f>AND('Show Info'!H52,"AAAAAEl+b8Y=")</f>
        <v>#VALUE!</v>
      </c>
      <c r="GR47" t="e">
        <f>AND('Show Info'!I52,"AAAAAEl+b8c=")</f>
        <v>#VALUE!</v>
      </c>
      <c r="GS47" t="e">
        <f>AND('Show Info'!J52,"AAAAAEl+b8g=")</f>
        <v>#VALUE!</v>
      </c>
      <c r="GT47" t="e">
        <f>AND('Show Info'!K52,"AAAAAEl+b8k=")</f>
        <v>#VALUE!</v>
      </c>
      <c r="GU47" t="e">
        <f>AND('Show Info'!L52,"AAAAAEl+b8o=")</f>
        <v>#VALUE!</v>
      </c>
      <c r="GV47" t="e">
        <f>AND('Show Info'!M52,"AAAAAEl+b8s=")</f>
        <v>#VALUE!</v>
      </c>
      <c r="GW47" t="e">
        <f>AND('Show Info'!N52,"AAAAAEl+b8w=")</f>
        <v>#VALUE!</v>
      </c>
      <c r="GX47" t="e">
        <f>AND('Show Info'!O52,"AAAAAEl+b80=")</f>
        <v>#VALUE!</v>
      </c>
      <c r="GY47" t="e">
        <f>AND('Show Info'!P52,"AAAAAEl+b84=")</f>
        <v>#VALUE!</v>
      </c>
      <c r="GZ47" t="e">
        <f>AND('Show Info'!Q52,"AAAAAEl+b88=")</f>
        <v>#VALUE!</v>
      </c>
      <c r="HA47" t="e">
        <f>AND('Show Info'!R52,"AAAAAEl+b9A=")</f>
        <v>#VALUE!</v>
      </c>
      <c r="HB47" t="e">
        <f>AND('Show Info'!S52,"AAAAAEl+b9E=")</f>
        <v>#VALUE!</v>
      </c>
      <c r="HC47" t="e">
        <f>AND('Show Info'!T52,"AAAAAEl+b9I=")</f>
        <v>#VALUE!</v>
      </c>
      <c r="HD47" t="e">
        <f>AND('Show Info'!U52,"AAAAAEl+b9M=")</f>
        <v>#VALUE!</v>
      </c>
      <c r="HE47" t="e">
        <f>AND('Show Info'!V52,"AAAAAEl+b9Q=")</f>
        <v>#VALUE!</v>
      </c>
      <c r="HF47">
        <f>IF('Show Info'!53:53,"AAAAAEl+b9U=",0)</f>
        <v>0</v>
      </c>
      <c r="HG47" t="e">
        <f>AND('Show Info'!A53,"AAAAAEl+b9Y=")</f>
        <v>#VALUE!</v>
      </c>
      <c r="HH47" t="e">
        <f>AND('Show Info'!B53,"AAAAAEl+b9c=")</f>
        <v>#VALUE!</v>
      </c>
      <c r="HI47" t="e">
        <f>AND('Show Info'!C53,"AAAAAEl+b9g=")</f>
        <v>#VALUE!</v>
      </c>
      <c r="HJ47" t="e">
        <f>AND('Show Info'!D53,"AAAAAEl+b9k=")</f>
        <v>#VALUE!</v>
      </c>
      <c r="HK47" t="e">
        <f>AND('Show Info'!E53,"AAAAAEl+b9o=")</f>
        <v>#VALUE!</v>
      </c>
      <c r="HL47" t="e">
        <f>AND('Show Info'!F53,"AAAAAEl+b9s=")</f>
        <v>#VALUE!</v>
      </c>
      <c r="HM47" t="e">
        <f>AND('Show Info'!G53,"AAAAAEl+b9w=")</f>
        <v>#VALUE!</v>
      </c>
      <c r="HN47" t="e">
        <f>AND('Show Info'!H53,"AAAAAEl+b90=")</f>
        <v>#VALUE!</v>
      </c>
      <c r="HO47" t="e">
        <f>AND('Show Info'!I53,"AAAAAEl+b94=")</f>
        <v>#VALUE!</v>
      </c>
      <c r="HP47" t="e">
        <f>AND('Show Info'!J53,"AAAAAEl+b98=")</f>
        <v>#VALUE!</v>
      </c>
      <c r="HQ47" t="e">
        <f>AND('Show Info'!K53,"AAAAAEl+b+A=")</f>
        <v>#VALUE!</v>
      </c>
      <c r="HR47" t="e">
        <f>AND('Show Info'!L53,"AAAAAEl+b+E=")</f>
        <v>#VALUE!</v>
      </c>
      <c r="HS47" t="e">
        <f>AND('Show Info'!M53,"AAAAAEl+b+I=")</f>
        <v>#VALUE!</v>
      </c>
      <c r="HT47" t="e">
        <f>AND('Show Info'!N53,"AAAAAEl+b+M=")</f>
        <v>#VALUE!</v>
      </c>
      <c r="HU47" t="e">
        <f>AND('Show Info'!O53,"AAAAAEl+b+Q=")</f>
        <v>#VALUE!</v>
      </c>
      <c r="HV47" t="e">
        <f>AND('Show Info'!P53,"AAAAAEl+b+U=")</f>
        <v>#VALUE!</v>
      </c>
      <c r="HW47" t="e">
        <f>AND('Show Info'!Q53,"AAAAAEl+b+Y=")</f>
        <v>#VALUE!</v>
      </c>
      <c r="HX47" t="e">
        <f>AND('Show Info'!R53,"AAAAAEl+b+c=")</f>
        <v>#VALUE!</v>
      </c>
      <c r="HY47" t="e">
        <f>AND('Show Info'!S53,"AAAAAEl+b+g=")</f>
        <v>#VALUE!</v>
      </c>
      <c r="HZ47" t="e">
        <f>AND('Show Info'!T53,"AAAAAEl+b+k=")</f>
        <v>#VALUE!</v>
      </c>
      <c r="IA47" t="e">
        <f>AND('Show Info'!U53,"AAAAAEl+b+o=")</f>
        <v>#VALUE!</v>
      </c>
      <c r="IB47" t="e">
        <f>AND('Show Info'!V53,"AAAAAEl+b+s=")</f>
        <v>#VALUE!</v>
      </c>
      <c r="IC47" t="e">
        <f>IF('Show Info'!#REF!,"AAAAAEl+b+w=",0)</f>
        <v>#REF!</v>
      </c>
      <c r="ID47" t="e">
        <f>AND('Show Info'!#REF!,"AAAAAEl+b+0=")</f>
        <v>#REF!</v>
      </c>
      <c r="IE47" t="e">
        <f>AND('Show Info'!#REF!,"AAAAAEl+b+4=")</f>
        <v>#REF!</v>
      </c>
      <c r="IF47" t="e">
        <f>AND('Show Info'!#REF!,"AAAAAEl+b+8=")</f>
        <v>#REF!</v>
      </c>
      <c r="IG47" t="e">
        <f>AND('Show Info'!#REF!,"AAAAAEl+b/A=")</f>
        <v>#REF!</v>
      </c>
      <c r="IH47" t="e">
        <f>AND('Show Info'!#REF!,"AAAAAEl+b/E=")</f>
        <v>#REF!</v>
      </c>
      <c r="II47" t="e">
        <f>AND('Show Info'!#REF!,"AAAAAEl+b/I=")</f>
        <v>#REF!</v>
      </c>
      <c r="IJ47" t="e">
        <f>AND('Show Info'!#REF!,"AAAAAEl+b/M=")</f>
        <v>#REF!</v>
      </c>
      <c r="IK47" t="e">
        <f>AND('Show Info'!#REF!,"AAAAAEl+b/Q=")</f>
        <v>#REF!</v>
      </c>
      <c r="IL47" t="e">
        <f>AND('Show Info'!#REF!,"AAAAAEl+b/U=")</f>
        <v>#REF!</v>
      </c>
      <c r="IM47" t="e">
        <f>AND('Show Info'!#REF!,"AAAAAEl+b/Y=")</f>
        <v>#REF!</v>
      </c>
      <c r="IN47" t="e">
        <f>AND('Show Info'!#REF!,"AAAAAEl+b/c=")</f>
        <v>#REF!</v>
      </c>
      <c r="IO47" t="e">
        <f>AND('Show Info'!#REF!,"AAAAAEl+b/g=")</f>
        <v>#REF!</v>
      </c>
      <c r="IP47" t="e">
        <f>AND('Show Info'!#REF!,"AAAAAEl+b/k=")</f>
        <v>#REF!</v>
      </c>
      <c r="IQ47" t="e">
        <f>AND('Show Info'!#REF!,"AAAAAEl+b/o=")</f>
        <v>#REF!</v>
      </c>
      <c r="IR47" t="e">
        <f>AND('Show Info'!#REF!,"AAAAAEl+b/s=")</f>
        <v>#REF!</v>
      </c>
      <c r="IS47" t="e">
        <f>AND('Show Info'!#REF!,"AAAAAEl+b/w=")</f>
        <v>#REF!</v>
      </c>
      <c r="IT47" t="e">
        <f>AND('Show Info'!#REF!,"AAAAAEl+b/0=")</f>
        <v>#REF!</v>
      </c>
      <c r="IU47" t="e">
        <f>AND('Show Info'!#REF!,"AAAAAEl+b/4=")</f>
        <v>#REF!</v>
      </c>
      <c r="IV47" t="e">
        <f>AND('Show Info'!#REF!,"AAAAAEl+b/8=")</f>
        <v>#REF!</v>
      </c>
    </row>
    <row r="48" spans="1:256" x14ac:dyDescent="0.2">
      <c r="A48" t="e">
        <f>AND('Show Info'!#REF!,"AAAAAGu/9gA=")</f>
        <v>#REF!</v>
      </c>
      <c r="B48" t="e">
        <f>AND('Show Info'!#REF!,"AAAAAGu/9gE=")</f>
        <v>#REF!</v>
      </c>
      <c r="C48" t="e">
        <f>AND('Show Info'!#REF!,"AAAAAGu/9gI=")</f>
        <v>#REF!</v>
      </c>
      <c r="D48">
        <f>IF('Show Info'!54:54,"AAAAAGu/9gM=",0)</f>
        <v>0</v>
      </c>
      <c r="E48" t="e">
        <f>AND('Show Info'!A54,"AAAAAGu/9gQ=")</f>
        <v>#VALUE!</v>
      </c>
      <c r="F48" t="e">
        <f>AND('Show Info'!B54,"AAAAAGu/9gU=")</f>
        <v>#VALUE!</v>
      </c>
      <c r="G48" t="e">
        <f>AND('Show Info'!C54,"AAAAAGu/9gY=")</f>
        <v>#VALUE!</v>
      </c>
      <c r="H48" t="e">
        <f>AND('Show Info'!D54,"AAAAAGu/9gc=")</f>
        <v>#VALUE!</v>
      </c>
      <c r="I48" t="e">
        <f>AND('Show Info'!E54,"AAAAAGu/9gg=")</f>
        <v>#VALUE!</v>
      </c>
      <c r="J48" t="e">
        <f>AND('Show Info'!F54,"AAAAAGu/9gk=")</f>
        <v>#VALUE!</v>
      </c>
      <c r="K48" t="e">
        <f>AND('Show Info'!G54,"AAAAAGu/9go=")</f>
        <v>#VALUE!</v>
      </c>
      <c r="L48" t="e">
        <f>AND('Show Info'!H54,"AAAAAGu/9gs=")</f>
        <v>#VALUE!</v>
      </c>
      <c r="M48" t="e">
        <f>AND('Show Info'!I54,"AAAAAGu/9gw=")</f>
        <v>#VALUE!</v>
      </c>
      <c r="N48" t="e">
        <f>AND('Show Info'!J54,"AAAAAGu/9g0=")</f>
        <v>#VALUE!</v>
      </c>
      <c r="O48" t="e">
        <f>AND('Show Info'!K54,"AAAAAGu/9g4=")</f>
        <v>#VALUE!</v>
      </c>
      <c r="P48" t="e">
        <f>AND('Show Info'!L54,"AAAAAGu/9g8=")</f>
        <v>#VALUE!</v>
      </c>
      <c r="Q48" t="e">
        <f>AND('Show Info'!M54,"AAAAAGu/9hA=")</f>
        <v>#VALUE!</v>
      </c>
      <c r="R48" t="e">
        <f>AND('Show Info'!N54,"AAAAAGu/9hE=")</f>
        <v>#VALUE!</v>
      </c>
      <c r="S48" t="e">
        <f>AND('Show Info'!O54,"AAAAAGu/9hI=")</f>
        <v>#VALUE!</v>
      </c>
      <c r="T48" t="e">
        <f>AND('Show Info'!P54,"AAAAAGu/9hM=")</f>
        <v>#VALUE!</v>
      </c>
      <c r="U48" t="e">
        <f>AND('Show Info'!Q54,"AAAAAGu/9hQ=")</f>
        <v>#VALUE!</v>
      </c>
      <c r="V48" t="e">
        <f>AND('Show Info'!R54,"AAAAAGu/9hU=")</f>
        <v>#VALUE!</v>
      </c>
      <c r="W48" t="e">
        <f>AND('Show Info'!S54,"AAAAAGu/9hY=")</f>
        <v>#VALUE!</v>
      </c>
      <c r="X48" t="e">
        <f>AND('Show Info'!T54,"AAAAAGu/9hc=")</f>
        <v>#VALUE!</v>
      </c>
      <c r="Y48" t="e">
        <f>AND('Show Info'!U54,"AAAAAGu/9hg=")</f>
        <v>#VALUE!</v>
      </c>
      <c r="Z48" t="e">
        <f>AND('Show Info'!V54,"AAAAAGu/9hk=")</f>
        <v>#VALUE!</v>
      </c>
      <c r="AA48">
        <f>IF('Show Info'!56:56,"AAAAAGu/9ho=",0)</f>
        <v>0</v>
      </c>
      <c r="AB48" t="e">
        <f>AND('Show Info'!A56,"AAAAAGu/9hs=")</f>
        <v>#VALUE!</v>
      </c>
      <c r="AC48" t="e">
        <f>AND('Show Info'!B56,"AAAAAGu/9hw=")</f>
        <v>#VALUE!</v>
      </c>
      <c r="AD48" t="e">
        <f>AND('Show Info'!C56,"AAAAAGu/9h0=")</f>
        <v>#VALUE!</v>
      </c>
      <c r="AE48" t="e">
        <f>AND('Show Info'!D56,"AAAAAGu/9h4=")</f>
        <v>#VALUE!</v>
      </c>
      <c r="AF48" t="e">
        <f>AND('Show Info'!E56,"AAAAAGu/9h8=")</f>
        <v>#VALUE!</v>
      </c>
      <c r="AG48" t="e">
        <f>AND('Show Info'!F56,"AAAAAGu/9iA=")</f>
        <v>#VALUE!</v>
      </c>
      <c r="AH48" t="e">
        <f>AND('Show Info'!G56,"AAAAAGu/9iE=")</f>
        <v>#VALUE!</v>
      </c>
      <c r="AI48" t="e">
        <f>AND('Show Info'!H56,"AAAAAGu/9iI=")</f>
        <v>#VALUE!</v>
      </c>
      <c r="AJ48" t="e">
        <f>AND('Show Info'!I56,"AAAAAGu/9iM=")</f>
        <v>#VALUE!</v>
      </c>
      <c r="AK48" t="e">
        <f>AND('Show Info'!J56,"AAAAAGu/9iQ=")</f>
        <v>#VALUE!</v>
      </c>
      <c r="AL48" t="e">
        <f>AND('Show Info'!K56,"AAAAAGu/9iU=")</f>
        <v>#VALUE!</v>
      </c>
      <c r="AM48" t="e">
        <f>AND('Show Info'!L56,"AAAAAGu/9iY=")</f>
        <v>#VALUE!</v>
      </c>
      <c r="AN48" t="e">
        <f>AND('Show Info'!M56,"AAAAAGu/9ic=")</f>
        <v>#VALUE!</v>
      </c>
      <c r="AO48" t="e">
        <f>AND('Show Info'!N56,"AAAAAGu/9ig=")</f>
        <v>#VALUE!</v>
      </c>
      <c r="AP48" t="e">
        <f>AND('Show Info'!O56,"AAAAAGu/9ik=")</f>
        <v>#VALUE!</v>
      </c>
      <c r="AQ48" t="e">
        <f>AND('Show Info'!P56,"AAAAAGu/9io=")</f>
        <v>#VALUE!</v>
      </c>
      <c r="AR48" t="e">
        <f>AND('Show Info'!Q56,"AAAAAGu/9is=")</f>
        <v>#VALUE!</v>
      </c>
      <c r="AS48" t="e">
        <f>AND('Show Info'!R56,"AAAAAGu/9iw=")</f>
        <v>#VALUE!</v>
      </c>
      <c r="AT48" t="e">
        <f>AND('Show Info'!S56,"AAAAAGu/9i0=")</f>
        <v>#VALUE!</v>
      </c>
      <c r="AU48" t="e">
        <f>AND('Show Info'!T56,"AAAAAGu/9i4=")</f>
        <v>#VALUE!</v>
      </c>
      <c r="AV48" t="e">
        <f>AND('Show Info'!U56,"AAAAAGu/9i8=")</f>
        <v>#VALUE!</v>
      </c>
      <c r="AW48" t="e">
        <f>AND('Show Info'!V56,"AAAAAGu/9jA=")</f>
        <v>#VALUE!</v>
      </c>
      <c r="AX48">
        <f>IF('Show Info'!57:57,"AAAAAGu/9jE=",0)</f>
        <v>0</v>
      </c>
      <c r="AY48" t="e">
        <f>AND('Show Info'!A57,"AAAAAGu/9jI=")</f>
        <v>#VALUE!</v>
      </c>
      <c r="AZ48" t="e">
        <f>AND('Show Info'!B57,"AAAAAGu/9jM=")</f>
        <v>#VALUE!</v>
      </c>
      <c r="BA48" t="e">
        <f>AND('Show Info'!C57,"AAAAAGu/9jQ=")</f>
        <v>#VALUE!</v>
      </c>
      <c r="BB48" t="e">
        <f>AND('Show Info'!D57,"AAAAAGu/9jU=")</f>
        <v>#VALUE!</v>
      </c>
      <c r="BC48" t="e">
        <f>AND('Show Info'!E57,"AAAAAGu/9jY=")</f>
        <v>#VALUE!</v>
      </c>
      <c r="BD48" t="e">
        <f>AND('Show Info'!F57,"AAAAAGu/9jc=")</f>
        <v>#VALUE!</v>
      </c>
      <c r="BE48" t="e">
        <f>AND('Show Info'!G57,"AAAAAGu/9jg=")</f>
        <v>#VALUE!</v>
      </c>
      <c r="BF48" t="e">
        <f>AND('Show Info'!H57,"AAAAAGu/9jk=")</f>
        <v>#VALUE!</v>
      </c>
      <c r="BG48" t="e">
        <f>AND('Show Info'!I57,"AAAAAGu/9jo=")</f>
        <v>#VALUE!</v>
      </c>
      <c r="BH48" t="e">
        <f>AND('Show Info'!J57,"AAAAAGu/9js=")</f>
        <v>#VALUE!</v>
      </c>
      <c r="BI48" t="e">
        <f>AND('Show Info'!K57,"AAAAAGu/9jw=")</f>
        <v>#VALUE!</v>
      </c>
      <c r="BJ48" t="e">
        <f>AND('Show Info'!L57,"AAAAAGu/9j0=")</f>
        <v>#VALUE!</v>
      </c>
      <c r="BK48" t="e">
        <f>AND('Show Info'!M57,"AAAAAGu/9j4=")</f>
        <v>#VALUE!</v>
      </c>
      <c r="BL48" t="e">
        <f>AND('Show Info'!N57,"AAAAAGu/9j8=")</f>
        <v>#VALUE!</v>
      </c>
      <c r="BM48" t="e">
        <f>AND('Show Info'!O57,"AAAAAGu/9kA=")</f>
        <v>#VALUE!</v>
      </c>
      <c r="BN48" t="e">
        <f>AND('Show Info'!P57,"AAAAAGu/9kE=")</f>
        <v>#VALUE!</v>
      </c>
      <c r="BO48" t="e">
        <f>AND('Show Info'!Q57,"AAAAAGu/9kI=")</f>
        <v>#VALUE!</v>
      </c>
      <c r="BP48" t="e">
        <f>AND('Show Info'!R57,"AAAAAGu/9kM=")</f>
        <v>#VALUE!</v>
      </c>
      <c r="BQ48" t="e">
        <f>AND('Show Info'!S57,"AAAAAGu/9kQ=")</f>
        <v>#VALUE!</v>
      </c>
      <c r="BR48" t="e">
        <f>AND('Show Info'!T57,"AAAAAGu/9kU=")</f>
        <v>#VALUE!</v>
      </c>
      <c r="BS48" t="e">
        <f>AND('Show Info'!U57,"AAAAAGu/9kY=")</f>
        <v>#VALUE!</v>
      </c>
      <c r="BT48" t="e">
        <f>AND('Show Info'!V57,"AAAAAGu/9kc=")</f>
        <v>#VALUE!</v>
      </c>
      <c r="BU48" t="e">
        <f>IF('Show Info'!#REF!,"AAAAAGu/9kg=",0)</f>
        <v>#REF!</v>
      </c>
      <c r="BV48" t="e">
        <f>AND('Show Info'!#REF!,"AAAAAGu/9kk=")</f>
        <v>#REF!</v>
      </c>
      <c r="BW48" t="e">
        <f>AND('Show Info'!#REF!,"AAAAAGu/9ko=")</f>
        <v>#REF!</v>
      </c>
      <c r="BX48" t="e">
        <f>AND('Show Info'!#REF!,"AAAAAGu/9ks=")</f>
        <v>#REF!</v>
      </c>
      <c r="BY48" t="e">
        <f>AND('Show Info'!#REF!,"AAAAAGu/9kw=")</f>
        <v>#REF!</v>
      </c>
      <c r="BZ48" t="e">
        <f>AND('Show Info'!#REF!,"AAAAAGu/9k0=")</f>
        <v>#REF!</v>
      </c>
      <c r="CA48" t="e">
        <f>AND('Show Info'!#REF!,"AAAAAGu/9k4=")</f>
        <v>#REF!</v>
      </c>
      <c r="CB48" t="e">
        <f>AND('Show Info'!#REF!,"AAAAAGu/9k8=")</f>
        <v>#REF!</v>
      </c>
      <c r="CC48" t="e">
        <f>AND('Show Info'!#REF!,"AAAAAGu/9lA=")</f>
        <v>#REF!</v>
      </c>
      <c r="CD48" t="e">
        <f>AND('Show Info'!#REF!,"AAAAAGu/9lE=")</f>
        <v>#REF!</v>
      </c>
      <c r="CE48" t="e">
        <f>AND('Show Info'!#REF!,"AAAAAGu/9lI=")</f>
        <v>#REF!</v>
      </c>
      <c r="CF48" t="e">
        <f>AND('Show Info'!#REF!,"AAAAAGu/9lM=")</f>
        <v>#REF!</v>
      </c>
      <c r="CG48" t="e">
        <f>AND('Show Info'!#REF!,"AAAAAGu/9lQ=")</f>
        <v>#REF!</v>
      </c>
      <c r="CH48" t="e">
        <f>AND('Show Info'!#REF!,"AAAAAGu/9lU=")</f>
        <v>#REF!</v>
      </c>
      <c r="CI48" t="e">
        <f>AND('Show Info'!#REF!,"AAAAAGu/9lY=")</f>
        <v>#REF!</v>
      </c>
      <c r="CJ48" t="e">
        <f>AND('Show Info'!#REF!,"AAAAAGu/9lc=")</f>
        <v>#REF!</v>
      </c>
      <c r="CK48" t="e">
        <f>AND('Show Info'!#REF!,"AAAAAGu/9lg=")</f>
        <v>#REF!</v>
      </c>
      <c r="CL48" t="e">
        <f>AND('Show Info'!#REF!,"AAAAAGu/9lk=")</f>
        <v>#REF!</v>
      </c>
      <c r="CM48" t="e">
        <f>AND('Show Info'!#REF!,"AAAAAGu/9lo=")</f>
        <v>#REF!</v>
      </c>
      <c r="CN48" t="e">
        <f>AND('Show Info'!#REF!,"AAAAAGu/9ls=")</f>
        <v>#REF!</v>
      </c>
      <c r="CO48" t="e">
        <f>AND('Show Info'!#REF!,"AAAAAGu/9lw=")</f>
        <v>#REF!</v>
      </c>
      <c r="CP48" t="e">
        <f>AND('Show Info'!#REF!,"AAAAAGu/9l0=")</f>
        <v>#REF!</v>
      </c>
      <c r="CQ48" t="e">
        <f>AND('Show Info'!#REF!,"AAAAAGu/9l4=")</f>
        <v>#REF!</v>
      </c>
      <c r="CR48" t="e">
        <f>IF('Show Info'!#REF!,"AAAAAGu/9l8=",0)</f>
        <v>#REF!</v>
      </c>
      <c r="CS48" t="e">
        <f>AND('Show Info'!#REF!,"AAAAAGu/9mA=")</f>
        <v>#REF!</v>
      </c>
      <c r="CT48" t="e">
        <f>AND('Show Info'!#REF!,"AAAAAGu/9mE=")</f>
        <v>#REF!</v>
      </c>
      <c r="CU48" t="e">
        <f>AND('Show Info'!#REF!,"AAAAAGu/9mI=")</f>
        <v>#REF!</v>
      </c>
      <c r="CV48" t="e">
        <f>AND('Show Info'!#REF!,"AAAAAGu/9mM=")</f>
        <v>#REF!</v>
      </c>
      <c r="CW48" t="e">
        <f>AND('Show Info'!#REF!,"AAAAAGu/9mQ=")</f>
        <v>#REF!</v>
      </c>
      <c r="CX48" t="e">
        <f>AND('Show Info'!#REF!,"AAAAAGu/9mU=")</f>
        <v>#REF!</v>
      </c>
      <c r="CY48" t="e">
        <f>AND('Show Info'!#REF!,"AAAAAGu/9mY=")</f>
        <v>#REF!</v>
      </c>
      <c r="CZ48" t="e">
        <f>AND('Show Info'!#REF!,"AAAAAGu/9mc=")</f>
        <v>#REF!</v>
      </c>
      <c r="DA48" t="e">
        <f>AND('Show Info'!#REF!,"AAAAAGu/9mg=")</f>
        <v>#REF!</v>
      </c>
      <c r="DB48" t="e">
        <f>AND('Show Info'!#REF!,"AAAAAGu/9mk=")</f>
        <v>#REF!</v>
      </c>
      <c r="DC48" t="e">
        <f>AND('Show Info'!#REF!,"AAAAAGu/9mo=")</f>
        <v>#REF!</v>
      </c>
      <c r="DD48" t="e">
        <f>AND('Show Info'!#REF!,"AAAAAGu/9ms=")</f>
        <v>#REF!</v>
      </c>
      <c r="DE48" t="e">
        <f>AND('Show Info'!#REF!,"AAAAAGu/9mw=")</f>
        <v>#REF!</v>
      </c>
      <c r="DF48" t="e">
        <f>AND('Show Info'!#REF!,"AAAAAGu/9m0=")</f>
        <v>#REF!</v>
      </c>
      <c r="DG48" t="e">
        <f>AND('Show Info'!#REF!,"AAAAAGu/9m4=")</f>
        <v>#REF!</v>
      </c>
      <c r="DH48" t="e">
        <f>AND('Show Info'!#REF!,"AAAAAGu/9m8=")</f>
        <v>#REF!</v>
      </c>
      <c r="DI48" t="e">
        <f>AND('Show Info'!#REF!,"AAAAAGu/9nA=")</f>
        <v>#REF!</v>
      </c>
      <c r="DJ48" t="e">
        <f>AND('Show Info'!#REF!,"AAAAAGu/9nE=")</f>
        <v>#REF!</v>
      </c>
      <c r="DK48" t="e">
        <f>AND('Show Info'!#REF!,"AAAAAGu/9nI=")</f>
        <v>#REF!</v>
      </c>
      <c r="DL48" t="e">
        <f>AND('Show Info'!#REF!,"AAAAAGu/9nM=")</f>
        <v>#REF!</v>
      </c>
      <c r="DM48" t="e">
        <f>AND('Show Info'!#REF!,"AAAAAGu/9nQ=")</f>
        <v>#REF!</v>
      </c>
      <c r="DN48" t="e">
        <f>AND('Show Info'!#REF!,"AAAAAGu/9nU=")</f>
        <v>#REF!</v>
      </c>
      <c r="DO48" t="e">
        <f>IF('Show Info'!#REF!,"AAAAAGu/9nY=",0)</f>
        <v>#REF!</v>
      </c>
      <c r="DP48" t="e">
        <f>AND('Show Info'!#REF!,"AAAAAGu/9nc=")</f>
        <v>#REF!</v>
      </c>
      <c r="DQ48" t="e">
        <f>AND('Show Info'!#REF!,"AAAAAGu/9ng=")</f>
        <v>#REF!</v>
      </c>
      <c r="DR48" t="e">
        <f>AND('Show Info'!#REF!,"AAAAAGu/9nk=")</f>
        <v>#REF!</v>
      </c>
      <c r="DS48" t="e">
        <f>AND('Show Info'!#REF!,"AAAAAGu/9no=")</f>
        <v>#REF!</v>
      </c>
      <c r="DT48" t="e">
        <f>AND('Show Info'!#REF!,"AAAAAGu/9ns=")</f>
        <v>#REF!</v>
      </c>
      <c r="DU48" t="e">
        <f>AND('Show Info'!#REF!,"AAAAAGu/9nw=")</f>
        <v>#REF!</v>
      </c>
      <c r="DV48" t="e">
        <f>AND('Show Info'!#REF!,"AAAAAGu/9n0=")</f>
        <v>#REF!</v>
      </c>
      <c r="DW48" t="e">
        <f>AND('Show Info'!#REF!,"AAAAAGu/9n4=")</f>
        <v>#REF!</v>
      </c>
      <c r="DX48" t="e">
        <f>AND('Show Info'!#REF!,"AAAAAGu/9n8=")</f>
        <v>#REF!</v>
      </c>
      <c r="DY48" t="e">
        <f>AND('Show Info'!#REF!,"AAAAAGu/9oA=")</f>
        <v>#REF!</v>
      </c>
      <c r="DZ48" t="e">
        <f>AND('Show Info'!#REF!,"AAAAAGu/9oE=")</f>
        <v>#REF!</v>
      </c>
      <c r="EA48" t="e">
        <f>AND('Show Info'!#REF!,"AAAAAGu/9oI=")</f>
        <v>#REF!</v>
      </c>
      <c r="EB48" t="e">
        <f>AND('Show Info'!#REF!,"AAAAAGu/9oM=")</f>
        <v>#REF!</v>
      </c>
      <c r="EC48" t="e">
        <f>AND('Show Info'!#REF!,"AAAAAGu/9oQ=")</f>
        <v>#REF!</v>
      </c>
      <c r="ED48" t="e">
        <f>AND('Show Info'!#REF!,"AAAAAGu/9oU=")</f>
        <v>#REF!</v>
      </c>
      <c r="EE48" t="e">
        <f>AND('Show Info'!#REF!,"AAAAAGu/9oY=")</f>
        <v>#REF!</v>
      </c>
      <c r="EF48" t="e">
        <f>AND('Show Info'!#REF!,"AAAAAGu/9oc=")</f>
        <v>#REF!</v>
      </c>
      <c r="EG48" t="e">
        <f>AND('Show Info'!#REF!,"AAAAAGu/9og=")</f>
        <v>#REF!</v>
      </c>
      <c r="EH48" t="e">
        <f>AND('Show Info'!#REF!,"AAAAAGu/9ok=")</f>
        <v>#REF!</v>
      </c>
      <c r="EI48" t="e">
        <f>AND('Show Info'!#REF!,"AAAAAGu/9oo=")</f>
        <v>#REF!</v>
      </c>
      <c r="EJ48" t="e">
        <f>AND('Show Info'!#REF!,"AAAAAGu/9os=")</f>
        <v>#REF!</v>
      </c>
      <c r="EK48" t="e">
        <f>AND('Show Info'!#REF!,"AAAAAGu/9ow=")</f>
        <v>#REF!</v>
      </c>
      <c r="EL48">
        <f>IF('Show Info'!58:58,"AAAAAGu/9o0=",0)</f>
        <v>0</v>
      </c>
      <c r="EM48" t="e">
        <f>AND('Show Info'!A58,"AAAAAGu/9o4=")</f>
        <v>#VALUE!</v>
      </c>
      <c r="EN48" t="e">
        <f>AND('Show Info'!B58,"AAAAAGu/9o8=")</f>
        <v>#VALUE!</v>
      </c>
      <c r="EO48" t="e">
        <f>AND('Show Info'!C58,"AAAAAGu/9pA=")</f>
        <v>#VALUE!</v>
      </c>
      <c r="EP48" t="e">
        <f>AND('Show Info'!D58,"AAAAAGu/9pE=")</f>
        <v>#VALUE!</v>
      </c>
      <c r="EQ48" t="e">
        <f>AND('Show Info'!E58,"AAAAAGu/9pI=")</f>
        <v>#VALUE!</v>
      </c>
      <c r="ER48" t="e">
        <f>AND('Show Info'!F58,"AAAAAGu/9pM=")</f>
        <v>#VALUE!</v>
      </c>
      <c r="ES48" t="e">
        <f>AND('Show Info'!G58,"AAAAAGu/9pQ=")</f>
        <v>#VALUE!</v>
      </c>
      <c r="ET48" t="e">
        <f>AND('Show Info'!H58,"AAAAAGu/9pU=")</f>
        <v>#VALUE!</v>
      </c>
      <c r="EU48" t="e">
        <f>AND('Show Info'!I58,"AAAAAGu/9pY=")</f>
        <v>#VALUE!</v>
      </c>
      <c r="EV48" t="e">
        <f>AND('Show Info'!J58,"AAAAAGu/9pc=")</f>
        <v>#VALUE!</v>
      </c>
      <c r="EW48" t="e">
        <f>AND('Show Info'!K58,"AAAAAGu/9pg=")</f>
        <v>#VALUE!</v>
      </c>
      <c r="EX48" t="e">
        <f>AND('Show Info'!L58,"AAAAAGu/9pk=")</f>
        <v>#VALUE!</v>
      </c>
      <c r="EY48" t="e">
        <f>AND('Show Info'!M58,"AAAAAGu/9po=")</f>
        <v>#VALUE!</v>
      </c>
      <c r="EZ48" t="e">
        <f>AND('Show Info'!N58,"AAAAAGu/9ps=")</f>
        <v>#VALUE!</v>
      </c>
      <c r="FA48" t="e">
        <f>AND('Show Info'!O58,"AAAAAGu/9pw=")</f>
        <v>#VALUE!</v>
      </c>
      <c r="FB48" t="e">
        <f>AND('Show Info'!P58,"AAAAAGu/9p0=")</f>
        <v>#VALUE!</v>
      </c>
      <c r="FC48" t="e">
        <f>AND('Show Info'!Q58,"AAAAAGu/9p4=")</f>
        <v>#VALUE!</v>
      </c>
      <c r="FD48" t="e">
        <f>AND('Show Info'!R58,"AAAAAGu/9p8=")</f>
        <v>#VALUE!</v>
      </c>
      <c r="FE48" t="e">
        <f>AND('Show Info'!S58,"AAAAAGu/9qA=")</f>
        <v>#VALUE!</v>
      </c>
      <c r="FF48" t="e">
        <f>AND('Show Info'!T58,"AAAAAGu/9qE=")</f>
        <v>#VALUE!</v>
      </c>
      <c r="FG48" t="e">
        <f>AND('Show Info'!U58,"AAAAAGu/9qI=")</f>
        <v>#VALUE!</v>
      </c>
      <c r="FH48" t="e">
        <f>AND('Show Info'!V58,"AAAAAGu/9qM=")</f>
        <v>#VALUE!</v>
      </c>
      <c r="FI48">
        <f>IF('Show Info'!A:A,"AAAAAGu/9qQ=",0)</f>
        <v>0</v>
      </c>
      <c r="FJ48" t="e">
        <f>IF('Show Info'!B:B,"AAAAAGu/9qU=",0)</f>
        <v>#VALUE!</v>
      </c>
      <c r="FK48">
        <f>IF('Show Info'!C:C,"AAAAAGu/9qY=",0)</f>
        <v>0</v>
      </c>
      <c r="FL48">
        <f>IF('Show Info'!D:D,"AAAAAGu/9qc=",0)</f>
        <v>0</v>
      </c>
      <c r="FM48">
        <f>IF('Show Info'!E:E,"AAAAAGu/9qg=",0)</f>
        <v>0</v>
      </c>
      <c r="FN48">
        <f>IF('Show Info'!F:F,"AAAAAGu/9qk=",0)</f>
        <v>0</v>
      </c>
      <c r="FO48">
        <f>IF('Show Info'!G:G,"AAAAAGu/9qo=",0)</f>
        <v>0</v>
      </c>
      <c r="FP48">
        <f>IF('Show Info'!H:H,"AAAAAGu/9qs=",0)</f>
        <v>0</v>
      </c>
      <c r="FQ48">
        <f>IF('Show Info'!I:I,"AAAAAGu/9qw=",0)</f>
        <v>0</v>
      </c>
      <c r="FR48">
        <f>IF('Show Info'!J:J,"AAAAAGu/9q0=",0)</f>
        <v>0</v>
      </c>
      <c r="FS48">
        <f>IF('Show Info'!K:K,"AAAAAGu/9q4=",0)</f>
        <v>0</v>
      </c>
      <c r="FT48">
        <f>IF('Show Info'!L:L,"AAAAAGu/9q8=",0)</f>
        <v>0</v>
      </c>
      <c r="FU48">
        <f>IF('Show Info'!M:M,"AAAAAGu/9rA=",0)</f>
        <v>0</v>
      </c>
      <c r="FV48">
        <f>IF('Show Info'!N:N,"AAAAAGu/9rE=",0)</f>
        <v>0</v>
      </c>
      <c r="FW48">
        <f>IF('Show Info'!O:O,"AAAAAGu/9rI=",0)</f>
        <v>0</v>
      </c>
      <c r="FX48">
        <f>IF('Show Info'!P:P,"AAAAAGu/9rM=",0)</f>
        <v>0</v>
      </c>
      <c r="FY48">
        <f>IF('Show Info'!Q:Q,"AAAAAGu/9rQ=",0)</f>
        <v>0</v>
      </c>
      <c r="FZ48">
        <f>IF('Show Info'!R:R,"AAAAAGu/9rU=",0)</f>
        <v>0</v>
      </c>
      <c r="GA48">
        <f>IF('Show Info'!S:S,"AAAAAGu/9rY=",0)</f>
        <v>0</v>
      </c>
      <c r="GB48">
        <f>IF('Show Info'!T:T,"AAAAAGu/9rc=",0)</f>
        <v>0</v>
      </c>
      <c r="GC48">
        <f>IF('Show Info'!U:U,"AAAAAGu/9rg=",0)</f>
        <v>0</v>
      </c>
      <c r="GD48">
        <f>IF('Show Info'!V:V,"AAAAAGu/9rk=",0)</f>
        <v>0</v>
      </c>
      <c r="GE48">
        <f>IF('Show Services'!1:1,"AAAAAGu/9ro=",0)</f>
        <v>0</v>
      </c>
      <c r="GF48" t="e">
        <f>AND('Show Services'!A1,"AAAAAGu/9rs=")</f>
        <v>#VALUE!</v>
      </c>
      <c r="GG48" t="e">
        <f>AND('Show Services'!B1,"AAAAAGu/9rw=")</f>
        <v>#VALUE!</v>
      </c>
      <c r="GH48" t="e">
        <f>AND('Show Services'!C1,"AAAAAGu/9r0=")</f>
        <v>#VALUE!</v>
      </c>
      <c r="GI48" t="e">
        <f>AND('Show Services'!#REF!,"AAAAAGu/9r4=")</f>
        <v>#REF!</v>
      </c>
      <c r="GJ48" t="e">
        <f>AND('Show Services'!D1,"AAAAAGu/9r8=")</f>
        <v>#VALUE!</v>
      </c>
      <c r="GK48" t="e">
        <f>AND('Show Services'!E1,"AAAAAGu/9sA=")</f>
        <v>#VALUE!</v>
      </c>
      <c r="GL48" t="e">
        <f>AND('Show Services'!F1,"AAAAAGu/9sE=")</f>
        <v>#VALUE!</v>
      </c>
      <c r="GM48" t="e">
        <f>AND('Show Services'!G1,"AAAAAGu/9sI=")</f>
        <v>#VALUE!</v>
      </c>
      <c r="GN48" t="e">
        <f>AND('Show Services'!H1,"AAAAAGu/9sM=")</f>
        <v>#VALUE!</v>
      </c>
      <c r="GO48" t="e">
        <f>AND('Show Services'!I1,"AAAAAGu/9sQ=")</f>
        <v>#VALUE!</v>
      </c>
      <c r="GP48" t="e">
        <f>AND('Show Services'!#REF!,"AAAAAGu/9sU=")</f>
        <v>#REF!</v>
      </c>
      <c r="GQ48" t="e">
        <f>AND('Show Services'!#REF!,"AAAAAGu/9sY=")</f>
        <v>#REF!</v>
      </c>
      <c r="GR48" t="e">
        <f>AND('Show Services'!#REF!,"AAAAAGu/9sc=")</f>
        <v>#REF!</v>
      </c>
      <c r="GS48" t="e">
        <f>AND('Show Services'!#REF!,"AAAAAGu/9sg=")</f>
        <v>#REF!</v>
      </c>
      <c r="GT48" t="e">
        <f>AND('Show Services'!#REF!,"AAAAAGu/9sk=")</f>
        <v>#REF!</v>
      </c>
      <c r="GU48" t="e">
        <f>AND('Show Services'!J1,"AAAAAGu/9so=")</f>
        <v>#VALUE!</v>
      </c>
      <c r="GV48" t="e">
        <f>AND('Show Services'!K1,"AAAAAGu/9ss=")</f>
        <v>#VALUE!</v>
      </c>
      <c r="GW48" t="e">
        <f>AND('Show Services'!L1,"AAAAAGu/9sw=")</f>
        <v>#VALUE!</v>
      </c>
      <c r="GX48" t="e">
        <f>AND('Show Services'!M1,"AAAAAGu/9s0=")</f>
        <v>#VALUE!</v>
      </c>
      <c r="GY48" t="e">
        <f>AND('Show Services'!N1,"AAAAAGu/9s4=")</f>
        <v>#VALUE!</v>
      </c>
      <c r="GZ48" t="e">
        <f>AND('Show Services'!O1,"AAAAAGu/9s8=")</f>
        <v>#VALUE!</v>
      </c>
      <c r="HA48" t="e">
        <f>AND('Show Services'!#REF!,"AAAAAGu/9tA=")</f>
        <v>#REF!</v>
      </c>
      <c r="HB48">
        <f>IF('Show Services'!2:2,"AAAAAGu/9tE=",0)</f>
        <v>0</v>
      </c>
      <c r="HC48" t="e">
        <f>AND('Show Services'!A2,"AAAAAGu/9tI=")</f>
        <v>#VALUE!</v>
      </c>
      <c r="HD48" t="e">
        <f>AND('Show Services'!B2,"AAAAAGu/9tM=")</f>
        <v>#VALUE!</v>
      </c>
      <c r="HE48" t="e">
        <f>AND('Show Services'!C2,"AAAAAGu/9tQ=")</f>
        <v>#VALUE!</v>
      </c>
      <c r="HF48" t="e">
        <f>AND('Show Services'!#REF!,"AAAAAGu/9tU=")</f>
        <v>#REF!</v>
      </c>
      <c r="HG48" t="e">
        <f>AND('Show Services'!D2,"AAAAAGu/9tY=")</f>
        <v>#VALUE!</v>
      </c>
      <c r="HH48" t="e">
        <f>AND('Show Services'!E2,"AAAAAGu/9tc=")</f>
        <v>#VALUE!</v>
      </c>
      <c r="HI48" t="e">
        <f>AND('Show Services'!F2,"AAAAAGu/9tg=")</f>
        <v>#VALUE!</v>
      </c>
      <c r="HJ48" t="e">
        <f>AND('Show Services'!G2,"AAAAAGu/9tk=")</f>
        <v>#VALUE!</v>
      </c>
      <c r="HK48" t="e">
        <f>AND('Show Services'!H2,"AAAAAGu/9to=")</f>
        <v>#VALUE!</v>
      </c>
      <c r="HL48" t="e">
        <f>AND('Show Services'!I2,"AAAAAGu/9ts=")</f>
        <v>#VALUE!</v>
      </c>
      <c r="HM48" t="e">
        <f>AND('Show Services'!#REF!,"AAAAAGu/9tw=")</f>
        <v>#REF!</v>
      </c>
      <c r="HN48" t="e">
        <f>AND('Show Services'!#REF!,"AAAAAGu/9t0=")</f>
        <v>#REF!</v>
      </c>
      <c r="HO48" t="e">
        <f>AND('Show Services'!#REF!,"AAAAAGu/9t4=")</f>
        <v>#REF!</v>
      </c>
      <c r="HP48" t="e">
        <f>AND('Show Services'!#REF!,"AAAAAGu/9t8=")</f>
        <v>#REF!</v>
      </c>
      <c r="HQ48" t="e">
        <f>AND('Show Services'!#REF!,"AAAAAGu/9uA=")</f>
        <v>#REF!</v>
      </c>
      <c r="HR48" t="e">
        <f>AND('Show Services'!J2,"AAAAAGu/9uE=")</f>
        <v>#VALUE!</v>
      </c>
      <c r="HS48" t="e">
        <f>AND('Show Services'!K2,"AAAAAGu/9uI=")</f>
        <v>#VALUE!</v>
      </c>
      <c r="HT48" t="e">
        <f>AND('Show Services'!L2,"AAAAAGu/9uM=")</f>
        <v>#VALUE!</v>
      </c>
      <c r="HU48" t="e">
        <f>AND('Show Services'!M2,"AAAAAGu/9uQ=")</f>
        <v>#VALUE!</v>
      </c>
      <c r="HV48" t="e">
        <f>AND('Show Services'!N2,"AAAAAGu/9uU=")</f>
        <v>#VALUE!</v>
      </c>
      <c r="HW48" t="e">
        <f>AND('Show Services'!O2,"AAAAAGu/9uY=")</f>
        <v>#VALUE!</v>
      </c>
      <c r="HX48" t="e">
        <f>AND('Show Services'!#REF!,"AAAAAGu/9uc=")</f>
        <v>#REF!</v>
      </c>
      <c r="HY48" t="e">
        <f>IF('Show Services'!#REF!,"AAAAAGu/9ug=",0)</f>
        <v>#REF!</v>
      </c>
      <c r="HZ48" t="e">
        <f>AND('Show Services'!#REF!,"AAAAAGu/9uk=")</f>
        <v>#REF!</v>
      </c>
      <c r="IA48" t="e">
        <f>AND('Show Services'!#REF!,"AAAAAGu/9uo=")</f>
        <v>#REF!</v>
      </c>
      <c r="IB48" t="e">
        <f>AND('Show Services'!#REF!,"AAAAAGu/9us=")</f>
        <v>#REF!</v>
      </c>
      <c r="IC48" t="e">
        <f>AND('Show Services'!#REF!,"AAAAAGu/9uw=")</f>
        <v>#REF!</v>
      </c>
      <c r="ID48" t="e">
        <f>AND('Show Services'!#REF!,"AAAAAGu/9u0=")</f>
        <v>#REF!</v>
      </c>
      <c r="IE48" t="e">
        <f>AND('Show Services'!#REF!,"AAAAAGu/9u4=")</f>
        <v>#REF!</v>
      </c>
      <c r="IF48" t="e">
        <f>AND('Show Services'!#REF!,"AAAAAGu/9u8=")</f>
        <v>#REF!</v>
      </c>
      <c r="IG48" t="e">
        <f>AND('Show Services'!#REF!,"AAAAAGu/9vA=")</f>
        <v>#REF!</v>
      </c>
      <c r="IH48" t="e">
        <f>AND('Show Services'!#REF!,"AAAAAGu/9vE=")</f>
        <v>#REF!</v>
      </c>
      <c r="II48" t="e">
        <f>AND('Show Services'!#REF!,"AAAAAGu/9vI=")</f>
        <v>#REF!</v>
      </c>
      <c r="IJ48" t="e">
        <f>AND('Show Services'!#REF!,"AAAAAGu/9vM=")</f>
        <v>#REF!</v>
      </c>
      <c r="IK48" t="e">
        <f>AND('Show Services'!#REF!,"AAAAAGu/9vQ=")</f>
        <v>#REF!</v>
      </c>
      <c r="IL48" t="e">
        <f>AND('Show Services'!#REF!,"AAAAAGu/9vU=")</f>
        <v>#REF!</v>
      </c>
      <c r="IM48" t="e">
        <f>AND('Show Services'!#REF!,"AAAAAGu/9vY=")</f>
        <v>#REF!</v>
      </c>
      <c r="IN48" t="e">
        <f>AND('Show Services'!#REF!,"AAAAAGu/9vc=")</f>
        <v>#REF!</v>
      </c>
      <c r="IO48" t="e">
        <f>AND('Show Services'!#REF!,"AAAAAGu/9vg=")</f>
        <v>#REF!</v>
      </c>
      <c r="IP48" t="e">
        <f>AND('Show Services'!#REF!,"AAAAAGu/9vk=")</f>
        <v>#REF!</v>
      </c>
      <c r="IQ48" t="e">
        <f>AND('Show Services'!#REF!,"AAAAAGu/9vo=")</f>
        <v>#REF!</v>
      </c>
      <c r="IR48" t="e">
        <f>AND('Show Services'!#REF!,"AAAAAGu/9vs=")</f>
        <v>#REF!</v>
      </c>
      <c r="IS48" t="e">
        <f>AND('Show Services'!#REF!,"AAAAAGu/9vw=")</f>
        <v>#REF!</v>
      </c>
      <c r="IT48" t="e">
        <f>AND('Show Services'!#REF!,"AAAAAGu/9v0=")</f>
        <v>#REF!</v>
      </c>
      <c r="IU48" t="e">
        <f>AND('Show Services'!#REF!,"AAAAAGu/9v4=")</f>
        <v>#REF!</v>
      </c>
      <c r="IV48">
        <f>IF('Show Services'!6:6,"AAAAAGu/9v8=",0)</f>
        <v>0</v>
      </c>
    </row>
    <row r="49" spans="1:256" x14ac:dyDescent="0.2">
      <c r="A49" t="e">
        <f>AND('Show Services'!A6,"AAAAAFnn/wA=")</f>
        <v>#VALUE!</v>
      </c>
      <c r="B49" t="e">
        <f>AND('Show Services'!B6,"AAAAAFnn/wE=")</f>
        <v>#VALUE!</v>
      </c>
      <c r="C49" t="e">
        <f>AND('Show Services'!C6,"AAAAAFnn/wI=")</f>
        <v>#VALUE!</v>
      </c>
      <c r="D49" t="e">
        <f>AND('Show Services'!#REF!,"AAAAAFnn/wM=")</f>
        <v>#REF!</v>
      </c>
      <c r="E49" t="e">
        <f>AND('Show Services'!D6,"AAAAAFnn/wQ=")</f>
        <v>#VALUE!</v>
      </c>
      <c r="F49" t="e">
        <f>AND('Show Services'!#REF!,"AAAAAFnn/wU=")</f>
        <v>#REF!</v>
      </c>
      <c r="G49" t="e">
        <f>AND('Show Services'!#REF!,"AAAAAFnn/wY=")</f>
        <v>#REF!</v>
      </c>
      <c r="H49" t="e">
        <f>AND('Show Services'!#REF!,"AAAAAFnn/wc=")</f>
        <v>#REF!</v>
      </c>
      <c r="I49" t="e">
        <f>AND('Show Services'!#REF!,"AAAAAFnn/wg=")</f>
        <v>#REF!</v>
      </c>
      <c r="J49" t="e">
        <f>AND('Show Services'!#REF!,"AAAAAFnn/wk=")</f>
        <v>#REF!</v>
      </c>
      <c r="K49" t="e">
        <f>AND('Show Services'!#REF!,"AAAAAFnn/wo=")</f>
        <v>#REF!</v>
      </c>
      <c r="L49" t="e">
        <f>AND('Show Services'!#REF!,"AAAAAFnn/ws=")</f>
        <v>#REF!</v>
      </c>
      <c r="M49" t="e">
        <f>AND('Show Services'!#REF!,"AAAAAFnn/ww=")</f>
        <v>#REF!</v>
      </c>
      <c r="N49" t="e">
        <f>AND('Show Services'!#REF!,"AAAAAFnn/w0=")</f>
        <v>#REF!</v>
      </c>
      <c r="O49" t="e">
        <f>AND('Show Services'!#REF!,"AAAAAFnn/w4=")</f>
        <v>#REF!</v>
      </c>
      <c r="P49" t="e">
        <f>AND('Show Services'!#REF!,"AAAAAFnn/w8=")</f>
        <v>#REF!</v>
      </c>
      <c r="Q49" t="e">
        <f>AND('Show Services'!#REF!,"AAAAAFnn/xA=")</f>
        <v>#REF!</v>
      </c>
      <c r="R49" t="e">
        <f>AND('Show Services'!E6,"AAAAAFnn/xE=")</f>
        <v>#VALUE!</v>
      </c>
      <c r="S49" t="e">
        <f>AND('Show Services'!F6,"AAAAAFnn/xI=")</f>
        <v>#VALUE!</v>
      </c>
      <c r="T49" t="e">
        <f>AND('Show Services'!G6,"AAAAAFnn/xM=")</f>
        <v>#VALUE!</v>
      </c>
      <c r="U49" t="e">
        <f>AND('Show Services'!H6,"AAAAAFnn/xQ=")</f>
        <v>#VALUE!</v>
      </c>
      <c r="V49" t="e">
        <f>AND('Show Services'!I6,"AAAAAFnn/xU=")</f>
        <v>#VALUE!</v>
      </c>
      <c r="W49">
        <f>IF('Show Services'!7:7,"AAAAAFnn/xY=",0)</f>
        <v>0</v>
      </c>
      <c r="X49" t="e">
        <f>AND('Show Services'!A7,"AAAAAFnn/xc=")</f>
        <v>#VALUE!</v>
      </c>
      <c r="Y49" t="e">
        <f>AND('Show Services'!B7,"AAAAAFnn/xg=")</f>
        <v>#VALUE!</v>
      </c>
      <c r="Z49" t="e">
        <f>AND('Show Services'!C7,"AAAAAFnn/xk=")</f>
        <v>#VALUE!</v>
      </c>
      <c r="AA49" t="e">
        <f>AND('Show Services'!#REF!,"AAAAAFnn/xo=")</f>
        <v>#REF!</v>
      </c>
      <c r="AB49" t="e">
        <f>AND('Show Services'!D7,"AAAAAFnn/xs=")</f>
        <v>#VALUE!</v>
      </c>
      <c r="AC49" t="e">
        <f>AND('Show Services'!#REF!,"AAAAAFnn/xw=")</f>
        <v>#REF!</v>
      </c>
      <c r="AD49" t="e">
        <f>AND('Show Services'!#REF!,"AAAAAFnn/x0=")</f>
        <v>#REF!</v>
      </c>
      <c r="AE49" t="e">
        <f>AND('Show Services'!#REF!,"AAAAAFnn/x4=")</f>
        <v>#REF!</v>
      </c>
      <c r="AF49" t="e">
        <f>AND('Show Services'!#REF!,"AAAAAFnn/x8=")</f>
        <v>#REF!</v>
      </c>
      <c r="AG49" t="e">
        <f>AND('Show Services'!#REF!,"AAAAAFnn/yA=")</f>
        <v>#REF!</v>
      </c>
      <c r="AH49" t="e">
        <f>AND('Show Services'!#REF!,"AAAAAFnn/yE=")</f>
        <v>#REF!</v>
      </c>
      <c r="AI49" t="e">
        <f>AND('Show Services'!#REF!,"AAAAAFnn/yI=")</f>
        <v>#REF!</v>
      </c>
      <c r="AJ49" t="e">
        <f>AND('Show Services'!#REF!,"AAAAAFnn/yM=")</f>
        <v>#REF!</v>
      </c>
      <c r="AK49" t="e">
        <f>AND('Show Services'!#REF!,"AAAAAFnn/yQ=")</f>
        <v>#REF!</v>
      </c>
      <c r="AL49" t="e">
        <f>AND('Show Services'!#REF!,"AAAAAFnn/yU=")</f>
        <v>#REF!</v>
      </c>
      <c r="AM49" t="e">
        <f>AND('Show Services'!#REF!,"AAAAAFnn/yY=")</f>
        <v>#REF!</v>
      </c>
      <c r="AN49" t="e">
        <f>AND('Show Services'!#REF!,"AAAAAFnn/yc=")</f>
        <v>#REF!</v>
      </c>
      <c r="AO49" t="e">
        <f>AND('Show Services'!E7,"AAAAAFnn/yg=")</f>
        <v>#VALUE!</v>
      </c>
      <c r="AP49" t="e">
        <f>AND('Show Services'!F7,"AAAAAFnn/yk=")</f>
        <v>#VALUE!</v>
      </c>
      <c r="AQ49" t="e">
        <f>AND('Show Services'!G7,"AAAAAFnn/yo=")</f>
        <v>#VALUE!</v>
      </c>
      <c r="AR49" t="e">
        <f>AND('Show Services'!H7,"AAAAAFnn/ys=")</f>
        <v>#VALUE!</v>
      </c>
      <c r="AS49" t="e">
        <f>AND('Show Services'!I7,"AAAAAFnn/yw=")</f>
        <v>#VALUE!</v>
      </c>
      <c r="AT49">
        <f>IF('Show Services'!8:8,"AAAAAFnn/y0=",0)</f>
        <v>0</v>
      </c>
      <c r="AU49" t="e">
        <f>AND('Show Services'!A8,"AAAAAFnn/y4=")</f>
        <v>#VALUE!</v>
      </c>
      <c r="AV49" t="e">
        <f>AND('Show Services'!B8,"AAAAAFnn/y8=")</f>
        <v>#VALUE!</v>
      </c>
      <c r="AW49" t="e">
        <f>AND('Show Services'!C8,"AAAAAFnn/zA=")</f>
        <v>#VALUE!</v>
      </c>
      <c r="AX49" t="e">
        <f>AND('Show Services'!#REF!,"AAAAAFnn/zE=")</f>
        <v>#REF!</v>
      </c>
      <c r="AY49" t="e">
        <f>AND('Show Services'!D8,"AAAAAFnn/zI=")</f>
        <v>#VALUE!</v>
      </c>
      <c r="AZ49" t="e">
        <f>AND('Show Services'!#REF!,"AAAAAFnn/zM=")</f>
        <v>#REF!</v>
      </c>
      <c r="BA49" t="e">
        <f>AND('Show Services'!#REF!,"AAAAAFnn/zQ=")</f>
        <v>#REF!</v>
      </c>
      <c r="BB49" t="e">
        <f>AND('Show Services'!#REF!,"AAAAAFnn/zU=")</f>
        <v>#REF!</v>
      </c>
      <c r="BC49" t="e">
        <f>AND('Show Services'!#REF!,"AAAAAFnn/zY=")</f>
        <v>#REF!</v>
      </c>
      <c r="BD49" t="e">
        <f>AND('Show Services'!#REF!,"AAAAAFnn/zc=")</f>
        <v>#REF!</v>
      </c>
      <c r="BE49" t="e">
        <f>AND('Show Services'!#REF!,"AAAAAFnn/zg=")</f>
        <v>#REF!</v>
      </c>
      <c r="BF49" t="e">
        <f>AND('Show Services'!#REF!,"AAAAAFnn/zk=")</f>
        <v>#REF!</v>
      </c>
      <c r="BG49" t="e">
        <f>AND('Show Services'!#REF!,"AAAAAFnn/zo=")</f>
        <v>#REF!</v>
      </c>
      <c r="BH49" t="e">
        <f>AND('Show Services'!#REF!,"AAAAAFnn/zs=")</f>
        <v>#REF!</v>
      </c>
      <c r="BI49" t="e">
        <f>AND('Show Services'!#REF!,"AAAAAFnn/zw=")</f>
        <v>#REF!</v>
      </c>
      <c r="BJ49" t="e">
        <f>AND('Show Services'!#REF!,"AAAAAFnn/z0=")</f>
        <v>#REF!</v>
      </c>
      <c r="BK49" t="e">
        <f>AND('Show Services'!#REF!,"AAAAAFnn/z4=")</f>
        <v>#REF!</v>
      </c>
      <c r="BL49" t="e">
        <f>AND('Show Services'!E8,"AAAAAFnn/z8=")</f>
        <v>#VALUE!</v>
      </c>
      <c r="BM49" t="e">
        <f>AND('Show Services'!#REF!,"AAAAAFnn/0A=")</f>
        <v>#REF!</v>
      </c>
      <c r="BN49" t="e">
        <f>AND('Show Services'!#REF!,"AAAAAFnn/0E=")</f>
        <v>#REF!</v>
      </c>
      <c r="BO49" t="e">
        <f>AND('Show Services'!#REF!,"AAAAAFnn/0I=")</f>
        <v>#REF!</v>
      </c>
      <c r="BP49" t="e">
        <f>AND('Show Services'!#REF!,"AAAAAFnn/0M=")</f>
        <v>#REF!</v>
      </c>
      <c r="BQ49">
        <f>IF('Show Services'!9:9,"AAAAAFnn/0Q=",0)</f>
        <v>0</v>
      </c>
      <c r="BR49" t="e">
        <f>AND('Show Services'!A9,"AAAAAFnn/0U=")</f>
        <v>#VALUE!</v>
      </c>
      <c r="BS49" t="e">
        <f>AND('Show Services'!B9,"AAAAAFnn/0Y=")</f>
        <v>#VALUE!</v>
      </c>
      <c r="BT49" t="e">
        <f>AND('Show Services'!C9,"AAAAAFnn/0c=")</f>
        <v>#VALUE!</v>
      </c>
      <c r="BU49" t="e">
        <f>AND('Show Services'!#REF!,"AAAAAFnn/0g=")</f>
        <v>#REF!</v>
      </c>
      <c r="BV49" t="e">
        <f>AND('Show Services'!D9,"AAAAAFnn/0k=")</f>
        <v>#VALUE!</v>
      </c>
      <c r="BW49" t="e">
        <f>AND('Show Services'!#REF!,"AAAAAFnn/0o=")</f>
        <v>#REF!</v>
      </c>
      <c r="BX49" t="e">
        <f>AND('Show Services'!#REF!,"AAAAAFnn/0s=")</f>
        <v>#REF!</v>
      </c>
      <c r="BY49" t="e">
        <f>AND('Show Services'!#REF!,"AAAAAFnn/0w=")</f>
        <v>#REF!</v>
      </c>
      <c r="BZ49" t="e">
        <f>AND('Show Services'!#REF!,"AAAAAFnn/00=")</f>
        <v>#REF!</v>
      </c>
      <c r="CA49" t="e">
        <f>AND('Show Services'!#REF!,"AAAAAFnn/04=")</f>
        <v>#REF!</v>
      </c>
      <c r="CB49" t="e">
        <f>AND('Show Services'!#REF!,"AAAAAFnn/08=")</f>
        <v>#REF!</v>
      </c>
      <c r="CC49" t="e">
        <f>AND('Show Services'!#REF!,"AAAAAFnn/1A=")</f>
        <v>#REF!</v>
      </c>
      <c r="CD49" t="e">
        <f>AND('Show Services'!#REF!,"AAAAAFnn/1E=")</f>
        <v>#REF!</v>
      </c>
      <c r="CE49" t="e">
        <f>AND('Show Services'!#REF!,"AAAAAFnn/1I=")</f>
        <v>#REF!</v>
      </c>
      <c r="CF49" t="e">
        <f>AND('Show Services'!#REF!,"AAAAAFnn/1M=")</f>
        <v>#REF!</v>
      </c>
      <c r="CG49" t="e">
        <f>AND('Show Services'!#REF!,"AAAAAFnn/1Q=")</f>
        <v>#REF!</v>
      </c>
      <c r="CH49" t="e">
        <f>AND('Show Services'!#REF!,"AAAAAFnn/1U=")</f>
        <v>#REF!</v>
      </c>
      <c r="CI49" t="e">
        <f>AND('Show Services'!E9,"AAAAAFnn/1Y=")</f>
        <v>#VALUE!</v>
      </c>
      <c r="CJ49" t="e">
        <f>AND('Show Services'!F9,"AAAAAFnn/1c=")</f>
        <v>#VALUE!</v>
      </c>
      <c r="CK49" t="e">
        <f>AND('Show Services'!G9,"AAAAAFnn/1g=")</f>
        <v>#VALUE!</v>
      </c>
      <c r="CL49" t="e">
        <f>AND('Show Services'!H9,"AAAAAFnn/1k=")</f>
        <v>#VALUE!</v>
      </c>
      <c r="CM49" t="e">
        <f>AND('Show Services'!I9,"AAAAAFnn/1o=")</f>
        <v>#VALUE!</v>
      </c>
      <c r="CN49">
        <f>IF('Show Services'!11:11,"AAAAAFnn/1s=",0)</f>
        <v>0</v>
      </c>
      <c r="CO49" t="e">
        <f>AND('Show Services'!A11,"AAAAAFnn/1w=")</f>
        <v>#VALUE!</v>
      </c>
      <c r="CP49" t="e">
        <f>AND('Show Services'!B11,"AAAAAFnn/10=")</f>
        <v>#VALUE!</v>
      </c>
      <c r="CQ49" t="e">
        <f>AND('Show Services'!C11,"AAAAAFnn/14=")</f>
        <v>#VALUE!</v>
      </c>
      <c r="CR49" t="e">
        <f>AND('Show Services'!#REF!,"AAAAAFnn/18=")</f>
        <v>#REF!</v>
      </c>
      <c r="CS49" t="e">
        <f>AND('Show Services'!D11,"AAAAAFnn/2A=")</f>
        <v>#VALUE!</v>
      </c>
      <c r="CT49" t="e">
        <f>AND('Show Services'!#REF!,"AAAAAFnn/2E=")</f>
        <v>#REF!</v>
      </c>
      <c r="CU49" t="e">
        <f>AND('Show Services'!#REF!,"AAAAAFnn/2I=")</f>
        <v>#REF!</v>
      </c>
      <c r="CV49" t="e">
        <f>AND('Show Services'!#REF!,"AAAAAFnn/2M=")</f>
        <v>#REF!</v>
      </c>
      <c r="CW49" t="e">
        <f>AND('Show Services'!#REF!,"AAAAAFnn/2Q=")</f>
        <v>#REF!</v>
      </c>
      <c r="CX49" t="e">
        <f>AND('Show Services'!#REF!,"AAAAAFnn/2U=")</f>
        <v>#REF!</v>
      </c>
      <c r="CY49" t="e">
        <f>AND('Show Services'!#REF!,"AAAAAFnn/2Y=")</f>
        <v>#REF!</v>
      </c>
      <c r="CZ49" t="e">
        <f>AND('Show Services'!#REF!,"AAAAAFnn/2c=")</f>
        <v>#REF!</v>
      </c>
      <c r="DA49" t="e">
        <f>AND('Show Services'!#REF!,"AAAAAFnn/2g=")</f>
        <v>#REF!</v>
      </c>
      <c r="DB49" t="e">
        <f>AND('Show Services'!#REF!,"AAAAAFnn/2k=")</f>
        <v>#REF!</v>
      </c>
      <c r="DC49" t="e">
        <f>AND('Show Services'!#REF!,"AAAAAFnn/2o=")</f>
        <v>#REF!</v>
      </c>
      <c r="DD49" t="e">
        <f>AND('Show Services'!#REF!,"AAAAAFnn/2s=")</f>
        <v>#REF!</v>
      </c>
      <c r="DE49" t="e">
        <f>AND('Show Services'!#REF!,"AAAAAFnn/2w=")</f>
        <v>#REF!</v>
      </c>
      <c r="DF49" t="e">
        <f>AND('Show Services'!E11,"AAAAAFnn/20=")</f>
        <v>#VALUE!</v>
      </c>
      <c r="DG49" t="e">
        <f>AND('Show Services'!F11,"AAAAAFnn/24=")</f>
        <v>#VALUE!</v>
      </c>
      <c r="DH49" t="e">
        <f>AND('Show Services'!G11,"AAAAAFnn/28=")</f>
        <v>#VALUE!</v>
      </c>
      <c r="DI49" t="e">
        <f>AND('Show Services'!H11,"AAAAAFnn/3A=")</f>
        <v>#VALUE!</v>
      </c>
      <c r="DJ49" t="e">
        <f>AND('Show Services'!I11,"AAAAAFnn/3E=")</f>
        <v>#VALUE!</v>
      </c>
      <c r="DK49">
        <f>IF('Show Services'!12:12,"AAAAAFnn/3I=",0)</f>
        <v>0</v>
      </c>
      <c r="DL49" t="e">
        <f>AND('Show Services'!A12,"AAAAAFnn/3M=")</f>
        <v>#VALUE!</v>
      </c>
      <c r="DM49" t="e">
        <f>AND('Show Services'!B12,"AAAAAFnn/3Q=")</f>
        <v>#VALUE!</v>
      </c>
      <c r="DN49" t="e">
        <f>AND('Show Services'!C12,"AAAAAFnn/3U=")</f>
        <v>#VALUE!</v>
      </c>
      <c r="DO49" t="e">
        <f>AND('Show Services'!#REF!,"AAAAAFnn/3Y=")</f>
        <v>#REF!</v>
      </c>
      <c r="DP49" t="e">
        <f>AND('Show Services'!D12,"AAAAAFnn/3c=")</f>
        <v>#VALUE!</v>
      </c>
      <c r="DQ49" t="e">
        <f>AND('Show Services'!#REF!,"AAAAAFnn/3g=")</f>
        <v>#REF!</v>
      </c>
      <c r="DR49" t="e">
        <f>AND('Show Services'!#REF!,"AAAAAFnn/3k=")</f>
        <v>#REF!</v>
      </c>
      <c r="DS49" t="e">
        <f>AND('Show Services'!#REF!,"AAAAAFnn/3o=")</f>
        <v>#REF!</v>
      </c>
      <c r="DT49" t="e">
        <f>AND('Show Services'!#REF!,"AAAAAFnn/3s=")</f>
        <v>#REF!</v>
      </c>
      <c r="DU49" t="e">
        <f>AND('Show Services'!#REF!,"AAAAAFnn/3w=")</f>
        <v>#REF!</v>
      </c>
      <c r="DV49" t="e">
        <f>AND('Show Services'!#REF!,"AAAAAFnn/30=")</f>
        <v>#REF!</v>
      </c>
      <c r="DW49" t="e">
        <f>AND('Show Services'!#REF!,"AAAAAFnn/34=")</f>
        <v>#REF!</v>
      </c>
      <c r="DX49" t="e">
        <f>AND('Show Services'!#REF!,"AAAAAFnn/38=")</f>
        <v>#REF!</v>
      </c>
      <c r="DY49" t="e">
        <f>AND('Show Services'!#REF!,"AAAAAFnn/4A=")</f>
        <v>#REF!</v>
      </c>
      <c r="DZ49" t="e">
        <f>AND('Show Services'!#REF!,"AAAAAFnn/4E=")</f>
        <v>#REF!</v>
      </c>
      <c r="EA49" t="e">
        <f>AND('Show Services'!#REF!,"AAAAAFnn/4I=")</f>
        <v>#REF!</v>
      </c>
      <c r="EB49" t="e">
        <f>AND('Show Services'!#REF!,"AAAAAFnn/4M=")</f>
        <v>#REF!</v>
      </c>
      <c r="EC49" t="e">
        <f>AND('Show Services'!E12,"AAAAAFnn/4Q=")</f>
        <v>#VALUE!</v>
      </c>
      <c r="ED49" t="e">
        <f>AND('Show Services'!F12,"AAAAAFnn/4U=")</f>
        <v>#VALUE!</v>
      </c>
      <c r="EE49" t="e">
        <f>AND('Show Services'!G12,"AAAAAFnn/4Y=")</f>
        <v>#VALUE!</v>
      </c>
      <c r="EF49" t="e">
        <f>AND('Show Services'!H12,"AAAAAFnn/4c=")</f>
        <v>#VALUE!</v>
      </c>
      <c r="EG49" t="e">
        <f>AND('Show Services'!I12,"AAAAAFnn/4g=")</f>
        <v>#VALUE!</v>
      </c>
      <c r="EH49">
        <f>IF('Show Services'!13:13,"AAAAAFnn/4k=",0)</f>
        <v>0</v>
      </c>
      <c r="EI49" t="e">
        <f>AND('Show Services'!A13,"AAAAAFnn/4o=")</f>
        <v>#VALUE!</v>
      </c>
      <c r="EJ49" t="e">
        <f>AND('Show Services'!B13,"AAAAAFnn/4s=")</f>
        <v>#VALUE!</v>
      </c>
      <c r="EK49" t="e">
        <f>AND('Show Services'!C13,"AAAAAFnn/4w=")</f>
        <v>#VALUE!</v>
      </c>
      <c r="EL49" t="e">
        <f>AND('Show Services'!#REF!,"AAAAAFnn/40=")</f>
        <v>#REF!</v>
      </c>
      <c r="EM49" t="e">
        <f>AND('Show Services'!D13,"AAAAAFnn/44=")</f>
        <v>#VALUE!</v>
      </c>
      <c r="EN49" t="e">
        <f>AND('Show Services'!#REF!,"AAAAAFnn/48=")</f>
        <v>#REF!</v>
      </c>
      <c r="EO49" t="e">
        <f>AND('Show Services'!#REF!,"AAAAAFnn/5A=")</f>
        <v>#REF!</v>
      </c>
      <c r="EP49" t="e">
        <f>AND('Show Services'!#REF!,"AAAAAFnn/5E=")</f>
        <v>#REF!</v>
      </c>
      <c r="EQ49" t="e">
        <f>AND('Show Services'!#REF!,"AAAAAFnn/5I=")</f>
        <v>#REF!</v>
      </c>
      <c r="ER49" t="e">
        <f>AND('Show Services'!#REF!,"AAAAAFnn/5M=")</f>
        <v>#REF!</v>
      </c>
      <c r="ES49" t="e">
        <f>AND('Show Services'!#REF!,"AAAAAFnn/5Q=")</f>
        <v>#REF!</v>
      </c>
      <c r="ET49" t="e">
        <f>AND('Show Services'!#REF!,"AAAAAFnn/5U=")</f>
        <v>#REF!</v>
      </c>
      <c r="EU49" t="e">
        <f>AND('Show Services'!#REF!,"AAAAAFnn/5Y=")</f>
        <v>#REF!</v>
      </c>
      <c r="EV49" t="e">
        <f>AND('Show Services'!#REF!,"AAAAAFnn/5c=")</f>
        <v>#REF!</v>
      </c>
      <c r="EW49" t="e">
        <f>AND('Show Services'!#REF!,"AAAAAFnn/5g=")</f>
        <v>#REF!</v>
      </c>
      <c r="EX49" t="e">
        <f>AND('Show Services'!#REF!,"AAAAAFnn/5k=")</f>
        <v>#REF!</v>
      </c>
      <c r="EY49" t="e">
        <f>AND('Show Services'!#REF!,"AAAAAFnn/5o=")</f>
        <v>#REF!</v>
      </c>
      <c r="EZ49" t="e">
        <f>AND('Show Services'!E13,"AAAAAFnn/5s=")</f>
        <v>#VALUE!</v>
      </c>
      <c r="FA49" t="e">
        <f>AND('Show Services'!F13,"AAAAAFnn/5w=")</f>
        <v>#VALUE!</v>
      </c>
      <c r="FB49" t="e">
        <f>AND('Show Services'!G13,"AAAAAFnn/50=")</f>
        <v>#VALUE!</v>
      </c>
      <c r="FC49" t="e">
        <f>AND('Show Services'!H13,"AAAAAFnn/54=")</f>
        <v>#VALUE!</v>
      </c>
      <c r="FD49" t="e">
        <f>AND('Show Services'!I13,"AAAAAFnn/58=")</f>
        <v>#VALUE!</v>
      </c>
      <c r="FE49">
        <f>IF('Show Services'!14:14,"AAAAAFnn/6A=",0)</f>
        <v>0</v>
      </c>
      <c r="FF49" t="e">
        <f>AND('Show Services'!A14,"AAAAAFnn/6E=")</f>
        <v>#VALUE!</v>
      </c>
      <c r="FG49" t="e">
        <f>AND('Show Services'!B14,"AAAAAFnn/6I=")</f>
        <v>#VALUE!</v>
      </c>
      <c r="FH49" t="e">
        <f>AND('Show Services'!C14,"AAAAAFnn/6M=")</f>
        <v>#VALUE!</v>
      </c>
      <c r="FI49" t="e">
        <f>AND('Show Services'!#REF!,"AAAAAFnn/6Q=")</f>
        <v>#REF!</v>
      </c>
      <c r="FJ49" t="e">
        <f>AND('Show Services'!D14,"AAAAAFnn/6U=")</f>
        <v>#VALUE!</v>
      </c>
      <c r="FK49" t="e">
        <f>AND('Show Services'!#REF!,"AAAAAFnn/6Y=")</f>
        <v>#REF!</v>
      </c>
      <c r="FL49" t="e">
        <f>AND('Show Services'!#REF!,"AAAAAFnn/6c=")</f>
        <v>#REF!</v>
      </c>
      <c r="FM49" t="e">
        <f>AND('Show Services'!#REF!,"AAAAAFnn/6g=")</f>
        <v>#REF!</v>
      </c>
      <c r="FN49" t="e">
        <f>AND('Show Services'!#REF!,"AAAAAFnn/6k=")</f>
        <v>#REF!</v>
      </c>
      <c r="FO49" t="e">
        <f>AND('Show Services'!#REF!,"AAAAAFnn/6o=")</f>
        <v>#REF!</v>
      </c>
      <c r="FP49" t="e">
        <f>AND('Show Services'!#REF!,"AAAAAFnn/6s=")</f>
        <v>#REF!</v>
      </c>
      <c r="FQ49" t="e">
        <f>AND('Show Services'!#REF!,"AAAAAFnn/6w=")</f>
        <v>#REF!</v>
      </c>
      <c r="FR49" t="e">
        <f>AND('Show Services'!#REF!,"AAAAAFnn/60=")</f>
        <v>#REF!</v>
      </c>
      <c r="FS49" t="e">
        <f>AND('Show Services'!#REF!,"AAAAAFnn/64=")</f>
        <v>#REF!</v>
      </c>
      <c r="FT49" t="e">
        <f>AND('Show Services'!#REF!,"AAAAAFnn/68=")</f>
        <v>#REF!</v>
      </c>
      <c r="FU49" t="e">
        <f>AND('Show Services'!#REF!,"AAAAAFnn/7A=")</f>
        <v>#REF!</v>
      </c>
      <c r="FV49" t="e">
        <f>AND('Show Services'!#REF!,"AAAAAFnn/7E=")</f>
        <v>#REF!</v>
      </c>
      <c r="FW49" t="e">
        <f>AND('Show Services'!E14,"AAAAAFnn/7I=")</f>
        <v>#VALUE!</v>
      </c>
      <c r="FX49" t="e">
        <f>AND('Show Services'!F14,"AAAAAFnn/7M=")</f>
        <v>#VALUE!</v>
      </c>
      <c r="FY49" t="e">
        <f>AND('Show Services'!G14,"AAAAAFnn/7Q=")</f>
        <v>#VALUE!</v>
      </c>
      <c r="FZ49" t="e">
        <f>AND('Show Services'!H14,"AAAAAFnn/7U=")</f>
        <v>#VALUE!</v>
      </c>
      <c r="GA49" t="e">
        <f>AND('Show Services'!I14,"AAAAAFnn/7Y=")</f>
        <v>#VALUE!</v>
      </c>
      <c r="GB49">
        <f>IF('Show Services'!15:15,"AAAAAFnn/7c=",0)</f>
        <v>0</v>
      </c>
      <c r="GC49" t="e">
        <f>AND('Show Services'!A15,"AAAAAFnn/7g=")</f>
        <v>#VALUE!</v>
      </c>
      <c r="GD49" t="e">
        <f>AND('Show Services'!B15,"AAAAAFnn/7k=")</f>
        <v>#VALUE!</v>
      </c>
      <c r="GE49" t="e">
        <f>AND('Show Services'!C15,"AAAAAFnn/7o=")</f>
        <v>#VALUE!</v>
      </c>
      <c r="GF49" t="e">
        <f>AND('Show Services'!#REF!,"AAAAAFnn/7s=")</f>
        <v>#REF!</v>
      </c>
      <c r="GG49" t="e">
        <f>AND('Show Services'!D15,"AAAAAFnn/7w=")</f>
        <v>#VALUE!</v>
      </c>
      <c r="GH49" t="e">
        <f>AND('Show Services'!#REF!,"AAAAAFnn/70=")</f>
        <v>#REF!</v>
      </c>
      <c r="GI49" t="e">
        <f>AND('Show Services'!#REF!,"AAAAAFnn/74=")</f>
        <v>#REF!</v>
      </c>
      <c r="GJ49" t="e">
        <f>AND('Show Services'!#REF!,"AAAAAFnn/78=")</f>
        <v>#REF!</v>
      </c>
      <c r="GK49" t="e">
        <f>AND('Show Services'!#REF!,"AAAAAFnn/8A=")</f>
        <v>#REF!</v>
      </c>
      <c r="GL49" t="e">
        <f>AND('Show Services'!#REF!,"AAAAAFnn/8E=")</f>
        <v>#REF!</v>
      </c>
      <c r="GM49" t="e">
        <f>AND('Show Services'!#REF!,"AAAAAFnn/8I=")</f>
        <v>#REF!</v>
      </c>
      <c r="GN49" t="e">
        <f>AND('Show Services'!#REF!,"AAAAAFnn/8M=")</f>
        <v>#REF!</v>
      </c>
      <c r="GO49" t="e">
        <f>AND('Show Services'!#REF!,"AAAAAFnn/8Q=")</f>
        <v>#REF!</v>
      </c>
      <c r="GP49" t="e">
        <f>AND('Show Services'!#REF!,"AAAAAFnn/8U=")</f>
        <v>#REF!</v>
      </c>
      <c r="GQ49" t="e">
        <f>AND('Show Services'!#REF!,"AAAAAFnn/8Y=")</f>
        <v>#REF!</v>
      </c>
      <c r="GR49" t="e">
        <f>AND('Show Services'!#REF!,"AAAAAFnn/8c=")</f>
        <v>#REF!</v>
      </c>
      <c r="GS49" t="e">
        <f>AND('Show Services'!#REF!,"AAAAAFnn/8g=")</f>
        <v>#REF!</v>
      </c>
      <c r="GT49" t="e">
        <f>AND('Show Services'!E15,"AAAAAFnn/8k=")</f>
        <v>#VALUE!</v>
      </c>
      <c r="GU49" t="e">
        <f>AND('Show Services'!F15,"AAAAAFnn/8o=")</f>
        <v>#VALUE!</v>
      </c>
      <c r="GV49" t="e">
        <f>AND('Show Services'!G15,"AAAAAFnn/8s=")</f>
        <v>#VALUE!</v>
      </c>
      <c r="GW49" t="e">
        <f>AND('Show Services'!H15,"AAAAAFnn/8w=")</f>
        <v>#VALUE!</v>
      </c>
      <c r="GX49" t="e">
        <f>AND('Show Services'!I15,"AAAAAFnn/80=")</f>
        <v>#VALUE!</v>
      </c>
      <c r="GY49">
        <f>IF('Show Services'!24:24,"AAAAAFnn/84=",0)</f>
        <v>0</v>
      </c>
      <c r="GZ49" t="e">
        <f>AND('Show Services'!A24,"AAAAAFnn/88=")</f>
        <v>#VALUE!</v>
      </c>
      <c r="HA49" t="e">
        <f>AND('Show Services'!B24,"AAAAAFnn/9A=")</f>
        <v>#VALUE!</v>
      </c>
      <c r="HB49" t="e">
        <f>AND('Show Services'!C24,"AAAAAFnn/9E=")</f>
        <v>#VALUE!</v>
      </c>
      <c r="HC49" t="e">
        <f>AND('Show Services'!#REF!,"AAAAAFnn/9I=")</f>
        <v>#REF!</v>
      </c>
      <c r="HD49" t="e">
        <f>AND('Show Services'!D24,"AAAAAFnn/9M=")</f>
        <v>#VALUE!</v>
      </c>
      <c r="HE49" t="e">
        <f>AND('Show Services'!#REF!,"AAAAAFnn/9Q=")</f>
        <v>#REF!</v>
      </c>
      <c r="HF49" t="e">
        <f>AND('Show Services'!#REF!,"AAAAAFnn/9U=")</f>
        <v>#REF!</v>
      </c>
      <c r="HG49" t="e">
        <f>AND('Show Services'!#REF!,"AAAAAFnn/9Y=")</f>
        <v>#REF!</v>
      </c>
      <c r="HH49" t="e">
        <f>AND('Show Services'!#REF!,"AAAAAFnn/9c=")</f>
        <v>#REF!</v>
      </c>
      <c r="HI49" t="e">
        <f>AND('Show Services'!#REF!,"AAAAAFnn/9g=")</f>
        <v>#REF!</v>
      </c>
      <c r="HJ49" t="e">
        <f>AND('Show Services'!#REF!,"AAAAAFnn/9k=")</f>
        <v>#REF!</v>
      </c>
      <c r="HK49" t="e">
        <f>AND('Show Services'!#REF!,"AAAAAFnn/9o=")</f>
        <v>#REF!</v>
      </c>
      <c r="HL49" t="e">
        <f>AND('Show Services'!#REF!,"AAAAAFnn/9s=")</f>
        <v>#REF!</v>
      </c>
      <c r="HM49" t="e">
        <f>AND('Show Services'!#REF!,"AAAAAFnn/9w=")</f>
        <v>#REF!</v>
      </c>
      <c r="HN49" t="e">
        <f>AND('Show Services'!#REF!,"AAAAAFnn/90=")</f>
        <v>#REF!</v>
      </c>
      <c r="HO49" t="e">
        <f>AND('Show Services'!#REF!,"AAAAAFnn/94=")</f>
        <v>#REF!</v>
      </c>
      <c r="HP49" t="e">
        <f>AND('Show Services'!#REF!,"AAAAAFnn/98=")</f>
        <v>#REF!</v>
      </c>
      <c r="HQ49" t="e">
        <f>AND('Show Services'!E24,"AAAAAFnn/+A=")</f>
        <v>#VALUE!</v>
      </c>
      <c r="HR49" t="e">
        <f>AND('Show Services'!F24,"AAAAAFnn/+E=")</f>
        <v>#VALUE!</v>
      </c>
      <c r="HS49" t="e">
        <f>AND('Show Services'!G24,"AAAAAFnn/+I=")</f>
        <v>#VALUE!</v>
      </c>
      <c r="HT49" t="e">
        <f>AND('Show Services'!H24,"AAAAAFnn/+M=")</f>
        <v>#VALUE!</v>
      </c>
      <c r="HU49" t="e">
        <f>AND('Show Services'!I24,"AAAAAFnn/+Q=")</f>
        <v>#VALUE!</v>
      </c>
      <c r="HV49">
        <f>IF('Show Services'!25:25,"AAAAAFnn/+U=",0)</f>
        <v>0</v>
      </c>
      <c r="HW49" t="e">
        <f>AND('Show Services'!A25,"AAAAAFnn/+Y=")</f>
        <v>#VALUE!</v>
      </c>
      <c r="HX49" t="e">
        <f>AND('Show Services'!B25,"AAAAAFnn/+c=")</f>
        <v>#VALUE!</v>
      </c>
      <c r="HY49" t="e">
        <f>AND('Show Services'!C25,"AAAAAFnn/+g=")</f>
        <v>#VALUE!</v>
      </c>
      <c r="HZ49" t="e">
        <f>AND('Show Services'!#REF!,"AAAAAFnn/+k=")</f>
        <v>#REF!</v>
      </c>
      <c r="IA49" t="e">
        <f>AND('Show Services'!D25,"AAAAAFnn/+o=")</f>
        <v>#VALUE!</v>
      </c>
      <c r="IB49" t="e">
        <f>AND('Show Services'!#REF!,"AAAAAFnn/+s=")</f>
        <v>#REF!</v>
      </c>
      <c r="IC49" t="e">
        <f>AND('Show Services'!#REF!,"AAAAAFnn/+w=")</f>
        <v>#REF!</v>
      </c>
      <c r="ID49" t="e">
        <f>AND('Show Services'!#REF!,"AAAAAFnn/+0=")</f>
        <v>#REF!</v>
      </c>
      <c r="IE49" t="e">
        <f>AND('Show Services'!#REF!,"AAAAAFnn/+4=")</f>
        <v>#REF!</v>
      </c>
      <c r="IF49" t="e">
        <f>AND('Show Services'!#REF!,"AAAAAFnn/+8=")</f>
        <v>#REF!</v>
      </c>
      <c r="IG49" t="e">
        <f>AND('Show Services'!#REF!,"AAAAAFnn//A=")</f>
        <v>#REF!</v>
      </c>
      <c r="IH49" t="e">
        <f>AND('Show Services'!#REF!,"AAAAAFnn//E=")</f>
        <v>#REF!</v>
      </c>
      <c r="II49" t="e">
        <f>AND('Show Services'!#REF!,"AAAAAFnn//I=")</f>
        <v>#REF!</v>
      </c>
      <c r="IJ49" t="e">
        <f>AND('Show Services'!#REF!,"AAAAAFnn//M=")</f>
        <v>#REF!</v>
      </c>
      <c r="IK49" t="e">
        <f>AND('Show Services'!#REF!,"AAAAAFnn//Q=")</f>
        <v>#REF!</v>
      </c>
      <c r="IL49" t="e">
        <f>AND('Show Services'!#REF!,"AAAAAFnn//U=")</f>
        <v>#REF!</v>
      </c>
      <c r="IM49" t="e">
        <f>AND('Show Services'!#REF!,"AAAAAFnn//Y=")</f>
        <v>#REF!</v>
      </c>
      <c r="IN49" t="e">
        <f>AND('Show Services'!E25,"AAAAAFnn//c=")</f>
        <v>#VALUE!</v>
      </c>
      <c r="IO49" t="e">
        <f>AND('Show Services'!F25,"AAAAAFnn//g=")</f>
        <v>#VALUE!</v>
      </c>
      <c r="IP49" t="e">
        <f>AND('Show Services'!G25,"AAAAAFnn//k=")</f>
        <v>#VALUE!</v>
      </c>
      <c r="IQ49" t="e">
        <f>AND('Show Services'!H25,"AAAAAFnn//o=")</f>
        <v>#VALUE!</v>
      </c>
      <c r="IR49" t="e">
        <f>AND('Show Services'!I25,"AAAAAFnn//s=")</f>
        <v>#VALUE!</v>
      </c>
      <c r="IS49">
        <f>IF('Show Services'!26:26,"AAAAAFnn//w=",0)</f>
        <v>0</v>
      </c>
      <c r="IT49" t="e">
        <f>AND('Show Services'!A26,"AAAAAFnn//0=")</f>
        <v>#VALUE!</v>
      </c>
      <c r="IU49" t="e">
        <f>AND('Show Services'!B26,"AAAAAFnn//4=")</f>
        <v>#VALUE!</v>
      </c>
      <c r="IV49" t="e">
        <f>AND('Show Services'!C26,"AAAAAFnn//8=")</f>
        <v>#VALUE!</v>
      </c>
    </row>
    <row r="50" spans="1:256" x14ac:dyDescent="0.2">
      <c r="A50" t="e">
        <f>AND('Show Services'!#REF!,"AAAAAH//mwA=")</f>
        <v>#REF!</v>
      </c>
      <c r="B50" t="e">
        <f>AND('Show Services'!D26,"AAAAAH//mwE=")</f>
        <v>#VALUE!</v>
      </c>
      <c r="C50" t="e">
        <f>AND('Show Services'!#REF!,"AAAAAH//mwI=")</f>
        <v>#REF!</v>
      </c>
      <c r="D50" t="e">
        <f>AND('Show Services'!#REF!,"AAAAAH//mwM=")</f>
        <v>#REF!</v>
      </c>
      <c r="E50" t="e">
        <f>AND('Show Services'!#REF!,"AAAAAH//mwQ=")</f>
        <v>#REF!</v>
      </c>
      <c r="F50" t="e">
        <f>AND('Show Services'!#REF!,"AAAAAH//mwU=")</f>
        <v>#REF!</v>
      </c>
      <c r="G50" t="e">
        <f>AND('Show Services'!#REF!,"AAAAAH//mwY=")</f>
        <v>#REF!</v>
      </c>
      <c r="H50" t="e">
        <f>AND('Show Services'!#REF!,"AAAAAH//mwc=")</f>
        <v>#REF!</v>
      </c>
      <c r="I50" t="e">
        <f>AND('Show Services'!#REF!,"AAAAAH//mwg=")</f>
        <v>#REF!</v>
      </c>
      <c r="J50" t="e">
        <f>AND('Show Services'!#REF!,"AAAAAH//mwk=")</f>
        <v>#REF!</v>
      </c>
      <c r="K50" t="e">
        <f>AND('Show Services'!#REF!,"AAAAAH//mwo=")</f>
        <v>#REF!</v>
      </c>
      <c r="L50" t="e">
        <f>AND('Show Services'!#REF!,"AAAAAH//mws=")</f>
        <v>#REF!</v>
      </c>
      <c r="M50" t="e">
        <f>AND('Show Services'!#REF!,"AAAAAH//mww=")</f>
        <v>#REF!</v>
      </c>
      <c r="N50" t="e">
        <f>AND('Show Services'!#REF!,"AAAAAH//mw0=")</f>
        <v>#REF!</v>
      </c>
      <c r="O50" t="e">
        <f>AND('Show Services'!E26,"AAAAAH//mw4=")</f>
        <v>#VALUE!</v>
      </c>
      <c r="P50" t="e">
        <f>AND('Show Services'!F26,"AAAAAH//mw8=")</f>
        <v>#VALUE!</v>
      </c>
      <c r="Q50" t="e">
        <f>AND('Show Services'!G26,"AAAAAH//mxA=")</f>
        <v>#VALUE!</v>
      </c>
      <c r="R50" t="e">
        <f>AND('Show Services'!H26,"AAAAAH//mxE=")</f>
        <v>#VALUE!</v>
      </c>
      <c r="S50" t="e">
        <f>AND('Show Services'!I26,"AAAAAH//mxI=")</f>
        <v>#VALUE!</v>
      </c>
      <c r="T50" t="e">
        <f>IF('Show Services'!#REF!,"AAAAAH//mxM=",0)</f>
        <v>#REF!</v>
      </c>
      <c r="U50" t="e">
        <f>AND('Show Services'!#REF!,"AAAAAH//mxQ=")</f>
        <v>#REF!</v>
      </c>
      <c r="V50" t="e">
        <f>AND('Show Services'!#REF!,"AAAAAH//mxU=")</f>
        <v>#REF!</v>
      </c>
      <c r="W50" t="e">
        <f>AND('Show Services'!#REF!,"AAAAAH//mxY=")</f>
        <v>#REF!</v>
      </c>
      <c r="X50" t="e">
        <f>AND('Show Services'!#REF!,"AAAAAH//mxc=")</f>
        <v>#REF!</v>
      </c>
      <c r="Y50" t="e">
        <f>AND('Show Services'!#REF!,"AAAAAH//mxg=")</f>
        <v>#REF!</v>
      </c>
      <c r="Z50" t="e">
        <f>AND('Show Services'!#REF!,"AAAAAH//mxk=")</f>
        <v>#REF!</v>
      </c>
      <c r="AA50" t="e">
        <f>AND('Show Services'!#REF!,"AAAAAH//mxo=")</f>
        <v>#REF!</v>
      </c>
      <c r="AB50" t="e">
        <f>AND('Show Services'!#REF!,"AAAAAH//mxs=")</f>
        <v>#REF!</v>
      </c>
      <c r="AC50" t="e">
        <f>AND('Show Services'!#REF!,"AAAAAH//mxw=")</f>
        <v>#REF!</v>
      </c>
      <c r="AD50" t="e">
        <f>AND('Show Services'!#REF!,"AAAAAH//mx0=")</f>
        <v>#REF!</v>
      </c>
      <c r="AE50" t="e">
        <f>AND('Show Services'!#REF!,"AAAAAH//mx4=")</f>
        <v>#REF!</v>
      </c>
      <c r="AF50" t="e">
        <f>AND('Show Services'!#REF!,"AAAAAH//mx8=")</f>
        <v>#REF!</v>
      </c>
      <c r="AG50" t="e">
        <f>AND('Show Services'!#REF!,"AAAAAH//myA=")</f>
        <v>#REF!</v>
      </c>
      <c r="AH50" t="e">
        <f>AND('Show Services'!#REF!,"AAAAAH//myE=")</f>
        <v>#REF!</v>
      </c>
      <c r="AI50" t="e">
        <f>AND('Show Services'!#REF!,"AAAAAH//myI=")</f>
        <v>#REF!</v>
      </c>
      <c r="AJ50" t="e">
        <f>AND('Show Services'!#REF!,"AAAAAH//myM=")</f>
        <v>#REF!</v>
      </c>
      <c r="AK50" t="e">
        <f>AND('Show Services'!#REF!,"AAAAAH//myQ=")</f>
        <v>#REF!</v>
      </c>
      <c r="AL50" t="e">
        <f>AND('Show Services'!#REF!,"AAAAAH//myU=")</f>
        <v>#REF!</v>
      </c>
      <c r="AM50" t="e">
        <f>AND('Show Services'!#REF!,"AAAAAH//myY=")</f>
        <v>#REF!</v>
      </c>
      <c r="AN50" t="e">
        <f>AND('Show Services'!#REF!,"AAAAAH//myc=")</f>
        <v>#REF!</v>
      </c>
      <c r="AO50" t="e">
        <f>AND('Show Services'!#REF!,"AAAAAH//myg=")</f>
        <v>#REF!</v>
      </c>
      <c r="AP50" t="e">
        <f>AND('Show Services'!#REF!,"AAAAAH//myk=")</f>
        <v>#REF!</v>
      </c>
      <c r="AQ50">
        <f>IF('Show Services'!27:27,"AAAAAH//myo=",0)</f>
        <v>0</v>
      </c>
      <c r="AR50" t="e">
        <f>AND('Show Services'!A27,"AAAAAH//mys=")</f>
        <v>#VALUE!</v>
      </c>
      <c r="AS50" t="e">
        <f>AND('Show Services'!B27,"AAAAAH//myw=")</f>
        <v>#VALUE!</v>
      </c>
      <c r="AT50" t="e">
        <f>AND('Show Services'!C27,"AAAAAH//my0=")</f>
        <v>#VALUE!</v>
      </c>
      <c r="AU50" t="e">
        <f>AND('Show Services'!#REF!,"AAAAAH//my4=")</f>
        <v>#REF!</v>
      </c>
      <c r="AV50" t="e">
        <f>AND('Show Services'!D27,"AAAAAH//my8=")</f>
        <v>#VALUE!</v>
      </c>
      <c r="AW50" t="e">
        <f>AND('Show Services'!#REF!,"AAAAAH//mzA=")</f>
        <v>#REF!</v>
      </c>
      <c r="AX50" t="e">
        <f>AND('Show Services'!#REF!,"AAAAAH//mzE=")</f>
        <v>#REF!</v>
      </c>
      <c r="AY50" t="e">
        <f>AND('Show Services'!#REF!,"AAAAAH//mzI=")</f>
        <v>#REF!</v>
      </c>
      <c r="AZ50" t="e">
        <f>AND('Show Services'!#REF!,"AAAAAH//mzM=")</f>
        <v>#REF!</v>
      </c>
      <c r="BA50" t="e">
        <f>AND('Show Services'!#REF!,"AAAAAH//mzQ=")</f>
        <v>#REF!</v>
      </c>
      <c r="BB50" t="e">
        <f>AND('Show Services'!#REF!,"AAAAAH//mzU=")</f>
        <v>#REF!</v>
      </c>
      <c r="BC50" t="e">
        <f>AND('Show Services'!#REF!,"AAAAAH//mzY=")</f>
        <v>#REF!</v>
      </c>
      <c r="BD50" t="e">
        <f>AND('Show Services'!#REF!,"AAAAAH//mzc=")</f>
        <v>#REF!</v>
      </c>
      <c r="BE50" t="e">
        <f>AND('Show Services'!#REF!,"AAAAAH//mzg=")</f>
        <v>#REF!</v>
      </c>
      <c r="BF50" t="e">
        <f>AND('Show Services'!#REF!,"AAAAAH//mzk=")</f>
        <v>#REF!</v>
      </c>
      <c r="BG50" t="e">
        <f>AND('Show Services'!#REF!,"AAAAAH//mzo=")</f>
        <v>#REF!</v>
      </c>
      <c r="BH50" t="e">
        <f>AND('Show Services'!#REF!,"AAAAAH//mzs=")</f>
        <v>#REF!</v>
      </c>
      <c r="BI50" t="e">
        <f>AND('Show Services'!E27,"AAAAAH//mzw=")</f>
        <v>#VALUE!</v>
      </c>
      <c r="BJ50" t="e">
        <f>AND('Show Services'!F27,"AAAAAH//mz0=")</f>
        <v>#VALUE!</v>
      </c>
      <c r="BK50" t="e">
        <f>AND('Show Services'!G27,"AAAAAH//mz4=")</f>
        <v>#VALUE!</v>
      </c>
      <c r="BL50" t="e">
        <f>AND('Show Services'!H27,"AAAAAH//mz8=")</f>
        <v>#VALUE!</v>
      </c>
      <c r="BM50" t="e">
        <f>AND('Show Services'!I27,"AAAAAH//m0A=")</f>
        <v>#VALUE!</v>
      </c>
      <c r="BN50">
        <f>IF('Show Services'!28:28,"AAAAAH//m0E=",0)</f>
        <v>0</v>
      </c>
      <c r="BO50" t="e">
        <f>AND('Show Services'!A28,"AAAAAH//m0I=")</f>
        <v>#VALUE!</v>
      </c>
      <c r="BP50" t="e">
        <f>AND('Show Services'!B28,"AAAAAH//m0M=")</f>
        <v>#VALUE!</v>
      </c>
      <c r="BQ50" t="e">
        <f>AND('Show Services'!C28,"AAAAAH//m0Q=")</f>
        <v>#VALUE!</v>
      </c>
      <c r="BR50" t="e">
        <f>AND('Show Services'!#REF!,"AAAAAH//m0U=")</f>
        <v>#REF!</v>
      </c>
      <c r="BS50" t="e">
        <f>AND('Show Services'!D28,"AAAAAH//m0Y=")</f>
        <v>#VALUE!</v>
      </c>
      <c r="BT50" t="e">
        <f>AND('Show Services'!#REF!,"AAAAAH//m0c=")</f>
        <v>#REF!</v>
      </c>
      <c r="BU50" t="e">
        <f>AND('Show Services'!#REF!,"AAAAAH//m0g=")</f>
        <v>#REF!</v>
      </c>
      <c r="BV50" t="e">
        <f>AND('Show Services'!#REF!,"AAAAAH//m0k=")</f>
        <v>#REF!</v>
      </c>
      <c r="BW50" t="e">
        <f>AND('Show Services'!#REF!,"AAAAAH//m0o=")</f>
        <v>#REF!</v>
      </c>
      <c r="BX50" t="e">
        <f>AND('Show Services'!#REF!,"AAAAAH//m0s=")</f>
        <v>#REF!</v>
      </c>
      <c r="BY50" t="e">
        <f>AND('Show Services'!#REF!,"AAAAAH//m0w=")</f>
        <v>#REF!</v>
      </c>
      <c r="BZ50" t="e">
        <f>AND('Show Services'!#REF!,"AAAAAH//m00=")</f>
        <v>#REF!</v>
      </c>
      <c r="CA50" t="e">
        <f>AND('Show Services'!#REF!,"AAAAAH//m04=")</f>
        <v>#REF!</v>
      </c>
      <c r="CB50" t="e">
        <f>AND('Show Services'!#REF!,"AAAAAH//m08=")</f>
        <v>#REF!</v>
      </c>
      <c r="CC50" t="e">
        <f>AND('Show Services'!#REF!,"AAAAAH//m1A=")</f>
        <v>#REF!</v>
      </c>
      <c r="CD50" t="e">
        <f>AND('Show Services'!#REF!,"AAAAAH//m1E=")</f>
        <v>#REF!</v>
      </c>
      <c r="CE50" t="e">
        <f>AND('Show Services'!#REF!,"AAAAAH//m1I=")</f>
        <v>#REF!</v>
      </c>
      <c r="CF50" t="e">
        <f>AND('Show Services'!E28,"AAAAAH//m1M=")</f>
        <v>#VALUE!</v>
      </c>
      <c r="CG50" t="e">
        <f>AND('Show Services'!F28,"AAAAAH//m1Q=")</f>
        <v>#VALUE!</v>
      </c>
      <c r="CH50" t="e">
        <f>AND('Show Services'!G28,"AAAAAH//m1U=")</f>
        <v>#VALUE!</v>
      </c>
      <c r="CI50" t="e">
        <f>AND('Show Services'!H28,"AAAAAH//m1Y=")</f>
        <v>#VALUE!</v>
      </c>
      <c r="CJ50" t="e">
        <f>AND('Show Services'!I28,"AAAAAH//m1c=")</f>
        <v>#VALUE!</v>
      </c>
      <c r="CK50">
        <f>IF('Show Services'!29:29,"AAAAAH//m1g=",0)</f>
        <v>0</v>
      </c>
      <c r="CL50" t="e">
        <f>AND('Show Services'!A29,"AAAAAH//m1k=")</f>
        <v>#VALUE!</v>
      </c>
      <c r="CM50" t="e">
        <f>AND('Show Services'!B29,"AAAAAH//m1o=")</f>
        <v>#VALUE!</v>
      </c>
      <c r="CN50" t="e">
        <f>AND('Show Services'!C29,"AAAAAH//m1s=")</f>
        <v>#VALUE!</v>
      </c>
      <c r="CO50" t="e">
        <f>AND('Show Services'!#REF!,"AAAAAH//m1w=")</f>
        <v>#REF!</v>
      </c>
      <c r="CP50" t="e">
        <f>AND('Show Services'!D29,"AAAAAH//m10=")</f>
        <v>#VALUE!</v>
      </c>
      <c r="CQ50" t="e">
        <f>AND('Show Services'!#REF!,"AAAAAH//m14=")</f>
        <v>#REF!</v>
      </c>
      <c r="CR50" t="e">
        <f>AND('Show Services'!#REF!,"AAAAAH//m18=")</f>
        <v>#REF!</v>
      </c>
      <c r="CS50" t="e">
        <f>AND('Show Services'!#REF!,"AAAAAH//m2A=")</f>
        <v>#REF!</v>
      </c>
      <c r="CT50" t="e">
        <f>AND('Show Services'!#REF!,"AAAAAH//m2E=")</f>
        <v>#REF!</v>
      </c>
      <c r="CU50" t="e">
        <f>AND('Show Services'!#REF!,"AAAAAH//m2I=")</f>
        <v>#REF!</v>
      </c>
      <c r="CV50" t="e">
        <f>AND('Show Services'!#REF!,"AAAAAH//m2M=")</f>
        <v>#REF!</v>
      </c>
      <c r="CW50" t="e">
        <f>AND('Show Services'!#REF!,"AAAAAH//m2Q=")</f>
        <v>#REF!</v>
      </c>
      <c r="CX50" t="e">
        <f>AND('Show Services'!#REF!,"AAAAAH//m2U=")</f>
        <v>#REF!</v>
      </c>
      <c r="CY50" t="e">
        <f>AND('Show Services'!#REF!,"AAAAAH//m2Y=")</f>
        <v>#REF!</v>
      </c>
      <c r="CZ50" t="e">
        <f>AND('Show Services'!#REF!,"AAAAAH//m2c=")</f>
        <v>#REF!</v>
      </c>
      <c r="DA50" t="e">
        <f>AND('Show Services'!#REF!,"AAAAAH//m2g=")</f>
        <v>#REF!</v>
      </c>
      <c r="DB50" t="e">
        <f>AND('Show Services'!#REF!,"AAAAAH//m2k=")</f>
        <v>#REF!</v>
      </c>
      <c r="DC50" t="e">
        <f>AND('Show Services'!E29,"AAAAAH//m2o=")</f>
        <v>#VALUE!</v>
      </c>
      <c r="DD50" t="e">
        <f>AND('Show Services'!F29,"AAAAAH//m2s=")</f>
        <v>#VALUE!</v>
      </c>
      <c r="DE50" t="e">
        <f>AND('Show Services'!G29,"AAAAAH//m2w=")</f>
        <v>#VALUE!</v>
      </c>
      <c r="DF50" t="e">
        <f>AND('Show Services'!H29,"AAAAAH//m20=")</f>
        <v>#VALUE!</v>
      </c>
      <c r="DG50" t="e">
        <f>AND('Show Services'!I29,"AAAAAH//m24=")</f>
        <v>#VALUE!</v>
      </c>
      <c r="DH50">
        <f>IF('Show Services'!30:30,"AAAAAH//m28=",0)</f>
        <v>0</v>
      </c>
      <c r="DI50" t="e">
        <f>AND('Show Services'!A30,"AAAAAH//m3A=")</f>
        <v>#VALUE!</v>
      </c>
      <c r="DJ50" t="e">
        <f>AND('Show Services'!B30,"AAAAAH//m3E=")</f>
        <v>#VALUE!</v>
      </c>
      <c r="DK50" t="e">
        <f>AND('Show Services'!C30,"AAAAAH//m3I=")</f>
        <v>#VALUE!</v>
      </c>
      <c r="DL50" t="e">
        <f>AND('Show Services'!#REF!,"AAAAAH//m3M=")</f>
        <v>#REF!</v>
      </c>
      <c r="DM50" t="e">
        <f>AND('Show Services'!D30,"AAAAAH//m3Q=")</f>
        <v>#VALUE!</v>
      </c>
      <c r="DN50" t="e">
        <f>AND('Show Services'!#REF!,"AAAAAH//m3U=")</f>
        <v>#REF!</v>
      </c>
      <c r="DO50" t="e">
        <f>AND('Show Services'!#REF!,"AAAAAH//m3Y=")</f>
        <v>#REF!</v>
      </c>
      <c r="DP50" t="e">
        <f>AND('Show Services'!#REF!,"AAAAAH//m3c=")</f>
        <v>#REF!</v>
      </c>
      <c r="DQ50" t="e">
        <f>AND('Show Services'!#REF!,"AAAAAH//m3g=")</f>
        <v>#REF!</v>
      </c>
      <c r="DR50" t="e">
        <f>AND('Show Services'!#REF!,"AAAAAH//m3k=")</f>
        <v>#REF!</v>
      </c>
      <c r="DS50" t="e">
        <f>AND('Show Services'!#REF!,"AAAAAH//m3o=")</f>
        <v>#REF!</v>
      </c>
      <c r="DT50" t="e">
        <f>AND('Show Services'!#REF!,"AAAAAH//m3s=")</f>
        <v>#REF!</v>
      </c>
      <c r="DU50" t="e">
        <f>AND('Show Services'!#REF!,"AAAAAH//m3w=")</f>
        <v>#REF!</v>
      </c>
      <c r="DV50" t="e">
        <f>AND('Show Services'!#REF!,"AAAAAH//m30=")</f>
        <v>#REF!</v>
      </c>
      <c r="DW50" t="e">
        <f>AND('Show Services'!#REF!,"AAAAAH//m34=")</f>
        <v>#REF!</v>
      </c>
      <c r="DX50" t="e">
        <f>AND('Show Services'!#REF!,"AAAAAH//m38=")</f>
        <v>#REF!</v>
      </c>
      <c r="DY50" t="e">
        <f>AND('Show Services'!#REF!,"AAAAAH//m4A=")</f>
        <v>#REF!</v>
      </c>
      <c r="DZ50" t="e">
        <f>AND('Show Services'!E30,"AAAAAH//m4E=")</f>
        <v>#VALUE!</v>
      </c>
      <c r="EA50" t="e">
        <f>AND('Show Services'!F30,"AAAAAH//m4I=")</f>
        <v>#VALUE!</v>
      </c>
      <c r="EB50" t="e">
        <f>AND('Show Services'!G30,"AAAAAH//m4M=")</f>
        <v>#VALUE!</v>
      </c>
      <c r="EC50" t="e">
        <f>AND('Show Services'!H30,"AAAAAH//m4Q=")</f>
        <v>#VALUE!</v>
      </c>
      <c r="ED50" t="e">
        <f>AND('Show Services'!I30,"AAAAAH//m4U=")</f>
        <v>#VALUE!</v>
      </c>
      <c r="EE50">
        <f>IF('Show Services'!31:31,"AAAAAH//m4Y=",0)</f>
        <v>0</v>
      </c>
      <c r="EF50" t="e">
        <f>AND('Show Services'!A31,"AAAAAH//m4c=")</f>
        <v>#VALUE!</v>
      </c>
      <c r="EG50" t="e">
        <f>AND('Show Services'!B31,"AAAAAH//m4g=")</f>
        <v>#VALUE!</v>
      </c>
      <c r="EH50" t="e">
        <f>AND('Show Services'!C31,"AAAAAH//m4k=")</f>
        <v>#VALUE!</v>
      </c>
      <c r="EI50" t="e">
        <f>AND('Show Services'!#REF!,"AAAAAH//m4o=")</f>
        <v>#REF!</v>
      </c>
      <c r="EJ50" t="e">
        <f>AND('Show Services'!D31,"AAAAAH//m4s=")</f>
        <v>#VALUE!</v>
      </c>
      <c r="EK50" t="e">
        <f>AND('Show Services'!#REF!,"AAAAAH//m4w=")</f>
        <v>#REF!</v>
      </c>
      <c r="EL50" t="e">
        <f>AND('Show Services'!#REF!,"AAAAAH//m40=")</f>
        <v>#REF!</v>
      </c>
      <c r="EM50" t="e">
        <f>AND('Show Services'!#REF!,"AAAAAH//m44=")</f>
        <v>#REF!</v>
      </c>
      <c r="EN50" t="e">
        <f>AND('Show Services'!#REF!,"AAAAAH//m48=")</f>
        <v>#REF!</v>
      </c>
      <c r="EO50" t="e">
        <f>AND('Show Services'!#REF!,"AAAAAH//m5A=")</f>
        <v>#REF!</v>
      </c>
      <c r="EP50" t="e">
        <f>AND('Show Services'!#REF!,"AAAAAH//m5E=")</f>
        <v>#REF!</v>
      </c>
      <c r="EQ50" t="e">
        <f>AND('Show Services'!#REF!,"AAAAAH//m5I=")</f>
        <v>#REF!</v>
      </c>
      <c r="ER50" t="e">
        <f>AND('Show Services'!#REF!,"AAAAAH//m5M=")</f>
        <v>#REF!</v>
      </c>
      <c r="ES50" t="e">
        <f>AND('Show Services'!#REF!,"AAAAAH//m5Q=")</f>
        <v>#REF!</v>
      </c>
      <c r="ET50" t="e">
        <f>AND('Show Services'!#REF!,"AAAAAH//m5U=")</f>
        <v>#REF!</v>
      </c>
      <c r="EU50" t="e">
        <f>AND('Show Services'!#REF!,"AAAAAH//m5Y=")</f>
        <v>#REF!</v>
      </c>
      <c r="EV50" t="e">
        <f>AND('Show Services'!#REF!,"AAAAAH//m5c=")</f>
        <v>#REF!</v>
      </c>
      <c r="EW50" t="e">
        <f>AND('Show Services'!E31,"AAAAAH//m5g=")</f>
        <v>#VALUE!</v>
      </c>
      <c r="EX50" t="e">
        <f>AND('Show Services'!F31,"AAAAAH//m5k=")</f>
        <v>#VALUE!</v>
      </c>
      <c r="EY50" t="e">
        <f>AND('Show Services'!G31,"AAAAAH//m5o=")</f>
        <v>#VALUE!</v>
      </c>
      <c r="EZ50" t="e">
        <f>AND('Show Services'!H31,"AAAAAH//m5s=")</f>
        <v>#VALUE!</v>
      </c>
      <c r="FA50" t="e">
        <f>AND('Show Services'!I31,"AAAAAH//m5w=")</f>
        <v>#VALUE!</v>
      </c>
      <c r="FB50">
        <f>IF('Show Services'!32:32,"AAAAAH//m50=",0)</f>
        <v>0</v>
      </c>
      <c r="FC50" t="e">
        <f>AND('Show Services'!A32,"AAAAAH//m54=")</f>
        <v>#VALUE!</v>
      </c>
      <c r="FD50" t="e">
        <f>AND('Show Services'!B32,"AAAAAH//m58=")</f>
        <v>#VALUE!</v>
      </c>
      <c r="FE50" t="e">
        <f>AND('Show Services'!C32,"AAAAAH//m6A=")</f>
        <v>#VALUE!</v>
      </c>
      <c r="FF50" t="e">
        <f>AND('Show Services'!#REF!,"AAAAAH//m6E=")</f>
        <v>#REF!</v>
      </c>
      <c r="FG50" t="e">
        <f>AND('Show Services'!D32,"AAAAAH//m6I=")</f>
        <v>#VALUE!</v>
      </c>
      <c r="FH50" t="e">
        <f>AND('Show Services'!#REF!,"AAAAAH//m6M=")</f>
        <v>#REF!</v>
      </c>
      <c r="FI50" t="e">
        <f>AND('Show Services'!#REF!,"AAAAAH//m6Q=")</f>
        <v>#REF!</v>
      </c>
      <c r="FJ50" t="e">
        <f>AND('Show Services'!#REF!,"AAAAAH//m6U=")</f>
        <v>#REF!</v>
      </c>
      <c r="FK50" t="e">
        <f>AND('Show Services'!#REF!,"AAAAAH//m6Y=")</f>
        <v>#REF!</v>
      </c>
      <c r="FL50" t="e">
        <f>AND('Show Services'!#REF!,"AAAAAH//m6c=")</f>
        <v>#REF!</v>
      </c>
      <c r="FM50" t="e">
        <f>AND('Show Services'!#REF!,"AAAAAH//m6g=")</f>
        <v>#REF!</v>
      </c>
      <c r="FN50" t="e">
        <f>AND('Show Services'!#REF!,"AAAAAH//m6k=")</f>
        <v>#REF!</v>
      </c>
      <c r="FO50" t="e">
        <f>AND('Show Services'!#REF!,"AAAAAH//m6o=")</f>
        <v>#REF!</v>
      </c>
      <c r="FP50" t="e">
        <f>AND('Show Services'!#REF!,"AAAAAH//m6s=")</f>
        <v>#REF!</v>
      </c>
      <c r="FQ50" t="e">
        <f>AND('Show Services'!#REF!,"AAAAAH//m6w=")</f>
        <v>#REF!</v>
      </c>
      <c r="FR50" t="e">
        <f>AND('Show Services'!#REF!,"AAAAAH//m60=")</f>
        <v>#REF!</v>
      </c>
      <c r="FS50" t="e">
        <f>AND('Show Services'!#REF!,"AAAAAH//m64=")</f>
        <v>#REF!</v>
      </c>
      <c r="FT50" t="e">
        <f>AND('Show Services'!E32,"AAAAAH//m68=")</f>
        <v>#VALUE!</v>
      </c>
      <c r="FU50" t="e">
        <f>AND('Show Services'!F32,"AAAAAH//m7A=")</f>
        <v>#VALUE!</v>
      </c>
      <c r="FV50" t="e">
        <f>AND('Show Services'!G32,"AAAAAH//m7E=")</f>
        <v>#VALUE!</v>
      </c>
      <c r="FW50" t="e">
        <f>AND('Show Services'!H32,"AAAAAH//m7I=")</f>
        <v>#VALUE!</v>
      </c>
      <c r="FX50" t="e">
        <f>AND('Show Services'!I32,"AAAAAH//m7M=")</f>
        <v>#VALUE!</v>
      </c>
      <c r="FY50">
        <f>IF('Show Services'!33:33,"AAAAAH//m7Q=",0)</f>
        <v>0</v>
      </c>
      <c r="FZ50" t="e">
        <f>AND('Show Services'!A33,"AAAAAH//m7U=")</f>
        <v>#VALUE!</v>
      </c>
      <c r="GA50" t="e">
        <f>AND('Show Services'!B33,"AAAAAH//m7Y=")</f>
        <v>#VALUE!</v>
      </c>
      <c r="GB50" t="e">
        <f>AND('Show Services'!C33,"AAAAAH//m7c=")</f>
        <v>#VALUE!</v>
      </c>
      <c r="GC50" t="e">
        <f>AND('Show Services'!#REF!,"AAAAAH//m7g=")</f>
        <v>#REF!</v>
      </c>
      <c r="GD50" t="e">
        <f>AND('Show Services'!D33,"AAAAAH//m7k=")</f>
        <v>#VALUE!</v>
      </c>
      <c r="GE50" t="e">
        <f>AND('Show Services'!#REF!,"AAAAAH//m7o=")</f>
        <v>#REF!</v>
      </c>
      <c r="GF50" t="e">
        <f>AND('Show Services'!#REF!,"AAAAAH//m7s=")</f>
        <v>#REF!</v>
      </c>
      <c r="GG50" t="e">
        <f>AND('Show Services'!#REF!,"AAAAAH//m7w=")</f>
        <v>#REF!</v>
      </c>
      <c r="GH50" t="e">
        <f>AND('Show Services'!#REF!,"AAAAAH//m70=")</f>
        <v>#REF!</v>
      </c>
      <c r="GI50" t="e">
        <f>AND('Show Services'!#REF!,"AAAAAH//m74=")</f>
        <v>#REF!</v>
      </c>
      <c r="GJ50" t="e">
        <f>AND('Show Services'!#REF!,"AAAAAH//m78=")</f>
        <v>#REF!</v>
      </c>
      <c r="GK50" t="e">
        <f>AND('Show Services'!#REF!,"AAAAAH//m8A=")</f>
        <v>#REF!</v>
      </c>
      <c r="GL50" t="e">
        <f>AND('Show Services'!#REF!,"AAAAAH//m8E=")</f>
        <v>#REF!</v>
      </c>
      <c r="GM50" t="e">
        <f>AND('Show Services'!#REF!,"AAAAAH//m8I=")</f>
        <v>#REF!</v>
      </c>
      <c r="GN50" t="e">
        <f>AND('Show Services'!#REF!,"AAAAAH//m8M=")</f>
        <v>#REF!</v>
      </c>
      <c r="GO50" t="e">
        <f>AND('Show Services'!#REF!,"AAAAAH//m8Q=")</f>
        <v>#REF!</v>
      </c>
      <c r="GP50" t="e">
        <f>AND('Show Services'!#REF!,"AAAAAH//m8U=")</f>
        <v>#REF!</v>
      </c>
      <c r="GQ50" t="e">
        <f>AND('Show Services'!E33,"AAAAAH//m8Y=")</f>
        <v>#VALUE!</v>
      </c>
      <c r="GR50" t="e">
        <f>AND('Show Services'!F33,"AAAAAH//m8c=")</f>
        <v>#VALUE!</v>
      </c>
      <c r="GS50" t="e">
        <f>AND('Show Services'!G33,"AAAAAH//m8g=")</f>
        <v>#VALUE!</v>
      </c>
      <c r="GT50" t="e">
        <f>AND('Show Services'!H33,"AAAAAH//m8k=")</f>
        <v>#VALUE!</v>
      </c>
      <c r="GU50" t="e">
        <f>AND('Show Services'!I33,"AAAAAH//m8o=")</f>
        <v>#VALUE!</v>
      </c>
      <c r="GV50">
        <f>IF('Show Services'!34:34,"AAAAAH//m8s=",0)</f>
        <v>0</v>
      </c>
      <c r="GW50" t="e">
        <f>AND('Show Services'!A34,"AAAAAH//m8w=")</f>
        <v>#VALUE!</v>
      </c>
      <c r="GX50" t="e">
        <f>AND('Show Services'!B34,"AAAAAH//m80=")</f>
        <v>#VALUE!</v>
      </c>
      <c r="GY50" t="e">
        <f>AND('Show Services'!C34,"AAAAAH//m84=")</f>
        <v>#VALUE!</v>
      </c>
      <c r="GZ50" t="e">
        <f>AND('Show Services'!#REF!,"AAAAAH//m88=")</f>
        <v>#REF!</v>
      </c>
      <c r="HA50" t="e">
        <f>AND('Show Services'!D34,"AAAAAH//m9A=")</f>
        <v>#VALUE!</v>
      </c>
      <c r="HB50" t="e">
        <f>AND('Show Services'!#REF!,"AAAAAH//m9E=")</f>
        <v>#REF!</v>
      </c>
      <c r="HC50" t="e">
        <f>AND('Show Services'!#REF!,"AAAAAH//m9I=")</f>
        <v>#REF!</v>
      </c>
      <c r="HD50" t="e">
        <f>AND('Show Services'!#REF!,"AAAAAH//m9M=")</f>
        <v>#REF!</v>
      </c>
      <c r="HE50" t="e">
        <f>AND('Show Services'!#REF!,"AAAAAH//m9Q=")</f>
        <v>#REF!</v>
      </c>
      <c r="HF50" t="e">
        <f>AND('Show Services'!#REF!,"AAAAAH//m9U=")</f>
        <v>#REF!</v>
      </c>
      <c r="HG50" t="e">
        <f>AND('Show Services'!#REF!,"AAAAAH//m9Y=")</f>
        <v>#REF!</v>
      </c>
      <c r="HH50" t="e">
        <f>AND('Show Services'!#REF!,"AAAAAH//m9c=")</f>
        <v>#REF!</v>
      </c>
      <c r="HI50" t="e">
        <f>AND('Show Services'!#REF!,"AAAAAH//m9g=")</f>
        <v>#REF!</v>
      </c>
      <c r="HJ50" t="e">
        <f>AND('Show Services'!#REF!,"AAAAAH//m9k=")</f>
        <v>#REF!</v>
      </c>
      <c r="HK50" t="e">
        <f>AND('Show Services'!#REF!,"AAAAAH//m9o=")</f>
        <v>#REF!</v>
      </c>
      <c r="HL50" t="e">
        <f>AND('Show Services'!#REF!,"AAAAAH//m9s=")</f>
        <v>#REF!</v>
      </c>
      <c r="HM50" t="e">
        <f>AND('Show Services'!#REF!,"AAAAAH//m9w=")</f>
        <v>#REF!</v>
      </c>
      <c r="HN50" t="e">
        <f>AND('Show Services'!E34,"AAAAAH//m90=")</f>
        <v>#VALUE!</v>
      </c>
      <c r="HO50" t="e">
        <f>AND('Show Services'!F34,"AAAAAH//m94=")</f>
        <v>#VALUE!</v>
      </c>
      <c r="HP50" t="e">
        <f>AND('Show Services'!G34,"AAAAAH//m98=")</f>
        <v>#VALUE!</v>
      </c>
      <c r="HQ50" t="e">
        <f>AND('Show Services'!H34,"AAAAAH//m+A=")</f>
        <v>#VALUE!</v>
      </c>
      <c r="HR50" t="e">
        <f>AND('Show Services'!I34,"AAAAAH//m+E=")</f>
        <v>#VALUE!</v>
      </c>
      <c r="HS50">
        <f>IF('Show Services'!35:35,"AAAAAH//m+I=",0)</f>
        <v>0</v>
      </c>
      <c r="HT50" t="e">
        <f>AND('Show Services'!A35,"AAAAAH//m+M=")</f>
        <v>#VALUE!</v>
      </c>
      <c r="HU50" t="e">
        <f>AND('Show Services'!B35,"AAAAAH//m+Q=")</f>
        <v>#VALUE!</v>
      </c>
      <c r="HV50" t="e">
        <f>AND('Show Services'!C35,"AAAAAH//m+U=")</f>
        <v>#VALUE!</v>
      </c>
      <c r="HW50" t="e">
        <f>AND('Show Services'!#REF!,"AAAAAH//m+Y=")</f>
        <v>#REF!</v>
      </c>
      <c r="HX50" t="e">
        <f>AND('Show Services'!D35,"AAAAAH//m+c=")</f>
        <v>#VALUE!</v>
      </c>
      <c r="HY50" t="e">
        <f>AND('Show Services'!#REF!,"AAAAAH//m+g=")</f>
        <v>#REF!</v>
      </c>
      <c r="HZ50" t="e">
        <f>AND('Show Services'!#REF!,"AAAAAH//m+k=")</f>
        <v>#REF!</v>
      </c>
      <c r="IA50" t="e">
        <f>AND('Show Services'!#REF!,"AAAAAH//m+o=")</f>
        <v>#REF!</v>
      </c>
      <c r="IB50" t="e">
        <f>AND('Show Services'!#REF!,"AAAAAH//m+s=")</f>
        <v>#REF!</v>
      </c>
      <c r="IC50" t="e">
        <f>AND('Show Services'!#REF!,"AAAAAH//m+w=")</f>
        <v>#REF!</v>
      </c>
      <c r="ID50" t="e">
        <f>AND('Show Services'!#REF!,"AAAAAH//m+0=")</f>
        <v>#REF!</v>
      </c>
      <c r="IE50" t="e">
        <f>AND('Show Services'!#REF!,"AAAAAH//m+4=")</f>
        <v>#REF!</v>
      </c>
      <c r="IF50" t="e">
        <f>AND('Show Services'!#REF!,"AAAAAH//m+8=")</f>
        <v>#REF!</v>
      </c>
      <c r="IG50" t="e">
        <f>AND('Show Services'!#REF!,"AAAAAH//m/A=")</f>
        <v>#REF!</v>
      </c>
      <c r="IH50" t="e">
        <f>AND('Show Services'!#REF!,"AAAAAH//m/E=")</f>
        <v>#REF!</v>
      </c>
      <c r="II50" t="e">
        <f>AND('Show Services'!#REF!,"AAAAAH//m/I=")</f>
        <v>#REF!</v>
      </c>
      <c r="IJ50" t="e">
        <f>AND('Show Services'!#REF!,"AAAAAH//m/M=")</f>
        <v>#REF!</v>
      </c>
      <c r="IK50" t="e">
        <f>AND('Show Services'!E35,"AAAAAH//m/Q=")</f>
        <v>#VALUE!</v>
      </c>
      <c r="IL50" t="e">
        <f>AND('Show Services'!F35,"AAAAAH//m/U=")</f>
        <v>#VALUE!</v>
      </c>
      <c r="IM50" t="e">
        <f>AND('Show Services'!G35,"AAAAAH//m/Y=")</f>
        <v>#VALUE!</v>
      </c>
      <c r="IN50" t="e">
        <f>AND('Show Services'!H35,"AAAAAH//m/c=")</f>
        <v>#VALUE!</v>
      </c>
      <c r="IO50" t="e">
        <f>AND('Show Services'!I35,"AAAAAH//m/g=")</f>
        <v>#VALUE!</v>
      </c>
      <c r="IP50">
        <f>IF('Show Services'!36:36,"AAAAAH//m/k=",0)</f>
        <v>0</v>
      </c>
      <c r="IQ50" t="e">
        <f>AND('Show Services'!A36,"AAAAAH//m/o=")</f>
        <v>#VALUE!</v>
      </c>
      <c r="IR50" t="e">
        <f>AND('Show Services'!B36,"AAAAAH//m/s=")</f>
        <v>#VALUE!</v>
      </c>
      <c r="IS50" t="e">
        <f>AND('Show Services'!C36,"AAAAAH//m/w=")</f>
        <v>#VALUE!</v>
      </c>
      <c r="IT50" t="e">
        <f>AND('Show Services'!#REF!,"AAAAAH//m/0=")</f>
        <v>#REF!</v>
      </c>
      <c r="IU50" t="e">
        <f>AND('Show Services'!D36,"AAAAAH//m/4=")</f>
        <v>#VALUE!</v>
      </c>
      <c r="IV50" t="e">
        <f>AND('Show Services'!#REF!,"AAAAAH//m/8=")</f>
        <v>#REF!</v>
      </c>
    </row>
    <row r="51" spans="1:256" x14ac:dyDescent="0.2">
      <c r="A51" t="e">
        <f>AND('Show Services'!#REF!,"AAAAAD9/fwA=")</f>
        <v>#REF!</v>
      </c>
      <c r="B51" t="e">
        <f>AND('Show Services'!#REF!,"AAAAAD9/fwE=")</f>
        <v>#REF!</v>
      </c>
      <c r="C51" t="e">
        <f>AND('Show Services'!#REF!,"AAAAAD9/fwI=")</f>
        <v>#REF!</v>
      </c>
      <c r="D51" t="e">
        <f>AND('Show Services'!#REF!,"AAAAAD9/fwM=")</f>
        <v>#REF!</v>
      </c>
      <c r="E51" t="e">
        <f>AND('Show Services'!#REF!,"AAAAAD9/fwQ=")</f>
        <v>#REF!</v>
      </c>
      <c r="F51" t="e">
        <f>AND('Show Services'!#REF!,"AAAAAD9/fwU=")</f>
        <v>#REF!</v>
      </c>
      <c r="G51" t="e">
        <f>AND('Show Services'!#REF!,"AAAAAD9/fwY=")</f>
        <v>#REF!</v>
      </c>
      <c r="H51" t="e">
        <f>AND('Show Services'!#REF!,"AAAAAD9/fwc=")</f>
        <v>#REF!</v>
      </c>
      <c r="I51" t="e">
        <f>AND('Show Services'!#REF!,"AAAAAD9/fwg=")</f>
        <v>#REF!</v>
      </c>
      <c r="J51" t="e">
        <f>AND('Show Services'!#REF!,"AAAAAD9/fwk=")</f>
        <v>#REF!</v>
      </c>
      <c r="K51" t="e">
        <f>AND('Show Services'!#REF!,"AAAAAD9/fwo=")</f>
        <v>#REF!</v>
      </c>
      <c r="L51" t="e">
        <f>AND('Show Services'!E36,"AAAAAD9/fws=")</f>
        <v>#VALUE!</v>
      </c>
      <c r="M51" t="e">
        <f>AND('Show Services'!F36,"AAAAAD9/fww=")</f>
        <v>#VALUE!</v>
      </c>
      <c r="N51" t="e">
        <f>AND('Show Services'!G36,"AAAAAD9/fw0=")</f>
        <v>#VALUE!</v>
      </c>
      <c r="O51" t="e">
        <f>AND('Show Services'!H36,"AAAAAD9/fw4=")</f>
        <v>#VALUE!</v>
      </c>
      <c r="P51" t="e">
        <f>AND('Show Services'!I36,"AAAAAD9/fw8=")</f>
        <v>#VALUE!</v>
      </c>
      <c r="Q51">
        <f>IF('Show Services'!37:37,"AAAAAD9/fxA=",0)</f>
        <v>0</v>
      </c>
      <c r="R51" t="e">
        <f>AND('Show Services'!A37,"AAAAAD9/fxE=")</f>
        <v>#VALUE!</v>
      </c>
      <c r="S51" t="e">
        <f>AND('Show Services'!B37,"AAAAAD9/fxI=")</f>
        <v>#VALUE!</v>
      </c>
      <c r="T51" t="e">
        <f>AND('Show Services'!C37,"AAAAAD9/fxM=")</f>
        <v>#VALUE!</v>
      </c>
      <c r="U51" t="e">
        <f>AND('Show Services'!#REF!,"AAAAAD9/fxQ=")</f>
        <v>#REF!</v>
      </c>
      <c r="V51" t="e">
        <f>AND('Show Services'!D37,"AAAAAD9/fxU=")</f>
        <v>#VALUE!</v>
      </c>
      <c r="W51" t="e">
        <f>AND('Show Services'!#REF!,"AAAAAD9/fxY=")</f>
        <v>#REF!</v>
      </c>
      <c r="X51" t="e">
        <f>AND('Show Services'!#REF!,"AAAAAD9/fxc=")</f>
        <v>#REF!</v>
      </c>
      <c r="Y51" t="e">
        <f>AND('Show Services'!#REF!,"AAAAAD9/fxg=")</f>
        <v>#REF!</v>
      </c>
      <c r="Z51" t="e">
        <f>AND('Show Services'!#REF!,"AAAAAD9/fxk=")</f>
        <v>#REF!</v>
      </c>
      <c r="AA51" t="e">
        <f>AND('Show Services'!#REF!,"AAAAAD9/fxo=")</f>
        <v>#REF!</v>
      </c>
      <c r="AB51" t="e">
        <f>AND('Show Services'!#REF!,"AAAAAD9/fxs=")</f>
        <v>#REF!</v>
      </c>
      <c r="AC51" t="e">
        <f>AND('Show Services'!#REF!,"AAAAAD9/fxw=")</f>
        <v>#REF!</v>
      </c>
      <c r="AD51" t="e">
        <f>AND('Show Services'!#REF!,"AAAAAD9/fx0=")</f>
        <v>#REF!</v>
      </c>
      <c r="AE51" t="e">
        <f>AND('Show Services'!#REF!,"AAAAAD9/fx4=")</f>
        <v>#REF!</v>
      </c>
      <c r="AF51" t="e">
        <f>AND('Show Services'!#REF!,"AAAAAD9/fx8=")</f>
        <v>#REF!</v>
      </c>
      <c r="AG51" t="e">
        <f>AND('Show Services'!#REF!,"AAAAAD9/fyA=")</f>
        <v>#REF!</v>
      </c>
      <c r="AH51" t="e">
        <f>AND('Show Services'!#REF!,"AAAAAD9/fyE=")</f>
        <v>#REF!</v>
      </c>
      <c r="AI51" t="e">
        <f>AND('Show Services'!E37,"AAAAAD9/fyI=")</f>
        <v>#VALUE!</v>
      </c>
      <c r="AJ51" t="e">
        <f>AND('Show Services'!F37,"AAAAAD9/fyM=")</f>
        <v>#VALUE!</v>
      </c>
      <c r="AK51" t="e">
        <f>AND('Show Services'!G37,"AAAAAD9/fyQ=")</f>
        <v>#VALUE!</v>
      </c>
      <c r="AL51" t="e">
        <f>AND('Show Services'!H37,"AAAAAD9/fyU=")</f>
        <v>#VALUE!</v>
      </c>
      <c r="AM51" t="e">
        <f>AND('Show Services'!I37,"AAAAAD9/fyY=")</f>
        <v>#VALUE!</v>
      </c>
      <c r="AN51">
        <f>IF('Show Services'!38:38,"AAAAAD9/fyc=",0)</f>
        <v>0</v>
      </c>
      <c r="AO51" t="e">
        <f>AND('Show Services'!A38,"AAAAAD9/fyg=")</f>
        <v>#VALUE!</v>
      </c>
      <c r="AP51" t="e">
        <f>AND('Show Services'!B38,"AAAAAD9/fyk=")</f>
        <v>#VALUE!</v>
      </c>
      <c r="AQ51" t="e">
        <f>AND('Show Services'!C38,"AAAAAD9/fyo=")</f>
        <v>#VALUE!</v>
      </c>
      <c r="AR51" t="e">
        <f>AND('Show Services'!#REF!,"AAAAAD9/fys=")</f>
        <v>#REF!</v>
      </c>
      <c r="AS51" t="e">
        <f>AND('Show Services'!D38,"AAAAAD9/fyw=")</f>
        <v>#VALUE!</v>
      </c>
      <c r="AT51" t="e">
        <f>AND('Show Services'!#REF!,"AAAAAD9/fy0=")</f>
        <v>#REF!</v>
      </c>
      <c r="AU51" t="e">
        <f>AND('Show Services'!#REF!,"AAAAAD9/fy4=")</f>
        <v>#REF!</v>
      </c>
      <c r="AV51" t="e">
        <f>AND('Show Services'!#REF!,"AAAAAD9/fy8=")</f>
        <v>#REF!</v>
      </c>
      <c r="AW51" t="e">
        <f>AND('Show Services'!#REF!,"AAAAAD9/fzA=")</f>
        <v>#REF!</v>
      </c>
      <c r="AX51" t="e">
        <f>AND('Show Services'!#REF!,"AAAAAD9/fzE=")</f>
        <v>#REF!</v>
      </c>
      <c r="AY51" t="e">
        <f>AND('Show Services'!#REF!,"AAAAAD9/fzI=")</f>
        <v>#REF!</v>
      </c>
      <c r="AZ51" t="e">
        <f>AND('Show Services'!#REF!,"AAAAAD9/fzM=")</f>
        <v>#REF!</v>
      </c>
      <c r="BA51" t="e">
        <f>AND('Show Services'!#REF!,"AAAAAD9/fzQ=")</f>
        <v>#REF!</v>
      </c>
      <c r="BB51" t="e">
        <f>AND('Show Services'!#REF!,"AAAAAD9/fzU=")</f>
        <v>#REF!</v>
      </c>
      <c r="BC51" t="e">
        <f>AND('Show Services'!#REF!,"AAAAAD9/fzY=")</f>
        <v>#REF!</v>
      </c>
      <c r="BD51" t="e">
        <f>AND('Show Services'!#REF!,"AAAAAD9/fzc=")</f>
        <v>#REF!</v>
      </c>
      <c r="BE51" t="e">
        <f>AND('Show Services'!#REF!,"AAAAAD9/fzg=")</f>
        <v>#REF!</v>
      </c>
      <c r="BF51" t="e">
        <f>AND('Show Services'!E38,"AAAAAD9/fzk=")</f>
        <v>#VALUE!</v>
      </c>
      <c r="BG51" t="e">
        <f>AND('Show Services'!F38,"AAAAAD9/fzo=")</f>
        <v>#VALUE!</v>
      </c>
      <c r="BH51" t="e">
        <f>AND('Show Services'!G38,"AAAAAD9/fzs=")</f>
        <v>#VALUE!</v>
      </c>
      <c r="BI51" t="e">
        <f>AND('Show Services'!H38,"AAAAAD9/fzw=")</f>
        <v>#VALUE!</v>
      </c>
      <c r="BJ51" t="e">
        <f>AND('Show Services'!I38,"AAAAAD9/fz0=")</f>
        <v>#VALUE!</v>
      </c>
      <c r="BK51">
        <f>IF('Show Services'!39:39,"AAAAAD9/fz4=",0)</f>
        <v>0</v>
      </c>
      <c r="BL51" t="e">
        <f>AND('Show Services'!A39,"AAAAAD9/fz8=")</f>
        <v>#VALUE!</v>
      </c>
      <c r="BM51" t="e">
        <f>AND('Show Services'!B39,"AAAAAD9/f0A=")</f>
        <v>#VALUE!</v>
      </c>
      <c r="BN51" t="e">
        <f>AND('Show Services'!C39,"AAAAAD9/f0E=")</f>
        <v>#VALUE!</v>
      </c>
      <c r="BO51" t="e">
        <f>AND('Show Services'!#REF!,"AAAAAD9/f0I=")</f>
        <v>#REF!</v>
      </c>
      <c r="BP51" t="e">
        <f>AND('Show Services'!D39,"AAAAAD9/f0M=")</f>
        <v>#VALUE!</v>
      </c>
      <c r="BQ51" t="e">
        <f>AND('Show Services'!#REF!,"AAAAAD9/f0Q=")</f>
        <v>#REF!</v>
      </c>
      <c r="BR51" t="e">
        <f>AND('Show Services'!#REF!,"AAAAAD9/f0U=")</f>
        <v>#REF!</v>
      </c>
      <c r="BS51" t="e">
        <f>AND('Show Services'!#REF!,"AAAAAD9/f0Y=")</f>
        <v>#REF!</v>
      </c>
      <c r="BT51" t="e">
        <f>AND('Show Services'!#REF!,"AAAAAD9/f0c=")</f>
        <v>#REF!</v>
      </c>
      <c r="BU51" t="e">
        <f>AND('Show Services'!#REF!,"AAAAAD9/f0g=")</f>
        <v>#REF!</v>
      </c>
      <c r="BV51" t="e">
        <f>AND('Show Services'!#REF!,"AAAAAD9/f0k=")</f>
        <v>#REF!</v>
      </c>
      <c r="BW51" t="e">
        <f>AND('Show Services'!#REF!,"AAAAAD9/f0o=")</f>
        <v>#REF!</v>
      </c>
      <c r="BX51" t="e">
        <f>AND('Show Services'!#REF!,"AAAAAD9/f0s=")</f>
        <v>#REF!</v>
      </c>
      <c r="BY51" t="e">
        <f>AND('Show Services'!#REF!,"AAAAAD9/f0w=")</f>
        <v>#REF!</v>
      </c>
      <c r="BZ51" t="e">
        <f>AND('Show Services'!#REF!,"AAAAAD9/f00=")</f>
        <v>#REF!</v>
      </c>
      <c r="CA51" t="e">
        <f>AND('Show Services'!#REF!,"AAAAAD9/f04=")</f>
        <v>#REF!</v>
      </c>
      <c r="CB51" t="e">
        <f>AND('Show Services'!#REF!,"AAAAAD9/f08=")</f>
        <v>#REF!</v>
      </c>
      <c r="CC51" t="e">
        <f>AND('Show Services'!E39,"AAAAAD9/f1A=")</f>
        <v>#VALUE!</v>
      </c>
      <c r="CD51" t="e">
        <f>AND('Show Services'!F39,"AAAAAD9/f1E=")</f>
        <v>#VALUE!</v>
      </c>
      <c r="CE51" t="e">
        <f>AND('Show Services'!G39,"AAAAAD9/f1I=")</f>
        <v>#VALUE!</v>
      </c>
      <c r="CF51" t="e">
        <f>AND('Show Services'!H39,"AAAAAD9/f1M=")</f>
        <v>#VALUE!</v>
      </c>
      <c r="CG51" t="e">
        <f>AND('Show Services'!I39,"AAAAAD9/f1Q=")</f>
        <v>#VALUE!</v>
      </c>
      <c r="CH51" t="e">
        <f>IF('Show Services'!#REF!,"AAAAAD9/f1U=",0)</f>
        <v>#REF!</v>
      </c>
      <c r="CI51" t="e">
        <f>AND('Show Services'!#REF!,"AAAAAD9/f1Y=")</f>
        <v>#REF!</v>
      </c>
      <c r="CJ51" t="e">
        <f>AND('Show Services'!#REF!,"AAAAAD9/f1c=")</f>
        <v>#REF!</v>
      </c>
      <c r="CK51" t="e">
        <f>AND('Show Services'!#REF!,"AAAAAD9/f1g=")</f>
        <v>#REF!</v>
      </c>
      <c r="CL51" t="e">
        <f>AND('Show Services'!#REF!,"AAAAAD9/f1k=")</f>
        <v>#REF!</v>
      </c>
      <c r="CM51" t="e">
        <f>AND('Show Services'!#REF!,"AAAAAD9/f1o=")</f>
        <v>#REF!</v>
      </c>
      <c r="CN51" t="e">
        <f>AND('Show Services'!#REF!,"AAAAAD9/f1s=")</f>
        <v>#REF!</v>
      </c>
      <c r="CO51" t="e">
        <f>AND('Show Services'!#REF!,"AAAAAD9/f1w=")</f>
        <v>#REF!</v>
      </c>
      <c r="CP51" t="e">
        <f>AND('Show Services'!#REF!,"AAAAAD9/f10=")</f>
        <v>#REF!</v>
      </c>
      <c r="CQ51" t="e">
        <f>AND('Show Services'!#REF!,"AAAAAD9/f14=")</f>
        <v>#REF!</v>
      </c>
      <c r="CR51" t="e">
        <f>AND('Show Services'!#REF!,"AAAAAD9/f18=")</f>
        <v>#REF!</v>
      </c>
      <c r="CS51" t="e">
        <f>AND('Show Services'!#REF!,"AAAAAD9/f2A=")</f>
        <v>#REF!</v>
      </c>
      <c r="CT51" t="e">
        <f>AND('Show Services'!#REF!,"AAAAAD9/f2E=")</f>
        <v>#REF!</v>
      </c>
      <c r="CU51" t="e">
        <f>AND('Show Services'!#REF!,"AAAAAD9/f2I=")</f>
        <v>#REF!</v>
      </c>
      <c r="CV51" t="e">
        <f>AND('Show Services'!#REF!,"AAAAAD9/f2M=")</f>
        <v>#REF!</v>
      </c>
      <c r="CW51" t="e">
        <f>AND('Show Services'!#REF!,"AAAAAD9/f2Q=")</f>
        <v>#REF!</v>
      </c>
      <c r="CX51" t="e">
        <f>AND('Show Services'!#REF!,"AAAAAD9/f2U=")</f>
        <v>#REF!</v>
      </c>
      <c r="CY51" t="e">
        <f>AND('Show Services'!#REF!,"AAAAAD9/f2Y=")</f>
        <v>#REF!</v>
      </c>
      <c r="CZ51" t="e">
        <f>AND('Show Services'!#REF!,"AAAAAD9/f2c=")</f>
        <v>#REF!</v>
      </c>
      <c r="DA51" t="e">
        <f>AND('Show Services'!#REF!,"AAAAAD9/f2g=")</f>
        <v>#REF!</v>
      </c>
      <c r="DB51" t="e">
        <f>AND('Show Services'!#REF!,"AAAAAD9/f2k=")</f>
        <v>#REF!</v>
      </c>
      <c r="DC51" t="e">
        <f>AND('Show Services'!#REF!,"AAAAAD9/f2o=")</f>
        <v>#REF!</v>
      </c>
      <c r="DD51" t="e">
        <f>AND('Show Services'!#REF!,"AAAAAD9/f2s=")</f>
        <v>#REF!</v>
      </c>
      <c r="DE51" t="e">
        <f>IF('Show Services'!#REF!,"AAAAAD9/f2w=",0)</f>
        <v>#REF!</v>
      </c>
      <c r="DF51" t="e">
        <f>AND('Show Services'!#REF!,"AAAAAD9/f20=")</f>
        <v>#REF!</v>
      </c>
      <c r="DG51" t="e">
        <f>AND('Show Services'!#REF!,"AAAAAD9/f24=")</f>
        <v>#REF!</v>
      </c>
      <c r="DH51" t="e">
        <f>AND('Show Services'!#REF!,"AAAAAD9/f28=")</f>
        <v>#REF!</v>
      </c>
      <c r="DI51" t="e">
        <f>AND('Show Services'!#REF!,"AAAAAD9/f3A=")</f>
        <v>#REF!</v>
      </c>
      <c r="DJ51" t="e">
        <f>AND('Show Services'!#REF!,"AAAAAD9/f3E=")</f>
        <v>#REF!</v>
      </c>
      <c r="DK51" t="e">
        <f>AND('Show Services'!#REF!,"AAAAAD9/f3I=")</f>
        <v>#REF!</v>
      </c>
      <c r="DL51" t="e">
        <f>AND('Show Services'!#REF!,"AAAAAD9/f3M=")</f>
        <v>#REF!</v>
      </c>
      <c r="DM51" t="e">
        <f>AND('Show Services'!#REF!,"AAAAAD9/f3Q=")</f>
        <v>#REF!</v>
      </c>
      <c r="DN51" t="e">
        <f>AND('Show Services'!#REF!,"AAAAAD9/f3U=")</f>
        <v>#REF!</v>
      </c>
      <c r="DO51" t="e">
        <f>AND('Show Services'!#REF!,"AAAAAD9/f3Y=")</f>
        <v>#REF!</v>
      </c>
      <c r="DP51" t="e">
        <f>AND('Show Services'!#REF!,"AAAAAD9/f3c=")</f>
        <v>#REF!</v>
      </c>
      <c r="DQ51" t="e">
        <f>AND('Show Services'!#REF!,"AAAAAD9/f3g=")</f>
        <v>#REF!</v>
      </c>
      <c r="DR51" t="e">
        <f>AND('Show Services'!#REF!,"AAAAAD9/f3k=")</f>
        <v>#REF!</v>
      </c>
      <c r="DS51" t="e">
        <f>AND('Show Services'!#REF!,"AAAAAD9/f3o=")</f>
        <v>#REF!</v>
      </c>
      <c r="DT51" t="e">
        <f>AND('Show Services'!#REF!,"AAAAAD9/f3s=")</f>
        <v>#REF!</v>
      </c>
      <c r="DU51" t="e">
        <f>AND('Show Services'!#REF!,"AAAAAD9/f3w=")</f>
        <v>#REF!</v>
      </c>
      <c r="DV51" t="e">
        <f>AND('Show Services'!#REF!,"AAAAAD9/f30=")</f>
        <v>#REF!</v>
      </c>
      <c r="DW51" t="e">
        <f>AND('Show Services'!#REF!,"AAAAAD9/f34=")</f>
        <v>#REF!</v>
      </c>
      <c r="DX51" t="e">
        <f>AND('Show Services'!#REF!,"AAAAAD9/f38=")</f>
        <v>#REF!</v>
      </c>
      <c r="DY51" t="e">
        <f>AND('Show Services'!#REF!,"AAAAAD9/f4A=")</f>
        <v>#REF!</v>
      </c>
      <c r="DZ51" t="e">
        <f>AND('Show Services'!#REF!,"AAAAAD9/f4E=")</f>
        <v>#REF!</v>
      </c>
      <c r="EA51" t="e">
        <f>AND('Show Services'!#REF!,"AAAAAD9/f4I=")</f>
        <v>#REF!</v>
      </c>
      <c r="EB51" t="e">
        <f>IF('Show Services'!#REF!,"AAAAAD9/f4M=",0)</f>
        <v>#REF!</v>
      </c>
      <c r="EC51" t="e">
        <f>AND('Show Services'!#REF!,"AAAAAD9/f4Q=")</f>
        <v>#REF!</v>
      </c>
      <c r="ED51" t="e">
        <f>AND('Show Services'!#REF!,"AAAAAD9/f4U=")</f>
        <v>#REF!</v>
      </c>
      <c r="EE51" t="e">
        <f>AND('Show Services'!#REF!,"AAAAAD9/f4Y=")</f>
        <v>#REF!</v>
      </c>
      <c r="EF51" t="e">
        <f>AND('Show Services'!#REF!,"AAAAAD9/f4c=")</f>
        <v>#REF!</v>
      </c>
      <c r="EG51" t="e">
        <f>AND('Show Services'!#REF!,"AAAAAD9/f4g=")</f>
        <v>#REF!</v>
      </c>
      <c r="EH51" t="e">
        <f>AND('Show Services'!#REF!,"AAAAAD9/f4k=")</f>
        <v>#REF!</v>
      </c>
      <c r="EI51" t="e">
        <f>AND('Show Services'!#REF!,"AAAAAD9/f4o=")</f>
        <v>#REF!</v>
      </c>
      <c r="EJ51" t="e">
        <f>AND('Show Services'!#REF!,"AAAAAD9/f4s=")</f>
        <v>#REF!</v>
      </c>
      <c r="EK51" t="e">
        <f>AND('Show Services'!#REF!,"AAAAAD9/f4w=")</f>
        <v>#REF!</v>
      </c>
      <c r="EL51" t="e">
        <f>AND('Show Services'!#REF!,"AAAAAD9/f40=")</f>
        <v>#REF!</v>
      </c>
      <c r="EM51" t="e">
        <f>AND('Show Services'!#REF!,"AAAAAD9/f44=")</f>
        <v>#REF!</v>
      </c>
      <c r="EN51" t="e">
        <f>AND('Show Services'!#REF!,"AAAAAD9/f48=")</f>
        <v>#REF!</v>
      </c>
      <c r="EO51" t="e">
        <f>AND('Show Services'!#REF!,"AAAAAD9/f5A=")</f>
        <v>#REF!</v>
      </c>
      <c r="EP51" t="e">
        <f>AND('Show Services'!#REF!,"AAAAAD9/f5E=")</f>
        <v>#REF!</v>
      </c>
      <c r="EQ51" t="e">
        <f>AND('Show Services'!#REF!,"AAAAAD9/f5I=")</f>
        <v>#REF!</v>
      </c>
      <c r="ER51" t="e">
        <f>AND('Show Services'!#REF!,"AAAAAD9/f5M=")</f>
        <v>#REF!</v>
      </c>
      <c r="ES51" t="e">
        <f>AND('Show Services'!#REF!,"AAAAAD9/f5Q=")</f>
        <v>#REF!</v>
      </c>
      <c r="ET51" t="e">
        <f>AND('Show Services'!#REF!,"AAAAAD9/f5U=")</f>
        <v>#REF!</v>
      </c>
      <c r="EU51" t="e">
        <f>AND('Show Services'!#REF!,"AAAAAD9/f5Y=")</f>
        <v>#REF!</v>
      </c>
      <c r="EV51" t="e">
        <f>AND('Show Services'!#REF!,"AAAAAD9/f5c=")</f>
        <v>#REF!</v>
      </c>
      <c r="EW51" t="e">
        <f>AND('Show Services'!#REF!,"AAAAAD9/f5g=")</f>
        <v>#REF!</v>
      </c>
      <c r="EX51" t="e">
        <f>AND('Show Services'!#REF!,"AAAAAD9/f5k=")</f>
        <v>#REF!</v>
      </c>
      <c r="EY51" t="e">
        <f>IF('Show Services'!#REF!,"AAAAAD9/f5o=",0)</f>
        <v>#REF!</v>
      </c>
      <c r="EZ51" t="e">
        <f>AND('Show Services'!#REF!,"AAAAAD9/f5s=")</f>
        <v>#REF!</v>
      </c>
      <c r="FA51" t="e">
        <f>AND('Show Services'!#REF!,"AAAAAD9/f5w=")</f>
        <v>#REF!</v>
      </c>
      <c r="FB51" t="e">
        <f>AND('Show Services'!#REF!,"AAAAAD9/f50=")</f>
        <v>#REF!</v>
      </c>
      <c r="FC51" t="e">
        <f>AND('Show Services'!#REF!,"AAAAAD9/f54=")</f>
        <v>#REF!</v>
      </c>
      <c r="FD51" t="e">
        <f>AND('Show Services'!#REF!,"AAAAAD9/f58=")</f>
        <v>#REF!</v>
      </c>
      <c r="FE51" t="e">
        <f>AND('Show Services'!#REF!,"AAAAAD9/f6A=")</f>
        <v>#REF!</v>
      </c>
      <c r="FF51" t="e">
        <f>AND('Show Services'!#REF!,"AAAAAD9/f6E=")</f>
        <v>#REF!</v>
      </c>
      <c r="FG51" t="e">
        <f>AND('Show Services'!#REF!,"AAAAAD9/f6I=")</f>
        <v>#REF!</v>
      </c>
      <c r="FH51" t="e">
        <f>AND('Show Services'!#REF!,"AAAAAD9/f6M=")</f>
        <v>#REF!</v>
      </c>
      <c r="FI51" t="e">
        <f>AND('Show Services'!#REF!,"AAAAAD9/f6Q=")</f>
        <v>#REF!</v>
      </c>
      <c r="FJ51" t="e">
        <f>AND('Show Services'!#REF!,"AAAAAD9/f6U=")</f>
        <v>#REF!</v>
      </c>
      <c r="FK51" t="e">
        <f>AND('Show Services'!#REF!,"AAAAAD9/f6Y=")</f>
        <v>#REF!</v>
      </c>
      <c r="FL51" t="e">
        <f>AND('Show Services'!#REF!,"AAAAAD9/f6c=")</f>
        <v>#REF!</v>
      </c>
      <c r="FM51" t="e">
        <f>AND('Show Services'!#REF!,"AAAAAD9/f6g=")</f>
        <v>#REF!</v>
      </c>
      <c r="FN51" t="e">
        <f>AND('Show Services'!#REF!,"AAAAAD9/f6k=")</f>
        <v>#REF!</v>
      </c>
      <c r="FO51" t="e">
        <f>AND('Show Services'!#REF!,"AAAAAD9/f6o=")</f>
        <v>#REF!</v>
      </c>
      <c r="FP51" t="e">
        <f>AND('Show Services'!#REF!,"AAAAAD9/f6s=")</f>
        <v>#REF!</v>
      </c>
      <c r="FQ51" t="e">
        <f>AND('Show Services'!#REF!,"AAAAAD9/f6w=")</f>
        <v>#REF!</v>
      </c>
      <c r="FR51" t="e">
        <f>AND('Show Services'!#REF!,"AAAAAD9/f60=")</f>
        <v>#REF!</v>
      </c>
      <c r="FS51" t="e">
        <f>AND('Show Services'!#REF!,"AAAAAD9/f64=")</f>
        <v>#REF!</v>
      </c>
      <c r="FT51" t="e">
        <f>AND('Show Services'!#REF!,"AAAAAD9/f68=")</f>
        <v>#REF!</v>
      </c>
      <c r="FU51" t="e">
        <f>AND('Show Services'!#REF!,"AAAAAD9/f7A=")</f>
        <v>#REF!</v>
      </c>
      <c r="FV51" t="e">
        <f>IF('Show Services'!#REF!,"AAAAAD9/f7E=",0)</f>
        <v>#REF!</v>
      </c>
      <c r="FW51" t="e">
        <f>AND('Show Services'!#REF!,"AAAAAD9/f7I=")</f>
        <v>#REF!</v>
      </c>
      <c r="FX51" t="e">
        <f>AND('Show Services'!#REF!,"AAAAAD9/f7M=")</f>
        <v>#REF!</v>
      </c>
      <c r="FY51" t="e">
        <f>AND('Show Services'!#REF!,"AAAAAD9/f7Q=")</f>
        <v>#REF!</v>
      </c>
      <c r="FZ51" t="e">
        <f>AND('Show Services'!#REF!,"AAAAAD9/f7U=")</f>
        <v>#REF!</v>
      </c>
      <c r="GA51" t="e">
        <f>AND('Show Services'!#REF!,"AAAAAD9/f7Y=")</f>
        <v>#REF!</v>
      </c>
      <c r="GB51" t="e">
        <f>AND('Show Services'!#REF!,"AAAAAD9/f7c=")</f>
        <v>#REF!</v>
      </c>
      <c r="GC51" t="e">
        <f>AND('Show Services'!#REF!,"AAAAAD9/f7g=")</f>
        <v>#REF!</v>
      </c>
      <c r="GD51" t="e">
        <f>AND('Show Services'!#REF!,"AAAAAD9/f7k=")</f>
        <v>#REF!</v>
      </c>
      <c r="GE51" t="e">
        <f>AND('Show Services'!#REF!,"AAAAAD9/f7o=")</f>
        <v>#REF!</v>
      </c>
      <c r="GF51" t="e">
        <f>AND('Show Services'!#REF!,"AAAAAD9/f7s=")</f>
        <v>#REF!</v>
      </c>
      <c r="GG51" t="e">
        <f>AND('Show Services'!#REF!,"AAAAAD9/f7w=")</f>
        <v>#REF!</v>
      </c>
      <c r="GH51" t="e">
        <f>AND('Show Services'!#REF!,"AAAAAD9/f70=")</f>
        <v>#REF!</v>
      </c>
      <c r="GI51" t="e">
        <f>AND('Show Services'!#REF!,"AAAAAD9/f74=")</f>
        <v>#REF!</v>
      </c>
      <c r="GJ51" t="e">
        <f>AND('Show Services'!#REF!,"AAAAAD9/f78=")</f>
        <v>#REF!</v>
      </c>
      <c r="GK51" t="e">
        <f>AND('Show Services'!#REF!,"AAAAAD9/f8A=")</f>
        <v>#REF!</v>
      </c>
      <c r="GL51" t="e">
        <f>AND('Show Services'!#REF!,"AAAAAD9/f8E=")</f>
        <v>#REF!</v>
      </c>
      <c r="GM51" t="e">
        <f>AND('Show Services'!#REF!,"AAAAAD9/f8I=")</f>
        <v>#REF!</v>
      </c>
      <c r="GN51" t="e">
        <f>AND('Show Services'!#REF!,"AAAAAD9/f8M=")</f>
        <v>#REF!</v>
      </c>
      <c r="GO51" t="e">
        <f>AND('Show Services'!#REF!,"AAAAAD9/f8Q=")</f>
        <v>#REF!</v>
      </c>
      <c r="GP51" t="e">
        <f>AND('Show Services'!#REF!,"AAAAAD9/f8U=")</f>
        <v>#REF!</v>
      </c>
      <c r="GQ51" t="e">
        <f>AND('Show Services'!#REF!,"AAAAAD9/f8Y=")</f>
        <v>#REF!</v>
      </c>
      <c r="GR51" t="e">
        <f>AND('Show Services'!#REF!,"AAAAAD9/f8c=")</f>
        <v>#REF!</v>
      </c>
      <c r="GS51" t="e">
        <f>IF('Show Services'!#REF!,"AAAAAD9/f8g=",0)</f>
        <v>#REF!</v>
      </c>
      <c r="GT51" t="e">
        <f>AND('Show Services'!#REF!,"AAAAAD9/f8k=")</f>
        <v>#REF!</v>
      </c>
      <c r="GU51" t="e">
        <f>AND('Show Services'!#REF!,"AAAAAD9/f8o=")</f>
        <v>#REF!</v>
      </c>
      <c r="GV51" t="e">
        <f>AND('Show Services'!#REF!,"AAAAAD9/f8s=")</f>
        <v>#REF!</v>
      </c>
      <c r="GW51" t="e">
        <f>AND('Show Services'!#REF!,"AAAAAD9/f8w=")</f>
        <v>#REF!</v>
      </c>
      <c r="GX51" t="e">
        <f>AND('Show Services'!#REF!,"AAAAAD9/f80=")</f>
        <v>#REF!</v>
      </c>
      <c r="GY51" t="e">
        <f>AND('Show Services'!#REF!,"AAAAAD9/f84=")</f>
        <v>#REF!</v>
      </c>
      <c r="GZ51" t="e">
        <f>AND('Show Services'!#REF!,"AAAAAD9/f88=")</f>
        <v>#REF!</v>
      </c>
      <c r="HA51" t="e">
        <f>AND('Show Services'!#REF!,"AAAAAD9/f9A=")</f>
        <v>#REF!</v>
      </c>
      <c r="HB51" t="e">
        <f>AND('Show Services'!#REF!,"AAAAAD9/f9E=")</f>
        <v>#REF!</v>
      </c>
      <c r="HC51" t="e">
        <f>AND('Show Services'!#REF!,"AAAAAD9/f9I=")</f>
        <v>#REF!</v>
      </c>
      <c r="HD51" t="e">
        <f>AND('Show Services'!#REF!,"AAAAAD9/f9M=")</f>
        <v>#REF!</v>
      </c>
      <c r="HE51" t="e">
        <f>AND('Show Services'!#REF!,"AAAAAD9/f9Q=")</f>
        <v>#REF!</v>
      </c>
      <c r="HF51" t="e">
        <f>AND('Show Services'!#REF!,"AAAAAD9/f9U=")</f>
        <v>#REF!</v>
      </c>
      <c r="HG51" t="e">
        <f>AND('Show Services'!#REF!,"AAAAAD9/f9Y=")</f>
        <v>#REF!</v>
      </c>
      <c r="HH51" t="e">
        <f>AND('Show Services'!#REF!,"AAAAAD9/f9c=")</f>
        <v>#REF!</v>
      </c>
      <c r="HI51" t="e">
        <f>AND('Show Services'!#REF!,"AAAAAD9/f9g=")</f>
        <v>#REF!</v>
      </c>
      <c r="HJ51" t="e">
        <f>AND('Show Services'!#REF!,"AAAAAD9/f9k=")</f>
        <v>#REF!</v>
      </c>
      <c r="HK51" t="e">
        <f>AND('Show Services'!#REF!,"AAAAAD9/f9o=")</f>
        <v>#REF!</v>
      </c>
      <c r="HL51" t="e">
        <f>AND('Show Services'!#REF!,"AAAAAD9/f9s=")</f>
        <v>#REF!</v>
      </c>
      <c r="HM51" t="e">
        <f>AND('Show Services'!#REF!,"AAAAAD9/f9w=")</f>
        <v>#REF!</v>
      </c>
      <c r="HN51" t="e">
        <f>AND('Show Services'!#REF!,"AAAAAD9/f90=")</f>
        <v>#REF!</v>
      </c>
      <c r="HO51" t="e">
        <f>AND('Show Services'!#REF!,"AAAAAD9/f94=")</f>
        <v>#REF!</v>
      </c>
      <c r="HP51" t="e">
        <f>IF('Show Services'!#REF!,"AAAAAD9/f98=",0)</f>
        <v>#REF!</v>
      </c>
      <c r="HQ51" t="e">
        <f>AND('Show Services'!#REF!,"AAAAAD9/f+A=")</f>
        <v>#REF!</v>
      </c>
      <c r="HR51" t="e">
        <f>AND('Show Services'!#REF!,"AAAAAD9/f+E=")</f>
        <v>#REF!</v>
      </c>
      <c r="HS51" t="e">
        <f>AND('Show Services'!#REF!,"AAAAAD9/f+I=")</f>
        <v>#REF!</v>
      </c>
      <c r="HT51" t="e">
        <f>AND('Show Services'!#REF!,"AAAAAD9/f+M=")</f>
        <v>#REF!</v>
      </c>
      <c r="HU51" t="e">
        <f>AND('Show Services'!#REF!,"AAAAAD9/f+Q=")</f>
        <v>#REF!</v>
      </c>
      <c r="HV51" t="e">
        <f>AND('Show Services'!#REF!,"AAAAAD9/f+U=")</f>
        <v>#REF!</v>
      </c>
      <c r="HW51" t="e">
        <f>AND('Show Services'!#REF!,"AAAAAD9/f+Y=")</f>
        <v>#REF!</v>
      </c>
      <c r="HX51" t="e">
        <f>AND('Show Services'!#REF!,"AAAAAD9/f+c=")</f>
        <v>#REF!</v>
      </c>
      <c r="HY51" t="e">
        <f>AND('Show Services'!#REF!,"AAAAAD9/f+g=")</f>
        <v>#REF!</v>
      </c>
      <c r="HZ51" t="e">
        <f>AND('Show Services'!#REF!,"AAAAAD9/f+k=")</f>
        <v>#REF!</v>
      </c>
      <c r="IA51" t="e">
        <f>AND('Show Services'!#REF!,"AAAAAD9/f+o=")</f>
        <v>#REF!</v>
      </c>
      <c r="IB51" t="e">
        <f>AND('Show Services'!#REF!,"AAAAAD9/f+s=")</f>
        <v>#REF!</v>
      </c>
      <c r="IC51" t="e">
        <f>AND('Show Services'!#REF!,"AAAAAD9/f+w=")</f>
        <v>#REF!</v>
      </c>
      <c r="ID51" t="e">
        <f>AND('Show Services'!#REF!,"AAAAAD9/f+0=")</f>
        <v>#REF!</v>
      </c>
      <c r="IE51" t="e">
        <f>AND('Show Services'!#REF!,"AAAAAD9/f+4=")</f>
        <v>#REF!</v>
      </c>
      <c r="IF51" t="e">
        <f>AND('Show Services'!#REF!,"AAAAAD9/f+8=")</f>
        <v>#REF!</v>
      </c>
      <c r="IG51" t="e">
        <f>AND('Show Services'!#REF!,"AAAAAD9/f/A=")</f>
        <v>#REF!</v>
      </c>
      <c r="IH51" t="e">
        <f>AND('Show Services'!#REF!,"AAAAAD9/f/E=")</f>
        <v>#REF!</v>
      </c>
      <c r="II51" t="e">
        <f>AND('Show Services'!#REF!,"AAAAAD9/f/I=")</f>
        <v>#REF!</v>
      </c>
      <c r="IJ51" t="e">
        <f>AND('Show Services'!#REF!,"AAAAAD9/f/M=")</f>
        <v>#REF!</v>
      </c>
      <c r="IK51" t="e">
        <f>AND('Show Services'!#REF!,"AAAAAD9/f/Q=")</f>
        <v>#REF!</v>
      </c>
      <c r="IL51" t="e">
        <f>AND('Show Services'!#REF!,"AAAAAD9/f/U=")</f>
        <v>#REF!</v>
      </c>
      <c r="IM51" t="e">
        <f>IF('Show Services'!#REF!,"AAAAAD9/f/Y=",0)</f>
        <v>#REF!</v>
      </c>
      <c r="IN51" t="e">
        <f>AND('Show Services'!#REF!,"AAAAAD9/f/c=")</f>
        <v>#REF!</v>
      </c>
      <c r="IO51" t="e">
        <f>AND('Show Services'!#REF!,"AAAAAD9/f/g=")</f>
        <v>#REF!</v>
      </c>
      <c r="IP51" t="e">
        <f>AND('Show Services'!#REF!,"AAAAAD9/f/k=")</f>
        <v>#REF!</v>
      </c>
      <c r="IQ51" t="e">
        <f>AND('Show Services'!#REF!,"AAAAAD9/f/o=")</f>
        <v>#REF!</v>
      </c>
      <c r="IR51" t="e">
        <f>AND('Show Services'!#REF!,"AAAAAD9/f/s=")</f>
        <v>#REF!</v>
      </c>
      <c r="IS51" t="e">
        <f>AND('Show Services'!#REF!,"AAAAAD9/f/w=")</f>
        <v>#REF!</v>
      </c>
      <c r="IT51" t="e">
        <f>AND('Show Services'!#REF!,"AAAAAD9/f/0=")</f>
        <v>#REF!</v>
      </c>
      <c r="IU51" t="e">
        <f>AND('Show Services'!#REF!,"AAAAAD9/f/4=")</f>
        <v>#REF!</v>
      </c>
      <c r="IV51" t="e">
        <f>AND('Show Services'!#REF!,"AAAAAD9/f/8=")</f>
        <v>#REF!</v>
      </c>
    </row>
    <row r="52" spans="1:256" x14ac:dyDescent="0.2">
      <c r="A52" t="e">
        <f>AND('Show Services'!#REF!,"AAAAADMnvwA=")</f>
        <v>#REF!</v>
      </c>
      <c r="B52" t="e">
        <f>AND('Show Services'!#REF!,"AAAAADMnvwE=")</f>
        <v>#REF!</v>
      </c>
      <c r="C52" t="e">
        <f>AND('Show Services'!#REF!,"AAAAADMnvwI=")</f>
        <v>#REF!</v>
      </c>
      <c r="D52" t="e">
        <f>AND('Show Services'!#REF!,"AAAAADMnvwM=")</f>
        <v>#REF!</v>
      </c>
      <c r="E52" t="e">
        <f>AND('Show Services'!#REF!,"AAAAADMnvwQ=")</f>
        <v>#REF!</v>
      </c>
      <c r="F52" t="e">
        <f>AND('Show Services'!#REF!,"AAAAADMnvwU=")</f>
        <v>#REF!</v>
      </c>
      <c r="G52" t="e">
        <f>AND('Show Services'!#REF!,"AAAAADMnvwY=")</f>
        <v>#REF!</v>
      </c>
      <c r="H52" t="e">
        <f>AND('Show Services'!#REF!,"AAAAADMnvwc=")</f>
        <v>#REF!</v>
      </c>
      <c r="I52" t="e">
        <f>AND('Show Services'!#REF!,"AAAAADMnvwg=")</f>
        <v>#REF!</v>
      </c>
      <c r="J52" t="e">
        <f>AND('Show Services'!#REF!,"AAAAADMnvwk=")</f>
        <v>#REF!</v>
      </c>
      <c r="K52" t="e">
        <f>AND('Show Services'!#REF!,"AAAAADMnvwo=")</f>
        <v>#REF!</v>
      </c>
      <c r="L52" t="e">
        <f>AND('Show Services'!#REF!,"AAAAADMnvws=")</f>
        <v>#REF!</v>
      </c>
      <c r="M52" t="e">
        <f>AND('Show Services'!#REF!,"AAAAADMnvww=")</f>
        <v>#REF!</v>
      </c>
      <c r="N52" t="e">
        <f>IF('Show Services'!#REF!,"AAAAADMnvw0=",0)</f>
        <v>#REF!</v>
      </c>
      <c r="O52" t="e">
        <f>AND('Show Services'!#REF!,"AAAAADMnvw4=")</f>
        <v>#REF!</v>
      </c>
      <c r="P52" t="e">
        <f>AND('Show Services'!#REF!,"AAAAADMnvw8=")</f>
        <v>#REF!</v>
      </c>
      <c r="Q52" t="e">
        <f>AND('Show Services'!#REF!,"AAAAADMnvxA=")</f>
        <v>#REF!</v>
      </c>
      <c r="R52" t="e">
        <f>AND('Show Services'!#REF!,"AAAAADMnvxE=")</f>
        <v>#REF!</v>
      </c>
      <c r="S52" t="e">
        <f>AND('Show Services'!#REF!,"AAAAADMnvxI=")</f>
        <v>#REF!</v>
      </c>
      <c r="T52" t="e">
        <f>AND('Show Services'!#REF!,"AAAAADMnvxM=")</f>
        <v>#REF!</v>
      </c>
      <c r="U52" t="e">
        <f>AND('Show Services'!#REF!,"AAAAADMnvxQ=")</f>
        <v>#REF!</v>
      </c>
      <c r="V52" t="e">
        <f>AND('Show Services'!#REF!,"AAAAADMnvxU=")</f>
        <v>#REF!</v>
      </c>
      <c r="W52" t="e">
        <f>AND('Show Services'!#REF!,"AAAAADMnvxY=")</f>
        <v>#REF!</v>
      </c>
      <c r="X52" t="e">
        <f>AND('Show Services'!#REF!,"AAAAADMnvxc=")</f>
        <v>#REF!</v>
      </c>
      <c r="Y52" t="e">
        <f>AND('Show Services'!#REF!,"AAAAADMnvxg=")</f>
        <v>#REF!</v>
      </c>
      <c r="Z52" t="e">
        <f>AND('Show Services'!#REF!,"AAAAADMnvxk=")</f>
        <v>#REF!</v>
      </c>
      <c r="AA52" t="e">
        <f>AND('Show Services'!#REF!,"AAAAADMnvxo=")</f>
        <v>#REF!</v>
      </c>
      <c r="AB52" t="e">
        <f>AND('Show Services'!#REF!,"AAAAADMnvxs=")</f>
        <v>#REF!</v>
      </c>
      <c r="AC52" t="e">
        <f>AND('Show Services'!#REF!,"AAAAADMnvxw=")</f>
        <v>#REF!</v>
      </c>
      <c r="AD52" t="e">
        <f>AND('Show Services'!#REF!,"AAAAADMnvx0=")</f>
        <v>#REF!</v>
      </c>
      <c r="AE52" t="e">
        <f>AND('Show Services'!#REF!,"AAAAADMnvx4=")</f>
        <v>#REF!</v>
      </c>
      <c r="AF52" t="e">
        <f>AND('Show Services'!#REF!,"AAAAADMnvx8=")</f>
        <v>#REF!</v>
      </c>
      <c r="AG52" t="e">
        <f>AND('Show Services'!#REF!,"AAAAADMnvyA=")</f>
        <v>#REF!</v>
      </c>
      <c r="AH52" t="e">
        <f>AND('Show Services'!#REF!,"AAAAADMnvyE=")</f>
        <v>#REF!</v>
      </c>
      <c r="AI52" t="e">
        <f>AND('Show Services'!#REF!,"AAAAADMnvyI=")</f>
        <v>#REF!</v>
      </c>
      <c r="AJ52" t="e">
        <f>AND('Show Services'!#REF!,"AAAAADMnvyM=")</f>
        <v>#REF!</v>
      </c>
      <c r="AK52" t="e">
        <f>IF('Show Services'!#REF!,"AAAAADMnvyQ=",0)</f>
        <v>#REF!</v>
      </c>
      <c r="AL52" t="e">
        <f>AND('Show Services'!#REF!,"AAAAADMnvyU=")</f>
        <v>#REF!</v>
      </c>
      <c r="AM52" t="e">
        <f>AND('Show Services'!#REF!,"AAAAADMnvyY=")</f>
        <v>#REF!</v>
      </c>
      <c r="AN52" t="e">
        <f>AND('Show Services'!#REF!,"AAAAADMnvyc=")</f>
        <v>#REF!</v>
      </c>
      <c r="AO52" t="e">
        <f>AND('Show Services'!#REF!,"AAAAADMnvyg=")</f>
        <v>#REF!</v>
      </c>
      <c r="AP52" t="e">
        <f>AND('Show Services'!#REF!,"AAAAADMnvyk=")</f>
        <v>#REF!</v>
      </c>
      <c r="AQ52" t="e">
        <f>AND('Show Services'!#REF!,"AAAAADMnvyo=")</f>
        <v>#REF!</v>
      </c>
      <c r="AR52" t="e">
        <f>AND('Show Services'!#REF!,"AAAAADMnvys=")</f>
        <v>#REF!</v>
      </c>
      <c r="AS52" t="e">
        <f>AND('Show Services'!#REF!,"AAAAADMnvyw=")</f>
        <v>#REF!</v>
      </c>
      <c r="AT52" t="e">
        <f>AND('Show Services'!#REF!,"AAAAADMnvy0=")</f>
        <v>#REF!</v>
      </c>
      <c r="AU52" t="e">
        <f>AND('Show Services'!#REF!,"AAAAADMnvy4=")</f>
        <v>#REF!</v>
      </c>
      <c r="AV52" t="e">
        <f>AND('Show Services'!#REF!,"AAAAADMnvy8=")</f>
        <v>#REF!</v>
      </c>
      <c r="AW52" t="e">
        <f>AND('Show Services'!#REF!,"AAAAADMnvzA=")</f>
        <v>#REF!</v>
      </c>
      <c r="AX52" t="e">
        <f>AND('Show Services'!#REF!,"AAAAADMnvzE=")</f>
        <v>#REF!</v>
      </c>
      <c r="AY52" t="e">
        <f>AND('Show Services'!#REF!,"AAAAADMnvzI=")</f>
        <v>#REF!</v>
      </c>
      <c r="AZ52" t="e">
        <f>AND('Show Services'!#REF!,"AAAAADMnvzM=")</f>
        <v>#REF!</v>
      </c>
      <c r="BA52" t="e">
        <f>AND('Show Services'!#REF!,"AAAAADMnvzQ=")</f>
        <v>#REF!</v>
      </c>
      <c r="BB52" t="e">
        <f>AND('Show Services'!#REF!,"AAAAADMnvzU=")</f>
        <v>#REF!</v>
      </c>
      <c r="BC52" t="e">
        <f>AND('Show Services'!#REF!,"AAAAADMnvzY=")</f>
        <v>#REF!</v>
      </c>
      <c r="BD52" t="e">
        <f>AND('Show Services'!#REF!,"AAAAADMnvzc=")</f>
        <v>#REF!</v>
      </c>
      <c r="BE52" t="e">
        <f>AND('Show Services'!#REF!,"AAAAADMnvzg=")</f>
        <v>#REF!</v>
      </c>
      <c r="BF52" t="e">
        <f>AND('Show Services'!#REF!,"AAAAADMnvzk=")</f>
        <v>#REF!</v>
      </c>
      <c r="BG52" t="e">
        <f>AND('Show Services'!#REF!,"AAAAADMnvzo=")</f>
        <v>#REF!</v>
      </c>
      <c r="BH52" t="e">
        <f>IF('Show Services'!#REF!,"AAAAADMnvzs=",0)</f>
        <v>#REF!</v>
      </c>
      <c r="BI52" t="e">
        <f>AND('Show Services'!#REF!,"AAAAADMnvzw=")</f>
        <v>#REF!</v>
      </c>
      <c r="BJ52" t="e">
        <f>AND('Show Services'!#REF!,"AAAAADMnvz0=")</f>
        <v>#REF!</v>
      </c>
      <c r="BK52" t="e">
        <f>AND('Show Services'!#REF!,"AAAAADMnvz4=")</f>
        <v>#REF!</v>
      </c>
      <c r="BL52" t="e">
        <f>AND('Show Services'!#REF!,"AAAAADMnvz8=")</f>
        <v>#REF!</v>
      </c>
      <c r="BM52" t="e">
        <f>AND('Show Services'!#REF!,"AAAAADMnv0A=")</f>
        <v>#REF!</v>
      </c>
      <c r="BN52" t="e">
        <f>AND('Show Services'!#REF!,"AAAAADMnv0E=")</f>
        <v>#REF!</v>
      </c>
      <c r="BO52" t="e">
        <f>AND('Show Services'!#REF!,"AAAAADMnv0I=")</f>
        <v>#REF!</v>
      </c>
      <c r="BP52" t="e">
        <f>AND('Show Services'!#REF!,"AAAAADMnv0M=")</f>
        <v>#REF!</v>
      </c>
      <c r="BQ52" t="e">
        <f>AND('Show Services'!#REF!,"AAAAADMnv0Q=")</f>
        <v>#REF!</v>
      </c>
      <c r="BR52" t="e">
        <f>AND('Show Services'!#REF!,"AAAAADMnv0U=")</f>
        <v>#REF!</v>
      </c>
      <c r="BS52" t="e">
        <f>AND('Show Services'!#REF!,"AAAAADMnv0Y=")</f>
        <v>#REF!</v>
      </c>
      <c r="BT52" t="e">
        <f>AND('Show Services'!#REF!,"AAAAADMnv0c=")</f>
        <v>#REF!</v>
      </c>
      <c r="BU52" t="e">
        <f>AND('Show Services'!#REF!,"AAAAADMnv0g=")</f>
        <v>#REF!</v>
      </c>
      <c r="BV52" t="e">
        <f>AND('Show Services'!#REF!,"AAAAADMnv0k=")</f>
        <v>#REF!</v>
      </c>
      <c r="BW52" t="e">
        <f>AND('Show Services'!#REF!,"AAAAADMnv0o=")</f>
        <v>#REF!</v>
      </c>
      <c r="BX52" t="e">
        <f>AND('Show Services'!#REF!,"AAAAADMnv0s=")</f>
        <v>#REF!</v>
      </c>
      <c r="BY52" t="e">
        <f>AND('Show Services'!#REF!,"AAAAADMnv0w=")</f>
        <v>#REF!</v>
      </c>
      <c r="BZ52" t="e">
        <f>AND('Show Services'!#REF!,"AAAAADMnv00=")</f>
        <v>#REF!</v>
      </c>
      <c r="CA52" t="e">
        <f>AND('Show Services'!#REF!,"AAAAADMnv04=")</f>
        <v>#REF!</v>
      </c>
      <c r="CB52" t="e">
        <f>AND('Show Services'!#REF!,"AAAAADMnv08=")</f>
        <v>#REF!</v>
      </c>
      <c r="CC52" t="e">
        <f>AND('Show Services'!#REF!,"AAAAADMnv1A=")</f>
        <v>#REF!</v>
      </c>
      <c r="CD52" t="e">
        <f>AND('Show Services'!#REF!,"AAAAADMnv1E=")</f>
        <v>#REF!</v>
      </c>
      <c r="CE52" t="e">
        <f>IF('Show Services'!#REF!,"AAAAADMnv1I=",0)</f>
        <v>#REF!</v>
      </c>
      <c r="CF52" t="e">
        <f>AND('Show Services'!#REF!,"AAAAADMnv1M=")</f>
        <v>#REF!</v>
      </c>
      <c r="CG52" t="e">
        <f>AND('Show Services'!#REF!,"AAAAADMnv1Q=")</f>
        <v>#REF!</v>
      </c>
      <c r="CH52" t="e">
        <f>AND('Show Services'!#REF!,"AAAAADMnv1U=")</f>
        <v>#REF!</v>
      </c>
      <c r="CI52" t="e">
        <f>AND('Show Services'!#REF!,"AAAAADMnv1Y=")</f>
        <v>#REF!</v>
      </c>
      <c r="CJ52" t="e">
        <f>AND('Show Services'!#REF!,"AAAAADMnv1c=")</f>
        <v>#REF!</v>
      </c>
      <c r="CK52" t="e">
        <f>AND('Show Services'!#REF!,"AAAAADMnv1g=")</f>
        <v>#REF!</v>
      </c>
      <c r="CL52" t="e">
        <f>AND('Show Services'!#REF!,"AAAAADMnv1k=")</f>
        <v>#REF!</v>
      </c>
      <c r="CM52" t="e">
        <f>AND('Show Services'!#REF!,"AAAAADMnv1o=")</f>
        <v>#REF!</v>
      </c>
      <c r="CN52" t="e">
        <f>AND('Show Services'!#REF!,"AAAAADMnv1s=")</f>
        <v>#REF!</v>
      </c>
      <c r="CO52" t="e">
        <f>AND('Show Services'!#REF!,"AAAAADMnv1w=")</f>
        <v>#REF!</v>
      </c>
      <c r="CP52" t="e">
        <f>AND('Show Services'!#REF!,"AAAAADMnv10=")</f>
        <v>#REF!</v>
      </c>
      <c r="CQ52" t="e">
        <f>AND('Show Services'!#REF!,"AAAAADMnv14=")</f>
        <v>#REF!</v>
      </c>
      <c r="CR52" t="e">
        <f>AND('Show Services'!#REF!,"AAAAADMnv18=")</f>
        <v>#REF!</v>
      </c>
      <c r="CS52" t="e">
        <f>AND('Show Services'!#REF!,"AAAAADMnv2A=")</f>
        <v>#REF!</v>
      </c>
      <c r="CT52" t="e">
        <f>AND('Show Services'!#REF!,"AAAAADMnv2E=")</f>
        <v>#REF!</v>
      </c>
      <c r="CU52" t="e">
        <f>AND('Show Services'!#REF!,"AAAAADMnv2I=")</f>
        <v>#REF!</v>
      </c>
      <c r="CV52" t="e">
        <f>AND('Show Services'!#REF!,"AAAAADMnv2M=")</f>
        <v>#REF!</v>
      </c>
      <c r="CW52" t="e">
        <f>AND('Show Services'!#REF!,"AAAAADMnv2Q=")</f>
        <v>#REF!</v>
      </c>
      <c r="CX52" t="e">
        <f>AND('Show Services'!#REF!,"AAAAADMnv2U=")</f>
        <v>#REF!</v>
      </c>
      <c r="CY52" t="e">
        <f>AND('Show Services'!#REF!,"AAAAADMnv2Y=")</f>
        <v>#REF!</v>
      </c>
      <c r="CZ52" t="e">
        <f>AND('Show Services'!#REF!,"AAAAADMnv2c=")</f>
        <v>#REF!</v>
      </c>
      <c r="DA52" t="e">
        <f>AND('Show Services'!#REF!,"AAAAADMnv2g=")</f>
        <v>#REF!</v>
      </c>
      <c r="DB52" t="e">
        <f>IF('Show Services'!#REF!,"AAAAADMnv2k=",0)</f>
        <v>#REF!</v>
      </c>
      <c r="DC52" t="e">
        <f>AND('Show Services'!#REF!,"AAAAADMnv2o=")</f>
        <v>#REF!</v>
      </c>
      <c r="DD52" t="e">
        <f>AND('Show Services'!#REF!,"AAAAADMnv2s=")</f>
        <v>#REF!</v>
      </c>
      <c r="DE52" t="e">
        <f>AND('Show Services'!#REF!,"AAAAADMnv2w=")</f>
        <v>#REF!</v>
      </c>
      <c r="DF52" t="e">
        <f>AND('Show Services'!#REF!,"AAAAADMnv20=")</f>
        <v>#REF!</v>
      </c>
      <c r="DG52" t="e">
        <f>AND('Show Services'!#REF!,"AAAAADMnv24=")</f>
        <v>#REF!</v>
      </c>
      <c r="DH52" t="e">
        <f>AND('Show Services'!#REF!,"AAAAADMnv28=")</f>
        <v>#REF!</v>
      </c>
      <c r="DI52" t="e">
        <f>AND('Show Services'!#REF!,"AAAAADMnv3A=")</f>
        <v>#REF!</v>
      </c>
      <c r="DJ52" t="e">
        <f>AND('Show Services'!#REF!,"AAAAADMnv3E=")</f>
        <v>#REF!</v>
      </c>
      <c r="DK52" t="e">
        <f>AND('Show Services'!#REF!,"AAAAADMnv3I=")</f>
        <v>#REF!</v>
      </c>
      <c r="DL52" t="e">
        <f>AND('Show Services'!#REF!,"AAAAADMnv3M=")</f>
        <v>#REF!</v>
      </c>
      <c r="DM52" t="e">
        <f>AND('Show Services'!#REF!,"AAAAADMnv3Q=")</f>
        <v>#REF!</v>
      </c>
      <c r="DN52" t="e">
        <f>AND('Show Services'!#REF!,"AAAAADMnv3U=")</f>
        <v>#REF!</v>
      </c>
      <c r="DO52" t="e">
        <f>AND('Show Services'!#REF!,"AAAAADMnv3Y=")</f>
        <v>#REF!</v>
      </c>
      <c r="DP52" t="e">
        <f>AND('Show Services'!#REF!,"AAAAADMnv3c=")</f>
        <v>#REF!</v>
      </c>
      <c r="DQ52" t="e">
        <f>AND('Show Services'!#REF!,"AAAAADMnv3g=")</f>
        <v>#REF!</v>
      </c>
      <c r="DR52" t="e">
        <f>AND('Show Services'!#REF!,"AAAAADMnv3k=")</f>
        <v>#REF!</v>
      </c>
      <c r="DS52" t="e">
        <f>AND('Show Services'!#REF!,"AAAAADMnv3o=")</f>
        <v>#REF!</v>
      </c>
      <c r="DT52" t="e">
        <f>AND('Show Services'!#REF!,"AAAAADMnv3s=")</f>
        <v>#REF!</v>
      </c>
      <c r="DU52" t="e">
        <f>AND('Show Services'!#REF!,"AAAAADMnv3w=")</f>
        <v>#REF!</v>
      </c>
      <c r="DV52" t="e">
        <f>AND('Show Services'!#REF!,"AAAAADMnv30=")</f>
        <v>#REF!</v>
      </c>
      <c r="DW52" t="e">
        <f>AND('Show Services'!#REF!,"AAAAADMnv34=")</f>
        <v>#REF!</v>
      </c>
      <c r="DX52" t="e">
        <f>AND('Show Services'!#REF!,"AAAAADMnv38=")</f>
        <v>#REF!</v>
      </c>
      <c r="DY52" t="e">
        <f>IF('Show Services'!#REF!,"AAAAADMnv4A=",0)</f>
        <v>#REF!</v>
      </c>
      <c r="DZ52" t="e">
        <f>AND('Show Services'!#REF!,"AAAAADMnv4E=")</f>
        <v>#REF!</v>
      </c>
      <c r="EA52" t="e">
        <f>AND('Show Services'!#REF!,"AAAAADMnv4I=")</f>
        <v>#REF!</v>
      </c>
      <c r="EB52" t="e">
        <f>AND('Show Services'!#REF!,"AAAAADMnv4M=")</f>
        <v>#REF!</v>
      </c>
      <c r="EC52" t="e">
        <f>AND('Show Services'!#REF!,"AAAAADMnv4Q=")</f>
        <v>#REF!</v>
      </c>
      <c r="ED52" t="e">
        <f>AND('Show Services'!#REF!,"AAAAADMnv4U=")</f>
        <v>#REF!</v>
      </c>
      <c r="EE52" t="e">
        <f>AND('Show Services'!#REF!,"AAAAADMnv4Y=")</f>
        <v>#REF!</v>
      </c>
      <c r="EF52" t="e">
        <f>AND('Show Services'!#REF!,"AAAAADMnv4c=")</f>
        <v>#REF!</v>
      </c>
      <c r="EG52" t="e">
        <f>AND('Show Services'!#REF!,"AAAAADMnv4g=")</f>
        <v>#REF!</v>
      </c>
      <c r="EH52" t="e">
        <f>AND('Show Services'!#REF!,"AAAAADMnv4k=")</f>
        <v>#REF!</v>
      </c>
      <c r="EI52" t="e">
        <f>AND('Show Services'!#REF!,"AAAAADMnv4o=")</f>
        <v>#REF!</v>
      </c>
      <c r="EJ52" t="e">
        <f>AND('Show Services'!#REF!,"AAAAADMnv4s=")</f>
        <v>#REF!</v>
      </c>
      <c r="EK52" t="e">
        <f>AND('Show Services'!#REF!,"AAAAADMnv4w=")</f>
        <v>#REF!</v>
      </c>
      <c r="EL52" t="e">
        <f>AND('Show Services'!#REF!,"AAAAADMnv40=")</f>
        <v>#REF!</v>
      </c>
      <c r="EM52" t="e">
        <f>AND('Show Services'!#REF!,"AAAAADMnv44=")</f>
        <v>#REF!</v>
      </c>
      <c r="EN52" t="e">
        <f>AND('Show Services'!#REF!,"AAAAADMnv48=")</f>
        <v>#REF!</v>
      </c>
      <c r="EO52" t="e">
        <f>AND('Show Services'!#REF!,"AAAAADMnv5A=")</f>
        <v>#REF!</v>
      </c>
      <c r="EP52" t="e">
        <f>AND('Show Services'!#REF!,"AAAAADMnv5E=")</f>
        <v>#REF!</v>
      </c>
      <c r="EQ52" t="e">
        <f>AND('Show Services'!#REF!,"AAAAADMnv5I=")</f>
        <v>#REF!</v>
      </c>
      <c r="ER52" t="e">
        <f>AND('Show Services'!#REF!,"AAAAADMnv5M=")</f>
        <v>#REF!</v>
      </c>
      <c r="ES52" t="e">
        <f>AND('Show Services'!#REF!,"AAAAADMnv5Q=")</f>
        <v>#REF!</v>
      </c>
      <c r="ET52" t="e">
        <f>AND('Show Services'!#REF!,"AAAAADMnv5U=")</f>
        <v>#REF!</v>
      </c>
      <c r="EU52" t="e">
        <f>AND('Show Services'!#REF!,"AAAAADMnv5Y=")</f>
        <v>#REF!</v>
      </c>
      <c r="EV52">
        <f>IF('Show Services'!48:48,"AAAAADMnv5c=",0)</f>
        <v>0</v>
      </c>
      <c r="EW52" t="e">
        <f>AND('Show Services'!A48,"AAAAADMnv5g=")</f>
        <v>#VALUE!</v>
      </c>
      <c r="EX52" t="e">
        <f>AND('Show Services'!B48,"AAAAADMnv5k=")</f>
        <v>#VALUE!</v>
      </c>
      <c r="EY52" t="e">
        <f>AND('Show Services'!C48,"AAAAADMnv5o=")</f>
        <v>#VALUE!</v>
      </c>
      <c r="EZ52" t="e">
        <f>AND('Show Services'!#REF!,"AAAAADMnv5s=")</f>
        <v>#REF!</v>
      </c>
      <c r="FA52" t="e">
        <f>AND('Show Services'!D48,"AAAAADMnv5w=")</f>
        <v>#VALUE!</v>
      </c>
      <c r="FB52" t="e">
        <f>AND('Show Services'!E48,"AAAAADMnv50=")</f>
        <v>#VALUE!</v>
      </c>
      <c r="FC52" t="e">
        <f>AND('Show Services'!F48,"AAAAADMnv54=")</f>
        <v>#VALUE!</v>
      </c>
      <c r="FD52" t="e">
        <f>AND('Show Services'!G48,"AAAAADMnv58=")</f>
        <v>#VALUE!</v>
      </c>
      <c r="FE52" t="e">
        <f>AND('Show Services'!H48,"AAAAADMnv6A=")</f>
        <v>#VALUE!</v>
      </c>
      <c r="FF52" t="e">
        <f>AND('Show Services'!I48,"AAAAADMnv6E=")</f>
        <v>#VALUE!</v>
      </c>
      <c r="FG52" t="e">
        <f>AND('Show Services'!#REF!,"AAAAADMnv6I=")</f>
        <v>#REF!</v>
      </c>
      <c r="FH52" t="e">
        <f>AND('Show Services'!#REF!,"AAAAADMnv6M=")</f>
        <v>#REF!</v>
      </c>
      <c r="FI52" t="e">
        <f>AND('Show Services'!#REF!,"AAAAADMnv6Q=")</f>
        <v>#REF!</v>
      </c>
      <c r="FJ52" t="e">
        <f>AND('Show Services'!#REF!,"AAAAADMnv6U=")</f>
        <v>#REF!</v>
      </c>
      <c r="FK52" t="e">
        <f>AND('Show Services'!#REF!,"AAAAADMnv6Y=")</f>
        <v>#REF!</v>
      </c>
      <c r="FL52" t="e">
        <f>AND('Show Services'!J48,"AAAAADMnv6c=")</f>
        <v>#VALUE!</v>
      </c>
      <c r="FM52" t="e">
        <f>AND('Show Services'!K48,"AAAAADMnv6g=")</f>
        <v>#VALUE!</v>
      </c>
      <c r="FN52" t="e">
        <f>AND('Show Services'!L48,"AAAAADMnv6k=")</f>
        <v>#VALUE!</v>
      </c>
      <c r="FO52" t="e">
        <f>AND('Show Services'!M48,"AAAAADMnv6o=")</f>
        <v>#VALUE!</v>
      </c>
      <c r="FP52" t="e">
        <f>AND('Show Services'!N48,"AAAAADMnv6s=")</f>
        <v>#VALUE!</v>
      </c>
      <c r="FQ52" t="e">
        <f>AND('Show Services'!O48,"AAAAADMnv6w=")</f>
        <v>#VALUE!</v>
      </c>
      <c r="FR52" t="e">
        <f>AND('Show Services'!#REF!,"AAAAADMnv60=")</f>
        <v>#REF!</v>
      </c>
      <c r="FS52">
        <f>IF('Show Services'!49:49,"AAAAADMnv64=",0)</f>
        <v>0</v>
      </c>
      <c r="FT52" t="e">
        <f>AND('Show Services'!A49,"AAAAADMnv68=")</f>
        <v>#VALUE!</v>
      </c>
      <c r="FU52" t="e">
        <f>AND('Show Services'!B49,"AAAAADMnv7A=")</f>
        <v>#VALUE!</v>
      </c>
      <c r="FV52" t="e">
        <f>AND('Show Services'!C49,"AAAAADMnv7E=")</f>
        <v>#VALUE!</v>
      </c>
      <c r="FW52" t="e">
        <f>AND('Show Services'!#REF!,"AAAAADMnv7I=")</f>
        <v>#REF!</v>
      </c>
      <c r="FX52" t="e">
        <f>AND('Show Services'!D49,"AAAAADMnv7M=")</f>
        <v>#VALUE!</v>
      </c>
      <c r="FY52" t="e">
        <f>AND('Show Services'!E49,"AAAAADMnv7Q=")</f>
        <v>#VALUE!</v>
      </c>
      <c r="FZ52" t="e">
        <f>AND('Show Services'!F49,"AAAAADMnv7U=")</f>
        <v>#VALUE!</v>
      </c>
      <c r="GA52" t="e">
        <f>AND('Show Services'!G49,"AAAAADMnv7Y=")</f>
        <v>#VALUE!</v>
      </c>
      <c r="GB52" t="e">
        <f>AND('Show Services'!H49,"AAAAADMnv7c=")</f>
        <v>#VALUE!</v>
      </c>
      <c r="GC52" t="e">
        <f>AND('Show Services'!I49,"AAAAADMnv7g=")</f>
        <v>#VALUE!</v>
      </c>
      <c r="GD52" t="e">
        <f>AND('Show Services'!#REF!,"AAAAADMnv7k=")</f>
        <v>#REF!</v>
      </c>
      <c r="GE52" t="e">
        <f>AND('Show Services'!#REF!,"AAAAADMnv7o=")</f>
        <v>#REF!</v>
      </c>
      <c r="GF52" t="e">
        <f>AND('Show Services'!#REF!,"AAAAADMnv7s=")</f>
        <v>#REF!</v>
      </c>
      <c r="GG52" t="e">
        <f>AND('Show Services'!#REF!,"AAAAADMnv7w=")</f>
        <v>#REF!</v>
      </c>
      <c r="GH52" t="e">
        <f>AND('Show Services'!#REF!,"AAAAADMnv70=")</f>
        <v>#REF!</v>
      </c>
      <c r="GI52" t="e">
        <f>AND('Show Services'!J49,"AAAAADMnv74=")</f>
        <v>#VALUE!</v>
      </c>
      <c r="GJ52" t="e">
        <f>AND('Show Services'!K49,"AAAAADMnv78=")</f>
        <v>#VALUE!</v>
      </c>
      <c r="GK52" t="e">
        <f>AND('Show Services'!L49,"AAAAADMnv8A=")</f>
        <v>#VALUE!</v>
      </c>
      <c r="GL52" t="e">
        <f>AND('Show Services'!M49,"AAAAADMnv8E=")</f>
        <v>#VALUE!</v>
      </c>
      <c r="GM52" t="e">
        <f>AND('Show Services'!N49,"AAAAADMnv8I=")</f>
        <v>#VALUE!</v>
      </c>
      <c r="GN52" t="e">
        <f>AND('Show Services'!O49,"AAAAADMnv8M=")</f>
        <v>#VALUE!</v>
      </c>
      <c r="GO52" t="e">
        <f>AND('Show Services'!#REF!,"AAAAADMnv8Q=")</f>
        <v>#REF!</v>
      </c>
      <c r="GP52">
        <f>IF('Show Services'!50:50,"AAAAADMnv8U=",0)</f>
        <v>0</v>
      </c>
      <c r="GQ52" t="e">
        <f>AND('Show Services'!A50,"AAAAADMnv8Y=")</f>
        <v>#VALUE!</v>
      </c>
      <c r="GR52" t="e">
        <f>AND('Show Services'!B50,"AAAAADMnv8c=")</f>
        <v>#VALUE!</v>
      </c>
      <c r="GS52" t="e">
        <f>AND('Show Services'!C50,"AAAAADMnv8g=")</f>
        <v>#VALUE!</v>
      </c>
      <c r="GT52" t="e">
        <f>AND('Show Services'!#REF!,"AAAAADMnv8k=")</f>
        <v>#REF!</v>
      </c>
      <c r="GU52" t="e">
        <f>AND('Show Services'!D50,"AAAAADMnv8o=")</f>
        <v>#VALUE!</v>
      </c>
      <c r="GV52" t="e">
        <f>AND('Show Services'!E50,"AAAAADMnv8s=")</f>
        <v>#VALUE!</v>
      </c>
      <c r="GW52" t="e">
        <f>AND('Show Services'!F50,"AAAAADMnv8w=")</f>
        <v>#VALUE!</v>
      </c>
      <c r="GX52" t="e">
        <f>AND('Show Services'!G50,"AAAAADMnv80=")</f>
        <v>#VALUE!</v>
      </c>
      <c r="GY52" t="e">
        <f>AND('Show Services'!H50,"AAAAADMnv84=")</f>
        <v>#VALUE!</v>
      </c>
      <c r="GZ52" t="e">
        <f>AND('Show Services'!I50,"AAAAADMnv88=")</f>
        <v>#VALUE!</v>
      </c>
      <c r="HA52" t="e">
        <f>AND('Show Services'!#REF!,"AAAAADMnv9A=")</f>
        <v>#REF!</v>
      </c>
      <c r="HB52" t="e">
        <f>AND('Show Services'!#REF!,"AAAAADMnv9E=")</f>
        <v>#REF!</v>
      </c>
      <c r="HC52" t="e">
        <f>AND('Show Services'!#REF!,"AAAAADMnv9I=")</f>
        <v>#REF!</v>
      </c>
      <c r="HD52" t="e">
        <f>AND('Show Services'!#REF!,"AAAAADMnv9M=")</f>
        <v>#REF!</v>
      </c>
      <c r="HE52" t="e">
        <f>AND('Show Services'!#REF!,"AAAAADMnv9Q=")</f>
        <v>#REF!</v>
      </c>
      <c r="HF52" t="e">
        <f>AND('Show Services'!J50,"AAAAADMnv9U=")</f>
        <v>#VALUE!</v>
      </c>
      <c r="HG52" t="e">
        <f>AND('Show Services'!K50,"AAAAADMnv9Y=")</f>
        <v>#VALUE!</v>
      </c>
      <c r="HH52" t="e">
        <f>AND('Show Services'!L50,"AAAAADMnv9c=")</f>
        <v>#VALUE!</v>
      </c>
      <c r="HI52" t="e">
        <f>AND('Show Services'!M50,"AAAAADMnv9g=")</f>
        <v>#VALUE!</v>
      </c>
      <c r="HJ52" t="e">
        <f>AND('Show Services'!N50,"AAAAADMnv9k=")</f>
        <v>#VALUE!</v>
      </c>
      <c r="HK52" t="e">
        <f>AND('Show Services'!O50,"AAAAADMnv9o=")</f>
        <v>#VALUE!</v>
      </c>
      <c r="HL52" t="e">
        <f>AND('Show Services'!#REF!,"AAAAADMnv9s=")</f>
        <v>#REF!</v>
      </c>
      <c r="HM52">
        <f>IF('Show Services'!51:51,"AAAAADMnv9w=",0)</f>
        <v>0</v>
      </c>
      <c r="HN52" t="e">
        <f>AND('Show Services'!A51,"AAAAADMnv90=")</f>
        <v>#VALUE!</v>
      </c>
      <c r="HO52" t="e">
        <f>AND('Show Services'!B51,"AAAAADMnv94=")</f>
        <v>#VALUE!</v>
      </c>
      <c r="HP52" t="e">
        <f>AND('Show Services'!C51,"AAAAADMnv98=")</f>
        <v>#VALUE!</v>
      </c>
      <c r="HQ52" t="e">
        <f>AND('Show Services'!#REF!,"AAAAADMnv+A=")</f>
        <v>#REF!</v>
      </c>
      <c r="HR52" t="e">
        <f>AND('Show Services'!D51,"AAAAADMnv+E=")</f>
        <v>#VALUE!</v>
      </c>
      <c r="HS52" t="e">
        <f>AND('Show Services'!E51,"AAAAADMnv+I=")</f>
        <v>#VALUE!</v>
      </c>
      <c r="HT52" t="e">
        <f>AND('Show Services'!F51,"AAAAADMnv+M=")</f>
        <v>#VALUE!</v>
      </c>
      <c r="HU52" t="e">
        <f>AND('Show Services'!G51,"AAAAADMnv+Q=")</f>
        <v>#VALUE!</v>
      </c>
      <c r="HV52" t="e">
        <f>AND('Show Services'!H51,"AAAAADMnv+U=")</f>
        <v>#VALUE!</v>
      </c>
      <c r="HW52" t="e">
        <f>AND('Show Services'!I51,"AAAAADMnv+Y=")</f>
        <v>#VALUE!</v>
      </c>
      <c r="HX52" t="e">
        <f>AND('Show Services'!#REF!,"AAAAADMnv+c=")</f>
        <v>#REF!</v>
      </c>
      <c r="HY52" t="e">
        <f>AND('Show Services'!#REF!,"AAAAADMnv+g=")</f>
        <v>#REF!</v>
      </c>
      <c r="HZ52" t="e">
        <f>AND('Show Services'!#REF!,"AAAAADMnv+k=")</f>
        <v>#REF!</v>
      </c>
      <c r="IA52" t="e">
        <f>AND('Show Services'!#REF!,"AAAAADMnv+o=")</f>
        <v>#REF!</v>
      </c>
      <c r="IB52" t="e">
        <f>AND('Show Services'!#REF!,"AAAAADMnv+s=")</f>
        <v>#REF!</v>
      </c>
      <c r="IC52" t="e">
        <f>AND('Show Services'!J51,"AAAAADMnv+w=")</f>
        <v>#VALUE!</v>
      </c>
      <c r="ID52" t="e">
        <f>AND('Show Services'!K51,"AAAAADMnv+0=")</f>
        <v>#VALUE!</v>
      </c>
      <c r="IE52" t="e">
        <f>AND('Show Services'!L51,"AAAAADMnv+4=")</f>
        <v>#VALUE!</v>
      </c>
      <c r="IF52" t="e">
        <f>AND('Show Services'!M51,"AAAAADMnv+8=")</f>
        <v>#VALUE!</v>
      </c>
      <c r="IG52" t="e">
        <f>AND('Show Services'!N51,"AAAAADMnv/A=")</f>
        <v>#VALUE!</v>
      </c>
      <c r="IH52" t="e">
        <f>AND('Show Services'!O51,"AAAAADMnv/E=")</f>
        <v>#VALUE!</v>
      </c>
      <c r="II52" t="e">
        <f>AND('Show Services'!#REF!,"AAAAADMnv/I=")</f>
        <v>#REF!</v>
      </c>
      <c r="IJ52">
        <f>IF('Show Services'!52:52,"AAAAADMnv/M=",0)</f>
        <v>0</v>
      </c>
      <c r="IK52" t="e">
        <f>AND('Show Services'!A52,"AAAAADMnv/Q=")</f>
        <v>#VALUE!</v>
      </c>
      <c r="IL52" t="e">
        <f>AND('Show Services'!B52,"AAAAADMnv/U=")</f>
        <v>#VALUE!</v>
      </c>
      <c r="IM52" t="e">
        <f>AND('Show Services'!C52,"AAAAADMnv/Y=")</f>
        <v>#VALUE!</v>
      </c>
      <c r="IN52" t="e">
        <f>AND('Show Services'!#REF!,"AAAAADMnv/c=")</f>
        <v>#REF!</v>
      </c>
      <c r="IO52" t="e">
        <f>AND('Show Services'!D52,"AAAAADMnv/g=")</f>
        <v>#VALUE!</v>
      </c>
      <c r="IP52" t="e">
        <f>AND('Show Services'!E52,"AAAAADMnv/k=")</f>
        <v>#VALUE!</v>
      </c>
      <c r="IQ52" t="e">
        <f>AND('Show Services'!F52,"AAAAADMnv/o=")</f>
        <v>#VALUE!</v>
      </c>
      <c r="IR52" t="e">
        <f>AND('Show Services'!G52,"AAAAADMnv/s=")</f>
        <v>#VALUE!</v>
      </c>
      <c r="IS52" t="e">
        <f>AND('Show Services'!H52,"AAAAADMnv/w=")</f>
        <v>#VALUE!</v>
      </c>
      <c r="IT52" t="e">
        <f>AND('Show Services'!I52,"AAAAADMnv/0=")</f>
        <v>#VALUE!</v>
      </c>
      <c r="IU52" t="e">
        <f>AND('Show Services'!#REF!,"AAAAADMnv/4=")</f>
        <v>#REF!</v>
      </c>
      <c r="IV52" t="e">
        <f>AND('Show Services'!#REF!,"AAAAADMnv/8=")</f>
        <v>#REF!</v>
      </c>
    </row>
    <row r="53" spans="1:256" x14ac:dyDescent="0.2">
      <c r="A53" t="e">
        <f>AND('Show Services'!#REF!,"AAAAAGT/fwA=")</f>
        <v>#REF!</v>
      </c>
      <c r="B53" t="e">
        <f>AND('Show Services'!#REF!,"AAAAAGT/fwE=")</f>
        <v>#REF!</v>
      </c>
      <c r="C53" t="e">
        <f>AND('Show Services'!#REF!,"AAAAAGT/fwI=")</f>
        <v>#REF!</v>
      </c>
      <c r="D53" t="e">
        <f>AND('Show Services'!J52,"AAAAAGT/fwM=")</f>
        <v>#VALUE!</v>
      </c>
      <c r="E53" t="e">
        <f>AND('Show Services'!K52,"AAAAAGT/fwQ=")</f>
        <v>#VALUE!</v>
      </c>
      <c r="F53" t="e">
        <f>AND('Show Services'!L52,"AAAAAGT/fwU=")</f>
        <v>#VALUE!</v>
      </c>
      <c r="G53" t="e">
        <f>AND('Show Services'!M52,"AAAAAGT/fwY=")</f>
        <v>#VALUE!</v>
      </c>
      <c r="H53" t="e">
        <f>AND('Show Services'!N52,"AAAAAGT/fwc=")</f>
        <v>#VALUE!</v>
      </c>
      <c r="I53" t="e">
        <f>AND('Show Services'!O52,"AAAAAGT/fwg=")</f>
        <v>#VALUE!</v>
      </c>
      <c r="J53" t="e">
        <f>AND('Show Services'!#REF!,"AAAAAGT/fwk=")</f>
        <v>#REF!</v>
      </c>
      <c r="K53">
        <f>IF('Show Services'!53:53,"AAAAAGT/fwo=",0)</f>
        <v>0</v>
      </c>
      <c r="L53" t="e">
        <f>AND('Show Services'!A53,"AAAAAGT/fws=")</f>
        <v>#VALUE!</v>
      </c>
      <c r="M53" t="e">
        <f>AND('Show Services'!B53,"AAAAAGT/fww=")</f>
        <v>#VALUE!</v>
      </c>
      <c r="N53" t="e">
        <f>AND('Show Services'!C53,"AAAAAGT/fw0=")</f>
        <v>#VALUE!</v>
      </c>
      <c r="O53" t="e">
        <f>AND('Show Services'!#REF!,"AAAAAGT/fw4=")</f>
        <v>#REF!</v>
      </c>
      <c r="P53" t="e">
        <f>AND('Show Services'!D53,"AAAAAGT/fw8=")</f>
        <v>#VALUE!</v>
      </c>
      <c r="Q53" t="e">
        <f>AND('Show Services'!E53,"AAAAAGT/fxA=")</f>
        <v>#VALUE!</v>
      </c>
      <c r="R53" t="e">
        <f>AND('Show Services'!F53,"AAAAAGT/fxE=")</f>
        <v>#VALUE!</v>
      </c>
      <c r="S53" t="e">
        <f>AND('Show Services'!G53,"AAAAAGT/fxI=")</f>
        <v>#VALUE!</v>
      </c>
      <c r="T53" t="e">
        <f>AND('Show Services'!H53,"AAAAAGT/fxM=")</f>
        <v>#VALUE!</v>
      </c>
      <c r="U53" t="e">
        <f>AND('Show Services'!I53,"AAAAAGT/fxQ=")</f>
        <v>#VALUE!</v>
      </c>
      <c r="V53" t="e">
        <f>AND('Show Services'!#REF!,"AAAAAGT/fxU=")</f>
        <v>#REF!</v>
      </c>
      <c r="W53" t="e">
        <f>AND('Show Services'!#REF!,"AAAAAGT/fxY=")</f>
        <v>#REF!</v>
      </c>
      <c r="X53" t="e">
        <f>AND('Show Services'!#REF!,"AAAAAGT/fxc=")</f>
        <v>#REF!</v>
      </c>
      <c r="Y53" t="e">
        <f>AND('Show Services'!#REF!,"AAAAAGT/fxg=")</f>
        <v>#REF!</v>
      </c>
      <c r="Z53" t="e">
        <f>AND('Show Services'!#REF!,"AAAAAGT/fxk=")</f>
        <v>#REF!</v>
      </c>
      <c r="AA53" t="e">
        <f>AND('Show Services'!J53,"AAAAAGT/fxo=")</f>
        <v>#VALUE!</v>
      </c>
      <c r="AB53" t="e">
        <f>AND('Show Services'!K53,"AAAAAGT/fxs=")</f>
        <v>#VALUE!</v>
      </c>
      <c r="AC53" t="e">
        <f>AND('Show Services'!L53,"AAAAAGT/fxw=")</f>
        <v>#VALUE!</v>
      </c>
      <c r="AD53" t="e">
        <f>AND('Show Services'!M53,"AAAAAGT/fx0=")</f>
        <v>#VALUE!</v>
      </c>
      <c r="AE53" t="e">
        <f>AND('Show Services'!N53,"AAAAAGT/fx4=")</f>
        <v>#VALUE!</v>
      </c>
      <c r="AF53" t="e">
        <f>AND('Show Services'!O53,"AAAAAGT/fx8=")</f>
        <v>#VALUE!</v>
      </c>
      <c r="AG53" t="e">
        <f>AND('Show Services'!#REF!,"AAAAAGT/fyA=")</f>
        <v>#REF!</v>
      </c>
      <c r="AH53">
        <f>IF('Show Services'!54:54,"AAAAAGT/fyE=",0)</f>
        <v>0</v>
      </c>
      <c r="AI53" t="e">
        <f>AND('Show Services'!A54,"AAAAAGT/fyI=")</f>
        <v>#VALUE!</v>
      </c>
      <c r="AJ53" t="e">
        <f>AND('Show Services'!B54,"AAAAAGT/fyM=")</f>
        <v>#VALUE!</v>
      </c>
      <c r="AK53" t="e">
        <f>AND('Show Services'!C54,"AAAAAGT/fyQ=")</f>
        <v>#VALUE!</v>
      </c>
      <c r="AL53" t="e">
        <f>AND('Show Services'!#REF!,"AAAAAGT/fyU=")</f>
        <v>#REF!</v>
      </c>
      <c r="AM53" t="e">
        <f>AND('Show Services'!D54,"AAAAAGT/fyY=")</f>
        <v>#VALUE!</v>
      </c>
      <c r="AN53" t="e">
        <f>AND('Show Services'!E54,"AAAAAGT/fyc=")</f>
        <v>#VALUE!</v>
      </c>
      <c r="AO53" t="e">
        <f>AND('Show Services'!F54,"AAAAAGT/fyg=")</f>
        <v>#VALUE!</v>
      </c>
      <c r="AP53" t="e">
        <f>AND('Show Services'!G54,"AAAAAGT/fyk=")</f>
        <v>#VALUE!</v>
      </c>
      <c r="AQ53" t="e">
        <f>AND('Show Services'!H54,"AAAAAGT/fyo=")</f>
        <v>#VALUE!</v>
      </c>
      <c r="AR53" t="e">
        <f>AND('Show Services'!I54,"AAAAAGT/fys=")</f>
        <v>#VALUE!</v>
      </c>
      <c r="AS53" t="e">
        <f>AND('Show Services'!#REF!,"AAAAAGT/fyw=")</f>
        <v>#REF!</v>
      </c>
      <c r="AT53" t="e">
        <f>AND('Show Services'!#REF!,"AAAAAGT/fy0=")</f>
        <v>#REF!</v>
      </c>
      <c r="AU53" t="e">
        <f>AND('Show Services'!#REF!,"AAAAAGT/fy4=")</f>
        <v>#REF!</v>
      </c>
      <c r="AV53" t="e">
        <f>AND('Show Services'!#REF!,"AAAAAGT/fy8=")</f>
        <v>#REF!</v>
      </c>
      <c r="AW53" t="e">
        <f>AND('Show Services'!#REF!,"AAAAAGT/fzA=")</f>
        <v>#REF!</v>
      </c>
      <c r="AX53" t="e">
        <f>AND('Show Services'!J54,"AAAAAGT/fzE=")</f>
        <v>#VALUE!</v>
      </c>
      <c r="AY53" t="e">
        <f>AND('Show Services'!K54,"AAAAAGT/fzI=")</f>
        <v>#VALUE!</v>
      </c>
      <c r="AZ53" t="e">
        <f>AND('Show Services'!L54,"AAAAAGT/fzM=")</f>
        <v>#VALUE!</v>
      </c>
      <c r="BA53" t="e">
        <f>AND('Show Services'!M54,"AAAAAGT/fzQ=")</f>
        <v>#VALUE!</v>
      </c>
      <c r="BB53" t="e">
        <f>AND('Show Services'!N54,"AAAAAGT/fzU=")</f>
        <v>#VALUE!</v>
      </c>
      <c r="BC53" t="e">
        <f>AND('Show Services'!O54,"AAAAAGT/fzY=")</f>
        <v>#VALUE!</v>
      </c>
      <c r="BD53" t="e">
        <f>AND('Show Services'!#REF!,"AAAAAGT/fzc=")</f>
        <v>#REF!</v>
      </c>
      <c r="BE53">
        <f>IF('Show Services'!55:55,"AAAAAGT/fzg=",0)</f>
        <v>0</v>
      </c>
      <c r="BF53" t="e">
        <f>AND('Show Services'!A55,"AAAAAGT/fzk=")</f>
        <v>#VALUE!</v>
      </c>
      <c r="BG53" t="e">
        <f>AND('Show Services'!B55,"AAAAAGT/fzo=")</f>
        <v>#VALUE!</v>
      </c>
      <c r="BH53" t="e">
        <f>AND('Show Services'!C55,"AAAAAGT/fzs=")</f>
        <v>#VALUE!</v>
      </c>
      <c r="BI53" t="e">
        <f>AND('Show Services'!#REF!,"AAAAAGT/fzw=")</f>
        <v>#REF!</v>
      </c>
      <c r="BJ53" t="e">
        <f>AND('Show Services'!D55,"AAAAAGT/fz0=")</f>
        <v>#VALUE!</v>
      </c>
      <c r="BK53" t="e">
        <f>AND('Show Services'!E55,"AAAAAGT/fz4=")</f>
        <v>#VALUE!</v>
      </c>
      <c r="BL53" t="e">
        <f>AND('Show Services'!F55,"AAAAAGT/fz8=")</f>
        <v>#VALUE!</v>
      </c>
      <c r="BM53" t="e">
        <f>AND('Show Services'!G55,"AAAAAGT/f0A=")</f>
        <v>#VALUE!</v>
      </c>
      <c r="BN53" t="e">
        <f>AND('Show Services'!H55,"AAAAAGT/f0E=")</f>
        <v>#VALUE!</v>
      </c>
      <c r="BO53" t="e">
        <f>AND('Show Services'!I55,"AAAAAGT/f0I=")</f>
        <v>#VALUE!</v>
      </c>
      <c r="BP53" t="e">
        <f>AND('Show Services'!#REF!,"AAAAAGT/f0M=")</f>
        <v>#REF!</v>
      </c>
      <c r="BQ53" t="e">
        <f>AND('Show Services'!#REF!,"AAAAAGT/f0Q=")</f>
        <v>#REF!</v>
      </c>
      <c r="BR53" t="e">
        <f>AND('Show Services'!#REF!,"AAAAAGT/f0U=")</f>
        <v>#REF!</v>
      </c>
      <c r="BS53" t="e">
        <f>AND('Show Services'!#REF!,"AAAAAGT/f0Y=")</f>
        <v>#REF!</v>
      </c>
      <c r="BT53" t="e">
        <f>AND('Show Services'!#REF!,"AAAAAGT/f0c=")</f>
        <v>#REF!</v>
      </c>
      <c r="BU53" t="e">
        <f>AND('Show Services'!J55,"AAAAAGT/f0g=")</f>
        <v>#VALUE!</v>
      </c>
      <c r="BV53" t="e">
        <f>AND('Show Services'!K55,"AAAAAGT/f0k=")</f>
        <v>#VALUE!</v>
      </c>
      <c r="BW53" t="e">
        <f>AND('Show Services'!L55,"AAAAAGT/f0o=")</f>
        <v>#VALUE!</v>
      </c>
      <c r="BX53" t="e">
        <f>AND('Show Services'!M55,"AAAAAGT/f0s=")</f>
        <v>#VALUE!</v>
      </c>
      <c r="BY53" t="e">
        <f>AND('Show Services'!N55,"AAAAAGT/f0w=")</f>
        <v>#VALUE!</v>
      </c>
      <c r="BZ53" t="e">
        <f>AND('Show Services'!O55,"AAAAAGT/f00=")</f>
        <v>#VALUE!</v>
      </c>
      <c r="CA53" t="e">
        <f>AND('Show Services'!#REF!,"AAAAAGT/f04=")</f>
        <v>#REF!</v>
      </c>
      <c r="CB53">
        <f>IF('Show Services'!56:56,"AAAAAGT/f08=",0)</f>
        <v>0</v>
      </c>
      <c r="CC53" t="e">
        <f>AND('Show Services'!A56,"AAAAAGT/f1A=")</f>
        <v>#VALUE!</v>
      </c>
      <c r="CD53" t="e">
        <f>AND('Show Services'!B56,"AAAAAGT/f1E=")</f>
        <v>#VALUE!</v>
      </c>
      <c r="CE53" t="e">
        <f>AND('Show Services'!C56,"AAAAAGT/f1I=")</f>
        <v>#VALUE!</v>
      </c>
      <c r="CF53" t="e">
        <f>AND('Show Services'!#REF!,"AAAAAGT/f1M=")</f>
        <v>#REF!</v>
      </c>
      <c r="CG53" t="e">
        <f>AND('Show Services'!D56,"AAAAAGT/f1Q=")</f>
        <v>#VALUE!</v>
      </c>
      <c r="CH53" t="e">
        <f>AND('Show Services'!E56,"AAAAAGT/f1U=")</f>
        <v>#VALUE!</v>
      </c>
      <c r="CI53" t="e">
        <f>AND('Show Services'!F56,"AAAAAGT/f1Y=")</f>
        <v>#VALUE!</v>
      </c>
      <c r="CJ53" t="e">
        <f>AND('Show Services'!G56,"AAAAAGT/f1c=")</f>
        <v>#VALUE!</v>
      </c>
      <c r="CK53" t="e">
        <f>AND('Show Services'!H56,"AAAAAGT/f1g=")</f>
        <v>#VALUE!</v>
      </c>
      <c r="CL53" t="e">
        <f>AND('Show Services'!I56,"AAAAAGT/f1k=")</f>
        <v>#VALUE!</v>
      </c>
      <c r="CM53" t="e">
        <f>AND('Show Services'!#REF!,"AAAAAGT/f1o=")</f>
        <v>#REF!</v>
      </c>
      <c r="CN53" t="e">
        <f>AND('Show Services'!#REF!,"AAAAAGT/f1s=")</f>
        <v>#REF!</v>
      </c>
      <c r="CO53" t="e">
        <f>AND('Show Services'!#REF!,"AAAAAGT/f1w=")</f>
        <v>#REF!</v>
      </c>
      <c r="CP53" t="e">
        <f>AND('Show Services'!#REF!,"AAAAAGT/f10=")</f>
        <v>#REF!</v>
      </c>
      <c r="CQ53" t="e">
        <f>AND('Show Services'!#REF!,"AAAAAGT/f14=")</f>
        <v>#REF!</v>
      </c>
      <c r="CR53" t="e">
        <f>AND('Show Services'!J56,"AAAAAGT/f18=")</f>
        <v>#VALUE!</v>
      </c>
      <c r="CS53" t="e">
        <f>AND('Show Services'!K56,"AAAAAGT/f2A=")</f>
        <v>#VALUE!</v>
      </c>
      <c r="CT53" t="e">
        <f>AND('Show Services'!L56,"AAAAAGT/f2E=")</f>
        <v>#VALUE!</v>
      </c>
      <c r="CU53" t="e">
        <f>AND('Show Services'!M56,"AAAAAGT/f2I=")</f>
        <v>#VALUE!</v>
      </c>
      <c r="CV53" t="e">
        <f>AND('Show Services'!N56,"AAAAAGT/f2M=")</f>
        <v>#VALUE!</v>
      </c>
      <c r="CW53" t="e">
        <f>AND('Show Services'!O56,"AAAAAGT/f2Q=")</f>
        <v>#VALUE!</v>
      </c>
      <c r="CX53" t="e">
        <f>AND('Show Services'!#REF!,"AAAAAGT/f2U=")</f>
        <v>#REF!</v>
      </c>
      <c r="CY53">
        <f>IF('Show Services'!57:57,"AAAAAGT/f2Y=",0)</f>
        <v>0</v>
      </c>
      <c r="CZ53" t="e">
        <f>AND('Show Services'!A57,"AAAAAGT/f2c=")</f>
        <v>#VALUE!</v>
      </c>
      <c r="DA53" t="e">
        <f>AND('Show Services'!B57,"AAAAAGT/f2g=")</f>
        <v>#VALUE!</v>
      </c>
      <c r="DB53" t="e">
        <f>AND('Show Services'!C57,"AAAAAGT/f2k=")</f>
        <v>#VALUE!</v>
      </c>
      <c r="DC53" t="e">
        <f>AND('Show Services'!#REF!,"AAAAAGT/f2o=")</f>
        <v>#REF!</v>
      </c>
      <c r="DD53" t="e">
        <f>AND('Show Services'!D57,"AAAAAGT/f2s=")</f>
        <v>#VALUE!</v>
      </c>
      <c r="DE53" t="e">
        <f>AND('Show Services'!E57,"AAAAAGT/f2w=")</f>
        <v>#VALUE!</v>
      </c>
      <c r="DF53" t="e">
        <f>AND('Show Services'!F57,"AAAAAGT/f20=")</f>
        <v>#VALUE!</v>
      </c>
      <c r="DG53" t="e">
        <f>AND('Show Services'!G57,"AAAAAGT/f24=")</f>
        <v>#VALUE!</v>
      </c>
      <c r="DH53" t="e">
        <f>AND('Show Services'!H57,"AAAAAGT/f28=")</f>
        <v>#VALUE!</v>
      </c>
      <c r="DI53" t="e">
        <f>AND('Show Services'!I57,"AAAAAGT/f3A=")</f>
        <v>#VALUE!</v>
      </c>
      <c r="DJ53" t="e">
        <f>AND('Show Services'!#REF!,"AAAAAGT/f3E=")</f>
        <v>#REF!</v>
      </c>
      <c r="DK53" t="e">
        <f>AND('Show Services'!#REF!,"AAAAAGT/f3I=")</f>
        <v>#REF!</v>
      </c>
      <c r="DL53" t="e">
        <f>AND('Show Services'!#REF!,"AAAAAGT/f3M=")</f>
        <v>#REF!</v>
      </c>
      <c r="DM53" t="e">
        <f>AND('Show Services'!#REF!,"AAAAAGT/f3Q=")</f>
        <v>#REF!</v>
      </c>
      <c r="DN53" t="e">
        <f>AND('Show Services'!#REF!,"AAAAAGT/f3U=")</f>
        <v>#REF!</v>
      </c>
      <c r="DO53" t="e">
        <f>AND('Show Services'!J57,"AAAAAGT/f3Y=")</f>
        <v>#VALUE!</v>
      </c>
      <c r="DP53" t="e">
        <f>AND('Show Services'!K57,"AAAAAGT/f3c=")</f>
        <v>#VALUE!</v>
      </c>
      <c r="DQ53" t="e">
        <f>AND('Show Services'!L57,"AAAAAGT/f3g=")</f>
        <v>#VALUE!</v>
      </c>
      <c r="DR53" t="e">
        <f>AND('Show Services'!M57,"AAAAAGT/f3k=")</f>
        <v>#VALUE!</v>
      </c>
      <c r="DS53" t="e">
        <f>AND('Show Services'!N57,"AAAAAGT/f3o=")</f>
        <v>#VALUE!</v>
      </c>
      <c r="DT53" t="e">
        <f>AND('Show Services'!O57,"AAAAAGT/f3s=")</f>
        <v>#VALUE!</v>
      </c>
      <c r="DU53" t="e">
        <f>AND('Show Services'!#REF!,"AAAAAGT/f3w=")</f>
        <v>#REF!</v>
      </c>
      <c r="DV53">
        <f>IF('Show Services'!58:58,"AAAAAGT/f30=",0)</f>
        <v>0</v>
      </c>
      <c r="DW53" t="e">
        <f>AND('Show Services'!A58,"AAAAAGT/f34=")</f>
        <v>#VALUE!</v>
      </c>
      <c r="DX53" t="e">
        <f>AND('Show Services'!B58,"AAAAAGT/f38=")</f>
        <v>#VALUE!</v>
      </c>
      <c r="DY53" t="e">
        <f>AND('Show Services'!C58,"AAAAAGT/f4A=")</f>
        <v>#VALUE!</v>
      </c>
      <c r="DZ53" t="e">
        <f>AND('Show Services'!#REF!,"AAAAAGT/f4E=")</f>
        <v>#REF!</v>
      </c>
      <c r="EA53" t="e">
        <f>AND('Show Services'!D58,"AAAAAGT/f4I=")</f>
        <v>#VALUE!</v>
      </c>
      <c r="EB53" t="e">
        <f>AND('Show Services'!E58,"AAAAAGT/f4M=")</f>
        <v>#VALUE!</v>
      </c>
      <c r="EC53" t="e">
        <f>AND('Show Services'!F58,"AAAAAGT/f4Q=")</f>
        <v>#VALUE!</v>
      </c>
      <c r="ED53" t="e">
        <f>AND('Show Services'!G58,"AAAAAGT/f4U=")</f>
        <v>#VALUE!</v>
      </c>
      <c r="EE53" t="e">
        <f>AND('Show Services'!H58,"AAAAAGT/f4Y=")</f>
        <v>#VALUE!</v>
      </c>
      <c r="EF53" t="e">
        <f>AND('Show Services'!I58,"AAAAAGT/f4c=")</f>
        <v>#VALUE!</v>
      </c>
      <c r="EG53" t="e">
        <f>AND('Show Services'!#REF!,"AAAAAGT/f4g=")</f>
        <v>#REF!</v>
      </c>
      <c r="EH53" t="e">
        <f>AND('Show Services'!#REF!,"AAAAAGT/f4k=")</f>
        <v>#REF!</v>
      </c>
      <c r="EI53" t="e">
        <f>AND('Show Services'!#REF!,"AAAAAGT/f4o=")</f>
        <v>#REF!</v>
      </c>
      <c r="EJ53" t="e">
        <f>AND('Show Services'!#REF!,"AAAAAGT/f4s=")</f>
        <v>#REF!</v>
      </c>
      <c r="EK53" t="e">
        <f>AND('Show Services'!#REF!,"AAAAAGT/f4w=")</f>
        <v>#REF!</v>
      </c>
      <c r="EL53" t="e">
        <f>AND('Show Services'!J58,"AAAAAGT/f40=")</f>
        <v>#VALUE!</v>
      </c>
      <c r="EM53" t="e">
        <f>AND('Show Services'!K58,"AAAAAGT/f44=")</f>
        <v>#VALUE!</v>
      </c>
      <c r="EN53" t="e">
        <f>AND('Show Services'!L58,"AAAAAGT/f48=")</f>
        <v>#VALUE!</v>
      </c>
      <c r="EO53" t="e">
        <f>AND('Show Services'!M58,"AAAAAGT/f5A=")</f>
        <v>#VALUE!</v>
      </c>
      <c r="EP53" t="e">
        <f>AND('Show Services'!N58,"AAAAAGT/f5E=")</f>
        <v>#VALUE!</v>
      </c>
      <c r="EQ53" t="e">
        <f>AND('Show Services'!O58,"AAAAAGT/f5I=")</f>
        <v>#VALUE!</v>
      </c>
      <c r="ER53" t="e">
        <f>AND('Show Services'!#REF!,"AAAAAGT/f5M=")</f>
        <v>#REF!</v>
      </c>
      <c r="ES53">
        <f>IF('Show Services'!59:59,"AAAAAGT/f5Q=",0)</f>
        <v>0</v>
      </c>
      <c r="ET53" t="e">
        <f>AND('Show Services'!A59,"AAAAAGT/f5U=")</f>
        <v>#VALUE!</v>
      </c>
      <c r="EU53" t="e">
        <f>AND('Show Services'!B59,"AAAAAGT/f5Y=")</f>
        <v>#VALUE!</v>
      </c>
      <c r="EV53" t="e">
        <f>AND('Show Services'!C59,"AAAAAGT/f5c=")</f>
        <v>#VALUE!</v>
      </c>
      <c r="EW53" t="e">
        <f>AND('Show Services'!#REF!,"AAAAAGT/f5g=")</f>
        <v>#REF!</v>
      </c>
      <c r="EX53" t="e">
        <f>AND('Show Services'!D59,"AAAAAGT/f5k=")</f>
        <v>#VALUE!</v>
      </c>
      <c r="EY53" t="e">
        <f>AND('Show Services'!E59,"AAAAAGT/f5o=")</f>
        <v>#VALUE!</v>
      </c>
      <c r="EZ53" t="e">
        <f>AND('Show Services'!F59,"AAAAAGT/f5s=")</f>
        <v>#VALUE!</v>
      </c>
      <c r="FA53" t="e">
        <f>AND('Show Services'!G59,"AAAAAGT/f5w=")</f>
        <v>#VALUE!</v>
      </c>
      <c r="FB53" t="e">
        <f>AND('Show Services'!H59,"AAAAAGT/f50=")</f>
        <v>#VALUE!</v>
      </c>
      <c r="FC53" t="e">
        <f>AND('Show Services'!I59,"AAAAAGT/f54=")</f>
        <v>#VALUE!</v>
      </c>
      <c r="FD53" t="e">
        <f>AND('Show Services'!#REF!,"AAAAAGT/f58=")</f>
        <v>#REF!</v>
      </c>
      <c r="FE53" t="e">
        <f>AND('Show Services'!#REF!,"AAAAAGT/f6A=")</f>
        <v>#REF!</v>
      </c>
      <c r="FF53" t="e">
        <f>AND('Show Services'!#REF!,"AAAAAGT/f6E=")</f>
        <v>#REF!</v>
      </c>
      <c r="FG53" t="e">
        <f>AND('Show Services'!#REF!,"AAAAAGT/f6I=")</f>
        <v>#REF!</v>
      </c>
      <c r="FH53" t="e">
        <f>AND('Show Services'!#REF!,"AAAAAGT/f6M=")</f>
        <v>#REF!</v>
      </c>
      <c r="FI53" t="e">
        <f>AND('Show Services'!J59,"AAAAAGT/f6Q=")</f>
        <v>#VALUE!</v>
      </c>
      <c r="FJ53" t="e">
        <f>AND('Show Services'!K59,"AAAAAGT/f6U=")</f>
        <v>#VALUE!</v>
      </c>
      <c r="FK53" t="e">
        <f>AND('Show Services'!L59,"AAAAAGT/f6Y=")</f>
        <v>#VALUE!</v>
      </c>
      <c r="FL53" t="e">
        <f>AND('Show Services'!M59,"AAAAAGT/f6c=")</f>
        <v>#VALUE!</v>
      </c>
      <c r="FM53" t="e">
        <f>AND('Show Services'!N59,"AAAAAGT/f6g=")</f>
        <v>#VALUE!</v>
      </c>
      <c r="FN53" t="e">
        <f>AND('Show Services'!O59,"AAAAAGT/f6k=")</f>
        <v>#VALUE!</v>
      </c>
      <c r="FO53" t="e">
        <f>AND('Show Services'!#REF!,"AAAAAGT/f6o=")</f>
        <v>#REF!</v>
      </c>
      <c r="FP53">
        <f>IF('Show Services'!60:60,"AAAAAGT/f6s=",0)</f>
        <v>0</v>
      </c>
      <c r="FQ53" t="e">
        <f>AND('Show Services'!A60,"AAAAAGT/f6w=")</f>
        <v>#VALUE!</v>
      </c>
      <c r="FR53" t="e">
        <f>AND('Show Services'!B60,"AAAAAGT/f60=")</f>
        <v>#VALUE!</v>
      </c>
      <c r="FS53" t="e">
        <f>AND('Show Services'!C60,"AAAAAGT/f64=")</f>
        <v>#VALUE!</v>
      </c>
      <c r="FT53" t="e">
        <f>AND('Show Services'!#REF!,"AAAAAGT/f68=")</f>
        <v>#REF!</v>
      </c>
      <c r="FU53" t="e">
        <f>AND('Show Services'!D60,"AAAAAGT/f7A=")</f>
        <v>#VALUE!</v>
      </c>
      <c r="FV53" t="e">
        <f>AND('Show Services'!E60,"AAAAAGT/f7E=")</f>
        <v>#VALUE!</v>
      </c>
      <c r="FW53" t="e">
        <f>AND('Show Services'!F60,"AAAAAGT/f7I=")</f>
        <v>#VALUE!</v>
      </c>
      <c r="FX53" t="e">
        <f>AND('Show Services'!G60,"AAAAAGT/f7M=")</f>
        <v>#VALUE!</v>
      </c>
      <c r="FY53" t="e">
        <f>AND('Show Services'!H60,"AAAAAGT/f7Q=")</f>
        <v>#VALUE!</v>
      </c>
      <c r="FZ53" t="e">
        <f>AND('Show Services'!I60,"AAAAAGT/f7U=")</f>
        <v>#VALUE!</v>
      </c>
      <c r="GA53" t="e">
        <f>AND('Show Services'!#REF!,"AAAAAGT/f7Y=")</f>
        <v>#REF!</v>
      </c>
      <c r="GB53" t="e">
        <f>AND('Show Services'!#REF!,"AAAAAGT/f7c=")</f>
        <v>#REF!</v>
      </c>
      <c r="GC53" t="e">
        <f>AND('Show Services'!#REF!,"AAAAAGT/f7g=")</f>
        <v>#REF!</v>
      </c>
      <c r="GD53" t="e">
        <f>AND('Show Services'!#REF!,"AAAAAGT/f7k=")</f>
        <v>#REF!</v>
      </c>
      <c r="GE53" t="e">
        <f>AND('Show Services'!#REF!,"AAAAAGT/f7o=")</f>
        <v>#REF!</v>
      </c>
      <c r="GF53" t="e">
        <f>AND('Show Services'!J60,"AAAAAGT/f7s=")</f>
        <v>#VALUE!</v>
      </c>
      <c r="GG53" t="e">
        <f>AND('Show Services'!K60,"AAAAAGT/f7w=")</f>
        <v>#VALUE!</v>
      </c>
      <c r="GH53" t="e">
        <f>AND('Show Services'!L60,"AAAAAGT/f70=")</f>
        <v>#VALUE!</v>
      </c>
      <c r="GI53" t="e">
        <f>AND('Show Services'!M60,"AAAAAGT/f74=")</f>
        <v>#VALUE!</v>
      </c>
      <c r="GJ53" t="e">
        <f>AND('Show Services'!N60,"AAAAAGT/f78=")</f>
        <v>#VALUE!</v>
      </c>
      <c r="GK53" t="e">
        <f>AND('Show Services'!O60,"AAAAAGT/f8A=")</f>
        <v>#VALUE!</v>
      </c>
      <c r="GL53" t="e">
        <f>AND('Show Services'!#REF!,"AAAAAGT/f8E=")</f>
        <v>#REF!</v>
      </c>
      <c r="GM53">
        <f>IF('Show Services'!61:61,"AAAAAGT/f8I=",0)</f>
        <v>0</v>
      </c>
      <c r="GN53" t="e">
        <f>AND('Show Services'!A61,"AAAAAGT/f8M=")</f>
        <v>#VALUE!</v>
      </c>
      <c r="GO53" t="e">
        <f>AND('Show Services'!B61,"AAAAAGT/f8Q=")</f>
        <v>#VALUE!</v>
      </c>
      <c r="GP53" t="e">
        <f>AND('Show Services'!C61,"AAAAAGT/f8U=")</f>
        <v>#VALUE!</v>
      </c>
      <c r="GQ53" t="e">
        <f>AND('Show Services'!#REF!,"AAAAAGT/f8Y=")</f>
        <v>#REF!</v>
      </c>
      <c r="GR53" t="e">
        <f>AND('Show Services'!D61,"AAAAAGT/f8c=")</f>
        <v>#VALUE!</v>
      </c>
      <c r="GS53" t="e">
        <f>AND('Show Services'!E61,"AAAAAGT/f8g=")</f>
        <v>#VALUE!</v>
      </c>
      <c r="GT53" t="e">
        <f>AND('Show Services'!F61,"AAAAAGT/f8k=")</f>
        <v>#VALUE!</v>
      </c>
      <c r="GU53" t="e">
        <f>AND('Show Services'!G61,"AAAAAGT/f8o=")</f>
        <v>#VALUE!</v>
      </c>
      <c r="GV53" t="e">
        <f>AND('Show Services'!H61,"AAAAAGT/f8s=")</f>
        <v>#VALUE!</v>
      </c>
      <c r="GW53" t="e">
        <f>AND('Show Services'!I61,"AAAAAGT/f8w=")</f>
        <v>#VALUE!</v>
      </c>
      <c r="GX53" t="e">
        <f>AND('Show Services'!#REF!,"AAAAAGT/f80=")</f>
        <v>#REF!</v>
      </c>
      <c r="GY53" t="e">
        <f>AND('Show Services'!#REF!,"AAAAAGT/f84=")</f>
        <v>#REF!</v>
      </c>
      <c r="GZ53" t="e">
        <f>AND('Show Services'!#REF!,"AAAAAGT/f88=")</f>
        <v>#REF!</v>
      </c>
      <c r="HA53" t="e">
        <f>AND('Show Services'!#REF!,"AAAAAGT/f9A=")</f>
        <v>#REF!</v>
      </c>
      <c r="HB53" t="e">
        <f>AND('Show Services'!#REF!,"AAAAAGT/f9E=")</f>
        <v>#REF!</v>
      </c>
      <c r="HC53" t="e">
        <f>AND('Show Services'!J61,"AAAAAGT/f9I=")</f>
        <v>#VALUE!</v>
      </c>
      <c r="HD53" t="e">
        <f>AND('Show Services'!K61,"AAAAAGT/f9M=")</f>
        <v>#VALUE!</v>
      </c>
      <c r="HE53" t="e">
        <f>AND('Show Services'!L61,"AAAAAGT/f9Q=")</f>
        <v>#VALUE!</v>
      </c>
      <c r="HF53" t="e">
        <f>AND('Show Services'!M61,"AAAAAGT/f9U=")</f>
        <v>#VALUE!</v>
      </c>
      <c r="HG53" t="e">
        <f>AND('Show Services'!N61,"AAAAAGT/f9Y=")</f>
        <v>#VALUE!</v>
      </c>
      <c r="HH53" t="e">
        <f>AND('Show Services'!O61,"AAAAAGT/f9c=")</f>
        <v>#VALUE!</v>
      </c>
      <c r="HI53" t="e">
        <f>AND('Show Services'!#REF!,"AAAAAGT/f9g=")</f>
        <v>#REF!</v>
      </c>
      <c r="HJ53">
        <f>IF('Show Services'!62:62,"AAAAAGT/f9k=",0)</f>
        <v>0</v>
      </c>
      <c r="HK53" t="e">
        <f>AND('Show Services'!A62,"AAAAAGT/f9o=")</f>
        <v>#VALUE!</v>
      </c>
      <c r="HL53" t="e">
        <f>AND('Show Services'!B62,"AAAAAGT/f9s=")</f>
        <v>#VALUE!</v>
      </c>
      <c r="HM53" t="e">
        <f>AND('Show Services'!C62,"AAAAAGT/f9w=")</f>
        <v>#VALUE!</v>
      </c>
      <c r="HN53" t="e">
        <f>AND('Show Services'!#REF!,"AAAAAGT/f90=")</f>
        <v>#REF!</v>
      </c>
      <c r="HO53" t="e">
        <f>AND('Show Services'!D62,"AAAAAGT/f94=")</f>
        <v>#VALUE!</v>
      </c>
      <c r="HP53" t="e">
        <f>AND('Show Services'!E62,"AAAAAGT/f98=")</f>
        <v>#VALUE!</v>
      </c>
      <c r="HQ53" t="e">
        <f>AND('Show Services'!F62,"AAAAAGT/f+A=")</f>
        <v>#VALUE!</v>
      </c>
      <c r="HR53" t="e">
        <f>AND('Show Services'!G62,"AAAAAGT/f+E=")</f>
        <v>#VALUE!</v>
      </c>
      <c r="HS53" t="e">
        <f>AND('Show Services'!H62,"AAAAAGT/f+I=")</f>
        <v>#VALUE!</v>
      </c>
      <c r="HT53" t="e">
        <f>AND('Show Services'!I62,"AAAAAGT/f+M=")</f>
        <v>#VALUE!</v>
      </c>
      <c r="HU53" t="e">
        <f>AND('Show Services'!#REF!,"AAAAAGT/f+Q=")</f>
        <v>#REF!</v>
      </c>
      <c r="HV53" t="e">
        <f>AND('Show Services'!#REF!,"AAAAAGT/f+U=")</f>
        <v>#REF!</v>
      </c>
      <c r="HW53" t="e">
        <f>AND('Show Services'!#REF!,"AAAAAGT/f+Y=")</f>
        <v>#REF!</v>
      </c>
      <c r="HX53" t="e">
        <f>AND('Show Services'!#REF!,"AAAAAGT/f+c=")</f>
        <v>#REF!</v>
      </c>
      <c r="HY53" t="e">
        <f>AND('Show Services'!#REF!,"AAAAAGT/f+g=")</f>
        <v>#REF!</v>
      </c>
      <c r="HZ53" t="e">
        <f>AND('Show Services'!J62,"AAAAAGT/f+k=")</f>
        <v>#VALUE!</v>
      </c>
      <c r="IA53" t="e">
        <f>AND('Show Services'!K62,"AAAAAGT/f+o=")</f>
        <v>#VALUE!</v>
      </c>
      <c r="IB53" t="e">
        <f>AND('Show Services'!L62,"AAAAAGT/f+s=")</f>
        <v>#VALUE!</v>
      </c>
      <c r="IC53" t="e">
        <f>AND('Show Services'!M62,"AAAAAGT/f+w=")</f>
        <v>#VALUE!</v>
      </c>
      <c r="ID53" t="e">
        <f>AND('Show Services'!N62,"AAAAAGT/f+0=")</f>
        <v>#VALUE!</v>
      </c>
      <c r="IE53" t="e">
        <f>AND('Show Services'!O62,"AAAAAGT/f+4=")</f>
        <v>#VALUE!</v>
      </c>
      <c r="IF53" t="e">
        <f>AND('Show Services'!#REF!,"AAAAAGT/f+8=")</f>
        <v>#REF!</v>
      </c>
      <c r="IG53">
        <f>IF('Show Services'!63:63,"AAAAAGT/f/A=",0)</f>
        <v>0</v>
      </c>
      <c r="IH53" t="e">
        <f>AND('Show Services'!A63,"AAAAAGT/f/E=")</f>
        <v>#VALUE!</v>
      </c>
      <c r="II53" t="e">
        <f>AND('Show Services'!B63,"AAAAAGT/f/I=")</f>
        <v>#VALUE!</v>
      </c>
      <c r="IJ53" t="e">
        <f>AND('Show Services'!C63,"AAAAAGT/f/M=")</f>
        <v>#VALUE!</v>
      </c>
      <c r="IK53" t="e">
        <f>AND('Show Services'!#REF!,"AAAAAGT/f/Q=")</f>
        <v>#REF!</v>
      </c>
      <c r="IL53" t="e">
        <f>AND('Show Services'!D63,"AAAAAGT/f/U=")</f>
        <v>#VALUE!</v>
      </c>
      <c r="IM53" t="e">
        <f>AND('Show Services'!E63,"AAAAAGT/f/Y=")</f>
        <v>#VALUE!</v>
      </c>
      <c r="IN53" t="e">
        <f>AND('Show Services'!F63,"AAAAAGT/f/c=")</f>
        <v>#VALUE!</v>
      </c>
      <c r="IO53" t="e">
        <f>AND('Show Services'!G63,"AAAAAGT/f/g=")</f>
        <v>#VALUE!</v>
      </c>
      <c r="IP53" t="e">
        <f>AND('Show Services'!H63,"AAAAAGT/f/k=")</f>
        <v>#VALUE!</v>
      </c>
      <c r="IQ53" t="e">
        <f>AND('Show Services'!I63,"AAAAAGT/f/o=")</f>
        <v>#VALUE!</v>
      </c>
      <c r="IR53" t="e">
        <f>AND('Show Services'!#REF!,"AAAAAGT/f/s=")</f>
        <v>#REF!</v>
      </c>
      <c r="IS53" t="e">
        <f>AND('Show Services'!#REF!,"AAAAAGT/f/w=")</f>
        <v>#REF!</v>
      </c>
      <c r="IT53" t="e">
        <f>AND('Show Services'!#REF!,"AAAAAGT/f/0=")</f>
        <v>#REF!</v>
      </c>
      <c r="IU53" t="e">
        <f>AND('Show Services'!#REF!,"AAAAAGT/f/4=")</f>
        <v>#REF!</v>
      </c>
      <c r="IV53" t="e">
        <f>AND('Show Services'!#REF!,"AAAAAGT/f/8=")</f>
        <v>#REF!</v>
      </c>
    </row>
    <row r="54" spans="1:256" x14ac:dyDescent="0.2">
      <c r="A54" t="e">
        <f>AND('Show Services'!J63,"AAAAAHtP8wA=")</f>
        <v>#VALUE!</v>
      </c>
      <c r="B54" t="e">
        <f>AND('Show Services'!K63,"AAAAAHtP8wE=")</f>
        <v>#VALUE!</v>
      </c>
      <c r="C54" t="e">
        <f>AND('Show Services'!L63,"AAAAAHtP8wI=")</f>
        <v>#VALUE!</v>
      </c>
      <c r="D54" t="e">
        <f>AND('Show Services'!M63,"AAAAAHtP8wM=")</f>
        <v>#VALUE!</v>
      </c>
      <c r="E54" t="e">
        <f>AND('Show Services'!N63,"AAAAAHtP8wQ=")</f>
        <v>#VALUE!</v>
      </c>
      <c r="F54" t="e">
        <f>AND('Show Services'!O63,"AAAAAHtP8wU=")</f>
        <v>#VALUE!</v>
      </c>
      <c r="G54" t="e">
        <f>AND('Show Services'!#REF!,"AAAAAHtP8wY=")</f>
        <v>#REF!</v>
      </c>
      <c r="H54">
        <f>IF('Show Services'!64:64,"AAAAAHtP8wc=",0)</f>
        <v>0</v>
      </c>
      <c r="I54" t="e">
        <f>AND('Show Services'!A64,"AAAAAHtP8wg=")</f>
        <v>#VALUE!</v>
      </c>
      <c r="J54" t="e">
        <f>AND('Show Services'!B64,"AAAAAHtP8wk=")</f>
        <v>#VALUE!</v>
      </c>
      <c r="K54" t="e">
        <f>AND('Show Services'!C64,"AAAAAHtP8wo=")</f>
        <v>#VALUE!</v>
      </c>
      <c r="L54" t="e">
        <f>AND('Show Services'!#REF!,"AAAAAHtP8ws=")</f>
        <v>#REF!</v>
      </c>
      <c r="M54" t="e">
        <f>AND('Show Services'!D64,"AAAAAHtP8ww=")</f>
        <v>#VALUE!</v>
      </c>
      <c r="N54" t="e">
        <f>AND('Show Services'!E64,"AAAAAHtP8w0=")</f>
        <v>#VALUE!</v>
      </c>
      <c r="O54" t="e">
        <f>AND('Show Services'!F64,"AAAAAHtP8w4=")</f>
        <v>#VALUE!</v>
      </c>
      <c r="P54" t="e">
        <f>AND('Show Services'!G64,"AAAAAHtP8w8=")</f>
        <v>#VALUE!</v>
      </c>
      <c r="Q54" t="e">
        <f>AND('Show Services'!H64,"AAAAAHtP8xA=")</f>
        <v>#VALUE!</v>
      </c>
      <c r="R54" t="e">
        <f>AND('Show Services'!I64,"AAAAAHtP8xE=")</f>
        <v>#VALUE!</v>
      </c>
      <c r="S54" t="e">
        <f>AND('Show Services'!#REF!,"AAAAAHtP8xI=")</f>
        <v>#REF!</v>
      </c>
      <c r="T54" t="e">
        <f>AND('Show Services'!#REF!,"AAAAAHtP8xM=")</f>
        <v>#REF!</v>
      </c>
      <c r="U54" t="e">
        <f>AND('Show Services'!#REF!,"AAAAAHtP8xQ=")</f>
        <v>#REF!</v>
      </c>
      <c r="V54" t="e">
        <f>AND('Show Services'!#REF!,"AAAAAHtP8xU=")</f>
        <v>#REF!</v>
      </c>
      <c r="W54" t="e">
        <f>AND('Show Services'!#REF!,"AAAAAHtP8xY=")</f>
        <v>#REF!</v>
      </c>
      <c r="X54" t="e">
        <f>AND('Show Services'!J64,"AAAAAHtP8xc=")</f>
        <v>#VALUE!</v>
      </c>
      <c r="Y54" t="e">
        <f>AND('Show Services'!K64,"AAAAAHtP8xg=")</f>
        <v>#VALUE!</v>
      </c>
      <c r="Z54" t="e">
        <f>AND('Show Services'!L64,"AAAAAHtP8xk=")</f>
        <v>#VALUE!</v>
      </c>
      <c r="AA54" t="e">
        <f>AND('Show Services'!M64,"AAAAAHtP8xo=")</f>
        <v>#VALUE!</v>
      </c>
      <c r="AB54" t="e">
        <f>AND('Show Services'!N64,"AAAAAHtP8xs=")</f>
        <v>#VALUE!</v>
      </c>
      <c r="AC54" t="e">
        <f>AND('Show Services'!O64,"AAAAAHtP8xw=")</f>
        <v>#VALUE!</v>
      </c>
      <c r="AD54" t="e">
        <f>AND('Show Services'!#REF!,"AAAAAHtP8x0=")</f>
        <v>#REF!</v>
      </c>
      <c r="AE54">
        <f>IF('Show Services'!65:65,"AAAAAHtP8x4=",0)</f>
        <v>0</v>
      </c>
      <c r="AF54" t="e">
        <f>AND('Show Services'!A65,"AAAAAHtP8x8=")</f>
        <v>#VALUE!</v>
      </c>
      <c r="AG54" t="e">
        <f>AND('Show Services'!B65,"AAAAAHtP8yA=")</f>
        <v>#VALUE!</v>
      </c>
      <c r="AH54" t="e">
        <f>AND('Show Services'!C65,"AAAAAHtP8yE=")</f>
        <v>#VALUE!</v>
      </c>
      <c r="AI54" t="e">
        <f>AND('Show Services'!#REF!,"AAAAAHtP8yI=")</f>
        <v>#REF!</v>
      </c>
      <c r="AJ54" t="e">
        <f>AND('Show Services'!D65,"AAAAAHtP8yM=")</f>
        <v>#VALUE!</v>
      </c>
      <c r="AK54" t="e">
        <f>AND('Show Services'!E65,"AAAAAHtP8yQ=")</f>
        <v>#VALUE!</v>
      </c>
      <c r="AL54" t="e">
        <f>AND('Show Services'!F65,"AAAAAHtP8yU=")</f>
        <v>#VALUE!</v>
      </c>
      <c r="AM54" t="e">
        <f>AND('Show Services'!G65,"AAAAAHtP8yY=")</f>
        <v>#VALUE!</v>
      </c>
      <c r="AN54" t="e">
        <f>AND('Show Services'!H65,"AAAAAHtP8yc=")</f>
        <v>#VALUE!</v>
      </c>
      <c r="AO54" t="e">
        <f>AND('Show Services'!I65,"AAAAAHtP8yg=")</f>
        <v>#VALUE!</v>
      </c>
      <c r="AP54" t="e">
        <f>AND('Show Services'!#REF!,"AAAAAHtP8yk=")</f>
        <v>#REF!</v>
      </c>
      <c r="AQ54" t="e">
        <f>AND('Show Services'!#REF!,"AAAAAHtP8yo=")</f>
        <v>#REF!</v>
      </c>
      <c r="AR54" t="e">
        <f>AND('Show Services'!#REF!,"AAAAAHtP8ys=")</f>
        <v>#REF!</v>
      </c>
      <c r="AS54" t="e">
        <f>AND('Show Services'!#REF!,"AAAAAHtP8yw=")</f>
        <v>#REF!</v>
      </c>
      <c r="AT54" t="e">
        <f>AND('Show Services'!#REF!,"AAAAAHtP8y0=")</f>
        <v>#REF!</v>
      </c>
      <c r="AU54" t="e">
        <f>AND('Show Services'!J65,"AAAAAHtP8y4=")</f>
        <v>#VALUE!</v>
      </c>
      <c r="AV54" t="e">
        <f>AND('Show Services'!K65,"AAAAAHtP8y8=")</f>
        <v>#VALUE!</v>
      </c>
      <c r="AW54" t="e">
        <f>AND('Show Services'!L65,"AAAAAHtP8zA=")</f>
        <v>#VALUE!</v>
      </c>
      <c r="AX54" t="e">
        <f>AND('Show Services'!M65,"AAAAAHtP8zE=")</f>
        <v>#VALUE!</v>
      </c>
      <c r="AY54" t="e">
        <f>AND('Show Services'!N65,"AAAAAHtP8zI=")</f>
        <v>#VALUE!</v>
      </c>
      <c r="AZ54" t="e">
        <f>AND('Show Services'!O65,"AAAAAHtP8zM=")</f>
        <v>#VALUE!</v>
      </c>
      <c r="BA54" t="e">
        <f>AND('Show Services'!#REF!,"AAAAAHtP8zQ=")</f>
        <v>#REF!</v>
      </c>
      <c r="BB54">
        <f>IF('Show Services'!66:66,"AAAAAHtP8zU=",0)</f>
        <v>0</v>
      </c>
      <c r="BC54" t="e">
        <f>AND('Show Services'!A66,"AAAAAHtP8zY=")</f>
        <v>#VALUE!</v>
      </c>
      <c r="BD54" t="e">
        <f>AND('Show Services'!B66,"AAAAAHtP8zc=")</f>
        <v>#VALUE!</v>
      </c>
      <c r="BE54" t="e">
        <f>AND('Show Services'!C66,"AAAAAHtP8zg=")</f>
        <v>#VALUE!</v>
      </c>
      <c r="BF54" t="e">
        <f>AND('Show Services'!#REF!,"AAAAAHtP8zk=")</f>
        <v>#REF!</v>
      </c>
      <c r="BG54" t="e">
        <f>AND('Show Services'!D66,"AAAAAHtP8zo=")</f>
        <v>#VALUE!</v>
      </c>
      <c r="BH54" t="e">
        <f>AND('Show Services'!E66,"AAAAAHtP8zs=")</f>
        <v>#VALUE!</v>
      </c>
      <c r="BI54" t="e">
        <f>AND('Show Services'!F66,"AAAAAHtP8zw=")</f>
        <v>#VALUE!</v>
      </c>
      <c r="BJ54" t="e">
        <f>AND('Show Services'!G66,"AAAAAHtP8z0=")</f>
        <v>#VALUE!</v>
      </c>
      <c r="BK54" t="e">
        <f>AND('Show Services'!H66,"AAAAAHtP8z4=")</f>
        <v>#VALUE!</v>
      </c>
      <c r="BL54" t="e">
        <f>AND('Show Services'!I66,"AAAAAHtP8z8=")</f>
        <v>#VALUE!</v>
      </c>
      <c r="BM54" t="e">
        <f>AND('Show Services'!#REF!,"AAAAAHtP80A=")</f>
        <v>#REF!</v>
      </c>
      <c r="BN54" t="e">
        <f>AND('Show Services'!#REF!,"AAAAAHtP80E=")</f>
        <v>#REF!</v>
      </c>
      <c r="BO54" t="e">
        <f>AND('Show Services'!#REF!,"AAAAAHtP80I=")</f>
        <v>#REF!</v>
      </c>
      <c r="BP54" t="e">
        <f>AND('Show Services'!#REF!,"AAAAAHtP80M=")</f>
        <v>#REF!</v>
      </c>
      <c r="BQ54" t="e">
        <f>AND('Show Services'!#REF!,"AAAAAHtP80Q=")</f>
        <v>#REF!</v>
      </c>
      <c r="BR54" t="e">
        <f>AND('Show Services'!J66,"AAAAAHtP80U=")</f>
        <v>#VALUE!</v>
      </c>
      <c r="BS54" t="e">
        <f>AND('Show Services'!K66,"AAAAAHtP80Y=")</f>
        <v>#VALUE!</v>
      </c>
      <c r="BT54" t="e">
        <f>AND('Show Services'!L66,"AAAAAHtP80c=")</f>
        <v>#VALUE!</v>
      </c>
      <c r="BU54" t="e">
        <f>AND('Show Services'!M66,"AAAAAHtP80g=")</f>
        <v>#VALUE!</v>
      </c>
      <c r="BV54" t="e">
        <f>AND('Show Services'!N66,"AAAAAHtP80k=")</f>
        <v>#VALUE!</v>
      </c>
      <c r="BW54" t="e">
        <f>AND('Show Services'!O66,"AAAAAHtP80o=")</f>
        <v>#VALUE!</v>
      </c>
      <c r="BX54" t="e">
        <f>AND('Show Services'!#REF!,"AAAAAHtP80s=")</f>
        <v>#REF!</v>
      </c>
      <c r="BY54">
        <f>IF('Show Services'!67:67,"AAAAAHtP80w=",0)</f>
        <v>0</v>
      </c>
      <c r="BZ54" t="e">
        <f>AND('Show Services'!A67,"AAAAAHtP800=")</f>
        <v>#VALUE!</v>
      </c>
      <c r="CA54" t="e">
        <f>AND('Show Services'!B67,"AAAAAHtP804=")</f>
        <v>#VALUE!</v>
      </c>
      <c r="CB54" t="e">
        <f>AND('Show Services'!C67,"AAAAAHtP808=")</f>
        <v>#VALUE!</v>
      </c>
      <c r="CC54" t="e">
        <f>AND('Show Services'!#REF!,"AAAAAHtP81A=")</f>
        <v>#REF!</v>
      </c>
      <c r="CD54" t="e">
        <f>AND('Show Services'!D67,"AAAAAHtP81E=")</f>
        <v>#VALUE!</v>
      </c>
      <c r="CE54" t="e">
        <f>AND('Show Services'!E67,"AAAAAHtP81I=")</f>
        <v>#VALUE!</v>
      </c>
      <c r="CF54" t="e">
        <f>AND('Show Services'!F67,"AAAAAHtP81M=")</f>
        <v>#VALUE!</v>
      </c>
      <c r="CG54" t="e">
        <f>AND('Show Services'!G67,"AAAAAHtP81Q=")</f>
        <v>#VALUE!</v>
      </c>
      <c r="CH54" t="e">
        <f>AND('Show Services'!H67,"AAAAAHtP81U=")</f>
        <v>#VALUE!</v>
      </c>
      <c r="CI54" t="e">
        <f>AND('Show Services'!I67,"AAAAAHtP81Y=")</f>
        <v>#VALUE!</v>
      </c>
      <c r="CJ54" t="e">
        <f>AND('Show Services'!#REF!,"AAAAAHtP81c=")</f>
        <v>#REF!</v>
      </c>
      <c r="CK54" t="e">
        <f>AND('Show Services'!#REF!,"AAAAAHtP81g=")</f>
        <v>#REF!</v>
      </c>
      <c r="CL54" t="e">
        <f>AND('Show Services'!#REF!,"AAAAAHtP81k=")</f>
        <v>#REF!</v>
      </c>
      <c r="CM54" t="e">
        <f>AND('Show Services'!#REF!,"AAAAAHtP81o=")</f>
        <v>#REF!</v>
      </c>
      <c r="CN54" t="e">
        <f>AND('Show Services'!#REF!,"AAAAAHtP81s=")</f>
        <v>#REF!</v>
      </c>
      <c r="CO54" t="e">
        <f>AND('Show Services'!J67,"AAAAAHtP81w=")</f>
        <v>#VALUE!</v>
      </c>
      <c r="CP54" t="e">
        <f>AND('Show Services'!K67,"AAAAAHtP810=")</f>
        <v>#VALUE!</v>
      </c>
      <c r="CQ54" t="e">
        <f>AND('Show Services'!L67,"AAAAAHtP814=")</f>
        <v>#VALUE!</v>
      </c>
      <c r="CR54" t="e">
        <f>AND('Show Services'!M67,"AAAAAHtP818=")</f>
        <v>#VALUE!</v>
      </c>
      <c r="CS54" t="e">
        <f>AND('Show Services'!N67,"AAAAAHtP82A=")</f>
        <v>#VALUE!</v>
      </c>
      <c r="CT54" t="e">
        <f>AND('Show Services'!O67,"AAAAAHtP82E=")</f>
        <v>#VALUE!</v>
      </c>
      <c r="CU54" t="e">
        <f>AND('Show Services'!#REF!,"AAAAAHtP82I=")</f>
        <v>#REF!</v>
      </c>
      <c r="CV54">
        <f>IF('Show Services'!68:68,"AAAAAHtP82M=",0)</f>
        <v>0</v>
      </c>
      <c r="CW54" t="e">
        <f>AND('Show Services'!A68,"AAAAAHtP82Q=")</f>
        <v>#VALUE!</v>
      </c>
      <c r="CX54" t="e">
        <f>AND('Show Services'!B68,"AAAAAHtP82U=")</f>
        <v>#VALUE!</v>
      </c>
      <c r="CY54" t="e">
        <f>AND('Show Services'!C68,"AAAAAHtP82Y=")</f>
        <v>#VALUE!</v>
      </c>
      <c r="CZ54" t="e">
        <f>AND('Show Services'!#REF!,"AAAAAHtP82c=")</f>
        <v>#REF!</v>
      </c>
      <c r="DA54" t="e">
        <f>AND('Show Services'!D68,"AAAAAHtP82g=")</f>
        <v>#VALUE!</v>
      </c>
      <c r="DB54" t="e">
        <f>AND('Show Services'!E68,"AAAAAHtP82k=")</f>
        <v>#VALUE!</v>
      </c>
      <c r="DC54" t="e">
        <f>AND('Show Services'!F68,"AAAAAHtP82o=")</f>
        <v>#VALUE!</v>
      </c>
      <c r="DD54" t="e">
        <f>AND('Show Services'!G68,"AAAAAHtP82s=")</f>
        <v>#VALUE!</v>
      </c>
      <c r="DE54" t="e">
        <f>AND('Show Services'!H68,"AAAAAHtP82w=")</f>
        <v>#VALUE!</v>
      </c>
      <c r="DF54" t="e">
        <f>AND('Show Services'!I68,"AAAAAHtP820=")</f>
        <v>#VALUE!</v>
      </c>
      <c r="DG54" t="e">
        <f>AND('Show Services'!#REF!,"AAAAAHtP824=")</f>
        <v>#REF!</v>
      </c>
      <c r="DH54" t="e">
        <f>AND('Show Services'!#REF!,"AAAAAHtP828=")</f>
        <v>#REF!</v>
      </c>
      <c r="DI54" t="e">
        <f>AND('Show Services'!#REF!,"AAAAAHtP83A=")</f>
        <v>#REF!</v>
      </c>
      <c r="DJ54" t="e">
        <f>AND('Show Services'!#REF!,"AAAAAHtP83E=")</f>
        <v>#REF!</v>
      </c>
      <c r="DK54" t="e">
        <f>AND('Show Services'!#REF!,"AAAAAHtP83I=")</f>
        <v>#REF!</v>
      </c>
      <c r="DL54" t="e">
        <f>AND('Show Services'!J68,"AAAAAHtP83M=")</f>
        <v>#VALUE!</v>
      </c>
      <c r="DM54" t="e">
        <f>AND('Show Services'!K68,"AAAAAHtP83Q=")</f>
        <v>#VALUE!</v>
      </c>
      <c r="DN54" t="e">
        <f>AND('Show Services'!L68,"AAAAAHtP83U=")</f>
        <v>#VALUE!</v>
      </c>
      <c r="DO54" t="e">
        <f>AND('Show Services'!M68,"AAAAAHtP83Y=")</f>
        <v>#VALUE!</v>
      </c>
      <c r="DP54" t="e">
        <f>AND('Show Services'!N68,"AAAAAHtP83c=")</f>
        <v>#VALUE!</v>
      </c>
      <c r="DQ54" t="e">
        <f>AND('Show Services'!O68,"AAAAAHtP83g=")</f>
        <v>#VALUE!</v>
      </c>
      <c r="DR54" t="e">
        <f>AND('Show Services'!#REF!,"AAAAAHtP83k=")</f>
        <v>#REF!</v>
      </c>
      <c r="DS54">
        <f>IF('Show Services'!69:69,"AAAAAHtP83o=",0)</f>
        <v>0</v>
      </c>
      <c r="DT54" t="e">
        <f>AND('Show Services'!A69,"AAAAAHtP83s=")</f>
        <v>#VALUE!</v>
      </c>
      <c r="DU54" t="e">
        <f>AND('Show Services'!B69,"AAAAAHtP83w=")</f>
        <v>#VALUE!</v>
      </c>
      <c r="DV54" t="e">
        <f>AND('Show Services'!C69,"AAAAAHtP830=")</f>
        <v>#VALUE!</v>
      </c>
      <c r="DW54" t="e">
        <f>AND('Show Services'!#REF!,"AAAAAHtP834=")</f>
        <v>#REF!</v>
      </c>
      <c r="DX54" t="e">
        <f>AND('Show Services'!D69,"AAAAAHtP838=")</f>
        <v>#VALUE!</v>
      </c>
      <c r="DY54" t="e">
        <f>AND('Show Services'!E69,"AAAAAHtP84A=")</f>
        <v>#VALUE!</v>
      </c>
      <c r="DZ54" t="e">
        <f>AND('Show Services'!F69,"AAAAAHtP84E=")</f>
        <v>#VALUE!</v>
      </c>
      <c r="EA54" t="e">
        <f>AND('Show Services'!G69,"AAAAAHtP84I=")</f>
        <v>#VALUE!</v>
      </c>
      <c r="EB54" t="e">
        <f>AND('Show Services'!H69,"AAAAAHtP84M=")</f>
        <v>#VALUE!</v>
      </c>
      <c r="EC54" t="e">
        <f>AND('Show Services'!I69,"AAAAAHtP84Q=")</f>
        <v>#VALUE!</v>
      </c>
      <c r="ED54" t="e">
        <f>AND('Show Services'!#REF!,"AAAAAHtP84U=")</f>
        <v>#REF!</v>
      </c>
      <c r="EE54" t="e">
        <f>AND('Show Services'!#REF!,"AAAAAHtP84Y=")</f>
        <v>#REF!</v>
      </c>
      <c r="EF54" t="e">
        <f>AND('Show Services'!#REF!,"AAAAAHtP84c=")</f>
        <v>#REF!</v>
      </c>
      <c r="EG54" t="e">
        <f>AND('Show Services'!#REF!,"AAAAAHtP84g=")</f>
        <v>#REF!</v>
      </c>
      <c r="EH54" t="e">
        <f>AND('Show Services'!#REF!,"AAAAAHtP84k=")</f>
        <v>#REF!</v>
      </c>
      <c r="EI54" t="e">
        <f>AND('Show Services'!J69,"AAAAAHtP84o=")</f>
        <v>#VALUE!</v>
      </c>
      <c r="EJ54" t="e">
        <f>AND('Show Services'!K69,"AAAAAHtP84s=")</f>
        <v>#VALUE!</v>
      </c>
      <c r="EK54" t="e">
        <f>AND('Show Services'!L69,"AAAAAHtP84w=")</f>
        <v>#VALUE!</v>
      </c>
      <c r="EL54" t="e">
        <f>AND('Show Services'!M69,"AAAAAHtP840=")</f>
        <v>#VALUE!</v>
      </c>
      <c r="EM54" t="e">
        <f>AND('Show Services'!N69,"AAAAAHtP844=")</f>
        <v>#VALUE!</v>
      </c>
      <c r="EN54" t="e">
        <f>AND('Show Services'!O69,"AAAAAHtP848=")</f>
        <v>#VALUE!</v>
      </c>
      <c r="EO54" t="e">
        <f>AND('Show Services'!#REF!,"AAAAAHtP85A=")</f>
        <v>#REF!</v>
      </c>
      <c r="EP54">
        <f>IF('Show Services'!70:70,"AAAAAHtP85E=",0)</f>
        <v>0</v>
      </c>
      <c r="EQ54" t="e">
        <f>AND('Show Services'!A70,"AAAAAHtP85I=")</f>
        <v>#VALUE!</v>
      </c>
      <c r="ER54" t="e">
        <f>AND('Show Services'!B70,"AAAAAHtP85M=")</f>
        <v>#VALUE!</v>
      </c>
      <c r="ES54" t="e">
        <f>AND('Show Services'!C70,"AAAAAHtP85Q=")</f>
        <v>#VALUE!</v>
      </c>
      <c r="ET54" t="e">
        <f>AND('Show Services'!#REF!,"AAAAAHtP85U=")</f>
        <v>#REF!</v>
      </c>
      <c r="EU54" t="e">
        <f>AND('Show Services'!D70,"AAAAAHtP85Y=")</f>
        <v>#VALUE!</v>
      </c>
      <c r="EV54" t="e">
        <f>AND('Show Services'!E70,"AAAAAHtP85c=")</f>
        <v>#VALUE!</v>
      </c>
      <c r="EW54" t="e">
        <f>AND('Show Services'!F70,"AAAAAHtP85g=")</f>
        <v>#VALUE!</v>
      </c>
      <c r="EX54" t="e">
        <f>AND('Show Services'!G70,"AAAAAHtP85k=")</f>
        <v>#VALUE!</v>
      </c>
      <c r="EY54" t="e">
        <f>AND('Show Services'!H70,"AAAAAHtP85o=")</f>
        <v>#VALUE!</v>
      </c>
      <c r="EZ54" t="e">
        <f>AND('Show Services'!I70,"AAAAAHtP85s=")</f>
        <v>#VALUE!</v>
      </c>
      <c r="FA54" t="e">
        <f>AND('Show Services'!#REF!,"AAAAAHtP85w=")</f>
        <v>#REF!</v>
      </c>
      <c r="FB54" t="e">
        <f>AND('Show Services'!#REF!,"AAAAAHtP850=")</f>
        <v>#REF!</v>
      </c>
      <c r="FC54" t="e">
        <f>AND('Show Services'!#REF!,"AAAAAHtP854=")</f>
        <v>#REF!</v>
      </c>
      <c r="FD54" t="e">
        <f>AND('Show Services'!#REF!,"AAAAAHtP858=")</f>
        <v>#REF!</v>
      </c>
      <c r="FE54" t="e">
        <f>AND('Show Services'!#REF!,"AAAAAHtP86A=")</f>
        <v>#REF!</v>
      </c>
      <c r="FF54" t="e">
        <f>AND('Show Services'!J70,"AAAAAHtP86E=")</f>
        <v>#VALUE!</v>
      </c>
      <c r="FG54" t="e">
        <f>AND('Show Services'!K70,"AAAAAHtP86I=")</f>
        <v>#VALUE!</v>
      </c>
      <c r="FH54" t="e">
        <f>AND('Show Services'!L70,"AAAAAHtP86M=")</f>
        <v>#VALUE!</v>
      </c>
      <c r="FI54" t="e">
        <f>AND('Show Services'!M70,"AAAAAHtP86Q=")</f>
        <v>#VALUE!</v>
      </c>
      <c r="FJ54" t="e">
        <f>AND('Show Services'!N70,"AAAAAHtP86U=")</f>
        <v>#VALUE!</v>
      </c>
      <c r="FK54" t="e">
        <f>AND('Show Services'!O70,"AAAAAHtP86Y=")</f>
        <v>#VALUE!</v>
      </c>
      <c r="FL54" t="e">
        <f>AND('Show Services'!#REF!,"AAAAAHtP86c=")</f>
        <v>#REF!</v>
      </c>
      <c r="FM54">
        <f>IF('Show Services'!71:71,"AAAAAHtP86g=",0)</f>
        <v>0</v>
      </c>
      <c r="FN54" t="e">
        <f>AND('Show Services'!A71,"AAAAAHtP86k=")</f>
        <v>#VALUE!</v>
      </c>
      <c r="FO54" t="e">
        <f>AND('Show Services'!B71,"AAAAAHtP86o=")</f>
        <v>#VALUE!</v>
      </c>
      <c r="FP54" t="e">
        <f>AND('Show Services'!C71,"AAAAAHtP86s=")</f>
        <v>#VALUE!</v>
      </c>
      <c r="FQ54" t="e">
        <f>AND('Show Services'!#REF!,"AAAAAHtP86w=")</f>
        <v>#REF!</v>
      </c>
      <c r="FR54" t="e">
        <f>AND('Show Services'!D71,"AAAAAHtP860=")</f>
        <v>#VALUE!</v>
      </c>
      <c r="FS54" t="e">
        <f>AND('Show Services'!E71,"AAAAAHtP864=")</f>
        <v>#VALUE!</v>
      </c>
      <c r="FT54" t="e">
        <f>AND('Show Services'!F71,"AAAAAHtP868=")</f>
        <v>#VALUE!</v>
      </c>
      <c r="FU54" t="e">
        <f>AND('Show Services'!G71,"AAAAAHtP87A=")</f>
        <v>#VALUE!</v>
      </c>
      <c r="FV54" t="e">
        <f>AND('Show Services'!H71,"AAAAAHtP87E=")</f>
        <v>#VALUE!</v>
      </c>
      <c r="FW54" t="e">
        <f>AND('Show Services'!I71,"AAAAAHtP87I=")</f>
        <v>#VALUE!</v>
      </c>
      <c r="FX54" t="e">
        <f>AND('Show Services'!#REF!,"AAAAAHtP87M=")</f>
        <v>#REF!</v>
      </c>
      <c r="FY54" t="e">
        <f>AND('Show Services'!#REF!,"AAAAAHtP87Q=")</f>
        <v>#REF!</v>
      </c>
      <c r="FZ54" t="e">
        <f>AND('Show Services'!#REF!,"AAAAAHtP87U=")</f>
        <v>#REF!</v>
      </c>
      <c r="GA54" t="e">
        <f>AND('Show Services'!#REF!,"AAAAAHtP87Y=")</f>
        <v>#REF!</v>
      </c>
      <c r="GB54" t="e">
        <f>AND('Show Services'!#REF!,"AAAAAHtP87c=")</f>
        <v>#REF!</v>
      </c>
      <c r="GC54" t="e">
        <f>AND('Show Services'!J71,"AAAAAHtP87g=")</f>
        <v>#VALUE!</v>
      </c>
      <c r="GD54" t="e">
        <f>AND('Show Services'!K71,"AAAAAHtP87k=")</f>
        <v>#VALUE!</v>
      </c>
      <c r="GE54" t="e">
        <f>AND('Show Services'!L71,"AAAAAHtP87o=")</f>
        <v>#VALUE!</v>
      </c>
      <c r="GF54" t="e">
        <f>AND('Show Services'!M71,"AAAAAHtP87s=")</f>
        <v>#VALUE!</v>
      </c>
      <c r="GG54" t="e">
        <f>AND('Show Services'!N71,"AAAAAHtP87w=")</f>
        <v>#VALUE!</v>
      </c>
      <c r="GH54" t="e">
        <f>AND('Show Services'!O71,"AAAAAHtP870=")</f>
        <v>#VALUE!</v>
      </c>
      <c r="GI54" t="e">
        <f>AND('Show Services'!#REF!,"AAAAAHtP874=")</f>
        <v>#REF!</v>
      </c>
      <c r="GJ54">
        <f>IF('Show Services'!72:72,"AAAAAHtP878=",0)</f>
        <v>0</v>
      </c>
      <c r="GK54" t="e">
        <f>AND('Show Services'!A72,"AAAAAHtP88A=")</f>
        <v>#VALUE!</v>
      </c>
      <c r="GL54" t="e">
        <f>AND('Show Services'!B72,"AAAAAHtP88E=")</f>
        <v>#VALUE!</v>
      </c>
      <c r="GM54" t="e">
        <f>AND('Show Services'!C72,"AAAAAHtP88I=")</f>
        <v>#VALUE!</v>
      </c>
      <c r="GN54" t="e">
        <f>AND('Show Services'!#REF!,"AAAAAHtP88M=")</f>
        <v>#REF!</v>
      </c>
      <c r="GO54" t="e">
        <f>AND('Show Services'!D72,"AAAAAHtP88Q=")</f>
        <v>#VALUE!</v>
      </c>
      <c r="GP54" t="e">
        <f>AND('Show Services'!E72,"AAAAAHtP88U=")</f>
        <v>#VALUE!</v>
      </c>
      <c r="GQ54" t="e">
        <f>AND('Show Services'!F72,"AAAAAHtP88Y=")</f>
        <v>#VALUE!</v>
      </c>
      <c r="GR54" t="e">
        <f>AND('Show Services'!G72,"AAAAAHtP88c=")</f>
        <v>#VALUE!</v>
      </c>
      <c r="GS54" t="e">
        <f>AND('Show Services'!H72,"AAAAAHtP88g=")</f>
        <v>#VALUE!</v>
      </c>
      <c r="GT54" t="e">
        <f>AND('Show Services'!I72,"AAAAAHtP88k=")</f>
        <v>#VALUE!</v>
      </c>
      <c r="GU54" t="e">
        <f>AND('Show Services'!#REF!,"AAAAAHtP88o=")</f>
        <v>#REF!</v>
      </c>
      <c r="GV54" t="e">
        <f>AND('Show Services'!#REF!,"AAAAAHtP88s=")</f>
        <v>#REF!</v>
      </c>
      <c r="GW54" t="e">
        <f>AND('Show Services'!#REF!,"AAAAAHtP88w=")</f>
        <v>#REF!</v>
      </c>
      <c r="GX54" t="e">
        <f>AND('Show Services'!#REF!,"AAAAAHtP880=")</f>
        <v>#REF!</v>
      </c>
      <c r="GY54" t="e">
        <f>AND('Show Services'!#REF!,"AAAAAHtP884=")</f>
        <v>#REF!</v>
      </c>
      <c r="GZ54" t="e">
        <f>AND('Show Services'!J72,"AAAAAHtP888=")</f>
        <v>#VALUE!</v>
      </c>
      <c r="HA54" t="e">
        <f>AND('Show Services'!K72,"AAAAAHtP89A=")</f>
        <v>#VALUE!</v>
      </c>
      <c r="HB54" t="e">
        <f>AND('Show Services'!L72,"AAAAAHtP89E=")</f>
        <v>#VALUE!</v>
      </c>
      <c r="HC54" t="e">
        <f>AND('Show Services'!M72,"AAAAAHtP89I=")</f>
        <v>#VALUE!</v>
      </c>
      <c r="HD54" t="e">
        <f>AND('Show Services'!N72,"AAAAAHtP89M=")</f>
        <v>#VALUE!</v>
      </c>
      <c r="HE54" t="e">
        <f>AND('Show Services'!O72,"AAAAAHtP89Q=")</f>
        <v>#VALUE!</v>
      </c>
      <c r="HF54" t="e">
        <f>AND('Show Services'!#REF!,"AAAAAHtP89U=")</f>
        <v>#REF!</v>
      </c>
      <c r="HG54">
        <f>IF('Show Services'!73:73,"AAAAAHtP89Y=",0)</f>
        <v>0</v>
      </c>
      <c r="HH54" t="e">
        <f>AND('Show Services'!A73,"AAAAAHtP89c=")</f>
        <v>#VALUE!</v>
      </c>
      <c r="HI54" t="e">
        <f>AND('Show Services'!B73,"AAAAAHtP89g=")</f>
        <v>#VALUE!</v>
      </c>
      <c r="HJ54" t="e">
        <f>AND('Show Services'!C73,"AAAAAHtP89k=")</f>
        <v>#VALUE!</v>
      </c>
      <c r="HK54" t="e">
        <f>AND('Show Services'!#REF!,"AAAAAHtP89o=")</f>
        <v>#REF!</v>
      </c>
      <c r="HL54" t="e">
        <f>AND('Show Services'!D73,"AAAAAHtP89s=")</f>
        <v>#VALUE!</v>
      </c>
      <c r="HM54" t="e">
        <f>AND('Show Services'!E73,"AAAAAHtP89w=")</f>
        <v>#VALUE!</v>
      </c>
      <c r="HN54" t="e">
        <f>AND('Show Services'!F73,"AAAAAHtP890=")</f>
        <v>#VALUE!</v>
      </c>
      <c r="HO54" t="e">
        <f>AND('Show Services'!G73,"AAAAAHtP894=")</f>
        <v>#VALUE!</v>
      </c>
      <c r="HP54" t="e">
        <f>AND('Show Services'!H73,"AAAAAHtP898=")</f>
        <v>#VALUE!</v>
      </c>
      <c r="HQ54" t="e">
        <f>AND('Show Services'!I73,"AAAAAHtP8+A=")</f>
        <v>#VALUE!</v>
      </c>
      <c r="HR54" t="e">
        <f>AND('Show Services'!#REF!,"AAAAAHtP8+E=")</f>
        <v>#REF!</v>
      </c>
      <c r="HS54" t="e">
        <f>AND('Show Services'!#REF!,"AAAAAHtP8+I=")</f>
        <v>#REF!</v>
      </c>
      <c r="HT54" t="e">
        <f>AND('Show Services'!#REF!,"AAAAAHtP8+M=")</f>
        <v>#REF!</v>
      </c>
      <c r="HU54" t="e">
        <f>AND('Show Services'!#REF!,"AAAAAHtP8+Q=")</f>
        <v>#REF!</v>
      </c>
      <c r="HV54" t="e">
        <f>AND('Show Services'!#REF!,"AAAAAHtP8+U=")</f>
        <v>#REF!</v>
      </c>
      <c r="HW54" t="e">
        <f>AND('Show Services'!J73,"AAAAAHtP8+Y=")</f>
        <v>#VALUE!</v>
      </c>
      <c r="HX54" t="e">
        <f>AND('Show Services'!K73,"AAAAAHtP8+c=")</f>
        <v>#VALUE!</v>
      </c>
      <c r="HY54" t="e">
        <f>AND('Show Services'!L73,"AAAAAHtP8+g=")</f>
        <v>#VALUE!</v>
      </c>
      <c r="HZ54" t="e">
        <f>AND('Show Services'!M73,"AAAAAHtP8+k=")</f>
        <v>#VALUE!</v>
      </c>
      <c r="IA54" t="e">
        <f>AND('Show Services'!N73,"AAAAAHtP8+o=")</f>
        <v>#VALUE!</v>
      </c>
      <c r="IB54" t="e">
        <f>AND('Show Services'!O73,"AAAAAHtP8+s=")</f>
        <v>#VALUE!</v>
      </c>
      <c r="IC54" t="e">
        <f>AND('Show Services'!#REF!,"AAAAAHtP8+w=")</f>
        <v>#REF!</v>
      </c>
      <c r="ID54">
        <f>IF('Show Services'!74:74,"AAAAAHtP8+0=",0)</f>
        <v>0</v>
      </c>
      <c r="IE54" t="e">
        <f>AND('Show Services'!A74,"AAAAAHtP8+4=")</f>
        <v>#VALUE!</v>
      </c>
      <c r="IF54" t="e">
        <f>AND('Show Services'!B74,"AAAAAHtP8+8=")</f>
        <v>#VALUE!</v>
      </c>
      <c r="IG54" t="e">
        <f>AND('Show Services'!C74,"AAAAAHtP8/A=")</f>
        <v>#VALUE!</v>
      </c>
      <c r="IH54" t="e">
        <f>AND('Show Services'!#REF!,"AAAAAHtP8/E=")</f>
        <v>#REF!</v>
      </c>
      <c r="II54" t="e">
        <f>AND('Show Services'!D74,"AAAAAHtP8/I=")</f>
        <v>#VALUE!</v>
      </c>
      <c r="IJ54" t="e">
        <f>AND('Show Services'!E74,"AAAAAHtP8/M=")</f>
        <v>#VALUE!</v>
      </c>
      <c r="IK54" t="e">
        <f>AND('Show Services'!F74,"AAAAAHtP8/Q=")</f>
        <v>#VALUE!</v>
      </c>
      <c r="IL54" t="e">
        <f>AND('Show Services'!G74,"AAAAAHtP8/U=")</f>
        <v>#VALUE!</v>
      </c>
      <c r="IM54" t="e">
        <f>AND('Show Services'!H74,"AAAAAHtP8/Y=")</f>
        <v>#VALUE!</v>
      </c>
      <c r="IN54" t="e">
        <f>AND('Show Services'!I74,"AAAAAHtP8/c=")</f>
        <v>#VALUE!</v>
      </c>
      <c r="IO54" t="e">
        <f>AND('Show Services'!#REF!,"AAAAAHtP8/g=")</f>
        <v>#REF!</v>
      </c>
      <c r="IP54" t="e">
        <f>AND('Show Services'!#REF!,"AAAAAHtP8/k=")</f>
        <v>#REF!</v>
      </c>
      <c r="IQ54" t="e">
        <f>AND('Show Services'!#REF!,"AAAAAHtP8/o=")</f>
        <v>#REF!</v>
      </c>
      <c r="IR54" t="e">
        <f>AND('Show Services'!#REF!,"AAAAAHtP8/s=")</f>
        <v>#REF!</v>
      </c>
      <c r="IS54" t="e">
        <f>AND('Show Services'!#REF!,"AAAAAHtP8/w=")</f>
        <v>#REF!</v>
      </c>
      <c r="IT54" t="e">
        <f>AND('Show Services'!J74,"AAAAAHtP8/0=")</f>
        <v>#VALUE!</v>
      </c>
      <c r="IU54" t="e">
        <f>AND('Show Services'!K74,"AAAAAHtP8/4=")</f>
        <v>#VALUE!</v>
      </c>
      <c r="IV54" t="e">
        <f>AND('Show Services'!L74,"AAAAAHtP8/8=")</f>
        <v>#VALUE!</v>
      </c>
    </row>
    <row r="55" spans="1:256" x14ac:dyDescent="0.2">
      <c r="A55" t="e">
        <f>AND('Show Services'!M74,"AAAAAFO6OwA=")</f>
        <v>#VALUE!</v>
      </c>
      <c r="B55" t="e">
        <f>AND('Show Services'!N74,"AAAAAFO6OwE=")</f>
        <v>#VALUE!</v>
      </c>
      <c r="C55" t="e">
        <f>AND('Show Services'!O74,"AAAAAFO6OwI=")</f>
        <v>#VALUE!</v>
      </c>
      <c r="D55" t="e">
        <f>AND('Show Services'!#REF!,"AAAAAFO6OwM=")</f>
        <v>#REF!</v>
      </c>
      <c r="E55">
        <f>IF('Show Services'!75:75,"AAAAAFO6OwQ=",0)</f>
        <v>0</v>
      </c>
      <c r="F55" t="e">
        <f>AND('Show Services'!A75,"AAAAAFO6OwU=")</f>
        <v>#VALUE!</v>
      </c>
      <c r="G55" t="e">
        <f>AND('Show Services'!B75,"AAAAAFO6OwY=")</f>
        <v>#VALUE!</v>
      </c>
      <c r="H55" t="e">
        <f>AND('Show Services'!C75,"AAAAAFO6Owc=")</f>
        <v>#VALUE!</v>
      </c>
      <c r="I55" t="e">
        <f>AND('Show Services'!#REF!,"AAAAAFO6Owg=")</f>
        <v>#REF!</v>
      </c>
      <c r="J55" t="e">
        <f>AND('Show Services'!D75,"AAAAAFO6Owk=")</f>
        <v>#VALUE!</v>
      </c>
      <c r="K55" t="e">
        <f>AND('Show Services'!E75,"AAAAAFO6Owo=")</f>
        <v>#VALUE!</v>
      </c>
      <c r="L55" t="e">
        <f>AND('Show Services'!F75,"AAAAAFO6Ows=")</f>
        <v>#VALUE!</v>
      </c>
      <c r="M55" t="e">
        <f>AND('Show Services'!G75,"AAAAAFO6Oww=")</f>
        <v>#VALUE!</v>
      </c>
      <c r="N55" t="e">
        <f>AND('Show Services'!H75,"AAAAAFO6Ow0=")</f>
        <v>#VALUE!</v>
      </c>
      <c r="O55" t="e">
        <f>AND('Show Services'!I75,"AAAAAFO6Ow4=")</f>
        <v>#VALUE!</v>
      </c>
      <c r="P55" t="e">
        <f>AND('Show Services'!#REF!,"AAAAAFO6Ow8=")</f>
        <v>#REF!</v>
      </c>
      <c r="Q55" t="e">
        <f>AND('Show Services'!#REF!,"AAAAAFO6OxA=")</f>
        <v>#REF!</v>
      </c>
      <c r="R55" t="e">
        <f>AND('Show Services'!#REF!,"AAAAAFO6OxE=")</f>
        <v>#REF!</v>
      </c>
      <c r="S55" t="e">
        <f>AND('Show Services'!#REF!,"AAAAAFO6OxI=")</f>
        <v>#REF!</v>
      </c>
      <c r="T55" t="e">
        <f>AND('Show Services'!#REF!,"AAAAAFO6OxM=")</f>
        <v>#REF!</v>
      </c>
      <c r="U55" t="e">
        <f>AND('Show Services'!J75,"AAAAAFO6OxQ=")</f>
        <v>#VALUE!</v>
      </c>
      <c r="V55" t="e">
        <f>AND('Show Services'!K75,"AAAAAFO6OxU=")</f>
        <v>#VALUE!</v>
      </c>
      <c r="W55" t="e">
        <f>AND('Show Services'!L75,"AAAAAFO6OxY=")</f>
        <v>#VALUE!</v>
      </c>
      <c r="X55" t="e">
        <f>AND('Show Services'!M75,"AAAAAFO6Oxc=")</f>
        <v>#VALUE!</v>
      </c>
      <c r="Y55" t="e">
        <f>AND('Show Services'!N75,"AAAAAFO6Oxg=")</f>
        <v>#VALUE!</v>
      </c>
      <c r="Z55" t="e">
        <f>AND('Show Services'!O75,"AAAAAFO6Oxk=")</f>
        <v>#VALUE!</v>
      </c>
      <c r="AA55" t="e">
        <f>AND('Show Services'!#REF!,"AAAAAFO6Oxo=")</f>
        <v>#REF!</v>
      </c>
      <c r="AB55">
        <f>IF('Show Services'!76:76,"AAAAAFO6Oxs=",0)</f>
        <v>0</v>
      </c>
      <c r="AC55" t="e">
        <f>AND('Show Services'!A76,"AAAAAFO6Oxw=")</f>
        <v>#VALUE!</v>
      </c>
      <c r="AD55" t="e">
        <f>AND('Show Services'!B76,"AAAAAFO6Ox0=")</f>
        <v>#VALUE!</v>
      </c>
      <c r="AE55" t="e">
        <f>AND('Show Services'!C76,"AAAAAFO6Ox4=")</f>
        <v>#VALUE!</v>
      </c>
      <c r="AF55" t="e">
        <f>AND('Show Services'!#REF!,"AAAAAFO6Ox8=")</f>
        <v>#REF!</v>
      </c>
      <c r="AG55" t="e">
        <f>AND('Show Services'!D76,"AAAAAFO6OyA=")</f>
        <v>#VALUE!</v>
      </c>
      <c r="AH55" t="e">
        <f>AND('Show Services'!E76,"AAAAAFO6OyE=")</f>
        <v>#VALUE!</v>
      </c>
      <c r="AI55" t="e">
        <f>AND('Show Services'!F76,"AAAAAFO6OyI=")</f>
        <v>#VALUE!</v>
      </c>
      <c r="AJ55" t="e">
        <f>AND('Show Services'!G76,"AAAAAFO6OyM=")</f>
        <v>#VALUE!</v>
      </c>
      <c r="AK55" t="e">
        <f>AND('Show Services'!H76,"AAAAAFO6OyQ=")</f>
        <v>#VALUE!</v>
      </c>
      <c r="AL55" t="e">
        <f>AND('Show Services'!I76,"AAAAAFO6OyU=")</f>
        <v>#VALUE!</v>
      </c>
      <c r="AM55" t="e">
        <f>AND('Show Services'!#REF!,"AAAAAFO6OyY=")</f>
        <v>#REF!</v>
      </c>
      <c r="AN55" t="e">
        <f>AND('Show Services'!#REF!,"AAAAAFO6Oyc=")</f>
        <v>#REF!</v>
      </c>
      <c r="AO55" t="e">
        <f>AND('Show Services'!#REF!,"AAAAAFO6Oyg=")</f>
        <v>#REF!</v>
      </c>
      <c r="AP55" t="e">
        <f>AND('Show Services'!#REF!,"AAAAAFO6Oyk=")</f>
        <v>#REF!</v>
      </c>
      <c r="AQ55" t="e">
        <f>AND('Show Services'!#REF!,"AAAAAFO6Oyo=")</f>
        <v>#REF!</v>
      </c>
      <c r="AR55" t="e">
        <f>AND('Show Services'!J76,"AAAAAFO6Oys=")</f>
        <v>#VALUE!</v>
      </c>
      <c r="AS55" t="e">
        <f>AND('Show Services'!K76,"AAAAAFO6Oyw=")</f>
        <v>#VALUE!</v>
      </c>
      <c r="AT55" t="e">
        <f>AND('Show Services'!L76,"AAAAAFO6Oy0=")</f>
        <v>#VALUE!</v>
      </c>
      <c r="AU55" t="e">
        <f>AND('Show Services'!M76,"AAAAAFO6Oy4=")</f>
        <v>#VALUE!</v>
      </c>
      <c r="AV55" t="e">
        <f>AND('Show Services'!N76,"AAAAAFO6Oy8=")</f>
        <v>#VALUE!</v>
      </c>
      <c r="AW55" t="e">
        <f>AND('Show Services'!O76,"AAAAAFO6OzA=")</f>
        <v>#VALUE!</v>
      </c>
      <c r="AX55" t="e">
        <f>AND('Show Services'!#REF!,"AAAAAFO6OzE=")</f>
        <v>#REF!</v>
      </c>
      <c r="AY55">
        <f>IF('Show Services'!77:77,"AAAAAFO6OzI=",0)</f>
        <v>0</v>
      </c>
      <c r="AZ55" t="e">
        <f>AND('Show Services'!A77,"AAAAAFO6OzM=")</f>
        <v>#VALUE!</v>
      </c>
      <c r="BA55" t="e">
        <f>AND('Show Services'!B77,"AAAAAFO6OzQ=")</f>
        <v>#VALUE!</v>
      </c>
      <c r="BB55" t="e">
        <f>AND('Show Services'!C77,"AAAAAFO6OzU=")</f>
        <v>#VALUE!</v>
      </c>
      <c r="BC55" t="e">
        <f>AND('Show Services'!#REF!,"AAAAAFO6OzY=")</f>
        <v>#REF!</v>
      </c>
      <c r="BD55" t="e">
        <f>AND('Show Services'!D77,"AAAAAFO6Ozc=")</f>
        <v>#VALUE!</v>
      </c>
      <c r="BE55" t="e">
        <f>AND('Show Services'!E77,"AAAAAFO6Ozg=")</f>
        <v>#VALUE!</v>
      </c>
      <c r="BF55" t="e">
        <f>AND('Show Services'!F77,"AAAAAFO6Ozk=")</f>
        <v>#VALUE!</v>
      </c>
      <c r="BG55" t="e">
        <f>AND('Show Services'!G77,"AAAAAFO6Ozo=")</f>
        <v>#VALUE!</v>
      </c>
      <c r="BH55" t="e">
        <f>AND('Show Services'!H77,"AAAAAFO6Ozs=")</f>
        <v>#VALUE!</v>
      </c>
      <c r="BI55" t="e">
        <f>AND('Show Services'!I77,"AAAAAFO6Ozw=")</f>
        <v>#VALUE!</v>
      </c>
      <c r="BJ55" t="e">
        <f>AND('Show Services'!#REF!,"AAAAAFO6Oz0=")</f>
        <v>#REF!</v>
      </c>
      <c r="BK55" t="e">
        <f>AND('Show Services'!#REF!,"AAAAAFO6Oz4=")</f>
        <v>#REF!</v>
      </c>
      <c r="BL55" t="e">
        <f>AND('Show Services'!#REF!,"AAAAAFO6Oz8=")</f>
        <v>#REF!</v>
      </c>
      <c r="BM55" t="e">
        <f>AND('Show Services'!#REF!,"AAAAAFO6O0A=")</f>
        <v>#REF!</v>
      </c>
      <c r="BN55" t="e">
        <f>AND('Show Services'!#REF!,"AAAAAFO6O0E=")</f>
        <v>#REF!</v>
      </c>
      <c r="BO55" t="e">
        <f>AND('Show Services'!J77,"AAAAAFO6O0I=")</f>
        <v>#VALUE!</v>
      </c>
      <c r="BP55" t="e">
        <f>AND('Show Services'!K77,"AAAAAFO6O0M=")</f>
        <v>#VALUE!</v>
      </c>
      <c r="BQ55" t="e">
        <f>AND('Show Services'!L77,"AAAAAFO6O0Q=")</f>
        <v>#VALUE!</v>
      </c>
      <c r="BR55" t="e">
        <f>AND('Show Services'!M77,"AAAAAFO6O0U=")</f>
        <v>#VALUE!</v>
      </c>
      <c r="BS55" t="e">
        <f>AND('Show Services'!N77,"AAAAAFO6O0Y=")</f>
        <v>#VALUE!</v>
      </c>
      <c r="BT55" t="e">
        <f>AND('Show Services'!O77,"AAAAAFO6O0c=")</f>
        <v>#VALUE!</v>
      </c>
      <c r="BU55" t="e">
        <f>AND('Show Services'!#REF!,"AAAAAFO6O0g=")</f>
        <v>#REF!</v>
      </c>
      <c r="BV55">
        <f>IF('Show Services'!78:78,"AAAAAFO6O0k=",0)</f>
        <v>0</v>
      </c>
      <c r="BW55" t="e">
        <f>AND('Show Services'!A78,"AAAAAFO6O0o=")</f>
        <v>#VALUE!</v>
      </c>
      <c r="BX55" t="e">
        <f>AND('Show Services'!B78,"AAAAAFO6O0s=")</f>
        <v>#VALUE!</v>
      </c>
      <c r="BY55" t="e">
        <f>AND('Show Services'!C78,"AAAAAFO6O0w=")</f>
        <v>#VALUE!</v>
      </c>
      <c r="BZ55" t="e">
        <f>AND('Show Services'!#REF!,"AAAAAFO6O00=")</f>
        <v>#REF!</v>
      </c>
      <c r="CA55" t="e">
        <f>AND('Show Services'!D78,"AAAAAFO6O04=")</f>
        <v>#VALUE!</v>
      </c>
      <c r="CB55" t="e">
        <f>AND('Show Services'!E78,"AAAAAFO6O08=")</f>
        <v>#VALUE!</v>
      </c>
      <c r="CC55" t="e">
        <f>AND('Show Services'!F78,"AAAAAFO6O1A=")</f>
        <v>#VALUE!</v>
      </c>
      <c r="CD55" t="e">
        <f>AND('Show Services'!G78,"AAAAAFO6O1E=")</f>
        <v>#VALUE!</v>
      </c>
      <c r="CE55" t="e">
        <f>AND('Show Services'!H78,"AAAAAFO6O1I=")</f>
        <v>#VALUE!</v>
      </c>
      <c r="CF55" t="e">
        <f>AND('Show Services'!I78,"AAAAAFO6O1M=")</f>
        <v>#VALUE!</v>
      </c>
      <c r="CG55" t="e">
        <f>AND('Show Services'!#REF!,"AAAAAFO6O1Q=")</f>
        <v>#REF!</v>
      </c>
      <c r="CH55" t="e">
        <f>AND('Show Services'!#REF!,"AAAAAFO6O1U=")</f>
        <v>#REF!</v>
      </c>
      <c r="CI55" t="e">
        <f>AND('Show Services'!#REF!,"AAAAAFO6O1Y=")</f>
        <v>#REF!</v>
      </c>
      <c r="CJ55" t="e">
        <f>AND('Show Services'!#REF!,"AAAAAFO6O1c=")</f>
        <v>#REF!</v>
      </c>
      <c r="CK55" t="e">
        <f>AND('Show Services'!#REF!,"AAAAAFO6O1g=")</f>
        <v>#REF!</v>
      </c>
      <c r="CL55" t="e">
        <f>AND('Show Services'!J78,"AAAAAFO6O1k=")</f>
        <v>#VALUE!</v>
      </c>
      <c r="CM55" t="e">
        <f>AND('Show Services'!K78,"AAAAAFO6O1o=")</f>
        <v>#VALUE!</v>
      </c>
      <c r="CN55" t="e">
        <f>AND('Show Services'!L78,"AAAAAFO6O1s=")</f>
        <v>#VALUE!</v>
      </c>
      <c r="CO55" t="e">
        <f>AND('Show Services'!M78,"AAAAAFO6O1w=")</f>
        <v>#VALUE!</v>
      </c>
      <c r="CP55" t="e">
        <f>AND('Show Services'!N78,"AAAAAFO6O10=")</f>
        <v>#VALUE!</v>
      </c>
      <c r="CQ55" t="e">
        <f>AND('Show Services'!O78,"AAAAAFO6O14=")</f>
        <v>#VALUE!</v>
      </c>
      <c r="CR55" t="e">
        <f>AND('Show Services'!#REF!,"AAAAAFO6O18=")</f>
        <v>#REF!</v>
      </c>
      <c r="CS55">
        <f>IF('Show Services'!79:79,"AAAAAFO6O2A=",0)</f>
        <v>0</v>
      </c>
      <c r="CT55" t="e">
        <f>AND('Show Services'!A79,"AAAAAFO6O2E=")</f>
        <v>#VALUE!</v>
      </c>
      <c r="CU55" t="e">
        <f>AND('Show Services'!B79,"AAAAAFO6O2I=")</f>
        <v>#VALUE!</v>
      </c>
      <c r="CV55" t="e">
        <f>AND('Show Services'!C79,"AAAAAFO6O2M=")</f>
        <v>#VALUE!</v>
      </c>
      <c r="CW55" t="e">
        <f>AND('Show Services'!#REF!,"AAAAAFO6O2Q=")</f>
        <v>#REF!</v>
      </c>
      <c r="CX55" t="e">
        <f>AND('Show Services'!D79,"AAAAAFO6O2U=")</f>
        <v>#VALUE!</v>
      </c>
      <c r="CY55" t="e">
        <f>AND('Show Services'!E79,"AAAAAFO6O2Y=")</f>
        <v>#VALUE!</v>
      </c>
      <c r="CZ55" t="e">
        <f>AND('Show Services'!F79,"AAAAAFO6O2c=")</f>
        <v>#VALUE!</v>
      </c>
      <c r="DA55" t="e">
        <f>AND('Show Services'!G79,"AAAAAFO6O2g=")</f>
        <v>#VALUE!</v>
      </c>
      <c r="DB55" t="e">
        <f>AND('Show Services'!H79,"AAAAAFO6O2k=")</f>
        <v>#VALUE!</v>
      </c>
      <c r="DC55" t="e">
        <f>AND('Show Services'!I79,"AAAAAFO6O2o=")</f>
        <v>#VALUE!</v>
      </c>
      <c r="DD55" t="e">
        <f>AND('Show Services'!#REF!,"AAAAAFO6O2s=")</f>
        <v>#REF!</v>
      </c>
      <c r="DE55" t="e">
        <f>AND('Show Services'!#REF!,"AAAAAFO6O2w=")</f>
        <v>#REF!</v>
      </c>
      <c r="DF55" t="e">
        <f>AND('Show Services'!#REF!,"AAAAAFO6O20=")</f>
        <v>#REF!</v>
      </c>
      <c r="DG55" t="e">
        <f>AND('Show Services'!#REF!,"AAAAAFO6O24=")</f>
        <v>#REF!</v>
      </c>
      <c r="DH55" t="e">
        <f>AND('Show Services'!#REF!,"AAAAAFO6O28=")</f>
        <v>#REF!</v>
      </c>
      <c r="DI55" t="e">
        <f>AND('Show Services'!J79,"AAAAAFO6O3A=")</f>
        <v>#VALUE!</v>
      </c>
      <c r="DJ55" t="e">
        <f>AND('Show Services'!K79,"AAAAAFO6O3E=")</f>
        <v>#VALUE!</v>
      </c>
      <c r="DK55" t="e">
        <f>AND('Show Services'!L79,"AAAAAFO6O3I=")</f>
        <v>#VALUE!</v>
      </c>
      <c r="DL55" t="e">
        <f>AND('Show Services'!M79,"AAAAAFO6O3M=")</f>
        <v>#VALUE!</v>
      </c>
      <c r="DM55" t="e">
        <f>AND('Show Services'!N79,"AAAAAFO6O3Q=")</f>
        <v>#VALUE!</v>
      </c>
      <c r="DN55" t="e">
        <f>AND('Show Services'!O79,"AAAAAFO6O3U=")</f>
        <v>#VALUE!</v>
      </c>
      <c r="DO55" t="e">
        <f>AND('Show Services'!#REF!,"AAAAAFO6O3Y=")</f>
        <v>#REF!</v>
      </c>
      <c r="DP55">
        <f>IF('Show Services'!80:80,"AAAAAFO6O3c=",0)</f>
        <v>0</v>
      </c>
      <c r="DQ55" t="e">
        <f>AND('Show Services'!A80,"AAAAAFO6O3g=")</f>
        <v>#VALUE!</v>
      </c>
      <c r="DR55" t="e">
        <f>AND('Show Services'!B80,"AAAAAFO6O3k=")</f>
        <v>#VALUE!</v>
      </c>
      <c r="DS55" t="e">
        <f>AND('Show Services'!C80,"AAAAAFO6O3o=")</f>
        <v>#VALUE!</v>
      </c>
      <c r="DT55" t="e">
        <f>AND('Show Services'!#REF!,"AAAAAFO6O3s=")</f>
        <v>#REF!</v>
      </c>
      <c r="DU55" t="e">
        <f>AND('Show Services'!D80,"AAAAAFO6O3w=")</f>
        <v>#VALUE!</v>
      </c>
      <c r="DV55" t="e">
        <f>AND('Show Services'!E80,"AAAAAFO6O30=")</f>
        <v>#VALUE!</v>
      </c>
      <c r="DW55" t="e">
        <f>AND('Show Services'!F80,"AAAAAFO6O34=")</f>
        <v>#VALUE!</v>
      </c>
      <c r="DX55" t="e">
        <f>AND('Show Services'!G80,"AAAAAFO6O38=")</f>
        <v>#VALUE!</v>
      </c>
      <c r="DY55" t="e">
        <f>AND('Show Services'!H80,"AAAAAFO6O4A=")</f>
        <v>#VALUE!</v>
      </c>
      <c r="DZ55" t="e">
        <f>AND('Show Services'!I80,"AAAAAFO6O4E=")</f>
        <v>#VALUE!</v>
      </c>
      <c r="EA55" t="e">
        <f>AND('Show Services'!#REF!,"AAAAAFO6O4I=")</f>
        <v>#REF!</v>
      </c>
      <c r="EB55" t="e">
        <f>AND('Show Services'!#REF!,"AAAAAFO6O4M=")</f>
        <v>#REF!</v>
      </c>
      <c r="EC55" t="e">
        <f>AND('Show Services'!#REF!,"AAAAAFO6O4Q=")</f>
        <v>#REF!</v>
      </c>
      <c r="ED55" t="e">
        <f>AND('Show Services'!#REF!,"AAAAAFO6O4U=")</f>
        <v>#REF!</v>
      </c>
      <c r="EE55" t="e">
        <f>AND('Show Services'!#REF!,"AAAAAFO6O4Y=")</f>
        <v>#REF!</v>
      </c>
      <c r="EF55" t="e">
        <f>AND('Show Services'!J80,"AAAAAFO6O4c=")</f>
        <v>#VALUE!</v>
      </c>
      <c r="EG55" t="e">
        <f>AND('Show Services'!K80,"AAAAAFO6O4g=")</f>
        <v>#VALUE!</v>
      </c>
      <c r="EH55" t="e">
        <f>AND('Show Services'!L80,"AAAAAFO6O4k=")</f>
        <v>#VALUE!</v>
      </c>
      <c r="EI55" t="e">
        <f>AND('Show Services'!M80,"AAAAAFO6O4o=")</f>
        <v>#VALUE!</v>
      </c>
      <c r="EJ55" t="e">
        <f>AND('Show Services'!N80,"AAAAAFO6O4s=")</f>
        <v>#VALUE!</v>
      </c>
      <c r="EK55" t="e">
        <f>AND('Show Services'!O80,"AAAAAFO6O4w=")</f>
        <v>#VALUE!</v>
      </c>
      <c r="EL55" t="e">
        <f>AND('Show Services'!#REF!,"AAAAAFO6O40=")</f>
        <v>#REF!</v>
      </c>
      <c r="EM55">
        <f>IF('Show Services'!81:81,"AAAAAFO6O44=",0)</f>
        <v>0</v>
      </c>
      <c r="EN55" t="e">
        <f>AND('Show Services'!A81,"AAAAAFO6O48=")</f>
        <v>#VALUE!</v>
      </c>
      <c r="EO55" t="e">
        <f>AND('Show Services'!B81,"AAAAAFO6O5A=")</f>
        <v>#VALUE!</v>
      </c>
      <c r="EP55" t="e">
        <f>AND('Show Services'!C81,"AAAAAFO6O5E=")</f>
        <v>#VALUE!</v>
      </c>
      <c r="EQ55" t="e">
        <f>AND('Show Services'!#REF!,"AAAAAFO6O5I=")</f>
        <v>#REF!</v>
      </c>
      <c r="ER55" t="e">
        <f>AND('Show Services'!D81,"AAAAAFO6O5M=")</f>
        <v>#VALUE!</v>
      </c>
      <c r="ES55" t="e">
        <f>AND('Show Services'!E81,"AAAAAFO6O5Q=")</f>
        <v>#VALUE!</v>
      </c>
      <c r="ET55" t="e">
        <f>AND('Show Services'!F81,"AAAAAFO6O5U=")</f>
        <v>#VALUE!</v>
      </c>
      <c r="EU55" t="e">
        <f>AND('Show Services'!G81,"AAAAAFO6O5Y=")</f>
        <v>#VALUE!</v>
      </c>
      <c r="EV55" t="e">
        <f>AND('Show Services'!H81,"AAAAAFO6O5c=")</f>
        <v>#VALUE!</v>
      </c>
      <c r="EW55" t="e">
        <f>AND('Show Services'!I81,"AAAAAFO6O5g=")</f>
        <v>#VALUE!</v>
      </c>
      <c r="EX55" t="e">
        <f>AND('Show Services'!#REF!,"AAAAAFO6O5k=")</f>
        <v>#REF!</v>
      </c>
      <c r="EY55" t="e">
        <f>AND('Show Services'!#REF!,"AAAAAFO6O5o=")</f>
        <v>#REF!</v>
      </c>
      <c r="EZ55" t="e">
        <f>AND('Show Services'!#REF!,"AAAAAFO6O5s=")</f>
        <v>#REF!</v>
      </c>
      <c r="FA55" t="e">
        <f>AND('Show Services'!#REF!,"AAAAAFO6O5w=")</f>
        <v>#REF!</v>
      </c>
      <c r="FB55" t="e">
        <f>AND('Show Services'!#REF!,"AAAAAFO6O50=")</f>
        <v>#REF!</v>
      </c>
      <c r="FC55" t="e">
        <f>AND('Show Services'!J81,"AAAAAFO6O54=")</f>
        <v>#VALUE!</v>
      </c>
      <c r="FD55" t="e">
        <f>AND('Show Services'!K81,"AAAAAFO6O58=")</f>
        <v>#VALUE!</v>
      </c>
      <c r="FE55" t="e">
        <f>AND('Show Services'!L81,"AAAAAFO6O6A=")</f>
        <v>#VALUE!</v>
      </c>
      <c r="FF55" t="e">
        <f>AND('Show Services'!M81,"AAAAAFO6O6E=")</f>
        <v>#VALUE!</v>
      </c>
      <c r="FG55" t="e">
        <f>AND('Show Services'!N81,"AAAAAFO6O6I=")</f>
        <v>#VALUE!</v>
      </c>
      <c r="FH55" t="e">
        <f>AND('Show Services'!O81,"AAAAAFO6O6M=")</f>
        <v>#VALUE!</v>
      </c>
      <c r="FI55" t="e">
        <f>AND('Show Services'!#REF!,"AAAAAFO6O6Q=")</f>
        <v>#REF!</v>
      </c>
      <c r="FJ55">
        <f>IF('Show Services'!82:82,"AAAAAFO6O6U=",0)</f>
        <v>0</v>
      </c>
      <c r="FK55" t="e">
        <f>AND('Show Services'!A82,"AAAAAFO6O6Y=")</f>
        <v>#VALUE!</v>
      </c>
      <c r="FL55" t="e">
        <f>AND('Show Services'!B82,"AAAAAFO6O6c=")</f>
        <v>#VALUE!</v>
      </c>
      <c r="FM55" t="e">
        <f>AND('Show Services'!C82,"AAAAAFO6O6g=")</f>
        <v>#VALUE!</v>
      </c>
      <c r="FN55" t="e">
        <f>AND('Show Services'!#REF!,"AAAAAFO6O6k=")</f>
        <v>#REF!</v>
      </c>
      <c r="FO55" t="e">
        <f>AND('Show Services'!D82,"AAAAAFO6O6o=")</f>
        <v>#VALUE!</v>
      </c>
      <c r="FP55" t="e">
        <f>AND('Show Services'!E82,"AAAAAFO6O6s=")</f>
        <v>#VALUE!</v>
      </c>
      <c r="FQ55" t="e">
        <f>AND('Show Services'!F82,"AAAAAFO6O6w=")</f>
        <v>#VALUE!</v>
      </c>
      <c r="FR55" t="e">
        <f>AND('Show Services'!G82,"AAAAAFO6O60=")</f>
        <v>#VALUE!</v>
      </c>
      <c r="FS55" t="e">
        <f>AND('Show Services'!H82,"AAAAAFO6O64=")</f>
        <v>#VALUE!</v>
      </c>
      <c r="FT55" t="e">
        <f>AND('Show Services'!I82,"AAAAAFO6O68=")</f>
        <v>#VALUE!</v>
      </c>
      <c r="FU55" t="e">
        <f>AND('Show Services'!#REF!,"AAAAAFO6O7A=")</f>
        <v>#REF!</v>
      </c>
      <c r="FV55" t="e">
        <f>AND('Show Services'!#REF!,"AAAAAFO6O7E=")</f>
        <v>#REF!</v>
      </c>
      <c r="FW55" t="e">
        <f>AND('Show Services'!#REF!,"AAAAAFO6O7I=")</f>
        <v>#REF!</v>
      </c>
      <c r="FX55" t="e">
        <f>AND('Show Services'!#REF!,"AAAAAFO6O7M=")</f>
        <v>#REF!</v>
      </c>
      <c r="FY55" t="e">
        <f>AND('Show Services'!#REF!,"AAAAAFO6O7Q=")</f>
        <v>#REF!</v>
      </c>
      <c r="FZ55" t="e">
        <f>AND('Show Services'!J82,"AAAAAFO6O7U=")</f>
        <v>#VALUE!</v>
      </c>
      <c r="GA55" t="e">
        <f>AND('Show Services'!K82,"AAAAAFO6O7Y=")</f>
        <v>#VALUE!</v>
      </c>
      <c r="GB55" t="e">
        <f>AND('Show Services'!L82,"AAAAAFO6O7c=")</f>
        <v>#VALUE!</v>
      </c>
      <c r="GC55" t="e">
        <f>AND('Show Services'!M82,"AAAAAFO6O7g=")</f>
        <v>#VALUE!</v>
      </c>
      <c r="GD55" t="e">
        <f>AND('Show Services'!N82,"AAAAAFO6O7k=")</f>
        <v>#VALUE!</v>
      </c>
      <c r="GE55" t="e">
        <f>AND('Show Services'!O82,"AAAAAFO6O7o=")</f>
        <v>#VALUE!</v>
      </c>
      <c r="GF55" t="e">
        <f>AND('Show Services'!#REF!,"AAAAAFO6O7s=")</f>
        <v>#REF!</v>
      </c>
      <c r="GG55">
        <f>IF('Show Services'!83:83,"AAAAAFO6O7w=",0)</f>
        <v>0</v>
      </c>
      <c r="GH55" t="e">
        <f>AND('Show Services'!A83,"AAAAAFO6O70=")</f>
        <v>#VALUE!</v>
      </c>
      <c r="GI55" t="e">
        <f>AND('Show Services'!B83,"AAAAAFO6O74=")</f>
        <v>#VALUE!</v>
      </c>
      <c r="GJ55" t="e">
        <f>AND('Show Services'!C83,"AAAAAFO6O78=")</f>
        <v>#VALUE!</v>
      </c>
      <c r="GK55" t="e">
        <f>AND('Show Services'!#REF!,"AAAAAFO6O8A=")</f>
        <v>#REF!</v>
      </c>
      <c r="GL55" t="e">
        <f>AND('Show Services'!D83,"AAAAAFO6O8E=")</f>
        <v>#VALUE!</v>
      </c>
      <c r="GM55" t="e">
        <f>AND('Show Services'!E83,"AAAAAFO6O8I=")</f>
        <v>#VALUE!</v>
      </c>
      <c r="GN55" t="e">
        <f>AND('Show Services'!F83,"AAAAAFO6O8M=")</f>
        <v>#VALUE!</v>
      </c>
      <c r="GO55" t="e">
        <f>AND('Show Services'!G83,"AAAAAFO6O8Q=")</f>
        <v>#VALUE!</v>
      </c>
      <c r="GP55" t="e">
        <f>AND('Show Services'!H83,"AAAAAFO6O8U=")</f>
        <v>#VALUE!</v>
      </c>
      <c r="GQ55" t="e">
        <f>AND('Show Services'!I83,"AAAAAFO6O8Y=")</f>
        <v>#VALUE!</v>
      </c>
      <c r="GR55" t="e">
        <f>AND('Show Services'!#REF!,"AAAAAFO6O8c=")</f>
        <v>#REF!</v>
      </c>
      <c r="GS55" t="e">
        <f>AND('Show Services'!#REF!,"AAAAAFO6O8g=")</f>
        <v>#REF!</v>
      </c>
      <c r="GT55" t="e">
        <f>AND('Show Services'!#REF!,"AAAAAFO6O8k=")</f>
        <v>#REF!</v>
      </c>
      <c r="GU55" t="e">
        <f>AND('Show Services'!#REF!,"AAAAAFO6O8o=")</f>
        <v>#REF!</v>
      </c>
      <c r="GV55" t="e">
        <f>AND('Show Services'!#REF!,"AAAAAFO6O8s=")</f>
        <v>#REF!</v>
      </c>
      <c r="GW55" t="e">
        <f>AND('Show Services'!J83,"AAAAAFO6O8w=")</f>
        <v>#VALUE!</v>
      </c>
      <c r="GX55" t="e">
        <f>AND('Show Services'!K83,"AAAAAFO6O80=")</f>
        <v>#VALUE!</v>
      </c>
      <c r="GY55" t="e">
        <f>AND('Show Services'!L83,"AAAAAFO6O84=")</f>
        <v>#VALUE!</v>
      </c>
      <c r="GZ55" t="e">
        <f>AND('Show Services'!M83,"AAAAAFO6O88=")</f>
        <v>#VALUE!</v>
      </c>
      <c r="HA55" t="e">
        <f>AND('Show Services'!N83,"AAAAAFO6O9A=")</f>
        <v>#VALUE!</v>
      </c>
      <c r="HB55" t="e">
        <f>AND('Show Services'!O83,"AAAAAFO6O9E=")</f>
        <v>#VALUE!</v>
      </c>
      <c r="HC55" t="e">
        <f>AND('Show Services'!#REF!,"AAAAAFO6O9I=")</f>
        <v>#REF!</v>
      </c>
      <c r="HD55">
        <f>IF('Show Services'!84:84,"AAAAAFO6O9M=",0)</f>
        <v>0</v>
      </c>
      <c r="HE55" t="e">
        <f>AND('Show Services'!A84,"AAAAAFO6O9Q=")</f>
        <v>#VALUE!</v>
      </c>
      <c r="HF55" t="e">
        <f>AND('Show Services'!B84,"AAAAAFO6O9U=")</f>
        <v>#VALUE!</v>
      </c>
      <c r="HG55" t="e">
        <f>AND('Show Services'!C84,"AAAAAFO6O9Y=")</f>
        <v>#VALUE!</v>
      </c>
      <c r="HH55" t="e">
        <f>AND('Show Services'!#REF!,"AAAAAFO6O9c=")</f>
        <v>#REF!</v>
      </c>
      <c r="HI55" t="e">
        <f>AND('Show Services'!D84,"AAAAAFO6O9g=")</f>
        <v>#VALUE!</v>
      </c>
      <c r="HJ55" t="e">
        <f>AND('Show Services'!E84,"AAAAAFO6O9k=")</f>
        <v>#VALUE!</v>
      </c>
      <c r="HK55" t="e">
        <f>AND('Show Services'!F84,"AAAAAFO6O9o=")</f>
        <v>#VALUE!</v>
      </c>
      <c r="HL55" t="e">
        <f>AND('Show Services'!G84,"AAAAAFO6O9s=")</f>
        <v>#VALUE!</v>
      </c>
      <c r="HM55" t="e">
        <f>AND('Show Services'!H84,"AAAAAFO6O9w=")</f>
        <v>#VALUE!</v>
      </c>
      <c r="HN55" t="e">
        <f>AND('Show Services'!I84,"AAAAAFO6O90=")</f>
        <v>#VALUE!</v>
      </c>
      <c r="HO55" t="e">
        <f>AND('Show Services'!#REF!,"AAAAAFO6O94=")</f>
        <v>#REF!</v>
      </c>
      <c r="HP55" t="e">
        <f>AND('Show Services'!#REF!,"AAAAAFO6O98=")</f>
        <v>#REF!</v>
      </c>
      <c r="HQ55" t="e">
        <f>AND('Show Services'!#REF!,"AAAAAFO6O+A=")</f>
        <v>#REF!</v>
      </c>
      <c r="HR55" t="e">
        <f>AND('Show Services'!#REF!,"AAAAAFO6O+E=")</f>
        <v>#REF!</v>
      </c>
      <c r="HS55" t="e">
        <f>AND('Show Services'!#REF!,"AAAAAFO6O+I=")</f>
        <v>#REF!</v>
      </c>
      <c r="HT55" t="e">
        <f>AND('Show Services'!J84,"AAAAAFO6O+M=")</f>
        <v>#VALUE!</v>
      </c>
      <c r="HU55" t="e">
        <f>AND('Show Services'!K84,"AAAAAFO6O+Q=")</f>
        <v>#VALUE!</v>
      </c>
      <c r="HV55" t="e">
        <f>AND('Show Services'!L84,"AAAAAFO6O+U=")</f>
        <v>#VALUE!</v>
      </c>
      <c r="HW55" t="e">
        <f>AND('Show Services'!M84,"AAAAAFO6O+Y=")</f>
        <v>#VALUE!</v>
      </c>
      <c r="HX55" t="e">
        <f>AND('Show Services'!N84,"AAAAAFO6O+c=")</f>
        <v>#VALUE!</v>
      </c>
      <c r="HY55" t="e">
        <f>AND('Show Services'!O84,"AAAAAFO6O+g=")</f>
        <v>#VALUE!</v>
      </c>
      <c r="HZ55" t="e">
        <f>AND('Show Services'!#REF!,"AAAAAFO6O+k=")</f>
        <v>#REF!</v>
      </c>
      <c r="IA55">
        <f>IF('Show Services'!85:85,"AAAAAFO6O+o=",0)</f>
        <v>0</v>
      </c>
      <c r="IB55" t="e">
        <f>AND('Show Services'!A85,"AAAAAFO6O+s=")</f>
        <v>#VALUE!</v>
      </c>
      <c r="IC55" t="e">
        <f>AND('Show Services'!B85,"AAAAAFO6O+w=")</f>
        <v>#VALUE!</v>
      </c>
      <c r="ID55" t="e">
        <f>AND('Show Services'!C85,"AAAAAFO6O+0=")</f>
        <v>#VALUE!</v>
      </c>
      <c r="IE55" t="e">
        <f>AND('Show Services'!#REF!,"AAAAAFO6O+4=")</f>
        <v>#REF!</v>
      </c>
      <c r="IF55" t="e">
        <f>AND('Show Services'!D85,"AAAAAFO6O+8=")</f>
        <v>#VALUE!</v>
      </c>
      <c r="IG55" t="e">
        <f>AND('Show Services'!E85,"AAAAAFO6O/A=")</f>
        <v>#VALUE!</v>
      </c>
      <c r="IH55" t="e">
        <f>AND('Show Services'!F85,"AAAAAFO6O/E=")</f>
        <v>#VALUE!</v>
      </c>
      <c r="II55" t="e">
        <f>AND('Show Services'!G85,"AAAAAFO6O/I=")</f>
        <v>#VALUE!</v>
      </c>
      <c r="IJ55" t="e">
        <f>AND('Show Services'!H85,"AAAAAFO6O/M=")</f>
        <v>#VALUE!</v>
      </c>
      <c r="IK55" t="e">
        <f>AND('Show Services'!I85,"AAAAAFO6O/Q=")</f>
        <v>#VALUE!</v>
      </c>
      <c r="IL55" t="e">
        <f>AND('Show Services'!#REF!,"AAAAAFO6O/U=")</f>
        <v>#REF!</v>
      </c>
      <c r="IM55" t="e">
        <f>AND('Show Services'!#REF!,"AAAAAFO6O/Y=")</f>
        <v>#REF!</v>
      </c>
      <c r="IN55" t="e">
        <f>AND('Show Services'!#REF!,"AAAAAFO6O/c=")</f>
        <v>#REF!</v>
      </c>
      <c r="IO55" t="e">
        <f>AND('Show Services'!#REF!,"AAAAAFO6O/g=")</f>
        <v>#REF!</v>
      </c>
      <c r="IP55" t="e">
        <f>AND('Show Services'!#REF!,"AAAAAFO6O/k=")</f>
        <v>#REF!</v>
      </c>
      <c r="IQ55" t="e">
        <f>AND('Show Services'!J85,"AAAAAFO6O/o=")</f>
        <v>#VALUE!</v>
      </c>
      <c r="IR55" t="e">
        <f>AND('Show Services'!K85,"AAAAAFO6O/s=")</f>
        <v>#VALUE!</v>
      </c>
      <c r="IS55" t="e">
        <f>AND('Show Services'!L85,"AAAAAFO6O/w=")</f>
        <v>#VALUE!</v>
      </c>
      <c r="IT55" t="e">
        <f>AND('Show Services'!M85,"AAAAAFO6O/0=")</f>
        <v>#VALUE!</v>
      </c>
      <c r="IU55" t="e">
        <f>AND('Show Services'!N85,"AAAAAFO6O/4=")</f>
        <v>#VALUE!</v>
      </c>
      <c r="IV55" t="e">
        <f>AND('Show Services'!O85,"AAAAAFO6O/8=")</f>
        <v>#VALUE!</v>
      </c>
    </row>
    <row r="56" spans="1:256" x14ac:dyDescent="0.2">
      <c r="A56" t="e">
        <f>AND('Show Services'!#REF!,"AAAAAH1/tgA=")</f>
        <v>#REF!</v>
      </c>
      <c r="B56">
        <f>IF('Show Services'!86:86,"AAAAAH1/tgE=",0)</f>
        <v>0</v>
      </c>
      <c r="C56" t="e">
        <f>AND('Show Services'!A86,"AAAAAH1/tgI=")</f>
        <v>#VALUE!</v>
      </c>
      <c r="D56" t="e">
        <f>AND('Show Services'!B86,"AAAAAH1/tgM=")</f>
        <v>#VALUE!</v>
      </c>
      <c r="E56" t="e">
        <f>AND('Show Services'!C86,"AAAAAH1/tgQ=")</f>
        <v>#VALUE!</v>
      </c>
      <c r="F56" t="e">
        <f>AND('Show Services'!#REF!,"AAAAAH1/tgU=")</f>
        <v>#REF!</v>
      </c>
      <c r="G56" t="e">
        <f>AND('Show Services'!D86,"AAAAAH1/tgY=")</f>
        <v>#VALUE!</v>
      </c>
      <c r="H56" t="e">
        <f>AND('Show Services'!E86,"AAAAAH1/tgc=")</f>
        <v>#VALUE!</v>
      </c>
      <c r="I56" t="e">
        <f>AND('Show Services'!F86,"AAAAAH1/tgg=")</f>
        <v>#VALUE!</v>
      </c>
      <c r="J56" t="e">
        <f>AND('Show Services'!G86,"AAAAAH1/tgk=")</f>
        <v>#VALUE!</v>
      </c>
      <c r="K56" t="e">
        <f>AND('Show Services'!H86,"AAAAAH1/tgo=")</f>
        <v>#VALUE!</v>
      </c>
      <c r="L56" t="e">
        <f>AND('Show Services'!I86,"AAAAAH1/tgs=")</f>
        <v>#VALUE!</v>
      </c>
      <c r="M56" t="e">
        <f>AND('Show Services'!#REF!,"AAAAAH1/tgw=")</f>
        <v>#REF!</v>
      </c>
      <c r="N56" t="e">
        <f>AND('Show Services'!#REF!,"AAAAAH1/tg0=")</f>
        <v>#REF!</v>
      </c>
      <c r="O56" t="e">
        <f>AND('Show Services'!#REF!,"AAAAAH1/tg4=")</f>
        <v>#REF!</v>
      </c>
      <c r="P56" t="e">
        <f>AND('Show Services'!#REF!,"AAAAAH1/tg8=")</f>
        <v>#REF!</v>
      </c>
      <c r="Q56" t="e">
        <f>AND('Show Services'!#REF!,"AAAAAH1/thA=")</f>
        <v>#REF!</v>
      </c>
      <c r="R56" t="e">
        <f>AND('Show Services'!J86,"AAAAAH1/thE=")</f>
        <v>#VALUE!</v>
      </c>
      <c r="S56" t="e">
        <f>AND('Show Services'!K86,"AAAAAH1/thI=")</f>
        <v>#VALUE!</v>
      </c>
      <c r="T56" t="e">
        <f>AND('Show Services'!L86,"AAAAAH1/thM=")</f>
        <v>#VALUE!</v>
      </c>
      <c r="U56" t="e">
        <f>AND('Show Services'!M86,"AAAAAH1/thQ=")</f>
        <v>#VALUE!</v>
      </c>
      <c r="V56" t="e">
        <f>AND('Show Services'!N86,"AAAAAH1/thU=")</f>
        <v>#VALUE!</v>
      </c>
      <c r="W56" t="e">
        <f>AND('Show Services'!O86,"AAAAAH1/thY=")</f>
        <v>#VALUE!</v>
      </c>
      <c r="X56" t="e">
        <f>AND('Show Services'!#REF!,"AAAAAH1/thc=")</f>
        <v>#REF!</v>
      </c>
      <c r="Y56">
        <f>IF('Show Services'!87:87,"AAAAAH1/thg=",0)</f>
        <v>0</v>
      </c>
      <c r="Z56" t="e">
        <f>AND('Show Services'!A87,"AAAAAH1/thk=")</f>
        <v>#VALUE!</v>
      </c>
      <c r="AA56" t="e">
        <f>AND('Show Services'!B87,"AAAAAH1/tho=")</f>
        <v>#VALUE!</v>
      </c>
      <c r="AB56" t="e">
        <f>AND('Show Services'!C87,"AAAAAH1/ths=")</f>
        <v>#VALUE!</v>
      </c>
      <c r="AC56" t="e">
        <f>AND('Show Services'!#REF!,"AAAAAH1/thw=")</f>
        <v>#REF!</v>
      </c>
      <c r="AD56" t="e">
        <f>AND('Show Services'!D87,"AAAAAH1/th0=")</f>
        <v>#VALUE!</v>
      </c>
      <c r="AE56" t="e">
        <f>AND('Show Services'!E87,"AAAAAH1/th4=")</f>
        <v>#VALUE!</v>
      </c>
      <c r="AF56" t="e">
        <f>AND('Show Services'!F87,"AAAAAH1/th8=")</f>
        <v>#VALUE!</v>
      </c>
      <c r="AG56" t="e">
        <f>AND('Show Services'!G87,"AAAAAH1/tiA=")</f>
        <v>#VALUE!</v>
      </c>
      <c r="AH56" t="e">
        <f>AND('Show Services'!H87,"AAAAAH1/tiE=")</f>
        <v>#VALUE!</v>
      </c>
      <c r="AI56" t="e">
        <f>AND('Show Services'!I87,"AAAAAH1/tiI=")</f>
        <v>#VALUE!</v>
      </c>
      <c r="AJ56" t="e">
        <f>AND('Show Services'!#REF!,"AAAAAH1/tiM=")</f>
        <v>#REF!</v>
      </c>
      <c r="AK56" t="e">
        <f>AND('Show Services'!#REF!,"AAAAAH1/tiQ=")</f>
        <v>#REF!</v>
      </c>
      <c r="AL56" t="e">
        <f>AND('Show Services'!#REF!,"AAAAAH1/tiU=")</f>
        <v>#REF!</v>
      </c>
      <c r="AM56" t="e">
        <f>AND('Show Services'!#REF!,"AAAAAH1/tiY=")</f>
        <v>#REF!</v>
      </c>
      <c r="AN56" t="e">
        <f>AND('Show Services'!#REF!,"AAAAAH1/tic=")</f>
        <v>#REF!</v>
      </c>
      <c r="AO56" t="e">
        <f>AND('Show Services'!J87,"AAAAAH1/tig=")</f>
        <v>#VALUE!</v>
      </c>
      <c r="AP56" t="e">
        <f>AND('Show Services'!K87,"AAAAAH1/tik=")</f>
        <v>#VALUE!</v>
      </c>
      <c r="AQ56" t="e">
        <f>AND('Show Services'!L87,"AAAAAH1/tio=")</f>
        <v>#VALUE!</v>
      </c>
      <c r="AR56" t="e">
        <f>AND('Show Services'!M87,"AAAAAH1/tis=")</f>
        <v>#VALUE!</v>
      </c>
      <c r="AS56" t="e">
        <f>AND('Show Services'!N87,"AAAAAH1/tiw=")</f>
        <v>#VALUE!</v>
      </c>
      <c r="AT56" t="e">
        <f>AND('Show Services'!O87,"AAAAAH1/ti0=")</f>
        <v>#VALUE!</v>
      </c>
      <c r="AU56" t="e">
        <f>AND('Show Services'!#REF!,"AAAAAH1/ti4=")</f>
        <v>#REF!</v>
      </c>
      <c r="AV56">
        <f>IF('Show Services'!88:88,"AAAAAH1/ti8=",0)</f>
        <v>0</v>
      </c>
      <c r="AW56" t="e">
        <f>AND('Show Services'!A88,"AAAAAH1/tjA=")</f>
        <v>#VALUE!</v>
      </c>
      <c r="AX56" t="e">
        <f>AND('Show Services'!B88,"AAAAAH1/tjE=")</f>
        <v>#VALUE!</v>
      </c>
      <c r="AY56" t="e">
        <f>AND('Show Services'!C88,"AAAAAH1/tjI=")</f>
        <v>#VALUE!</v>
      </c>
      <c r="AZ56" t="e">
        <f>AND('Show Services'!#REF!,"AAAAAH1/tjM=")</f>
        <v>#REF!</v>
      </c>
      <c r="BA56" t="e">
        <f>AND('Show Services'!D88,"AAAAAH1/tjQ=")</f>
        <v>#VALUE!</v>
      </c>
      <c r="BB56" t="e">
        <f>AND('Show Services'!E88,"AAAAAH1/tjU=")</f>
        <v>#VALUE!</v>
      </c>
      <c r="BC56" t="e">
        <f>AND('Show Services'!F88,"AAAAAH1/tjY=")</f>
        <v>#VALUE!</v>
      </c>
      <c r="BD56" t="e">
        <f>AND('Show Services'!G88,"AAAAAH1/tjc=")</f>
        <v>#VALUE!</v>
      </c>
      <c r="BE56" t="e">
        <f>AND('Show Services'!H88,"AAAAAH1/tjg=")</f>
        <v>#VALUE!</v>
      </c>
      <c r="BF56" t="e">
        <f>AND('Show Services'!I88,"AAAAAH1/tjk=")</f>
        <v>#VALUE!</v>
      </c>
      <c r="BG56" t="e">
        <f>AND('Show Services'!#REF!,"AAAAAH1/tjo=")</f>
        <v>#REF!</v>
      </c>
      <c r="BH56" t="e">
        <f>AND('Show Services'!#REF!,"AAAAAH1/tjs=")</f>
        <v>#REF!</v>
      </c>
      <c r="BI56" t="e">
        <f>AND('Show Services'!#REF!,"AAAAAH1/tjw=")</f>
        <v>#REF!</v>
      </c>
      <c r="BJ56" t="e">
        <f>AND('Show Services'!#REF!,"AAAAAH1/tj0=")</f>
        <v>#REF!</v>
      </c>
      <c r="BK56" t="e">
        <f>AND('Show Services'!#REF!,"AAAAAH1/tj4=")</f>
        <v>#REF!</v>
      </c>
      <c r="BL56" t="e">
        <f>AND('Show Services'!J88,"AAAAAH1/tj8=")</f>
        <v>#VALUE!</v>
      </c>
      <c r="BM56" t="e">
        <f>AND('Show Services'!K88,"AAAAAH1/tkA=")</f>
        <v>#VALUE!</v>
      </c>
      <c r="BN56" t="e">
        <f>AND('Show Services'!L88,"AAAAAH1/tkE=")</f>
        <v>#VALUE!</v>
      </c>
      <c r="BO56" t="e">
        <f>AND('Show Services'!M88,"AAAAAH1/tkI=")</f>
        <v>#VALUE!</v>
      </c>
      <c r="BP56" t="e">
        <f>AND('Show Services'!N88,"AAAAAH1/tkM=")</f>
        <v>#VALUE!</v>
      </c>
      <c r="BQ56" t="e">
        <f>AND('Show Services'!O88,"AAAAAH1/tkQ=")</f>
        <v>#VALUE!</v>
      </c>
      <c r="BR56" t="e">
        <f>AND('Show Services'!#REF!,"AAAAAH1/tkU=")</f>
        <v>#REF!</v>
      </c>
      <c r="BS56">
        <f>IF('Show Services'!89:89,"AAAAAH1/tkY=",0)</f>
        <v>0</v>
      </c>
      <c r="BT56" t="e">
        <f>AND('Show Services'!A89,"AAAAAH1/tkc=")</f>
        <v>#VALUE!</v>
      </c>
      <c r="BU56" t="e">
        <f>AND('Show Services'!B89,"AAAAAH1/tkg=")</f>
        <v>#VALUE!</v>
      </c>
      <c r="BV56" t="e">
        <f>AND('Show Services'!C89,"AAAAAH1/tkk=")</f>
        <v>#VALUE!</v>
      </c>
      <c r="BW56" t="e">
        <f>AND('Show Services'!#REF!,"AAAAAH1/tko=")</f>
        <v>#REF!</v>
      </c>
      <c r="BX56" t="e">
        <f>AND('Show Services'!D89,"AAAAAH1/tks=")</f>
        <v>#VALUE!</v>
      </c>
      <c r="BY56" t="e">
        <f>AND('Show Services'!E89,"AAAAAH1/tkw=")</f>
        <v>#VALUE!</v>
      </c>
      <c r="BZ56" t="e">
        <f>AND('Show Services'!F89,"AAAAAH1/tk0=")</f>
        <v>#VALUE!</v>
      </c>
      <c r="CA56" t="e">
        <f>AND('Show Services'!G89,"AAAAAH1/tk4=")</f>
        <v>#VALUE!</v>
      </c>
      <c r="CB56" t="e">
        <f>AND('Show Services'!H89,"AAAAAH1/tk8=")</f>
        <v>#VALUE!</v>
      </c>
      <c r="CC56" t="e">
        <f>AND('Show Services'!I89,"AAAAAH1/tlA=")</f>
        <v>#VALUE!</v>
      </c>
      <c r="CD56" t="e">
        <f>AND('Show Services'!#REF!,"AAAAAH1/tlE=")</f>
        <v>#REF!</v>
      </c>
      <c r="CE56" t="e">
        <f>AND('Show Services'!#REF!,"AAAAAH1/tlI=")</f>
        <v>#REF!</v>
      </c>
      <c r="CF56" t="e">
        <f>AND('Show Services'!#REF!,"AAAAAH1/tlM=")</f>
        <v>#REF!</v>
      </c>
      <c r="CG56" t="e">
        <f>AND('Show Services'!#REF!,"AAAAAH1/tlQ=")</f>
        <v>#REF!</v>
      </c>
      <c r="CH56" t="e">
        <f>AND('Show Services'!#REF!,"AAAAAH1/tlU=")</f>
        <v>#REF!</v>
      </c>
      <c r="CI56" t="e">
        <f>AND('Show Services'!J89,"AAAAAH1/tlY=")</f>
        <v>#VALUE!</v>
      </c>
      <c r="CJ56" t="e">
        <f>AND('Show Services'!K89,"AAAAAH1/tlc=")</f>
        <v>#VALUE!</v>
      </c>
      <c r="CK56" t="e">
        <f>AND('Show Services'!L89,"AAAAAH1/tlg=")</f>
        <v>#VALUE!</v>
      </c>
      <c r="CL56" t="e">
        <f>AND('Show Services'!M89,"AAAAAH1/tlk=")</f>
        <v>#VALUE!</v>
      </c>
      <c r="CM56" t="e">
        <f>AND('Show Services'!N89,"AAAAAH1/tlo=")</f>
        <v>#VALUE!</v>
      </c>
      <c r="CN56" t="e">
        <f>AND('Show Services'!O89,"AAAAAH1/tls=")</f>
        <v>#VALUE!</v>
      </c>
      <c r="CO56" t="e">
        <f>AND('Show Services'!#REF!,"AAAAAH1/tlw=")</f>
        <v>#REF!</v>
      </c>
      <c r="CP56">
        <f>IF('Show Services'!90:90,"AAAAAH1/tl0=",0)</f>
        <v>0</v>
      </c>
      <c r="CQ56" t="e">
        <f>AND('Show Services'!A90,"AAAAAH1/tl4=")</f>
        <v>#VALUE!</v>
      </c>
      <c r="CR56" t="e">
        <f>AND('Show Services'!B90,"AAAAAH1/tl8=")</f>
        <v>#VALUE!</v>
      </c>
      <c r="CS56" t="e">
        <f>AND('Show Services'!C90,"AAAAAH1/tmA=")</f>
        <v>#VALUE!</v>
      </c>
      <c r="CT56" t="e">
        <f>AND('Show Services'!#REF!,"AAAAAH1/tmE=")</f>
        <v>#REF!</v>
      </c>
      <c r="CU56" t="e">
        <f>AND('Show Services'!D90,"AAAAAH1/tmI=")</f>
        <v>#VALUE!</v>
      </c>
      <c r="CV56" t="e">
        <f>AND('Show Services'!E90,"AAAAAH1/tmM=")</f>
        <v>#VALUE!</v>
      </c>
      <c r="CW56" t="e">
        <f>AND('Show Services'!F90,"AAAAAH1/tmQ=")</f>
        <v>#VALUE!</v>
      </c>
      <c r="CX56" t="e">
        <f>AND('Show Services'!G90,"AAAAAH1/tmU=")</f>
        <v>#VALUE!</v>
      </c>
      <c r="CY56" t="e">
        <f>AND('Show Services'!H90,"AAAAAH1/tmY=")</f>
        <v>#VALUE!</v>
      </c>
      <c r="CZ56" t="e">
        <f>AND('Show Services'!I90,"AAAAAH1/tmc=")</f>
        <v>#VALUE!</v>
      </c>
      <c r="DA56" t="e">
        <f>AND('Show Services'!#REF!,"AAAAAH1/tmg=")</f>
        <v>#REF!</v>
      </c>
      <c r="DB56" t="e">
        <f>AND('Show Services'!#REF!,"AAAAAH1/tmk=")</f>
        <v>#REF!</v>
      </c>
      <c r="DC56" t="e">
        <f>AND('Show Services'!#REF!,"AAAAAH1/tmo=")</f>
        <v>#REF!</v>
      </c>
      <c r="DD56" t="e">
        <f>AND('Show Services'!#REF!,"AAAAAH1/tms=")</f>
        <v>#REF!</v>
      </c>
      <c r="DE56" t="e">
        <f>AND('Show Services'!#REF!,"AAAAAH1/tmw=")</f>
        <v>#REF!</v>
      </c>
      <c r="DF56" t="e">
        <f>AND('Show Services'!J90,"AAAAAH1/tm0=")</f>
        <v>#VALUE!</v>
      </c>
      <c r="DG56" t="e">
        <f>AND('Show Services'!K90,"AAAAAH1/tm4=")</f>
        <v>#VALUE!</v>
      </c>
      <c r="DH56" t="e">
        <f>AND('Show Services'!L90,"AAAAAH1/tm8=")</f>
        <v>#VALUE!</v>
      </c>
      <c r="DI56" t="e">
        <f>AND('Show Services'!M90,"AAAAAH1/tnA=")</f>
        <v>#VALUE!</v>
      </c>
      <c r="DJ56" t="e">
        <f>AND('Show Services'!N90,"AAAAAH1/tnE=")</f>
        <v>#VALUE!</v>
      </c>
      <c r="DK56" t="e">
        <f>AND('Show Services'!O90,"AAAAAH1/tnI=")</f>
        <v>#VALUE!</v>
      </c>
      <c r="DL56" t="e">
        <f>AND('Show Services'!#REF!,"AAAAAH1/tnM=")</f>
        <v>#REF!</v>
      </c>
      <c r="DM56">
        <f>IF('Show Services'!91:91,"AAAAAH1/tnQ=",0)</f>
        <v>0</v>
      </c>
      <c r="DN56" t="e">
        <f>AND('Show Services'!A91,"AAAAAH1/tnU=")</f>
        <v>#VALUE!</v>
      </c>
      <c r="DO56" t="e">
        <f>AND('Show Services'!B91,"AAAAAH1/tnY=")</f>
        <v>#VALUE!</v>
      </c>
      <c r="DP56" t="e">
        <f>AND('Show Services'!C91,"AAAAAH1/tnc=")</f>
        <v>#VALUE!</v>
      </c>
      <c r="DQ56" t="e">
        <f>AND('Show Services'!#REF!,"AAAAAH1/tng=")</f>
        <v>#REF!</v>
      </c>
      <c r="DR56" t="e">
        <f>AND('Show Services'!D91,"AAAAAH1/tnk=")</f>
        <v>#VALUE!</v>
      </c>
      <c r="DS56" t="e">
        <f>AND('Show Services'!E91,"AAAAAH1/tno=")</f>
        <v>#VALUE!</v>
      </c>
      <c r="DT56" t="e">
        <f>AND('Show Services'!F91,"AAAAAH1/tns=")</f>
        <v>#VALUE!</v>
      </c>
      <c r="DU56" t="e">
        <f>AND('Show Services'!G91,"AAAAAH1/tnw=")</f>
        <v>#VALUE!</v>
      </c>
      <c r="DV56" t="e">
        <f>AND('Show Services'!H91,"AAAAAH1/tn0=")</f>
        <v>#VALUE!</v>
      </c>
      <c r="DW56" t="e">
        <f>AND('Show Services'!I91,"AAAAAH1/tn4=")</f>
        <v>#VALUE!</v>
      </c>
      <c r="DX56" t="e">
        <f>AND('Show Services'!#REF!,"AAAAAH1/tn8=")</f>
        <v>#REF!</v>
      </c>
      <c r="DY56" t="e">
        <f>AND('Show Services'!#REF!,"AAAAAH1/toA=")</f>
        <v>#REF!</v>
      </c>
      <c r="DZ56" t="e">
        <f>AND('Show Services'!#REF!,"AAAAAH1/toE=")</f>
        <v>#REF!</v>
      </c>
      <c r="EA56" t="e">
        <f>AND('Show Services'!#REF!,"AAAAAH1/toI=")</f>
        <v>#REF!</v>
      </c>
      <c r="EB56" t="e">
        <f>AND('Show Services'!#REF!,"AAAAAH1/toM=")</f>
        <v>#REF!</v>
      </c>
      <c r="EC56" t="e">
        <f>AND('Show Services'!J91,"AAAAAH1/toQ=")</f>
        <v>#VALUE!</v>
      </c>
      <c r="ED56" t="e">
        <f>AND('Show Services'!K91,"AAAAAH1/toU=")</f>
        <v>#VALUE!</v>
      </c>
      <c r="EE56" t="e">
        <f>AND('Show Services'!L91,"AAAAAH1/toY=")</f>
        <v>#VALUE!</v>
      </c>
      <c r="EF56" t="e">
        <f>AND('Show Services'!M91,"AAAAAH1/toc=")</f>
        <v>#VALUE!</v>
      </c>
      <c r="EG56" t="e">
        <f>AND('Show Services'!N91,"AAAAAH1/tog=")</f>
        <v>#VALUE!</v>
      </c>
      <c r="EH56" t="e">
        <f>AND('Show Services'!O91,"AAAAAH1/tok=")</f>
        <v>#VALUE!</v>
      </c>
      <c r="EI56" t="e">
        <f>AND('Show Services'!#REF!,"AAAAAH1/too=")</f>
        <v>#REF!</v>
      </c>
      <c r="EJ56">
        <f>IF('Show Services'!92:92,"AAAAAH1/tos=",0)</f>
        <v>0</v>
      </c>
      <c r="EK56" t="e">
        <f>AND('Show Services'!A92,"AAAAAH1/tow=")</f>
        <v>#VALUE!</v>
      </c>
      <c r="EL56" t="e">
        <f>AND('Show Services'!B92,"AAAAAH1/to0=")</f>
        <v>#VALUE!</v>
      </c>
      <c r="EM56" t="e">
        <f>AND('Show Services'!C92,"AAAAAH1/to4=")</f>
        <v>#VALUE!</v>
      </c>
      <c r="EN56" t="e">
        <f>AND('Show Services'!#REF!,"AAAAAH1/to8=")</f>
        <v>#REF!</v>
      </c>
      <c r="EO56" t="e">
        <f>AND('Show Services'!D92,"AAAAAH1/tpA=")</f>
        <v>#VALUE!</v>
      </c>
      <c r="EP56" t="e">
        <f>AND('Show Services'!E92,"AAAAAH1/tpE=")</f>
        <v>#VALUE!</v>
      </c>
      <c r="EQ56" t="e">
        <f>AND('Show Services'!F92,"AAAAAH1/tpI=")</f>
        <v>#VALUE!</v>
      </c>
      <c r="ER56" t="e">
        <f>AND('Show Services'!G92,"AAAAAH1/tpM=")</f>
        <v>#VALUE!</v>
      </c>
      <c r="ES56" t="e">
        <f>AND('Show Services'!H92,"AAAAAH1/tpQ=")</f>
        <v>#VALUE!</v>
      </c>
      <c r="ET56" t="e">
        <f>AND('Show Services'!I92,"AAAAAH1/tpU=")</f>
        <v>#VALUE!</v>
      </c>
      <c r="EU56" t="e">
        <f>AND('Show Services'!#REF!,"AAAAAH1/tpY=")</f>
        <v>#REF!</v>
      </c>
      <c r="EV56" t="e">
        <f>AND('Show Services'!#REF!,"AAAAAH1/tpc=")</f>
        <v>#REF!</v>
      </c>
      <c r="EW56" t="e">
        <f>AND('Show Services'!#REF!,"AAAAAH1/tpg=")</f>
        <v>#REF!</v>
      </c>
      <c r="EX56" t="e">
        <f>AND('Show Services'!#REF!,"AAAAAH1/tpk=")</f>
        <v>#REF!</v>
      </c>
      <c r="EY56" t="e">
        <f>AND('Show Services'!#REF!,"AAAAAH1/tpo=")</f>
        <v>#REF!</v>
      </c>
      <c r="EZ56" t="e">
        <f>AND('Show Services'!J92,"AAAAAH1/tps=")</f>
        <v>#VALUE!</v>
      </c>
      <c r="FA56" t="e">
        <f>AND('Show Services'!K92,"AAAAAH1/tpw=")</f>
        <v>#VALUE!</v>
      </c>
      <c r="FB56" t="e">
        <f>AND('Show Services'!L92,"AAAAAH1/tp0=")</f>
        <v>#VALUE!</v>
      </c>
      <c r="FC56" t="e">
        <f>AND('Show Services'!M92,"AAAAAH1/tp4=")</f>
        <v>#VALUE!</v>
      </c>
      <c r="FD56" t="e">
        <f>AND('Show Services'!N92,"AAAAAH1/tp8=")</f>
        <v>#VALUE!</v>
      </c>
      <c r="FE56" t="e">
        <f>AND('Show Services'!O92,"AAAAAH1/tqA=")</f>
        <v>#VALUE!</v>
      </c>
      <c r="FF56" t="e">
        <f>AND('Show Services'!#REF!,"AAAAAH1/tqE=")</f>
        <v>#REF!</v>
      </c>
      <c r="FG56">
        <f>IF('Show Services'!93:93,"AAAAAH1/tqI=",0)</f>
        <v>0</v>
      </c>
      <c r="FH56" t="e">
        <f>AND('Show Services'!A93,"AAAAAH1/tqM=")</f>
        <v>#VALUE!</v>
      </c>
      <c r="FI56" t="e">
        <f>AND('Show Services'!B93,"AAAAAH1/tqQ=")</f>
        <v>#VALUE!</v>
      </c>
      <c r="FJ56" t="e">
        <f>AND('Show Services'!C93,"AAAAAH1/tqU=")</f>
        <v>#VALUE!</v>
      </c>
      <c r="FK56" t="e">
        <f>AND('Show Services'!#REF!,"AAAAAH1/tqY=")</f>
        <v>#REF!</v>
      </c>
      <c r="FL56" t="e">
        <f>AND('Show Services'!D93,"AAAAAH1/tqc=")</f>
        <v>#VALUE!</v>
      </c>
      <c r="FM56" t="e">
        <f>AND('Show Services'!E93,"AAAAAH1/tqg=")</f>
        <v>#VALUE!</v>
      </c>
      <c r="FN56" t="e">
        <f>AND('Show Services'!F93,"AAAAAH1/tqk=")</f>
        <v>#VALUE!</v>
      </c>
      <c r="FO56" t="e">
        <f>AND('Show Services'!G93,"AAAAAH1/tqo=")</f>
        <v>#VALUE!</v>
      </c>
      <c r="FP56" t="e">
        <f>AND('Show Services'!H93,"AAAAAH1/tqs=")</f>
        <v>#VALUE!</v>
      </c>
      <c r="FQ56" t="e">
        <f>AND('Show Services'!I93,"AAAAAH1/tqw=")</f>
        <v>#VALUE!</v>
      </c>
      <c r="FR56" t="e">
        <f>AND('Show Services'!#REF!,"AAAAAH1/tq0=")</f>
        <v>#REF!</v>
      </c>
      <c r="FS56" t="e">
        <f>AND('Show Services'!#REF!,"AAAAAH1/tq4=")</f>
        <v>#REF!</v>
      </c>
      <c r="FT56" t="e">
        <f>AND('Show Services'!#REF!,"AAAAAH1/tq8=")</f>
        <v>#REF!</v>
      </c>
      <c r="FU56" t="e">
        <f>AND('Show Services'!#REF!,"AAAAAH1/trA=")</f>
        <v>#REF!</v>
      </c>
      <c r="FV56" t="e">
        <f>AND('Show Services'!#REF!,"AAAAAH1/trE=")</f>
        <v>#REF!</v>
      </c>
      <c r="FW56" t="e">
        <f>AND('Show Services'!J93,"AAAAAH1/trI=")</f>
        <v>#VALUE!</v>
      </c>
      <c r="FX56" t="e">
        <f>AND('Show Services'!K93,"AAAAAH1/trM=")</f>
        <v>#VALUE!</v>
      </c>
      <c r="FY56" t="e">
        <f>AND('Show Services'!L93,"AAAAAH1/trQ=")</f>
        <v>#VALUE!</v>
      </c>
      <c r="FZ56" t="e">
        <f>AND('Show Services'!M93,"AAAAAH1/trU=")</f>
        <v>#VALUE!</v>
      </c>
      <c r="GA56" t="e">
        <f>AND('Show Services'!N93,"AAAAAH1/trY=")</f>
        <v>#VALUE!</v>
      </c>
      <c r="GB56" t="e">
        <f>AND('Show Services'!O93,"AAAAAH1/trc=")</f>
        <v>#VALUE!</v>
      </c>
      <c r="GC56" t="e">
        <f>AND('Show Services'!#REF!,"AAAAAH1/trg=")</f>
        <v>#REF!</v>
      </c>
      <c r="GD56">
        <f>IF('Show Services'!94:94,"AAAAAH1/trk=",0)</f>
        <v>0</v>
      </c>
      <c r="GE56" t="e">
        <f>AND('Show Services'!A94,"AAAAAH1/tro=")</f>
        <v>#VALUE!</v>
      </c>
      <c r="GF56" t="e">
        <f>AND('Show Services'!B94,"AAAAAH1/trs=")</f>
        <v>#VALUE!</v>
      </c>
      <c r="GG56" t="e">
        <f>AND('Show Services'!C94,"AAAAAH1/trw=")</f>
        <v>#VALUE!</v>
      </c>
      <c r="GH56" t="e">
        <f>AND('Show Services'!#REF!,"AAAAAH1/tr0=")</f>
        <v>#REF!</v>
      </c>
      <c r="GI56" t="e">
        <f>AND('Show Services'!D94,"AAAAAH1/tr4=")</f>
        <v>#VALUE!</v>
      </c>
      <c r="GJ56" t="e">
        <f>AND('Show Services'!E94,"AAAAAH1/tr8=")</f>
        <v>#VALUE!</v>
      </c>
      <c r="GK56" t="e">
        <f>AND('Show Services'!F94,"AAAAAH1/tsA=")</f>
        <v>#VALUE!</v>
      </c>
      <c r="GL56" t="e">
        <f>AND('Show Services'!G94,"AAAAAH1/tsE=")</f>
        <v>#VALUE!</v>
      </c>
      <c r="GM56" t="e">
        <f>AND('Show Services'!H94,"AAAAAH1/tsI=")</f>
        <v>#VALUE!</v>
      </c>
      <c r="GN56" t="e">
        <f>AND('Show Services'!I94,"AAAAAH1/tsM=")</f>
        <v>#VALUE!</v>
      </c>
      <c r="GO56" t="e">
        <f>AND('Show Services'!#REF!,"AAAAAH1/tsQ=")</f>
        <v>#REF!</v>
      </c>
      <c r="GP56" t="e">
        <f>AND('Show Services'!#REF!,"AAAAAH1/tsU=")</f>
        <v>#REF!</v>
      </c>
      <c r="GQ56" t="e">
        <f>AND('Show Services'!#REF!,"AAAAAH1/tsY=")</f>
        <v>#REF!</v>
      </c>
      <c r="GR56" t="e">
        <f>AND('Show Services'!#REF!,"AAAAAH1/tsc=")</f>
        <v>#REF!</v>
      </c>
      <c r="GS56" t="e">
        <f>AND('Show Services'!#REF!,"AAAAAH1/tsg=")</f>
        <v>#REF!</v>
      </c>
      <c r="GT56" t="e">
        <f>AND('Show Services'!J94,"AAAAAH1/tsk=")</f>
        <v>#VALUE!</v>
      </c>
      <c r="GU56" t="e">
        <f>AND('Show Services'!K94,"AAAAAH1/tso=")</f>
        <v>#VALUE!</v>
      </c>
      <c r="GV56" t="e">
        <f>AND('Show Services'!L94,"AAAAAH1/tss=")</f>
        <v>#VALUE!</v>
      </c>
      <c r="GW56" t="e">
        <f>AND('Show Services'!M94,"AAAAAH1/tsw=")</f>
        <v>#VALUE!</v>
      </c>
      <c r="GX56" t="e">
        <f>AND('Show Services'!N94,"AAAAAH1/ts0=")</f>
        <v>#VALUE!</v>
      </c>
      <c r="GY56" t="e">
        <f>AND('Show Services'!O94,"AAAAAH1/ts4=")</f>
        <v>#VALUE!</v>
      </c>
      <c r="GZ56" t="e">
        <f>AND('Show Services'!#REF!,"AAAAAH1/ts8=")</f>
        <v>#REF!</v>
      </c>
      <c r="HA56">
        <f>IF('Show Services'!95:95,"AAAAAH1/ttA=",0)</f>
        <v>0</v>
      </c>
      <c r="HB56" t="e">
        <f>AND('Show Services'!A95,"AAAAAH1/ttE=")</f>
        <v>#VALUE!</v>
      </c>
      <c r="HC56" t="e">
        <f>AND('Show Services'!B95,"AAAAAH1/ttI=")</f>
        <v>#VALUE!</v>
      </c>
      <c r="HD56" t="e">
        <f>AND('Show Services'!C95,"AAAAAH1/ttM=")</f>
        <v>#VALUE!</v>
      </c>
      <c r="HE56" t="e">
        <f>AND('Show Services'!#REF!,"AAAAAH1/ttQ=")</f>
        <v>#REF!</v>
      </c>
      <c r="HF56" t="e">
        <f>AND('Show Services'!D95,"AAAAAH1/ttU=")</f>
        <v>#VALUE!</v>
      </c>
      <c r="HG56" t="e">
        <f>AND('Show Services'!E95,"AAAAAH1/ttY=")</f>
        <v>#VALUE!</v>
      </c>
      <c r="HH56" t="e">
        <f>AND('Show Services'!F95,"AAAAAH1/ttc=")</f>
        <v>#VALUE!</v>
      </c>
      <c r="HI56" t="e">
        <f>AND('Show Services'!G95,"AAAAAH1/ttg=")</f>
        <v>#VALUE!</v>
      </c>
      <c r="HJ56" t="e">
        <f>AND('Show Services'!H95,"AAAAAH1/ttk=")</f>
        <v>#VALUE!</v>
      </c>
      <c r="HK56" t="e">
        <f>AND('Show Services'!I95,"AAAAAH1/tto=")</f>
        <v>#VALUE!</v>
      </c>
      <c r="HL56" t="e">
        <f>AND('Show Services'!#REF!,"AAAAAH1/tts=")</f>
        <v>#REF!</v>
      </c>
      <c r="HM56" t="e">
        <f>AND('Show Services'!#REF!,"AAAAAH1/ttw=")</f>
        <v>#REF!</v>
      </c>
      <c r="HN56" t="e">
        <f>AND('Show Services'!#REF!,"AAAAAH1/tt0=")</f>
        <v>#REF!</v>
      </c>
      <c r="HO56" t="e">
        <f>AND('Show Services'!#REF!,"AAAAAH1/tt4=")</f>
        <v>#REF!</v>
      </c>
      <c r="HP56" t="e">
        <f>AND('Show Services'!#REF!,"AAAAAH1/tt8=")</f>
        <v>#REF!</v>
      </c>
      <c r="HQ56" t="e">
        <f>AND('Show Services'!J95,"AAAAAH1/tuA=")</f>
        <v>#VALUE!</v>
      </c>
      <c r="HR56" t="e">
        <f>AND('Show Services'!K95,"AAAAAH1/tuE=")</f>
        <v>#VALUE!</v>
      </c>
      <c r="HS56" t="e">
        <f>AND('Show Services'!L95,"AAAAAH1/tuI=")</f>
        <v>#VALUE!</v>
      </c>
      <c r="HT56" t="e">
        <f>AND('Show Services'!M95,"AAAAAH1/tuM=")</f>
        <v>#VALUE!</v>
      </c>
      <c r="HU56" t="e">
        <f>AND('Show Services'!N95,"AAAAAH1/tuQ=")</f>
        <v>#VALUE!</v>
      </c>
      <c r="HV56" t="e">
        <f>AND('Show Services'!O95,"AAAAAH1/tuU=")</f>
        <v>#VALUE!</v>
      </c>
      <c r="HW56" t="e">
        <f>AND('Show Services'!#REF!,"AAAAAH1/tuY=")</f>
        <v>#REF!</v>
      </c>
      <c r="HX56">
        <f>IF('Show Services'!96:96,"AAAAAH1/tuc=",0)</f>
        <v>0</v>
      </c>
      <c r="HY56" t="e">
        <f>AND('Show Services'!A96,"AAAAAH1/tug=")</f>
        <v>#VALUE!</v>
      </c>
      <c r="HZ56" t="e">
        <f>AND('Show Services'!B96,"AAAAAH1/tuk=")</f>
        <v>#VALUE!</v>
      </c>
      <c r="IA56" t="e">
        <f>AND('Show Services'!C96,"AAAAAH1/tuo=")</f>
        <v>#VALUE!</v>
      </c>
      <c r="IB56" t="e">
        <f>AND('Show Services'!#REF!,"AAAAAH1/tus=")</f>
        <v>#REF!</v>
      </c>
      <c r="IC56" t="e">
        <f>AND('Show Services'!D96,"AAAAAH1/tuw=")</f>
        <v>#VALUE!</v>
      </c>
      <c r="ID56" t="e">
        <f>AND('Show Services'!E96,"AAAAAH1/tu0=")</f>
        <v>#VALUE!</v>
      </c>
      <c r="IE56" t="e">
        <f>AND('Show Services'!F96,"AAAAAH1/tu4=")</f>
        <v>#VALUE!</v>
      </c>
      <c r="IF56" t="e">
        <f>AND('Show Services'!G96,"AAAAAH1/tu8=")</f>
        <v>#VALUE!</v>
      </c>
      <c r="IG56" t="e">
        <f>AND('Show Services'!H96,"AAAAAH1/tvA=")</f>
        <v>#VALUE!</v>
      </c>
      <c r="IH56" t="e">
        <f>AND('Show Services'!I96,"AAAAAH1/tvE=")</f>
        <v>#VALUE!</v>
      </c>
      <c r="II56" t="e">
        <f>AND('Show Services'!#REF!,"AAAAAH1/tvI=")</f>
        <v>#REF!</v>
      </c>
      <c r="IJ56" t="e">
        <f>AND('Show Services'!#REF!,"AAAAAH1/tvM=")</f>
        <v>#REF!</v>
      </c>
      <c r="IK56" t="e">
        <f>AND('Show Services'!#REF!,"AAAAAH1/tvQ=")</f>
        <v>#REF!</v>
      </c>
      <c r="IL56" t="e">
        <f>AND('Show Services'!#REF!,"AAAAAH1/tvU=")</f>
        <v>#REF!</v>
      </c>
      <c r="IM56" t="e">
        <f>AND('Show Services'!#REF!,"AAAAAH1/tvY=")</f>
        <v>#REF!</v>
      </c>
      <c r="IN56" t="e">
        <f>AND('Show Services'!J96,"AAAAAH1/tvc=")</f>
        <v>#VALUE!</v>
      </c>
      <c r="IO56" t="e">
        <f>AND('Show Services'!K96,"AAAAAH1/tvg=")</f>
        <v>#VALUE!</v>
      </c>
      <c r="IP56" t="e">
        <f>AND('Show Services'!L96,"AAAAAH1/tvk=")</f>
        <v>#VALUE!</v>
      </c>
      <c r="IQ56" t="e">
        <f>AND('Show Services'!M96,"AAAAAH1/tvo=")</f>
        <v>#VALUE!</v>
      </c>
      <c r="IR56" t="e">
        <f>AND('Show Services'!N96,"AAAAAH1/tvs=")</f>
        <v>#VALUE!</v>
      </c>
      <c r="IS56" t="e">
        <f>AND('Show Services'!O96,"AAAAAH1/tvw=")</f>
        <v>#VALUE!</v>
      </c>
      <c r="IT56" t="e">
        <f>AND('Show Services'!#REF!,"AAAAAH1/tv0=")</f>
        <v>#REF!</v>
      </c>
      <c r="IU56">
        <f>IF('Show Services'!97:97,"AAAAAH1/tv4=",0)</f>
        <v>0</v>
      </c>
      <c r="IV56" t="e">
        <f>AND('Show Services'!A97,"AAAAAH1/tv8=")</f>
        <v>#VALUE!</v>
      </c>
    </row>
    <row r="57" spans="1:256" x14ac:dyDescent="0.2">
      <c r="A57" t="e">
        <f>AND('Show Services'!B97,"AAAAAGn7+gA=")</f>
        <v>#VALUE!</v>
      </c>
      <c r="B57" t="e">
        <f>AND('Show Services'!C97,"AAAAAGn7+gE=")</f>
        <v>#VALUE!</v>
      </c>
      <c r="C57" t="e">
        <f>AND('Show Services'!#REF!,"AAAAAGn7+gI=")</f>
        <v>#REF!</v>
      </c>
      <c r="D57" t="e">
        <f>AND('Show Services'!D97,"AAAAAGn7+gM=")</f>
        <v>#VALUE!</v>
      </c>
      <c r="E57" t="e">
        <f>AND('Show Services'!E97,"AAAAAGn7+gQ=")</f>
        <v>#VALUE!</v>
      </c>
      <c r="F57" t="e">
        <f>AND('Show Services'!F97,"AAAAAGn7+gU=")</f>
        <v>#VALUE!</v>
      </c>
      <c r="G57" t="e">
        <f>AND('Show Services'!G97,"AAAAAGn7+gY=")</f>
        <v>#VALUE!</v>
      </c>
      <c r="H57" t="e">
        <f>AND('Show Services'!H97,"AAAAAGn7+gc=")</f>
        <v>#VALUE!</v>
      </c>
      <c r="I57" t="e">
        <f>AND('Show Services'!I97,"AAAAAGn7+gg=")</f>
        <v>#VALUE!</v>
      </c>
      <c r="J57" t="e">
        <f>AND('Show Services'!#REF!,"AAAAAGn7+gk=")</f>
        <v>#REF!</v>
      </c>
      <c r="K57" t="e">
        <f>AND('Show Services'!#REF!,"AAAAAGn7+go=")</f>
        <v>#REF!</v>
      </c>
      <c r="L57" t="e">
        <f>AND('Show Services'!#REF!,"AAAAAGn7+gs=")</f>
        <v>#REF!</v>
      </c>
      <c r="M57" t="e">
        <f>AND('Show Services'!#REF!,"AAAAAGn7+gw=")</f>
        <v>#REF!</v>
      </c>
      <c r="N57" t="e">
        <f>AND('Show Services'!#REF!,"AAAAAGn7+g0=")</f>
        <v>#REF!</v>
      </c>
      <c r="O57" t="e">
        <f>AND('Show Services'!J97,"AAAAAGn7+g4=")</f>
        <v>#VALUE!</v>
      </c>
      <c r="P57" t="e">
        <f>AND('Show Services'!K97,"AAAAAGn7+g8=")</f>
        <v>#VALUE!</v>
      </c>
      <c r="Q57" t="e">
        <f>AND('Show Services'!L97,"AAAAAGn7+hA=")</f>
        <v>#VALUE!</v>
      </c>
      <c r="R57" t="e">
        <f>AND('Show Services'!M97,"AAAAAGn7+hE=")</f>
        <v>#VALUE!</v>
      </c>
      <c r="S57" t="e">
        <f>AND('Show Services'!N97,"AAAAAGn7+hI=")</f>
        <v>#VALUE!</v>
      </c>
      <c r="T57" t="e">
        <f>AND('Show Services'!O97,"AAAAAGn7+hM=")</f>
        <v>#VALUE!</v>
      </c>
      <c r="U57" t="e">
        <f>AND('Show Services'!#REF!,"AAAAAGn7+hQ=")</f>
        <v>#REF!</v>
      </c>
      <c r="V57">
        <f>IF('Show Services'!98:98,"AAAAAGn7+hU=",0)</f>
        <v>0</v>
      </c>
      <c r="W57" t="e">
        <f>AND('Show Services'!A98,"AAAAAGn7+hY=")</f>
        <v>#VALUE!</v>
      </c>
      <c r="X57" t="e">
        <f>AND('Show Services'!B98,"AAAAAGn7+hc=")</f>
        <v>#VALUE!</v>
      </c>
      <c r="Y57" t="e">
        <f>AND('Show Services'!C98,"AAAAAGn7+hg=")</f>
        <v>#VALUE!</v>
      </c>
      <c r="Z57" t="e">
        <f>AND('Show Services'!#REF!,"AAAAAGn7+hk=")</f>
        <v>#REF!</v>
      </c>
      <c r="AA57" t="e">
        <f>AND('Show Services'!D98,"AAAAAGn7+ho=")</f>
        <v>#VALUE!</v>
      </c>
      <c r="AB57" t="e">
        <f>AND('Show Services'!E98,"AAAAAGn7+hs=")</f>
        <v>#VALUE!</v>
      </c>
      <c r="AC57" t="e">
        <f>AND('Show Services'!F98,"AAAAAGn7+hw=")</f>
        <v>#VALUE!</v>
      </c>
      <c r="AD57" t="e">
        <f>AND('Show Services'!G98,"AAAAAGn7+h0=")</f>
        <v>#VALUE!</v>
      </c>
      <c r="AE57" t="e">
        <f>AND('Show Services'!H98,"AAAAAGn7+h4=")</f>
        <v>#VALUE!</v>
      </c>
      <c r="AF57" t="e">
        <f>AND('Show Services'!I98,"AAAAAGn7+h8=")</f>
        <v>#VALUE!</v>
      </c>
      <c r="AG57" t="e">
        <f>AND('Show Services'!#REF!,"AAAAAGn7+iA=")</f>
        <v>#REF!</v>
      </c>
      <c r="AH57" t="e">
        <f>AND('Show Services'!#REF!,"AAAAAGn7+iE=")</f>
        <v>#REF!</v>
      </c>
      <c r="AI57" t="e">
        <f>AND('Show Services'!#REF!,"AAAAAGn7+iI=")</f>
        <v>#REF!</v>
      </c>
      <c r="AJ57" t="e">
        <f>AND('Show Services'!#REF!,"AAAAAGn7+iM=")</f>
        <v>#REF!</v>
      </c>
      <c r="AK57" t="e">
        <f>AND('Show Services'!#REF!,"AAAAAGn7+iQ=")</f>
        <v>#REF!</v>
      </c>
      <c r="AL57" t="e">
        <f>AND('Show Services'!J98,"AAAAAGn7+iU=")</f>
        <v>#VALUE!</v>
      </c>
      <c r="AM57" t="e">
        <f>AND('Show Services'!K98,"AAAAAGn7+iY=")</f>
        <v>#VALUE!</v>
      </c>
      <c r="AN57" t="e">
        <f>AND('Show Services'!L98,"AAAAAGn7+ic=")</f>
        <v>#VALUE!</v>
      </c>
      <c r="AO57" t="e">
        <f>AND('Show Services'!M98,"AAAAAGn7+ig=")</f>
        <v>#VALUE!</v>
      </c>
      <c r="AP57" t="e">
        <f>AND('Show Services'!N98,"AAAAAGn7+ik=")</f>
        <v>#VALUE!</v>
      </c>
      <c r="AQ57" t="e">
        <f>AND('Show Services'!O98,"AAAAAGn7+io=")</f>
        <v>#VALUE!</v>
      </c>
      <c r="AR57" t="e">
        <f>AND('Show Services'!#REF!,"AAAAAGn7+is=")</f>
        <v>#REF!</v>
      </c>
      <c r="AS57">
        <f>IF('Show Services'!99:99,"AAAAAGn7+iw=",0)</f>
        <v>0</v>
      </c>
      <c r="AT57" t="e">
        <f>AND('Show Services'!A99,"AAAAAGn7+i0=")</f>
        <v>#VALUE!</v>
      </c>
      <c r="AU57" t="e">
        <f>AND('Show Services'!B99,"AAAAAGn7+i4=")</f>
        <v>#VALUE!</v>
      </c>
      <c r="AV57" t="e">
        <f>AND('Show Services'!C99,"AAAAAGn7+i8=")</f>
        <v>#VALUE!</v>
      </c>
      <c r="AW57" t="e">
        <f>AND('Show Services'!#REF!,"AAAAAGn7+jA=")</f>
        <v>#REF!</v>
      </c>
      <c r="AX57" t="e">
        <f>AND('Show Services'!D99,"AAAAAGn7+jE=")</f>
        <v>#VALUE!</v>
      </c>
      <c r="AY57" t="e">
        <f>AND('Show Services'!E99,"AAAAAGn7+jI=")</f>
        <v>#VALUE!</v>
      </c>
      <c r="AZ57" t="e">
        <f>AND('Show Services'!F99,"AAAAAGn7+jM=")</f>
        <v>#VALUE!</v>
      </c>
      <c r="BA57" t="e">
        <f>AND('Show Services'!G99,"AAAAAGn7+jQ=")</f>
        <v>#VALUE!</v>
      </c>
      <c r="BB57" t="e">
        <f>AND('Show Services'!H99,"AAAAAGn7+jU=")</f>
        <v>#VALUE!</v>
      </c>
      <c r="BC57" t="e">
        <f>AND('Show Services'!I99,"AAAAAGn7+jY=")</f>
        <v>#VALUE!</v>
      </c>
      <c r="BD57" t="e">
        <f>AND('Show Services'!#REF!,"AAAAAGn7+jc=")</f>
        <v>#REF!</v>
      </c>
      <c r="BE57" t="e">
        <f>AND('Show Services'!#REF!,"AAAAAGn7+jg=")</f>
        <v>#REF!</v>
      </c>
      <c r="BF57" t="e">
        <f>AND('Show Services'!#REF!,"AAAAAGn7+jk=")</f>
        <v>#REF!</v>
      </c>
      <c r="BG57" t="e">
        <f>AND('Show Services'!#REF!,"AAAAAGn7+jo=")</f>
        <v>#REF!</v>
      </c>
      <c r="BH57" t="e">
        <f>AND('Show Services'!#REF!,"AAAAAGn7+js=")</f>
        <v>#REF!</v>
      </c>
      <c r="BI57" t="e">
        <f>AND('Show Services'!J99,"AAAAAGn7+jw=")</f>
        <v>#VALUE!</v>
      </c>
      <c r="BJ57" t="e">
        <f>AND('Show Services'!K99,"AAAAAGn7+j0=")</f>
        <v>#VALUE!</v>
      </c>
      <c r="BK57" t="e">
        <f>AND('Show Services'!L99,"AAAAAGn7+j4=")</f>
        <v>#VALUE!</v>
      </c>
      <c r="BL57" t="e">
        <f>AND('Show Services'!M99,"AAAAAGn7+j8=")</f>
        <v>#VALUE!</v>
      </c>
      <c r="BM57" t="e">
        <f>AND('Show Services'!N99,"AAAAAGn7+kA=")</f>
        <v>#VALUE!</v>
      </c>
      <c r="BN57" t="e">
        <f>AND('Show Services'!O99,"AAAAAGn7+kE=")</f>
        <v>#VALUE!</v>
      </c>
      <c r="BO57" t="e">
        <f>AND('Show Services'!#REF!,"AAAAAGn7+kI=")</f>
        <v>#REF!</v>
      </c>
      <c r="BP57">
        <f>IF('Show Services'!100:100,"AAAAAGn7+kM=",0)</f>
        <v>0</v>
      </c>
      <c r="BQ57" t="e">
        <f>AND('Show Services'!A100,"AAAAAGn7+kQ=")</f>
        <v>#VALUE!</v>
      </c>
      <c r="BR57" t="e">
        <f>AND('Show Services'!B100,"AAAAAGn7+kU=")</f>
        <v>#VALUE!</v>
      </c>
      <c r="BS57" t="e">
        <f>AND('Show Services'!C100,"AAAAAGn7+kY=")</f>
        <v>#VALUE!</v>
      </c>
      <c r="BT57" t="e">
        <f>AND('Show Services'!#REF!,"AAAAAGn7+kc=")</f>
        <v>#REF!</v>
      </c>
      <c r="BU57" t="e">
        <f>AND('Show Services'!D100,"AAAAAGn7+kg=")</f>
        <v>#VALUE!</v>
      </c>
      <c r="BV57" t="e">
        <f>AND('Show Services'!E100,"AAAAAGn7+kk=")</f>
        <v>#VALUE!</v>
      </c>
      <c r="BW57" t="e">
        <f>AND('Show Services'!F100,"AAAAAGn7+ko=")</f>
        <v>#VALUE!</v>
      </c>
      <c r="BX57" t="e">
        <f>AND('Show Services'!G100,"AAAAAGn7+ks=")</f>
        <v>#VALUE!</v>
      </c>
      <c r="BY57" t="e">
        <f>AND('Show Services'!H100,"AAAAAGn7+kw=")</f>
        <v>#VALUE!</v>
      </c>
      <c r="BZ57" t="e">
        <f>AND('Show Services'!I100,"AAAAAGn7+k0=")</f>
        <v>#VALUE!</v>
      </c>
      <c r="CA57" t="e">
        <f>AND('Show Services'!#REF!,"AAAAAGn7+k4=")</f>
        <v>#REF!</v>
      </c>
      <c r="CB57" t="e">
        <f>AND('Show Services'!#REF!,"AAAAAGn7+k8=")</f>
        <v>#REF!</v>
      </c>
      <c r="CC57" t="e">
        <f>AND('Show Services'!#REF!,"AAAAAGn7+lA=")</f>
        <v>#REF!</v>
      </c>
      <c r="CD57" t="e">
        <f>AND('Show Services'!#REF!,"AAAAAGn7+lE=")</f>
        <v>#REF!</v>
      </c>
      <c r="CE57" t="e">
        <f>AND('Show Services'!#REF!,"AAAAAGn7+lI=")</f>
        <v>#REF!</v>
      </c>
      <c r="CF57" t="e">
        <f>AND('Show Services'!J100,"AAAAAGn7+lM=")</f>
        <v>#VALUE!</v>
      </c>
      <c r="CG57" t="e">
        <f>AND('Show Services'!K100,"AAAAAGn7+lQ=")</f>
        <v>#VALUE!</v>
      </c>
      <c r="CH57" t="e">
        <f>AND('Show Services'!L100,"AAAAAGn7+lU=")</f>
        <v>#VALUE!</v>
      </c>
      <c r="CI57" t="e">
        <f>AND('Show Services'!M100,"AAAAAGn7+lY=")</f>
        <v>#VALUE!</v>
      </c>
      <c r="CJ57" t="e">
        <f>AND('Show Services'!N100,"AAAAAGn7+lc=")</f>
        <v>#VALUE!</v>
      </c>
      <c r="CK57" t="e">
        <f>AND('Show Services'!O100,"AAAAAGn7+lg=")</f>
        <v>#VALUE!</v>
      </c>
      <c r="CL57" t="e">
        <f>AND('Show Services'!#REF!,"AAAAAGn7+lk=")</f>
        <v>#REF!</v>
      </c>
      <c r="CM57">
        <f>IF('Show Services'!101:101,"AAAAAGn7+lo=",0)</f>
        <v>0</v>
      </c>
      <c r="CN57" t="e">
        <f>AND('Show Services'!A101,"AAAAAGn7+ls=")</f>
        <v>#VALUE!</v>
      </c>
      <c r="CO57" t="e">
        <f>AND('Show Services'!B101,"AAAAAGn7+lw=")</f>
        <v>#VALUE!</v>
      </c>
      <c r="CP57" t="e">
        <f>AND('Show Services'!C101,"AAAAAGn7+l0=")</f>
        <v>#VALUE!</v>
      </c>
      <c r="CQ57" t="e">
        <f>AND('Show Services'!#REF!,"AAAAAGn7+l4=")</f>
        <v>#REF!</v>
      </c>
      <c r="CR57" t="e">
        <f>AND('Show Services'!D101,"AAAAAGn7+l8=")</f>
        <v>#VALUE!</v>
      </c>
      <c r="CS57" t="e">
        <f>AND('Show Services'!E101,"AAAAAGn7+mA=")</f>
        <v>#VALUE!</v>
      </c>
      <c r="CT57" t="e">
        <f>AND('Show Services'!F101,"AAAAAGn7+mE=")</f>
        <v>#VALUE!</v>
      </c>
      <c r="CU57" t="e">
        <f>AND('Show Services'!G101,"AAAAAGn7+mI=")</f>
        <v>#VALUE!</v>
      </c>
      <c r="CV57" t="e">
        <f>AND('Show Services'!H101,"AAAAAGn7+mM=")</f>
        <v>#VALUE!</v>
      </c>
      <c r="CW57" t="e">
        <f>AND('Show Services'!I101,"AAAAAGn7+mQ=")</f>
        <v>#VALUE!</v>
      </c>
      <c r="CX57" t="e">
        <f>AND('Show Services'!#REF!,"AAAAAGn7+mU=")</f>
        <v>#REF!</v>
      </c>
      <c r="CY57" t="e">
        <f>AND('Show Services'!#REF!,"AAAAAGn7+mY=")</f>
        <v>#REF!</v>
      </c>
      <c r="CZ57" t="e">
        <f>AND('Show Services'!#REF!,"AAAAAGn7+mc=")</f>
        <v>#REF!</v>
      </c>
      <c r="DA57" t="e">
        <f>AND('Show Services'!#REF!,"AAAAAGn7+mg=")</f>
        <v>#REF!</v>
      </c>
      <c r="DB57" t="e">
        <f>AND('Show Services'!#REF!,"AAAAAGn7+mk=")</f>
        <v>#REF!</v>
      </c>
      <c r="DC57" t="e">
        <f>AND('Show Services'!J101,"AAAAAGn7+mo=")</f>
        <v>#VALUE!</v>
      </c>
      <c r="DD57" t="e">
        <f>AND('Show Services'!K101,"AAAAAGn7+ms=")</f>
        <v>#VALUE!</v>
      </c>
      <c r="DE57" t="e">
        <f>AND('Show Services'!L101,"AAAAAGn7+mw=")</f>
        <v>#VALUE!</v>
      </c>
      <c r="DF57" t="e">
        <f>AND('Show Services'!M101,"AAAAAGn7+m0=")</f>
        <v>#VALUE!</v>
      </c>
      <c r="DG57" t="e">
        <f>AND('Show Services'!N101,"AAAAAGn7+m4=")</f>
        <v>#VALUE!</v>
      </c>
      <c r="DH57" t="e">
        <f>AND('Show Services'!O101,"AAAAAGn7+m8=")</f>
        <v>#VALUE!</v>
      </c>
      <c r="DI57" t="e">
        <f>AND('Show Services'!#REF!,"AAAAAGn7+nA=")</f>
        <v>#REF!</v>
      </c>
      <c r="DJ57">
        <f>IF('Show Services'!102:102,"AAAAAGn7+nE=",0)</f>
        <v>0</v>
      </c>
      <c r="DK57" t="e">
        <f>AND('Show Services'!A102,"AAAAAGn7+nI=")</f>
        <v>#VALUE!</v>
      </c>
      <c r="DL57" t="e">
        <f>AND('Show Services'!B102,"AAAAAGn7+nM=")</f>
        <v>#VALUE!</v>
      </c>
      <c r="DM57" t="e">
        <f>AND('Show Services'!C102,"AAAAAGn7+nQ=")</f>
        <v>#VALUE!</v>
      </c>
      <c r="DN57" t="e">
        <f>AND('Show Services'!#REF!,"AAAAAGn7+nU=")</f>
        <v>#REF!</v>
      </c>
      <c r="DO57" t="e">
        <f>AND('Show Services'!D102,"AAAAAGn7+nY=")</f>
        <v>#VALUE!</v>
      </c>
      <c r="DP57" t="e">
        <f>AND('Show Services'!E102,"AAAAAGn7+nc=")</f>
        <v>#VALUE!</v>
      </c>
      <c r="DQ57" t="e">
        <f>AND('Show Services'!F102,"AAAAAGn7+ng=")</f>
        <v>#VALUE!</v>
      </c>
      <c r="DR57" t="e">
        <f>AND('Show Services'!G102,"AAAAAGn7+nk=")</f>
        <v>#VALUE!</v>
      </c>
      <c r="DS57" t="e">
        <f>AND('Show Services'!H102,"AAAAAGn7+no=")</f>
        <v>#VALUE!</v>
      </c>
      <c r="DT57" t="e">
        <f>AND('Show Services'!I102,"AAAAAGn7+ns=")</f>
        <v>#VALUE!</v>
      </c>
      <c r="DU57" t="e">
        <f>AND('Show Services'!#REF!,"AAAAAGn7+nw=")</f>
        <v>#REF!</v>
      </c>
      <c r="DV57" t="e">
        <f>AND('Show Services'!#REF!,"AAAAAGn7+n0=")</f>
        <v>#REF!</v>
      </c>
      <c r="DW57" t="e">
        <f>AND('Show Services'!#REF!,"AAAAAGn7+n4=")</f>
        <v>#REF!</v>
      </c>
      <c r="DX57" t="e">
        <f>AND('Show Services'!#REF!,"AAAAAGn7+n8=")</f>
        <v>#REF!</v>
      </c>
      <c r="DY57" t="e">
        <f>AND('Show Services'!#REF!,"AAAAAGn7+oA=")</f>
        <v>#REF!</v>
      </c>
      <c r="DZ57" t="e">
        <f>AND('Show Services'!J102,"AAAAAGn7+oE=")</f>
        <v>#VALUE!</v>
      </c>
      <c r="EA57" t="e">
        <f>AND('Show Services'!K102,"AAAAAGn7+oI=")</f>
        <v>#VALUE!</v>
      </c>
      <c r="EB57" t="e">
        <f>AND('Show Services'!L102,"AAAAAGn7+oM=")</f>
        <v>#VALUE!</v>
      </c>
      <c r="EC57" t="e">
        <f>AND('Show Services'!M102,"AAAAAGn7+oQ=")</f>
        <v>#VALUE!</v>
      </c>
      <c r="ED57" t="e">
        <f>AND('Show Services'!N102,"AAAAAGn7+oU=")</f>
        <v>#VALUE!</v>
      </c>
      <c r="EE57" t="e">
        <f>AND('Show Services'!O102,"AAAAAGn7+oY=")</f>
        <v>#VALUE!</v>
      </c>
      <c r="EF57" t="e">
        <f>AND('Show Services'!#REF!,"AAAAAGn7+oc=")</f>
        <v>#REF!</v>
      </c>
      <c r="EG57">
        <f>IF('Show Services'!103:103,"AAAAAGn7+og=",0)</f>
        <v>0</v>
      </c>
      <c r="EH57" t="e">
        <f>AND('Show Services'!A103,"AAAAAGn7+ok=")</f>
        <v>#VALUE!</v>
      </c>
      <c r="EI57" t="e">
        <f>AND('Show Services'!B103,"AAAAAGn7+oo=")</f>
        <v>#VALUE!</v>
      </c>
      <c r="EJ57" t="e">
        <f>AND('Show Services'!C103,"AAAAAGn7+os=")</f>
        <v>#VALUE!</v>
      </c>
      <c r="EK57" t="e">
        <f>AND('Show Services'!#REF!,"AAAAAGn7+ow=")</f>
        <v>#REF!</v>
      </c>
      <c r="EL57" t="e">
        <f>AND('Show Services'!D103,"AAAAAGn7+o0=")</f>
        <v>#VALUE!</v>
      </c>
      <c r="EM57" t="e">
        <f>AND('Show Services'!E103,"AAAAAGn7+o4=")</f>
        <v>#VALUE!</v>
      </c>
      <c r="EN57" t="e">
        <f>AND('Show Services'!F103,"AAAAAGn7+o8=")</f>
        <v>#VALUE!</v>
      </c>
      <c r="EO57" t="e">
        <f>AND('Show Services'!G103,"AAAAAGn7+pA=")</f>
        <v>#VALUE!</v>
      </c>
      <c r="EP57" t="e">
        <f>AND('Show Services'!H103,"AAAAAGn7+pE=")</f>
        <v>#VALUE!</v>
      </c>
      <c r="EQ57" t="e">
        <f>AND('Show Services'!I103,"AAAAAGn7+pI=")</f>
        <v>#VALUE!</v>
      </c>
      <c r="ER57" t="e">
        <f>AND('Show Services'!#REF!,"AAAAAGn7+pM=")</f>
        <v>#REF!</v>
      </c>
      <c r="ES57" t="e">
        <f>AND('Show Services'!#REF!,"AAAAAGn7+pQ=")</f>
        <v>#REF!</v>
      </c>
      <c r="ET57" t="e">
        <f>AND('Show Services'!#REF!,"AAAAAGn7+pU=")</f>
        <v>#REF!</v>
      </c>
      <c r="EU57" t="e">
        <f>AND('Show Services'!#REF!,"AAAAAGn7+pY=")</f>
        <v>#REF!</v>
      </c>
      <c r="EV57" t="e">
        <f>AND('Show Services'!#REF!,"AAAAAGn7+pc=")</f>
        <v>#REF!</v>
      </c>
      <c r="EW57" t="e">
        <f>AND('Show Services'!J103,"AAAAAGn7+pg=")</f>
        <v>#VALUE!</v>
      </c>
      <c r="EX57" t="e">
        <f>AND('Show Services'!K103,"AAAAAGn7+pk=")</f>
        <v>#VALUE!</v>
      </c>
      <c r="EY57" t="e">
        <f>AND('Show Services'!L103,"AAAAAGn7+po=")</f>
        <v>#VALUE!</v>
      </c>
      <c r="EZ57" t="e">
        <f>AND('Show Services'!M103,"AAAAAGn7+ps=")</f>
        <v>#VALUE!</v>
      </c>
      <c r="FA57" t="e">
        <f>AND('Show Services'!N103,"AAAAAGn7+pw=")</f>
        <v>#VALUE!</v>
      </c>
      <c r="FB57" t="e">
        <f>AND('Show Services'!O103,"AAAAAGn7+p0=")</f>
        <v>#VALUE!</v>
      </c>
      <c r="FC57" t="e">
        <f>AND('Show Services'!#REF!,"AAAAAGn7+p4=")</f>
        <v>#REF!</v>
      </c>
      <c r="FD57">
        <f>IF('Show Services'!104:104,"AAAAAGn7+p8=",0)</f>
        <v>0</v>
      </c>
      <c r="FE57" t="e">
        <f>AND('Show Services'!A104,"AAAAAGn7+qA=")</f>
        <v>#VALUE!</v>
      </c>
      <c r="FF57" t="e">
        <f>AND('Show Services'!B104,"AAAAAGn7+qE=")</f>
        <v>#VALUE!</v>
      </c>
      <c r="FG57" t="e">
        <f>AND('Show Services'!C104,"AAAAAGn7+qI=")</f>
        <v>#VALUE!</v>
      </c>
      <c r="FH57" t="e">
        <f>AND('Show Services'!#REF!,"AAAAAGn7+qM=")</f>
        <v>#REF!</v>
      </c>
      <c r="FI57" t="e">
        <f>AND('Show Services'!D104,"AAAAAGn7+qQ=")</f>
        <v>#VALUE!</v>
      </c>
      <c r="FJ57" t="e">
        <f>AND('Show Services'!E104,"AAAAAGn7+qU=")</f>
        <v>#VALUE!</v>
      </c>
      <c r="FK57" t="e">
        <f>AND('Show Services'!F104,"AAAAAGn7+qY=")</f>
        <v>#VALUE!</v>
      </c>
      <c r="FL57" t="e">
        <f>AND('Show Services'!G104,"AAAAAGn7+qc=")</f>
        <v>#VALUE!</v>
      </c>
      <c r="FM57" t="e">
        <f>AND('Show Services'!H104,"AAAAAGn7+qg=")</f>
        <v>#VALUE!</v>
      </c>
      <c r="FN57" t="e">
        <f>AND('Show Services'!I104,"AAAAAGn7+qk=")</f>
        <v>#VALUE!</v>
      </c>
      <c r="FO57" t="e">
        <f>AND('Show Services'!#REF!,"AAAAAGn7+qo=")</f>
        <v>#REF!</v>
      </c>
      <c r="FP57" t="e">
        <f>AND('Show Services'!#REF!,"AAAAAGn7+qs=")</f>
        <v>#REF!</v>
      </c>
      <c r="FQ57" t="e">
        <f>AND('Show Services'!#REF!,"AAAAAGn7+qw=")</f>
        <v>#REF!</v>
      </c>
      <c r="FR57" t="e">
        <f>AND('Show Services'!#REF!,"AAAAAGn7+q0=")</f>
        <v>#REF!</v>
      </c>
      <c r="FS57" t="e">
        <f>AND('Show Services'!#REF!,"AAAAAGn7+q4=")</f>
        <v>#REF!</v>
      </c>
      <c r="FT57" t="e">
        <f>AND('Show Services'!J104,"AAAAAGn7+q8=")</f>
        <v>#VALUE!</v>
      </c>
      <c r="FU57" t="e">
        <f>AND('Show Services'!K104,"AAAAAGn7+rA=")</f>
        <v>#VALUE!</v>
      </c>
      <c r="FV57" t="e">
        <f>AND('Show Services'!L104,"AAAAAGn7+rE=")</f>
        <v>#VALUE!</v>
      </c>
      <c r="FW57" t="e">
        <f>AND('Show Services'!M104,"AAAAAGn7+rI=")</f>
        <v>#VALUE!</v>
      </c>
      <c r="FX57" t="e">
        <f>AND('Show Services'!N104,"AAAAAGn7+rM=")</f>
        <v>#VALUE!</v>
      </c>
      <c r="FY57" t="e">
        <f>AND('Show Services'!O104,"AAAAAGn7+rQ=")</f>
        <v>#VALUE!</v>
      </c>
      <c r="FZ57" t="e">
        <f>AND('Show Services'!#REF!,"AAAAAGn7+rU=")</f>
        <v>#REF!</v>
      </c>
      <c r="GA57">
        <f>IF('Show Services'!105:105,"AAAAAGn7+rY=",0)</f>
        <v>0</v>
      </c>
      <c r="GB57" t="e">
        <f>AND('Show Services'!A105,"AAAAAGn7+rc=")</f>
        <v>#VALUE!</v>
      </c>
      <c r="GC57" t="e">
        <f>AND('Show Services'!B105,"AAAAAGn7+rg=")</f>
        <v>#VALUE!</v>
      </c>
      <c r="GD57" t="e">
        <f>AND('Show Services'!C105,"AAAAAGn7+rk=")</f>
        <v>#VALUE!</v>
      </c>
      <c r="GE57" t="e">
        <f>AND('Show Services'!#REF!,"AAAAAGn7+ro=")</f>
        <v>#REF!</v>
      </c>
      <c r="GF57" t="e">
        <f>AND('Show Services'!D105,"AAAAAGn7+rs=")</f>
        <v>#VALUE!</v>
      </c>
      <c r="GG57" t="e">
        <f>AND('Show Services'!E105,"AAAAAGn7+rw=")</f>
        <v>#VALUE!</v>
      </c>
      <c r="GH57" t="e">
        <f>AND('Show Services'!F105,"AAAAAGn7+r0=")</f>
        <v>#VALUE!</v>
      </c>
      <c r="GI57" t="e">
        <f>AND('Show Services'!G105,"AAAAAGn7+r4=")</f>
        <v>#VALUE!</v>
      </c>
      <c r="GJ57" t="e">
        <f>AND('Show Services'!H105,"AAAAAGn7+r8=")</f>
        <v>#VALUE!</v>
      </c>
      <c r="GK57" t="e">
        <f>AND('Show Services'!I105,"AAAAAGn7+sA=")</f>
        <v>#VALUE!</v>
      </c>
      <c r="GL57" t="e">
        <f>AND('Show Services'!#REF!,"AAAAAGn7+sE=")</f>
        <v>#REF!</v>
      </c>
      <c r="GM57" t="e">
        <f>AND('Show Services'!#REF!,"AAAAAGn7+sI=")</f>
        <v>#REF!</v>
      </c>
      <c r="GN57" t="e">
        <f>AND('Show Services'!#REF!,"AAAAAGn7+sM=")</f>
        <v>#REF!</v>
      </c>
      <c r="GO57" t="e">
        <f>AND('Show Services'!#REF!,"AAAAAGn7+sQ=")</f>
        <v>#REF!</v>
      </c>
      <c r="GP57" t="e">
        <f>AND('Show Services'!#REF!,"AAAAAGn7+sU=")</f>
        <v>#REF!</v>
      </c>
      <c r="GQ57" t="e">
        <f>AND('Show Services'!J105,"AAAAAGn7+sY=")</f>
        <v>#VALUE!</v>
      </c>
      <c r="GR57" t="e">
        <f>AND('Show Services'!K105,"AAAAAGn7+sc=")</f>
        <v>#VALUE!</v>
      </c>
      <c r="GS57" t="e">
        <f>AND('Show Services'!L105,"AAAAAGn7+sg=")</f>
        <v>#VALUE!</v>
      </c>
      <c r="GT57" t="e">
        <f>AND('Show Services'!M105,"AAAAAGn7+sk=")</f>
        <v>#VALUE!</v>
      </c>
      <c r="GU57" t="e">
        <f>AND('Show Services'!N105,"AAAAAGn7+so=")</f>
        <v>#VALUE!</v>
      </c>
      <c r="GV57" t="e">
        <f>AND('Show Services'!O105,"AAAAAGn7+ss=")</f>
        <v>#VALUE!</v>
      </c>
      <c r="GW57" t="e">
        <f>AND('Show Services'!#REF!,"AAAAAGn7+sw=")</f>
        <v>#REF!</v>
      </c>
      <c r="GX57">
        <f>IF('Show Services'!106:106,"AAAAAGn7+s0=",0)</f>
        <v>0</v>
      </c>
      <c r="GY57" t="e">
        <f>AND('Show Services'!A106,"AAAAAGn7+s4=")</f>
        <v>#VALUE!</v>
      </c>
      <c r="GZ57" t="e">
        <f>AND('Show Services'!B106,"AAAAAGn7+s8=")</f>
        <v>#VALUE!</v>
      </c>
      <c r="HA57" t="e">
        <f>AND('Show Services'!C106,"AAAAAGn7+tA=")</f>
        <v>#VALUE!</v>
      </c>
      <c r="HB57" t="e">
        <f>AND('Show Services'!#REF!,"AAAAAGn7+tE=")</f>
        <v>#REF!</v>
      </c>
      <c r="HC57" t="e">
        <f>AND('Show Services'!D106,"AAAAAGn7+tI=")</f>
        <v>#VALUE!</v>
      </c>
      <c r="HD57" t="e">
        <f>AND('Show Services'!E106,"AAAAAGn7+tM=")</f>
        <v>#VALUE!</v>
      </c>
      <c r="HE57" t="e">
        <f>AND('Show Services'!F106,"AAAAAGn7+tQ=")</f>
        <v>#VALUE!</v>
      </c>
      <c r="HF57" t="e">
        <f>AND('Show Services'!G106,"AAAAAGn7+tU=")</f>
        <v>#VALUE!</v>
      </c>
      <c r="HG57" t="e">
        <f>AND('Show Services'!H106,"AAAAAGn7+tY=")</f>
        <v>#VALUE!</v>
      </c>
      <c r="HH57" t="e">
        <f>AND('Show Services'!I106,"AAAAAGn7+tc=")</f>
        <v>#VALUE!</v>
      </c>
      <c r="HI57" t="e">
        <f>AND('Show Services'!#REF!,"AAAAAGn7+tg=")</f>
        <v>#REF!</v>
      </c>
      <c r="HJ57" t="e">
        <f>AND('Show Services'!#REF!,"AAAAAGn7+tk=")</f>
        <v>#REF!</v>
      </c>
      <c r="HK57" t="e">
        <f>AND('Show Services'!#REF!,"AAAAAGn7+to=")</f>
        <v>#REF!</v>
      </c>
      <c r="HL57" t="e">
        <f>AND('Show Services'!#REF!,"AAAAAGn7+ts=")</f>
        <v>#REF!</v>
      </c>
      <c r="HM57" t="e">
        <f>AND('Show Services'!#REF!,"AAAAAGn7+tw=")</f>
        <v>#REF!</v>
      </c>
      <c r="HN57" t="e">
        <f>AND('Show Services'!J106,"AAAAAGn7+t0=")</f>
        <v>#VALUE!</v>
      </c>
      <c r="HO57" t="e">
        <f>AND('Show Services'!K106,"AAAAAGn7+t4=")</f>
        <v>#VALUE!</v>
      </c>
      <c r="HP57" t="e">
        <f>AND('Show Services'!L106,"AAAAAGn7+t8=")</f>
        <v>#VALUE!</v>
      </c>
      <c r="HQ57" t="e">
        <f>AND('Show Services'!M106,"AAAAAGn7+uA=")</f>
        <v>#VALUE!</v>
      </c>
      <c r="HR57" t="e">
        <f>AND('Show Services'!N106,"AAAAAGn7+uE=")</f>
        <v>#VALUE!</v>
      </c>
      <c r="HS57" t="e">
        <f>AND('Show Services'!O106,"AAAAAGn7+uI=")</f>
        <v>#VALUE!</v>
      </c>
      <c r="HT57" t="e">
        <f>AND('Show Services'!#REF!,"AAAAAGn7+uM=")</f>
        <v>#REF!</v>
      </c>
      <c r="HU57">
        <f>IF('Show Services'!107:107,"AAAAAGn7+uQ=",0)</f>
        <v>0</v>
      </c>
      <c r="HV57" t="e">
        <f>AND('Show Services'!A107,"AAAAAGn7+uU=")</f>
        <v>#VALUE!</v>
      </c>
      <c r="HW57" t="e">
        <f>AND('Show Services'!B107,"AAAAAGn7+uY=")</f>
        <v>#VALUE!</v>
      </c>
      <c r="HX57" t="e">
        <f>AND('Show Services'!C107,"AAAAAGn7+uc=")</f>
        <v>#VALUE!</v>
      </c>
      <c r="HY57" t="e">
        <f>AND('Show Services'!#REF!,"AAAAAGn7+ug=")</f>
        <v>#REF!</v>
      </c>
      <c r="HZ57" t="e">
        <f>AND('Show Services'!D107,"AAAAAGn7+uk=")</f>
        <v>#VALUE!</v>
      </c>
      <c r="IA57" t="e">
        <f>AND('Show Services'!E107,"AAAAAGn7+uo=")</f>
        <v>#VALUE!</v>
      </c>
      <c r="IB57" t="e">
        <f>AND('Show Services'!F107,"AAAAAGn7+us=")</f>
        <v>#VALUE!</v>
      </c>
      <c r="IC57" t="e">
        <f>AND('Show Services'!G107,"AAAAAGn7+uw=")</f>
        <v>#VALUE!</v>
      </c>
      <c r="ID57" t="e">
        <f>AND('Show Services'!H107,"AAAAAGn7+u0=")</f>
        <v>#VALUE!</v>
      </c>
      <c r="IE57" t="e">
        <f>AND('Show Services'!I107,"AAAAAGn7+u4=")</f>
        <v>#VALUE!</v>
      </c>
      <c r="IF57" t="e">
        <f>AND('Show Services'!#REF!,"AAAAAGn7+u8=")</f>
        <v>#REF!</v>
      </c>
      <c r="IG57" t="e">
        <f>AND('Show Services'!#REF!,"AAAAAGn7+vA=")</f>
        <v>#REF!</v>
      </c>
      <c r="IH57" t="e">
        <f>AND('Show Services'!#REF!,"AAAAAGn7+vE=")</f>
        <v>#REF!</v>
      </c>
      <c r="II57" t="e">
        <f>AND('Show Services'!#REF!,"AAAAAGn7+vI=")</f>
        <v>#REF!</v>
      </c>
      <c r="IJ57" t="e">
        <f>AND('Show Services'!#REF!,"AAAAAGn7+vM=")</f>
        <v>#REF!</v>
      </c>
      <c r="IK57" t="e">
        <f>AND('Show Services'!J107,"AAAAAGn7+vQ=")</f>
        <v>#VALUE!</v>
      </c>
      <c r="IL57" t="e">
        <f>AND('Show Services'!K107,"AAAAAGn7+vU=")</f>
        <v>#VALUE!</v>
      </c>
      <c r="IM57" t="e">
        <f>AND('Show Services'!L107,"AAAAAGn7+vY=")</f>
        <v>#VALUE!</v>
      </c>
      <c r="IN57" t="e">
        <f>AND('Show Services'!M107,"AAAAAGn7+vc=")</f>
        <v>#VALUE!</v>
      </c>
      <c r="IO57" t="e">
        <f>AND('Show Services'!N107,"AAAAAGn7+vg=")</f>
        <v>#VALUE!</v>
      </c>
      <c r="IP57" t="e">
        <f>AND('Show Services'!O107,"AAAAAGn7+vk=")</f>
        <v>#VALUE!</v>
      </c>
      <c r="IQ57" t="e">
        <f>AND('Show Services'!#REF!,"AAAAAGn7+vo=")</f>
        <v>#REF!</v>
      </c>
      <c r="IR57">
        <f>IF('Show Services'!108:108,"AAAAAGn7+vs=",0)</f>
        <v>0</v>
      </c>
      <c r="IS57" t="e">
        <f>AND('Show Services'!A108,"AAAAAGn7+vw=")</f>
        <v>#VALUE!</v>
      </c>
      <c r="IT57" t="e">
        <f>AND('Show Services'!B108,"AAAAAGn7+v0=")</f>
        <v>#VALUE!</v>
      </c>
      <c r="IU57" t="e">
        <f>AND('Show Services'!C108,"AAAAAGn7+v4=")</f>
        <v>#VALUE!</v>
      </c>
      <c r="IV57" t="e">
        <f>AND('Show Services'!#REF!,"AAAAAGn7+v8=")</f>
        <v>#REF!</v>
      </c>
    </row>
    <row r="58" spans="1:256" x14ac:dyDescent="0.2">
      <c r="A58" t="e">
        <f>AND('Show Services'!D108,"AAAAAHu/3QA=")</f>
        <v>#VALUE!</v>
      </c>
      <c r="B58" t="e">
        <f>AND('Show Services'!E108,"AAAAAHu/3QE=")</f>
        <v>#VALUE!</v>
      </c>
      <c r="C58" t="e">
        <f>AND('Show Services'!F108,"AAAAAHu/3QI=")</f>
        <v>#VALUE!</v>
      </c>
      <c r="D58" t="e">
        <f>AND('Show Services'!G108,"AAAAAHu/3QM=")</f>
        <v>#VALUE!</v>
      </c>
      <c r="E58" t="e">
        <f>AND('Show Services'!H108,"AAAAAHu/3QQ=")</f>
        <v>#VALUE!</v>
      </c>
      <c r="F58" t="e">
        <f>AND('Show Services'!I108,"AAAAAHu/3QU=")</f>
        <v>#VALUE!</v>
      </c>
      <c r="G58" t="e">
        <f>AND('Show Services'!#REF!,"AAAAAHu/3QY=")</f>
        <v>#REF!</v>
      </c>
      <c r="H58" t="e">
        <f>AND('Show Services'!#REF!,"AAAAAHu/3Qc=")</f>
        <v>#REF!</v>
      </c>
      <c r="I58" t="e">
        <f>AND('Show Services'!#REF!,"AAAAAHu/3Qg=")</f>
        <v>#REF!</v>
      </c>
      <c r="J58" t="e">
        <f>AND('Show Services'!#REF!,"AAAAAHu/3Qk=")</f>
        <v>#REF!</v>
      </c>
      <c r="K58" t="e">
        <f>AND('Show Services'!#REF!,"AAAAAHu/3Qo=")</f>
        <v>#REF!</v>
      </c>
      <c r="L58" t="e">
        <f>AND('Show Services'!J108,"AAAAAHu/3Qs=")</f>
        <v>#VALUE!</v>
      </c>
      <c r="M58" t="e">
        <f>AND('Show Services'!K108,"AAAAAHu/3Qw=")</f>
        <v>#VALUE!</v>
      </c>
      <c r="N58" t="e">
        <f>AND('Show Services'!L108,"AAAAAHu/3Q0=")</f>
        <v>#VALUE!</v>
      </c>
      <c r="O58" t="e">
        <f>AND('Show Services'!M108,"AAAAAHu/3Q4=")</f>
        <v>#VALUE!</v>
      </c>
      <c r="P58" t="e">
        <f>AND('Show Services'!N108,"AAAAAHu/3Q8=")</f>
        <v>#VALUE!</v>
      </c>
      <c r="Q58" t="e">
        <f>AND('Show Services'!O108,"AAAAAHu/3RA=")</f>
        <v>#VALUE!</v>
      </c>
      <c r="R58" t="e">
        <f>AND('Show Services'!#REF!,"AAAAAHu/3RE=")</f>
        <v>#REF!</v>
      </c>
      <c r="S58">
        <f>IF('Show Services'!109:109,"AAAAAHu/3RI=",0)</f>
        <v>0</v>
      </c>
      <c r="T58" t="e">
        <f>AND('Show Services'!A109,"AAAAAHu/3RM=")</f>
        <v>#VALUE!</v>
      </c>
      <c r="U58" t="e">
        <f>AND('Show Services'!B109,"AAAAAHu/3RQ=")</f>
        <v>#VALUE!</v>
      </c>
      <c r="V58" t="e">
        <f>AND('Show Services'!C109,"AAAAAHu/3RU=")</f>
        <v>#VALUE!</v>
      </c>
      <c r="W58" t="e">
        <f>AND('Show Services'!#REF!,"AAAAAHu/3RY=")</f>
        <v>#REF!</v>
      </c>
      <c r="X58" t="e">
        <f>AND('Show Services'!D109,"AAAAAHu/3Rc=")</f>
        <v>#VALUE!</v>
      </c>
      <c r="Y58" t="e">
        <f>AND('Show Services'!E109,"AAAAAHu/3Rg=")</f>
        <v>#VALUE!</v>
      </c>
      <c r="Z58" t="e">
        <f>AND('Show Services'!F109,"AAAAAHu/3Rk=")</f>
        <v>#VALUE!</v>
      </c>
      <c r="AA58" t="e">
        <f>AND('Show Services'!G109,"AAAAAHu/3Ro=")</f>
        <v>#VALUE!</v>
      </c>
      <c r="AB58" t="e">
        <f>AND('Show Services'!H109,"AAAAAHu/3Rs=")</f>
        <v>#VALUE!</v>
      </c>
      <c r="AC58" t="e">
        <f>AND('Show Services'!I109,"AAAAAHu/3Rw=")</f>
        <v>#VALUE!</v>
      </c>
      <c r="AD58" t="e">
        <f>AND('Show Services'!#REF!,"AAAAAHu/3R0=")</f>
        <v>#REF!</v>
      </c>
      <c r="AE58" t="e">
        <f>AND('Show Services'!#REF!,"AAAAAHu/3R4=")</f>
        <v>#REF!</v>
      </c>
      <c r="AF58" t="e">
        <f>AND('Show Services'!#REF!,"AAAAAHu/3R8=")</f>
        <v>#REF!</v>
      </c>
      <c r="AG58" t="e">
        <f>AND('Show Services'!#REF!,"AAAAAHu/3SA=")</f>
        <v>#REF!</v>
      </c>
      <c r="AH58" t="e">
        <f>AND('Show Services'!#REF!,"AAAAAHu/3SE=")</f>
        <v>#REF!</v>
      </c>
      <c r="AI58" t="e">
        <f>AND('Show Services'!J109,"AAAAAHu/3SI=")</f>
        <v>#VALUE!</v>
      </c>
      <c r="AJ58" t="e">
        <f>AND('Show Services'!K109,"AAAAAHu/3SM=")</f>
        <v>#VALUE!</v>
      </c>
      <c r="AK58" t="e">
        <f>AND('Show Services'!L109,"AAAAAHu/3SQ=")</f>
        <v>#VALUE!</v>
      </c>
      <c r="AL58" t="e">
        <f>AND('Show Services'!M109,"AAAAAHu/3SU=")</f>
        <v>#VALUE!</v>
      </c>
      <c r="AM58" t="e">
        <f>AND('Show Services'!N109,"AAAAAHu/3SY=")</f>
        <v>#VALUE!</v>
      </c>
      <c r="AN58" t="e">
        <f>AND('Show Services'!O109,"AAAAAHu/3Sc=")</f>
        <v>#VALUE!</v>
      </c>
      <c r="AO58" t="e">
        <f>AND('Show Services'!#REF!,"AAAAAHu/3Sg=")</f>
        <v>#REF!</v>
      </c>
      <c r="AP58">
        <f>IF('Show Services'!110:110,"AAAAAHu/3Sk=",0)</f>
        <v>0</v>
      </c>
      <c r="AQ58" t="e">
        <f>AND('Show Services'!A110,"AAAAAHu/3So=")</f>
        <v>#VALUE!</v>
      </c>
      <c r="AR58" t="e">
        <f>AND('Show Services'!B110,"AAAAAHu/3Ss=")</f>
        <v>#VALUE!</v>
      </c>
      <c r="AS58" t="e">
        <f>AND('Show Services'!C110,"AAAAAHu/3Sw=")</f>
        <v>#VALUE!</v>
      </c>
      <c r="AT58" t="e">
        <f>AND('Show Services'!#REF!,"AAAAAHu/3S0=")</f>
        <v>#REF!</v>
      </c>
      <c r="AU58" t="e">
        <f>AND('Show Services'!D110,"AAAAAHu/3S4=")</f>
        <v>#VALUE!</v>
      </c>
      <c r="AV58" t="e">
        <f>AND('Show Services'!E110,"AAAAAHu/3S8=")</f>
        <v>#VALUE!</v>
      </c>
      <c r="AW58" t="e">
        <f>AND('Show Services'!F110,"AAAAAHu/3TA=")</f>
        <v>#VALUE!</v>
      </c>
      <c r="AX58" t="e">
        <f>AND('Show Services'!G110,"AAAAAHu/3TE=")</f>
        <v>#VALUE!</v>
      </c>
      <c r="AY58" t="e">
        <f>AND('Show Services'!H110,"AAAAAHu/3TI=")</f>
        <v>#VALUE!</v>
      </c>
      <c r="AZ58" t="e">
        <f>AND('Show Services'!I110,"AAAAAHu/3TM=")</f>
        <v>#VALUE!</v>
      </c>
      <c r="BA58" t="e">
        <f>AND('Show Services'!#REF!,"AAAAAHu/3TQ=")</f>
        <v>#REF!</v>
      </c>
      <c r="BB58" t="e">
        <f>AND('Show Services'!#REF!,"AAAAAHu/3TU=")</f>
        <v>#REF!</v>
      </c>
      <c r="BC58" t="e">
        <f>AND('Show Services'!#REF!,"AAAAAHu/3TY=")</f>
        <v>#REF!</v>
      </c>
      <c r="BD58" t="e">
        <f>AND('Show Services'!#REF!,"AAAAAHu/3Tc=")</f>
        <v>#REF!</v>
      </c>
      <c r="BE58" t="e">
        <f>AND('Show Services'!#REF!,"AAAAAHu/3Tg=")</f>
        <v>#REF!</v>
      </c>
      <c r="BF58" t="e">
        <f>AND('Show Services'!J110,"AAAAAHu/3Tk=")</f>
        <v>#VALUE!</v>
      </c>
      <c r="BG58" t="e">
        <f>AND('Show Services'!K110,"AAAAAHu/3To=")</f>
        <v>#VALUE!</v>
      </c>
      <c r="BH58" t="e">
        <f>AND('Show Services'!L110,"AAAAAHu/3Ts=")</f>
        <v>#VALUE!</v>
      </c>
      <c r="BI58" t="e">
        <f>AND('Show Services'!M110,"AAAAAHu/3Tw=")</f>
        <v>#VALUE!</v>
      </c>
      <c r="BJ58" t="e">
        <f>AND('Show Services'!N110,"AAAAAHu/3T0=")</f>
        <v>#VALUE!</v>
      </c>
      <c r="BK58" t="e">
        <f>AND('Show Services'!O110,"AAAAAHu/3T4=")</f>
        <v>#VALUE!</v>
      </c>
      <c r="BL58" t="e">
        <f>AND('Show Services'!#REF!,"AAAAAHu/3T8=")</f>
        <v>#REF!</v>
      </c>
      <c r="BM58">
        <f>IF('Show Services'!111:111,"AAAAAHu/3UA=",0)</f>
        <v>0</v>
      </c>
      <c r="BN58" t="e">
        <f>AND('Show Services'!A111,"AAAAAHu/3UE=")</f>
        <v>#VALUE!</v>
      </c>
      <c r="BO58" t="e">
        <f>AND('Show Services'!B111,"AAAAAHu/3UI=")</f>
        <v>#VALUE!</v>
      </c>
      <c r="BP58" t="e">
        <f>AND('Show Services'!C111,"AAAAAHu/3UM=")</f>
        <v>#VALUE!</v>
      </c>
      <c r="BQ58" t="e">
        <f>AND('Show Services'!#REF!,"AAAAAHu/3UQ=")</f>
        <v>#REF!</v>
      </c>
      <c r="BR58" t="e">
        <f>AND('Show Services'!D111,"AAAAAHu/3UU=")</f>
        <v>#VALUE!</v>
      </c>
      <c r="BS58" t="e">
        <f>AND('Show Services'!E111,"AAAAAHu/3UY=")</f>
        <v>#VALUE!</v>
      </c>
      <c r="BT58" t="e">
        <f>AND('Show Services'!F111,"AAAAAHu/3Uc=")</f>
        <v>#VALUE!</v>
      </c>
      <c r="BU58" t="e">
        <f>AND('Show Services'!G111,"AAAAAHu/3Ug=")</f>
        <v>#VALUE!</v>
      </c>
      <c r="BV58" t="e">
        <f>AND('Show Services'!H111,"AAAAAHu/3Uk=")</f>
        <v>#VALUE!</v>
      </c>
      <c r="BW58" t="e">
        <f>AND('Show Services'!I111,"AAAAAHu/3Uo=")</f>
        <v>#VALUE!</v>
      </c>
      <c r="BX58" t="e">
        <f>AND('Show Services'!#REF!,"AAAAAHu/3Us=")</f>
        <v>#REF!</v>
      </c>
      <c r="BY58" t="e">
        <f>AND('Show Services'!#REF!,"AAAAAHu/3Uw=")</f>
        <v>#REF!</v>
      </c>
      <c r="BZ58" t="e">
        <f>AND('Show Services'!#REF!,"AAAAAHu/3U0=")</f>
        <v>#REF!</v>
      </c>
      <c r="CA58" t="e">
        <f>AND('Show Services'!#REF!,"AAAAAHu/3U4=")</f>
        <v>#REF!</v>
      </c>
      <c r="CB58" t="e">
        <f>AND('Show Services'!#REF!,"AAAAAHu/3U8=")</f>
        <v>#REF!</v>
      </c>
      <c r="CC58" t="e">
        <f>AND('Show Services'!J111,"AAAAAHu/3VA=")</f>
        <v>#VALUE!</v>
      </c>
      <c r="CD58" t="e">
        <f>AND('Show Services'!K111,"AAAAAHu/3VE=")</f>
        <v>#VALUE!</v>
      </c>
      <c r="CE58" t="e">
        <f>AND('Show Services'!L111,"AAAAAHu/3VI=")</f>
        <v>#VALUE!</v>
      </c>
      <c r="CF58" t="e">
        <f>AND('Show Services'!M111,"AAAAAHu/3VM=")</f>
        <v>#VALUE!</v>
      </c>
      <c r="CG58" t="e">
        <f>AND('Show Services'!N111,"AAAAAHu/3VQ=")</f>
        <v>#VALUE!</v>
      </c>
      <c r="CH58" t="e">
        <f>AND('Show Services'!O111,"AAAAAHu/3VU=")</f>
        <v>#VALUE!</v>
      </c>
      <c r="CI58" t="e">
        <f>AND('Show Services'!#REF!,"AAAAAHu/3VY=")</f>
        <v>#REF!</v>
      </c>
      <c r="CJ58">
        <f>IF('Show Services'!112:112,"AAAAAHu/3Vc=",0)</f>
        <v>0</v>
      </c>
      <c r="CK58" t="e">
        <f>AND('Show Services'!A112,"AAAAAHu/3Vg=")</f>
        <v>#VALUE!</v>
      </c>
      <c r="CL58" t="e">
        <f>AND('Show Services'!B112,"AAAAAHu/3Vk=")</f>
        <v>#VALUE!</v>
      </c>
      <c r="CM58" t="e">
        <f>AND('Show Services'!C112,"AAAAAHu/3Vo=")</f>
        <v>#VALUE!</v>
      </c>
      <c r="CN58" t="e">
        <f>AND('Show Services'!#REF!,"AAAAAHu/3Vs=")</f>
        <v>#REF!</v>
      </c>
      <c r="CO58" t="e">
        <f>AND('Show Services'!D112,"AAAAAHu/3Vw=")</f>
        <v>#VALUE!</v>
      </c>
      <c r="CP58" t="e">
        <f>AND('Show Services'!E112,"AAAAAHu/3V0=")</f>
        <v>#VALUE!</v>
      </c>
      <c r="CQ58" t="e">
        <f>AND('Show Services'!F112,"AAAAAHu/3V4=")</f>
        <v>#VALUE!</v>
      </c>
      <c r="CR58" t="e">
        <f>AND('Show Services'!G112,"AAAAAHu/3V8=")</f>
        <v>#VALUE!</v>
      </c>
      <c r="CS58" t="e">
        <f>AND('Show Services'!H112,"AAAAAHu/3WA=")</f>
        <v>#VALUE!</v>
      </c>
      <c r="CT58" t="e">
        <f>AND('Show Services'!I112,"AAAAAHu/3WE=")</f>
        <v>#VALUE!</v>
      </c>
      <c r="CU58" t="e">
        <f>AND('Show Services'!#REF!,"AAAAAHu/3WI=")</f>
        <v>#REF!</v>
      </c>
      <c r="CV58" t="e">
        <f>AND('Show Services'!#REF!,"AAAAAHu/3WM=")</f>
        <v>#REF!</v>
      </c>
      <c r="CW58" t="e">
        <f>AND('Show Services'!#REF!,"AAAAAHu/3WQ=")</f>
        <v>#REF!</v>
      </c>
      <c r="CX58" t="e">
        <f>AND('Show Services'!#REF!,"AAAAAHu/3WU=")</f>
        <v>#REF!</v>
      </c>
      <c r="CY58" t="e">
        <f>AND('Show Services'!#REF!,"AAAAAHu/3WY=")</f>
        <v>#REF!</v>
      </c>
      <c r="CZ58" t="e">
        <f>AND('Show Services'!J112,"AAAAAHu/3Wc=")</f>
        <v>#VALUE!</v>
      </c>
      <c r="DA58" t="e">
        <f>AND('Show Services'!K112,"AAAAAHu/3Wg=")</f>
        <v>#VALUE!</v>
      </c>
      <c r="DB58" t="e">
        <f>AND('Show Services'!L112,"AAAAAHu/3Wk=")</f>
        <v>#VALUE!</v>
      </c>
      <c r="DC58" t="e">
        <f>AND('Show Services'!M112,"AAAAAHu/3Wo=")</f>
        <v>#VALUE!</v>
      </c>
      <c r="DD58" t="e">
        <f>AND('Show Services'!N112,"AAAAAHu/3Ws=")</f>
        <v>#VALUE!</v>
      </c>
      <c r="DE58" t="e">
        <f>AND('Show Services'!O112,"AAAAAHu/3Ww=")</f>
        <v>#VALUE!</v>
      </c>
      <c r="DF58" t="e">
        <f>AND('Show Services'!#REF!,"AAAAAHu/3W0=")</f>
        <v>#REF!</v>
      </c>
      <c r="DG58">
        <f>IF('Show Services'!113:113,"AAAAAHu/3W4=",0)</f>
        <v>0</v>
      </c>
      <c r="DH58" t="e">
        <f>AND('Show Services'!A113,"AAAAAHu/3W8=")</f>
        <v>#VALUE!</v>
      </c>
      <c r="DI58" t="e">
        <f>AND('Show Services'!B113,"AAAAAHu/3XA=")</f>
        <v>#VALUE!</v>
      </c>
      <c r="DJ58" t="e">
        <f>AND('Show Services'!C113,"AAAAAHu/3XE=")</f>
        <v>#VALUE!</v>
      </c>
      <c r="DK58" t="e">
        <f>AND('Show Services'!#REF!,"AAAAAHu/3XI=")</f>
        <v>#REF!</v>
      </c>
      <c r="DL58" t="e">
        <f>AND('Show Services'!D113,"AAAAAHu/3XM=")</f>
        <v>#VALUE!</v>
      </c>
      <c r="DM58" t="e">
        <f>AND('Show Services'!E113,"AAAAAHu/3XQ=")</f>
        <v>#VALUE!</v>
      </c>
      <c r="DN58" t="e">
        <f>AND('Show Services'!F113,"AAAAAHu/3XU=")</f>
        <v>#VALUE!</v>
      </c>
      <c r="DO58" t="e">
        <f>AND('Show Services'!G113,"AAAAAHu/3XY=")</f>
        <v>#VALUE!</v>
      </c>
      <c r="DP58" t="e">
        <f>AND('Show Services'!H113,"AAAAAHu/3Xc=")</f>
        <v>#VALUE!</v>
      </c>
      <c r="DQ58" t="e">
        <f>AND('Show Services'!I113,"AAAAAHu/3Xg=")</f>
        <v>#VALUE!</v>
      </c>
      <c r="DR58" t="e">
        <f>AND('Show Services'!#REF!,"AAAAAHu/3Xk=")</f>
        <v>#REF!</v>
      </c>
      <c r="DS58" t="e">
        <f>AND('Show Services'!#REF!,"AAAAAHu/3Xo=")</f>
        <v>#REF!</v>
      </c>
      <c r="DT58" t="e">
        <f>AND('Show Services'!#REF!,"AAAAAHu/3Xs=")</f>
        <v>#REF!</v>
      </c>
      <c r="DU58" t="e">
        <f>AND('Show Services'!#REF!,"AAAAAHu/3Xw=")</f>
        <v>#REF!</v>
      </c>
      <c r="DV58" t="e">
        <f>AND('Show Services'!#REF!,"AAAAAHu/3X0=")</f>
        <v>#REF!</v>
      </c>
      <c r="DW58" t="e">
        <f>AND('Show Services'!J113,"AAAAAHu/3X4=")</f>
        <v>#VALUE!</v>
      </c>
      <c r="DX58" t="e">
        <f>AND('Show Services'!K113,"AAAAAHu/3X8=")</f>
        <v>#VALUE!</v>
      </c>
      <c r="DY58" t="e">
        <f>AND('Show Services'!L113,"AAAAAHu/3YA=")</f>
        <v>#VALUE!</v>
      </c>
      <c r="DZ58" t="e">
        <f>AND('Show Services'!M113,"AAAAAHu/3YE=")</f>
        <v>#VALUE!</v>
      </c>
      <c r="EA58" t="e">
        <f>AND('Show Services'!N113,"AAAAAHu/3YI=")</f>
        <v>#VALUE!</v>
      </c>
      <c r="EB58" t="e">
        <f>AND('Show Services'!O113,"AAAAAHu/3YM=")</f>
        <v>#VALUE!</v>
      </c>
      <c r="EC58" t="e">
        <f>AND('Show Services'!#REF!,"AAAAAHu/3YQ=")</f>
        <v>#REF!</v>
      </c>
      <c r="ED58">
        <f>IF('Show Services'!114:114,"AAAAAHu/3YU=",0)</f>
        <v>0</v>
      </c>
      <c r="EE58" t="e">
        <f>AND('Show Services'!A114,"AAAAAHu/3YY=")</f>
        <v>#VALUE!</v>
      </c>
      <c r="EF58" t="e">
        <f>AND('Show Services'!B114,"AAAAAHu/3Yc=")</f>
        <v>#VALUE!</v>
      </c>
      <c r="EG58" t="e">
        <f>AND('Show Services'!C114,"AAAAAHu/3Yg=")</f>
        <v>#VALUE!</v>
      </c>
      <c r="EH58" t="e">
        <f>AND('Show Services'!#REF!,"AAAAAHu/3Yk=")</f>
        <v>#REF!</v>
      </c>
      <c r="EI58" t="e">
        <f>AND('Show Services'!D114,"AAAAAHu/3Yo=")</f>
        <v>#VALUE!</v>
      </c>
      <c r="EJ58" t="e">
        <f>AND('Show Services'!E114,"AAAAAHu/3Ys=")</f>
        <v>#VALUE!</v>
      </c>
      <c r="EK58" t="e">
        <f>AND('Show Services'!F114,"AAAAAHu/3Yw=")</f>
        <v>#VALUE!</v>
      </c>
      <c r="EL58" t="e">
        <f>AND('Show Services'!G114,"AAAAAHu/3Y0=")</f>
        <v>#VALUE!</v>
      </c>
      <c r="EM58" t="e">
        <f>AND('Show Services'!H114,"AAAAAHu/3Y4=")</f>
        <v>#VALUE!</v>
      </c>
      <c r="EN58" t="e">
        <f>AND('Show Services'!I114,"AAAAAHu/3Y8=")</f>
        <v>#VALUE!</v>
      </c>
      <c r="EO58" t="e">
        <f>AND('Show Services'!#REF!,"AAAAAHu/3ZA=")</f>
        <v>#REF!</v>
      </c>
      <c r="EP58" t="e">
        <f>AND('Show Services'!#REF!,"AAAAAHu/3ZE=")</f>
        <v>#REF!</v>
      </c>
      <c r="EQ58" t="e">
        <f>AND('Show Services'!#REF!,"AAAAAHu/3ZI=")</f>
        <v>#REF!</v>
      </c>
      <c r="ER58" t="e">
        <f>AND('Show Services'!#REF!,"AAAAAHu/3ZM=")</f>
        <v>#REF!</v>
      </c>
      <c r="ES58" t="e">
        <f>AND('Show Services'!#REF!,"AAAAAHu/3ZQ=")</f>
        <v>#REF!</v>
      </c>
      <c r="ET58" t="e">
        <f>AND('Show Services'!J114,"AAAAAHu/3ZU=")</f>
        <v>#VALUE!</v>
      </c>
      <c r="EU58" t="e">
        <f>AND('Show Services'!K114,"AAAAAHu/3ZY=")</f>
        <v>#VALUE!</v>
      </c>
      <c r="EV58" t="e">
        <f>AND('Show Services'!L114,"AAAAAHu/3Zc=")</f>
        <v>#VALUE!</v>
      </c>
      <c r="EW58" t="e">
        <f>AND('Show Services'!M114,"AAAAAHu/3Zg=")</f>
        <v>#VALUE!</v>
      </c>
      <c r="EX58" t="e">
        <f>AND('Show Services'!N114,"AAAAAHu/3Zk=")</f>
        <v>#VALUE!</v>
      </c>
      <c r="EY58" t="e">
        <f>AND('Show Services'!O114,"AAAAAHu/3Zo=")</f>
        <v>#VALUE!</v>
      </c>
      <c r="EZ58" t="e">
        <f>AND('Show Services'!#REF!,"AAAAAHu/3Zs=")</f>
        <v>#REF!</v>
      </c>
      <c r="FA58">
        <f>IF('Show Services'!115:115,"AAAAAHu/3Zw=",0)</f>
        <v>0</v>
      </c>
      <c r="FB58" t="e">
        <f>AND('Show Services'!A115,"AAAAAHu/3Z0=")</f>
        <v>#VALUE!</v>
      </c>
      <c r="FC58" t="e">
        <f>AND('Show Services'!B115,"AAAAAHu/3Z4=")</f>
        <v>#VALUE!</v>
      </c>
      <c r="FD58" t="e">
        <f>AND('Show Services'!C115,"AAAAAHu/3Z8=")</f>
        <v>#VALUE!</v>
      </c>
      <c r="FE58" t="e">
        <f>AND('Show Services'!#REF!,"AAAAAHu/3aA=")</f>
        <v>#REF!</v>
      </c>
      <c r="FF58" t="e">
        <f>AND('Show Services'!D115,"AAAAAHu/3aE=")</f>
        <v>#VALUE!</v>
      </c>
      <c r="FG58" t="e">
        <f>AND('Show Services'!E115,"AAAAAHu/3aI=")</f>
        <v>#VALUE!</v>
      </c>
      <c r="FH58" t="e">
        <f>AND('Show Services'!F115,"AAAAAHu/3aM=")</f>
        <v>#VALUE!</v>
      </c>
      <c r="FI58" t="e">
        <f>AND('Show Services'!G115,"AAAAAHu/3aQ=")</f>
        <v>#VALUE!</v>
      </c>
      <c r="FJ58" t="e">
        <f>AND('Show Services'!H115,"AAAAAHu/3aU=")</f>
        <v>#VALUE!</v>
      </c>
      <c r="FK58" t="e">
        <f>AND('Show Services'!I115,"AAAAAHu/3aY=")</f>
        <v>#VALUE!</v>
      </c>
      <c r="FL58" t="e">
        <f>AND('Show Services'!#REF!,"AAAAAHu/3ac=")</f>
        <v>#REF!</v>
      </c>
      <c r="FM58" t="e">
        <f>AND('Show Services'!#REF!,"AAAAAHu/3ag=")</f>
        <v>#REF!</v>
      </c>
      <c r="FN58" t="e">
        <f>AND('Show Services'!#REF!,"AAAAAHu/3ak=")</f>
        <v>#REF!</v>
      </c>
      <c r="FO58" t="e">
        <f>AND('Show Services'!#REF!,"AAAAAHu/3ao=")</f>
        <v>#REF!</v>
      </c>
      <c r="FP58" t="e">
        <f>AND('Show Services'!#REF!,"AAAAAHu/3as=")</f>
        <v>#REF!</v>
      </c>
      <c r="FQ58" t="e">
        <f>AND('Show Services'!J115,"AAAAAHu/3aw=")</f>
        <v>#VALUE!</v>
      </c>
      <c r="FR58" t="e">
        <f>AND('Show Services'!K115,"AAAAAHu/3a0=")</f>
        <v>#VALUE!</v>
      </c>
      <c r="FS58" t="e">
        <f>AND('Show Services'!L115,"AAAAAHu/3a4=")</f>
        <v>#VALUE!</v>
      </c>
      <c r="FT58" t="e">
        <f>AND('Show Services'!M115,"AAAAAHu/3a8=")</f>
        <v>#VALUE!</v>
      </c>
      <c r="FU58" t="e">
        <f>AND('Show Services'!N115,"AAAAAHu/3bA=")</f>
        <v>#VALUE!</v>
      </c>
      <c r="FV58" t="e">
        <f>AND('Show Services'!O115,"AAAAAHu/3bE=")</f>
        <v>#VALUE!</v>
      </c>
      <c r="FW58" t="e">
        <f>AND('Show Services'!#REF!,"AAAAAHu/3bI=")</f>
        <v>#REF!</v>
      </c>
      <c r="FX58">
        <f>IF('Show Services'!116:116,"AAAAAHu/3bM=",0)</f>
        <v>0</v>
      </c>
      <c r="FY58" t="e">
        <f>AND('Show Services'!A116,"AAAAAHu/3bQ=")</f>
        <v>#VALUE!</v>
      </c>
      <c r="FZ58" t="e">
        <f>AND('Show Services'!B116,"AAAAAHu/3bU=")</f>
        <v>#VALUE!</v>
      </c>
      <c r="GA58" t="e">
        <f>AND('Show Services'!C116,"AAAAAHu/3bY=")</f>
        <v>#VALUE!</v>
      </c>
      <c r="GB58" t="e">
        <f>AND('Show Services'!#REF!,"AAAAAHu/3bc=")</f>
        <v>#REF!</v>
      </c>
      <c r="GC58" t="e">
        <f>AND('Show Services'!D116,"AAAAAHu/3bg=")</f>
        <v>#VALUE!</v>
      </c>
      <c r="GD58" t="e">
        <f>AND('Show Services'!E116,"AAAAAHu/3bk=")</f>
        <v>#VALUE!</v>
      </c>
      <c r="GE58" t="e">
        <f>AND('Show Services'!F116,"AAAAAHu/3bo=")</f>
        <v>#VALUE!</v>
      </c>
      <c r="GF58" t="e">
        <f>AND('Show Services'!G116,"AAAAAHu/3bs=")</f>
        <v>#VALUE!</v>
      </c>
      <c r="GG58" t="e">
        <f>AND('Show Services'!H116,"AAAAAHu/3bw=")</f>
        <v>#VALUE!</v>
      </c>
      <c r="GH58" t="e">
        <f>AND('Show Services'!I116,"AAAAAHu/3b0=")</f>
        <v>#VALUE!</v>
      </c>
      <c r="GI58" t="e">
        <f>AND('Show Services'!#REF!,"AAAAAHu/3b4=")</f>
        <v>#REF!</v>
      </c>
      <c r="GJ58" t="e">
        <f>AND('Show Services'!#REF!,"AAAAAHu/3b8=")</f>
        <v>#REF!</v>
      </c>
      <c r="GK58" t="e">
        <f>AND('Show Services'!#REF!,"AAAAAHu/3cA=")</f>
        <v>#REF!</v>
      </c>
      <c r="GL58" t="e">
        <f>AND('Show Services'!#REF!,"AAAAAHu/3cE=")</f>
        <v>#REF!</v>
      </c>
      <c r="GM58" t="e">
        <f>AND('Show Services'!#REF!,"AAAAAHu/3cI=")</f>
        <v>#REF!</v>
      </c>
      <c r="GN58" t="e">
        <f>AND('Show Services'!J116,"AAAAAHu/3cM=")</f>
        <v>#VALUE!</v>
      </c>
      <c r="GO58" t="e">
        <f>AND('Show Services'!K116,"AAAAAHu/3cQ=")</f>
        <v>#VALUE!</v>
      </c>
      <c r="GP58" t="e">
        <f>AND('Show Services'!L116,"AAAAAHu/3cU=")</f>
        <v>#VALUE!</v>
      </c>
      <c r="GQ58" t="e">
        <f>AND('Show Services'!M116,"AAAAAHu/3cY=")</f>
        <v>#VALUE!</v>
      </c>
      <c r="GR58" t="e">
        <f>AND('Show Services'!N116,"AAAAAHu/3cc=")</f>
        <v>#VALUE!</v>
      </c>
      <c r="GS58" t="e">
        <f>AND('Show Services'!O116,"AAAAAHu/3cg=")</f>
        <v>#VALUE!</v>
      </c>
      <c r="GT58" t="e">
        <f>AND('Show Services'!#REF!,"AAAAAHu/3ck=")</f>
        <v>#REF!</v>
      </c>
      <c r="GU58">
        <f>IF('Show Services'!117:117,"AAAAAHu/3co=",0)</f>
        <v>0</v>
      </c>
      <c r="GV58" t="e">
        <f>AND('Show Services'!A117,"AAAAAHu/3cs=")</f>
        <v>#VALUE!</v>
      </c>
      <c r="GW58" t="e">
        <f>AND('Show Services'!B117,"AAAAAHu/3cw=")</f>
        <v>#VALUE!</v>
      </c>
      <c r="GX58" t="e">
        <f>AND('Show Services'!C117,"AAAAAHu/3c0=")</f>
        <v>#VALUE!</v>
      </c>
      <c r="GY58" t="e">
        <f>AND('Show Services'!#REF!,"AAAAAHu/3c4=")</f>
        <v>#REF!</v>
      </c>
      <c r="GZ58" t="e">
        <f>AND('Show Services'!D117,"AAAAAHu/3c8=")</f>
        <v>#VALUE!</v>
      </c>
      <c r="HA58" t="e">
        <f>AND('Show Services'!E117,"AAAAAHu/3dA=")</f>
        <v>#VALUE!</v>
      </c>
      <c r="HB58" t="e">
        <f>AND('Show Services'!F117,"AAAAAHu/3dE=")</f>
        <v>#VALUE!</v>
      </c>
      <c r="HC58" t="e">
        <f>AND('Show Services'!G117,"AAAAAHu/3dI=")</f>
        <v>#VALUE!</v>
      </c>
      <c r="HD58" t="e">
        <f>AND('Show Services'!H117,"AAAAAHu/3dM=")</f>
        <v>#VALUE!</v>
      </c>
      <c r="HE58" t="e">
        <f>AND('Show Services'!I117,"AAAAAHu/3dQ=")</f>
        <v>#VALUE!</v>
      </c>
      <c r="HF58" t="e">
        <f>AND('Show Services'!#REF!,"AAAAAHu/3dU=")</f>
        <v>#REF!</v>
      </c>
      <c r="HG58" t="e">
        <f>AND('Show Services'!#REF!,"AAAAAHu/3dY=")</f>
        <v>#REF!</v>
      </c>
      <c r="HH58" t="e">
        <f>AND('Show Services'!#REF!,"AAAAAHu/3dc=")</f>
        <v>#REF!</v>
      </c>
      <c r="HI58" t="e">
        <f>AND('Show Services'!#REF!,"AAAAAHu/3dg=")</f>
        <v>#REF!</v>
      </c>
      <c r="HJ58" t="e">
        <f>AND('Show Services'!#REF!,"AAAAAHu/3dk=")</f>
        <v>#REF!</v>
      </c>
      <c r="HK58" t="e">
        <f>AND('Show Services'!J117,"AAAAAHu/3do=")</f>
        <v>#VALUE!</v>
      </c>
      <c r="HL58" t="e">
        <f>AND('Show Services'!K117,"AAAAAHu/3ds=")</f>
        <v>#VALUE!</v>
      </c>
      <c r="HM58" t="e">
        <f>AND('Show Services'!L117,"AAAAAHu/3dw=")</f>
        <v>#VALUE!</v>
      </c>
      <c r="HN58" t="e">
        <f>AND('Show Services'!M117,"AAAAAHu/3d0=")</f>
        <v>#VALUE!</v>
      </c>
      <c r="HO58" t="e">
        <f>AND('Show Services'!N117,"AAAAAHu/3d4=")</f>
        <v>#VALUE!</v>
      </c>
      <c r="HP58" t="e">
        <f>AND('Show Services'!O117,"AAAAAHu/3d8=")</f>
        <v>#VALUE!</v>
      </c>
      <c r="HQ58" t="e">
        <f>AND('Show Services'!#REF!,"AAAAAHu/3eA=")</f>
        <v>#REF!</v>
      </c>
      <c r="HR58">
        <f>IF('Show Services'!118:118,"AAAAAHu/3eE=",0)</f>
        <v>0</v>
      </c>
      <c r="HS58" t="e">
        <f>AND('Show Services'!A118,"AAAAAHu/3eI=")</f>
        <v>#VALUE!</v>
      </c>
      <c r="HT58" t="e">
        <f>AND('Show Services'!B118,"AAAAAHu/3eM=")</f>
        <v>#VALUE!</v>
      </c>
      <c r="HU58" t="e">
        <f>AND('Show Services'!C118,"AAAAAHu/3eQ=")</f>
        <v>#VALUE!</v>
      </c>
      <c r="HV58" t="e">
        <f>AND('Show Services'!#REF!,"AAAAAHu/3eU=")</f>
        <v>#REF!</v>
      </c>
      <c r="HW58" t="e">
        <f>AND('Show Services'!D118,"AAAAAHu/3eY=")</f>
        <v>#VALUE!</v>
      </c>
      <c r="HX58" t="e">
        <f>AND('Show Services'!E118,"AAAAAHu/3ec=")</f>
        <v>#VALUE!</v>
      </c>
      <c r="HY58" t="e">
        <f>AND('Show Services'!F118,"AAAAAHu/3eg=")</f>
        <v>#VALUE!</v>
      </c>
      <c r="HZ58" t="e">
        <f>AND('Show Services'!G118,"AAAAAHu/3ek=")</f>
        <v>#VALUE!</v>
      </c>
      <c r="IA58" t="e">
        <f>AND('Show Services'!H118,"AAAAAHu/3eo=")</f>
        <v>#VALUE!</v>
      </c>
      <c r="IB58" t="e">
        <f>AND('Show Services'!I118,"AAAAAHu/3es=")</f>
        <v>#VALUE!</v>
      </c>
      <c r="IC58" t="e">
        <f>AND('Show Services'!#REF!,"AAAAAHu/3ew=")</f>
        <v>#REF!</v>
      </c>
      <c r="ID58" t="e">
        <f>AND('Show Services'!#REF!,"AAAAAHu/3e0=")</f>
        <v>#REF!</v>
      </c>
      <c r="IE58" t="e">
        <f>AND('Show Services'!#REF!,"AAAAAHu/3e4=")</f>
        <v>#REF!</v>
      </c>
      <c r="IF58" t="e">
        <f>AND('Show Services'!#REF!,"AAAAAHu/3e8=")</f>
        <v>#REF!</v>
      </c>
      <c r="IG58" t="e">
        <f>AND('Show Services'!#REF!,"AAAAAHu/3fA=")</f>
        <v>#REF!</v>
      </c>
      <c r="IH58" t="e">
        <f>AND('Show Services'!J118,"AAAAAHu/3fE=")</f>
        <v>#VALUE!</v>
      </c>
      <c r="II58" t="e">
        <f>AND('Show Services'!K118,"AAAAAHu/3fI=")</f>
        <v>#VALUE!</v>
      </c>
      <c r="IJ58" t="e">
        <f>AND('Show Services'!L118,"AAAAAHu/3fM=")</f>
        <v>#VALUE!</v>
      </c>
      <c r="IK58" t="e">
        <f>AND('Show Services'!M118,"AAAAAHu/3fQ=")</f>
        <v>#VALUE!</v>
      </c>
      <c r="IL58" t="e">
        <f>AND('Show Services'!N118,"AAAAAHu/3fU=")</f>
        <v>#VALUE!</v>
      </c>
      <c r="IM58" t="e">
        <f>AND('Show Services'!O118,"AAAAAHu/3fY=")</f>
        <v>#VALUE!</v>
      </c>
      <c r="IN58" t="e">
        <f>AND('Show Services'!#REF!,"AAAAAHu/3fc=")</f>
        <v>#REF!</v>
      </c>
      <c r="IO58">
        <f>IF('Show Services'!119:119,"AAAAAHu/3fg=",0)</f>
        <v>0</v>
      </c>
      <c r="IP58" t="e">
        <f>AND('Show Services'!A119,"AAAAAHu/3fk=")</f>
        <v>#VALUE!</v>
      </c>
      <c r="IQ58" t="e">
        <f>AND('Show Services'!B119,"AAAAAHu/3fo=")</f>
        <v>#VALUE!</v>
      </c>
      <c r="IR58" t="e">
        <f>AND('Show Services'!C119,"AAAAAHu/3fs=")</f>
        <v>#VALUE!</v>
      </c>
      <c r="IS58" t="e">
        <f>AND('Show Services'!#REF!,"AAAAAHu/3fw=")</f>
        <v>#REF!</v>
      </c>
      <c r="IT58" t="e">
        <f>AND('Show Services'!D119,"AAAAAHu/3f0=")</f>
        <v>#VALUE!</v>
      </c>
      <c r="IU58" t="e">
        <f>AND('Show Services'!E119,"AAAAAHu/3f4=")</f>
        <v>#VALUE!</v>
      </c>
      <c r="IV58" t="e">
        <f>AND('Show Services'!F119,"AAAAAHu/3f8=")</f>
        <v>#VALUE!</v>
      </c>
    </row>
    <row r="59" spans="1:256" x14ac:dyDescent="0.2">
      <c r="A59" t="e">
        <f>AND('Show Services'!G119,"AAAAAGf/9wA=")</f>
        <v>#VALUE!</v>
      </c>
      <c r="B59" t="e">
        <f>AND('Show Services'!H119,"AAAAAGf/9wE=")</f>
        <v>#VALUE!</v>
      </c>
      <c r="C59" t="e">
        <f>AND('Show Services'!I119,"AAAAAGf/9wI=")</f>
        <v>#VALUE!</v>
      </c>
      <c r="D59" t="e">
        <f>AND('Show Services'!#REF!,"AAAAAGf/9wM=")</f>
        <v>#REF!</v>
      </c>
      <c r="E59" t="e">
        <f>AND('Show Services'!#REF!,"AAAAAGf/9wQ=")</f>
        <v>#REF!</v>
      </c>
      <c r="F59" t="e">
        <f>AND('Show Services'!#REF!,"AAAAAGf/9wU=")</f>
        <v>#REF!</v>
      </c>
      <c r="G59" t="e">
        <f>AND('Show Services'!#REF!,"AAAAAGf/9wY=")</f>
        <v>#REF!</v>
      </c>
      <c r="H59" t="e">
        <f>AND('Show Services'!#REF!,"AAAAAGf/9wc=")</f>
        <v>#REF!</v>
      </c>
      <c r="I59" t="e">
        <f>AND('Show Services'!J119,"AAAAAGf/9wg=")</f>
        <v>#VALUE!</v>
      </c>
      <c r="J59" t="e">
        <f>AND('Show Services'!K119,"AAAAAGf/9wk=")</f>
        <v>#VALUE!</v>
      </c>
      <c r="K59" t="e">
        <f>AND('Show Services'!L119,"AAAAAGf/9wo=")</f>
        <v>#VALUE!</v>
      </c>
      <c r="L59" t="e">
        <f>AND('Show Services'!M119,"AAAAAGf/9ws=")</f>
        <v>#VALUE!</v>
      </c>
      <c r="M59" t="e">
        <f>AND('Show Services'!N119,"AAAAAGf/9ww=")</f>
        <v>#VALUE!</v>
      </c>
      <c r="N59" t="e">
        <f>AND('Show Services'!O119,"AAAAAGf/9w0=")</f>
        <v>#VALUE!</v>
      </c>
      <c r="O59" t="e">
        <f>AND('Show Services'!#REF!,"AAAAAGf/9w4=")</f>
        <v>#REF!</v>
      </c>
      <c r="P59">
        <f>IF('Show Services'!120:120,"AAAAAGf/9w8=",0)</f>
        <v>0</v>
      </c>
      <c r="Q59" t="e">
        <f>AND('Show Services'!A120,"AAAAAGf/9xA=")</f>
        <v>#VALUE!</v>
      </c>
      <c r="R59" t="e">
        <f>AND('Show Services'!B120,"AAAAAGf/9xE=")</f>
        <v>#VALUE!</v>
      </c>
      <c r="S59" t="e">
        <f>AND('Show Services'!C120,"AAAAAGf/9xI=")</f>
        <v>#VALUE!</v>
      </c>
      <c r="T59" t="e">
        <f>AND('Show Services'!#REF!,"AAAAAGf/9xM=")</f>
        <v>#REF!</v>
      </c>
      <c r="U59" t="e">
        <f>AND('Show Services'!D120,"AAAAAGf/9xQ=")</f>
        <v>#VALUE!</v>
      </c>
      <c r="V59" t="e">
        <f>AND('Show Services'!E120,"AAAAAGf/9xU=")</f>
        <v>#VALUE!</v>
      </c>
      <c r="W59" t="e">
        <f>AND('Show Services'!F120,"AAAAAGf/9xY=")</f>
        <v>#VALUE!</v>
      </c>
      <c r="X59" t="e">
        <f>AND('Show Services'!G120,"AAAAAGf/9xc=")</f>
        <v>#VALUE!</v>
      </c>
      <c r="Y59" t="e">
        <f>AND('Show Services'!H120,"AAAAAGf/9xg=")</f>
        <v>#VALUE!</v>
      </c>
      <c r="Z59" t="e">
        <f>AND('Show Services'!I120,"AAAAAGf/9xk=")</f>
        <v>#VALUE!</v>
      </c>
      <c r="AA59" t="e">
        <f>AND('Show Services'!#REF!,"AAAAAGf/9xo=")</f>
        <v>#REF!</v>
      </c>
      <c r="AB59" t="e">
        <f>AND('Show Services'!#REF!,"AAAAAGf/9xs=")</f>
        <v>#REF!</v>
      </c>
      <c r="AC59" t="e">
        <f>AND('Show Services'!#REF!,"AAAAAGf/9xw=")</f>
        <v>#REF!</v>
      </c>
      <c r="AD59" t="e">
        <f>AND('Show Services'!#REF!,"AAAAAGf/9x0=")</f>
        <v>#REF!</v>
      </c>
      <c r="AE59" t="e">
        <f>AND('Show Services'!#REF!,"AAAAAGf/9x4=")</f>
        <v>#REF!</v>
      </c>
      <c r="AF59" t="e">
        <f>AND('Show Services'!J120,"AAAAAGf/9x8=")</f>
        <v>#VALUE!</v>
      </c>
      <c r="AG59" t="e">
        <f>AND('Show Services'!K120,"AAAAAGf/9yA=")</f>
        <v>#VALUE!</v>
      </c>
      <c r="AH59" t="e">
        <f>AND('Show Services'!L120,"AAAAAGf/9yE=")</f>
        <v>#VALUE!</v>
      </c>
      <c r="AI59" t="e">
        <f>AND('Show Services'!M120,"AAAAAGf/9yI=")</f>
        <v>#VALUE!</v>
      </c>
      <c r="AJ59" t="e">
        <f>AND('Show Services'!N120,"AAAAAGf/9yM=")</f>
        <v>#VALUE!</v>
      </c>
      <c r="AK59" t="e">
        <f>AND('Show Services'!O120,"AAAAAGf/9yQ=")</f>
        <v>#VALUE!</v>
      </c>
      <c r="AL59" t="e">
        <f>AND('Show Services'!#REF!,"AAAAAGf/9yU=")</f>
        <v>#REF!</v>
      </c>
      <c r="AM59">
        <f>IF('Show Services'!121:121,"AAAAAGf/9yY=",0)</f>
        <v>0</v>
      </c>
      <c r="AN59" t="e">
        <f>AND('Show Services'!A121,"AAAAAGf/9yc=")</f>
        <v>#VALUE!</v>
      </c>
      <c r="AO59" t="e">
        <f>AND('Show Services'!B121,"AAAAAGf/9yg=")</f>
        <v>#VALUE!</v>
      </c>
      <c r="AP59" t="e">
        <f>AND('Show Services'!C121,"AAAAAGf/9yk=")</f>
        <v>#VALUE!</v>
      </c>
      <c r="AQ59" t="e">
        <f>AND('Show Services'!#REF!,"AAAAAGf/9yo=")</f>
        <v>#REF!</v>
      </c>
      <c r="AR59" t="e">
        <f>AND('Show Services'!D121,"AAAAAGf/9ys=")</f>
        <v>#VALUE!</v>
      </c>
      <c r="AS59" t="e">
        <f>AND('Show Services'!E121,"AAAAAGf/9yw=")</f>
        <v>#VALUE!</v>
      </c>
      <c r="AT59" t="e">
        <f>AND('Show Services'!F121,"AAAAAGf/9y0=")</f>
        <v>#VALUE!</v>
      </c>
      <c r="AU59" t="e">
        <f>AND('Show Services'!G121,"AAAAAGf/9y4=")</f>
        <v>#VALUE!</v>
      </c>
      <c r="AV59" t="e">
        <f>AND('Show Services'!H121,"AAAAAGf/9y8=")</f>
        <v>#VALUE!</v>
      </c>
      <c r="AW59" t="e">
        <f>AND('Show Services'!I121,"AAAAAGf/9zA=")</f>
        <v>#VALUE!</v>
      </c>
      <c r="AX59" t="e">
        <f>AND('Show Services'!#REF!,"AAAAAGf/9zE=")</f>
        <v>#REF!</v>
      </c>
      <c r="AY59" t="e">
        <f>AND('Show Services'!#REF!,"AAAAAGf/9zI=")</f>
        <v>#REF!</v>
      </c>
      <c r="AZ59" t="e">
        <f>AND('Show Services'!#REF!,"AAAAAGf/9zM=")</f>
        <v>#REF!</v>
      </c>
      <c r="BA59" t="e">
        <f>AND('Show Services'!#REF!,"AAAAAGf/9zQ=")</f>
        <v>#REF!</v>
      </c>
      <c r="BB59" t="e">
        <f>AND('Show Services'!#REF!,"AAAAAGf/9zU=")</f>
        <v>#REF!</v>
      </c>
      <c r="BC59" t="e">
        <f>AND('Show Services'!J121,"AAAAAGf/9zY=")</f>
        <v>#VALUE!</v>
      </c>
      <c r="BD59" t="e">
        <f>AND('Show Services'!K121,"AAAAAGf/9zc=")</f>
        <v>#VALUE!</v>
      </c>
      <c r="BE59" t="e">
        <f>AND('Show Services'!L121,"AAAAAGf/9zg=")</f>
        <v>#VALUE!</v>
      </c>
      <c r="BF59" t="e">
        <f>AND('Show Services'!M121,"AAAAAGf/9zk=")</f>
        <v>#VALUE!</v>
      </c>
      <c r="BG59" t="e">
        <f>AND('Show Services'!N121,"AAAAAGf/9zo=")</f>
        <v>#VALUE!</v>
      </c>
      <c r="BH59" t="e">
        <f>AND('Show Services'!O121,"AAAAAGf/9zs=")</f>
        <v>#VALUE!</v>
      </c>
      <c r="BI59" t="e">
        <f>AND('Show Services'!#REF!,"AAAAAGf/9zw=")</f>
        <v>#REF!</v>
      </c>
      <c r="BJ59">
        <f>IF('Show Services'!122:122,"AAAAAGf/9z0=",0)</f>
        <v>0</v>
      </c>
      <c r="BK59" t="e">
        <f>AND('Show Services'!A122,"AAAAAGf/9z4=")</f>
        <v>#VALUE!</v>
      </c>
      <c r="BL59" t="e">
        <f>AND('Show Services'!B122,"AAAAAGf/9z8=")</f>
        <v>#VALUE!</v>
      </c>
      <c r="BM59" t="e">
        <f>AND('Show Services'!C122,"AAAAAGf/90A=")</f>
        <v>#VALUE!</v>
      </c>
      <c r="BN59" t="e">
        <f>AND('Show Services'!#REF!,"AAAAAGf/90E=")</f>
        <v>#REF!</v>
      </c>
      <c r="BO59" t="e">
        <f>AND('Show Services'!D122,"AAAAAGf/90I=")</f>
        <v>#VALUE!</v>
      </c>
      <c r="BP59" t="e">
        <f>AND('Show Services'!E122,"AAAAAGf/90M=")</f>
        <v>#VALUE!</v>
      </c>
      <c r="BQ59" t="e">
        <f>AND('Show Services'!F122,"AAAAAGf/90Q=")</f>
        <v>#VALUE!</v>
      </c>
      <c r="BR59" t="e">
        <f>AND('Show Services'!G122,"AAAAAGf/90U=")</f>
        <v>#VALUE!</v>
      </c>
      <c r="BS59" t="e">
        <f>AND('Show Services'!H122,"AAAAAGf/90Y=")</f>
        <v>#VALUE!</v>
      </c>
      <c r="BT59" t="e">
        <f>AND('Show Services'!I122,"AAAAAGf/90c=")</f>
        <v>#VALUE!</v>
      </c>
      <c r="BU59" t="e">
        <f>AND('Show Services'!#REF!,"AAAAAGf/90g=")</f>
        <v>#REF!</v>
      </c>
      <c r="BV59" t="e">
        <f>AND('Show Services'!#REF!,"AAAAAGf/90k=")</f>
        <v>#REF!</v>
      </c>
      <c r="BW59" t="e">
        <f>AND('Show Services'!#REF!,"AAAAAGf/90o=")</f>
        <v>#REF!</v>
      </c>
      <c r="BX59" t="e">
        <f>AND('Show Services'!#REF!,"AAAAAGf/90s=")</f>
        <v>#REF!</v>
      </c>
      <c r="BY59" t="e">
        <f>AND('Show Services'!#REF!,"AAAAAGf/90w=")</f>
        <v>#REF!</v>
      </c>
      <c r="BZ59" t="e">
        <f>AND('Show Services'!J122,"AAAAAGf/900=")</f>
        <v>#VALUE!</v>
      </c>
      <c r="CA59" t="e">
        <f>AND('Show Services'!K122,"AAAAAGf/904=")</f>
        <v>#VALUE!</v>
      </c>
      <c r="CB59" t="e">
        <f>AND('Show Services'!L122,"AAAAAGf/908=")</f>
        <v>#VALUE!</v>
      </c>
      <c r="CC59" t="e">
        <f>AND('Show Services'!M122,"AAAAAGf/91A=")</f>
        <v>#VALUE!</v>
      </c>
      <c r="CD59" t="e">
        <f>AND('Show Services'!N122,"AAAAAGf/91E=")</f>
        <v>#VALUE!</v>
      </c>
      <c r="CE59" t="e">
        <f>AND('Show Services'!O122,"AAAAAGf/91I=")</f>
        <v>#VALUE!</v>
      </c>
      <c r="CF59" t="e">
        <f>AND('Show Services'!#REF!,"AAAAAGf/91M=")</f>
        <v>#REF!</v>
      </c>
      <c r="CG59">
        <f>IF('Show Services'!123:123,"AAAAAGf/91Q=",0)</f>
        <v>0</v>
      </c>
      <c r="CH59" t="e">
        <f>AND('Show Services'!A123,"AAAAAGf/91U=")</f>
        <v>#VALUE!</v>
      </c>
      <c r="CI59" t="e">
        <f>AND('Show Services'!B123,"AAAAAGf/91Y=")</f>
        <v>#VALUE!</v>
      </c>
      <c r="CJ59" t="e">
        <f>AND('Show Services'!C123,"AAAAAGf/91c=")</f>
        <v>#VALUE!</v>
      </c>
      <c r="CK59" t="e">
        <f>AND('Show Services'!#REF!,"AAAAAGf/91g=")</f>
        <v>#REF!</v>
      </c>
      <c r="CL59" t="e">
        <f>AND('Show Services'!D123,"AAAAAGf/91k=")</f>
        <v>#VALUE!</v>
      </c>
      <c r="CM59" t="e">
        <f>AND('Show Services'!E123,"AAAAAGf/91o=")</f>
        <v>#VALUE!</v>
      </c>
      <c r="CN59" t="e">
        <f>AND('Show Services'!F123,"AAAAAGf/91s=")</f>
        <v>#VALUE!</v>
      </c>
      <c r="CO59" t="e">
        <f>AND('Show Services'!G123,"AAAAAGf/91w=")</f>
        <v>#VALUE!</v>
      </c>
      <c r="CP59" t="e">
        <f>AND('Show Services'!H123,"AAAAAGf/910=")</f>
        <v>#VALUE!</v>
      </c>
      <c r="CQ59" t="e">
        <f>AND('Show Services'!I123,"AAAAAGf/914=")</f>
        <v>#VALUE!</v>
      </c>
      <c r="CR59" t="e">
        <f>AND('Show Services'!#REF!,"AAAAAGf/918=")</f>
        <v>#REF!</v>
      </c>
      <c r="CS59" t="e">
        <f>AND('Show Services'!#REF!,"AAAAAGf/92A=")</f>
        <v>#REF!</v>
      </c>
      <c r="CT59" t="e">
        <f>AND('Show Services'!#REF!,"AAAAAGf/92E=")</f>
        <v>#REF!</v>
      </c>
      <c r="CU59" t="e">
        <f>AND('Show Services'!#REF!,"AAAAAGf/92I=")</f>
        <v>#REF!</v>
      </c>
      <c r="CV59" t="e">
        <f>AND('Show Services'!#REF!,"AAAAAGf/92M=")</f>
        <v>#REF!</v>
      </c>
      <c r="CW59" t="e">
        <f>AND('Show Services'!J123,"AAAAAGf/92Q=")</f>
        <v>#VALUE!</v>
      </c>
      <c r="CX59" t="e">
        <f>AND('Show Services'!K123,"AAAAAGf/92U=")</f>
        <v>#VALUE!</v>
      </c>
      <c r="CY59" t="e">
        <f>AND('Show Services'!L123,"AAAAAGf/92Y=")</f>
        <v>#VALUE!</v>
      </c>
      <c r="CZ59" t="e">
        <f>AND('Show Services'!M123,"AAAAAGf/92c=")</f>
        <v>#VALUE!</v>
      </c>
      <c r="DA59" t="e">
        <f>AND('Show Services'!N123,"AAAAAGf/92g=")</f>
        <v>#VALUE!</v>
      </c>
      <c r="DB59" t="e">
        <f>AND('Show Services'!O123,"AAAAAGf/92k=")</f>
        <v>#VALUE!</v>
      </c>
      <c r="DC59" t="e">
        <f>AND('Show Services'!#REF!,"AAAAAGf/92o=")</f>
        <v>#REF!</v>
      </c>
      <c r="DD59">
        <f>IF('Show Services'!124:124,"AAAAAGf/92s=",0)</f>
        <v>0</v>
      </c>
      <c r="DE59" t="e">
        <f>AND('Show Services'!A124,"AAAAAGf/92w=")</f>
        <v>#VALUE!</v>
      </c>
      <c r="DF59" t="e">
        <f>AND('Show Services'!B124,"AAAAAGf/920=")</f>
        <v>#VALUE!</v>
      </c>
      <c r="DG59" t="e">
        <f>AND('Show Services'!C124,"AAAAAGf/924=")</f>
        <v>#VALUE!</v>
      </c>
      <c r="DH59" t="e">
        <f>AND('Show Services'!#REF!,"AAAAAGf/928=")</f>
        <v>#REF!</v>
      </c>
      <c r="DI59" t="e">
        <f>AND('Show Services'!D124,"AAAAAGf/93A=")</f>
        <v>#VALUE!</v>
      </c>
      <c r="DJ59" t="e">
        <f>AND('Show Services'!E124,"AAAAAGf/93E=")</f>
        <v>#VALUE!</v>
      </c>
      <c r="DK59" t="e">
        <f>AND('Show Services'!F124,"AAAAAGf/93I=")</f>
        <v>#VALUE!</v>
      </c>
      <c r="DL59" t="e">
        <f>AND('Show Services'!G124,"AAAAAGf/93M=")</f>
        <v>#VALUE!</v>
      </c>
      <c r="DM59" t="e">
        <f>AND('Show Services'!H124,"AAAAAGf/93Q=")</f>
        <v>#VALUE!</v>
      </c>
      <c r="DN59" t="e">
        <f>AND('Show Services'!I124,"AAAAAGf/93U=")</f>
        <v>#VALUE!</v>
      </c>
      <c r="DO59" t="e">
        <f>AND('Show Services'!#REF!,"AAAAAGf/93Y=")</f>
        <v>#REF!</v>
      </c>
      <c r="DP59" t="e">
        <f>AND('Show Services'!#REF!,"AAAAAGf/93c=")</f>
        <v>#REF!</v>
      </c>
      <c r="DQ59" t="e">
        <f>AND('Show Services'!#REF!,"AAAAAGf/93g=")</f>
        <v>#REF!</v>
      </c>
      <c r="DR59" t="e">
        <f>AND('Show Services'!#REF!,"AAAAAGf/93k=")</f>
        <v>#REF!</v>
      </c>
      <c r="DS59" t="e">
        <f>AND('Show Services'!#REF!,"AAAAAGf/93o=")</f>
        <v>#REF!</v>
      </c>
      <c r="DT59" t="e">
        <f>AND('Show Services'!J124,"AAAAAGf/93s=")</f>
        <v>#VALUE!</v>
      </c>
      <c r="DU59" t="e">
        <f>AND('Show Services'!K124,"AAAAAGf/93w=")</f>
        <v>#VALUE!</v>
      </c>
      <c r="DV59" t="e">
        <f>AND('Show Services'!L124,"AAAAAGf/930=")</f>
        <v>#VALUE!</v>
      </c>
      <c r="DW59" t="e">
        <f>AND('Show Services'!M124,"AAAAAGf/934=")</f>
        <v>#VALUE!</v>
      </c>
      <c r="DX59" t="e">
        <f>AND('Show Services'!N124,"AAAAAGf/938=")</f>
        <v>#VALUE!</v>
      </c>
      <c r="DY59" t="e">
        <f>AND('Show Services'!O124,"AAAAAGf/94A=")</f>
        <v>#VALUE!</v>
      </c>
      <c r="DZ59" t="e">
        <f>AND('Show Services'!#REF!,"AAAAAGf/94E=")</f>
        <v>#REF!</v>
      </c>
      <c r="EA59">
        <f>IF('Show Services'!125:125,"AAAAAGf/94I=",0)</f>
        <v>0</v>
      </c>
      <c r="EB59" t="e">
        <f>AND('Show Services'!A125,"AAAAAGf/94M=")</f>
        <v>#VALUE!</v>
      </c>
      <c r="EC59" t="e">
        <f>AND('Show Services'!B125,"AAAAAGf/94Q=")</f>
        <v>#VALUE!</v>
      </c>
      <c r="ED59" t="e">
        <f>AND('Show Services'!C125,"AAAAAGf/94U=")</f>
        <v>#VALUE!</v>
      </c>
      <c r="EE59" t="e">
        <f>AND('Show Services'!#REF!,"AAAAAGf/94Y=")</f>
        <v>#REF!</v>
      </c>
      <c r="EF59" t="e">
        <f>AND('Show Services'!D125,"AAAAAGf/94c=")</f>
        <v>#VALUE!</v>
      </c>
      <c r="EG59" t="e">
        <f>AND('Show Services'!E125,"AAAAAGf/94g=")</f>
        <v>#VALUE!</v>
      </c>
      <c r="EH59" t="e">
        <f>AND('Show Services'!F125,"AAAAAGf/94k=")</f>
        <v>#VALUE!</v>
      </c>
      <c r="EI59" t="e">
        <f>AND('Show Services'!G125,"AAAAAGf/94o=")</f>
        <v>#VALUE!</v>
      </c>
      <c r="EJ59" t="e">
        <f>AND('Show Services'!H125,"AAAAAGf/94s=")</f>
        <v>#VALUE!</v>
      </c>
      <c r="EK59" t="e">
        <f>AND('Show Services'!I125,"AAAAAGf/94w=")</f>
        <v>#VALUE!</v>
      </c>
      <c r="EL59" t="e">
        <f>AND('Show Services'!#REF!,"AAAAAGf/940=")</f>
        <v>#REF!</v>
      </c>
      <c r="EM59" t="e">
        <f>AND('Show Services'!#REF!,"AAAAAGf/944=")</f>
        <v>#REF!</v>
      </c>
      <c r="EN59" t="e">
        <f>AND('Show Services'!#REF!,"AAAAAGf/948=")</f>
        <v>#REF!</v>
      </c>
      <c r="EO59" t="e">
        <f>AND('Show Services'!#REF!,"AAAAAGf/95A=")</f>
        <v>#REF!</v>
      </c>
      <c r="EP59" t="e">
        <f>AND('Show Services'!#REF!,"AAAAAGf/95E=")</f>
        <v>#REF!</v>
      </c>
      <c r="EQ59" t="e">
        <f>AND('Show Services'!J125,"AAAAAGf/95I=")</f>
        <v>#VALUE!</v>
      </c>
      <c r="ER59" t="e">
        <f>AND('Show Services'!K125,"AAAAAGf/95M=")</f>
        <v>#VALUE!</v>
      </c>
      <c r="ES59" t="e">
        <f>AND('Show Services'!L125,"AAAAAGf/95Q=")</f>
        <v>#VALUE!</v>
      </c>
      <c r="ET59" t="e">
        <f>AND('Show Services'!M125,"AAAAAGf/95U=")</f>
        <v>#VALUE!</v>
      </c>
      <c r="EU59" t="e">
        <f>AND('Show Services'!N125,"AAAAAGf/95Y=")</f>
        <v>#VALUE!</v>
      </c>
      <c r="EV59" t="e">
        <f>AND('Show Services'!O125,"AAAAAGf/95c=")</f>
        <v>#VALUE!</v>
      </c>
      <c r="EW59" t="e">
        <f>AND('Show Services'!#REF!,"AAAAAGf/95g=")</f>
        <v>#REF!</v>
      </c>
      <c r="EX59">
        <f>IF('Show Services'!126:126,"AAAAAGf/95k=",0)</f>
        <v>0</v>
      </c>
      <c r="EY59" t="e">
        <f>AND('Show Services'!A126,"AAAAAGf/95o=")</f>
        <v>#VALUE!</v>
      </c>
      <c r="EZ59" t="e">
        <f>AND('Show Services'!B126,"AAAAAGf/95s=")</f>
        <v>#VALUE!</v>
      </c>
      <c r="FA59" t="e">
        <f>AND('Show Services'!C126,"AAAAAGf/95w=")</f>
        <v>#VALUE!</v>
      </c>
      <c r="FB59" t="e">
        <f>AND('Show Services'!#REF!,"AAAAAGf/950=")</f>
        <v>#REF!</v>
      </c>
      <c r="FC59" t="e">
        <f>AND('Show Services'!D126,"AAAAAGf/954=")</f>
        <v>#VALUE!</v>
      </c>
      <c r="FD59" t="e">
        <f>AND('Show Services'!E126,"AAAAAGf/958=")</f>
        <v>#VALUE!</v>
      </c>
      <c r="FE59" t="e">
        <f>AND('Show Services'!F126,"AAAAAGf/96A=")</f>
        <v>#VALUE!</v>
      </c>
      <c r="FF59" t="e">
        <f>AND('Show Services'!G126,"AAAAAGf/96E=")</f>
        <v>#VALUE!</v>
      </c>
      <c r="FG59" t="e">
        <f>AND('Show Services'!H126,"AAAAAGf/96I=")</f>
        <v>#VALUE!</v>
      </c>
      <c r="FH59" t="e">
        <f>AND('Show Services'!I126,"AAAAAGf/96M=")</f>
        <v>#VALUE!</v>
      </c>
      <c r="FI59" t="e">
        <f>AND('Show Services'!#REF!,"AAAAAGf/96Q=")</f>
        <v>#REF!</v>
      </c>
      <c r="FJ59" t="e">
        <f>AND('Show Services'!#REF!,"AAAAAGf/96U=")</f>
        <v>#REF!</v>
      </c>
      <c r="FK59" t="e">
        <f>AND('Show Services'!#REF!,"AAAAAGf/96Y=")</f>
        <v>#REF!</v>
      </c>
      <c r="FL59" t="e">
        <f>AND('Show Services'!#REF!,"AAAAAGf/96c=")</f>
        <v>#REF!</v>
      </c>
      <c r="FM59" t="e">
        <f>AND('Show Services'!#REF!,"AAAAAGf/96g=")</f>
        <v>#REF!</v>
      </c>
      <c r="FN59" t="e">
        <f>AND('Show Services'!J126,"AAAAAGf/96k=")</f>
        <v>#VALUE!</v>
      </c>
      <c r="FO59" t="e">
        <f>AND('Show Services'!K126,"AAAAAGf/96o=")</f>
        <v>#VALUE!</v>
      </c>
      <c r="FP59" t="e">
        <f>AND('Show Services'!L126,"AAAAAGf/96s=")</f>
        <v>#VALUE!</v>
      </c>
      <c r="FQ59" t="e">
        <f>AND('Show Services'!M126,"AAAAAGf/96w=")</f>
        <v>#VALUE!</v>
      </c>
      <c r="FR59" t="e">
        <f>AND('Show Services'!N126,"AAAAAGf/960=")</f>
        <v>#VALUE!</v>
      </c>
      <c r="FS59" t="e">
        <f>AND('Show Services'!O126,"AAAAAGf/964=")</f>
        <v>#VALUE!</v>
      </c>
      <c r="FT59" t="e">
        <f>AND('Show Services'!#REF!,"AAAAAGf/968=")</f>
        <v>#REF!</v>
      </c>
      <c r="FU59">
        <f>IF('Show Services'!127:127,"AAAAAGf/97A=",0)</f>
        <v>0</v>
      </c>
      <c r="FV59" t="e">
        <f>AND('Show Services'!A127,"AAAAAGf/97E=")</f>
        <v>#VALUE!</v>
      </c>
      <c r="FW59" t="e">
        <f>AND('Show Services'!B127,"AAAAAGf/97I=")</f>
        <v>#VALUE!</v>
      </c>
      <c r="FX59" t="e">
        <f>AND('Show Services'!C127,"AAAAAGf/97M=")</f>
        <v>#VALUE!</v>
      </c>
      <c r="FY59" t="e">
        <f>AND('Show Services'!#REF!,"AAAAAGf/97Q=")</f>
        <v>#REF!</v>
      </c>
      <c r="FZ59" t="e">
        <f>AND('Show Services'!D127,"AAAAAGf/97U=")</f>
        <v>#VALUE!</v>
      </c>
      <c r="GA59" t="e">
        <f>AND('Show Services'!E127,"AAAAAGf/97Y=")</f>
        <v>#VALUE!</v>
      </c>
      <c r="GB59" t="e">
        <f>AND('Show Services'!F127,"AAAAAGf/97c=")</f>
        <v>#VALUE!</v>
      </c>
      <c r="GC59" t="e">
        <f>AND('Show Services'!G127,"AAAAAGf/97g=")</f>
        <v>#VALUE!</v>
      </c>
      <c r="GD59" t="e">
        <f>AND('Show Services'!H127,"AAAAAGf/97k=")</f>
        <v>#VALUE!</v>
      </c>
      <c r="GE59" t="e">
        <f>AND('Show Services'!I127,"AAAAAGf/97o=")</f>
        <v>#VALUE!</v>
      </c>
      <c r="GF59" t="e">
        <f>AND('Show Services'!#REF!,"AAAAAGf/97s=")</f>
        <v>#REF!</v>
      </c>
      <c r="GG59" t="e">
        <f>AND('Show Services'!#REF!,"AAAAAGf/97w=")</f>
        <v>#REF!</v>
      </c>
      <c r="GH59" t="e">
        <f>AND('Show Services'!#REF!,"AAAAAGf/970=")</f>
        <v>#REF!</v>
      </c>
      <c r="GI59" t="e">
        <f>AND('Show Services'!#REF!,"AAAAAGf/974=")</f>
        <v>#REF!</v>
      </c>
      <c r="GJ59" t="e">
        <f>AND('Show Services'!#REF!,"AAAAAGf/978=")</f>
        <v>#REF!</v>
      </c>
      <c r="GK59" t="e">
        <f>AND('Show Services'!J127,"AAAAAGf/98A=")</f>
        <v>#VALUE!</v>
      </c>
      <c r="GL59" t="e">
        <f>AND('Show Services'!K127,"AAAAAGf/98E=")</f>
        <v>#VALUE!</v>
      </c>
      <c r="GM59" t="e">
        <f>AND('Show Services'!L127,"AAAAAGf/98I=")</f>
        <v>#VALUE!</v>
      </c>
      <c r="GN59" t="e">
        <f>AND('Show Services'!M127,"AAAAAGf/98M=")</f>
        <v>#VALUE!</v>
      </c>
      <c r="GO59" t="e">
        <f>AND('Show Services'!N127,"AAAAAGf/98Q=")</f>
        <v>#VALUE!</v>
      </c>
      <c r="GP59" t="e">
        <f>AND('Show Services'!O127,"AAAAAGf/98U=")</f>
        <v>#VALUE!</v>
      </c>
      <c r="GQ59" t="e">
        <f>AND('Show Services'!#REF!,"AAAAAGf/98Y=")</f>
        <v>#REF!</v>
      </c>
      <c r="GR59">
        <f>IF('Show Services'!128:128,"AAAAAGf/98c=",0)</f>
        <v>0</v>
      </c>
      <c r="GS59" t="e">
        <f>AND('Show Services'!A128,"AAAAAGf/98g=")</f>
        <v>#VALUE!</v>
      </c>
      <c r="GT59" t="e">
        <f>AND('Show Services'!B128,"AAAAAGf/98k=")</f>
        <v>#VALUE!</v>
      </c>
      <c r="GU59" t="e">
        <f>AND('Show Services'!C128,"AAAAAGf/98o=")</f>
        <v>#VALUE!</v>
      </c>
      <c r="GV59" t="e">
        <f>AND('Show Services'!#REF!,"AAAAAGf/98s=")</f>
        <v>#REF!</v>
      </c>
      <c r="GW59" t="e">
        <f>AND('Show Services'!D128,"AAAAAGf/98w=")</f>
        <v>#VALUE!</v>
      </c>
      <c r="GX59" t="e">
        <f>AND('Show Services'!E128,"AAAAAGf/980=")</f>
        <v>#VALUE!</v>
      </c>
      <c r="GY59" t="e">
        <f>AND('Show Services'!F128,"AAAAAGf/984=")</f>
        <v>#VALUE!</v>
      </c>
      <c r="GZ59" t="e">
        <f>AND('Show Services'!G128,"AAAAAGf/988=")</f>
        <v>#VALUE!</v>
      </c>
      <c r="HA59" t="e">
        <f>AND('Show Services'!H128,"AAAAAGf/99A=")</f>
        <v>#VALUE!</v>
      </c>
      <c r="HB59" t="e">
        <f>AND('Show Services'!I128,"AAAAAGf/99E=")</f>
        <v>#VALUE!</v>
      </c>
      <c r="HC59" t="e">
        <f>AND('Show Services'!#REF!,"AAAAAGf/99I=")</f>
        <v>#REF!</v>
      </c>
      <c r="HD59" t="e">
        <f>AND('Show Services'!#REF!,"AAAAAGf/99M=")</f>
        <v>#REF!</v>
      </c>
      <c r="HE59" t="e">
        <f>AND('Show Services'!#REF!,"AAAAAGf/99Q=")</f>
        <v>#REF!</v>
      </c>
      <c r="HF59" t="e">
        <f>AND('Show Services'!#REF!,"AAAAAGf/99U=")</f>
        <v>#REF!</v>
      </c>
      <c r="HG59" t="e">
        <f>AND('Show Services'!#REF!,"AAAAAGf/99Y=")</f>
        <v>#REF!</v>
      </c>
      <c r="HH59" t="e">
        <f>AND('Show Services'!J128,"AAAAAGf/99c=")</f>
        <v>#VALUE!</v>
      </c>
      <c r="HI59" t="e">
        <f>AND('Show Services'!K128,"AAAAAGf/99g=")</f>
        <v>#VALUE!</v>
      </c>
      <c r="HJ59" t="e">
        <f>AND('Show Services'!L128,"AAAAAGf/99k=")</f>
        <v>#VALUE!</v>
      </c>
      <c r="HK59" t="e">
        <f>AND('Show Services'!M128,"AAAAAGf/99o=")</f>
        <v>#VALUE!</v>
      </c>
      <c r="HL59" t="e">
        <f>AND('Show Services'!N128,"AAAAAGf/99s=")</f>
        <v>#VALUE!</v>
      </c>
      <c r="HM59" t="e">
        <f>AND('Show Services'!O128,"AAAAAGf/99w=")</f>
        <v>#VALUE!</v>
      </c>
      <c r="HN59" t="e">
        <f>AND('Show Services'!#REF!,"AAAAAGf/990=")</f>
        <v>#REF!</v>
      </c>
      <c r="HO59">
        <f>IF('Show Services'!129:129,"AAAAAGf/994=",0)</f>
        <v>0</v>
      </c>
      <c r="HP59" t="e">
        <f>AND('Show Services'!A129,"AAAAAGf/998=")</f>
        <v>#VALUE!</v>
      </c>
      <c r="HQ59" t="e">
        <f>AND('Show Services'!B129,"AAAAAGf/9+A=")</f>
        <v>#VALUE!</v>
      </c>
      <c r="HR59" t="e">
        <f>AND('Show Services'!C129,"AAAAAGf/9+E=")</f>
        <v>#VALUE!</v>
      </c>
      <c r="HS59" t="e">
        <f>AND('Show Services'!#REF!,"AAAAAGf/9+I=")</f>
        <v>#REF!</v>
      </c>
      <c r="HT59" t="e">
        <f>AND('Show Services'!D129,"AAAAAGf/9+M=")</f>
        <v>#VALUE!</v>
      </c>
      <c r="HU59" t="e">
        <f>AND('Show Services'!E129,"AAAAAGf/9+Q=")</f>
        <v>#VALUE!</v>
      </c>
      <c r="HV59" t="e">
        <f>AND('Show Services'!F129,"AAAAAGf/9+U=")</f>
        <v>#VALUE!</v>
      </c>
      <c r="HW59" t="e">
        <f>AND('Show Services'!G129,"AAAAAGf/9+Y=")</f>
        <v>#VALUE!</v>
      </c>
      <c r="HX59" t="e">
        <f>AND('Show Services'!H129,"AAAAAGf/9+c=")</f>
        <v>#VALUE!</v>
      </c>
      <c r="HY59" t="e">
        <f>AND('Show Services'!I129,"AAAAAGf/9+g=")</f>
        <v>#VALUE!</v>
      </c>
      <c r="HZ59" t="e">
        <f>AND('Show Services'!#REF!,"AAAAAGf/9+k=")</f>
        <v>#REF!</v>
      </c>
      <c r="IA59" t="e">
        <f>AND('Show Services'!#REF!,"AAAAAGf/9+o=")</f>
        <v>#REF!</v>
      </c>
      <c r="IB59" t="e">
        <f>AND('Show Services'!#REF!,"AAAAAGf/9+s=")</f>
        <v>#REF!</v>
      </c>
      <c r="IC59" t="e">
        <f>AND('Show Services'!#REF!,"AAAAAGf/9+w=")</f>
        <v>#REF!</v>
      </c>
      <c r="ID59" t="e">
        <f>AND('Show Services'!#REF!,"AAAAAGf/9+0=")</f>
        <v>#REF!</v>
      </c>
      <c r="IE59" t="e">
        <f>AND('Show Services'!J129,"AAAAAGf/9+4=")</f>
        <v>#VALUE!</v>
      </c>
      <c r="IF59" t="e">
        <f>AND('Show Services'!K129,"AAAAAGf/9+8=")</f>
        <v>#VALUE!</v>
      </c>
      <c r="IG59" t="e">
        <f>AND('Show Services'!L129,"AAAAAGf/9/A=")</f>
        <v>#VALUE!</v>
      </c>
      <c r="IH59" t="e">
        <f>AND('Show Services'!M129,"AAAAAGf/9/E=")</f>
        <v>#VALUE!</v>
      </c>
      <c r="II59" t="e">
        <f>AND('Show Services'!N129,"AAAAAGf/9/I=")</f>
        <v>#VALUE!</v>
      </c>
      <c r="IJ59" t="e">
        <f>AND('Show Services'!O129,"AAAAAGf/9/M=")</f>
        <v>#VALUE!</v>
      </c>
      <c r="IK59" t="e">
        <f>AND('Show Services'!#REF!,"AAAAAGf/9/Q=")</f>
        <v>#REF!</v>
      </c>
      <c r="IL59">
        <f>IF('Show Services'!130:130,"AAAAAGf/9/U=",0)</f>
        <v>0</v>
      </c>
      <c r="IM59" t="e">
        <f>AND('Show Services'!A130,"AAAAAGf/9/Y=")</f>
        <v>#VALUE!</v>
      </c>
      <c r="IN59" t="e">
        <f>AND('Show Services'!B130,"AAAAAGf/9/c=")</f>
        <v>#VALUE!</v>
      </c>
      <c r="IO59" t="e">
        <f>AND('Show Services'!C130,"AAAAAGf/9/g=")</f>
        <v>#VALUE!</v>
      </c>
      <c r="IP59" t="e">
        <f>AND('Show Services'!#REF!,"AAAAAGf/9/k=")</f>
        <v>#REF!</v>
      </c>
      <c r="IQ59" t="e">
        <f>AND('Show Services'!D130,"AAAAAGf/9/o=")</f>
        <v>#VALUE!</v>
      </c>
      <c r="IR59" t="e">
        <f>AND('Show Services'!E130,"AAAAAGf/9/s=")</f>
        <v>#VALUE!</v>
      </c>
      <c r="IS59" t="e">
        <f>AND('Show Services'!F130,"AAAAAGf/9/w=")</f>
        <v>#VALUE!</v>
      </c>
      <c r="IT59" t="e">
        <f>AND('Show Services'!G130,"AAAAAGf/9/0=")</f>
        <v>#VALUE!</v>
      </c>
      <c r="IU59" t="e">
        <f>AND('Show Services'!H130,"AAAAAGf/9/4=")</f>
        <v>#VALUE!</v>
      </c>
      <c r="IV59" t="e">
        <f>AND('Show Services'!I130,"AAAAAGf/9/8=")</f>
        <v>#VALUE!</v>
      </c>
    </row>
    <row r="60" spans="1:256" x14ac:dyDescent="0.2">
      <c r="A60" t="e">
        <f>AND('Show Services'!#REF!,"AAAAAHz/9wA=")</f>
        <v>#REF!</v>
      </c>
      <c r="B60" t="e">
        <f>AND('Show Services'!#REF!,"AAAAAHz/9wE=")</f>
        <v>#REF!</v>
      </c>
      <c r="C60" t="e">
        <f>AND('Show Services'!#REF!,"AAAAAHz/9wI=")</f>
        <v>#REF!</v>
      </c>
      <c r="D60" t="e">
        <f>AND('Show Services'!#REF!,"AAAAAHz/9wM=")</f>
        <v>#REF!</v>
      </c>
      <c r="E60" t="e">
        <f>AND('Show Services'!#REF!,"AAAAAHz/9wQ=")</f>
        <v>#REF!</v>
      </c>
      <c r="F60" t="e">
        <f>AND('Show Services'!J130,"AAAAAHz/9wU=")</f>
        <v>#VALUE!</v>
      </c>
      <c r="G60" t="e">
        <f>AND('Show Services'!K130,"AAAAAHz/9wY=")</f>
        <v>#VALUE!</v>
      </c>
      <c r="H60" t="e">
        <f>AND('Show Services'!L130,"AAAAAHz/9wc=")</f>
        <v>#VALUE!</v>
      </c>
      <c r="I60" t="e">
        <f>AND('Show Services'!M130,"AAAAAHz/9wg=")</f>
        <v>#VALUE!</v>
      </c>
      <c r="J60" t="e">
        <f>AND('Show Services'!N130,"AAAAAHz/9wk=")</f>
        <v>#VALUE!</v>
      </c>
      <c r="K60" t="e">
        <f>AND('Show Services'!O130,"AAAAAHz/9wo=")</f>
        <v>#VALUE!</v>
      </c>
      <c r="L60" t="e">
        <f>AND('Show Services'!#REF!,"AAAAAHz/9ws=")</f>
        <v>#REF!</v>
      </c>
      <c r="M60">
        <f>IF('Show Services'!A:A,"AAAAAHz/9ww=",0)</f>
        <v>0</v>
      </c>
      <c r="N60">
        <f>IF('Show Services'!B:B,"AAAAAHz/9w0=",0)</f>
        <v>0</v>
      </c>
      <c r="O60">
        <f>IF('Show Services'!C:C,"AAAAAHz/9w4=",0)</f>
        <v>0</v>
      </c>
      <c r="P60" t="e">
        <f>IF('Show Services'!#REF!,"AAAAAHz/9w8=",0)</f>
        <v>#REF!</v>
      </c>
      <c r="Q60">
        <f>IF('Show Services'!D:D,"AAAAAHz/9xA=",0)</f>
        <v>0</v>
      </c>
      <c r="R60">
        <f>IF('Show Services'!E:E,"AAAAAHz/9xE=",0)</f>
        <v>0</v>
      </c>
      <c r="S60">
        <f>IF('Show Services'!F:F,"AAAAAHz/9xI=",0)</f>
        <v>0</v>
      </c>
      <c r="T60">
        <f>IF('Show Services'!G:G,"AAAAAHz/9xM=",0)</f>
        <v>0</v>
      </c>
      <c r="U60">
        <f>IF('Show Services'!H:H,"AAAAAHz/9xQ=",0)</f>
        <v>0</v>
      </c>
      <c r="V60">
        <f>IF('Show Services'!I:I,"AAAAAHz/9xU=",0)</f>
        <v>0</v>
      </c>
      <c r="W60" t="e">
        <f>IF('Show Services'!#REF!,"AAAAAHz/9xY=",0)</f>
        <v>#REF!</v>
      </c>
      <c r="X60" t="e">
        <f>IF('Show Services'!#REF!,"AAAAAHz/9xc=",0)</f>
        <v>#REF!</v>
      </c>
      <c r="Y60" t="e">
        <f>IF('Show Services'!#REF!,"AAAAAHz/9xg=",0)</f>
        <v>#REF!</v>
      </c>
      <c r="Z60" t="e">
        <f>IF('Show Services'!#REF!,"AAAAAHz/9xk=",0)</f>
        <v>#REF!</v>
      </c>
      <c r="AA60" t="e">
        <f>IF('Show Services'!#REF!,"AAAAAHz/9xo=",0)</f>
        <v>#REF!</v>
      </c>
      <c r="AB60">
        <f>IF('Show Services'!J:J,"AAAAAHz/9xs=",0)</f>
        <v>0</v>
      </c>
      <c r="AC60">
        <f>IF('Show Services'!K:K,"AAAAAHz/9xw=",0)</f>
        <v>0</v>
      </c>
      <c r="AD60">
        <f>IF('Show Services'!L:L,"AAAAAHz/9x0=",0)</f>
        <v>0</v>
      </c>
      <c r="AE60">
        <f>IF('Show Services'!M:M,"AAAAAHz/9x4=",0)</f>
        <v>0</v>
      </c>
      <c r="AF60">
        <f>IF('Show Services'!N:N,"AAAAAHz/9x8=",0)</f>
        <v>0</v>
      </c>
      <c r="AG60">
        <f>IF('Show Services'!O:O,"AAAAAHz/9yA=",0)</f>
        <v>0</v>
      </c>
      <c r="AH60" t="e">
        <f>IF('Show Services'!#REF!,"AAAAAHz/9yE=",0)</f>
        <v>#REF!</v>
      </c>
      <c r="AI60">
        <f>IF(Financial!1:1,"AAAAAHz/9yI=",0)</f>
        <v>0</v>
      </c>
      <c r="AJ60" t="e">
        <f>AND(Financial!A1,"AAAAAHz/9yM=")</f>
        <v>#VALUE!</v>
      </c>
      <c r="AK60" t="e">
        <f>AND(Financial!B1,"AAAAAHz/9yQ=")</f>
        <v>#VALUE!</v>
      </c>
      <c r="AL60" t="e">
        <f>AND(Financial!#REF!,"AAAAAHz/9yU=")</f>
        <v>#REF!</v>
      </c>
      <c r="AM60" t="e">
        <f>AND(Financial!#REF!,"AAAAAHz/9yY=")</f>
        <v>#REF!</v>
      </c>
      <c r="AN60" t="e">
        <f>AND(Financial!C1,"AAAAAHz/9yc=")</f>
        <v>#VALUE!</v>
      </c>
      <c r="AO60" t="e">
        <f>AND(Financial!D1,"AAAAAHz/9yg=")</f>
        <v>#VALUE!</v>
      </c>
      <c r="AP60" t="e">
        <f>AND(Financial!E1,"AAAAAHz/9yk=")</f>
        <v>#VALUE!</v>
      </c>
      <c r="AQ60" t="e">
        <f>AND(Financial!F1,"AAAAAHz/9yo=")</f>
        <v>#VALUE!</v>
      </c>
      <c r="AR60" t="e">
        <f>AND(Financial!G1,"AAAAAHz/9ys=")</f>
        <v>#VALUE!</v>
      </c>
      <c r="AS60" t="e">
        <f>AND(Financial!H1,"AAAAAHz/9yw=")</f>
        <v>#VALUE!</v>
      </c>
      <c r="AT60" t="e">
        <f>AND(Financial!I1,"AAAAAHz/9y0=")</f>
        <v>#VALUE!</v>
      </c>
      <c r="AU60" t="e">
        <f>AND(Financial!J1,"AAAAAHz/9y4=")</f>
        <v>#VALUE!</v>
      </c>
      <c r="AV60" t="e">
        <f>AND(Financial!K1,"AAAAAHz/9y8=")</f>
        <v>#VALUE!</v>
      </c>
      <c r="AW60" t="e">
        <f>AND(Financial!L1,"AAAAAHz/9zA=")</f>
        <v>#VALUE!</v>
      </c>
      <c r="AX60">
        <f>IF(Financial!2:2,"AAAAAHz/9zE=",0)</f>
        <v>0</v>
      </c>
      <c r="AY60" t="e">
        <f>AND(Financial!#REF!,"AAAAAHz/9zI=")</f>
        <v>#REF!</v>
      </c>
      <c r="AZ60" t="e">
        <f>AND(Financial!A2,"AAAAAHz/9zM=")</f>
        <v>#VALUE!</v>
      </c>
      <c r="BA60" t="e">
        <f>AND(Financial!B2,"AAAAAHz/9zQ=")</f>
        <v>#VALUE!</v>
      </c>
      <c r="BB60" t="e">
        <f>AND(Financial!C2,"AAAAAHz/9zU=")</f>
        <v>#VALUE!</v>
      </c>
      <c r="BC60" t="e">
        <f>AND(Financial!D2,"AAAAAHz/9zY=")</f>
        <v>#VALUE!</v>
      </c>
      <c r="BD60" t="e">
        <f>AND(Financial!E2,"AAAAAHz/9zc=")</f>
        <v>#VALUE!</v>
      </c>
      <c r="BE60" t="e">
        <f>AND(Financial!F2,"AAAAAHz/9zg=")</f>
        <v>#VALUE!</v>
      </c>
      <c r="BF60" t="e">
        <f>AND(Financial!G2,"AAAAAHz/9zk=")</f>
        <v>#VALUE!</v>
      </c>
      <c r="BG60" t="e">
        <f>AND(Financial!H2,"AAAAAHz/9zo=")</f>
        <v>#VALUE!</v>
      </c>
      <c r="BH60" t="e">
        <f>AND(Financial!I2,"AAAAAHz/9zs=")</f>
        <v>#VALUE!</v>
      </c>
      <c r="BI60" t="e">
        <f>AND(Financial!J2,"AAAAAHz/9zw=")</f>
        <v>#VALUE!</v>
      </c>
      <c r="BJ60" t="e">
        <f>AND(Financial!K2,"AAAAAHz/9z0=")</f>
        <v>#VALUE!</v>
      </c>
      <c r="BK60" t="e">
        <f>AND(Financial!L2,"AAAAAHz/9z4=")</f>
        <v>#VALUE!</v>
      </c>
      <c r="BL60" t="e">
        <f>AND(Financial!M2,"AAAAAHz/9z8=")</f>
        <v>#VALUE!</v>
      </c>
      <c r="BM60">
        <f>IF(Financial!3:3,"AAAAAHz/90A=",0)</f>
        <v>0</v>
      </c>
      <c r="BN60" t="e">
        <f>AND(Financial!#REF!,"AAAAAHz/90E=")</f>
        <v>#REF!</v>
      </c>
      <c r="BO60" t="e">
        <f>AND(Financial!A3,"AAAAAHz/90I=")</f>
        <v>#VALUE!</v>
      </c>
      <c r="BP60" t="e">
        <f>AND(Financial!B3,"AAAAAHz/90M=")</f>
        <v>#VALUE!</v>
      </c>
      <c r="BQ60" t="e">
        <f>AND(Financial!C3,"AAAAAHz/90Q=")</f>
        <v>#VALUE!</v>
      </c>
      <c r="BR60" t="e">
        <f>AND(Financial!D3,"AAAAAHz/90U=")</f>
        <v>#VALUE!</v>
      </c>
      <c r="BS60" t="e">
        <f>AND(Financial!E3,"AAAAAHz/90Y=")</f>
        <v>#VALUE!</v>
      </c>
      <c r="BT60" t="e">
        <f>AND(Financial!F3,"AAAAAHz/90c=")</f>
        <v>#VALUE!</v>
      </c>
      <c r="BU60" t="e">
        <f>AND(Financial!G3,"AAAAAHz/90g=")</f>
        <v>#VALUE!</v>
      </c>
      <c r="BV60" t="e">
        <f>AND(Financial!H3,"AAAAAHz/90k=")</f>
        <v>#VALUE!</v>
      </c>
      <c r="BW60" t="e">
        <f>AND(Financial!I3,"AAAAAHz/90o=")</f>
        <v>#VALUE!</v>
      </c>
      <c r="BX60" t="e">
        <f>AND(Financial!J3,"AAAAAHz/90s=")</f>
        <v>#VALUE!</v>
      </c>
      <c r="BY60" t="e">
        <f>AND(Financial!K3,"AAAAAHz/90w=")</f>
        <v>#VALUE!</v>
      </c>
      <c r="BZ60" t="e">
        <f>AND(Financial!L3,"AAAAAHz/900=")</f>
        <v>#VALUE!</v>
      </c>
      <c r="CA60" t="e">
        <f>AND(Financial!M3,"AAAAAHz/904=")</f>
        <v>#VALUE!</v>
      </c>
      <c r="CB60" t="e">
        <f>IF(Financial!#REF!,"AAAAAHz/908=",0)</f>
        <v>#REF!</v>
      </c>
      <c r="CC60" t="e">
        <f>AND(Financial!#REF!,"AAAAAHz/91A=")</f>
        <v>#REF!</v>
      </c>
      <c r="CD60" t="e">
        <f>AND(Financial!#REF!,"AAAAAHz/91E=")</f>
        <v>#REF!</v>
      </c>
      <c r="CE60" t="e">
        <f>AND(Financial!#REF!,"AAAAAHz/91I=")</f>
        <v>#REF!</v>
      </c>
      <c r="CF60" t="e">
        <f>AND(Financial!#REF!,"AAAAAHz/91M=")</f>
        <v>#REF!</v>
      </c>
      <c r="CG60" t="e">
        <f>AND(Financial!#REF!,"AAAAAHz/91Q=")</f>
        <v>#REF!</v>
      </c>
      <c r="CH60" t="e">
        <f>AND(Financial!#REF!,"AAAAAHz/91U=")</f>
        <v>#REF!</v>
      </c>
      <c r="CI60" t="e">
        <f>AND(Financial!#REF!,"AAAAAHz/91Y=")</f>
        <v>#REF!</v>
      </c>
      <c r="CJ60" t="e">
        <f>AND(Financial!#REF!,"AAAAAHz/91c=")</f>
        <v>#REF!</v>
      </c>
      <c r="CK60" t="e">
        <f>AND(Financial!#REF!,"AAAAAHz/91g=")</f>
        <v>#REF!</v>
      </c>
      <c r="CL60" t="e">
        <f>AND(Financial!#REF!,"AAAAAHz/91k=")</f>
        <v>#REF!</v>
      </c>
      <c r="CM60" t="e">
        <f>AND(Financial!#REF!,"AAAAAHz/91o=")</f>
        <v>#REF!</v>
      </c>
      <c r="CN60" t="e">
        <f>AND(Financial!#REF!,"AAAAAHz/91s=")</f>
        <v>#REF!</v>
      </c>
      <c r="CO60" t="e">
        <f>AND(Financial!#REF!,"AAAAAHz/91w=")</f>
        <v>#REF!</v>
      </c>
      <c r="CP60" t="e">
        <f>AND(Financial!#REF!,"AAAAAHz/910=")</f>
        <v>#REF!</v>
      </c>
      <c r="CQ60" t="e">
        <f>IF(Financial!#REF!,"AAAAAHz/914=",0)</f>
        <v>#REF!</v>
      </c>
      <c r="CR60" t="e">
        <f>AND(Financial!#REF!,"AAAAAHz/918=")</f>
        <v>#REF!</v>
      </c>
      <c r="CS60" t="e">
        <f>AND(Financial!#REF!,"AAAAAHz/92A=")</f>
        <v>#REF!</v>
      </c>
      <c r="CT60" t="e">
        <f>AND(Financial!#REF!,"AAAAAHz/92E=")</f>
        <v>#REF!</v>
      </c>
      <c r="CU60" t="e">
        <f>AND(Financial!#REF!,"AAAAAHz/92I=")</f>
        <v>#REF!</v>
      </c>
      <c r="CV60" t="e">
        <f>AND(Financial!#REF!,"AAAAAHz/92M=")</f>
        <v>#REF!</v>
      </c>
      <c r="CW60" t="e">
        <f>AND(Financial!#REF!,"AAAAAHz/92Q=")</f>
        <v>#REF!</v>
      </c>
      <c r="CX60" t="e">
        <f>AND(Financial!#REF!,"AAAAAHz/92U=")</f>
        <v>#REF!</v>
      </c>
      <c r="CY60" t="e">
        <f>AND(Financial!#REF!,"AAAAAHz/92Y=")</f>
        <v>#REF!</v>
      </c>
      <c r="CZ60" t="e">
        <f>AND(Financial!#REF!,"AAAAAHz/92c=")</f>
        <v>#REF!</v>
      </c>
      <c r="DA60" t="e">
        <f>AND(Financial!#REF!,"AAAAAHz/92g=")</f>
        <v>#REF!</v>
      </c>
      <c r="DB60" t="e">
        <f>AND(Financial!#REF!,"AAAAAHz/92k=")</f>
        <v>#REF!</v>
      </c>
      <c r="DC60" t="e">
        <f>AND(Financial!#REF!,"AAAAAHz/92o=")</f>
        <v>#REF!</v>
      </c>
      <c r="DD60" t="e">
        <f>AND(Financial!#REF!,"AAAAAHz/92s=")</f>
        <v>#REF!</v>
      </c>
      <c r="DE60" t="e">
        <f>AND(Financial!#REF!,"AAAAAHz/92w=")</f>
        <v>#REF!</v>
      </c>
      <c r="DF60" t="e">
        <f>IF(Financial!#REF!,"AAAAAHz/920=",0)</f>
        <v>#REF!</v>
      </c>
      <c r="DG60" t="e">
        <f>AND(Financial!#REF!,"AAAAAHz/924=")</f>
        <v>#REF!</v>
      </c>
      <c r="DH60" t="e">
        <f>AND(Financial!#REF!,"AAAAAHz/928=")</f>
        <v>#REF!</v>
      </c>
      <c r="DI60" t="e">
        <f>AND(Financial!#REF!,"AAAAAHz/93A=")</f>
        <v>#REF!</v>
      </c>
      <c r="DJ60" t="e">
        <f>AND(Financial!#REF!,"AAAAAHz/93E=")</f>
        <v>#REF!</v>
      </c>
      <c r="DK60" t="e">
        <f>AND(Financial!#REF!,"AAAAAHz/93I=")</f>
        <v>#REF!</v>
      </c>
      <c r="DL60" t="e">
        <f>AND(Financial!#REF!,"AAAAAHz/93M=")</f>
        <v>#REF!</v>
      </c>
      <c r="DM60" t="e">
        <f>AND(Financial!#REF!,"AAAAAHz/93Q=")</f>
        <v>#REF!</v>
      </c>
      <c r="DN60" t="e">
        <f>AND(Financial!#REF!,"AAAAAHz/93U=")</f>
        <v>#REF!</v>
      </c>
      <c r="DO60" t="e">
        <f>AND(Financial!#REF!,"AAAAAHz/93Y=")</f>
        <v>#REF!</v>
      </c>
      <c r="DP60" t="e">
        <f>AND(Financial!#REF!,"AAAAAHz/93c=")</f>
        <v>#REF!</v>
      </c>
      <c r="DQ60" t="e">
        <f>AND(Financial!#REF!,"AAAAAHz/93g=")</f>
        <v>#REF!</v>
      </c>
      <c r="DR60" t="e">
        <f>AND(Financial!#REF!,"AAAAAHz/93k=")</f>
        <v>#REF!</v>
      </c>
      <c r="DS60" t="e">
        <f>AND(Financial!#REF!,"AAAAAHz/93o=")</f>
        <v>#REF!</v>
      </c>
      <c r="DT60" t="e">
        <f>AND(Financial!#REF!,"AAAAAHz/93s=")</f>
        <v>#REF!</v>
      </c>
      <c r="DU60" t="e">
        <f>IF(Financial!#REF!,"AAAAAHz/93w=",0)</f>
        <v>#REF!</v>
      </c>
      <c r="DV60" t="e">
        <f>AND(Financial!#REF!,"AAAAAHz/930=")</f>
        <v>#REF!</v>
      </c>
      <c r="DW60" t="e">
        <f>AND(Financial!#REF!,"AAAAAHz/934=")</f>
        <v>#REF!</v>
      </c>
      <c r="DX60" t="e">
        <f>AND(Financial!#REF!,"AAAAAHz/938=")</f>
        <v>#REF!</v>
      </c>
      <c r="DY60" t="e">
        <f>AND(Financial!#REF!,"AAAAAHz/94A=")</f>
        <v>#REF!</v>
      </c>
      <c r="DZ60" t="e">
        <f>AND(Financial!#REF!,"AAAAAHz/94E=")</f>
        <v>#REF!</v>
      </c>
      <c r="EA60" t="e">
        <f>AND(Financial!#REF!,"AAAAAHz/94I=")</f>
        <v>#REF!</v>
      </c>
      <c r="EB60" t="e">
        <f>AND(Financial!#REF!,"AAAAAHz/94M=")</f>
        <v>#REF!</v>
      </c>
      <c r="EC60" t="e">
        <f>AND(Financial!#REF!,"AAAAAHz/94Q=")</f>
        <v>#REF!</v>
      </c>
      <c r="ED60" t="e">
        <f>AND(Financial!#REF!,"AAAAAHz/94U=")</f>
        <v>#REF!</v>
      </c>
      <c r="EE60" t="e">
        <f>AND(Financial!#REF!,"AAAAAHz/94Y=")</f>
        <v>#REF!</v>
      </c>
      <c r="EF60" t="e">
        <f>AND(Financial!#REF!,"AAAAAHz/94c=")</f>
        <v>#REF!</v>
      </c>
      <c r="EG60" t="e">
        <f>AND(Financial!#REF!,"AAAAAHz/94g=")</f>
        <v>#REF!</v>
      </c>
      <c r="EH60" t="e">
        <f>AND(Financial!#REF!,"AAAAAHz/94k=")</f>
        <v>#REF!</v>
      </c>
      <c r="EI60" t="e">
        <f>AND(Financial!#REF!,"AAAAAHz/94o=")</f>
        <v>#REF!</v>
      </c>
      <c r="EJ60" t="e">
        <f>IF(Financial!#REF!,"AAAAAHz/94s=",0)</f>
        <v>#REF!</v>
      </c>
      <c r="EK60" t="e">
        <f>AND(Financial!#REF!,"AAAAAHz/94w=")</f>
        <v>#REF!</v>
      </c>
      <c r="EL60" t="e">
        <f>AND(Financial!#REF!,"AAAAAHz/940=")</f>
        <v>#REF!</v>
      </c>
      <c r="EM60" t="e">
        <f>AND(Financial!#REF!,"AAAAAHz/944=")</f>
        <v>#REF!</v>
      </c>
      <c r="EN60" t="e">
        <f>AND(Financial!#REF!,"AAAAAHz/948=")</f>
        <v>#REF!</v>
      </c>
      <c r="EO60" t="e">
        <f>AND(Financial!#REF!,"AAAAAHz/95A=")</f>
        <v>#REF!</v>
      </c>
      <c r="EP60" t="e">
        <f>AND(Financial!#REF!,"AAAAAHz/95E=")</f>
        <v>#REF!</v>
      </c>
      <c r="EQ60" t="e">
        <f>AND(Financial!#REF!,"AAAAAHz/95I=")</f>
        <v>#REF!</v>
      </c>
      <c r="ER60" t="e">
        <f>AND(Financial!#REF!,"AAAAAHz/95M=")</f>
        <v>#REF!</v>
      </c>
      <c r="ES60" t="e">
        <f>AND(Financial!#REF!,"AAAAAHz/95Q=")</f>
        <v>#REF!</v>
      </c>
      <c r="ET60" t="e">
        <f>AND(Financial!#REF!,"AAAAAHz/95U=")</f>
        <v>#REF!</v>
      </c>
      <c r="EU60" t="e">
        <f>AND(Financial!#REF!,"AAAAAHz/95Y=")</f>
        <v>#REF!</v>
      </c>
      <c r="EV60" t="e">
        <f>AND(Financial!#REF!,"AAAAAHz/95c=")</f>
        <v>#REF!</v>
      </c>
      <c r="EW60" t="e">
        <f>AND(Financial!#REF!,"AAAAAHz/95g=")</f>
        <v>#REF!</v>
      </c>
      <c r="EX60" t="e">
        <f>AND(Financial!#REF!,"AAAAAHz/95k=")</f>
        <v>#REF!</v>
      </c>
      <c r="EY60" t="e">
        <f>IF(Financial!#REF!,"AAAAAHz/95o=",0)</f>
        <v>#REF!</v>
      </c>
      <c r="EZ60" t="e">
        <f>AND(Financial!#REF!,"AAAAAHz/95s=")</f>
        <v>#REF!</v>
      </c>
      <c r="FA60" t="e">
        <f>AND(Financial!#REF!,"AAAAAHz/95w=")</f>
        <v>#REF!</v>
      </c>
      <c r="FB60" t="e">
        <f>AND(Financial!#REF!,"AAAAAHz/950=")</f>
        <v>#REF!</v>
      </c>
      <c r="FC60" t="e">
        <f>AND(Financial!#REF!,"AAAAAHz/954=")</f>
        <v>#REF!</v>
      </c>
      <c r="FD60" t="e">
        <f>AND(Financial!#REF!,"AAAAAHz/958=")</f>
        <v>#REF!</v>
      </c>
      <c r="FE60" t="e">
        <f>AND(Financial!#REF!,"AAAAAHz/96A=")</f>
        <v>#REF!</v>
      </c>
      <c r="FF60" t="e">
        <f>AND(Financial!#REF!,"AAAAAHz/96E=")</f>
        <v>#REF!</v>
      </c>
      <c r="FG60" t="e">
        <f>AND(Financial!#REF!,"AAAAAHz/96I=")</f>
        <v>#REF!</v>
      </c>
      <c r="FH60" t="e">
        <f>AND(Financial!#REF!,"AAAAAHz/96M=")</f>
        <v>#REF!</v>
      </c>
      <c r="FI60" t="e">
        <f>AND(Financial!#REF!,"AAAAAHz/96Q=")</f>
        <v>#REF!</v>
      </c>
      <c r="FJ60" t="e">
        <f>AND(Financial!#REF!,"AAAAAHz/96U=")</f>
        <v>#REF!</v>
      </c>
      <c r="FK60" t="e">
        <f>AND(Financial!#REF!,"AAAAAHz/96Y=")</f>
        <v>#REF!</v>
      </c>
      <c r="FL60" t="e">
        <f>AND(Financial!#REF!,"AAAAAHz/96c=")</f>
        <v>#REF!</v>
      </c>
      <c r="FM60" t="e">
        <f>AND(Financial!#REF!,"AAAAAHz/96g=")</f>
        <v>#REF!</v>
      </c>
      <c r="FN60" t="e">
        <f>IF(Financial!#REF!,"AAAAAHz/96k=",0)</f>
        <v>#REF!</v>
      </c>
      <c r="FO60" t="e">
        <f>AND(Financial!#REF!,"AAAAAHz/96o=")</f>
        <v>#REF!</v>
      </c>
      <c r="FP60" t="e">
        <f>AND(Financial!#REF!,"AAAAAHz/96s=")</f>
        <v>#REF!</v>
      </c>
      <c r="FQ60" t="e">
        <f>AND(Financial!#REF!,"AAAAAHz/96w=")</f>
        <v>#REF!</v>
      </c>
      <c r="FR60" t="e">
        <f>AND(Financial!#REF!,"AAAAAHz/960=")</f>
        <v>#REF!</v>
      </c>
      <c r="FS60" t="e">
        <f>AND(Financial!#REF!,"AAAAAHz/964=")</f>
        <v>#REF!</v>
      </c>
      <c r="FT60" t="e">
        <f>AND(Financial!#REF!,"AAAAAHz/968=")</f>
        <v>#REF!</v>
      </c>
      <c r="FU60" t="e">
        <f>AND(Financial!#REF!,"AAAAAHz/97A=")</f>
        <v>#REF!</v>
      </c>
      <c r="FV60" t="e">
        <f>AND(Financial!#REF!,"AAAAAHz/97E=")</f>
        <v>#REF!</v>
      </c>
      <c r="FW60" t="e">
        <f>AND(Financial!#REF!,"AAAAAHz/97I=")</f>
        <v>#REF!</v>
      </c>
      <c r="FX60" t="e">
        <f>AND(Financial!#REF!,"AAAAAHz/97M=")</f>
        <v>#REF!</v>
      </c>
      <c r="FY60" t="e">
        <f>AND(Financial!#REF!,"AAAAAHz/97Q=")</f>
        <v>#REF!</v>
      </c>
      <c r="FZ60" t="e">
        <f>AND(Financial!#REF!,"AAAAAHz/97U=")</f>
        <v>#REF!</v>
      </c>
      <c r="GA60" t="e">
        <f>AND(Financial!#REF!,"AAAAAHz/97Y=")</f>
        <v>#REF!</v>
      </c>
      <c r="GB60" t="e">
        <f>AND(Financial!#REF!,"AAAAAHz/97c=")</f>
        <v>#REF!</v>
      </c>
      <c r="GC60" t="e">
        <f>IF(Financial!#REF!,"AAAAAHz/97g=",0)</f>
        <v>#REF!</v>
      </c>
      <c r="GD60" t="e">
        <f>AND(Financial!#REF!,"AAAAAHz/97k=")</f>
        <v>#REF!</v>
      </c>
      <c r="GE60" t="e">
        <f>AND(Financial!#REF!,"AAAAAHz/97o=")</f>
        <v>#REF!</v>
      </c>
      <c r="GF60" t="e">
        <f>AND(Financial!#REF!,"AAAAAHz/97s=")</f>
        <v>#REF!</v>
      </c>
      <c r="GG60" t="e">
        <f>AND(Financial!#REF!,"AAAAAHz/97w=")</f>
        <v>#REF!</v>
      </c>
      <c r="GH60" t="e">
        <f>AND(Financial!#REF!,"AAAAAHz/970=")</f>
        <v>#REF!</v>
      </c>
      <c r="GI60" t="e">
        <f>AND(Financial!#REF!,"AAAAAHz/974=")</f>
        <v>#REF!</v>
      </c>
      <c r="GJ60" t="e">
        <f>AND(Financial!#REF!,"AAAAAHz/978=")</f>
        <v>#REF!</v>
      </c>
      <c r="GK60" t="e">
        <f>AND(Financial!#REF!,"AAAAAHz/98A=")</f>
        <v>#REF!</v>
      </c>
      <c r="GL60" t="e">
        <f>AND(Financial!#REF!,"AAAAAHz/98E=")</f>
        <v>#REF!</v>
      </c>
      <c r="GM60" t="e">
        <f>AND(Financial!#REF!,"AAAAAHz/98I=")</f>
        <v>#REF!</v>
      </c>
      <c r="GN60" t="e">
        <f>AND(Financial!#REF!,"AAAAAHz/98M=")</f>
        <v>#REF!</v>
      </c>
      <c r="GO60" t="e">
        <f>AND(Financial!#REF!,"AAAAAHz/98Q=")</f>
        <v>#REF!</v>
      </c>
      <c r="GP60" t="e">
        <f>AND(Financial!#REF!,"AAAAAHz/98U=")</f>
        <v>#REF!</v>
      </c>
      <c r="GQ60" t="e">
        <f>AND(Financial!#REF!,"AAAAAHz/98Y=")</f>
        <v>#REF!</v>
      </c>
      <c r="GR60" t="e">
        <f>IF(Financial!#REF!,"AAAAAHz/98c=",0)</f>
        <v>#REF!</v>
      </c>
      <c r="GS60" t="e">
        <f>AND(Financial!#REF!,"AAAAAHz/98g=")</f>
        <v>#REF!</v>
      </c>
      <c r="GT60" t="e">
        <f>AND(Financial!#REF!,"AAAAAHz/98k=")</f>
        <v>#REF!</v>
      </c>
      <c r="GU60" t="e">
        <f>AND(Financial!#REF!,"AAAAAHz/98o=")</f>
        <v>#REF!</v>
      </c>
      <c r="GV60" t="e">
        <f>AND(Financial!#REF!,"AAAAAHz/98s=")</f>
        <v>#REF!</v>
      </c>
      <c r="GW60" t="e">
        <f>AND(Financial!#REF!,"AAAAAHz/98w=")</f>
        <v>#REF!</v>
      </c>
      <c r="GX60" t="e">
        <f>AND(Financial!#REF!,"AAAAAHz/980=")</f>
        <v>#REF!</v>
      </c>
      <c r="GY60" t="e">
        <f>AND(Financial!#REF!,"AAAAAHz/984=")</f>
        <v>#REF!</v>
      </c>
      <c r="GZ60" t="e">
        <f>AND(Financial!#REF!,"AAAAAHz/988=")</f>
        <v>#REF!</v>
      </c>
      <c r="HA60" t="e">
        <f>AND(Financial!#REF!,"AAAAAHz/99A=")</f>
        <v>#REF!</v>
      </c>
      <c r="HB60" t="e">
        <f>AND(Financial!#REF!,"AAAAAHz/99E=")</f>
        <v>#REF!</v>
      </c>
      <c r="HC60" t="e">
        <f>AND(Financial!#REF!,"AAAAAHz/99I=")</f>
        <v>#REF!</v>
      </c>
      <c r="HD60" t="e">
        <f>AND(Financial!#REF!,"AAAAAHz/99M=")</f>
        <v>#REF!</v>
      </c>
      <c r="HE60" t="e">
        <f>AND(Financial!#REF!,"AAAAAHz/99Q=")</f>
        <v>#REF!</v>
      </c>
      <c r="HF60" t="e">
        <f>AND(Financial!#REF!,"AAAAAHz/99U=")</f>
        <v>#REF!</v>
      </c>
      <c r="HG60" t="e">
        <f>IF(Financial!#REF!,"AAAAAHz/99Y=",0)</f>
        <v>#REF!</v>
      </c>
      <c r="HH60" t="e">
        <f>AND(Financial!#REF!,"AAAAAHz/99c=")</f>
        <v>#REF!</v>
      </c>
      <c r="HI60" t="e">
        <f>AND(Financial!#REF!,"AAAAAHz/99g=")</f>
        <v>#REF!</v>
      </c>
      <c r="HJ60" t="e">
        <f>AND(Financial!#REF!,"AAAAAHz/99k=")</f>
        <v>#REF!</v>
      </c>
      <c r="HK60" t="e">
        <f>AND(Financial!#REF!,"AAAAAHz/99o=")</f>
        <v>#REF!</v>
      </c>
      <c r="HL60" t="e">
        <f>AND(Financial!#REF!,"AAAAAHz/99s=")</f>
        <v>#REF!</v>
      </c>
      <c r="HM60" t="e">
        <f>AND(Financial!#REF!,"AAAAAHz/99w=")</f>
        <v>#REF!</v>
      </c>
      <c r="HN60" t="e">
        <f>AND(Financial!#REF!,"AAAAAHz/990=")</f>
        <v>#REF!</v>
      </c>
      <c r="HO60" t="e">
        <f>AND(Financial!#REF!,"AAAAAHz/994=")</f>
        <v>#REF!</v>
      </c>
      <c r="HP60" t="e">
        <f>AND(Financial!#REF!,"AAAAAHz/998=")</f>
        <v>#REF!</v>
      </c>
      <c r="HQ60" t="e">
        <f>AND(Financial!#REF!,"AAAAAHz/9+A=")</f>
        <v>#REF!</v>
      </c>
      <c r="HR60" t="e">
        <f>AND(Financial!#REF!,"AAAAAHz/9+E=")</f>
        <v>#REF!</v>
      </c>
      <c r="HS60" t="e">
        <f>AND(Financial!#REF!,"AAAAAHz/9+I=")</f>
        <v>#REF!</v>
      </c>
      <c r="HT60" t="e">
        <f>AND(Financial!#REF!,"AAAAAHz/9+M=")</f>
        <v>#REF!</v>
      </c>
      <c r="HU60" t="e">
        <f>AND(Financial!#REF!,"AAAAAHz/9+Q=")</f>
        <v>#REF!</v>
      </c>
      <c r="HV60">
        <f>IF(Financial!4:4,"AAAAAHz/9+U=",0)</f>
        <v>0</v>
      </c>
      <c r="HW60" t="e">
        <f>AND(Financial!#REF!,"AAAAAHz/9+Y=")</f>
        <v>#REF!</v>
      </c>
      <c r="HX60" t="e">
        <f>AND(Financial!A4,"AAAAAHz/9+c=")</f>
        <v>#VALUE!</v>
      </c>
      <c r="HY60" t="e">
        <f>AND(Financial!B4,"AAAAAHz/9+g=")</f>
        <v>#VALUE!</v>
      </c>
      <c r="HZ60" t="e">
        <f>AND(Financial!C4,"AAAAAHz/9+k=")</f>
        <v>#VALUE!</v>
      </c>
      <c r="IA60" t="e">
        <f>AND(Financial!D4,"AAAAAHz/9+o=")</f>
        <v>#VALUE!</v>
      </c>
      <c r="IB60" t="e">
        <f>AND(Financial!E4,"AAAAAHz/9+s=")</f>
        <v>#VALUE!</v>
      </c>
      <c r="IC60" t="e">
        <f>AND(Financial!F4,"AAAAAHz/9+w=")</f>
        <v>#VALUE!</v>
      </c>
      <c r="ID60" t="e">
        <f>AND(Financial!G4,"AAAAAHz/9+0=")</f>
        <v>#VALUE!</v>
      </c>
      <c r="IE60" t="e">
        <f>AND(Financial!H4,"AAAAAHz/9+4=")</f>
        <v>#VALUE!</v>
      </c>
      <c r="IF60" t="e">
        <f>AND(Financial!I4,"AAAAAHz/9+8=")</f>
        <v>#VALUE!</v>
      </c>
      <c r="IG60" t="e">
        <f>AND(Financial!J4,"AAAAAHz/9/A=")</f>
        <v>#VALUE!</v>
      </c>
      <c r="IH60" t="e">
        <f>AND(Financial!K4,"AAAAAHz/9/E=")</f>
        <v>#VALUE!</v>
      </c>
      <c r="II60" t="e">
        <f>AND(Financial!L4,"AAAAAHz/9/I=")</f>
        <v>#VALUE!</v>
      </c>
      <c r="IJ60" t="e">
        <f>AND(Financial!M4,"AAAAAHz/9/M=")</f>
        <v>#VALUE!</v>
      </c>
      <c r="IK60">
        <f>IF(Financial!5:5,"AAAAAHz/9/Q=",0)</f>
        <v>0</v>
      </c>
      <c r="IL60" t="e">
        <f>AND(Financial!#REF!,"AAAAAHz/9/U=")</f>
        <v>#REF!</v>
      </c>
      <c r="IM60" t="e">
        <f>AND(Financial!A5,"AAAAAHz/9/Y=")</f>
        <v>#VALUE!</v>
      </c>
      <c r="IN60" t="e">
        <f>AND(Financial!B5,"AAAAAHz/9/c=")</f>
        <v>#VALUE!</v>
      </c>
      <c r="IO60" t="e">
        <f>AND(Financial!C5,"AAAAAHz/9/g=")</f>
        <v>#VALUE!</v>
      </c>
      <c r="IP60" t="e">
        <f>AND(Financial!D5,"AAAAAHz/9/k=")</f>
        <v>#VALUE!</v>
      </c>
      <c r="IQ60" t="e">
        <f>AND(Financial!E5,"AAAAAHz/9/o=")</f>
        <v>#VALUE!</v>
      </c>
      <c r="IR60" t="e">
        <f>AND(Financial!F5,"AAAAAHz/9/s=")</f>
        <v>#VALUE!</v>
      </c>
      <c r="IS60" t="e">
        <f>AND(Financial!G5,"AAAAAHz/9/w=")</f>
        <v>#VALUE!</v>
      </c>
      <c r="IT60" t="e">
        <f>AND(Financial!H5,"AAAAAHz/9/0=")</f>
        <v>#VALUE!</v>
      </c>
      <c r="IU60" t="e">
        <f>AND(Financial!I5,"AAAAAHz/9/4=")</f>
        <v>#VALUE!</v>
      </c>
      <c r="IV60" t="e">
        <f>AND(Financial!J5,"AAAAAHz/9/8=")</f>
        <v>#VALUE!</v>
      </c>
    </row>
    <row r="61" spans="1:256" x14ac:dyDescent="0.2">
      <c r="A61" t="e">
        <f>AND(Financial!K5,"AAAAAGu/5wA=")</f>
        <v>#VALUE!</v>
      </c>
      <c r="B61" t="e">
        <f>AND(Financial!L5,"AAAAAGu/5wE=")</f>
        <v>#VALUE!</v>
      </c>
      <c r="C61" t="e">
        <f>AND(Financial!M5,"AAAAAGu/5wI=")</f>
        <v>#VALUE!</v>
      </c>
      <c r="D61" t="e">
        <f>IF(Financial!6:6,"AAAAAGu/5wM=",0)</f>
        <v>#VALUE!</v>
      </c>
      <c r="E61" t="e">
        <f>AND(Financial!#REF!,"AAAAAGu/5wQ=")</f>
        <v>#REF!</v>
      </c>
      <c r="F61" t="e">
        <f>AND(Financial!A6,"AAAAAGu/5wU=")</f>
        <v>#VALUE!</v>
      </c>
      <c r="G61" t="e">
        <f>AND(Financial!B6,"AAAAAGu/5wY=")</f>
        <v>#VALUE!</v>
      </c>
      <c r="H61" t="e">
        <f>AND(Financial!C6,"AAAAAGu/5wc=")</f>
        <v>#VALUE!</v>
      </c>
      <c r="I61" t="e">
        <f>AND(Financial!D6,"AAAAAGu/5wg=")</f>
        <v>#VALUE!</v>
      </c>
      <c r="J61" t="e">
        <f>AND(Financial!E6,"AAAAAGu/5wk=")</f>
        <v>#VALUE!</v>
      </c>
      <c r="K61" t="e">
        <f>AND(Financial!F6,"AAAAAGu/5wo=")</f>
        <v>#VALUE!</v>
      </c>
      <c r="L61" t="e">
        <f>AND(Financial!G6,"AAAAAGu/5ws=")</f>
        <v>#VALUE!</v>
      </c>
      <c r="M61" t="e">
        <f>AND(Financial!H6,"AAAAAGu/5ww=")</f>
        <v>#VALUE!</v>
      </c>
      <c r="N61" t="e">
        <f>AND(Financial!I6,"AAAAAGu/5w0=")</f>
        <v>#VALUE!</v>
      </c>
      <c r="O61" t="e">
        <f>AND(Financial!J6,"AAAAAGu/5w4=")</f>
        <v>#VALUE!</v>
      </c>
      <c r="P61" t="e">
        <f>AND(Financial!K6,"AAAAAGu/5w8=")</f>
        <v>#VALUE!</v>
      </c>
      <c r="Q61" t="e">
        <f>AND(Financial!L6,"AAAAAGu/5xA=")</f>
        <v>#VALUE!</v>
      </c>
      <c r="R61" t="e">
        <f>AND(Financial!M6,"AAAAAGu/5xE=")</f>
        <v>#VALUE!</v>
      </c>
      <c r="S61">
        <f>IF(Financial!7:7,"AAAAAGu/5xI=",0)</f>
        <v>0</v>
      </c>
      <c r="T61" t="e">
        <f>AND(Financial!#REF!,"AAAAAGu/5xM=")</f>
        <v>#REF!</v>
      </c>
      <c r="U61" t="e">
        <f>AND(Financial!A7,"AAAAAGu/5xQ=")</f>
        <v>#VALUE!</v>
      </c>
      <c r="V61" t="e">
        <f>AND(Financial!B7,"AAAAAGu/5xU=")</f>
        <v>#VALUE!</v>
      </c>
      <c r="W61" t="e">
        <f>AND(Financial!C7,"AAAAAGu/5xY=")</f>
        <v>#VALUE!</v>
      </c>
      <c r="X61" t="e">
        <f>AND(Financial!D7,"AAAAAGu/5xc=")</f>
        <v>#VALUE!</v>
      </c>
      <c r="Y61" t="e">
        <f>AND(Financial!E7,"AAAAAGu/5xg=")</f>
        <v>#VALUE!</v>
      </c>
      <c r="Z61" t="e">
        <f>AND(Financial!F7,"AAAAAGu/5xk=")</f>
        <v>#VALUE!</v>
      </c>
      <c r="AA61" t="e">
        <f>AND(Financial!G7,"AAAAAGu/5xo=")</f>
        <v>#VALUE!</v>
      </c>
      <c r="AB61" t="e">
        <f>AND(Financial!H7,"AAAAAGu/5xs=")</f>
        <v>#VALUE!</v>
      </c>
      <c r="AC61" t="e">
        <f>AND(Financial!I7,"AAAAAGu/5xw=")</f>
        <v>#VALUE!</v>
      </c>
      <c r="AD61" t="e">
        <f>AND(Financial!J7,"AAAAAGu/5x0=")</f>
        <v>#VALUE!</v>
      </c>
      <c r="AE61" t="e">
        <f>AND(Financial!K7,"AAAAAGu/5x4=")</f>
        <v>#VALUE!</v>
      </c>
      <c r="AF61" t="e">
        <f>AND(Financial!L7,"AAAAAGu/5x8=")</f>
        <v>#VALUE!</v>
      </c>
      <c r="AG61" t="e">
        <f>AND(Financial!M7,"AAAAAGu/5yA=")</f>
        <v>#VALUE!</v>
      </c>
      <c r="AH61">
        <f>IF(Financial!8:8,"AAAAAGu/5yE=",0)</f>
        <v>0</v>
      </c>
      <c r="AI61" t="e">
        <f>AND(Financial!#REF!,"AAAAAGu/5yI=")</f>
        <v>#REF!</v>
      </c>
      <c r="AJ61" t="e">
        <f>AND(Financial!A8,"AAAAAGu/5yM=")</f>
        <v>#VALUE!</v>
      </c>
      <c r="AK61" t="e">
        <f>AND(Financial!B8,"AAAAAGu/5yQ=")</f>
        <v>#VALUE!</v>
      </c>
      <c r="AL61" t="e">
        <f>AND(Financial!C8,"AAAAAGu/5yU=")</f>
        <v>#VALUE!</v>
      </c>
      <c r="AM61" t="e">
        <f>AND(Financial!D8,"AAAAAGu/5yY=")</f>
        <v>#VALUE!</v>
      </c>
      <c r="AN61" t="e">
        <f>AND(Financial!E8,"AAAAAGu/5yc=")</f>
        <v>#VALUE!</v>
      </c>
      <c r="AO61" t="e">
        <f>AND(Financial!F8,"AAAAAGu/5yg=")</f>
        <v>#VALUE!</v>
      </c>
      <c r="AP61" t="e">
        <f>AND(Financial!G8,"AAAAAGu/5yk=")</f>
        <v>#VALUE!</v>
      </c>
      <c r="AQ61" t="e">
        <f>AND(Financial!H8,"AAAAAGu/5yo=")</f>
        <v>#VALUE!</v>
      </c>
      <c r="AR61" t="e">
        <f>AND(Financial!I8,"AAAAAGu/5ys=")</f>
        <v>#VALUE!</v>
      </c>
      <c r="AS61" t="e">
        <f>AND(Financial!J8,"AAAAAGu/5yw=")</f>
        <v>#VALUE!</v>
      </c>
      <c r="AT61" t="e">
        <f>AND(Financial!K8,"AAAAAGu/5y0=")</f>
        <v>#VALUE!</v>
      </c>
      <c r="AU61" t="e">
        <f>AND(Financial!L8,"AAAAAGu/5y4=")</f>
        <v>#VALUE!</v>
      </c>
      <c r="AV61" t="e">
        <f>AND(Financial!M8,"AAAAAGu/5y8=")</f>
        <v>#VALUE!</v>
      </c>
      <c r="AW61">
        <f>IF(Financial!9:9,"AAAAAGu/5zA=",0)</f>
        <v>0</v>
      </c>
      <c r="AX61" t="e">
        <f>AND(Financial!#REF!,"AAAAAGu/5zE=")</f>
        <v>#REF!</v>
      </c>
      <c r="AY61" t="e">
        <f>AND(Financial!A9,"AAAAAGu/5zI=")</f>
        <v>#VALUE!</v>
      </c>
      <c r="AZ61" t="e">
        <f>AND(Financial!B9,"AAAAAGu/5zM=")</f>
        <v>#VALUE!</v>
      </c>
      <c r="BA61" t="e">
        <f>AND(Financial!C9,"AAAAAGu/5zQ=")</f>
        <v>#VALUE!</v>
      </c>
      <c r="BB61" t="e">
        <f>AND(Financial!D9,"AAAAAGu/5zU=")</f>
        <v>#VALUE!</v>
      </c>
      <c r="BC61" t="e">
        <f>AND(Financial!E9,"AAAAAGu/5zY=")</f>
        <v>#VALUE!</v>
      </c>
      <c r="BD61" t="e">
        <f>AND(Financial!F9,"AAAAAGu/5zc=")</f>
        <v>#VALUE!</v>
      </c>
      <c r="BE61" t="e">
        <f>AND(Financial!G9,"AAAAAGu/5zg=")</f>
        <v>#VALUE!</v>
      </c>
      <c r="BF61" t="e">
        <f>AND(Financial!H9,"AAAAAGu/5zk=")</f>
        <v>#VALUE!</v>
      </c>
      <c r="BG61" t="e">
        <f>AND(Financial!I9,"AAAAAGu/5zo=")</f>
        <v>#VALUE!</v>
      </c>
      <c r="BH61" t="e">
        <f>AND(Financial!J9,"AAAAAGu/5zs=")</f>
        <v>#VALUE!</v>
      </c>
      <c r="BI61" t="e">
        <f>AND(Financial!K9,"AAAAAGu/5zw=")</f>
        <v>#VALUE!</v>
      </c>
      <c r="BJ61" t="e">
        <f>AND(Financial!L9,"AAAAAGu/5z0=")</f>
        <v>#VALUE!</v>
      </c>
      <c r="BK61" t="e">
        <f>AND(Financial!M9,"AAAAAGu/5z4=")</f>
        <v>#VALUE!</v>
      </c>
      <c r="BL61">
        <f>IF(Financial!10:10,"AAAAAGu/5z8=",0)</f>
        <v>0</v>
      </c>
      <c r="BM61" t="e">
        <f>AND(Financial!#REF!,"AAAAAGu/50A=")</f>
        <v>#REF!</v>
      </c>
      <c r="BN61" t="e">
        <f>AND(Financial!A10,"AAAAAGu/50E=")</f>
        <v>#VALUE!</v>
      </c>
      <c r="BO61" t="e">
        <f>AND(Financial!B10,"AAAAAGu/50I=")</f>
        <v>#VALUE!</v>
      </c>
      <c r="BP61" t="e">
        <f>AND(Financial!C10,"AAAAAGu/50M=")</f>
        <v>#VALUE!</v>
      </c>
      <c r="BQ61" t="e">
        <f>AND(Financial!D10,"AAAAAGu/50Q=")</f>
        <v>#VALUE!</v>
      </c>
      <c r="BR61" t="e">
        <f>AND(Financial!E10,"AAAAAGu/50U=")</f>
        <v>#VALUE!</v>
      </c>
      <c r="BS61" t="e">
        <f>AND(Financial!F10,"AAAAAGu/50Y=")</f>
        <v>#VALUE!</v>
      </c>
      <c r="BT61" t="e">
        <f>AND(Financial!G10,"AAAAAGu/50c=")</f>
        <v>#VALUE!</v>
      </c>
      <c r="BU61" t="e">
        <f>AND(Financial!H10,"AAAAAGu/50g=")</f>
        <v>#VALUE!</v>
      </c>
      <c r="BV61" t="e">
        <f>AND(Financial!I10,"AAAAAGu/50k=")</f>
        <v>#VALUE!</v>
      </c>
      <c r="BW61" t="e">
        <f>AND(Financial!J10,"AAAAAGu/50o=")</f>
        <v>#VALUE!</v>
      </c>
      <c r="BX61" t="e">
        <f>AND(Financial!K10,"AAAAAGu/50s=")</f>
        <v>#VALUE!</v>
      </c>
      <c r="BY61" t="e">
        <f>AND(Financial!L10,"AAAAAGu/50w=")</f>
        <v>#VALUE!</v>
      </c>
      <c r="BZ61" t="e">
        <f>AND(Financial!M10,"AAAAAGu/500=")</f>
        <v>#VALUE!</v>
      </c>
      <c r="CA61">
        <f>IF(Financial!11:11,"AAAAAGu/504=",0)</f>
        <v>0</v>
      </c>
      <c r="CB61" t="e">
        <f>AND(Financial!#REF!,"AAAAAGu/508=")</f>
        <v>#REF!</v>
      </c>
      <c r="CC61" t="e">
        <f>AND(Financial!A11,"AAAAAGu/51A=")</f>
        <v>#VALUE!</v>
      </c>
      <c r="CD61" t="e">
        <f>AND(Financial!B11,"AAAAAGu/51E=")</f>
        <v>#VALUE!</v>
      </c>
      <c r="CE61" t="e">
        <f>AND(Financial!C11,"AAAAAGu/51I=")</f>
        <v>#VALUE!</v>
      </c>
      <c r="CF61" t="e">
        <f>AND(Financial!D11,"AAAAAGu/51M=")</f>
        <v>#VALUE!</v>
      </c>
      <c r="CG61" t="e">
        <f>AND(Financial!E11,"AAAAAGu/51Q=")</f>
        <v>#VALUE!</v>
      </c>
      <c r="CH61" t="e">
        <f>AND(Financial!F11,"AAAAAGu/51U=")</f>
        <v>#VALUE!</v>
      </c>
      <c r="CI61" t="e">
        <f>AND(Financial!G11,"AAAAAGu/51Y=")</f>
        <v>#VALUE!</v>
      </c>
      <c r="CJ61" t="e">
        <f>AND(Financial!H11,"AAAAAGu/51c=")</f>
        <v>#VALUE!</v>
      </c>
      <c r="CK61" t="e">
        <f>AND(Financial!I11,"AAAAAGu/51g=")</f>
        <v>#VALUE!</v>
      </c>
      <c r="CL61" t="e">
        <f>AND(Financial!J11,"AAAAAGu/51k=")</f>
        <v>#VALUE!</v>
      </c>
      <c r="CM61" t="e">
        <f>AND(Financial!K11,"AAAAAGu/51o=")</f>
        <v>#VALUE!</v>
      </c>
      <c r="CN61" t="e">
        <f>AND(Financial!L11,"AAAAAGu/51s=")</f>
        <v>#VALUE!</v>
      </c>
      <c r="CO61" t="e">
        <f>AND(Financial!M11,"AAAAAGu/51w=")</f>
        <v>#VALUE!</v>
      </c>
      <c r="CP61">
        <f>IF(Financial!12:12,"AAAAAGu/510=",0)</f>
        <v>0</v>
      </c>
      <c r="CQ61" t="e">
        <f>AND(Financial!#REF!,"AAAAAGu/514=")</f>
        <v>#REF!</v>
      </c>
      <c r="CR61" t="e">
        <f>AND(Financial!A12,"AAAAAGu/518=")</f>
        <v>#VALUE!</v>
      </c>
      <c r="CS61" t="e">
        <f>AND(Financial!B12,"AAAAAGu/52A=")</f>
        <v>#VALUE!</v>
      </c>
      <c r="CT61" t="e">
        <f>AND(Financial!C12,"AAAAAGu/52E=")</f>
        <v>#VALUE!</v>
      </c>
      <c r="CU61" t="e">
        <f>AND(Financial!D12,"AAAAAGu/52I=")</f>
        <v>#VALUE!</v>
      </c>
      <c r="CV61" t="e">
        <f>AND(Financial!E12,"AAAAAGu/52M=")</f>
        <v>#VALUE!</v>
      </c>
      <c r="CW61" t="e">
        <f>AND(Financial!F12,"AAAAAGu/52Q=")</f>
        <v>#VALUE!</v>
      </c>
      <c r="CX61" t="e">
        <f>AND(Financial!G12,"AAAAAGu/52U=")</f>
        <v>#VALUE!</v>
      </c>
      <c r="CY61" t="e">
        <f>AND(Financial!H12,"AAAAAGu/52Y=")</f>
        <v>#VALUE!</v>
      </c>
      <c r="CZ61" t="e">
        <f>AND(Financial!I12,"AAAAAGu/52c=")</f>
        <v>#VALUE!</v>
      </c>
      <c r="DA61" t="e">
        <f>AND(Financial!J12,"AAAAAGu/52g=")</f>
        <v>#VALUE!</v>
      </c>
      <c r="DB61" t="e">
        <f>AND(Financial!K12,"AAAAAGu/52k=")</f>
        <v>#VALUE!</v>
      </c>
      <c r="DC61" t="e">
        <f>AND(Financial!L12,"AAAAAGu/52o=")</f>
        <v>#VALUE!</v>
      </c>
      <c r="DD61" t="e">
        <f>AND(Financial!M12,"AAAAAGu/52s=")</f>
        <v>#VALUE!</v>
      </c>
      <c r="DE61">
        <f>IF(Financial!13:13,"AAAAAGu/52w=",0)</f>
        <v>0</v>
      </c>
      <c r="DF61" t="e">
        <f>AND(Financial!#REF!,"AAAAAGu/520=")</f>
        <v>#REF!</v>
      </c>
      <c r="DG61" t="e">
        <f>AND(Financial!A13,"AAAAAGu/524=")</f>
        <v>#VALUE!</v>
      </c>
      <c r="DH61" t="e">
        <f>AND(Financial!B13,"AAAAAGu/528=")</f>
        <v>#VALUE!</v>
      </c>
      <c r="DI61" t="e">
        <f>AND(Financial!C13,"AAAAAGu/53A=")</f>
        <v>#VALUE!</v>
      </c>
      <c r="DJ61" t="e">
        <f>AND(Financial!D13,"AAAAAGu/53E=")</f>
        <v>#VALUE!</v>
      </c>
      <c r="DK61" t="e">
        <f>AND(Financial!E13,"AAAAAGu/53I=")</f>
        <v>#VALUE!</v>
      </c>
      <c r="DL61" t="e">
        <f>AND(Financial!F13,"AAAAAGu/53M=")</f>
        <v>#VALUE!</v>
      </c>
      <c r="DM61" t="e">
        <f>AND(Financial!G13,"AAAAAGu/53Q=")</f>
        <v>#VALUE!</v>
      </c>
      <c r="DN61" t="e">
        <f>AND(Financial!H13,"AAAAAGu/53U=")</f>
        <v>#VALUE!</v>
      </c>
      <c r="DO61" t="e">
        <f>AND(Financial!I13,"AAAAAGu/53Y=")</f>
        <v>#VALUE!</v>
      </c>
      <c r="DP61" t="e">
        <f>AND(Financial!J13,"AAAAAGu/53c=")</f>
        <v>#VALUE!</v>
      </c>
      <c r="DQ61" t="e">
        <f>AND(Financial!K13,"AAAAAGu/53g=")</f>
        <v>#VALUE!</v>
      </c>
      <c r="DR61" t="e">
        <f>AND(Financial!L13,"AAAAAGu/53k=")</f>
        <v>#VALUE!</v>
      </c>
      <c r="DS61" t="e">
        <f>AND(Financial!M13,"AAAAAGu/53o=")</f>
        <v>#VALUE!</v>
      </c>
      <c r="DT61">
        <f>IF(Financial!14:14,"AAAAAGu/53s=",0)</f>
        <v>0</v>
      </c>
      <c r="DU61" t="e">
        <f>AND(Financial!#REF!,"AAAAAGu/53w=")</f>
        <v>#REF!</v>
      </c>
      <c r="DV61" t="e">
        <f>AND(Financial!A14,"AAAAAGu/530=")</f>
        <v>#VALUE!</v>
      </c>
      <c r="DW61" t="e">
        <f>AND(Financial!B14,"AAAAAGu/534=")</f>
        <v>#VALUE!</v>
      </c>
      <c r="DX61" t="e">
        <f>AND(Financial!C14,"AAAAAGu/538=")</f>
        <v>#VALUE!</v>
      </c>
      <c r="DY61" t="e">
        <f>AND(Financial!D14,"AAAAAGu/54A=")</f>
        <v>#VALUE!</v>
      </c>
      <c r="DZ61" t="e">
        <f>AND(Financial!E14,"AAAAAGu/54E=")</f>
        <v>#VALUE!</v>
      </c>
      <c r="EA61" t="e">
        <f>AND(Financial!F14,"AAAAAGu/54I=")</f>
        <v>#VALUE!</v>
      </c>
      <c r="EB61" t="e">
        <f>AND(Financial!G14,"AAAAAGu/54M=")</f>
        <v>#VALUE!</v>
      </c>
      <c r="EC61" t="e">
        <f>AND(Financial!H14,"AAAAAGu/54Q=")</f>
        <v>#VALUE!</v>
      </c>
      <c r="ED61" t="e">
        <f>AND(Financial!I14,"AAAAAGu/54U=")</f>
        <v>#VALUE!</v>
      </c>
      <c r="EE61" t="e">
        <f>AND(Financial!J14,"AAAAAGu/54Y=")</f>
        <v>#VALUE!</v>
      </c>
      <c r="EF61" t="e">
        <f>AND(Financial!K14,"AAAAAGu/54c=")</f>
        <v>#VALUE!</v>
      </c>
      <c r="EG61" t="e">
        <f>AND(Financial!L14,"AAAAAGu/54g=")</f>
        <v>#VALUE!</v>
      </c>
      <c r="EH61" t="e">
        <f>AND(Financial!M14,"AAAAAGu/54k=")</f>
        <v>#VALUE!</v>
      </c>
      <c r="EI61">
        <f>IF(Financial!15:15,"AAAAAGu/54o=",0)</f>
        <v>0</v>
      </c>
      <c r="EJ61" t="e">
        <f>AND(Financial!#REF!,"AAAAAGu/54s=")</f>
        <v>#REF!</v>
      </c>
      <c r="EK61" t="e">
        <f>AND(Financial!A15,"AAAAAGu/54w=")</f>
        <v>#VALUE!</v>
      </c>
      <c r="EL61" t="e">
        <f>AND(Financial!B15,"AAAAAGu/540=")</f>
        <v>#VALUE!</v>
      </c>
      <c r="EM61" t="e">
        <f>AND(Financial!C15,"AAAAAGu/544=")</f>
        <v>#VALUE!</v>
      </c>
      <c r="EN61" t="e">
        <f>AND(Financial!D15,"AAAAAGu/548=")</f>
        <v>#VALUE!</v>
      </c>
      <c r="EO61" t="e">
        <f>AND(Financial!E15,"AAAAAGu/55A=")</f>
        <v>#VALUE!</v>
      </c>
      <c r="EP61" t="e">
        <f>AND(Financial!F15,"AAAAAGu/55E=")</f>
        <v>#VALUE!</v>
      </c>
      <c r="EQ61" t="e">
        <f>AND(Financial!G15,"AAAAAGu/55I=")</f>
        <v>#VALUE!</v>
      </c>
      <c r="ER61" t="e">
        <f>AND(Financial!H15,"AAAAAGu/55M=")</f>
        <v>#VALUE!</v>
      </c>
      <c r="ES61" t="e">
        <f>AND(Financial!I15,"AAAAAGu/55Q=")</f>
        <v>#VALUE!</v>
      </c>
      <c r="ET61" t="e">
        <f>AND(Financial!J15,"AAAAAGu/55U=")</f>
        <v>#VALUE!</v>
      </c>
      <c r="EU61" t="e">
        <f>AND(Financial!K15,"AAAAAGu/55Y=")</f>
        <v>#VALUE!</v>
      </c>
      <c r="EV61" t="e">
        <f>AND(Financial!L15,"AAAAAGu/55c=")</f>
        <v>#VALUE!</v>
      </c>
      <c r="EW61" t="e">
        <f>AND(Financial!M15,"AAAAAGu/55g=")</f>
        <v>#VALUE!</v>
      </c>
      <c r="EX61">
        <f>IF(Financial!16:16,"AAAAAGu/55k=",0)</f>
        <v>0</v>
      </c>
      <c r="EY61" t="e">
        <f>AND(Financial!#REF!,"AAAAAGu/55o=")</f>
        <v>#REF!</v>
      </c>
      <c r="EZ61" t="e">
        <f>AND(Financial!A16,"AAAAAGu/55s=")</f>
        <v>#VALUE!</v>
      </c>
      <c r="FA61" t="e">
        <f>AND(Financial!B16,"AAAAAGu/55w=")</f>
        <v>#VALUE!</v>
      </c>
      <c r="FB61" t="e">
        <f>AND(Financial!C16,"AAAAAGu/550=")</f>
        <v>#VALUE!</v>
      </c>
      <c r="FC61" t="e">
        <f>AND(Financial!D16,"AAAAAGu/554=")</f>
        <v>#VALUE!</v>
      </c>
      <c r="FD61" t="e">
        <f>AND(Financial!E16,"AAAAAGu/558=")</f>
        <v>#VALUE!</v>
      </c>
      <c r="FE61" t="e">
        <f>AND(Financial!F16,"AAAAAGu/56A=")</f>
        <v>#VALUE!</v>
      </c>
      <c r="FF61" t="e">
        <f>AND(Financial!G16,"AAAAAGu/56E=")</f>
        <v>#VALUE!</v>
      </c>
      <c r="FG61" t="e">
        <f>AND(Financial!H16,"AAAAAGu/56I=")</f>
        <v>#VALUE!</v>
      </c>
      <c r="FH61" t="e">
        <f>AND(Financial!I16,"AAAAAGu/56M=")</f>
        <v>#VALUE!</v>
      </c>
      <c r="FI61" t="e">
        <f>AND(Financial!J16,"AAAAAGu/56Q=")</f>
        <v>#VALUE!</v>
      </c>
      <c r="FJ61" t="e">
        <f>AND(Financial!K16,"AAAAAGu/56U=")</f>
        <v>#VALUE!</v>
      </c>
      <c r="FK61" t="e">
        <f>AND(Financial!L16,"AAAAAGu/56Y=")</f>
        <v>#VALUE!</v>
      </c>
      <c r="FL61" t="e">
        <f>AND(Financial!M16,"AAAAAGu/56c=")</f>
        <v>#VALUE!</v>
      </c>
      <c r="FM61">
        <f>IF(Financial!17:17,"AAAAAGu/56g=",0)</f>
        <v>0</v>
      </c>
      <c r="FN61" t="e">
        <f>AND(Financial!#REF!,"AAAAAGu/56k=")</f>
        <v>#REF!</v>
      </c>
      <c r="FO61" t="e">
        <f>AND(Financial!A17,"AAAAAGu/56o=")</f>
        <v>#VALUE!</v>
      </c>
      <c r="FP61" t="e">
        <f>AND(Financial!B17,"AAAAAGu/56s=")</f>
        <v>#VALUE!</v>
      </c>
      <c r="FQ61" t="e">
        <f>AND(Financial!C17,"AAAAAGu/56w=")</f>
        <v>#VALUE!</v>
      </c>
      <c r="FR61" t="e">
        <f>AND(Financial!D17,"AAAAAGu/560=")</f>
        <v>#VALUE!</v>
      </c>
      <c r="FS61" t="e">
        <f>AND(Financial!E17,"AAAAAGu/564=")</f>
        <v>#VALUE!</v>
      </c>
      <c r="FT61" t="e">
        <f>AND(Financial!F17,"AAAAAGu/568=")</f>
        <v>#VALUE!</v>
      </c>
      <c r="FU61" t="e">
        <f>AND(Financial!G17,"AAAAAGu/57A=")</f>
        <v>#VALUE!</v>
      </c>
      <c r="FV61" t="e">
        <f>AND(Financial!H17,"AAAAAGu/57E=")</f>
        <v>#VALUE!</v>
      </c>
      <c r="FW61" t="e">
        <f>AND(Financial!I17,"AAAAAGu/57I=")</f>
        <v>#VALUE!</v>
      </c>
      <c r="FX61" t="e">
        <f>AND(Financial!J17,"AAAAAGu/57M=")</f>
        <v>#VALUE!</v>
      </c>
      <c r="FY61" t="e">
        <f>AND(Financial!K17,"AAAAAGu/57Q=")</f>
        <v>#VALUE!</v>
      </c>
      <c r="FZ61" t="e">
        <f>AND(Financial!L17,"AAAAAGu/57U=")</f>
        <v>#VALUE!</v>
      </c>
      <c r="GA61" t="e">
        <f>AND(Financial!M17,"AAAAAGu/57Y=")</f>
        <v>#VALUE!</v>
      </c>
      <c r="GB61">
        <f>IF(Financial!18:18,"AAAAAGu/57c=",0)</f>
        <v>0</v>
      </c>
      <c r="GC61" t="e">
        <f>AND(Financial!#REF!,"AAAAAGu/57g=")</f>
        <v>#REF!</v>
      </c>
      <c r="GD61" t="e">
        <f>AND(Financial!A18,"AAAAAGu/57k=")</f>
        <v>#VALUE!</v>
      </c>
      <c r="GE61" t="e">
        <f>AND(Financial!B18,"AAAAAGu/57o=")</f>
        <v>#VALUE!</v>
      </c>
      <c r="GF61" t="e">
        <f>AND(Financial!C18,"AAAAAGu/57s=")</f>
        <v>#VALUE!</v>
      </c>
      <c r="GG61" t="e">
        <f>AND(Financial!D18,"AAAAAGu/57w=")</f>
        <v>#VALUE!</v>
      </c>
      <c r="GH61" t="e">
        <f>AND(Financial!E18,"AAAAAGu/570=")</f>
        <v>#VALUE!</v>
      </c>
      <c r="GI61" t="e">
        <f>AND(Financial!F18,"AAAAAGu/574=")</f>
        <v>#VALUE!</v>
      </c>
      <c r="GJ61" t="e">
        <f>AND(Financial!G18,"AAAAAGu/578=")</f>
        <v>#VALUE!</v>
      </c>
      <c r="GK61" t="e">
        <f>AND(Financial!H18,"AAAAAGu/58A=")</f>
        <v>#VALUE!</v>
      </c>
      <c r="GL61" t="e">
        <f>AND(Financial!I18,"AAAAAGu/58E=")</f>
        <v>#VALUE!</v>
      </c>
      <c r="GM61" t="e">
        <f>AND(Financial!J18,"AAAAAGu/58I=")</f>
        <v>#VALUE!</v>
      </c>
      <c r="GN61" t="e">
        <f>AND(Financial!K18,"AAAAAGu/58M=")</f>
        <v>#VALUE!</v>
      </c>
      <c r="GO61" t="e">
        <f>AND(Financial!L18,"AAAAAGu/58Q=")</f>
        <v>#VALUE!</v>
      </c>
      <c r="GP61" t="e">
        <f>AND(Financial!M18,"AAAAAGu/58U=")</f>
        <v>#VALUE!</v>
      </c>
      <c r="GQ61">
        <f>IF(Financial!19:19,"AAAAAGu/58Y=",0)</f>
        <v>0</v>
      </c>
      <c r="GR61" t="e">
        <f>AND(Financial!#REF!,"AAAAAGu/58c=")</f>
        <v>#REF!</v>
      </c>
      <c r="GS61" t="e">
        <f>AND(Financial!A19,"AAAAAGu/58g=")</f>
        <v>#VALUE!</v>
      </c>
      <c r="GT61" t="e">
        <f>AND(Financial!B19,"AAAAAGu/58k=")</f>
        <v>#VALUE!</v>
      </c>
      <c r="GU61" t="e">
        <f>AND(Financial!C19,"AAAAAGu/58o=")</f>
        <v>#VALUE!</v>
      </c>
      <c r="GV61" t="e">
        <f>AND(Financial!D19,"AAAAAGu/58s=")</f>
        <v>#VALUE!</v>
      </c>
      <c r="GW61" t="e">
        <f>AND(Financial!E19,"AAAAAGu/58w=")</f>
        <v>#VALUE!</v>
      </c>
      <c r="GX61" t="e">
        <f>AND(Financial!F19,"AAAAAGu/580=")</f>
        <v>#VALUE!</v>
      </c>
      <c r="GY61" t="e">
        <f>AND(Financial!G19,"AAAAAGu/584=")</f>
        <v>#VALUE!</v>
      </c>
      <c r="GZ61" t="e">
        <f>AND(Financial!H19,"AAAAAGu/588=")</f>
        <v>#VALUE!</v>
      </c>
      <c r="HA61" t="e">
        <f>AND(Financial!I19,"AAAAAGu/59A=")</f>
        <v>#VALUE!</v>
      </c>
      <c r="HB61" t="e">
        <f>AND(Financial!J19,"AAAAAGu/59E=")</f>
        <v>#VALUE!</v>
      </c>
      <c r="HC61" t="e">
        <f>AND(Financial!K19,"AAAAAGu/59I=")</f>
        <v>#VALUE!</v>
      </c>
      <c r="HD61" t="e">
        <f>AND(Financial!L19,"AAAAAGu/59M=")</f>
        <v>#VALUE!</v>
      </c>
      <c r="HE61" t="e">
        <f>AND(Financial!M19,"AAAAAGu/59Q=")</f>
        <v>#VALUE!</v>
      </c>
      <c r="HF61">
        <f>IF(Financial!20:20,"AAAAAGu/59U=",0)</f>
        <v>0</v>
      </c>
      <c r="HG61" t="e">
        <f>AND(Financial!#REF!,"AAAAAGu/59Y=")</f>
        <v>#REF!</v>
      </c>
      <c r="HH61" t="e">
        <f>AND(Financial!A20,"AAAAAGu/59c=")</f>
        <v>#VALUE!</v>
      </c>
      <c r="HI61" t="e">
        <f>AND(Financial!B20,"AAAAAGu/59g=")</f>
        <v>#VALUE!</v>
      </c>
      <c r="HJ61" t="e">
        <f>AND(Financial!C20,"AAAAAGu/59k=")</f>
        <v>#VALUE!</v>
      </c>
      <c r="HK61" t="e">
        <f>AND(Financial!D20,"AAAAAGu/59o=")</f>
        <v>#VALUE!</v>
      </c>
      <c r="HL61" t="e">
        <f>AND(Financial!E20,"AAAAAGu/59s=")</f>
        <v>#VALUE!</v>
      </c>
      <c r="HM61" t="e">
        <f>AND(Financial!F20,"AAAAAGu/59w=")</f>
        <v>#VALUE!</v>
      </c>
      <c r="HN61" t="e">
        <f>AND(Financial!G20,"AAAAAGu/590=")</f>
        <v>#VALUE!</v>
      </c>
      <c r="HO61" t="e">
        <f>AND(Financial!H20,"AAAAAGu/594=")</f>
        <v>#VALUE!</v>
      </c>
      <c r="HP61" t="e">
        <f>AND(Financial!I20,"AAAAAGu/598=")</f>
        <v>#VALUE!</v>
      </c>
      <c r="HQ61" t="e">
        <f>AND(Financial!J20,"AAAAAGu/5+A=")</f>
        <v>#VALUE!</v>
      </c>
      <c r="HR61" t="e">
        <f>AND(Financial!K20,"AAAAAGu/5+E=")</f>
        <v>#VALUE!</v>
      </c>
      <c r="HS61" t="e">
        <f>AND(Financial!L20,"AAAAAGu/5+I=")</f>
        <v>#VALUE!</v>
      </c>
      <c r="HT61" t="e">
        <f>AND(Financial!M20,"AAAAAGu/5+M=")</f>
        <v>#VALUE!</v>
      </c>
      <c r="HU61">
        <f>IF(Financial!21:21,"AAAAAGu/5+Q=",0)</f>
        <v>0</v>
      </c>
      <c r="HV61" t="e">
        <f>AND(Financial!#REF!,"AAAAAGu/5+U=")</f>
        <v>#REF!</v>
      </c>
      <c r="HW61" t="e">
        <f>AND(Financial!A21,"AAAAAGu/5+Y=")</f>
        <v>#VALUE!</v>
      </c>
      <c r="HX61" t="e">
        <f>AND(Financial!B21,"AAAAAGu/5+c=")</f>
        <v>#VALUE!</v>
      </c>
      <c r="HY61" t="e">
        <f>AND(Financial!C21,"AAAAAGu/5+g=")</f>
        <v>#VALUE!</v>
      </c>
      <c r="HZ61" t="e">
        <f>AND(Financial!D21,"AAAAAGu/5+k=")</f>
        <v>#VALUE!</v>
      </c>
      <c r="IA61" t="e">
        <f>AND(Financial!E21,"AAAAAGu/5+o=")</f>
        <v>#VALUE!</v>
      </c>
      <c r="IB61" t="e">
        <f>AND(Financial!F21,"AAAAAGu/5+s=")</f>
        <v>#VALUE!</v>
      </c>
      <c r="IC61" t="e">
        <f>AND(Financial!G21,"AAAAAGu/5+w=")</f>
        <v>#VALUE!</v>
      </c>
      <c r="ID61" t="e">
        <f>AND(Financial!H21,"AAAAAGu/5+0=")</f>
        <v>#VALUE!</v>
      </c>
      <c r="IE61" t="e">
        <f>AND(Financial!I21,"AAAAAGu/5+4=")</f>
        <v>#VALUE!</v>
      </c>
      <c r="IF61" t="e">
        <f>AND(Financial!J21,"AAAAAGu/5+8=")</f>
        <v>#VALUE!</v>
      </c>
      <c r="IG61" t="e">
        <f>AND(Financial!K21,"AAAAAGu/5/A=")</f>
        <v>#VALUE!</v>
      </c>
      <c r="IH61" t="e">
        <f>AND(Financial!L21,"AAAAAGu/5/E=")</f>
        <v>#VALUE!</v>
      </c>
      <c r="II61" t="e">
        <f>AND(Financial!M21,"AAAAAGu/5/I=")</f>
        <v>#VALUE!</v>
      </c>
      <c r="IJ61">
        <f>IF(Financial!22:22,"AAAAAGu/5/M=",0)</f>
        <v>0</v>
      </c>
      <c r="IK61" t="e">
        <f>AND(Financial!#REF!,"AAAAAGu/5/Q=")</f>
        <v>#REF!</v>
      </c>
      <c r="IL61" t="e">
        <f>AND(Financial!A22,"AAAAAGu/5/U=")</f>
        <v>#VALUE!</v>
      </c>
      <c r="IM61" t="e">
        <f>AND(Financial!B22,"AAAAAGu/5/Y=")</f>
        <v>#VALUE!</v>
      </c>
      <c r="IN61" t="e">
        <f>AND(Financial!C22,"AAAAAGu/5/c=")</f>
        <v>#VALUE!</v>
      </c>
      <c r="IO61" t="e">
        <f>AND(Financial!D22,"AAAAAGu/5/g=")</f>
        <v>#VALUE!</v>
      </c>
      <c r="IP61" t="e">
        <f>AND(Financial!E22,"AAAAAGu/5/k=")</f>
        <v>#VALUE!</v>
      </c>
      <c r="IQ61" t="e">
        <f>AND(Financial!F22,"AAAAAGu/5/o=")</f>
        <v>#VALUE!</v>
      </c>
      <c r="IR61" t="e">
        <f>AND(Financial!G22,"AAAAAGu/5/s=")</f>
        <v>#VALUE!</v>
      </c>
      <c r="IS61" t="e">
        <f>AND(Financial!H22,"AAAAAGu/5/w=")</f>
        <v>#VALUE!</v>
      </c>
      <c r="IT61" t="e">
        <f>AND(Financial!I22,"AAAAAGu/5/0=")</f>
        <v>#VALUE!</v>
      </c>
      <c r="IU61" t="e">
        <f>AND(Financial!J22,"AAAAAGu/5/4=")</f>
        <v>#VALUE!</v>
      </c>
      <c r="IV61" t="e">
        <f>AND(Financial!K22,"AAAAAGu/5/8=")</f>
        <v>#VALUE!</v>
      </c>
    </row>
    <row r="62" spans="1:256" x14ac:dyDescent="0.2">
      <c r="A62" t="e">
        <f>AND(Financial!L22,"AAAAAGvzvQA=")</f>
        <v>#VALUE!</v>
      </c>
      <c r="B62" t="e">
        <f>AND(Financial!M22,"AAAAAGvzvQE=")</f>
        <v>#VALUE!</v>
      </c>
      <c r="C62" t="e">
        <f>IF(Financial!23:23,"AAAAAGvzvQI=",0)</f>
        <v>#VALUE!</v>
      </c>
      <c r="D62" t="e">
        <f>AND(Financial!#REF!,"AAAAAGvzvQM=")</f>
        <v>#REF!</v>
      </c>
      <c r="E62" t="e">
        <f>AND(Financial!A23,"AAAAAGvzvQQ=")</f>
        <v>#VALUE!</v>
      </c>
      <c r="F62" t="e">
        <f>AND(Financial!B23,"AAAAAGvzvQU=")</f>
        <v>#VALUE!</v>
      </c>
      <c r="G62" t="e">
        <f>AND(Financial!C23,"AAAAAGvzvQY=")</f>
        <v>#VALUE!</v>
      </c>
      <c r="H62" t="e">
        <f>AND(Financial!D23,"AAAAAGvzvQc=")</f>
        <v>#VALUE!</v>
      </c>
      <c r="I62" t="e">
        <f>AND(Financial!E23,"AAAAAGvzvQg=")</f>
        <v>#VALUE!</v>
      </c>
      <c r="J62" t="e">
        <f>AND(Financial!F23,"AAAAAGvzvQk=")</f>
        <v>#VALUE!</v>
      </c>
      <c r="K62" t="e">
        <f>AND(Financial!G23,"AAAAAGvzvQo=")</f>
        <v>#VALUE!</v>
      </c>
      <c r="L62" t="e">
        <f>AND(Financial!H23,"AAAAAGvzvQs=")</f>
        <v>#VALUE!</v>
      </c>
      <c r="M62" t="e">
        <f>AND(Financial!I23,"AAAAAGvzvQw=")</f>
        <v>#VALUE!</v>
      </c>
      <c r="N62" t="e">
        <f>AND(Financial!J23,"AAAAAGvzvQ0=")</f>
        <v>#VALUE!</v>
      </c>
      <c r="O62" t="e">
        <f>AND(Financial!K23,"AAAAAGvzvQ4=")</f>
        <v>#VALUE!</v>
      </c>
      <c r="P62" t="e">
        <f>AND(Financial!L23,"AAAAAGvzvQ8=")</f>
        <v>#VALUE!</v>
      </c>
      <c r="Q62" t="e">
        <f>AND(Financial!M23,"AAAAAGvzvRA=")</f>
        <v>#VALUE!</v>
      </c>
      <c r="R62">
        <f>IF(Financial!24:24,"AAAAAGvzvRE=",0)</f>
        <v>0</v>
      </c>
      <c r="S62" t="e">
        <f>AND(Financial!#REF!,"AAAAAGvzvRI=")</f>
        <v>#REF!</v>
      </c>
      <c r="T62" t="e">
        <f>AND(Financial!A24,"AAAAAGvzvRM=")</f>
        <v>#VALUE!</v>
      </c>
      <c r="U62" t="e">
        <f>AND(Financial!B24,"AAAAAGvzvRQ=")</f>
        <v>#VALUE!</v>
      </c>
      <c r="V62" t="e">
        <f>AND(Financial!C24,"AAAAAGvzvRU=")</f>
        <v>#VALUE!</v>
      </c>
      <c r="W62" t="e">
        <f>AND(Financial!D24,"AAAAAGvzvRY=")</f>
        <v>#VALUE!</v>
      </c>
      <c r="X62" t="e">
        <f>AND(Financial!E24,"AAAAAGvzvRc=")</f>
        <v>#VALUE!</v>
      </c>
      <c r="Y62" t="e">
        <f>AND(Financial!F24,"AAAAAGvzvRg=")</f>
        <v>#VALUE!</v>
      </c>
      <c r="Z62" t="e">
        <f>AND(Financial!G24,"AAAAAGvzvRk=")</f>
        <v>#VALUE!</v>
      </c>
      <c r="AA62" t="e">
        <f>AND(Financial!H24,"AAAAAGvzvRo=")</f>
        <v>#VALUE!</v>
      </c>
      <c r="AB62" t="e">
        <f>AND(Financial!I24,"AAAAAGvzvRs=")</f>
        <v>#VALUE!</v>
      </c>
      <c r="AC62" t="e">
        <f>AND(Financial!J24,"AAAAAGvzvRw=")</f>
        <v>#VALUE!</v>
      </c>
      <c r="AD62" t="e">
        <f>AND(Financial!K24,"AAAAAGvzvR0=")</f>
        <v>#VALUE!</v>
      </c>
      <c r="AE62" t="e">
        <f>AND(Financial!L24,"AAAAAGvzvR4=")</f>
        <v>#VALUE!</v>
      </c>
      <c r="AF62" t="e">
        <f>AND(Financial!M24,"AAAAAGvzvR8=")</f>
        <v>#VALUE!</v>
      </c>
      <c r="AG62">
        <f>IF(Financial!25:25,"AAAAAGvzvSA=",0)</f>
        <v>0</v>
      </c>
      <c r="AH62" t="e">
        <f>AND(Financial!#REF!,"AAAAAGvzvSE=")</f>
        <v>#REF!</v>
      </c>
      <c r="AI62" t="e">
        <f>AND(Financial!A25,"AAAAAGvzvSI=")</f>
        <v>#VALUE!</v>
      </c>
      <c r="AJ62" t="e">
        <f>AND(Financial!B25,"AAAAAGvzvSM=")</f>
        <v>#VALUE!</v>
      </c>
      <c r="AK62" t="e">
        <f>AND(Financial!C25,"AAAAAGvzvSQ=")</f>
        <v>#VALUE!</v>
      </c>
      <c r="AL62" t="e">
        <f>AND(Financial!D25,"AAAAAGvzvSU=")</f>
        <v>#VALUE!</v>
      </c>
      <c r="AM62" t="e">
        <f>AND(Financial!E25,"AAAAAGvzvSY=")</f>
        <v>#VALUE!</v>
      </c>
      <c r="AN62" t="e">
        <f>AND(Financial!F25,"AAAAAGvzvSc=")</f>
        <v>#VALUE!</v>
      </c>
      <c r="AO62" t="e">
        <f>AND(Financial!G25,"AAAAAGvzvSg=")</f>
        <v>#VALUE!</v>
      </c>
      <c r="AP62" t="e">
        <f>AND(Financial!H25,"AAAAAGvzvSk=")</f>
        <v>#VALUE!</v>
      </c>
      <c r="AQ62" t="e">
        <f>AND(Financial!I25,"AAAAAGvzvSo=")</f>
        <v>#VALUE!</v>
      </c>
      <c r="AR62" t="e">
        <f>AND(Financial!J25,"AAAAAGvzvSs=")</f>
        <v>#VALUE!</v>
      </c>
      <c r="AS62" t="e">
        <f>AND(Financial!K25,"AAAAAGvzvSw=")</f>
        <v>#VALUE!</v>
      </c>
      <c r="AT62" t="e">
        <f>AND(Financial!L25,"AAAAAGvzvS0=")</f>
        <v>#VALUE!</v>
      </c>
      <c r="AU62" t="e">
        <f>AND(Financial!M25,"AAAAAGvzvS4=")</f>
        <v>#VALUE!</v>
      </c>
      <c r="AV62">
        <f>IF(Financial!26:26,"AAAAAGvzvS8=",0)</f>
        <v>0</v>
      </c>
      <c r="AW62" t="e">
        <f>AND(Financial!#REF!,"AAAAAGvzvTA=")</f>
        <v>#REF!</v>
      </c>
      <c r="AX62" t="e">
        <f>AND(Financial!A26,"AAAAAGvzvTE=")</f>
        <v>#VALUE!</v>
      </c>
      <c r="AY62" t="e">
        <f>AND(Financial!B26,"AAAAAGvzvTI=")</f>
        <v>#VALUE!</v>
      </c>
      <c r="AZ62" t="e">
        <f>AND(Financial!C26,"AAAAAGvzvTM=")</f>
        <v>#VALUE!</v>
      </c>
      <c r="BA62" t="e">
        <f>AND(Financial!D26,"AAAAAGvzvTQ=")</f>
        <v>#VALUE!</v>
      </c>
      <c r="BB62" t="e">
        <f>AND(Financial!E26,"AAAAAGvzvTU=")</f>
        <v>#VALUE!</v>
      </c>
      <c r="BC62" t="e">
        <f>AND(Financial!F26,"AAAAAGvzvTY=")</f>
        <v>#VALUE!</v>
      </c>
      <c r="BD62" t="e">
        <f>AND(Financial!G26,"AAAAAGvzvTc=")</f>
        <v>#VALUE!</v>
      </c>
      <c r="BE62" t="e">
        <f>AND(Financial!H26,"AAAAAGvzvTg=")</f>
        <v>#VALUE!</v>
      </c>
      <c r="BF62" t="e">
        <f>AND(Financial!I26,"AAAAAGvzvTk=")</f>
        <v>#VALUE!</v>
      </c>
      <c r="BG62" t="e">
        <f>AND(Financial!J26,"AAAAAGvzvTo=")</f>
        <v>#VALUE!</v>
      </c>
      <c r="BH62" t="e">
        <f>AND(Financial!K26,"AAAAAGvzvTs=")</f>
        <v>#VALUE!</v>
      </c>
      <c r="BI62" t="e">
        <f>AND(Financial!L26,"AAAAAGvzvTw=")</f>
        <v>#VALUE!</v>
      </c>
      <c r="BJ62" t="e">
        <f>AND(Financial!M26,"AAAAAGvzvT0=")</f>
        <v>#VALUE!</v>
      </c>
      <c r="BK62">
        <f>IF(Financial!27:27,"AAAAAGvzvT4=",0)</f>
        <v>0</v>
      </c>
      <c r="BL62" t="e">
        <f>AND(Financial!#REF!,"AAAAAGvzvT8=")</f>
        <v>#REF!</v>
      </c>
      <c r="BM62" t="e">
        <f>AND(Financial!A27,"AAAAAGvzvUA=")</f>
        <v>#VALUE!</v>
      </c>
      <c r="BN62" t="e">
        <f>AND(Financial!B27,"AAAAAGvzvUE=")</f>
        <v>#VALUE!</v>
      </c>
      <c r="BO62" t="e">
        <f>AND(Financial!C27,"AAAAAGvzvUI=")</f>
        <v>#VALUE!</v>
      </c>
      <c r="BP62" t="e">
        <f>AND(Financial!D27,"AAAAAGvzvUM=")</f>
        <v>#VALUE!</v>
      </c>
      <c r="BQ62" t="e">
        <f>AND(Financial!E27,"AAAAAGvzvUQ=")</f>
        <v>#VALUE!</v>
      </c>
      <c r="BR62" t="e">
        <f>AND(Financial!F27,"AAAAAGvzvUU=")</f>
        <v>#VALUE!</v>
      </c>
      <c r="BS62" t="e">
        <f>AND(Financial!G27,"AAAAAGvzvUY=")</f>
        <v>#VALUE!</v>
      </c>
      <c r="BT62" t="e">
        <f>AND(Financial!H27,"AAAAAGvzvUc=")</f>
        <v>#VALUE!</v>
      </c>
      <c r="BU62" t="e">
        <f>AND(Financial!I27,"AAAAAGvzvUg=")</f>
        <v>#VALUE!</v>
      </c>
      <c r="BV62" t="e">
        <f>AND(Financial!J27,"AAAAAGvzvUk=")</f>
        <v>#VALUE!</v>
      </c>
      <c r="BW62" t="e">
        <f>AND(Financial!K27,"AAAAAGvzvUo=")</f>
        <v>#VALUE!</v>
      </c>
      <c r="BX62" t="e">
        <f>AND(Financial!L27,"AAAAAGvzvUs=")</f>
        <v>#VALUE!</v>
      </c>
      <c r="BY62" t="e">
        <f>AND(Financial!M27,"AAAAAGvzvUw=")</f>
        <v>#VALUE!</v>
      </c>
      <c r="BZ62">
        <f>IF(Financial!28:28,"AAAAAGvzvU0=",0)</f>
        <v>0</v>
      </c>
      <c r="CA62" t="e">
        <f>AND(Financial!#REF!,"AAAAAGvzvU4=")</f>
        <v>#REF!</v>
      </c>
      <c r="CB62" t="e">
        <f>AND(Financial!A28,"AAAAAGvzvU8=")</f>
        <v>#VALUE!</v>
      </c>
      <c r="CC62" t="e">
        <f>AND(Financial!B28,"AAAAAGvzvVA=")</f>
        <v>#VALUE!</v>
      </c>
      <c r="CD62" t="e">
        <f>AND(Financial!C28,"AAAAAGvzvVE=")</f>
        <v>#VALUE!</v>
      </c>
      <c r="CE62" t="e">
        <f>AND(Financial!D28,"AAAAAGvzvVI=")</f>
        <v>#VALUE!</v>
      </c>
      <c r="CF62" t="e">
        <f>AND(Financial!E28,"AAAAAGvzvVM=")</f>
        <v>#VALUE!</v>
      </c>
      <c r="CG62" t="e">
        <f>AND(Financial!F28,"AAAAAGvzvVQ=")</f>
        <v>#VALUE!</v>
      </c>
      <c r="CH62" t="e">
        <f>AND(Financial!G28,"AAAAAGvzvVU=")</f>
        <v>#VALUE!</v>
      </c>
      <c r="CI62" t="e">
        <f>AND(Financial!H28,"AAAAAGvzvVY=")</f>
        <v>#VALUE!</v>
      </c>
      <c r="CJ62" t="e">
        <f>AND(Financial!I28,"AAAAAGvzvVc=")</f>
        <v>#VALUE!</v>
      </c>
      <c r="CK62" t="e">
        <f>AND(Financial!J28,"AAAAAGvzvVg=")</f>
        <v>#VALUE!</v>
      </c>
      <c r="CL62" t="e">
        <f>AND(Financial!K28,"AAAAAGvzvVk=")</f>
        <v>#VALUE!</v>
      </c>
      <c r="CM62" t="e">
        <f>AND(Financial!L28,"AAAAAGvzvVo=")</f>
        <v>#VALUE!</v>
      </c>
      <c r="CN62" t="e">
        <f>AND(Financial!M28,"AAAAAGvzvVs=")</f>
        <v>#VALUE!</v>
      </c>
      <c r="CO62" t="e">
        <f>IF(Financial!#REF!,"AAAAAGvzvVw=",0)</f>
        <v>#REF!</v>
      </c>
      <c r="CP62" t="e">
        <f>AND(Financial!#REF!,"AAAAAGvzvV0=")</f>
        <v>#REF!</v>
      </c>
      <c r="CQ62" t="e">
        <f>AND(Financial!#REF!,"AAAAAGvzvV4=")</f>
        <v>#REF!</v>
      </c>
      <c r="CR62" t="e">
        <f>AND(Financial!#REF!,"AAAAAGvzvV8=")</f>
        <v>#REF!</v>
      </c>
      <c r="CS62" t="e">
        <f>AND(Financial!#REF!,"AAAAAGvzvWA=")</f>
        <v>#REF!</v>
      </c>
      <c r="CT62" t="e">
        <f>AND(Financial!#REF!,"AAAAAGvzvWE=")</f>
        <v>#REF!</v>
      </c>
      <c r="CU62" t="e">
        <f>AND(Financial!#REF!,"AAAAAGvzvWI=")</f>
        <v>#REF!</v>
      </c>
      <c r="CV62" t="e">
        <f>AND(Financial!#REF!,"AAAAAGvzvWM=")</f>
        <v>#REF!</v>
      </c>
      <c r="CW62" t="e">
        <f>AND(Financial!#REF!,"AAAAAGvzvWQ=")</f>
        <v>#REF!</v>
      </c>
      <c r="CX62" t="e">
        <f>AND(Financial!#REF!,"AAAAAGvzvWU=")</f>
        <v>#REF!</v>
      </c>
      <c r="CY62" t="e">
        <f>AND(Financial!#REF!,"AAAAAGvzvWY=")</f>
        <v>#REF!</v>
      </c>
      <c r="CZ62" t="e">
        <f>AND(Financial!#REF!,"AAAAAGvzvWc=")</f>
        <v>#REF!</v>
      </c>
      <c r="DA62" t="e">
        <f>AND(Financial!#REF!,"AAAAAGvzvWg=")</f>
        <v>#REF!</v>
      </c>
      <c r="DB62" t="e">
        <f>AND(Financial!#REF!,"AAAAAGvzvWk=")</f>
        <v>#REF!</v>
      </c>
      <c r="DC62" t="e">
        <f>AND(Financial!#REF!,"AAAAAGvzvWo=")</f>
        <v>#REF!</v>
      </c>
      <c r="DD62" t="e">
        <f>IF(Financial!#REF!,"AAAAAGvzvWs=",0)</f>
        <v>#REF!</v>
      </c>
      <c r="DE62" t="e">
        <f>AND(Financial!#REF!,"AAAAAGvzvWw=")</f>
        <v>#REF!</v>
      </c>
      <c r="DF62" t="e">
        <f>AND(Financial!#REF!,"AAAAAGvzvW0=")</f>
        <v>#REF!</v>
      </c>
      <c r="DG62" t="e">
        <f>AND(Financial!#REF!,"AAAAAGvzvW4=")</f>
        <v>#REF!</v>
      </c>
      <c r="DH62" t="e">
        <f>AND(Financial!#REF!,"AAAAAGvzvW8=")</f>
        <v>#REF!</v>
      </c>
      <c r="DI62" t="e">
        <f>AND(Financial!#REF!,"AAAAAGvzvXA=")</f>
        <v>#REF!</v>
      </c>
      <c r="DJ62" t="e">
        <f>AND(Financial!#REF!,"AAAAAGvzvXE=")</f>
        <v>#REF!</v>
      </c>
      <c r="DK62" t="e">
        <f>AND(Financial!#REF!,"AAAAAGvzvXI=")</f>
        <v>#REF!</v>
      </c>
      <c r="DL62" t="e">
        <f>AND(Financial!#REF!,"AAAAAGvzvXM=")</f>
        <v>#REF!</v>
      </c>
      <c r="DM62" t="e">
        <f>AND(Financial!#REF!,"AAAAAGvzvXQ=")</f>
        <v>#REF!</v>
      </c>
      <c r="DN62" t="e">
        <f>AND(Financial!#REF!,"AAAAAGvzvXU=")</f>
        <v>#REF!</v>
      </c>
      <c r="DO62" t="e">
        <f>AND(Financial!#REF!,"AAAAAGvzvXY=")</f>
        <v>#REF!</v>
      </c>
      <c r="DP62" t="e">
        <f>AND(Financial!#REF!,"AAAAAGvzvXc=")</f>
        <v>#REF!</v>
      </c>
      <c r="DQ62" t="e">
        <f>AND(Financial!#REF!,"AAAAAGvzvXg=")</f>
        <v>#REF!</v>
      </c>
      <c r="DR62" t="e">
        <f>AND(Financial!#REF!,"AAAAAGvzvXk=")</f>
        <v>#REF!</v>
      </c>
      <c r="DS62" t="e">
        <f>IF(Financial!#REF!,"AAAAAGvzvXo=",0)</f>
        <v>#REF!</v>
      </c>
      <c r="DT62" t="e">
        <f>AND(Financial!#REF!,"AAAAAGvzvXs=")</f>
        <v>#REF!</v>
      </c>
      <c r="DU62" t="e">
        <f>AND(Financial!#REF!,"AAAAAGvzvXw=")</f>
        <v>#REF!</v>
      </c>
      <c r="DV62" t="e">
        <f>AND(Financial!#REF!,"AAAAAGvzvX0=")</f>
        <v>#REF!</v>
      </c>
      <c r="DW62" t="e">
        <f>AND(Financial!#REF!,"AAAAAGvzvX4=")</f>
        <v>#REF!</v>
      </c>
      <c r="DX62" t="e">
        <f>AND(Financial!#REF!,"AAAAAGvzvX8=")</f>
        <v>#REF!</v>
      </c>
      <c r="DY62" t="e">
        <f>AND(Financial!#REF!,"AAAAAGvzvYA=")</f>
        <v>#REF!</v>
      </c>
      <c r="DZ62" t="e">
        <f>AND(Financial!#REF!,"AAAAAGvzvYE=")</f>
        <v>#REF!</v>
      </c>
      <c r="EA62" t="e">
        <f>AND(Financial!#REF!,"AAAAAGvzvYI=")</f>
        <v>#REF!</v>
      </c>
      <c r="EB62" t="e">
        <f>AND(Financial!#REF!,"AAAAAGvzvYM=")</f>
        <v>#REF!</v>
      </c>
      <c r="EC62" t="e">
        <f>AND(Financial!#REF!,"AAAAAGvzvYQ=")</f>
        <v>#REF!</v>
      </c>
      <c r="ED62" t="e">
        <f>AND(Financial!#REF!,"AAAAAGvzvYU=")</f>
        <v>#REF!</v>
      </c>
      <c r="EE62" t="e">
        <f>AND(Financial!#REF!,"AAAAAGvzvYY=")</f>
        <v>#REF!</v>
      </c>
      <c r="EF62" t="e">
        <f>AND(Financial!#REF!,"AAAAAGvzvYc=")</f>
        <v>#REF!</v>
      </c>
      <c r="EG62" t="e">
        <f>AND(Financial!#REF!,"AAAAAGvzvYg=")</f>
        <v>#REF!</v>
      </c>
      <c r="EH62" t="e">
        <f>IF(Financial!#REF!,"AAAAAGvzvYk=",0)</f>
        <v>#REF!</v>
      </c>
      <c r="EI62" t="e">
        <f>AND(Financial!#REF!,"AAAAAGvzvYo=")</f>
        <v>#REF!</v>
      </c>
      <c r="EJ62" t="e">
        <f>AND(Financial!#REF!,"AAAAAGvzvYs=")</f>
        <v>#REF!</v>
      </c>
      <c r="EK62" t="e">
        <f>AND(Financial!#REF!,"AAAAAGvzvYw=")</f>
        <v>#REF!</v>
      </c>
      <c r="EL62" t="e">
        <f>AND(Financial!#REF!,"AAAAAGvzvY0=")</f>
        <v>#REF!</v>
      </c>
      <c r="EM62" t="e">
        <f>AND(Financial!#REF!,"AAAAAGvzvY4=")</f>
        <v>#REF!</v>
      </c>
      <c r="EN62" t="e">
        <f>AND(Financial!#REF!,"AAAAAGvzvY8=")</f>
        <v>#REF!</v>
      </c>
      <c r="EO62" t="e">
        <f>AND(Financial!#REF!,"AAAAAGvzvZA=")</f>
        <v>#REF!</v>
      </c>
      <c r="EP62" t="e">
        <f>AND(Financial!#REF!,"AAAAAGvzvZE=")</f>
        <v>#REF!</v>
      </c>
      <c r="EQ62" t="e">
        <f>AND(Financial!#REF!,"AAAAAGvzvZI=")</f>
        <v>#REF!</v>
      </c>
      <c r="ER62" t="e">
        <f>AND(Financial!#REF!,"AAAAAGvzvZM=")</f>
        <v>#REF!</v>
      </c>
      <c r="ES62" t="e">
        <f>AND(Financial!#REF!,"AAAAAGvzvZQ=")</f>
        <v>#REF!</v>
      </c>
      <c r="ET62" t="e">
        <f>AND(Financial!#REF!,"AAAAAGvzvZU=")</f>
        <v>#REF!</v>
      </c>
      <c r="EU62" t="e">
        <f>AND(Financial!#REF!,"AAAAAGvzvZY=")</f>
        <v>#REF!</v>
      </c>
      <c r="EV62" t="e">
        <f>AND(Financial!#REF!,"AAAAAGvzvZc=")</f>
        <v>#REF!</v>
      </c>
      <c r="EW62" t="e">
        <f>IF(Financial!#REF!,"AAAAAGvzvZg=",0)</f>
        <v>#REF!</v>
      </c>
      <c r="EX62" t="e">
        <f>AND(Financial!#REF!,"AAAAAGvzvZk=")</f>
        <v>#REF!</v>
      </c>
      <c r="EY62" t="e">
        <f>AND(Financial!#REF!,"AAAAAGvzvZo=")</f>
        <v>#REF!</v>
      </c>
      <c r="EZ62" t="e">
        <f>AND(Financial!#REF!,"AAAAAGvzvZs=")</f>
        <v>#REF!</v>
      </c>
      <c r="FA62" t="e">
        <f>AND(Financial!#REF!,"AAAAAGvzvZw=")</f>
        <v>#REF!</v>
      </c>
      <c r="FB62" t="e">
        <f>AND(Financial!#REF!,"AAAAAGvzvZ0=")</f>
        <v>#REF!</v>
      </c>
      <c r="FC62" t="e">
        <f>AND(Financial!#REF!,"AAAAAGvzvZ4=")</f>
        <v>#REF!</v>
      </c>
      <c r="FD62" t="e">
        <f>AND(Financial!#REF!,"AAAAAGvzvZ8=")</f>
        <v>#REF!</v>
      </c>
      <c r="FE62" t="e">
        <f>AND(Financial!#REF!,"AAAAAGvzvaA=")</f>
        <v>#REF!</v>
      </c>
      <c r="FF62" t="e">
        <f>AND(Financial!#REF!,"AAAAAGvzvaE=")</f>
        <v>#REF!</v>
      </c>
      <c r="FG62" t="e">
        <f>AND(Financial!#REF!,"AAAAAGvzvaI=")</f>
        <v>#REF!</v>
      </c>
      <c r="FH62" t="e">
        <f>AND(Financial!#REF!,"AAAAAGvzvaM=")</f>
        <v>#REF!</v>
      </c>
      <c r="FI62" t="e">
        <f>AND(Financial!#REF!,"AAAAAGvzvaQ=")</f>
        <v>#REF!</v>
      </c>
      <c r="FJ62" t="e">
        <f>AND(Financial!#REF!,"AAAAAGvzvaU=")</f>
        <v>#REF!</v>
      </c>
      <c r="FK62" t="e">
        <f>AND(Financial!#REF!,"AAAAAGvzvaY=")</f>
        <v>#REF!</v>
      </c>
      <c r="FL62" t="e">
        <f>IF(Financial!#REF!,"AAAAAGvzvac=",0)</f>
        <v>#REF!</v>
      </c>
      <c r="FM62" t="e">
        <f>AND(Financial!#REF!,"AAAAAGvzvag=")</f>
        <v>#REF!</v>
      </c>
      <c r="FN62" t="e">
        <f>AND(Financial!#REF!,"AAAAAGvzvak=")</f>
        <v>#REF!</v>
      </c>
      <c r="FO62" t="e">
        <f>AND(Financial!#REF!,"AAAAAGvzvao=")</f>
        <v>#REF!</v>
      </c>
      <c r="FP62" t="e">
        <f>AND(Financial!#REF!,"AAAAAGvzvas=")</f>
        <v>#REF!</v>
      </c>
      <c r="FQ62" t="e">
        <f>AND(Financial!#REF!,"AAAAAGvzvaw=")</f>
        <v>#REF!</v>
      </c>
      <c r="FR62" t="e">
        <f>AND(Financial!#REF!,"AAAAAGvzva0=")</f>
        <v>#REF!</v>
      </c>
      <c r="FS62" t="e">
        <f>AND(Financial!#REF!,"AAAAAGvzva4=")</f>
        <v>#REF!</v>
      </c>
      <c r="FT62" t="e">
        <f>AND(Financial!#REF!,"AAAAAGvzva8=")</f>
        <v>#REF!</v>
      </c>
      <c r="FU62" t="e">
        <f>AND(Financial!#REF!,"AAAAAGvzvbA=")</f>
        <v>#REF!</v>
      </c>
      <c r="FV62" t="e">
        <f>AND(Financial!#REF!,"AAAAAGvzvbE=")</f>
        <v>#REF!</v>
      </c>
      <c r="FW62" t="e">
        <f>AND(Financial!#REF!,"AAAAAGvzvbI=")</f>
        <v>#REF!</v>
      </c>
      <c r="FX62" t="e">
        <f>AND(Financial!#REF!,"AAAAAGvzvbM=")</f>
        <v>#REF!</v>
      </c>
      <c r="FY62" t="e">
        <f>AND(Financial!#REF!,"AAAAAGvzvbQ=")</f>
        <v>#REF!</v>
      </c>
      <c r="FZ62" t="e">
        <f>AND(Financial!#REF!,"AAAAAGvzvbU=")</f>
        <v>#REF!</v>
      </c>
      <c r="GA62" t="e">
        <f>IF(Financial!#REF!,"AAAAAGvzvbY=",0)</f>
        <v>#REF!</v>
      </c>
      <c r="GB62" t="e">
        <f>AND(Financial!#REF!,"AAAAAGvzvbc=")</f>
        <v>#REF!</v>
      </c>
      <c r="GC62" t="e">
        <f>AND(Financial!#REF!,"AAAAAGvzvbg=")</f>
        <v>#REF!</v>
      </c>
      <c r="GD62" t="e">
        <f>AND(Financial!#REF!,"AAAAAGvzvbk=")</f>
        <v>#REF!</v>
      </c>
      <c r="GE62" t="e">
        <f>AND(Financial!#REF!,"AAAAAGvzvbo=")</f>
        <v>#REF!</v>
      </c>
      <c r="GF62" t="e">
        <f>AND(Financial!#REF!,"AAAAAGvzvbs=")</f>
        <v>#REF!</v>
      </c>
      <c r="GG62" t="e">
        <f>AND(Financial!#REF!,"AAAAAGvzvbw=")</f>
        <v>#REF!</v>
      </c>
      <c r="GH62" t="e">
        <f>AND(Financial!#REF!,"AAAAAGvzvb0=")</f>
        <v>#REF!</v>
      </c>
      <c r="GI62" t="e">
        <f>AND(Financial!#REF!,"AAAAAGvzvb4=")</f>
        <v>#REF!</v>
      </c>
      <c r="GJ62" t="e">
        <f>AND(Financial!#REF!,"AAAAAGvzvb8=")</f>
        <v>#REF!</v>
      </c>
      <c r="GK62" t="e">
        <f>AND(Financial!#REF!,"AAAAAGvzvcA=")</f>
        <v>#REF!</v>
      </c>
      <c r="GL62" t="e">
        <f>AND(Financial!#REF!,"AAAAAGvzvcE=")</f>
        <v>#REF!</v>
      </c>
      <c r="GM62" t="e">
        <f>AND(Financial!#REF!,"AAAAAGvzvcI=")</f>
        <v>#REF!</v>
      </c>
      <c r="GN62" t="e">
        <f>AND(Financial!#REF!,"AAAAAGvzvcM=")</f>
        <v>#REF!</v>
      </c>
      <c r="GO62" t="e">
        <f>AND(Financial!#REF!,"AAAAAGvzvcQ=")</f>
        <v>#REF!</v>
      </c>
      <c r="GP62" t="e">
        <f>IF(Financial!#REF!,"AAAAAGvzvcU=",0)</f>
        <v>#REF!</v>
      </c>
      <c r="GQ62" t="e">
        <f>AND(Financial!#REF!,"AAAAAGvzvcY=")</f>
        <v>#REF!</v>
      </c>
      <c r="GR62" t="e">
        <f>AND(Financial!#REF!,"AAAAAGvzvcc=")</f>
        <v>#REF!</v>
      </c>
      <c r="GS62" t="e">
        <f>AND(Financial!#REF!,"AAAAAGvzvcg=")</f>
        <v>#REF!</v>
      </c>
      <c r="GT62" t="e">
        <f>AND(Financial!#REF!,"AAAAAGvzvck=")</f>
        <v>#REF!</v>
      </c>
      <c r="GU62" t="e">
        <f>AND(Financial!#REF!,"AAAAAGvzvco=")</f>
        <v>#REF!</v>
      </c>
      <c r="GV62" t="e">
        <f>AND(Financial!#REF!,"AAAAAGvzvcs=")</f>
        <v>#REF!</v>
      </c>
      <c r="GW62" t="e">
        <f>AND(Financial!#REF!,"AAAAAGvzvcw=")</f>
        <v>#REF!</v>
      </c>
      <c r="GX62" t="e">
        <f>AND(Financial!#REF!,"AAAAAGvzvc0=")</f>
        <v>#REF!</v>
      </c>
      <c r="GY62" t="e">
        <f>AND(Financial!#REF!,"AAAAAGvzvc4=")</f>
        <v>#REF!</v>
      </c>
      <c r="GZ62" t="e">
        <f>AND(Financial!#REF!,"AAAAAGvzvc8=")</f>
        <v>#REF!</v>
      </c>
      <c r="HA62" t="e">
        <f>AND(Financial!#REF!,"AAAAAGvzvdA=")</f>
        <v>#REF!</v>
      </c>
      <c r="HB62" t="e">
        <f>AND(Financial!#REF!,"AAAAAGvzvdE=")</f>
        <v>#REF!</v>
      </c>
      <c r="HC62" t="e">
        <f>AND(Financial!#REF!,"AAAAAGvzvdI=")</f>
        <v>#REF!</v>
      </c>
      <c r="HD62" t="e">
        <f>AND(Financial!#REF!,"AAAAAGvzvdM=")</f>
        <v>#REF!</v>
      </c>
      <c r="HE62" t="e">
        <f>IF(Financial!#REF!,"AAAAAGvzvdQ=",0)</f>
        <v>#REF!</v>
      </c>
      <c r="HF62" t="e">
        <f>AND(Financial!#REF!,"AAAAAGvzvdU=")</f>
        <v>#REF!</v>
      </c>
      <c r="HG62" t="e">
        <f>AND(Financial!#REF!,"AAAAAGvzvdY=")</f>
        <v>#REF!</v>
      </c>
      <c r="HH62" t="e">
        <f>AND(Financial!#REF!,"AAAAAGvzvdc=")</f>
        <v>#REF!</v>
      </c>
      <c r="HI62" t="e">
        <f>AND(Financial!#REF!,"AAAAAGvzvdg=")</f>
        <v>#REF!</v>
      </c>
      <c r="HJ62" t="e">
        <f>AND(Financial!#REF!,"AAAAAGvzvdk=")</f>
        <v>#REF!</v>
      </c>
      <c r="HK62" t="e">
        <f>AND(Financial!#REF!,"AAAAAGvzvdo=")</f>
        <v>#REF!</v>
      </c>
      <c r="HL62" t="e">
        <f>AND(Financial!#REF!,"AAAAAGvzvds=")</f>
        <v>#REF!</v>
      </c>
      <c r="HM62" t="e">
        <f>AND(Financial!#REF!,"AAAAAGvzvdw=")</f>
        <v>#REF!</v>
      </c>
      <c r="HN62" t="e">
        <f>AND(Financial!#REF!,"AAAAAGvzvd0=")</f>
        <v>#REF!</v>
      </c>
      <c r="HO62" t="e">
        <f>AND(Financial!#REF!,"AAAAAGvzvd4=")</f>
        <v>#REF!</v>
      </c>
      <c r="HP62" t="e">
        <f>AND(Financial!#REF!,"AAAAAGvzvd8=")</f>
        <v>#REF!</v>
      </c>
      <c r="HQ62" t="e">
        <f>AND(Financial!#REF!,"AAAAAGvzveA=")</f>
        <v>#REF!</v>
      </c>
      <c r="HR62" t="e">
        <f>AND(Financial!#REF!,"AAAAAGvzveE=")</f>
        <v>#REF!</v>
      </c>
      <c r="HS62" t="e">
        <f>AND(Financial!#REF!,"AAAAAGvzveI=")</f>
        <v>#REF!</v>
      </c>
      <c r="HT62">
        <f>IF(Financial!52:52,"AAAAAGvzveM=",0)</f>
        <v>0</v>
      </c>
      <c r="HU62" t="e">
        <f>AND(Financial!#REF!,"AAAAAGvzveQ=")</f>
        <v>#REF!</v>
      </c>
      <c r="HV62" t="e">
        <f>AND(Financial!A52,"AAAAAGvzveU=")</f>
        <v>#VALUE!</v>
      </c>
      <c r="HW62" t="e">
        <f>AND(Financial!B52,"AAAAAGvzveY=")</f>
        <v>#VALUE!</v>
      </c>
      <c r="HX62" t="e">
        <f>AND(Financial!C52,"AAAAAGvzvec=")</f>
        <v>#VALUE!</v>
      </c>
      <c r="HY62" t="e">
        <f>AND(Financial!D52,"AAAAAGvzveg=")</f>
        <v>#VALUE!</v>
      </c>
      <c r="HZ62" t="e">
        <f>AND(Financial!E52,"AAAAAGvzvek=")</f>
        <v>#VALUE!</v>
      </c>
      <c r="IA62" t="e">
        <f>AND(Financial!F52,"AAAAAGvzveo=")</f>
        <v>#VALUE!</v>
      </c>
      <c r="IB62" t="e">
        <f>AND(Financial!G52,"AAAAAGvzves=")</f>
        <v>#VALUE!</v>
      </c>
      <c r="IC62" t="e">
        <f>AND(Financial!H52,"AAAAAGvzvew=")</f>
        <v>#VALUE!</v>
      </c>
      <c r="ID62" t="e">
        <f>AND(Financial!I52,"AAAAAGvzve0=")</f>
        <v>#VALUE!</v>
      </c>
      <c r="IE62" t="e">
        <f>AND(Financial!J52,"AAAAAGvzve4=")</f>
        <v>#VALUE!</v>
      </c>
      <c r="IF62" t="e">
        <f>AND(Financial!K52,"AAAAAGvzve8=")</f>
        <v>#VALUE!</v>
      </c>
      <c r="IG62" t="e">
        <f>AND(Financial!L52,"AAAAAGvzvfA=")</f>
        <v>#VALUE!</v>
      </c>
      <c r="IH62" t="e">
        <f>AND(Financial!M52,"AAAAAGvzvfE=")</f>
        <v>#VALUE!</v>
      </c>
      <c r="II62">
        <f>IF(Financial!53:53,"AAAAAGvzvfI=",0)</f>
        <v>0</v>
      </c>
      <c r="IJ62" t="e">
        <f>AND(Financial!#REF!,"AAAAAGvzvfM=")</f>
        <v>#REF!</v>
      </c>
      <c r="IK62" t="e">
        <f>AND(Financial!A53,"AAAAAGvzvfQ=")</f>
        <v>#VALUE!</v>
      </c>
      <c r="IL62" t="e">
        <f>AND(Financial!B53,"AAAAAGvzvfU=")</f>
        <v>#VALUE!</v>
      </c>
      <c r="IM62" t="e">
        <f>AND(Financial!C53,"AAAAAGvzvfY=")</f>
        <v>#VALUE!</v>
      </c>
      <c r="IN62" t="e">
        <f>AND(Financial!D53,"AAAAAGvzvfc=")</f>
        <v>#VALUE!</v>
      </c>
      <c r="IO62" t="e">
        <f>AND(Financial!E53,"AAAAAGvzvfg=")</f>
        <v>#VALUE!</v>
      </c>
      <c r="IP62" t="e">
        <f>AND(Financial!F53,"AAAAAGvzvfk=")</f>
        <v>#VALUE!</v>
      </c>
      <c r="IQ62" t="e">
        <f>AND(Financial!G53,"AAAAAGvzvfo=")</f>
        <v>#VALUE!</v>
      </c>
      <c r="IR62" t="e">
        <f>AND(Financial!H53,"AAAAAGvzvfs=")</f>
        <v>#VALUE!</v>
      </c>
      <c r="IS62" t="e">
        <f>AND(Financial!I53,"AAAAAGvzvfw=")</f>
        <v>#VALUE!</v>
      </c>
      <c r="IT62" t="e">
        <f>AND(Financial!J53,"AAAAAGvzvf0=")</f>
        <v>#VALUE!</v>
      </c>
      <c r="IU62" t="e">
        <f>AND(Financial!K53,"AAAAAGvzvf4=")</f>
        <v>#VALUE!</v>
      </c>
      <c r="IV62" t="e">
        <f>AND(Financial!L53,"AAAAAGvzvf8=")</f>
        <v>#VALUE!</v>
      </c>
    </row>
    <row r="63" spans="1:256" x14ac:dyDescent="0.2">
      <c r="A63" t="e">
        <f>AND(Financial!M53,"AAAAAEV/pwA=")</f>
        <v>#VALUE!</v>
      </c>
      <c r="B63" t="e">
        <f>IF(Financial!#REF!,"AAAAAEV/pwE=",0)</f>
        <v>#REF!</v>
      </c>
      <c r="C63" t="e">
        <f>AND(Financial!#REF!,"AAAAAEV/pwI=")</f>
        <v>#REF!</v>
      </c>
      <c r="D63" t="e">
        <f>AND(Financial!#REF!,"AAAAAEV/pwM=")</f>
        <v>#REF!</v>
      </c>
      <c r="E63" t="e">
        <f>AND(Financial!#REF!,"AAAAAEV/pwQ=")</f>
        <v>#REF!</v>
      </c>
      <c r="F63" t="e">
        <f>AND(Financial!#REF!,"AAAAAEV/pwU=")</f>
        <v>#REF!</v>
      </c>
      <c r="G63" t="e">
        <f>AND(Financial!#REF!,"AAAAAEV/pwY=")</f>
        <v>#REF!</v>
      </c>
      <c r="H63" t="e">
        <f>AND(Financial!#REF!,"AAAAAEV/pwc=")</f>
        <v>#REF!</v>
      </c>
      <c r="I63" t="e">
        <f>AND(Financial!#REF!,"AAAAAEV/pwg=")</f>
        <v>#REF!</v>
      </c>
      <c r="J63" t="e">
        <f>AND(Financial!#REF!,"AAAAAEV/pwk=")</f>
        <v>#REF!</v>
      </c>
      <c r="K63" t="e">
        <f>AND(Financial!#REF!,"AAAAAEV/pwo=")</f>
        <v>#REF!</v>
      </c>
      <c r="L63" t="e">
        <f>AND(Financial!#REF!,"AAAAAEV/pws=")</f>
        <v>#REF!</v>
      </c>
      <c r="M63" t="e">
        <f>AND(Financial!#REF!,"AAAAAEV/pww=")</f>
        <v>#REF!</v>
      </c>
      <c r="N63" t="e">
        <f>AND(Financial!#REF!,"AAAAAEV/pw0=")</f>
        <v>#REF!</v>
      </c>
      <c r="O63" t="e">
        <f>AND(Financial!#REF!,"AAAAAEV/pw4=")</f>
        <v>#REF!</v>
      </c>
      <c r="P63" t="e">
        <f>AND(Financial!#REF!,"AAAAAEV/pw8=")</f>
        <v>#REF!</v>
      </c>
      <c r="Q63" t="e">
        <f>IF(Financial!#REF!,"AAAAAEV/pxA=",0)</f>
        <v>#REF!</v>
      </c>
      <c r="R63" t="e">
        <f>AND(Financial!#REF!,"AAAAAEV/pxE=")</f>
        <v>#REF!</v>
      </c>
      <c r="S63" t="e">
        <f>AND(Financial!#REF!,"AAAAAEV/pxI=")</f>
        <v>#REF!</v>
      </c>
      <c r="T63" t="e">
        <f>AND(Financial!#REF!,"AAAAAEV/pxM=")</f>
        <v>#REF!</v>
      </c>
      <c r="U63" t="e">
        <f>AND(Financial!#REF!,"AAAAAEV/pxQ=")</f>
        <v>#REF!</v>
      </c>
      <c r="V63" t="e">
        <f>AND(Financial!#REF!,"AAAAAEV/pxU=")</f>
        <v>#REF!</v>
      </c>
      <c r="W63" t="e">
        <f>AND(Financial!#REF!,"AAAAAEV/pxY=")</f>
        <v>#REF!</v>
      </c>
      <c r="X63" t="e">
        <f>AND(Financial!#REF!,"AAAAAEV/pxc=")</f>
        <v>#REF!</v>
      </c>
      <c r="Y63" t="e">
        <f>AND(Financial!#REF!,"AAAAAEV/pxg=")</f>
        <v>#REF!</v>
      </c>
      <c r="Z63" t="e">
        <f>AND(Financial!#REF!,"AAAAAEV/pxk=")</f>
        <v>#REF!</v>
      </c>
      <c r="AA63" t="e">
        <f>AND(Financial!#REF!,"AAAAAEV/pxo=")</f>
        <v>#REF!</v>
      </c>
      <c r="AB63" t="e">
        <f>AND(Financial!#REF!,"AAAAAEV/pxs=")</f>
        <v>#REF!</v>
      </c>
      <c r="AC63" t="e">
        <f>AND(Financial!#REF!,"AAAAAEV/pxw=")</f>
        <v>#REF!</v>
      </c>
      <c r="AD63" t="e">
        <f>AND(Financial!#REF!,"AAAAAEV/px0=")</f>
        <v>#REF!</v>
      </c>
      <c r="AE63" t="e">
        <f>AND(Financial!#REF!,"AAAAAEV/px4=")</f>
        <v>#REF!</v>
      </c>
      <c r="AF63" t="e">
        <f>IF(Financial!#REF!,"AAAAAEV/px8=",0)</f>
        <v>#REF!</v>
      </c>
      <c r="AG63" t="e">
        <f>AND(Financial!#REF!,"AAAAAEV/pyA=")</f>
        <v>#REF!</v>
      </c>
      <c r="AH63" t="e">
        <f>AND(Financial!#REF!,"AAAAAEV/pyE=")</f>
        <v>#REF!</v>
      </c>
      <c r="AI63" t="e">
        <f>AND(Financial!#REF!,"AAAAAEV/pyI=")</f>
        <v>#REF!</v>
      </c>
      <c r="AJ63" t="e">
        <f>AND(Financial!#REF!,"AAAAAEV/pyM=")</f>
        <v>#REF!</v>
      </c>
      <c r="AK63" t="e">
        <f>AND(Financial!#REF!,"AAAAAEV/pyQ=")</f>
        <v>#REF!</v>
      </c>
      <c r="AL63" t="e">
        <f>AND(Financial!#REF!,"AAAAAEV/pyU=")</f>
        <v>#REF!</v>
      </c>
      <c r="AM63" t="e">
        <f>AND(Financial!#REF!,"AAAAAEV/pyY=")</f>
        <v>#REF!</v>
      </c>
      <c r="AN63" t="e">
        <f>AND(Financial!#REF!,"AAAAAEV/pyc=")</f>
        <v>#REF!</v>
      </c>
      <c r="AO63" t="e">
        <f>AND(Financial!#REF!,"AAAAAEV/pyg=")</f>
        <v>#REF!</v>
      </c>
      <c r="AP63" t="e">
        <f>AND(Financial!#REF!,"AAAAAEV/pyk=")</f>
        <v>#REF!</v>
      </c>
      <c r="AQ63" t="e">
        <f>AND(Financial!#REF!,"AAAAAEV/pyo=")</f>
        <v>#REF!</v>
      </c>
      <c r="AR63" t="e">
        <f>AND(Financial!#REF!,"AAAAAEV/pys=")</f>
        <v>#REF!</v>
      </c>
      <c r="AS63" t="e">
        <f>AND(Financial!#REF!,"AAAAAEV/pyw=")</f>
        <v>#REF!</v>
      </c>
      <c r="AT63" t="e">
        <f>AND(Financial!#REF!,"AAAAAEV/py0=")</f>
        <v>#REF!</v>
      </c>
      <c r="AU63" t="e">
        <f>IF(Financial!#REF!,"AAAAAEV/py4=",0)</f>
        <v>#REF!</v>
      </c>
      <c r="AV63" t="e">
        <f>AND(Financial!#REF!,"AAAAAEV/py8=")</f>
        <v>#REF!</v>
      </c>
      <c r="AW63" t="e">
        <f>AND(Financial!#REF!,"AAAAAEV/pzA=")</f>
        <v>#REF!</v>
      </c>
      <c r="AX63" t="e">
        <f>AND(Financial!#REF!,"AAAAAEV/pzE=")</f>
        <v>#REF!</v>
      </c>
      <c r="AY63" t="e">
        <f>AND(Financial!#REF!,"AAAAAEV/pzI=")</f>
        <v>#REF!</v>
      </c>
      <c r="AZ63" t="e">
        <f>AND(Financial!#REF!,"AAAAAEV/pzM=")</f>
        <v>#REF!</v>
      </c>
      <c r="BA63" t="e">
        <f>AND(Financial!#REF!,"AAAAAEV/pzQ=")</f>
        <v>#REF!</v>
      </c>
      <c r="BB63" t="e">
        <f>AND(Financial!#REF!,"AAAAAEV/pzU=")</f>
        <v>#REF!</v>
      </c>
      <c r="BC63" t="e">
        <f>AND(Financial!#REF!,"AAAAAEV/pzY=")</f>
        <v>#REF!</v>
      </c>
      <c r="BD63" t="e">
        <f>AND(Financial!#REF!,"AAAAAEV/pzc=")</f>
        <v>#REF!</v>
      </c>
      <c r="BE63" t="e">
        <f>AND(Financial!#REF!,"AAAAAEV/pzg=")</f>
        <v>#REF!</v>
      </c>
      <c r="BF63" t="e">
        <f>AND(Financial!#REF!,"AAAAAEV/pzk=")</f>
        <v>#REF!</v>
      </c>
      <c r="BG63" t="e">
        <f>AND(Financial!#REF!,"AAAAAEV/pzo=")</f>
        <v>#REF!</v>
      </c>
      <c r="BH63" t="e">
        <f>AND(Financial!#REF!,"AAAAAEV/pzs=")</f>
        <v>#REF!</v>
      </c>
      <c r="BI63" t="e">
        <f>AND(Financial!#REF!,"AAAAAEV/pzw=")</f>
        <v>#REF!</v>
      </c>
      <c r="BJ63" t="e">
        <f>IF(Financial!#REF!,"AAAAAEV/pz0=",0)</f>
        <v>#REF!</v>
      </c>
      <c r="BK63" t="e">
        <f>AND(Financial!#REF!,"AAAAAEV/pz4=")</f>
        <v>#REF!</v>
      </c>
      <c r="BL63" t="e">
        <f>AND(Financial!#REF!,"AAAAAEV/pz8=")</f>
        <v>#REF!</v>
      </c>
      <c r="BM63" t="e">
        <f>AND(Financial!#REF!,"AAAAAEV/p0A=")</f>
        <v>#REF!</v>
      </c>
      <c r="BN63" t="e">
        <f>AND(Financial!#REF!,"AAAAAEV/p0E=")</f>
        <v>#REF!</v>
      </c>
      <c r="BO63" t="e">
        <f>AND(Financial!#REF!,"AAAAAEV/p0I=")</f>
        <v>#REF!</v>
      </c>
      <c r="BP63" t="e">
        <f>AND(Financial!#REF!,"AAAAAEV/p0M=")</f>
        <v>#REF!</v>
      </c>
      <c r="BQ63" t="e">
        <f>AND(Financial!#REF!,"AAAAAEV/p0Q=")</f>
        <v>#REF!</v>
      </c>
      <c r="BR63" t="e">
        <f>AND(Financial!#REF!,"AAAAAEV/p0U=")</f>
        <v>#REF!</v>
      </c>
      <c r="BS63" t="e">
        <f>AND(Financial!#REF!,"AAAAAEV/p0Y=")</f>
        <v>#REF!</v>
      </c>
      <c r="BT63" t="e">
        <f>AND(Financial!#REF!,"AAAAAEV/p0c=")</f>
        <v>#REF!</v>
      </c>
      <c r="BU63" t="e">
        <f>AND(Financial!#REF!,"AAAAAEV/p0g=")</f>
        <v>#REF!</v>
      </c>
      <c r="BV63" t="e">
        <f>AND(Financial!#REF!,"AAAAAEV/p0k=")</f>
        <v>#REF!</v>
      </c>
      <c r="BW63" t="e">
        <f>AND(Financial!#REF!,"AAAAAEV/p0o=")</f>
        <v>#REF!</v>
      </c>
      <c r="BX63" t="e">
        <f>AND(Financial!#REF!,"AAAAAEV/p0s=")</f>
        <v>#REF!</v>
      </c>
      <c r="BY63" t="e">
        <f>IF(Financial!#REF!,"AAAAAEV/p0w=",0)</f>
        <v>#REF!</v>
      </c>
      <c r="BZ63" t="e">
        <f>AND(Financial!#REF!,"AAAAAEV/p00=")</f>
        <v>#REF!</v>
      </c>
      <c r="CA63" t="e">
        <f>AND(Financial!#REF!,"AAAAAEV/p04=")</f>
        <v>#REF!</v>
      </c>
      <c r="CB63" t="e">
        <f>AND(Financial!#REF!,"AAAAAEV/p08=")</f>
        <v>#REF!</v>
      </c>
      <c r="CC63" t="e">
        <f>AND(Financial!#REF!,"AAAAAEV/p1A=")</f>
        <v>#REF!</v>
      </c>
      <c r="CD63" t="e">
        <f>AND(Financial!#REF!,"AAAAAEV/p1E=")</f>
        <v>#REF!</v>
      </c>
      <c r="CE63" t="e">
        <f>AND(Financial!#REF!,"AAAAAEV/p1I=")</f>
        <v>#REF!</v>
      </c>
      <c r="CF63" t="e">
        <f>AND(Financial!#REF!,"AAAAAEV/p1M=")</f>
        <v>#REF!</v>
      </c>
      <c r="CG63" t="e">
        <f>AND(Financial!#REF!,"AAAAAEV/p1Q=")</f>
        <v>#REF!</v>
      </c>
      <c r="CH63" t="e">
        <f>AND(Financial!#REF!,"AAAAAEV/p1U=")</f>
        <v>#REF!</v>
      </c>
      <c r="CI63" t="e">
        <f>AND(Financial!#REF!,"AAAAAEV/p1Y=")</f>
        <v>#REF!</v>
      </c>
      <c r="CJ63" t="e">
        <f>AND(Financial!#REF!,"AAAAAEV/p1c=")</f>
        <v>#REF!</v>
      </c>
      <c r="CK63" t="e">
        <f>AND(Financial!#REF!,"AAAAAEV/p1g=")</f>
        <v>#REF!</v>
      </c>
      <c r="CL63" t="e">
        <f>AND(Financial!#REF!,"AAAAAEV/p1k=")</f>
        <v>#REF!</v>
      </c>
      <c r="CM63" t="e">
        <f>AND(Financial!#REF!,"AAAAAEV/p1o=")</f>
        <v>#REF!</v>
      </c>
      <c r="CN63">
        <f>IF(Financial!74:74,"AAAAAEV/p1s=",0)</f>
        <v>0</v>
      </c>
      <c r="CO63" t="e">
        <f>AND(Financial!#REF!,"AAAAAEV/p1w=")</f>
        <v>#REF!</v>
      </c>
      <c r="CP63" t="e">
        <f>AND(Financial!A74,"AAAAAEV/p10=")</f>
        <v>#VALUE!</v>
      </c>
      <c r="CQ63" t="e">
        <f>AND(Financial!B74,"AAAAAEV/p14=")</f>
        <v>#VALUE!</v>
      </c>
      <c r="CR63" t="e">
        <f>AND(Financial!C74,"AAAAAEV/p18=")</f>
        <v>#VALUE!</v>
      </c>
      <c r="CS63" t="e">
        <f>AND(Financial!D74,"AAAAAEV/p2A=")</f>
        <v>#VALUE!</v>
      </c>
      <c r="CT63" t="e">
        <f>AND(Financial!E74,"AAAAAEV/p2E=")</f>
        <v>#VALUE!</v>
      </c>
      <c r="CU63" t="e">
        <f>AND(Financial!F74,"AAAAAEV/p2I=")</f>
        <v>#VALUE!</v>
      </c>
      <c r="CV63" t="e">
        <f>AND(Financial!G74,"AAAAAEV/p2M=")</f>
        <v>#VALUE!</v>
      </c>
      <c r="CW63" t="e">
        <f>AND(Financial!H74,"AAAAAEV/p2Q=")</f>
        <v>#VALUE!</v>
      </c>
      <c r="CX63" t="e">
        <f>AND(Financial!I74,"AAAAAEV/p2U=")</f>
        <v>#VALUE!</v>
      </c>
      <c r="CY63" t="e">
        <f>AND(Financial!J74,"AAAAAEV/p2Y=")</f>
        <v>#VALUE!</v>
      </c>
      <c r="CZ63" t="e">
        <f>AND(Financial!K74,"AAAAAEV/p2c=")</f>
        <v>#VALUE!</v>
      </c>
      <c r="DA63" t="e">
        <f>AND(Financial!L74,"AAAAAEV/p2g=")</f>
        <v>#VALUE!</v>
      </c>
      <c r="DB63" t="e">
        <f>AND(Financial!M74,"AAAAAEV/p2k=")</f>
        <v>#VALUE!</v>
      </c>
      <c r="DC63" t="e">
        <f>IF(Financial!#REF!,"AAAAAEV/p2o=",0)</f>
        <v>#REF!</v>
      </c>
      <c r="DD63" t="e">
        <f>AND(Financial!#REF!,"AAAAAEV/p2s=")</f>
        <v>#REF!</v>
      </c>
      <c r="DE63" t="e">
        <f>AND(Financial!#REF!,"AAAAAEV/p2w=")</f>
        <v>#REF!</v>
      </c>
      <c r="DF63" t="e">
        <f>AND(Financial!#REF!,"AAAAAEV/p20=")</f>
        <v>#REF!</v>
      </c>
      <c r="DG63" t="e">
        <f>AND(Financial!#REF!,"AAAAAEV/p24=")</f>
        <v>#REF!</v>
      </c>
      <c r="DH63" t="e">
        <f>AND(Financial!#REF!,"AAAAAEV/p28=")</f>
        <v>#REF!</v>
      </c>
      <c r="DI63" t="e">
        <f>AND(Financial!#REF!,"AAAAAEV/p3A=")</f>
        <v>#REF!</v>
      </c>
      <c r="DJ63" t="e">
        <f>AND(Financial!#REF!,"AAAAAEV/p3E=")</f>
        <v>#REF!</v>
      </c>
      <c r="DK63" t="e">
        <f>AND(Financial!#REF!,"AAAAAEV/p3I=")</f>
        <v>#REF!</v>
      </c>
      <c r="DL63" t="e">
        <f>AND(Financial!#REF!,"AAAAAEV/p3M=")</f>
        <v>#REF!</v>
      </c>
      <c r="DM63" t="e">
        <f>AND(Financial!#REF!,"AAAAAEV/p3Q=")</f>
        <v>#REF!</v>
      </c>
      <c r="DN63" t="e">
        <f>AND(Financial!#REF!,"AAAAAEV/p3U=")</f>
        <v>#REF!</v>
      </c>
      <c r="DO63" t="e">
        <f>AND(Financial!#REF!,"AAAAAEV/p3Y=")</f>
        <v>#REF!</v>
      </c>
      <c r="DP63" t="e">
        <f>AND(Financial!#REF!,"AAAAAEV/p3c=")</f>
        <v>#REF!</v>
      </c>
      <c r="DQ63" t="e">
        <f>AND(Financial!#REF!,"AAAAAEV/p3g=")</f>
        <v>#REF!</v>
      </c>
      <c r="DR63">
        <f>IF(Financial!75:75,"AAAAAEV/p3k=",0)</f>
        <v>0</v>
      </c>
      <c r="DS63" t="e">
        <f>AND(Financial!#REF!,"AAAAAEV/p3o=")</f>
        <v>#REF!</v>
      </c>
      <c r="DT63" t="e">
        <f>AND(Financial!A75,"AAAAAEV/p3s=")</f>
        <v>#VALUE!</v>
      </c>
      <c r="DU63" t="e">
        <f>AND(Financial!B75,"AAAAAEV/p3w=")</f>
        <v>#VALUE!</v>
      </c>
      <c r="DV63" t="e">
        <f>AND(Financial!C75,"AAAAAEV/p30=")</f>
        <v>#VALUE!</v>
      </c>
      <c r="DW63" t="e">
        <f>AND(Financial!D75,"AAAAAEV/p34=")</f>
        <v>#VALUE!</v>
      </c>
      <c r="DX63" t="e">
        <f>AND(Financial!E75,"AAAAAEV/p38=")</f>
        <v>#VALUE!</v>
      </c>
      <c r="DY63" t="e">
        <f>AND(Financial!F75,"AAAAAEV/p4A=")</f>
        <v>#VALUE!</v>
      </c>
      <c r="DZ63" t="e">
        <f>AND(Financial!G75,"AAAAAEV/p4E=")</f>
        <v>#VALUE!</v>
      </c>
      <c r="EA63" t="e">
        <f>AND(Financial!H75,"AAAAAEV/p4I=")</f>
        <v>#VALUE!</v>
      </c>
      <c r="EB63" t="e">
        <f>AND(Financial!I75,"AAAAAEV/p4M=")</f>
        <v>#VALUE!</v>
      </c>
      <c r="EC63" t="e">
        <f>AND(Financial!J75,"AAAAAEV/p4Q=")</f>
        <v>#VALUE!</v>
      </c>
      <c r="ED63" t="e">
        <f>AND(Financial!K75,"AAAAAEV/p4U=")</f>
        <v>#VALUE!</v>
      </c>
      <c r="EE63" t="e">
        <f>AND(Financial!L75,"AAAAAEV/p4Y=")</f>
        <v>#VALUE!</v>
      </c>
      <c r="EF63" t="e">
        <f>AND(Financial!M75,"AAAAAEV/p4c=")</f>
        <v>#VALUE!</v>
      </c>
      <c r="EG63">
        <f>IF(Financial!76:76,"AAAAAEV/p4g=",0)</f>
        <v>0</v>
      </c>
      <c r="EH63" t="e">
        <f>AND(Financial!#REF!,"AAAAAEV/p4k=")</f>
        <v>#REF!</v>
      </c>
      <c r="EI63" t="e">
        <f>AND(Financial!A76,"AAAAAEV/p4o=")</f>
        <v>#VALUE!</v>
      </c>
      <c r="EJ63" t="e">
        <f>AND(Financial!B76,"AAAAAEV/p4s=")</f>
        <v>#VALUE!</v>
      </c>
      <c r="EK63" t="e">
        <f>AND(Financial!C76,"AAAAAEV/p4w=")</f>
        <v>#VALUE!</v>
      </c>
      <c r="EL63" t="e">
        <f>AND(Financial!D76,"AAAAAEV/p40=")</f>
        <v>#VALUE!</v>
      </c>
      <c r="EM63" t="e">
        <f>AND(Financial!E76,"AAAAAEV/p44=")</f>
        <v>#VALUE!</v>
      </c>
      <c r="EN63" t="e">
        <f>AND(Financial!F76,"AAAAAEV/p48=")</f>
        <v>#VALUE!</v>
      </c>
      <c r="EO63" t="e">
        <f>AND(Financial!G76,"AAAAAEV/p5A=")</f>
        <v>#VALUE!</v>
      </c>
      <c r="EP63" t="e">
        <f>AND(Financial!H76,"AAAAAEV/p5E=")</f>
        <v>#VALUE!</v>
      </c>
      <c r="EQ63" t="e">
        <f>AND(Financial!I76,"AAAAAEV/p5I=")</f>
        <v>#VALUE!</v>
      </c>
      <c r="ER63" t="e">
        <f>AND(Financial!J76,"AAAAAEV/p5M=")</f>
        <v>#VALUE!</v>
      </c>
      <c r="ES63" t="e">
        <f>AND(Financial!K76,"AAAAAEV/p5Q=")</f>
        <v>#VALUE!</v>
      </c>
      <c r="ET63" t="e">
        <f>AND(Financial!L76,"AAAAAEV/p5U=")</f>
        <v>#VALUE!</v>
      </c>
      <c r="EU63" t="e">
        <f>AND(Financial!M76,"AAAAAEV/p5Y=")</f>
        <v>#VALUE!</v>
      </c>
      <c r="EV63">
        <f>IF(Financial!77:77,"AAAAAEV/p5c=",0)</f>
        <v>0</v>
      </c>
      <c r="EW63" t="e">
        <f>AND(Financial!#REF!,"AAAAAEV/p5g=")</f>
        <v>#REF!</v>
      </c>
      <c r="EX63" t="e">
        <f>AND(Financial!A77,"AAAAAEV/p5k=")</f>
        <v>#VALUE!</v>
      </c>
      <c r="EY63" t="e">
        <f>AND(Financial!B77,"AAAAAEV/p5o=")</f>
        <v>#VALUE!</v>
      </c>
      <c r="EZ63" t="e">
        <f>AND(Financial!C77,"AAAAAEV/p5s=")</f>
        <v>#VALUE!</v>
      </c>
      <c r="FA63" t="e">
        <f>AND(Financial!D77,"AAAAAEV/p5w=")</f>
        <v>#VALUE!</v>
      </c>
      <c r="FB63" t="e">
        <f>AND(Financial!E77,"AAAAAEV/p50=")</f>
        <v>#VALUE!</v>
      </c>
      <c r="FC63" t="e">
        <f>AND(Financial!F77,"AAAAAEV/p54=")</f>
        <v>#VALUE!</v>
      </c>
      <c r="FD63" t="e">
        <f>AND(Financial!G77,"AAAAAEV/p58=")</f>
        <v>#VALUE!</v>
      </c>
      <c r="FE63" t="e">
        <f>AND(Financial!H77,"AAAAAEV/p6A=")</f>
        <v>#VALUE!</v>
      </c>
      <c r="FF63" t="e">
        <f>AND(Financial!I77,"AAAAAEV/p6E=")</f>
        <v>#VALUE!</v>
      </c>
      <c r="FG63" t="e">
        <f>AND(Financial!J77,"AAAAAEV/p6I=")</f>
        <v>#VALUE!</v>
      </c>
      <c r="FH63" t="e">
        <f>AND(Financial!K77,"AAAAAEV/p6M=")</f>
        <v>#VALUE!</v>
      </c>
      <c r="FI63" t="e">
        <f>AND(Financial!L77,"AAAAAEV/p6Q=")</f>
        <v>#VALUE!</v>
      </c>
      <c r="FJ63" t="e">
        <f>AND(Financial!M77,"AAAAAEV/p6U=")</f>
        <v>#VALUE!</v>
      </c>
      <c r="FK63">
        <f>IF(Financial!79:79,"AAAAAEV/p6Y=",0)</f>
        <v>0</v>
      </c>
      <c r="FL63" t="e">
        <f>AND(Financial!#REF!,"AAAAAEV/p6c=")</f>
        <v>#REF!</v>
      </c>
      <c r="FM63" t="e">
        <f>AND(Financial!A79,"AAAAAEV/p6g=")</f>
        <v>#VALUE!</v>
      </c>
      <c r="FN63" t="e">
        <f>AND(Financial!B79,"AAAAAEV/p6k=")</f>
        <v>#VALUE!</v>
      </c>
      <c r="FO63" t="e">
        <f>AND(Financial!C79,"AAAAAEV/p6o=")</f>
        <v>#VALUE!</v>
      </c>
      <c r="FP63" t="e">
        <f>AND(Financial!D79,"AAAAAEV/p6s=")</f>
        <v>#VALUE!</v>
      </c>
      <c r="FQ63" t="e">
        <f>AND(Financial!E79,"AAAAAEV/p6w=")</f>
        <v>#VALUE!</v>
      </c>
      <c r="FR63" t="e">
        <f>AND(Financial!F79,"AAAAAEV/p60=")</f>
        <v>#VALUE!</v>
      </c>
      <c r="FS63" t="e">
        <f>AND(Financial!G79,"AAAAAEV/p64=")</f>
        <v>#VALUE!</v>
      </c>
      <c r="FT63" t="e">
        <f>AND(Financial!H79,"AAAAAEV/p68=")</f>
        <v>#VALUE!</v>
      </c>
      <c r="FU63" t="e">
        <f>AND(Financial!I79,"AAAAAEV/p7A=")</f>
        <v>#VALUE!</v>
      </c>
      <c r="FV63" t="e">
        <f>AND(Financial!J79,"AAAAAEV/p7E=")</f>
        <v>#VALUE!</v>
      </c>
      <c r="FW63" t="e">
        <f>AND(Financial!K79,"AAAAAEV/p7I=")</f>
        <v>#VALUE!</v>
      </c>
      <c r="FX63" t="e">
        <f>AND(Financial!L79,"AAAAAEV/p7M=")</f>
        <v>#VALUE!</v>
      </c>
      <c r="FY63" t="e">
        <f>AND(Financial!M79,"AAAAAEV/p7Q=")</f>
        <v>#VALUE!</v>
      </c>
      <c r="FZ63">
        <f>IF(Financial!94:94,"AAAAAEV/p7U=",0)</f>
        <v>0</v>
      </c>
      <c r="GA63" t="e">
        <f>AND(Financial!#REF!,"AAAAAEV/p7Y=")</f>
        <v>#REF!</v>
      </c>
      <c r="GB63" t="e">
        <f>AND(Financial!A94,"AAAAAEV/p7c=")</f>
        <v>#VALUE!</v>
      </c>
      <c r="GC63" t="e">
        <f>AND(Financial!B94,"AAAAAEV/p7g=")</f>
        <v>#VALUE!</v>
      </c>
      <c r="GD63" t="e">
        <f>AND(Financial!C94,"AAAAAEV/p7k=")</f>
        <v>#VALUE!</v>
      </c>
      <c r="GE63" t="e">
        <f>AND(Financial!D94,"AAAAAEV/p7o=")</f>
        <v>#VALUE!</v>
      </c>
      <c r="GF63" t="e">
        <f>AND(Financial!E94,"AAAAAEV/p7s=")</f>
        <v>#VALUE!</v>
      </c>
      <c r="GG63" t="e">
        <f>AND(Financial!F94,"AAAAAEV/p7w=")</f>
        <v>#VALUE!</v>
      </c>
      <c r="GH63" t="e">
        <f>AND(Financial!G94,"AAAAAEV/p70=")</f>
        <v>#VALUE!</v>
      </c>
      <c r="GI63" t="e">
        <f>AND(Financial!H94,"AAAAAEV/p74=")</f>
        <v>#VALUE!</v>
      </c>
      <c r="GJ63" t="e">
        <f>AND(Financial!I94,"AAAAAEV/p78=")</f>
        <v>#VALUE!</v>
      </c>
      <c r="GK63" t="e">
        <f>AND(Financial!J94,"AAAAAEV/p8A=")</f>
        <v>#VALUE!</v>
      </c>
      <c r="GL63" t="e">
        <f>AND(Financial!K94,"AAAAAEV/p8E=")</f>
        <v>#VALUE!</v>
      </c>
      <c r="GM63" t="e">
        <f>AND(Financial!L94,"AAAAAEV/p8I=")</f>
        <v>#VALUE!</v>
      </c>
      <c r="GN63" t="e">
        <f>AND(Financial!M94,"AAAAAEV/p8M=")</f>
        <v>#VALUE!</v>
      </c>
      <c r="GO63">
        <f>IF(Financial!95:95,"AAAAAEV/p8Q=",0)</f>
        <v>0</v>
      </c>
      <c r="GP63" t="e">
        <f>AND(Financial!#REF!,"AAAAAEV/p8U=")</f>
        <v>#REF!</v>
      </c>
      <c r="GQ63" t="e">
        <f>AND(Financial!A95,"AAAAAEV/p8Y=")</f>
        <v>#VALUE!</v>
      </c>
      <c r="GR63" t="e">
        <f>AND(Financial!B95,"AAAAAEV/p8c=")</f>
        <v>#VALUE!</v>
      </c>
      <c r="GS63" t="e">
        <f>AND(Financial!C95,"AAAAAEV/p8g=")</f>
        <v>#VALUE!</v>
      </c>
      <c r="GT63" t="e">
        <f>AND(Financial!D95,"AAAAAEV/p8k=")</f>
        <v>#VALUE!</v>
      </c>
      <c r="GU63" t="e">
        <f>AND(Financial!E95,"AAAAAEV/p8o=")</f>
        <v>#VALUE!</v>
      </c>
      <c r="GV63" t="e">
        <f>AND(Financial!F95,"AAAAAEV/p8s=")</f>
        <v>#VALUE!</v>
      </c>
      <c r="GW63" t="e">
        <f>AND(Financial!G95,"AAAAAEV/p8w=")</f>
        <v>#VALUE!</v>
      </c>
      <c r="GX63" t="e">
        <f>AND(Financial!H95,"AAAAAEV/p80=")</f>
        <v>#VALUE!</v>
      </c>
      <c r="GY63" t="e">
        <f>AND(Financial!I95,"AAAAAEV/p84=")</f>
        <v>#VALUE!</v>
      </c>
      <c r="GZ63" t="e">
        <f>AND(Financial!J95,"AAAAAEV/p88=")</f>
        <v>#VALUE!</v>
      </c>
      <c r="HA63" t="e">
        <f>AND(Financial!K95,"AAAAAEV/p9A=")</f>
        <v>#VALUE!</v>
      </c>
      <c r="HB63" t="e">
        <f>AND(Financial!L95,"AAAAAEV/p9E=")</f>
        <v>#VALUE!</v>
      </c>
      <c r="HC63" t="e">
        <f>AND(Financial!M95,"AAAAAEV/p9I=")</f>
        <v>#VALUE!</v>
      </c>
      <c r="HD63">
        <f>IF(Financial!96:96,"AAAAAEV/p9M=",0)</f>
        <v>0</v>
      </c>
      <c r="HE63" t="e">
        <f>AND(Financial!#REF!,"AAAAAEV/p9Q=")</f>
        <v>#REF!</v>
      </c>
      <c r="HF63" t="e">
        <f>AND(Financial!A96,"AAAAAEV/p9U=")</f>
        <v>#VALUE!</v>
      </c>
      <c r="HG63" t="e">
        <f>AND(Financial!B96,"AAAAAEV/p9Y=")</f>
        <v>#VALUE!</v>
      </c>
      <c r="HH63" t="e">
        <f>AND(Financial!C96,"AAAAAEV/p9c=")</f>
        <v>#VALUE!</v>
      </c>
      <c r="HI63" t="e">
        <f>AND(Financial!D96,"AAAAAEV/p9g=")</f>
        <v>#VALUE!</v>
      </c>
      <c r="HJ63" t="e">
        <f>AND(Financial!E96,"AAAAAEV/p9k=")</f>
        <v>#VALUE!</v>
      </c>
      <c r="HK63" t="e">
        <f>AND(Financial!F96,"AAAAAEV/p9o=")</f>
        <v>#VALUE!</v>
      </c>
      <c r="HL63" t="e">
        <f>AND(Financial!G96,"AAAAAEV/p9s=")</f>
        <v>#VALUE!</v>
      </c>
      <c r="HM63" t="e">
        <f>AND(Financial!H96,"AAAAAEV/p9w=")</f>
        <v>#VALUE!</v>
      </c>
      <c r="HN63" t="e">
        <f>AND(Financial!I96,"AAAAAEV/p90=")</f>
        <v>#VALUE!</v>
      </c>
      <c r="HO63" t="e">
        <f>AND(Financial!J96,"AAAAAEV/p94=")</f>
        <v>#VALUE!</v>
      </c>
      <c r="HP63" t="e">
        <f>AND(Financial!K96,"AAAAAEV/p98=")</f>
        <v>#VALUE!</v>
      </c>
      <c r="HQ63" t="e">
        <f>AND(Financial!L96,"AAAAAEV/p+A=")</f>
        <v>#VALUE!</v>
      </c>
      <c r="HR63" t="e">
        <f>AND(Financial!M96,"AAAAAEV/p+E=")</f>
        <v>#VALUE!</v>
      </c>
      <c r="HS63" t="e">
        <f>IF(Financial!#REF!,"AAAAAEV/p+I=",0)</f>
        <v>#REF!</v>
      </c>
      <c r="HT63" t="e">
        <f>AND(Financial!#REF!,"AAAAAEV/p+M=")</f>
        <v>#REF!</v>
      </c>
      <c r="HU63" t="e">
        <f>AND(Financial!#REF!,"AAAAAEV/p+Q=")</f>
        <v>#REF!</v>
      </c>
      <c r="HV63" t="e">
        <f>AND(Financial!#REF!,"AAAAAEV/p+U=")</f>
        <v>#REF!</v>
      </c>
      <c r="HW63" t="e">
        <f>AND(Financial!#REF!,"AAAAAEV/p+Y=")</f>
        <v>#REF!</v>
      </c>
      <c r="HX63" t="e">
        <f>AND(Financial!#REF!,"AAAAAEV/p+c=")</f>
        <v>#REF!</v>
      </c>
      <c r="HY63" t="e">
        <f>AND(Financial!#REF!,"AAAAAEV/p+g=")</f>
        <v>#REF!</v>
      </c>
      <c r="HZ63" t="e">
        <f>AND(Financial!#REF!,"AAAAAEV/p+k=")</f>
        <v>#REF!</v>
      </c>
      <c r="IA63" t="e">
        <f>AND(Financial!#REF!,"AAAAAEV/p+o=")</f>
        <v>#REF!</v>
      </c>
      <c r="IB63" t="e">
        <f>AND(Financial!#REF!,"AAAAAEV/p+s=")</f>
        <v>#REF!</v>
      </c>
      <c r="IC63" t="e">
        <f>AND(Financial!#REF!,"AAAAAEV/p+w=")</f>
        <v>#REF!</v>
      </c>
      <c r="ID63" t="e">
        <f>AND(Financial!#REF!,"AAAAAEV/p+0=")</f>
        <v>#REF!</v>
      </c>
      <c r="IE63" t="e">
        <f>AND(Financial!#REF!,"AAAAAEV/p+4=")</f>
        <v>#REF!</v>
      </c>
      <c r="IF63" t="e">
        <f>AND(Financial!#REF!,"AAAAAEV/p+8=")</f>
        <v>#REF!</v>
      </c>
      <c r="IG63" t="e">
        <f>AND(Financial!#REF!,"AAAAAEV/p/A=")</f>
        <v>#REF!</v>
      </c>
      <c r="IH63" t="e">
        <f>IF(Financial!#REF!,"AAAAAEV/p/E=",0)</f>
        <v>#REF!</v>
      </c>
      <c r="II63" t="e">
        <f>AND(Financial!#REF!,"AAAAAEV/p/I=")</f>
        <v>#REF!</v>
      </c>
      <c r="IJ63" t="e">
        <f>AND(Financial!#REF!,"AAAAAEV/p/M=")</f>
        <v>#REF!</v>
      </c>
      <c r="IK63" t="e">
        <f>AND(Financial!#REF!,"AAAAAEV/p/Q=")</f>
        <v>#REF!</v>
      </c>
      <c r="IL63" t="e">
        <f>AND(Financial!#REF!,"AAAAAEV/p/U=")</f>
        <v>#REF!</v>
      </c>
      <c r="IM63" t="e">
        <f>AND(Financial!#REF!,"AAAAAEV/p/Y=")</f>
        <v>#REF!</v>
      </c>
      <c r="IN63" t="e">
        <f>AND(Financial!#REF!,"AAAAAEV/p/c=")</f>
        <v>#REF!</v>
      </c>
      <c r="IO63" t="e">
        <f>AND(Financial!#REF!,"AAAAAEV/p/g=")</f>
        <v>#REF!</v>
      </c>
      <c r="IP63" t="e">
        <f>AND(Financial!#REF!,"AAAAAEV/p/k=")</f>
        <v>#REF!</v>
      </c>
      <c r="IQ63" t="e">
        <f>AND(Financial!#REF!,"AAAAAEV/p/o=")</f>
        <v>#REF!</v>
      </c>
      <c r="IR63" t="e">
        <f>AND(Financial!#REF!,"AAAAAEV/p/s=")</f>
        <v>#REF!</v>
      </c>
      <c r="IS63" t="e">
        <f>AND(Financial!#REF!,"AAAAAEV/p/w=")</f>
        <v>#REF!</v>
      </c>
      <c r="IT63" t="e">
        <f>AND(Financial!#REF!,"AAAAAEV/p/0=")</f>
        <v>#REF!</v>
      </c>
      <c r="IU63" t="e">
        <f>AND(Financial!#REF!,"AAAAAEV/p/4=")</f>
        <v>#REF!</v>
      </c>
      <c r="IV63" t="e">
        <f>AND(Financial!#REF!,"AAAAAEV/p/8=")</f>
        <v>#REF!</v>
      </c>
    </row>
    <row r="64" spans="1:256" x14ac:dyDescent="0.2">
      <c r="A64" t="e">
        <f>IF(Financial!#REF!,"AAAAAH6/dwA=",0)</f>
        <v>#REF!</v>
      </c>
      <c r="B64" t="e">
        <f>AND(Financial!#REF!,"AAAAAH6/dwE=")</f>
        <v>#REF!</v>
      </c>
      <c r="C64" t="e">
        <f>AND(Financial!#REF!,"AAAAAH6/dwI=")</f>
        <v>#REF!</v>
      </c>
      <c r="D64" t="e">
        <f>AND(Financial!#REF!,"AAAAAH6/dwM=")</f>
        <v>#REF!</v>
      </c>
      <c r="E64" t="e">
        <f>AND(Financial!#REF!,"AAAAAH6/dwQ=")</f>
        <v>#REF!</v>
      </c>
      <c r="F64" t="e">
        <f>AND(Financial!#REF!,"AAAAAH6/dwU=")</f>
        <v>#REF!</v>
      </c>
      <c r="G64" t="e">
        <f>AND(Financial!#REF!,"AAAAAH6/dwY=")</f>
        <v>#REF!</v>
      </c>
      <c r="H64" t="e">
        <f>AND(Financial!#REF!,"AAAAAH6/dwc=")</f>
        <v>#REF!</v>
      </c>
      <c r="I64" t="e">
        <f>AND(Financial!#REF!,"AAAAAH6/dwg=")</f>
        <v>#REF!</v>
      </c>
      <c r="J64" t="e">
        <f>AND(Financial!#REF!,"AAAAAH6/dwk=")</f>
        <v>#REF!</v>
      </c>
      <c r="K64" t="e">
        <f>AND(Financial!#REF!,"AAAAAH6/dwo=")</f>
        <v>#REF!</v>
      </c>
      <c r="L64" t="e">
        <f>AND(Financial!#REF!,"AAAAAH6/dws=")</f>
        <v>#REF!</v>
      </c>
      <c r="M64" t="e">
        <f>AND(Financial!#REF!,"AAAAAH6/dww=")</f>
        <v>#REF!</v>
      </c>
      <c r="N64" t="e">
        <f>AND(Financial!#REF!,"AAAAAH6/dw0=")</f>
        <v>#REF!</v>
      </c>
      <c r="O64" t="e">
        <f>AND(Financial!#REF!,"AAAAAH6/dw4=")</f>
        <v>#REF!</v>
      </c>
      <c r="P64" t="e">
        <f>IF(Financial!#REF!,"AAAAAH6/dw8=",0)</f>
        <v>#REF!</v>
      </c>
      <c r="Q64" t="e">
        <f>AND(Financial!#REF!,"AAAAAH6/dxA=")</f>
        <v>#REF!</v>
      </c>
      <c r="R64" t="e">
        <f>AND(Financial!#REF!,"AAAAAH6/dxE=")</f>
        <v>#REF!</v>
      </c>
      <c r="S64" t="e">
        <f>AND(Financial!#REF!,"AAAAAH6/dxI=")</f>
        <v>#REF!</v>
      </c>
      <c r="T64" t="e">
        <f>AND(Financial!#REF!,"AAAAAH6/dxM=")</f>
        <v>#REF!</v>
      </c>
      <c r="U64" t="e">
        <f>AND(Financial!#REF!,"AAAAAH6/dxQ=")</f>
        <v>#REF!</v>
      </c>
      <c r="V64" t="e">
        <f>AND(Financial!#REF!,"AAAAAH6/dxU=")</f>
        <v>#REF!</v>
      </c>
      <c r="W64" t="e">
        <f>AND(Financial!#REF!,"AAAAAH6/dxY=")</f>
        <v>#REF!</v>
      </c>
      <c r="X64" t="e">
        <f>AND(Financial!#REF!,"AAAAAH6/dxc=")</f>
        <v>#REF!</v>
      </c>
      <c r="Y64" t="e">
        <f>AND(Financial!#REF!,"AAAAAH6/dxg=")</f>
        <v>#REF!</v>
      </c>
      <c r="Z64" t="e">
        <f>AND(Financial!#REF!,"AAAAAH6/dxk=")</f>
        <v>#REF!</v>
      </c>
      <c r="AA64" t="e">
        <f>AND(Financial!#REF!,"AAAAAH6/dxo=")</f>
        <v>#REF!</v>
      </c>
      <c r="AB64" t="e">
        <f>AND(Financial!#REF!,"AAAAAH6/dxs=")</f>
        <v>#REF!</v>
      </c>
      <c r="AC64" t="e">
        <f>AND(Financial!#REF!,"AAAAAH6/dxw=")</f>
        <v>#REF!</v>
      </c>
      <c r="AD64" t="e">
        <f>AND(Financial!#REF!,"AAAAAH6/dx0=")</f>
        <v>#REF!</v>
      </c>
      <c r="AE64">
        <f>IF(Financial!115:115,"AAAAAH6/dx4=",0)</f>
        <v>0</v>
      </c>
      <c r="AF64" t="e">
        <f>AND(Financial!#REF!,"AAAAAH6/dx8=")</f>
        <v>#REF!</v>
      </c>
      <c r="AG64" t="e">
        <f>AND(Financial!A115,"AAAAAH6/dyA=")</f>
        <v>#VALUE!</v>
      </c>
      <c r="AH64" t="e">
        <f>AND(Financial!B115,"AAAAAH6/dyE=")</f>
        <v>#VALUE!</v>
      </c>
      <c r="AI64" t="e">
        <f>AND(Financial!C115,"AAAAAH6/dyI=")</f>
        <v>#VALUE!</v>
      </c>
      <c r="AJ64" t="e">
        <f>AND(Financial!D115,"AAAAAH6/dyM=")</f>
        <v>#VALUE!</v>
      </c>
      <c r="AK64" t="e">
        <f>AND(Financial!E115,"AAAAAH6/dyQ=")</f>
        <v>#VALUE!</v>
      </c>
      <c r="AL64" t="e">
        <f>AND(Financial!F115,"AAAAAH6/dyU=")</f>
        <v>#VALUE!</v>
      </c>
      <c r="AM64" t="e">
        <f>AND(Financial!G115,"AAAAAH6/dyY=")</f>
        <v>#VALUE!</v>
      </c>
      <c r="AN64" t="e">
        <f>AND(Financial!H115,"AAAAAH6/dyc=")</f>
        <v>#VALUE!</v>
      </c>
      <c r="AO64" t="e">
        <f>AND(Financial!I115,"AAAAAH6/dyg=")</f>
        <v>#VALUE!</v>
      </c>
      <c r="AP64" t="e">
        <f>AND(Financial!J115,"AAAAAH6/dyk=")</f>
        <v>#VALUE!</v>
      </c>
      <c r="AQ64" t="e">
        <f>AND(Financial!K115,"AAAAAH6/dyo=")</f>
        <v>#VALUE!</v>
      </c>
      <c r="AR64" t="e">
        <f>AND(Financial!L115,"AAAAAH6/dys=")</f>
        <v>#VALUE!</v>
      </c>
      <c r="AS64" t="e">
        <f>AND(Financial!M115,"AAAAAH6/dyw=")</f>
        <v>#VALUE!</v>
      </c>
      <c r="AT64" t="e">
        <f>IF(Financial!#REF!,"AAAAAH6/dy0=",0)</f>
        <v>#REF!</v>
      </c>
      <c r="AU64" t="e">
        <f>AND(Financial!#REF!,"AAAAAH6/dy4=")</f>
        <v>#REF!</v>
      </c>
      <c r="AV64" t="e">
        <f>AND(Financial!#REF!,"AAAAAH6/dy8=")</f>
        <v>#REF!</v>
      </c>
      <c r="AW64" t="e">
        <f>AND(Financial!#REF!,"AAAAAH6/dzA=")</f>
        <v>#REF!</v>
      </c>
      <c r="AX64" t="e">
        <f>AND(Financial!#REF!,"AAAAAH6/dzE=")</f>
        <v>#REF!</v>
      </c>
      <c r="AY64" t="e">
        <f>AND(Financial!#REF!,"AAAAAH6/dzI=")</f>
        <v>#REF!</v>
      </c>
      <c r="AZ64" t="e">
        <f>AND(Financial!#REF!,"AAAAAH6/dzM=")</f>
        <v>#REF!</v>
      </c>
      <c r="BA64" t="e">
        <f>AND(Financial!#REF!,"AAAAAH6/dzQ=")</f>
        <v>#REF!</v>
      </c>
      <c r="BB64" t="e">
        <f>AND(Financial!#REF!,"AAAAAH6/dzU=")</f>
        <v>#REF!</v>
      </c>
      <c r="BC64" t="e">
        <f>AND(Financial!#REF!,"AAAAAH6/dzY=")</f>
        <v>#REF!</v>
      </c>
      <c r="BD64" t="e">
        <f>AND(Financial!#REF!,"AAAAAH6/dzc=")</f>
        <v>#REF!</v>
      </c>
      <c r="BE64" t="e">
        <f>AND(Financial!#REF!,"AAAAAH6/dzg=")</f>
        <v>#REF!</v>
      </c>
      <c r="BF64" t="e">
        <f>AND(Financial!#REF!,"AAAAAH6/dzk=")</f>
        <v>#REF!</v>
      </c>
      <c r="BG64" t="e">
        <f>AND(Financial!#REF!,"AAAAAH6/dzo=")</f>
        <v>#REF!</v>
      </c>
      <c r="BH64" t="e">
        <f>AND(Financial!#REF!,"AAAAAH6/dzs=")</f>
        <v>#REF!</v>
      </c>
      <c r="BI64">
        <f>IF(Financial!116:116,"AAAAAH6/dzw=",0)</f>
        <v>0</v>
      </c>
      <c r="BJ64" t="e">
        <f>AND(Financial!#REF!,"AAAAAH6/dz0=")</f>
        <v>#REF!</v>
      </c>
      <c r="BK64" t="e">
        <f>AND(Financial!A116,"AAAAAH6/dz4=")</f>
        <v>#VALUE!</v>
      </c>
      <c r="BL64" t="e">
        <f>AND(Financial!B116,"AAAAAH6/dz8=")</f>
        <v>#VALUE!</v>
      </c>
      <c r="BM64" t="e">
        <f>AND(Financial!C116,"AAAAAH6/d0A=")</f>
        <v>#VALUE!</v>
      </c>
      <c r="BN64" t="e">
        <f>AND(Financial!D116,"AAAAAH6/d0E=")</f>
        <v>#VALUE!</v>
      </c>
      <c r="BO64" t="e">
        <f>AND(Financial!E116,"AAAAAH6/d0I=")</f>
        <v>#VALUE!</v>
      </c>
      <c r="BP64" t="e">
        <f>AND(Financial!F116,"AAAAAH6/d0M=")</f>
        <v>#VALUE!</v>
      </c>
      <c r="BQ64" t="e">
        <f>AND(Financial!G116,"AAAAAH6/d0Q=")</f>
        <v>#VALUE!</v>
      </c>
      <c r="BR64" t="e">
        <f>AND(Financial!H116,"AAAAAH6/d0U=")</f>
        <v>#VALUE!</v>
      </c>
      <c r="BS64" t="e">
        <f>AND(Financial!I116,"AAAAAH6/d0Y=")</f>
        <v>#VALUE!</v>
      </c>
      <c r="BT64" t="e">
        <f>AND(Financial!J116,"AAAAAH6/d0c=")</f>
        <v>#VALUE!</v>
      </c>
      <c r="BU64" t="e">
        <f>AND(Financial!K116,"AAAAAH6/d0g=")</f>
        <v>#VALUE!</v>
      </c>
      <c r="BV64" t="e">
        <f>AND(Financial!L116,"AAAAAH6/d0k=")</f>
        <v>#VALUE!</v>
      </c>
      <c r="BW64" t="e">
        <f>AND(Financial!M116,"AAAAAH6/d0o=")</f>
        <v>#VALUE!</v>
      </c>
      <c r="BX64">
        <f>IF(Financial!117:117,"AAAAAH6/d0s=",0)</f>
        <v>0</v>
      </c>
      <c r="BY64" t="e">
        <f>AND(Financial!#REF!,"AAAAAH6/d0w=")</f>
        <v>#REF!</v>
      </c>
      <c r="BZ64" t="e">
        <f>AND(Financial!A117,"AAAAAH6/d00=")</f>
        <v>#VALUE!</v>
      </c>
      <c r="CA64" t="e">
        <f>AND(Financial!B117,"AAAAAH6/d04=")</f>
        <v>#VALUE!</v>
      </c>
      <c r="CB64" t="e">
        <f>AND(Financial!C117,"AAAAAH6/d08=")</f>
        <v>#VALUE!</v>
      </c>
      <c r="CC64" t="e">
        <f>AND(Financial!D117,"AAAAAH6/d1A=")</f>
        <v>#VALUE!</v>
      </c>
      <c r="CD64" t="e">
        <f>AND(Financial!E117,"AAAAAH6/d1E=")</f>
        <v>#VALUE!</v>
      </c>
      <c r="CE64" t="e">
        <f>AND(Financial!F117,"AAAAAH6/d1I=")</f>
        <v>#VALUE!</v>
      </c>
      <c r="CF64" t="e">
        <f>AND(Financial!G117,"AAAAAH6/d1M=")</f>
        <v>#VALUE!</v>
      </c>
      <c r="CG64" t="e">
        <f>AND(Financial!H117,"AAAAAH6/d1Q=")</f>
        <v>#VALUE!</v>
      </c>
      <c r="CH64" t="e">
        <f>AND(Financial!I117,"AAAAAH6/d1U=")</f>
        <v>#VALUE!</v>
      </c>
      <c r="CI64" t="e">
        <f>AND(Financial!J117,"AAAAAH6/d1Y=")</f>
        <v>#VALUE!</v>
      </c>
      <c r="CJ64" t="e">
        <f>AND(Financial!K117,"AAAAAH6/d1c=")</f>
        <v>#VALUE!</v>
      </c>
      <c r="CK64" t="e">
        <f>AND(Financial!L117,"AAAAAH6/d1g=")</f>
        <v>#VALUE!</v>
      </c>
      <c r="CL64" t="e">
        <f>AND(Financial!M117,"AAAAAH6/d1k=")</f>
        <v>#VALUE!</v>
      </c>
      <c r="CM64">
        <f>IF(Financial!118:118,"AAAAAH6/d1o=",0)</f>
        <v>0</v>
      </c>
      <c r="CN64" t="e">
        <f>AND(Financial!#REF!,"AAAAAH6/d1s=")</f>
        <v>#REF!</v>
      </c>
      <c r="CO64" t="e">
        <f>AND(Financial!A118,"AAAAAH6/d1w=")</f>
        <v>#VALUE!</v>
      </c>
      <c r="CP64" t="e">
        <f>AND(Financial!B118,"AAAAAH6/d10=")</f>
        <v>#VALUE!</v>
      </c>
      <c r="CQ64" t="e">
        <f>AND(Financial!C118,"AAAAAH6/d14=")</f>
        <v>#VALUE!</v>
      </c>
      <c r="CR64" t="e">
        <f>AND(Financial!D118,"AAAAAH6/d18=")</f>
        <v>#VALUE!</v>
      </c>
      <c r="CS64" t="e">
        <f>AND(Financial!E118,"AAAAAH6/d2A=")</f>
        <v>#VALUE!</v>
      </c>
      <c r="CT64" t="e">
        <f>AND(Financial!F118,"AAAAAH6/d2E=")</f>
        <v>#VALUE!</v>
      </c>
      <c r="CU64" t="e">
        <f>AND(Financial!G118,"AAAAAH6/d2I=")</f>
        <v>#VALUE!</v>
      </c>
      <c r="CV64" t="e">
        <f>AND(Financial!H118,"AAAAAH6/d2M=")</f>
        <v>#VALUE!</v>
      </c>
      <c r="CW64" t="e">
        <f>AND(Financial!I118,"AAAAAH6/d2Q=")</f>
        <v>#VALUE!</v>
      </c>
      <c r="CX64" t="e">
        <f>AND(Financial!J118,"AAAAAH6/d2U=")</f>
        <v>#VALUE!</v>
      </c>
      <c r="CY64" t="e">
        <f>AND(Financial!K118,"AAAAAH6/d2Y=")</f>
        <v>#VALUE!</v>
      </c>
      <c r="CZ64" t="e">
        <f>AND(Financial!L118,"AAAAAH6/d2c=")</f>
        <v>#VALUE!</v>
      </c>
      <c r="DA64" t="e">
        <f>AND(Financial!M118,"AAAAAH6/d2g=")</f>
        <v>#VALUE!</v>
      </c>
      <c r="DB64">
        <f>IF(Financial!119:119,"AAAAAH6/d2k=",0)</f>
        <v>0</v>
      </c>
      <c r="DC64" t="e">
        <f>AND(Financial!#REF!,"AAAAAH6/d2o=")</f>
        <v>#REF!</v>
      </c>
      <c r="DD64" t="e">
        <f>AND(Financial!A119,"AAAAAH6/d2s=")</f>
        <v>#VALUE!</v>
      </c>
      <c r="DE64" t="e">
        <f>AND(Financial!B119,"AAAAAH6/d2w=")</f>
        <v>#VALUE!</v>
      </c>
      <c r="DF64" t="e">
        <f>AND(Financial!C119,"AAAAAH6/d20=")</f>
        <v>#VALUE!</v>
      </c>
      <c r="DG64" t="e">
        <f>AND(Financial!D119,"AAAAAH6/d24=")</f>
        <v>#VALUE!</v>
      </c>
      <c r="DH64" t="e">
        <f>AND(Financial!E119,"AAAAAH6/d28=")</f>
        <v>#VALUE!</v>
      </c>
      <c r="DI64" t="e">
        <f>AND(Financial!F119,"AAAAAH6/d3A=")</f>
        <v>#VALUE!</v>
      </c>
      <c r="DJ64" t="e">
        <f>AND(Financial!G119,"AAAAAH6/d3E=")</f>
        <v>#VALUE!</v>
      </c>
      <c r="DK64" t="e">
        <f>AND(Financial!H119,"AAAAAH6/d3I=")</f>
        <v>#VALUE!</v>
      </c>
      <c r="DL64" t="e">
        <f>AND(Financial!I119,"AAAAAH6/d3M=")</f>
        <v>#VALUE!</v>
      </c>
      <c r="DM64" t="e">
        <f>AND(Financial!J119,"AAAAAH6/d3Q=")</f>
        <v>#VALUE!</v>
      </c>
      <c r="DN64" t="e">
        <f>AND(Financial!K119,"AAAAAH6/d3U=")</f>
        <v>#VALUE!</v>
      </c>
      <c r="DO64" t="e">
        <f>AND(Financial!L119,"AAAAAH6/d3Y=")</f>
        <v>#VALUE!</v>
      </c>
      <c r="DP64" t="e">
        <f>AND(Financial!M119,"AAAAAH6/d3c=")</f>
        <v>#VALUE!</v>
      </c>
      <c r="DQ64">
        <f>IF(Financial!120:120,"AAAAAH6/d3g=",0)</f>
        <v>0</v>
      </c>
      <c r="DR64" t="e">
        <f>AND(Financial!#REF!,"AAAAAH6/d3k=")</f>
        <v>#REF!</v>
      </c>
      <c r="DS64" t="e">
        <f>AND(Financial!A120,"AAAAAH6/d3o=")</f>
        <v>#VALUE!</v>
      </c>
      <c r="DT64" t="e">
        <f>AND(Financial!B120,"AAAAAH6/d3s=")</f>
        <v>#VALUE!</v>
      </c>
      <c r="DU64" t="e">
        <f>AND(Financial!C120,"AAAAAH6/d3w=")</f>
        <v>#VALUE!</v>
      </c>
      <c r="DV64" t="e">
        <f>AND(Financial!D120,"AAAAAH6/d30=")</f>
        <v>#VALUE!</v>
      </c>
      <c r="DW64" t="e">
        <f>AND(Financial!E120,"AAAAAH6/d34=")</f>
        <v>#VALUE!</v>
      </c>
      <c r="DX64" t="e">
        <f>AND(Financial!F120,"AAAAAH6/d38=")</f>
        <v>#VALUE!</v>
      </c>
      <c r="DY64" t="e">
        <f>AND(Financial!G120,"AAAAAH6/d4A=")</f>
        <v>#VALUE!</v>
      </c>
      <c r="DZ64" t="e">
        <f>AND(Financial!H120,"AAAAAH6/d4E=")</f>
        <v>#VALUE!</v>
      </c>
      <c r="EA64" t="e">
        <f>AND(Financial!I120,"AAAAAH6/d4I=")</f>
        <v>#VALUE!</v>
      </c>
      <c r="EB64" t="e">
        <f>AND(Financial!J120,"AAAAAH6/d4M=")</f>
        <v>#VALUE!</v>
      </c>
      <c r="EC64" t="e">
        <f>AND(Financial!K120,"AAAAAH6/d4Q=")</f>
        <v>#VALUE!</v>
      </c>
      <c r="ED64" t="e">
        <f>AND(Financial!L120,"AAAAAH6/d4U=")</f>
        <v>#VALUE!</v>
      </c>
      <c r="EE64" t="e">
        <f>AND(Financial!M120,"AAAAAH6/d4Y=")</f>
        <v>#VALUE!</v>
      </c>
      <c r="EF64">
        <f>IF(Financial!121:121,"AAAAAH6/d4c=",0)</f>
        <v>0</v>
      </c>
      <c r="EG64" t="e">
        <f>AND(Financial!#REF!,"AAAAAH6/d4g=")</f>
        <v>#REF!</v>
      </c>
      <c r="EH64" t="e">
        <f>AND(Financial!A121,"AAAAAH6/d4k=")</f>
        <v>#VALUE!</v>
      </c>
      <c r="EI64" t="e">
        <f>AND(Financial!B121,"AAAAAH6/d4o=")</f>
        <v>#VALUE!</v>
      </c>
      <c r="EJ64" t="e">
        <f>AND(Financial!C121,"AAAAAH6/d4s=")</f>
        <v>#VALUE!</v>
      </c>
      <c r="EK64" t="e">
        <f>AND(Financial!D121,"AAAAAH6/d4w=")</f>
        <v>#VALUE!</v>
      </c>
      <c r="EL64" t="e">
        <f>AND(Financial!E121,"AAAAAH6/d40=")</f>
        <v>#VALUE!</v>
      </c>
      <c r="EM64" t="e">
        <f>AND(Financial!F121,"AAAAAH6/d44=")</f>
        <v>#VALUE!</v>
      </c>
      <c r="EN64" t="e">
        <f>AND(Financial!G121,"AAAAAH6/d48=")</f>
        <v>#VALUE!</v>
      </c>
      <c r="EO64" t="e">
        <f>AND(Financial!H121,"AAAAAH6/d5A=")</f>
        <v>#VALUE!</v>
      </c>
      <c r="EP64" t="e">
        <f>AND(Financial!I121,"AAAAAH6/d5E=")</f>
        <v>#VALUE!</v>
      </c>
      <c r="EQ64" t="e">
        <f>AND(Financial!J121,"AAAAAH6/d5I=")</f>
        <v>#VALUE!</v>
      </c>
      <c r="ER64" t="e">
        <f>AND(Financial!K121,"AAAAAH6/d5M=")</f>
        <v>#VALUE!</v>
      </c>
      <c r="ES64" t="e">
        <f>AND(Financial!L121,"AAAAAH6/d5Q=")</f>
        <v>#VALUE!</v>
      </c>
      <c r="ET64" t="e">
        <f>AND(Financial!M121,"AAAAAH6/d5U=")</f>
        <v>#VALUE!</v>
      </c>
      <c r="EU64" t="e">
        <f>IF(Financial!#REF!,"AAAAAH6/d5Y=",0)</f>
        <v>#REF!</v>
      </c>
      <c r="EV64" t="e">
        <f>AND(Financial!#REF!,"AAAAAH6/d5c=")</f>
        <v>#REF!</v>
      </c>
      <c r="EW64" t="e">
        <f>AND(Financial!#REF!,"AAAAAH6/d5g=")</f>
        <v>#REF!</v>
      </c>
      <c r="EX64" t="e">
        <f>AND(Financial!#REF!,"AAAAAH6/d5k=")</f>
        <v>#REF!</v>
      </c>
      <c r="EY64" t="e">
        <f>AND(Financial!#REF!,"AAAAAH6/d5o=")</f>
        <v>#REF!</v>
      </c>
      <c r="EZ64" t="e">
        <f>AND(Financial!#REF!,"AAAAAH6/d5s=")</f>
        <v>#REF!</v>
      </c>
      <c r="FA64" t="e">
        <f>AND(Financial!#REF!,"AAAAAH6/d5w=")</f>
        <v>#REF!</v>
      </c>
      <c r="FB64" t="e">
        <f>AND(Financial!#REF!,"AAAAAH6/d50=")</f>
        <v>#REF!</v>
      </c>
      <c r="FC64" t="e">
        <f>AND(Financial!#REF!,"AAAAAH6/d54=")</f>
        <v>#REF!</v>
      </c>
      <c r="FD64" t="e">
        <f>AND(Financial!#REF!,"AAAAAH6/d58=")</f>
        <v>#REF!</v>
      </c>
      <c r="FE64" t="e">
        <f>AND(Financial!#REF!,"AAAAAH6/d6A=")</f>
        <v>#REF!</v>
      </c>
      <c r="FF64" t="e">
        <f>AND(Financial!#REF!,"AAAAAH6/d6E=")</f>
        <v>#REF!</v>
      </c>
      <c r="FG64" t="e">
        <f>AND(Financial!#REF!,"AAAAAH6/d6I=")</f>
        <v>#REF!</v>
      </c>
      <c r="FH64" t="e">
        <f>AND(Financial!#REF!,"AAAAAH6/d6M=")</f>
        <v>#REF!</v>
      </c>
      <c r="FI64" t="e">
        <f>AND(Financial!#REF!,"AAAAAH6/d6Q=")</f>
        <v>#REF!</v>
      </c>
      <c r="FJ64" t="e">
        <f>IF(Financial!#REF!,"AAAAAH6/d6U=",0)</f>
        <v>#REF!</v>
      </c>
      <c r="FK64" t="e">
        <f>AND(Financial!#REF!,"AAAAAH6/d6Y=")</f>
        <v>#REF!</v>
      </c>
      <c r="FL64" t="e">
        <f>AND(Financial!#REF!,"AAAAAH6/d6c=")</f>
        <v>#REF!</v>
      </c>
      <c r="FM64" t="e">
        <f>AND(Financial!#REF!,"AAAAAH6/d6g=")</f>
        <v>#REF!</v>
      </c>
      <c r="FN64" t="e">
        <f>AND(Financial!#REF!,"AAAAAH6/d6k=")</f>
        <v>#REF!</v>
      </c>
      <c r="FO64" t="e">
        <f>AND(Financial!#REF!,"AAAAAH6/d6o=")</f>
        <v>#REF!</v>
      </c>
      <c r="FP64" t="e">
        <f>AND(Financial!#REF!,"AAAAAH6/d6s=")</f>
        <v>#REF!</v>
      </c>
      <c r="FQ64" t="e">
        <f>AND(Financial!#REF!,"AAAAAH6/d6w=")</f>
        <v>#REF!</v>
      </c>
      <c r="FR64" t="e">
        <f>AND(Financial!#REF!,"AAAAAH6/d60=")</f>
        <v>#REF!</v>
      </c>
      <c r="FS64" t="e">
        <f>AND(Financial!#REF!,"AAAAAH6/d64=")</f>
        <v>#REF!</v>
      </c>
      <c r="FT64" t="e">
        <f>AND(Financial!#REF!,"AAAAAH6/d68=")</f>
        <v>#REF!</v>
      </c>
      <c r="FU64" t="e">
        <f>AND(Financial!#REF!,"AAAAAH6/d7A=")</f>
        <v>#REF!</v>
      </c>
      <c r="FV64" t="e">
        <f>AND(Financial!#REF!,"AAAAAH6/d7E=")</f>
        <v>#REF!</v>
      </c>
      <c r="FW64" t="e">
        <f>AND(Financial!#REF!,"AAAAAH6/d7I=")</f>
        <v>#REF!</v>
      </c>
      <c r="FX64" t="e">
        <f>AND(Financial!#REF!,"AAAAAH6/d7M=")</f>
        <v>#REF!</v>
      </c>
      <c r="FY64" t="e">
        <f>IF(Financial!#REF!,"AAAAAH6/d7Q=",0)</f>
        <v>#REF!</v>
      </c>
      <c r="FZ64" t="e">
        <f>AND(Financial!#REF!,"AAAAAH6/d7U=")</f>
        <v>#REF!</v>
      </c>
      <c r="GA64" t="e">
        <f>AND(Financial!#REF!,"AAAAAH6/d7Y=")</f>
        <v>#REF!</v>
      </c>
      <c r="GB64" t="e">
        <f>AND(Financial!#REF!,"AAAAAH6/d7c=")</f>
        <v>#REF!</v>
      </c>
      <c r="GC64" t="e">
        <f>AND(Financial!#REF!,"AAAAAH6/d7g=")</f>
        <v>#REF!</v>
      </c>
      <c r="GD64" t="e">
        <f>AND(Financial!#REF!,"AAAAAH6/d7k=")</f>
        <v>#REF!</v>
      </c>
      <c r="GE64" t="e">
        <f>AND(Financial!#REF!,"AAAAAH6/d7o=")</f>
        <v>#REF!</v>
      </c>
      <c r="GF64" t="e">
        <f>AND(Financial!#REF!,"AAAAAH6/d7s=")</f>
        <v>#REF!</v>
      </c>
      <c r="GG64" t="e">
        <f>AND(Financial!#REF!,"AAAAAH6/d7w=")</f>
        <v>#REF!</v>
      </c>
      <c r="GH64" t="e">
        <f>AND(Financial!#REF!,"AAAAAH6/d70=")</f>
        <v>#REF!</v>
      </c>
      <c r="GI64" t="e">
        <f>AND(Financial!#REF!,"AAAAAH6/d74=")</f>
        <v>#REF!</v>
      </c>
      <c r="GJ64" t="e">
        <f>AND(Financial!#REF!,"AAAAAH6/d78=")</f>
        <v>#REF!</v>
      </c>
      <c r="GK64" t="e">
        <f>AND(Financial!#REF!,"AAAAAH6/d8A=")</f>
        <v>#REF!</v>
      </c>
      <c r="GL64" t="e">
        <f>AND(Financial!#REF!,"AAAAAH6/d8E=")</f>
        <v>#REF!</v>
      </c>
      <c r="GM64" t="e">
        <f>AND(Financial!#REF!,"AAAAAH6/d8I=")</f>
        <v>#REF!</v>
      </c>
      <c r="GN64" t="e">
        <f>IF(Financial!#REF!,"AAAAAH6/d8M=",0)</f>
        <v>#REF!</v>
      </c>
      <c r="GO64" t="e">
        <f>AND(Financial!#REF!,"AAAAAH6/d8Q=")</f>
        <v>#REF!</v>
      </c>
      <c r="GP64" t="e">
        <f>AND(Financial!#REF!,"AAAAAH6/d8U=")</f>
        <v>#REF!</v>
      </c>
      <c r="GQ64" t="e">
        <f>AND(Financial!#REF!,"AAAAAH6/d8Y=")</f>
        <v>#REF!</v>
      </c>
      <c r="GR64" t="e">
        <f>AND(Financial!#REF!,"AAAAAH6/d8c=")</f>
        <v>#REF!</v>
      </c>
      <c r="GS64" t="e">
        <f>AND(Financial!#REF!,"AAAAAH6/d8g=")</f>
        <v>#REF!</v>
      </c>
      <c r="GT64" t="e">
        <f>AND(Financial!#REF!,"AAAAAH6/d8k=")</f>
        <v>#REF!</v>
      </c>
      <c r="GU64" t="e">
        <f>AND(Financial!#REF!,"AAAAAH6/d8o=")</f>
        <v>#REF!</v>
      </c>
      <c r="GV64" t="e">
        <f>AND(Financial!#REF!,"AAAAAH6/d8s=")</f>
        <v>#REF!</v>
      </c>
      <c r="GW64" t="e">
        <f>AND(Financial!#REF!,"AAAAAH6/d8w=")</f>
        <v>#REF!</v>
      </c>
      <c r="GX64" t="e">
        <f>AND(Financial!#REF!,"AAAAAH6/d80=")</f>
        <v>#REF!</v>
      </c>
      <c r="GY64" t="e">
        <f>AND(Financial!#REF!,"AAAAAH6/d84=")</f>
        <v>#REF!</v>
      </c>
      <c r="GZ64" t="e">
        <f>AND(Financial!#REF!,"AAAAAH6/d88=")</f>
        <v>#REF!</v>
      </c>
      <c r="HA64" t="e">
        <f>AND(Financial!#REF!,"AAAAAH6/d9A=")</f>
        <v>#REF!</v>
      </c>
      <c r="HB64" t="e">
        <f>AND(Financial!#REF!,"AAAAAH6/d9E=")</f>
        <v>#REF!</v>
      </c>
      <c r="HC64" t="e">
        <f>IF(Financial!#REF!,"AAAAAH6/d9I=",0)</f>
        <v>#REF!</v>
      </c>
      <c r="HD64" t="e">
        <f>AND(Financial!#REF!,"AAAAAH6/d9M=")</f>
        <v>#REF!</v>
      </c>
      <c r="HE64" t="e">
        <f>AND(Financial!#REF!,"AAAAAH6/d9Q=")</f>
        <v>#REF!</v>
      </c>
      <c r="HF64" t="e">
        <f>AND(Financial!#REF!,"AAAAAH6/d9U=")</f>
        <v>#REF!</v>
      </c>
      <c r="HG64" t="e">
        <f>AND(Financial!#REF!,"AAAAAH6/d9Y=")</f>
        <v>#REF!</v>
      </c>
      <c r="HH64" t="e">
        <f>AND(Financial!#REF!,"AAAAAH6/d9c=")</f>
        <v>#REF!</v>
      </c>
      <c r="HI64" t="e">
        <f>AND(Financial!#REF!,"AAAAAH6/d9g=")</f>
        <v>#REF!</v>
      </c>
      <c r="HJ64" t="e">
        <f>AND(Financial!#REF!,"AAAAAH6/d9k=")</f>
        <v>#REF!</v>
      </c>
      <c r="HK64" t="e">
        <f>AND(Financial!#REF!,"AAAAAH6/d9o=")</f>
        <v>#REF!</v>
      </c>
      <c r="HL64" t="e">
        <f>AND(Financial!#REF!,"AAAAAH6/d9s=")</f>
        <v>#REF!</v>
      </c>
      <c r="HM64" t="e">
        <f>AND(Financial!#REF!,"AAAAAH6/d9w=")</f>
        <v>#REF!</v>
      </c>
      <c r="HN64" t="e">
        <f>AND(Financial!#REF!,"AAAAAH6/d90=")</f>
        <v>#REF!</v>
      </c>
      <c r="HO64" t="e">
        <f>AND(Financial!#REF!,"AAAAAH6/d94=")</f>
        <v>#REF!</v>
      </c>
      <c r="HP64" t="e">
        <f>AND(Financial!#REF!,"AAAAAH6/d98=")</f>
        <v>#REF!</v>
      </c>
      <c r="HQ64" t="e">
        <f>AND(Financial!#REF!,"AAAAAH6/d+A=")</f>
        <v>#REF!</v>
      </c>
      <c r="HR64" t="e">
        <f>IF(Financial!#REF!,"AAAAAH6/d+E=",0)</f>
        <v>#REF!</v>
      </c>
      <c r="HS64" t="e">
        <f>AND(Financial!#REF!,"AAAAAH6/d+I=")</f>
        <v>#REF!</v>
      </c>
      <c r="HT64" t="e">
        <f>AND(Financial!#REF!,"AAAAAH6/d+M=")</f>
        <v>#REF!</v>
      </c>
      <c r="HU64" t="e">
        <f>AND(Financial!#REF!,"AAAAAH6/d+Q=")</f>
        <v>#REF!</v>
      </c>
      <c r="HV64" t="e">
        <f>AND(Financial!#REF!,"AAAAAH6/d+U=")</f>
        <v>#REF!</v>
      </c>
      <c r="HW64" t="e">
        <f>AND(Financial!#REF!,"AAAAAH6/d+Y=")</f>
        <v>#REF!</v>
      </c>
      <c r="HX64" t="e">
        <f>AND(Financial!#REF!,"AAAAAH6/d+c=")</f>
        <v>#REF!</v>
      </c>
      <c r="HY64" t="e">
        <f>AND(Financial!#REF!,"AAAAAH6/d+g=")</f>
        <v>#REF!</v>
      </c>
      <c r="HZ64" t="e">
        <f>AND(Financial!#REF!,"AAAAAH6/d+k=")</f>
        <v>#REF!</v>
      </c>
      <c r="IA64" t="e">
        <f>AND(Financial!#REF!,"AAAAAH6/d+o=")</f>
        <v>#REF!</v>
      </c>
      <c r="IB64" t="e">
        <f>AND(Financial!#REF!,"AAAAAH6/d+s=")</f>
        <v>#REF!</v>
      </c>
      <c r="IC64" t="e">
        <f>AND(Financial!#REF!,"AAAAAH6/d+w=")</f>
        <v>#REF!</v>
      </c>
      <c r="ID64" t="e">
        <f>AND(Financial!#REF!,"AAAAAH6/d+0=")</f>
        <v>#REF!</v>
      </c>
      <c r="IE64" t="e">
        <f>AND(Financial!#REF!,"AAAAAH6/d+4=")</f>
        <v>#REF!</v>
      </c>
      <c r="IF64" t="e">
        <f>AND(Financial!#REF!,"AAAAAH6/d+8=")</f>
        <v>#REF!</v>
      </c>
      <c r="IG64" t="e">
        <f>IF(Financial!#REF!,"AAAAAH6/d/A=",0)</f>
        <v>#REF!</v>
      </c>
      <c r="IH64" t="e">
        <f>AND(Financial!#REF!,"AAAAAH6/d/E=")</f>
        <v>#REF!</v>
      </c>
      <c r="II64" t="e">
        <f>AND(Financial!#REF!,"AAAAAH6/d/I=")</f>
        <v>#REF!</v>
      </c>
      <c r="IJ64" t="e">
        <f>AND(Financial!#REF!,"AAAAAH6/d/M=")</f>
        <v>#REF!</v>
      </c>
      <c r="IK64" t="e">
        <f>AND(Financial!#REF!,"AAAAAH6/d/Q=")</f>
        <v>#REF!</v>
      </c>
      <c r="IL64" t="e">
        <f>AND(Financial!#REF!,"AAAAAH6/d/U=")</f>
        <v>#REF!</v>
      </c>
      <c r="IM64" t="e">
        <f>AND(Financial!#REF!,"AAAAAH6/d/Y=")</f>
        <v>#REF!</v>
      </c>
      <c r="IN64" t="e">
        <f>AND(Financial!#REF!,"AAAAAH6/d/c=")</f>
        <v>#REF!</v>
      </c>
      <c r="IO64" t="e">
        <f>AND(Financial!#REF!,"AAAAAH6/d/g=")</f>
        <v>#REF!</v>
      </c>
      <c r="IP64" t="e">
        <f>AND(Financial!#REF!,"AAAAAH6/d/k=")</f>
        <v>#REF!</v>
      </c>
      <c r="IQ64" t="e">
        <f>AND(Financial!#REF!,"AAAAAH6/d/o=")</f>
        <v>#REF!</v>
      </c>
      <c r="IR64" t="e">
        <f>AND(Financial!#REF!,"AAAAAH6/d/s=")</f>
        <v>#REF!</v>
      </c>
      <c r="IS64" t="e">
        <f>AND(Financial!#REF!,"AAAAAH6/d/w=")</f>
        <v>#REF!</v>
      </c>
      <c r="IT64" t="e">
        <f>AND(Financial!#REF!,"AAAAAH6/d/0=")</f>
        <v>#REF!</v>
      </c>
      <c r="IU64" t="e">
        <f>AND(Financial!#REF!,"AAAAAH6/d/4=")</f>
        <v>#REF!</v>
      </c>
      <c r="IV64" t="e">
        <f>IF(Financial!#REF!,"AAAAAH6/d/8=",0)</f>
        <v>#REF!</v>
      </c>
    </row>
    <row r="65" spans="1:256" x14ac:dyDescent="0.2">
      <c r="A65" t="e">
        <f>AND(Financial!#REF!,"AAAAAHtzswA=")</f>
        <v>#REF!</v>
      </c>
      <c r="B65" t="e">
        <f>AND(Financial!#REF!,"AAAAAHtzswE=")</f>
        <v>#REF!</v>
      </c>
      <c r="C65" t="e">
        <f>AND(Financial!#REF!,"AAAAAHtzswI=")</f>
        <v>#REF!</v>
      </c>
      <c r="D65" t="e">
        <f>AND(Financial!#REF!,"AAAAAHtzswM=")</f>
        <v>#REF!</v>
      </c>
      <c r="E65" t="e">
        <f>AND(Financial!#REF!,"AAAAAHtzswQ=")</f>
        <v>#REF!</v>
      </c>
      <c r="F65" t="e">
        <f>AND(Financial!#REF!,"AAAAAHtzswU=")</f>
        <v>#REF!</v>
      </c>
      <c r="G65" t="e">
        <f>AND(Financial!#REF!,"AAAAAHtzswY=")</f>
        <v>#REF!</v>
      </c>
      <c r="H65" t="e">
        <f>AND(Financial!#REF!,"AAAAAHtzswc=")</f>
        <v>#REF!</v>
      </c>
      <c r="I65" t="e">
        <f>AND(Financial!#REF!,"AAAAAHtzswg=")</f>
        <v>#REF!</v>
      </c>
      <c r="J65" t="e">
        <f>AND(Financial!#REF!,"AAAAAHtzswk=")</f>
        <v>#REF!</v>
      </c>
      <c r="K65" t="e">
        <f>AND(Financial!#REF!,"AAAAAHtzswo=")</f>
        <v>#REF!</v>
      </c>
      <c r="L65" t="e">
        <f>AND(Financial!#REF!,"AAAAAHtzsws=")</f>
        <v>#REF!</v>
      </c>
      <c r="M65" t="e">
        <f>AND(Financial!#REF!,"AAAAAHtzsww=")</f>
        <v>#REF!</v>
      </c>
      <c r="N65" t="e">
        <f>AND(Financial!#REF!,"AAAAAHtzsw0=")</f>
        <v>#REF!</v>
      </c>
      <c r="O65" t="e">
        <f>IF(Financial!#REF!,"AAAAAHtzsw4=",0)</f>
        <v>#REF!</v>
      </c>
      <c r="P65" t="e">
        <f>AND(Financial!#REF!,"AAAAAHtzsw8=")</f>
        <v>#REF!</v>
      </c>
      <c r="Q65" t="e">
        <f>AND(Financial!#REF!,"AAAAAHtzsxA=")</f>
        <v>#REF!</v>
      </c>
      <c r="R65" t="e">
        <f>AND(Financial!#REF!,"AAAAAHtzsxE=")</f>
        <v>#REF!</v>
      </c>
      <c r="S65" t="e">
        <f>AND(Financial!#REF!,"AAAAAHtzsxI=")</f>
        <v>#REF!</v>
      </c>
      <c r="T65" t="e">
        <f>AND(Financial!#REF!,"AAAAAHtzsxM=")</f>
        <v>#REF!</v>
      </c>
      <c r="U65" t="e">
        <f>AND(Financial!#REF!,"AAAAAHtzsxQ=")</f>
        <v>#REF!</v>
      </c>
      <c r="V65" t="e">
        <f>AND(Financial!#REF!,"AAAAAHtzsxU=")</f>
        <v>#REF!</v>
      </c>
      <c r="W65" t="e">
        <f>AND(Financial!#REF!,"AAAAAHtzsxY=")</f>
        <v>#REF!</v>
      </c>
      <c r="X65" t="e">
        <f>AND(Financial!#REF!,"AAAAAHtzsxc=")</f>
        <v>#REF!</v>
      </c>
      <c r="Y65" t="e">
        <f>AND(Financial!#REF!,"AAAAAHtzsxg=")</f>
        <v>#REF!</v>
      </c>
      <c r="Z65" t="e">
        <f>AND(Financial!#REF!,"AAAAAHtzsxk=")</f>
        <v>#REF!</v>
      </c>
      <c r="AA65" t="e">
        <f>AND(Financial!#REF!,"AAAAAHtzsxo=")</f>
        <v>#REF!</v>
      </c>
      <c r="AB65" t="e">
        <f>AND(Financial!#REF!,"AAAAAHtzsxs=")</f>
        <v>#REF!</v>
      </c>
      <c r="AC65" t="e">
        <f>AND(Financial!#REF!,"AAAAAHtzsxw=")</f>
        <v>#REF!</v>
      </c>
      <c r="AD65" t="e">
        <f>IF(Financial!#REF!,"AAAAAHtzsx0=",0)</f>
        <v>#REF!</v>
      </c>
      <c r="AE65" t="e">
        <f>AND(Financial!#REF!,"AAAAAHtzsx4=")</f>
        <v>#REF!</v>
      </c>
      <c r="AF65" t="e">
        <f>AND(Financial!#REF!,"AAAAAHtzsx8=")</f>
        <v>#REF!</v>
      </c>
      <c r="AG65" t="e">
        <f>AND(Financial!#REF!,"AAAAAHtzsyA=")</f>
        <v>#REF!</v>
      </c>
      <c r="AH65" t="e">
        <f>AND(Financial!#REF!,"AAAAAHtzsyE=")</f>
        <v>#REF!</v>
      </c>
      <c r="AI65" t="e">
        <f>AND(Financial!#REF!,"AAAAAHtzsyI=")</f>
        <v>#REF!</v>
      </c>
      <c r="AJ65" t="e">
        <f>AND(Financial!#REF!,"AAAAAHtzsyM=")</f>
        <v>#REF!</v>
      </c>
      <c r="AK65" t="e">
        <f>AND(Financial!#REF!,"AAAAAHtzsyQ=")</f>
        <v>#REF!</v>
      </c>
      <c r="AL65" t="e">
        <f>AND(Financial!#REF!,"AAAAAHtzsyU=")</f>
        <v>#REF!</v>
      </c>
      <c r="AM65" t="e">
        <f>AND(Financial!#REF!,"AAAAAHtzsyY=")</f>
        <v>#REF!</v>
      </c>
      <c r="AN65" t="e">
        <f>AND(Financial!#REF!,"AAAAAHtzsyc=")</f>
        <v>#REF!</v>
      </c>
      <c r="AO65" t="e">
        <f>AND(Financial!#REF!,"AAAAAHtzsyg=")</f>
        <v>#REF!</v>
      </c>
      <c r="AP65" t="e">
        <f>AND(Financial!#REF!,"AAAAAHtzsyk=")</f>
        <v>#REF!</v>
      </c>
      <c r="AQ65" t="e">
        <f>AND(Financial!#REF!,"AAAAAHtzsyo=")</f>
        <v>#REF!</v>
      </c>
      <c r="AR65" t="e">
        <f>AND(Financial!#REF!,"AAAAAHtzsys=")</f>
        <v>#REF!</v>
      </c>
      <c r="AS65" t="e">
        <f>IF(Financial!#REF!,"AAAAAHtzsyw=",0)</f>
        <v>#REF!</v>
      </c>
      <c r="AT65" t="e">
        <f>AND(Financial!#REF!,"AAAAAHtzsy0=")</f>
        <v>#REF!</v>
      </c>
      <c r="AU65" t="e">
        <f>AND(Financial!#REF!,"AAAAAHtzsy4=")</f>
        <v>#REF!</v>
      </c>
      <c r="AV65" t="e">
        <f>AND(Financial!#REF!,"AAAAAHtzsy8=")</f>
        <v>#REF!</v>
      </c>
      <c r="AW65" t="e">
        <f>AND(Financial!#REF!,"AAAAAHtzszA=")</f>
        <v>#REF!</v>
      </c>
      <c r="AX65" t="e">
        <f>AND(Financial!#REF!,"AAAAAHtzszE=")</f>
        <v>#REF!</v>
      </c>
      <c r="AY65" t="e">
        <f>AND(Financial!#REF!,"AAAAAHtzszI=")</f>
        <v>#REF!</v>
      </c>
      <c r="AZ65" t="e">
        <f>AND(Financial!#REF!,"AAAAAHtzszM=")</f>
        <v>#REF!</v>
      </c>
      <c r="BA65" t="e">
        <f>AND(Financial!#REF!,"AAAAAHtzszQ=")</f>
        <v>#REF!</v>
      </c>
      <c r="BB65" t="e">
        <f>AND(Financial!#REF!,"AAAAAHtzszU=")</f>
        <v>#REF!</v>
      </c>
      <c r="BC65" t="e">
        <f>AND(Financial!#REF!,"AAAAAHtzszY=")</f>
        <v>#REF!</v>
      </c>
      <c r="BD65" t="e">
        <f>AND(Financial!#REF!,"AAAAAHtzszc=")</f>
        <v>#REF!</v>
      </c>
      <c r="BE65" t="e">
        <f>AND(Financial!#REF!,"AAAAAHtzszg=")</f>
        <v>#REF!</v>
      </c>
      <c r="BF65" t="e">
        <f>AND(Financial!#REF!,"AAAAAHtzszk=")</f>
        <v>#REF!</v>
      </c>
      <c r="BG65" t="e">
        <f>AND(Financial!#REF!,"AAAAAHtzszo=")</f>
        <v>#REF!</v>
      </c>
      <c r="BH65" t="e">
        <f>IF(Financial!#REF!,"AAAAAHtzszs=",0)</f>
        <v>#REF!</v>
      </c>
      <c r="BI65" t="e">
        <f>AND(Financial!#REF!,"AAAAAHtzszw=")</f>
        <v>#REF!</v>
      </c>
      <c r="BJ65" t="e">
        <f>AND(Financial!#REF!,"AAAAAHtzsz0=")</f>
        <v>#REF!</v>
      </c>
      <c r="BK65" t="e">
        <f>AND(Financial!#REF!,"AAAAAHtzsz4=")</f>
        <v>#REF!</v>
      </c>
      <c r="BL65" t="e">
        <f>AND(Financial!#REF!,"AAAAAHtzsz8=")</f>
        <v>#REF!</v>
      </c>
      <c r="BM65" t="e">
        <f>AND(Financial!#REF!,"AAAAAHtzs0A=")</f>
        <v>#REF!</v>
      </c>
      <c r="BN65" t="e">
        <f>AND(Financial!#REF!,"AAAAAHtzs0E=")</f>
        <v>#REF!</v>
      </c>
      <c r="BO65" t="e">
        <f>AND(Financial!#REF!,"AAAAAHtzs0I=")</f>
        <v>#REF!</v>
      </c>
      <c r="BP65" t="e">
        <f>AND(Financial!#REF!,"AAAAAHtzs0M=")</f>
        <v>#REF!</v>
      </c>
      <c r="BQ65" t="e">
        <f>AND(Financial!#REF!,"AAAAAHtzs0Q=")</f>
        <v>#REF!</v>
      </c>
      <c r="BR65" t="e">
        <f>AND(Financial!#REF!,"AAAAAHtzs0U=")</f>
        <v>#REF!</v>
      </c>
      <c r="BS65" t="e">
        <f>AND(Financial!#REF!,"AAAAAHtzs0Y=")</f>
        <v>#REF!</v>
      </c>
      <c r="BT65" t="e">
        <f>AND(Financial!#REF!,"AAAAAHtzs0c=")</f>
        <v>#REF!</v>
      </c>
      <c r="BU65" t="e">
        <f>AND(Financial!#REF!,"AAAAAHtzs0g=")</f>
        <v>#REF!</v>
      </c>
      <c r="BV65" t="e">
        <f>AND(Financial!#REF!,"AAAAAHtzs0k=")</f>
        <v>#REF!</v>
      </c>
      <c r="BW65" t="e">
        <f>IF(Financial!#REF!,"AAAAAHtzs0o=",0)</f>
        <v>#REF!</v>
      </c>
      <c r="BX65" t="e">
        <f>AND(Financial!#REF!,"AAAAAHtzs0s=")</f>
        <v>#REF!</v>
      </c>
      <c r="BY65" t="e">
        <f>AND(Financial!#REF!,"AAAAAHtzs0w=")</f>
        <v>#REF!</v>
      </c>
      <c r="BZ65" t="e">
        <f>AND(Financial!#REF!,"AAAAAHtzs00=")</f>
        <v>#REF!</v>
      </c>
      <c r="CA65" t="e">
        <f>AND(Financial!#REF!,"AAAAAHtzs04=")</f>
        <v>#REF!</v>
      </c>
      <c r="CB65" t="e">
        <f>AND(Financial!#REF!,"AAAAAHtzs08=")</f>
        <v>#REF!</v>
      </c>
      <c r="CC65" t="e">
        <f>AND(Financial!#REF!,"AAAAAHtzs1A=")</f>
        <v>#REF!</v>
      </c>
      <c r="CD65" t="e">
        <f>AND(Financial!#REF!,"AAAAAHtzs1E=")</f>
        <v>#REF!</v>
      </c>
      <c r="CE65" t="e">
        <f>AND(Financial!#REF!,"AAAAAHtzs1I=")</f>
        <v>#REF!</v>
      </c>
      <c r="CF65" t="e">
        <f>AND(Financial!#REF!,"AAAAAHtzs1M=")</f>
        <v>#REF!</v>
      </c>
      <c r="CG65" t="e">
        <f>AND(Financial!#REF!,"AAAAAHtzs1Q=")</f>
        <v>#REF!</v>
      </c>
      <c r="CH65" t="e">
        <f>AND(Financial!#REF!,"AAAAAHtzs1U=")</f>
        <v>#REF!</v>
      </c>
      <c r="CI65" t="e">
        <f>AND(Financial!#REF!,"AAAAAHtzs1Y=")</f>
        <v>#REF!</v>
      </c>
      <c r="CJ65" t="e">
        <f>AND(Financial!#REF!,"AAAAAHtzs1c=")</f>
        <v>#REF!</v>
      </c>
      <c r="CK65" t="e">
        <f>AND(Financial!#REF!,"AAAAAHtzs1g=")</f>
        <v>#REF!</v>
      </c>
      <c r="CL65" t="e">
        <f>IF(Financial!#REF!,"AAAAAHtzs1k=",0)</f>
        <v>#REF!</v>
      </c>
      <c r="CM65" t="e">
        <f>AND(Financial!#REF!,"AAAAAHtzs1o=")</f>
        <v>#REF!</v>
      </c>
      <c r="CN65" t="e">
        <f>AND(Financial!#REF!,"AAAAAHtzs1s=")</f>
        <v>#REF!</v>
      </c>
      <c r="CO65" t="e">
        <f>AND(Financial!#REF!,"AAAAAHtzs1w=")</f>
        <v>#REF!</v>
      </c>
      <c r="CP65" t="e">
        <f>AND(Financial!#REF!,"AAAAAHtzs10=")</f>
        <v>#REF!</v>
      </c>
      <c r="CQ65" t="e">
        <f>AND(Financial!#REF!,"AAAAAHtzs14=")</f>
        <v>#REF!</v>
      </c>
      <c r="CR65" t="e">
        <f>AND(Financial!#REF!,"AAAAAHtzs18=")</f>
        <v>#REF!</v>
      </c>
      <c r="CS65" t="e">
        <f>AND(Financial!#REF!,"AAAAAHtzs2A=")</f>
        <v>#REF!</v>
      </c>
      <c r="CT65" t="e">
        <f>AND(Financial!#REF!,"AAAAAHtzs2E=")</f>
        <v>#REF!</v>
      </c>
      <c r="CU65" t="e">
        <f>AND(Financial!#REF!,"AAAAAHtzs2I=")</f>
        <v>#REF!</v>
      </c>
      <c r="CV65" t="e">
        <f>AND(Financial!#REF!,"AAAAAHtzs2M=")</f>
        <v>#REF!</v>
      </c>
      <c r="CW65" t="e">
        <f>AND(Financial!#REF!,"AAAAAHtzs2Q=")</f>
        <v>#REF!</v>
      </c>
      <c r="CX65" t="e">
        <f>AND(Financial!#REF!,"AAAAAHtzs2U=")</f>
        <v>#REF!</v>
      </c>
      <c r="CY65" t="e">
        <f>AND(Financial!#REF!,"AAAAAHtzs2Y=")</f>
        <v>#REF!</v>
      </c>
      <c r="CZ65" t="e">
        <f>AND(Financial!#REF!,"AAAAAHtzs2c=")</f>
        <v>#REF!</v>
      </c>
      <c r="DA65" t="e">
        <f>IF(Financial!#REF!,"AAAAAHtzs2g=",0)</f>
        <v>#REF!</v>
      </c>
      <c r="DB65" t="e">
        <f>AND(Financial!#REF!,"AAAAAHtzs2k=")</f>
        <v>#REF!</v>
      </c>
      <c r="DC65" t="e">
        <f>AND(Financial!#REF!,"AAAAAHtzs2o=")</f>
        <v>#REF!</v>
      </c>
      <c r="DD65" t="e">
        <f>AND(Financial!#REF!,"AAAAAHtzs2s=")</f>
        <v>#REF!</v>
      </c>
      <c r="DE65" t="e">
        <f>AND(Financial!#REF!,"AAAAAHtzs2w=")</f>
        <v>#REF!</v>
      </c>
      <c r="DF65" t="e">
        <f>AND(Financial!#REF!,"AAAAAHtzs20=")</f>
        <v>#REF!</v>
      </c>
      <c r="DG65" t="e">
        <f>AND(Financial!#REF!,"AAAAAHtzs24=")</f>
        <v>#REF!</v>
      </c>
      <c r="DH65" t="e">
        <f>AND(Financial!#REF!,"AAAAAHtzs28=")</f>
        <v>#REF!</v>
      </c>
      <c r="DI65" t="e">
        <f>AND(Financial!#REF!,"AAAAAHtzs3A=")</f>
        <v>#REF!</v>
      </c>
      <c r="DJ65" t="e">
        <f>AND(Financial!#REF!,"AAAAAHtzs3E=")</f>
        <v>#REF!</v>
      </c>
      <c r="DK65" t="e">
        <f>AND(Financial!#REF!,"AAAAAHtzs3I=")</f>
        <v>#REF!</v>
      </c>
      <c r="DL65" t="e">
        <f>AND(Financial!#REF!,"AAAAAHtzs3M=")</f>
        <v>#REF!</v>
      </c>
      <c r="DM65" t="e">
        <f>AND(Financial!#REF!,"AAAAAHtzs3Q=")</f>
        <v>#REF!</v>
      </c>
      <c r="DN65" t="e">
        <f>AND(Financial!#REF!,"AAAAAHtzs3U=")</f>
        <v>#REF!</v>
      </c>
      <c r="DO65" t="e">
        <f>AND(Financial!#REF!,"AAAAAHtzs3Y=")</f>
        <v>#REF!</v>
      </c>
      <c r="DP65" t="e">
        <f>IF(Financial!#REF!,"AAAAAHtzs3c=",0)</f>
        <v>#REF!</v>
      </c>
      <c r="DQ65" t="e">
        <f>AND(Financial!#REF!,"AAAAAHtzs3g=")</f>
        <v>#REF!</v>
      </c>
      <c r="DR65" t="e">
        <f>AND(Financial!#REF!,"AAAAAHtzs3k=")</f>
        <v>#REF!</v>
      </c>
      <c r="DS65" t="e">
        <f>AND(Financial!#REF!,"AAAAAHtzs3o=")</f>
        <v>#REF!</v>
      </c>
      <c r="DT65" t="e">
        <f>AND(Financial!#REF!,"AAAAAHtzs3s=")</f>
        <v>#REF!</v>
      </c>
      <c r="DU65" t="e">
        <f>AND(Financial!#REF!,"AAAAAHtzs3w=")</f>
        <v>#REF!</v>
      </c>
      <c r="DV65" t="e">
        <f>AND(Financial!#REF!,"AAAAAHtzs30=")</f>
        <v>#REF!</v>
      </c>
      <c r="DW65" t="e">
        <f>AND(Financial!#REF!,"AAAAAHtzs34=")</f>
        <v>#REF!</v>
      </c>
      <c r="DX65" t="e">
        <f>AND(Financial!#REF!,"AAAAAHtzs38=")</f>
        <v>#REF!</v>
      </c>
      <c r="DY65" t="e">
        <f>AND(Financial!#REF!,"AAAAAHtzs4A=")</f>
        <v>#REF!</v>
      </c>
      <c r="DZ65" t="e">
        <f>AND(Financial!#REF!,"AAAAAHtzs4E=")</f>
        <v>#REF!</v>
      </c>
      <c r="EA65" t="e">
        <f>AND(Financial!#REF!,"AAAAAHtzs4I=")</f>
        <v>#REF!</v>
      </c>
      <c r="EB65" t="e">
        <f>AND(Financial!#REF!,"AAAAAHtzs4M=")</f>
        <v>#REF!</v>
      </c>
      <c r="EC65" t="e">
        <f>AND(Financial!#REF!,"AAAAAHtzs4Q=")</f>
        <v>#REF!</v>
      </c>
      <c r="ED65" t="e">
        <f>AND(Financial!#REF!,"AAAAAHtzs4U=")</f>
        <v>#REF!</v>
      </c>
      <c r="EE65" t="e">
        <f>IF(Financial!#REF!,"AAAAAHtzs4Y=",0)</f>
        <v>#REF!</v>
      </c>
      <c r="EF65" t="e">
        <f>AND(Financial!#REF!,"AAAAAHtzs4c=")</f>
        <v>#REF!</v>
      </c>
      <c r="EG65" t="e">
        <f>AND(Financial!#REF!,"AAAAAHtzs4g=")</f>
        <v>#REF!</v>
      </c>
      <c r="EH65" t="e">
        <f>AND(Financial!#REF!,"AAAAAHtzs4k=")</f>
        <v>#REF!</v>
      </c>
      <c r="EI65" t="e">
        <f>AND(Financial!#REF!,"AAAAAHtzs4o=")</f>
        <v>#REF!</v>
      </c>
      <c r="EJ65" t="e">
        <f>AND(Financial!#REF!,"AAAAAHtzs4s=")</f>
        <v>#REF!</v>
      </c>
      <c r="EK65" t="e">
        <f>AND(Financial!#REF!,"AAAAAHtzs4w=")</f>
        <v>#REF!</v>
      </c>
      <c r="EL65" t="e">
        <f>AND(Financial!#REF!,"AAAAAHtzs40=")</f>
        <v>#REF!</v>
      </c>
      <c r="EM65" t="e">
        <f>AND(Financial!#REF!,"AAAAAHtzs44=")</f>
        <v>#REF!</v>
      </c>
      <c r="EN65" t="e">
        <f>AND(Financial!#REF!,"AAAAAHtzs48=")</f>
        <v>#REF!</v>
      </c>
      <c r="EO65" t="e">
        <f>AND(Financial!#REF!,"AAAAAHtzs5A=")</f>
        <v>#REF!</v>
      </c>
      <c r="EP65" t="e">
        <f>AND(Financial!#REF!,"AAAAAHtzs5E=")</f>
        <v>#REF!</v>
      </c>
      <c r="EQ65" t="e">
        <f>AND(Financial!#REF!,"AAAAAHtzs5I=")</f>
        <v>#REF!</v>
      </c>
      <c r="ER65" t="e">
        <f>AND(Financial!#REF!,"AAAAAHtzs5M=")</f>
        <v>#REF!</v>
      </c>
      <c r="ES65" t="e">
        <f>AND(Financial!#REF!,"AAAAAHtzs5Q=")</f>
        <v>#REF!</v>
      </c>
      <c r="ET65" t="e">
        <f>IF(Financial!#REF!,"AAAAAHtzs5U=",0)</f>
        <v>#REF!</v>
      </c>
      <c r="EU65" t="e">
        <f>AND(Financial!#REF!,"AAAAAHtzs5Y=")</f>
        <v>#REF!</v>
      </c>
      <c r="EV65" t="e">
        <f>AND(Financial!#REF!,"AAAAAHtzs5c=")</f>
        <v>#REF!</v>
      </c>
      <c r="EW65" t="e">
        <f>AND(Financial!#REF!,"AAAAAHtzs5g=")</f>
        <v>#REF!</v>
      </c>
      <c r="EX65" t="e">
        <f>AND(Financial!#REF!,"AAAAAHtzs5k=")</f>
        <v>#REF!</v>
      </c>
      <c r="EY65" t="e">
        <f>AND(Financial!#REF!,"AAAAAHtzs5o=")</f>
        <v>#REF!</v>
      </c>
      <c r="EZ65" t="e">
        <f>AND(Financial!#REF!,"AAAAAHtzs5s=")</f>
        <v>#REF!</v>
      </c>
      <c r="FA65" t="e">
        <f>AND(Financial!#REF!,"AAAAAHtzs5w=")</f>
        <v>#REF!</v>
      </c>
      <c r="FB65" t="e">
        <f>AND(Financial!#REF!,"AAAAAHtzs50=")</f>
        <v>#REF!</v>
      </c>
      <c r="FC65" t="e">
        <f>AND(Financial!#REF!,"AAAAAHtzs54=")</f>
        <v>#REF!</v>
      </c>
      <c r="FD65" t="e">
        <f>AND(Financial!#REF!,"AAAAAHtzs58=")</f>
        <v>#REF!</v>
      </c>
      <c r="FE65" t="e">
        <f>AND(Financial!#REF!,"AAAAAHtzs6A=")</f>
        <v>#REF!</v>
      </c>
      <c r="FF65" t="e">
        <f>AND(Financial!#REF!,"AAAAAHtzs6E=")</f>
        <v>#REF!</v>
      </c>
      <c r="FG65" t="e">
        <f>AND(Financial!#REF!,"AAAAAHtzs6I=")</f>
        <v>#REF!</v>
      </c>
      <c r="FH65" t="e">
        <f>AND(Financial!#REF!,"AAAAAHtzs6M=")</f>
        <v>#REF!</v>
      </c>
      <c r="FI65" t="e">
        <f>IF(Financial!#REF!,"AAAAAHtzs6Q=",0)</f>
        <v>#REF!</v>
      </c>
      <c r="FJ65" t="e">
        <f>AND(Financial!#REF!,"AAAAAHtzs6U=")</f>
        <v>#REF!</v>
      </c>
      <c r="FK65" t="e">
        <f>AND(Financial!#REF!,"AAAAAHtzs6Y=")</f>
        <v>#REF!</v>
      </c>
      <c r="FL65" t="e">
        <f>AND(Financial!#REF!,"AAAAAHtzs6c=")</f>
        <v>#REF!</v>
      </c>
      <c r="FM65" t="e">
        <f>AND(Financial!#REF!,"AAAAAHtzs6g=")</f>
        <v>#REF!</v>
      </c>
      <c r="FN65" t="e">
        <f>AND(Financial!#REF!,"AAAAAHtzs6k=")</f>
        <v>#REF!</v>
      </c>
      <c r="FO65" t="e">
        <f>AND(Financial!#REF!,"AAAAAHtzs6o=")</f>
        <v>#REF!</v>
      </c>
      <c r="FP65" t="e">
        <f>AND(Financial!#REF!,"AAAAAHtzs6s=")</f>
        <v>#REF!</v>
      </c>
      <c r="FQ65" t="e">
        <f>AND(Financial!#REF!,"AAAAAHtzs6w=")</f>
        <v>#REF!</v>
      </c>
      <c r="FR65" t="e">
        <f>AND(Financial!#REF!,"AAAAAHtzs60=")</f>
        <v>#REF!</v>
      </c>
      <c r="FS65" t="e">
        <f>AND(Financial!#REF!,"AAAAAHtzs64=")</f>
        <v>#REF!</v>
      </c>
      <c r="FT65" t="e">
        <f>AND(Financial!#REF!,"AAAAAHtzs68=")</f>
        <v>#REF!</v>
      </c>
      <c r="FU65" t="e">
        <f>AND(Financial!#REF!,"AAAAAHtzs7A=")</f>
        <v>#REF!</v>
      </c>
      <c r="FV65" t="e">
        <f>AND(Financial!#REF!,"AAAAAHtzs7E=")</f>
        <v>#REF!</v>
      </c>
      <c r="FW65" t="e">
        <f>AND(Financial!#REF!,"AAAAAHtzs7I=")</f>
        <v>#REF!</v>
      </c>
      <c r="FX65">
        <f>IF(Financial!124:124,"AAAAAHtzs7M=",0)</f>
        <v>0</v>
      </c>
      <c r="FY65" t="e">
        <f>AND(Financial!A124,"AAAAAHtzs7Q=")</f>
        <v>#VALUE!</v>
      </c>
      <c r="FZ65" t="e">
        <f>AND(Financial!#REF!,"AAAAAHtzs7U=")</f>
        <v>#REF!</v>
      </c>
      <c r="GA65" t="e">
        <f>AND(Financial!B124,"AAAAAHtzs7Y=")</f>
        <v>#VALUE!</v>
      </c>
      <c r="GB65" t="e">
        <f>AND(Financial!C124,"AAAAAHtzs7c=")</f>
        <v>#VALUE!</v>
      </c>
      <c r="GC65" t="e">
        <f>AND(Financial!D124,"AAAAAHtzs7g=")</f>
        <v>#VALUE!</v>
      </c>
      <c r="GD65" t="e">
        <f>AND(Financial!E124,"AAAAAHtzs7k=")</f>
        <v>#VALUE!</v>
      </c>
      <c r="GE65" t="e">
        <f>AND(Financial!F124,"AAAAAHtzs7o=")</f>
        <v>#VALUE!</v>
      </c>
      <c r="GF65" t="e">
        <f>AND(Financial!G124,"AAAAAHtzs7s=")</f>
        <v>#VALUE!</v>
      </c>
      <c r="GG65" t="e">
        <f>AND(Financial!H124,"AAAAAHtzs7w=")</f>
        <v>#VALUE!</v>
      </c>
      <c r="GH65" t="e">
        <f>AND(Financial!I124,"AAAAAHtzs70=")</f>
        <v>#VALUE!</v>
      </c>
      <c r="GI65" t="e">
        <f>AND(Financial!J124,"AAAAAHtzs74=")</f>
        <v>#VALUE!</v>
      </c>
      <c r="GJ65" t="e">
        <f>AND(Financial!K124,"AAAAAHtzs78=")</f>
        <v>#VALUE!</v>
      </c>
      <c r="GK65" t="e">
        <f>AND(Financial!L124,"AAAAAHtzs8A=")</f>
        <v>#VALUE!</v>
      </c>
      <c r="GL65" t="e">
        <f>AND(Financial!M124,"AAAAAHtzs8E=")</f>
        <v>#VALUE!</v>
      </c>
      <c r="GM65">
        <f>IF(Financial!125:125,"AAAAAHtzs8I=",0)</f>
        <v>0</v>
      </c>
      <c r="GN65" t="e">
        <f>AND(Financial!#REF!,"AAAAAHtzs8M=")</f>
        <v>#REF!</v>
      </c>
      <c r="GO65" t="e">
        <f>AND(Financial!A125,"AAAAAHtzs8Q=")</f>
        <v>#VALUE!</v>
      </c>
      <c r="GP65" t="e">
        <f>AND(Financial!B125,"AAAAAHtzs8U=")</f>
        <v>#VALUE!</v>
      </c>
      <c r="GQ65" t="e">
        <f>AND(Financial!C125,"AAAAAHtzs8Y=")</f>
        <v>#VALUE!</v>
      </c>
      <c r="GR65" t="e">
        <f>AND(Financial!D125,"AAAAAHtzs8c=")</f>
        <v>#VALUE!</v>
      </c>
      <c r="GS65" t="e">
        <f>AND(Financial!E125,"AAAAAHtzs8g=")</f>
        <v>#VALUE!</v>
      </c>
      <c r="GT65" t="e">
        <f>AND(Financial!F125,"AAAAAHtzs8k=")</f>
        <v>#VALUE!</v>
      </c>
      <c r="GU65" t="e">
        <f>AND(Financial!G125,"AAAAAHtzs8o=")</f>
        <v>#VALUE!</v>
      </c>
      <c r="GV65" t="e">
        <f>AND(Financial!H125,"AAAAAHtzs8s=")</f>
        <v>#VALUE!</v>
      </c>
      <c r="GW65" t="e">
        <f>AND(Financial!I125,"AAAAAHtzs8w=")</f>
        <v>#VALUE!</v>
      </c>
      <c r="GX65" t="e">
        <f>AND(Financial!J125,"AAAAAHtzs80=")</f>
        <v>#VALUE!</v>
      </c>
      <c r="GY65" t="e">
        <f>AND(Financial!K125,"AAAAAHtzs84=")</f>
        <v>#VALUE!</v>
      </c>
      <c r="GZ65" t="e">
        <f>AND(Financial!L125,"AAAAAHtzs88=")</f>
        <v>#VALUE!</v>
      </c>
      <c r="HA65" t="e">
        <f>AND(Financial!M125,"AAAAAHtzs9A=")</f>
        <v>#VALUE!</v>
      </c>
      <c r="HB65" t="e">
        <f>IF(Financial!#REF!,"AAAAAHtzs9E=",0)</f>
        <v>#REF!</v>
      </c>
      <c r="HC65" t="e">
        <f>AND(Financial!#REF!,"AAAAAHtzs9I=")</f>
        <v>#REF!</v>
      </c>
      <c r="HD65" t="e">
        <f>AND(Financial!#REF!,"AAAAAHtzs9M=")</f>
        <v>#REF!</v>
      </c>
      <c r="HE65" t="e">
        <f>AND(Financial!#REF!,"AAAAAHtzs9Q=")</f>
        <v>#REF!</v>
      </c>
      <c r="HF65" t="e">
        <f>AND(Financial!#REF!,"AAAAAHtzs9U=")</f>
        <v>#REF!</v>
      </c>
      <c r="HG65" t="e">
        <f>AND(Financial!#REF!,"AAAAAHtzs9Y=")</f>
        <v>#REF!</v>
      </c>
      <c r="HH65" t="e">
        <f>AND(Financial!#REF!,"AAAAAHtzs9c=")</f>
        <v>#REF!</v>
      </c>
      <c r="HI65" t="e">
        <f>AND(Financial!#REF!,"AAAAAHtzs9g=")</f>
        <v>#REF!</v>
      </c>
      <c r="HJ65" t="e">
        <f>AND(Financial!#REF!,"AAAAAHtzs9k=")</f>
        <v>#REF!</v>
      </c>
      <c r="HK65" t="e">
        <f>AND(Financial!#REF!,"AAAAAHtzs9o=")</f>
        <v>#REF!</v>
      </c>
      <c r="HL65" t="e">
        <f>AND(Financial!#REF!,"AAAAAHtzs9s=")</f>
        <v>#REF!</v>
      </c>
      <c r="HM65" t="e">
        <f>AND(Financial!#REF!,"AAAAAHtzs9w=")</f>
        <v>#REF!</v>
      </c>
      <c r="HN65" t="e">
        <f>AND(Financial!#REF!,"AAAAAHtzs90=")</f>
        <v>#REF!</v>
      </c>
      <c r="HO65" t="e">
        <f>AND(Financial!#REF!,"AAAAAHtzs94=")</f>
        <v>#REF!</v>
      </c>
      <c r="HP65" t="e">
        <f>AND(Financial!#REF!,"AAAAAHtzs98=")</f>
        <v>#REF!</v>
      </c>
      <c r="HQ65" t="e">
        <f>IF(Financial!#REF!,"AAAAAHtzs+A=",0)</f>
        <v>#REF!</v>
      </c>
      <c r="HR65" t="e">
        <f>AND(Financial!#REF!,"AAAAAHtzs+E=")</f>
        <v>#REF!</v>
      </c>
      <c r="HS65" t="e">
        <f>AND(Financial!#REF!,"AAAAAHtzs+I=")</f>
        <v>#REF!</v>
      </c>
      <c r="HT65" t="e">
        <f>AND(Financial!#REF!,"AAAAAHtzs+M=")</f>
        <v>#REF!</v>
      </c>
      <c r="HU65" t="e">
        <f>AND(Financial!#REF!,"AAAAAHtzs+Q=")</f>
        <v>#REF!</v>
      </c>
      <c r="HV65" t="e">
        <f>AND(Financial!#REF!,"AAAAAHtzs+U=")</f>
        <v>#REF!</v>
      </c>
      <c r="HW65" t="e">
        <f>AND(Financial!#REF!,"AAAAAHtzs+Y=")</f>
        <v>#REF!</v>
      </c>
      <c r="HX65" t="e">
        <f>AND(Financial!#REF!,"AAAAAHtzs+c=")</f>
        <v>#REF!</v>
      </c>
      <c r="HY65" t="e">
        <f>AND(Financial!#REF!,"AAAAAHtzs+g=")</f>
        <v>#REF!</v>
      </c>
      <c r="HZ65" t="e">
        <f>AND(Financial!#REF!,"AAAAAHtzs+k=")</f>
        <v>#REF!</v>
      </c>
      <c r="IA65" t="e">
        <f>AND(Financial!#REF!,"AAAAAHtzs+o=")</f>
        <v>#REF!</v>
      </c>
      <c r="IB65" t="e">
        <f>AND(Financial!#REF!,"AAAAAHtzs+s=")</f>
        <v>#REF!</v>
      </c>
      <c r="IC65" t="e">
        <f>AND(Financial!#REF!,"AAAAAHtzs+w=")</f>
        <v>#REF!</v>
      </c>
      <c r="ID65" t="e">
        <f>AND(Financial!#REF!,"AAAAAHtzs+0=")</f>
        <v>#REF!</v>
      </c>
      <c r="IE65" t="e">
        <f>AND(Financial!#REF!,"AAAAAHtzs+4=")</f>
        <v>#REF!</v>
      </c>
      <c r="IF65" t="e">
        <f>IF(Financial!#REF!,"AAAAAHtzs+8=",0)</f>
        <v>#REF!</v>
      </c>
      <c r="IG65" t="e">
        <f>AND(Financial!#REF!,"AAAAAHtzs/A=")</f>
        <v>#REF!</v>
      </c>
      <c r="IH65" t="e">
        <f>AND(Financial!#REF!,"AAAAAHtzs/E=")</f>
        <v>#REF!</v>
      </c>
      <c r="II65" t="e">
        <f>AND(Financial!#REF!,"AAAAAHtzs/I=")</f>
        <v>#REF!</v>
      </c>
      <c r="IJ65" t="e">
        <f>AND(Financial!#REF!,"AAAAAHtzs/M=")</f>
        <v>#REF!</v>
      </c>
      <c r="IK65" t="e">
        <f>AND(Financial!#REF!,"AAAAAHtzs/Q=")</f>
        <v>#REF!</v>
      </c>
      <c r="IL65" t="e">
        <f>AND(Financial!#REF!,"AAAAAHtzs/U=")</f>
        <v>#REF!</v>
      </c>
      <c r="IM65" t="e">
        <f>AND(Financial!#REF!,"AAAAAHtzs/Y=")</f>
        <v>#REF!</v>
      </c>
      <c r="IN65" t="e">
        <f>AND(Financial!#REF!,"AAAAAHtzs/c=")</f>
        <v>#REF!</v>
      </c>
      <c r="IO65" t="e">
        <f>AND(Financial!#REF!,"AAAAAHtzs/g=")</f>
        <v>#REF!</v>
      </c>
      <c r="IP65" t="e">
        <f>AND(Financial!#REF!,"AAAAAHtzs/k=")</f>
        <v>#REF!</v>
      </c>
      <c r="IQ65" t="e">
        <f>AND(Financial!#REF!,"AAAAAHtzs/o=")</f>
        <v>#REF!</v>
      </c>
      <c r="IR65" t="e">
        <f>AND(Financial!#REF!,"AAAAAHtzs/s=")</f>
        <v>#REF!</v>
      </c>
      <c r="IS65" t="e">
        <f>AND(Financial!#REF!,"AAAAAHtzs/w=")</f>
        <v>#REF!</v>
      </c>
      <c r="IT65" t="e">
        <f>AND(Financial!#REF!,"AAAAAHtzs/0=")</f>
        <v>#REF!</v>
      </c>
      <c r="IU65" t="e">
        <f>IF(Financial!#REF!,"AAAAAHtzs/4=",0)</f>
        <v>#REF!</v>
      </c>
      <c r="IV65" t="e">
        <f>AND(Financial!#REF!,"AAAAAHtzs/8=")</f>
        <v>#REF!</v>
      </c>
    </row>
    <row r="66" spans="1:256" x14ac:dyDescent="0.2">
      <c r="A66" t="e">
        <f>AND(Financial!#REF!,"AAAAAH/vrwA=")</f>
        <v>#REF!</v>
      </c>
      <c r="B66" t="e">
        <f>AND(Financial!#REF!,"AAAAAH/vrwE=")</f>
        <v>#REF!</v>
      </c>
      <c r="C66" t="e">
        <f>AND(Financial!#REF!,"AAAAAH/vrwI=")</f>
        <v>#REF!</v>
      </c>
      <c r="D66" t="e">
        <f>AND(Financial!#REF!,"AAAAAH/vrwM=")</f>
        <v>#REF!</v>
      </c>
      <c r="E66" t="e">
        <f>AND(Financial!#REF!,"AAAAAH/vrwQ=")</f>
        <v>#REF!</v>
      </c>
      <c r="F66" t="e">
        <f>AND(Financial!#REF!,"AAAAAH/vrwU=")</f>
        <v>#REF!</v>
      </c>
      <c r="G66" t="e">
        <f>AND(Financial!#REF!,"AAAAAH/vrwY=")</f>
        <v>#REF!</v>
      </c>
      <c r="H66" t="e">
        <f>AND(Financial!#REF!,"AAAAAH/vrwc=")</f>
        <v>#REF!</v>
      </c>
      <c r="I66" t="e">
        <f>AND(Financial!#REF!,"AAAAAH/vrwg=")</f>
        <v>#REF!</v>
      </c>
      <c r="J66" t="e">
        <f>AND(Financial!#REF!,"AAAAAH/vrwk=")</f>
        <v>#REF!</v>
      </c>
      <c r="K66" t="e">
        <f>AND(Financial!#REF!,"AAAAAH/vrwo=")</f>
        <v>#REF!</v>
      </c>
      <c r="L66" t="e">
        <f>AND(Financial!#REF!,"AAAAAH/vrws=")</f>
        <v>#REF!</v>
      </c>
      <c r="M66" t="e">
        <f>AND(Financial!#REF!,"AAAAAH/vrww=")</f>
        <v>#REF!</v>
      </c>
      <c r="N66" t="e">
        <f>IF(Financial!#REF!,"AAAAAH/vrw0=",0)</f>
        <v>#REF!</v>
      </c>
      <c r="O66" t="e">
        <f>AND(Financial!#REF!,"AAAAAH/vrw4=")</f>
        <v>#REF!</v>
      </c>
      <c r="P66" t="e">
        <f>AND(Financial!#REF!,"AAAAAH/vrw8=")</f>
        <v>#REF!</v>
      </c>
      <c r="Q66" t="e">
        <f>AND(Financial!#REF!,"AAAAAH/vrxA=")</f>
        <v>#REF!</v>
      </c>
      <c r="R66" t="e">
        <f>AND(Financial!#REF!,"AAAAAH/vrxE=")</f>
        <v>#REF!</v>
      </c>
      <c r="S66" t="e">
        <f>AND(Financial!#REF!,"AAAAAH/vrxI=")</f>
        <v>#REF!</v>
      </c>
      <c r="T66" t="e">
        <f>AND(Financial!#REF!,"AAAAAH/vrxM=")</f>
        <v>#REF!</v>
      </c>
      <c r="U66" t="e">
        <f>AND(Financial!#REF!,"AAAAAH/vrxQ=")</f>
        <v>#REF!</v>
      </c>
      <c r="V66" t="e">
        <f>AND(Financial!#REF!,"AAAAAH/vrxU=")</f>
        <v>#REF!</v>
      </c>
      <c r="W66" t="e">
        <f>AND(Financial!#REF!,"AAAAAH/vrxY=")</f>
        <v>#REF!</v>
      </c>
      <c r="X66" t="e">
        <f>AND(Financial!#REF!,"AAAAAH/vrxc=")</f>
        <v>#REF!</v>
      </c>
      <c r="Y66" t="e">
        <f>AND(Financial!#REF!,"AAAAAH/vrxg=")</f>
        <v>#REF!</v>
      </c>
      <c r="Z66" t="e">
        <f>AND(Financial!#REF!,"AAAAAH/vrxk=")</f>
        <v>#REF!</v>
      </c>
      <c r="AA66" t="e">
        <f>AND(Financial!#REF!,"AAAAAH/vrxo=")</f>
        <v>#REF!</v>
      </c>
      <c r="AB66" t="e">
        <f>AND(Financial!#REF!,"AAAAAH/vrxs=")</f>
        <v>#REF!</v>
      </c>
      <c r="AC66" t="e">
        <f>IF(Financial!#REF!,"AAAAAH/vrxw=",0)</f>
        <v>#REF!</v>
      </c>
      <c r="AD66" t="e">
        <f>AND(Financial!#REF!,"AAAAAH/vrx0=")</f>
        <v>#REF!</v>
      </c>
      <c r="AE66" t="e">
        <f>AND(Financial!#REF!,"AAAAAH/vrx4=")</f>
        <v>#REF!</v>
      </c>
      <c r="AF66" t="e">
        <f>AND(Financial!#REF!,"AAAAAH/vrx8=")</f>
        <v>#REF!</v>
      </c>
      <c r="AG66" t="e">
        <f>AND(Financial!#REF!,"AAAAAH/vryA=")</f>
        <v>#REF!</v>
      </c>
      <c r="AH66" t="e">
        <f>AND(Financial!#REF!,"AAAAAH/vryE=")</f>
        <v>#REF!</v>
      </c>
      <c r="AI66" t="e">
        <f>AND(Financial!#REF!,"AAAAAH/vryI=")</f>
        <v>#REF!</v>
      </c>
      <c r="AJ66" t="e">
        <f>AND(Financial!#REF!,"AAAAAH/vryM=")</f>
        <v>#REF!</v>
      </c>
      <c r="AK66" t="e">
        <f>AND(Financial!#REF!,"AAAAAH/vryQ=")</f>
        <v>#REF!</v>
      </c>
      <c r="AL66" t="e">
        <f>AND(Financial!#REF!,"AAAAAH/vryU=")</f>
        <v>#REF!</v>
      </c>
      <c r="AM66" t="e">
        <f>AND(Financial!#REF!,"AAAAAH/vryY=")</f>
        <v>#REF!</v>
      </c>
      <c r="AN66" t="e">
        <f>AND(Financial!#REF!,"AAAAAH/vryc=")</f>
        <v>#REF!</v>
      </c>
      <c r="AO66" t="e">
        <f>AND(Financial!#REF!,"AAAAAH/vryg=")</f>
        <v>#REF!</v>
      </c>
      <c r="AP66" t="e">
        <f>AND(Financial!#REF!,"AAAAAH/vryk=")</f>
        <v>#REF!</v>
      </c>
      <c r="AQ66" t="e">
        <f>AND(Financial!#REF!,"AAAAAH/vryo=")</f>
        <v>#REF!</v>
      </c>
      <c r="AR66" t="e">
        <f>IF(Financial!#REF!,"AAAAAH/vrys=",0)</f>
        <v>#REF!</v>
      </c>
      <c r="AS66" t="e">
        <f>AND(Financial!#REF!,"AAAAAH/vryw=")</f>
        <v>#REF!</v>
      </c>
      <c r="AT66" t="e">
        <f>AND(Financial!#REF!,"AAAAAH/vry0=")</f>
        <v>#REF!</v>
      </c>
      <c r="AU66" t="e">
        <f>AND(Financial!#REF!,"AAAAAH/vry4=")</f>
        <v>#REF!</v>
      </c>
      <c r="AV66" t="e">
        <f>AND(Financial!#REF!,"AAAAAH/vry8=")</f>
        <v>#REF!</v>
      </c>
      <c r="AW66" t="e">
        <f>AND(Financial!#REF!,"AAAAAH/vrzA=")</f>
        <v>#REF!</v>
      </c>
      <c r="AX66" t="e">
        <f>AND(Financial!#REF!,"AAAAAH/vrzE=")</f>
        <v>#REF!</v>
      </c>
      <c r="AY66" t="e">
        <f>AND(Financial!#REF!,"AAAAAH/vrzI=")</f>
        <v>#REF!</v>
      </c>
      <c r="AZ66" t="e">
        <f>AND(Financial!#REF!,"AAAAAH/vrzM=")</f>
        <v>#REF!</v>
      </c>
      <c r="BA66" t="e">
        <f>AND(Financial!#REF!,"AAAAAH/vrzQ=")</f>
        <v>#REF!</v>
      </c>
      <c r="BB66" t="e">
        <f>AND(Financial!#REF!,"AAAAAH/vrzU=")</f>
        <v>#REF!</v>
      </c>
      <c r="BC66" t="e">
        <f>AND(Financial!#REF!,"AAAAAH/vrzY=")</f>
        <v>#REF!</v>
      </c>
      <c r="BD66" t="e">
        <f>AND(Financial!#REF!,"AAAAAH/vrzc=")</f>
        <v>#REF!</v>
      </c>
      <c r="BE66" t="e">
        <f>AND(Financial!#REF!,"AAAAAH/vrzg=")</f>
        <v>#REF!</v>
      </c>
      <c r="BF66" t="e">
        <f>AND(Financial!#REF!,"AAAAAH/vrzk=")</f>
        <v>#REF!</v>
      </c>
      <c r="BG66" t="e">
        <f>IF(Financial!#REF!,"AAAAAH/vrzo=",0)</f>
        <v>#REF!</v>
      </c>
      <c r="BH66" t="e">
        <f>AND(Financial!#REF!,"AAAAAH/vrzs=")</f>
        <v>#REF!</v>
      </c>
      <c r="BI66" t="e">
        <f>AND(Financial!#REF!,"AAAAAH/vrzw=")</f>
        <v>#REF!</v>
      </c>
      <c r="BJ66" t="e">
        <f>AND(Financial!#REF!,"AAAAAH/vrz0=")</f>
        <v>#REF!</v>
      </c>
      <c r="BK66" t="e">
        <f>AND(Financial!#REF!,"AAAAAH/vrz4=")</f>
        <v>#REF!</v>
      </c>
      <c r="BL66" t="e">
        <f>AND(Financial!#REF!,"AAAAAH/vrz8=")</f>
        <v>#REF!</v>
      </c>
      <c r="BM66" t="e">
        <f>AND(Financial!#REF!,"AAAAAH/vr0A=")</f>
        <v>#REF!</v>
      </c>
      <c r="BN66" t="e">
        <f>AND(Financial!#REF!,"AAAAAH/vr0E=")</f>
        <v>#REF!</v>
      </c>
      <c r="BO66" t="e">
        <f>AND(Financial!#REF!,"AAAAAH/vr0I=")</f>
        <v>#REF!</v>
      </c>
      <c r="BP66" t="e">
        <f>AND(Financial!#REF!,"AAAAAH/vr0M=")</f>
        <v>#REF!</v>
      </c>
      <c r="BQ66" t="e">
        <f>AND(Financial!#REF!,"AAAAAH/vr0Q=")</f>
        <v>#REF!</v>
      </c>
      <c r="BR66" t="e">
        <f>AND(Financial!#REF!,"AAAAAH/vr0U=")</f>
        <v>#REF!</v>
      </c>
      <c r="BS66" t="e">
        <f>AND(Financial!#REF!,"AAAAAH/vr0Y=")</f>
        <v>#REF!</v>
      </c>
      <c r="BT66" t="e">
        <f>AND(Financial!#REF!,"AAAAAH/vr0c=")</f>
        <v>#REF!</v>
      </c>
      <c r="BU66" t="e">
        <f>AND(Financial!#REF!,"AAAAAH/vr0g=")</f>
        <v>#REF!</v>
      </c>
      <c r="BV66" t="e">
        <f>IF(Financial!#REF!,"AAAAAH/vr0k=",0)</f>
        <v>#REF!</v>
      </c>
      <c r="BW66" t="e">
        <f>AND(Financial!#REF!,"AAAAAH/vr0o=")</f>
        <v>#REF!</v>
      </c>
      <c r="BX66" t="e">
        <f>AND(Financial!#REF!,"AAAAAH/vr0s=")</f>
        <v>#REF!</v>
      </c>
      <c r="BY66" t="e">
        <f>AND(Financial!#REF!,"AAAAAH/vr0w=")</f>
        <v>#REF!</v>
      </c>
      <c r="BZ66" t="e">
        <f>AND(Financial!#REF!,"AAAAAH/vr00=")</f>
        <v>#REF!</v>
      </c>
      <c r="CA66" t="e">
        <f>AND(Financial!#REF!,"AAAAAH/vr04=")</f>
        <v>#REF!</v>
      </c>
      <c r="CB66" t="e">
        <f>AND(Financial!#REF!,"AAAAAH/vr08=")</f>
        <v>#REF!</v>
      </c>
      <c r="CC66" t="e">
        <f>AND(Financial!#REF!,"AAAAAH/vr1A=")</f>
        <v>#REF!</v>
      </c>
      <c r="CD66" t="e">
        <f>AND(Financial!#REF!,"AAAAAH/vr1E=")</f>
        <v>#REF!</v>
      </c>
      <c r="CE66" t="e">
        <f>AND(Financial!#REF!,"AAAAAH/vr1I=")</f>
        <v>#REF!</v>
      </c>
      <c r="CF66" t="e">
        <f>AND(Financial!#REF!,"AAAAAH/vr1M=")</f>
        <v>#REF!</v>
      </c>
      <c r="CG66" t="e">
        <f>AND(Financial!#REF!,"AAAAAH/vr1Q=")</f>
        <v>#REF!</v>
      </c>
      <c r="CH66" t="e">
        <f>AND(Financial!#REF!,"AAAAAH/vr1U=")</f>
        <v>#REF!</v>
      </c>
      <c r="CI66" t="e">
        <f>AND(Financial!#REF!,"AAAAAH/vr1Y=")</f>
        <v>#REF!</v>
      </c>
      <c r="CJ66" t="e">
        <f>AND(Financial!#REF!,"AAAAAH/vr1c=")</f>
        <v>#REF!</v>
      </c>
      <c r="CK66" t="e">
        <f>IF(Financial!#REF!,"AAAAAH/vr1g=",0)</f>
        <v>#REF!</v>
      </c>
      <c r="CL66" t="e">
        <f>AND(Financial!#REF!,"AAAAAH/vr1k=")</f>
        <v>#REF!</v>
      </c>
      <c r="CM66" t="e">
        <f>AND(Financial!#REF!,"AAAAAH/vr1o=")</f>
        <v>#REF!</v>
      </c>
      <c r="CN66" t="e">
        <f>AND(Financial!#REF!,"AAAAAH/vr1s=")</f>
        <v>#REF!</v>
      </c>
      <c r="CO66" t="e">
        <f>AND(Financial!#REF!,"AAAAAH/vr1w=")</f>
        <v>#REF!</v>
      </c>
      <c r="CP66" t="e">
        <f>AND(Financial!#REF!,"AAAAAH/vr10=")</f>
        <v>#REF!</v>
      </c>
      <c r="CQ66" t="e">
        <f>AND(Financial!#REF!,"AAAAAH/vr14=")</f>
        <v>#REF!</v>
      </c>
      <c r="CR66" t="e">
        <f>AND(Financial!#REF!,"AAAAAH/vr18=")</f>
        <v>#REF!</v>
      </c>
      <c r="CS66" t="e">
        <f>AND(Financial!#REF!,"AAAAAH/vr2A=")</f>
        <v>#REF!</v>
      </c>
      <c r="CT66" t="e">
        <f>AND(Financial!#REF!,"AAAAAH/vr2E=")</f>
        <v>#REF!</v>
      </c>
      <c r="CU66" t="e">
        <f>AND(Financial!#REF!,"AAAAAH/vr2I=")</f>
        <v>#REF!</v>
      </c>
      <c r="CV66" t="e">
        <f>AND(Financial!#REF!,"AAAAAH/vr2M=")</f>
        <v>#REF!</v>
      </c>
      <c r="CW66" t="e">
        <f>AND(Financial!#REF!,"AAAAAH/vr2Q=")</f>
        <v>#REF!</v>
      </c>
      <c r="CX66" t="e">
        <f>AND(Financial!#REF!,"AAAAAH/vr2U=")</f>
        <v>#REF!</v>
      </c>
      <c r="CY66" t="e">
        <f>AND(Financial!#REF!,"AAAAAH/vr2Y=")</f>
        <v>#REF!</v>
      </c>
      <c r="CZ66" t="e">
        <f>IF(Financial!#REF!,"AAAAAH/vr2c=",0)</f>
        <v>#REF!</v>
      </c>
      <c r="DA66" t="e">
        <f>AND(Financial!#REF!,"AAAAAH/vr2g=")</f>
        <v>#REF!</v>
      </c>
      <c r="DB66" t="e">
        <f>AND(Financial!#REF!,"AAAAAH/vr2k=")</f>
        <v>#REF!</v>
      </c>
      <c r="DC66" t="e">
        <f>AND(Financial!#REF!,"AAAAAH/vr2o=")</f>
        <v>#REF!</v>
      </c>
      <c r="DD66" t="e">
        <f>AND(Financial!#REF!,"AAAAAH/vr2s=")</f>
        <v>#REF!</v>
      </c>
      <c r="DE66" t="e">
        <f>AND(Financial!#REF!,"AAAAAH/vr2w=")</f>
        <v>#REF!</v>
      </c>
      <c r="DF66" t="e">
        <f>AND(Financial!#REF!,"AAAAAH/vr20=")</f>
        <v>#REF!</v>
      </c>
      <c r="DG66" t="e">
        <f>AND(Financial!#REF!,"AAAAAH/vr24=")</f>
        <v>#REF!</v>
      </c>
      <c r="DH66" t="e">
        <f>AND(Financial!#REF!,"AAAAAH/vr28=")</f>
        <v>#REF!</v>
      </c>
      <c r="DI66" t="e">
        <f>AND(Financial!#REF!,"AAAAAH/vr3A=")</f>
        <v>#REF!</v>
      </c>
      <c r="DJ66" t="e">
        <f>AND(Financial!#REF!,"AAAAAH/vr3E=")</f>
        <v>#REF!</v>
      </c>
      <c r="DK66" t="e">
        <f>AND(Financial!#REF!,"AAAAAH/vr3I=")</f>
        <v>#REF!</v>
      </c>
      <c r="DL66" t="e">
        <f>AND(Financial!#REF!,"AAAAAH/vr3M=")</f>
        <v>#REF!</v>
      </c>
      <c r="DM66" t="e">
        <f>AND(Financial!#REF!,"AAAAAH/vr3Q=")</f>
        <v>#REF!</v>
      </c>
      <c r="DN66" t="e">
        <f>AND(Financial!#REF!,"AAAAAH/vr3U=")</f>
        <v>#REF!</v>
      </c>
      <c r="DO66" t="e">
        <f>IF(Financial!#REF!,"AAAAAH/vr3Y=",0)</f>
        <v>#REF!</v>
      </c>
      <c r="DP66" t="e">
        <f>AND(Financial!#REF!,"AAAAAH/vr3c=")</f>
        <v>#REF!</v>
      </c>
      <c r="DQ66" t="e">
        <f>AND(Financial!#REF!,"AAAAAH/vr3g=")</f>
        <v>#REF!</v>
      </c>
      <c r="DR66" t="e">
        <f>AND(Financial!#REF!,"AAAAAH/vr3k=")</f>
        <v>#REF!</v>
      </c>
      <c r="DS66" t="e">
        <f>AND(Financial!#REF!,"AAAAAH/vr3o=")</f>
        <v>#REF!</v>
      </c>
      <c r="DT66" t="e">
        <f>AND(Financial!#REF!,"AAAAAH/vr3s=")</f>
        <v>#REF!</v>
      </c>
      <c r="DU66" t="e">
        <f>AND(Financial!#REF!,"AAAAAH/vr3w=")</f>
        <v>#REF!</v>
      </c>
      <c r="DV66" t="e">
        <f>AND(Financial!#REF!,"AAAAAH/vr30=")</f>
        <v>#REF!</v>
      </c>
      <c r="DW66" t="e">
        <f>AND(Financial!#REF!,"AAAAAH/vr34=")</f>
        <v>#REF!</v>
      </c>
      <c r="DX66" t="e">
        <f>AND(Financial!#REF!,"AAAAAH/vr38=")</f>
        <v>#REF!</v>
      </c>
      <c r="DY66" t="e">
        <f>AND(Financial!#REF!,"AAAAAH/vr4A=")</f>
        <v>#REF!</v>
      </c>
      <c r="DZ66" t="e">
        <f>AND(Financial!#REF!,"AAAAAH/vr4E=")</f>
        <v>#REF!</v>
      </c>
      <c r="EA66" t="e">
        <f>AND(Financial!#REF!,"AAAAAH/vr4I=")</f>
        <v>#REF!</v>
      </c>
      <c r="EB66" t="e">
        <f>AND(Financial!#REF!,"AAAAAH/vr4M=")</f>
        <v>#REF!</v>
      </c>
      <c r="EC66" t="e">
        <f>AND(Financial!#REF!,"AAAAAH/vr4Q=")</f>
        <v>#REF!</v>
      </c>
      <c r="ED66" t="e">
        <f>IF(Financial!#REF!,"AAAAAH/vr4U=",0)</f>
        <v>#REF!</v>
      </c>
      <c r="EE66" t="e">
        <f>AND(Financial!#REF!,"AAAAAH/vr4Y=")</f>
        <v>#REF!</v>
      </c>
      <c r="EF66" t="e">
        <f>AND(Financial!#REF!,"AAAAAH/vr4c=")</f>
        <v>#REF!</v>
      </c>
      <c r="EG66" t="e">
        <f>AND(Financial!#REF!,"AAAAAH/vr4g=")</f>
        <v>#REF!</v>
      </c>
      <c r="EH66" t="e">
        <f>AND(Financial!#REF!,"AAAAAH/vr4k=")</f>
        <v>#REF!</v>
      </c>
      <c r="EI66" t="e">
        <f>AND(Financial!#REF!,"AAAAAH/vr4o=")</f>
        <v>#REF!</v>
      </c>
      <c r="EJ66" t="e">
        <f>AND(Financial!#REF!,"AAAAAH/vr4s=")</f>
        <v>#REF!</v>
      </c>
      <c r="EK66" t="e">
        <f>AND(Financial!#REF!,"AAAAAH/vr4w=")</f>
        <v>#REF!</v>
      </c>
      <c r="EL66" t="e">
        <f>AND(Financial!#REF!,"AAAAAH/vr40=")</f>
        <v>#REF!</v>
      </c>
      <c r="EM66" t="e">
        <f>AND(Financial!#REF!,"AAAAAH/vr44=")</f>
        <v>#REF!</v>
      </c>
      <c r="EN66" t="e">
        <f>AND(Financial!#REF!,"AAAAAH/vr48=")</f>
        <v>#REF!</v>
      </c>
      <c r="EO66" t="e">
        <f>AND(Financial!#REF!,"AAAAAH/vr5A=")</f>
        <v>#REF!</v>
      </c>
      <c r="EP66" t="e">
        <f>AND(Financial!#REF!,"AAAAAH/vr5E=")</f>
        <v>#REF!</v>
      </c>
      <c r="EQ66" t="e">
        <f>AND(Financial!#REF!,"AAAAAH/vr5I=")</f>
        <v>#REF!</v>
      </c>
      <c r="ER66" t="e">
        <f>AND(Financial!#REF!,"AAAAAH/vr5M=")</f>
        <v>#REF!</v>
      </c>
      <c r="ES66" t="e">
        <f>IF(Financial!#REF!,"AAAAAH/vr5Q=",0)</f>
        <v>#REF!</v>
      </c>
      <c r="ET66" t="e">
        <f>AND(Financial!#REF!,"AAAAAH/vr5U=")</f>
        <v>#REF!</v>
      </c>
      <c r="EU66" t="e">
        <f>AND(Financial!#REF!,"AAAAAH/vr5Y=")</f>
        <v>#REF!</v>
      </c>
      <c r="EV66" t="e">
        <f>AND(Financial!#REF!,"AAAAAH/vr5c=")</f>
        <v>#REF!</v>
      </c>
      <c r="EW66" t="e">
        <f>AND(Financial!#REF!,"AAAAAH/vr5g=")</f>
        <v>#REF!</v>
      </c>
      <c r="EX66" t="e">
        <f>AND(Financial!#REF!,"AAAAAH/vr5k=")</f>
        <v>#REF!</v>
      </c>
      <c r="EY66" t="e">
        <f>AND(Financial!#REF!,"AAAAAH/vr5o=")</f>
        <v>#REF!</v>
      </c>
      <c r="EZ66" t="e">
        <f>AND(Financial!#REF!,"AAAAAH/vr5s=")</f>
        <v>#REF!</v>
      </c>
      <c r="FA66" t="e">
        <f>AND(Financial!#REF!,"AAAAAH/vr5w=")</f>
        <v>#REF!</v>
      </c>
      <c r="FB66" t="e">
        <f>AND(Financial!#REF!,"AAAAAH/vr50=")</f>
        <v>#REF!</v>
      </c>
      <c r="FC66" t="e">
        <f>AND(Financial!#REF!,"AAAAAH/vr54=")</f>
        <v>#REF!</v>
      </c>
      <c r="FD66" t="e">
        <f>AND(Financial!#REF!,"AAAAAH/vr58=")</f>
        <v>#REF!</v>
      </c>
      <c r="FE66" t="e">
        <f>AND(Financial!#REF!,"AAAAAH/vr6A=")</f>
        <v>#REF!</v>
      </c>
      <c r="FF66" t="e">
        <f>AND(Financial!#REF!,"AAAAAH/vr6E=")</f>
        <v>#REF!</v>
      </c>
      <c r="FG66" t="e">
        <f>AND(Financial!#REF!,"AAAAAH/vr6I=")</f>
        <v>#REF!</v>
      </c>
      <c r="FH66" t="e">
        <f>IF(Financial!#REF!,"AAAAAH/vr6M=",0)</f>
        <v>#REF!</v>
      </c>
      <c r="FI66" t="e">
        <f>AND(Financial!#REF!,"AAAAAH/vr6Q=")</f>
        <v>#REF!</v>
      </c>
      <c r="FJ66" t="e">
        <f>AND(Financial!#REF!,"AAAAAH/vr6U=")</f>
        <v>#REF!</v>
      </c>
      <c r="FK66" t="e">
        <f>AND(Financial!#REF!,"AAAAAH/vr6Y=")</f>
        <v>#REF!</v>
      </c>
      <c r="FL66" t="e">
        <f>AND(Financial!#REF!,"AAAAAH/vr6c=")</f>
        <v>#REF!</v>
      </c>
      <c r="FM66" t="e">
        <f>AND(Financial!#REF!,"AAAAAH/vr6g=")</f>
        <v>#REF!</v>
      </c>
      <c r="FN66" t="e">
        <f>AND(Financial!#REF!,"AAAAAH/vr6k=")</f>
        <v>#REF!</v>
      </c>
      <c r="FO66" t="e">
        <f>AND(Financial!#REF!,"AAAAAH/vr6o=")</f>
        <v>#REF!</v>
      </c>
      <c r="FP66" t="e">
        <f>AND(Financial!#REF!,"AAAAAH/vr6s=")</f>
        <v>#REF!</v>
      </c>
      <c r="FQ66" t="e">
        <f>AND(Financial!#REF!,"AAAAAH/vr6w=")</f>
        <v>#REF!</v>
      </c>
      <c r="FR66" t="e">
        <f>AND(Financial!#REF!,"AAAAAH/vr60=")</f>
        <v>#REF!</v>
      </c>
      <c r="FS66" t="e">
        <f>AND(Financial!#REF!,"AAAAAH/vr64=")</f>
        <v>#REF!</v>
      </c>
      <c r="FT66" t="e">
        <f>AND(Financial!#REF!,"AAAAAH/vr68=")</f>
        <v>#REF!</v>
      </c>
      <c r="FU66" t="e">
        <f>AND(Financial!#REF!,"AAAAAH/vr7A=")</f>
        <v>#REF!</v>
      </c>
      <c r="FV66" t="e">
        <f>AND(Financial!#REF!,"AAAAAH/vr7E=")</f>
        <v>#REF!</v>
      </c>
      <c r="FW66" t="e">
        <f>IF(Financial!#REF!,"AAAAAH/vr7I=",0)</f>
        <v>#REF!</v>
      </c>
      <c r="FX66" t="e">
        <f>AND(Financial!#REF!,"AAAAAH/vr7M=")</f>
        <v>#REF!</v>
      </c>
      <c r="FY66" t="e">
        <f>AND(Financial!#REF!,"AAAAAH/vr7Q=")</f>
        <v>#REF!</v>
      </c>
      <c r="FZ66" t="e">
        <f>AND(Financial!#REF!,"AAAAAH/vr7U=")</f>
        <v>#REF!</v>
      </c>
      <c r="GA66" t="e">
        <f>AND(Financial!#REF!,"AAAAAH/vr7Y=")</f>
        <v>#REF!</v>
      </c>
      <c r="GB66" t="e">
        <f>AND(Financial!#REF!,"AAAAAH/vr7c=")</f>
        <v>#REF!</v>
      </c>
      <c r="GC66" t="e">
        <f>AND(Financial!#REF!,"AAAAAH/vr7g=")</f>
        <v>#REF!</v>
      </c>
      <c r="GD66" t="e">
        <f>AND(Financial!#REF!,"AAAAAH/vr7k=")</f>
        <v>#REF!</v>
      </c>
      <c r="GE66" t="e">
        <f>AND(Financial!#REF!,"AAAAAH/vr7o=")</f>
        <v>#REF!</v>
      </c>
      <c r="GF66" t="e">
        <f>AND(Financial!#REF!,"AAAAAH/vr7s=")</f>
        <v>#REF!</v>
      </c>
      <c r="GG66" t="e">
        <f>AND(Financial!#REF!,"AAAAAH/vr7w=")</f>
        <v>#REF!</v>
      </c>
      <c r="GH66" t="e">
        <f>AND(Financial!#REF!,"AAAAAH/vr70=")</f>
        <v>#REF!</v>
      </c>
      <c r="GI66" t="e">
        <f>AND(Financial!#REF!,"AAAAAH/vr74=")</f>
        <v>#REF!</v>
      </c>
      <c r="GJ66" t="e">
        <f>AND(Financial!#REF!,"AAAAAH/vr78=")</f>
        <v>#REF!</v>
      </c>
      <c r="GK66" t="e">
        <f>AND(Financial!#REF!,"AAAAAH/vr8A=")</f>
        <v>#REF!</v>
      </c>
      <c r="GL66" t="e">
        <f>IF(Financial!#REF!,"AAAAAH/vr8E=",0)</f>
        <v>#REF!</v>
      </c>
      <c r="GM66" t="e">
        <f>AND(Financial!#REF!,"AAAAAH/vr8I=")</f>
        <v>#REF!</v>
      </c>
      <c r="GN66" t="e">
        <f>AND(Financial!#REF!,"AAAAAH/vr8M=")</f>
        <v>#REF!</v>
      </c>
      <c r="GO66" t="e">
        <f>AND(Financial!#REF!,"AAAAAH/vr8Q=")</f>
        <v>#REF!</v>
      </c>
      <c r="GP66" t="e">
        <f>AND(Financial!#REF!,"AAAAAH/vr8U=")</f>
        <v>#REF!</v>
      </c>
      <c r="GQ66" t="e">
        <f>AND(Financial!#REF!,"AAAAAH/vr8Y=")</f>
        <v>#REF!</v>
      </c>
      <c r="GR66" t="e">
        <f>AND(Financial!#REF!,"AAAAAH/vr8c=")</f>
        <v>#REF!</v>
      </c>
      <c r="GS66" t="e">
        <f>AND(Financial!#REF!,"AAAAAH/vr8g=")</f>
        <v>#REF!</v>
      </c>
      <c r="GT66" t="e">
        <f>AND(Financial!#REF!,"AAAAAH/vr8k=")</f>
        <v>#REF!</v>
      </c>
      <c r="GU66" t="e">
        <f>AND(Financial!#REF!,"AAAAAH/vr8o=")</f>
        <v>#REF!</v>
      </c>
      <c r="GV66" t="e">
        <f>AND(Financial!#REF!,"AAAAAH/vr8s=")</f>
        <v>#REF!</v>
      </c>
      <c r="GW66" t="e">
        <f>AND(Financial!#REF!,"AAAAAH/vr8w=")</f>
        <v>#REF!</v>
      </c>
      <c r="GX66" t="e">
        <f>AND(Financial!#REF!,"AAAAAH/vr80=")</f>
        <v>#REF!</v>
      </c>
      <c r="GY66" t="e">
        <f>AND(Financial!#REF!,"AAAAAH/vr84=")</f>
        <v>#REF!</v>
      </c>
      <c r="GZ66" t="e">
        <f>AND(Financial!#REF!,"AAAAAH/vr88=")</f>
        <v>#REF!</v>
      </c>
      <c r="HA66">
        <f>IF(Financial!65:65,"AAAAAH/vr9A=",0)</f>
        <v>0</v>
      </c>
      <c r="HB66" t="e">
        <f>AND(Financial!#REF!,"AAAAAH/vr9E=")</f>
        <v>#REF!</v>
      </c>
      <c r="HC66" t="e">
        <f>AND(Financial!A65,"AAAAAH/vr9I=")</f>
        <v>#VALUE!</v>
      </c>
      <c r="HD66" t="e">
        <f>AND(Financial!B65,"AAAAAH/vr9M=")</f>
        <v>#VALUE!</v>
      </c>
      <c r="HE66" t="e">
        <f>AND(Financial!C65,"AAAAAH/vr9Q=")</f>
        <v>#VALUE!</v>
      </c>
      <c r="HF66" t="e">
        <f>AND(Financial!D65,"AAAAAH/vr9U=")</f>
        <v>#VALUE!</v>
      </c>
      <c r="HG66" t="e">
        <f>AND(Financial!E65,"AAAAAH/vr9Y=")</f>
        <v>#VALUE!</v>
      </c>
      <c r="HH66" t="e">
        <f>AND(Financial!F65,"AAAAAH/vr9c=")</f>
        <v>#VALUE!</v>
      </c>
      <c r="HI66" t="e">
        <f>AND(Financial!G65,"AAAAAH/vr9g=")</f>
        <v>#VALUE!</v>
      </c>
      <c r="HJ66" t="e">
        <f>AND(Financial!H65,"AAAAAH/vr9k=")</f>
        <v>#VALUE!</v>
      </c>
      <c r="HK66" t="e">
        <f>AND(Financial!I65,"AAAAAH/vr9o=")</f>
        <v>#VALUE!</v>
      </c>
      <c r="HL66" t="e">
        <f>AND(Financial!J65,"AAAAAH/vr9s=")</f>
        <v>#VALUE!</v>
      </c>
      <c r="HM66" t="e">
        <f>AND(Financial!K65,"AAAAAH/vr9w=")</f>
        <v>#VALUE!</v>
      </c>
      <c r="HN66" t="e">
        <f>AND(Financial!L65,"AAAAAH/vr90=")</f>
        <v>#VALUE!</v>
      </c>
      <c r="HO66" t="e">
        <f>AND(Financial!M65,"AAAAAH/vr94=")</f>
        <v>#VALUE!</v>
      </c>
      <c r="HP66" t="e">
        <f>IF(Financial!#REF!,"AAAAAH/vr98=",0)</f>
        <v>#REF!</v>
      </c>
      <c r="HQ66" t="e">
        <f>AND(Financial!#REF!,"AAAAAH/vr+A=")</f>
        <v>#REF!</v>
      </c>
      <c r="HR66" t="e">
        <f>AND(Financial!#REF!,"AAAAAH/vr+E=")</f>
        <v>#REF!</v>
      </c>
      <c r="HS66" t="e">
        <f>AND(Financial!#REF!,"AAAAAH/vr+I=")</f>
        <v>#REF!</v>
      </c>
      <c r="HT66" t="e">
        <f>AND(Financial!#REF!,"AAAAAH/vr+M=")</f>
        <v>#REF!</v>
      </c>
      <c r="HU66" t="e">
        <f>AND(Financial!#REF!,"AAAAAH/vr+Q=")</f>
        <v>#REF!</v>
      </c>
      <c r="HV66" t="e">
        <f>AND(Financial!#REF!,"AAAAAH/vr+U=")</f>
        <v>#REF!</v>
      </c>
      <c r="HW66" t="e">
        <f>AND(Financial!#REF!,"AAAAAH/vr+Y=")</f>
        <v>#REF!</v>
      </c>
      <c r="HX66" t="e">
        <f>AND(Financial!#REF!,"AAAAAH/vr+c=")</f>
        <v>#REF!</v>
      </c>
      <c r="HY66" t="e">
        <f>AND(Financial!#REF!,"AAAAAH/vr+g=")</f>
        <v>#REF!</v>
      </c>
      <c r="HZ66" t="e">
        <f>AND(Financial!#REF!,"AAAAAH/vr+k=")</f>
        <v>#REF!</v>
      </c>
      <c r="IA66" t="e">
        <f>AND(Financial!#REF!,"AAAAAH/vr+o=")</f>
        <v>#REF!</v>
      </c>
      <c r="IB66" t="e">
        <f>AND(Financial!#REF!,"AAAAAH/vr+s=")</f>
        <v>#REF!</v>
      </c>
      <c r="IC66" t="e">
        <f>AND(Financial!#REF!,"AAAAAH/vr+w=")</f>
        <v>#REF!</v>
      </c>
      <c r="ID66" t="e">
        <f>AND(Financial!#REF!,"AAAAAH/vr+0=")</f>
        <v>#REF!</v>
      </c>
      <c r="IE66">
        <f>IF(Financial!66:66,"AAAAAH/vr+4=",0)</f>
        <v>0</v>
      </c>
      <c r="IF66" t="e">
        <f>AND(Financial!#REF!,"AAAAAH/vr+8=")</f>
        <v>#REF!</v>
      </c>
      <c r="IG66" t="e">
        <f>AND(Financial!A66,"AAAAAH/vr/A=")</f>
        <v>#VALUE!</v>
      </c>
      <c r="IH66" t="e">
        <f>AND(Financial!B66,"AAAAAH/vr/E=")</f>
        <v>#VALUE!</v>
      </c>
      <c r="II66" t="e">
        <f>AND(Financial!C66,"AAAAAH/vr/I=")</f>
        <v>#VALUE!</v>
      </c>
      <c r="IJ66" t="e">
        <f>AND(Financial!D66,"AAAAAH/vr/M=")</f>
        <v>#VALUE!</v>
      </c>
      <c r="IK66" t="e">
        <f>AND(Financial!E66,"AAAAAH/vr/Q=")</f>
        <v>#VALUE!</v>
      </c>
      <c r="IL66" t="e">
        <f>AND(Financial!F66,"AAAAAH/vr/U=")</f>
        <v>#VALUE!</v>
      </c>
      <c r="IM66" t="e">
        <f>AND(Financial!G66,"AAAAAH/vr/Y=")</f>
        <v>#VALUE!</v>
      </c>
      <c r="IN66" t="e">
        <f>AND(Financial!H66,"AAAAAH/vr/c=")</f>
        <v>#VALUE!</v>
      </c>
      <c r="IO66" t="e">
        <f>AND(Financial!I66,"AAAAAH/vr/g=")</f>
        <v>#VALUE!</v>
      </c>
      <c r="IP66" t="e">
        <f>AND(Financial!J66,"AAAAAH/vr/k=")</f>
        <v>#VALUE!</v>
      </c>
      <c r="IQ66" t="e">
        <f>AND(Financial!K66,"AAAAAH/vr/o=")</f>
        <v>#VALUE!</v>
      </c>
      <c r="IR66" t="e">
        <f>AND(Financial!L66,"AAAAAH/vr/s=")</f>
        <v>#VALUE!</v>
      </c>
      <c r="IS66" t="e">
        <f>AND(Financial!M66,"AAAAAH/vr/w=")</f>
        <v>#VALUE!</v>
      </c>
      <c r="IT66">
        <f>IF(Financial!67:67,"AAAAAH/vr/0=",0)</f>
        <v>0</v>
      </c>
      <c r="IU66" t="e">
        <f>AND(Financial!#REF!,"AAAAAH/vr/4=")</f>
        <v>#REF!</v>
      </c>
      <c r="IV66" t="e">
        <f>AND(Financial!A67,"AAAAAH/vr/8=")</f>
        <v>#VALUE!</v>
      </c>
    </row>
    <row r="67" spans="1:256" x14ac:dyDescent="0.2">
      <c r="A67" t="e">
        <f>AND(Financial!B67,"AAAAAH0/vgA=")</f>
        <v>#VALUE!</v>
      </c>
      <c r="B67" t="e">
        <f>AND(Financial!C67,"AAAAAH0/vgE=")</f>
        <v>#VALUE!</v>
      </c>
      <c r="C67" t="e">
        <f>AND(Financial!D67,"AAAAAH0/vgI=")</f>
        <v>#VALUE!</v>
      </c>
      <c r="D67" t="e">
        <f>AND(Financial!E67,"AAAAAH0/vgM=")</f>
        <v>#VALUE!</v>
      </c>
      <c r="E67" t="e">
        <f>AND(Financial!F67,"AAAAAH0/vgQ=")</f>
        <v>#VALUE!</v>
      </c>
      <c r="F67" t="e">
        <f>AND(Financial!G67,"AAAAAH0/vgU=")</f>
        <v>#VALUE!</v>
      </c>
      <c r="G67" t="e">
        <f>AND(Financial!H67,"AAAAAH0/vgY=")</f>
        <v>#VALUE!</v>
      </c>
      <c r="H67" t="e">
        <f>AND(Financial!I67,"AAAAAH0/vgc=")</f>
        <v>#VALUE!</v>
      </c>
      <c r="I67" t="e">
        <f>AND(Financial!J67,"AAAAAH0/vgg=")</f>
        <v>#VALUE!</v>
      </c>
      <c r="J67" t="e">
        <f>AND(Financial!K67,"AAAAAH0/vgk=")</f>
        <v>#VALUE!</v>
      </c>
      <c r="K67" t="e">
        <f>AND(Financial!L67,"AAAAAH0/vgo=")</f>
        <v>#VALUE!</v>
      </c>
      <c r="L67" t="e">
        <f>AND(Financial!M67,"AAAAAH0/vgs=")</f>
        <v>#VALUE!</v>
      </c>
      <c r="M67">
        <f>IF(Financial!68:68,"AAAAAH0/vgw=",0)</f>
        <v>0</v>
      </c>
      <c r="N67" t="e">
        <f>AND(Financial!#REF!,"AAAAAH0/vg0=")</f>
        <v>#REF!</v>
      </c>
      <c r="O67" t="e">
        <f>AND(Financial!A68,"AAAAAH0/vg4=")</f>
        <v>#VALUE!</v>
      </c>
      <c r="P67" t="e">
        <f>AND(Financial!B68,"AAAAAH0/vg8=")</f>
        <v>#VALUE!</v>
      </c>
      <c r="Q67" t="e">
        <f>AND(Financial!C68,"AAAAAH0/vhA=")</f>
        <v>#VALUE!</v>
      </c>
      <c r="R67" t="e">
        <f>AND(Financial!D68,"AAAAAH0/vhE=")</f>
        <v>#VALUE!</v>
      </c>
      <c r="S67" t="e">
        <f>AND(Financial!E68,"AAAAAH0/vhI=")</f>
        <v>#VALUE!</v>
      </c>
      <c r="T67" t="e">
        <f>AND(Financial!F68,"AAAAAH0/vhM=")</f>
        <v>#VALUE!</v>
      </c>
      <c r="U67" t="e">
        <f>AND(Financial!G68,"AAAAAH0/vhQ=")</f>
        <v>#VALUE!</v>
      </c>
      <c r="V67" t="e">
        <f>AND(Financial!H68,"AAAAAH0/vhU=")</f>
        <v>#VALUE!</v>
      </c>
      <c r="W67" t="e">
        <f>AND(Financial!I68,"AAAAAH0/vhY=")</f>
        <v>#VALUE!</v>
      </c>
      <c r="X67" t="e">
        <f>AND(Financial!J68,"AAAAAH0/vhc=")</f>
        <v>#VALUE!</v>
      </c>
      <c r="Y67" t="e">
        <f>AND(Financial!K68,"AAAAAH0/vhg=")</f>
        <v>#VALUE!</v>
      </c>
      <c r="Z67" t="e">
        <f>AND(Financial!L68,"AAAAAH0/vhk=")</f>
        <v>#VALUE!</v>
      </c>
      <c r="AA67" t="e">
        <f>AND(Financial!M68,"AAAAAH0/vho=")</f>
        <v>#VALUE!</v>
      </c>
      <c r="AB67">
        <f>IF(Financial!69:69,"AAAAAH0/vhs=",0)</f>
        <v>0</v>
      </c>
      <c r="AC67" t="e">
        <f>AND(Financial!#REF!,"AAAAAH0/vhw=")</f>
        <v>#REF!</v>
      </c>
      <c r="AD67" t="e">
        <f>AND(Financial!A69,"AAAAAH0/vh0=")</f>
        <v>#VALUE!</v>
      </c>
      <c r="AE67" t="e">
        <f>AND(Financial!B69,"AAAAAH0/vh4=")</f>
        <v>#VALUE!</v>
      </c>
      <c r="AF67" t="e">
        <f>AND(Financial!C69,"AAAAAH0/vh8=")</f>
        <v>#VALUE!</v>
      </c>
      <c r="AG67" t="e">
        <f>AND(Financial!D69,"AAAAAH0/viA=")</f>
        <v>#VALUE!</v>
      </c>
      <c r="AH67" t="e">
        <f>AND(Financial!E69,"AAAAAH0/viE=")</f>
        <v>#VALUE!</v>
      </c>
      <c r="AI67" t="e">
        <f>AND(Financial!F69,"AAAAAH0/viI=")</f>
        <v>#VALUE!</v>
      </c>
      <c r="AJ67" t="e">
        <f>AND(Financial!G69,"AAAAAH0/viM=")</f>
        <v>#VALUE!</v>
      </c>
      <c r="AK67" t="e">
        <f>AND(Financial!H69,"AAAAAH0/viQ=")</f>
        <v>#VALUE!</v>
      </c>
      <c r="AL67" t="e">
        <f>AND(Financial!I69,"AAAAAH0/viU=")</f>
        <v>#VALUE!</v>
      </c>
      <c r="AM67" t="e">
        <f>AND(Financial!J69,"AAAAAH0/viY=")</f>
        <v>#VALUE!</v>
      </c>
      <c r="AN67" t="e">
        <f>AND(Financial!K69,"AAAAAH0/vic=")</f>
        <v>#VALUE!</v>
      </c>
      <c r="AO67" t="e">
        <f>AND(Financial!L69,"AAAAAH0/vig=")</f>
        <v>#VALUE!</v>
      </c>
      <c r="AP67" t="e">
        <f>AND(Financial!M69,"AAAAAH0/vik=")</f>
        <v>#VALUE!</v>
      </c>
      <c r="AQ67">
        <f>IF(Financial!70:70,"AAAAAH0/vio=",0)</f>
        <v>0</v>
      </c>
      <c r="AR67" t="e">
        <f>AND(Financial!#REF!,"AAAAAH0/vis=")</f>
        <v>#REF!</v>
      </c>
      <c r="AS67" t="e">
        <f>AND(Financial!A70,"AAAAAH0/viw=")</f>
        <v>#VALUE!</v>
      </c>
      <c r="AT67" t="e">
        <f>AND(Financial!B70,"AAAAAH0/vi0=")</f>
        <v>#VALUE!</v>
      </c>
      <c r="AU67" t="e">
        <f>AND(Financial!C70,"AAAAAH0/vi4=")</f>
        <v>#VALUE!</v>
      </c>
      <c r="AV67" t="e">
        <f>AND(Financial!D70,"AAAAAH0/vi8=")</f>
        <v>#VALUE!</v>
      </c>
      <c r="AW67" t="e">
        <f>AND(Financial!E70,"AAAAAH0/vjA=")</f>
        <v>#VALUE!</v>
      </c>
      <c r="AX67" t="e">
        <f>AND(Financial!F70,"AAAAAH0/vjE=")</f>
        <v>#VALUE!</v>
      </c>
      <c r="AY67" t="e">
        <f>AND(Financial!G70,"AAAAAH0/vjI=")</f>
        <v>#VALUE!</v>
      </c>
      <c r="AZ67" t="e">
        <f>AND(Financial!H70,"AAAAAH0/vjM=")</f>
        <v>#VALUE!</v>
      </c>
      <c r="BA67" t="e">
        <f>AND(Financial!I70,"AAAAAH0/vjQ=")</f>
        <v>#VALUE!</v>
      </c>
      <c r="BB67" t="e">
        <f>AND(Financial!J70,"AAAAAH0/vjU=")</f>
        <v>#VALUE!</v>
      </c>
      <c r="BC67" t="e">
        <f>AND(Financial!K70,"AAAAAH0/vjY=")</f>
        <v>#VALUE!</v>
      </c>
      <c r="BD67" t="e">
        <f>AND(Financial!L70,"AAAAAH0/vjc=")</f>
        <v>#VALUE!</v>
      </c>
      <c r="BE67" t="e">
        <f>AND(Financial!M70,"AAAAAH0/vjg=")</f>
        <v>#VALUE!</v>
      </c>
      <c r="BF67">
        <f>IF(Financial!71:71,"AAAAAH0/vjk=",0)</f>
        <v>0</v>
      </c>
      <c r="BG67" t="e">
        <f>AND(Financial!#REF!,"AAAAAH0/vjo=")</f>
        <v>#REF!</v>
      </c>
      <c r="BH67" t="e">
        <f>AND(Financial!A71,"AAAAAH0/vjs=")</f>
        <v>#VALUE!</v>
      </c>
      <c r="BI67" t="e">
        <f>AND(Financial!B71,"AAAAAH0/vjw=")</f>
        <v>#VALUE!</v>
      </c>
      <c r="BJ67" t="e">
        <f>AND(Financial!C71,"AAAAAH0/vj0=")</f>
        <v>#VALUE!</v>
      </c>
      <c r="BK67" t="e">
        <f>AND(Financial!D71,"AAAAAH0/vj4=")</f>
        <v>#VALUE!</v>
      </c>
      <c r="BL67" t="e">
        <f>AND(Financial!E71,"AAAAAH0/vj8=")</f>
        <v>#VALUE!</v>
      </c>
      <c r="BM67" t="e">
        <f>AND(Financial!F71,"AAAAAH0/vkA=")</f>
        <v>#VALUE!</v>
      </c>
      <c r="BN67" t="e">
        <f>AND(Financial!G71,"AAAAAH0/vkE=")</f>
        <v>#VALUE!</v>
      </c>
      <c r="BO67" t="e">
        <f>AND(Financial!H71,"AAAAAH0/vkI=")</f>
        <v>#VALUE!</v>
      </c>
      <c r="BP67" t="e">
        <f>AND(Financial!I71,"AAAAAH0/vkM=")</f>
        <v>#VALUE!</v>
      </c>
      <c r="BQ67" t="e">
        <f>AND(Financial!J71,"AAAAAH0/vkQ=")</f>
        <v>#VALUE!</v>
      </c>
      <c r="BR67" t="e">
        <f>AND(Financial!K71,"AAAAAH0/vkU=")</f>
        <v>#VALUE!</v>
      </c>
      <c r="BS67" t="e">
        <f>AND(Financial!L71,"AAAAAH0/vkY=")</f>
        <v>#VALUE!</v>
      </c>
      <c r="BT67" t="e">
        <f>AND(Financial!M71,"AAAAAH0/vkc=")</f>
        <v>#VALUE!</v>
      </c>
      <c r="BU67">
        <f>IF(Financial!72:72,"AAAAAH0/vkg=",0)</f>
        <v>0</v>
      </c>
      <c r="BV67" t="e">
        <f>AND(Financial!#REF!,"AAAAAH0/vkk=")</f>
        <v>#REF!</v>
      </c>
      <c r="BW67" t="e">
        <f>AND(Financial!A72,"AAAAAH0/vko=")</f>
        <v>#VALUE!</v>
      </c>
      <c r="BX67" t="e">
        <f>AND(Financial!B72,"AAAAAH0/vks=")</f>
        <v>#VALUE!</v>
      </c>
      <c r="BY67" t="e">
        <f>AND(Financial!C72,"AAAAAH0/vkw=")</f>
        <v>#VALUE!</v>
      </c>
      <c r="BZ67" t="e">
        <f>AND(Financial!D72,"AAAAAH0/vk0=")</f>
        <v>#VALUE!</v>
      </c>
      <c r="CA67" t="e">
        <f>AND(Financial!E72,"AAAAAH0/vk4=")</f>
        <v>#VALUE!</v>
      </c>
      <c r="CB67" t="e">
        <f>AND(Financial!F72,"AAAAAH0/vk8=")</f>
        <v>#VALUE!</v>
      </c>
      <c r="CC67" t="e">
        <f>AND(Financial!G72,"AAAAAH0/vlA=")</f>
        <v>#VALUE!</v>
      </c>
      <c r="CD67" t="e">
        <f>AND(Financial!H72,"AAAAAH0/vlE=")</f>
        <v>#VALUE!</v>
      </c>
      <c r="CE67" t="e">
        <f>AND(Financial!I72,"AAAAAH0/vlI=")</f>
        <v>#VALUE!</v>
      </c>
      <c r="CF67" t="e">
        <f>AND(Financial!J72,"AAAAAH0/vlM=")</f>
        <v>#VALUE!</v>
      </c>
      <c r="CG67" t="e">
        <f>AND(Financial!K72,"AAAAAH0/vlQ=")</f>
        <v>#VALUE!</v>
      </c>
      <c r="CH67" t="e">
        <f>AND(Financial!L72,"AAAAAH0/vlU=")</f>
        <v>#VALUE!</v>
      </c>
      <c r="CI67" t="e">
        <f>AND(Financial!M72,"AAAAAH0/vlY=")</f>
        <v>#VALUE!</v>
      </c>
      <c r="CJ67">
        <f>IF(Financial!73:73,"AAAAAH0/vlc=",0)</f>
        <v>0</v>
      </c>
      <c r="CK67" t="e">
        <f>AND(Financial!#REF!,"AAAAAH0/vlg=")</f>
        <v>#REF!</v>
      </c>
      <c r="CL67" t="e">
        <f>AND(Financial!A73,"AAAAAH0/vlk=")</f>
        <v>#VALUE!</v>
      </c>
      <c r="CM67" t="e">
        <f>AND(Financial!B73,"AAAAAH0/vlo=")</f>
        <v>#VALUE!</v>
      </c>
      <c r="CN67" t="e">
        <f>AND(Financial!C73,"AAAAAH0/vls=")</f>
        <v>#VALUE!</v>
      </c>
      <c r="CO67" t="e">
        <f>AND(Financial!D73,"AAAAAH0/vlw=")</f>
        <v>#VALUE!</v>
      </c>
      <c r="CP67" t="e">
        <f>AND(Financial!E73,"AAAAAH0/vl0=")</f>
        <v>#VALUE!</v>
      </c>
      <c r="CQ67" t="e">
        <f>AND(Financial!F73,"AAAAAH0/vl4=")</f>
        <v>#VALUE!</v>
      </c>
      <c r="CR67" t="e">
        <f>AND(Financial!G73,"AAAAAH0/vl8=")</f>
        <v>#VALUE!</v>
      </c>
      <c r="CS67" t="e">
        <f>AND(Financial!H73,"AAAAAH0/vmA=")</f>
        <v>#VALUE!</v>
      </c>
      <c r="CT67" t="e">
        <f>AND(Financial!I73,"AAAAAH0/vmE=")</f>
        <v>#VALUE!</v>
      </c>
      <c r="CU67" t="e">
        <f>AND(Financial!J73,"AAAAAH0/vmI=")</f>
        <v>#VALUE!</v>
      </c>
      <c r="CV67" t="e">
        <f>AND(Financial!K73,"AAAAAH0/vmM=")</f>
        <v>#VALUE!</v>
      </c>
      <c r="CW67" t="e">
        <f>AND(Financial!L73,"AAAAAH0/vmQ=")</f>
        <v>#VALUE!</v>
      </c>
      <c r="CX67" t="e">
        <f>AND(Financial!M73,"AAAAAH0/vmU=")</f>
        <v>#VALUE!</v>
      </c>
      <c r="CY67" t="e">
        <f>IF(Financial!#REF!,"AAAAAH0/vmY=",0)</f>
        <v>#REF!</v>
      </c>
      <c r="CZ67" t="e">
        <f>AND(Financial!#REF!,"AAAAAH0/vmc=")</f>
        <v>#REF!</v>
      </c>
      <c r="DA67" t="e">
        <f>AND(Financial!#REF!,"AAAAAH0/vmg=")</f>
        <v>#REF!</v>
      </c>
      <c r="DB67" t="e">
        <f>AND(Financial!#REF!,"AAAAAH0/vmk=")</f>
        <v>#REF!</v>
      </c>
      <c r="DC67" t="e">
        <f>AND(Financial!#REF!,"AAAAAH0/vmo=")</f>
        <v>#REF!</v>
      </c>
      <c r="DD67" t="e">
        <f>AND(Financial!#REF!,"AAAAAH0/vms=")</f>
        <v>#REF!</v>
      </c>
      <c r="DE67" t="e">
        <f>AND(Financial!#REF!,"AAAAAH0/vmw=")</f>
        <v>#REF!</v>
      </c>
      <c r="DF67" t="e">
        <f>AND(Financial!#REF!,"AAAAAH0/vm0=")</f>
        <v>#REF!</v>
      </c>
      <c r="DG67" t="e">
        <f>AND(Financial!#REF!,"AAAAAH0/vm4=")</f>
        <v>#REF!</v>
      </c>
      <c r="DH67" t="e">
        <f>AND(Financial!#REF!,"AAAAAH0/vm8=")</f>
        <v>#REF!</v>
      </c>
      <c r="DI67" t="e">
        <f>AND(Financial!#REF!,"AAAAAH0/vnA=")</f>
        <v>#REF!</v>
      </c>
      <c r="DJ67" t="e">
        <f>AND(Financial!#REF!,"AAAAAH0/vnE=")</f>
        <v>#REF!</v>
      </c>
      <c r="DK67" t="e">
        <f>AND(Financial!#REF!,"AAAAAH0/vnI=")</f>
        <v>#REF!</v>
      </c>
      <c r="DL67" t="e">
        <f>AND(Financial!#REF!,"AAAAAH0/vnM=")</f>
        <v>#REF!</v>
      </c>
      <c r="DM67" t="e">
        <f>AND(Financial!#REF!,"AAAAAH0/vnQ=")</f>
        <v>#REF!</v>
      </c>
      <c r="DN67" t="e">
        <f>IF(Financial!#REF!,"AAAAAH0/vnU=",0)</f>
        <v>#REF!</v>
      </c>
      <c r="DO67" t="e">
        <f>AND(Financial!#REF!,"AAAAAH0/vnY=")</f>
        <v>#REF!</v>
      </c>
      <c r="DP67" t="e">
        <f>AND(Financial!#REF!,"AAAAAH0/vnc=")</f>
        <v>#REF!</v>
      </c>
      <c r="DQ67" t="e">
        <f>AND(Financial!#REF!,"AAAAAH0/vng=")</f>
        <v>#REF!</v>
      </c>
      <c r="DR67" t="e">
        <f>AND(Financial!#REF!,"AAAAAH0/vnk=")</f>
        <v>#REF!</v>
      </c>
      <c r="DS67" t="e">
        <f>AND(Financial!#REF!,"AAAAAH0/vno=")</f>
        <v>#REF!</v>
      </c>
      <c r="DT67" t="e">
        <f>AND(Financial!#REF!,"AAAAAH0/vns=")</f>
        <v>#REF!</v>
      </c>
      <c r="DU67" t="e">
        <f>AND(Financial!#REF!,"AAAAAH0/vnw=")</f>
        <v>#REF!</v>
      </c>
      <c r="DV67" t="e">
        <f>AND(Financial!#REF!,"AAAAAH0/vn0=")</f>
        <v>#REF!</v>
      </c>
      <c r="DW67" t="e">
        <f>AND(Financial!#REF!,"AAAAAH0/vn4=")</f>
        <v>#REF!</v>
      </c>
      <c r="DX67" t="e">
        <f>AND(Financial!#REF!,"AAAAAH0/vn8=")</f>
        <v>#REF!</v>
      </c>
      <c r="DY67" t="e">
        <f>AND(Financial!#REF!,"AAAAAH0/voA=")</f>
        <v>#REF!</v>
      </c>
      <c r="DZ67" t="e">
        <f>AND(Financial!#REF!,"AAAAAH0/voE=")</f>
        <v>#REF!</v>
      </c>
      <c r="EA67" t="e">
        <f>AND(Financial!#REF!,"AAAAAH0/voI=")</f>
        <v>#REF!</v>
      </c>
      <c r="EB67" t="e">
        <f>AND(Financial!#REF!,"AAAAAH0/voM=")</f>
        <v>#REF!</v>
      </c>
      <c r="EC67" t="e">
        <f>IF(Financial!#REF!,"AAAAAH0/voQ=",0)</f>
        <v>#REF!</v>
      </c>
      <c r="ED67" t="e">
        <f>AND(Financial!#REF!,"AAAAAH0/voU=")</f>
        <v>#REF!</v>
      </c>
      <c r="EE67" t="e">
        <f>AND(Financial!#REF!,"AAAAAH0/voY=")</f>
        <v>#REF!</v>
      </c>
      <c r="EF67" t="e">
        <f>AND(Financial!#REF!,"AAAAAH0/voc=")</f>
        <v>#REF!</v>
      </c>
      <c r="EG67" t="e">
        <f>AND(Financial!#REF!,"AAAAAH0/vog=")</f>
        <v>#REF!</v>
      </c>
      <c r="EH67" t="e">
        <f>AND(Financial!#REF!,"AAAAAH0/vok=")</f>
        <v>#REF!</v>
      </c>
      <c r="EI67" t="e">
        <f>AND(Financial!#REF!,"AAAAAH0/voo=")</f>
        <v>#REF!</v>
      </c>
      <c r="EJ67" t="e">
        <f>AND(Financial!#REF!,"AAAAAH0/vos=")</f>
        <v>#REF!</v>
      </c>
      <c r="EK67" t="e">
        <f>AND(Financial!#REF!,"AAAAAH0/vow=")</f>
        <v>#REF!</v>
      </c>
      <c r="EL67" t="e">
        <f>AND(Financial!#REF!,"AAAAAH0/vo0=")</f>
        <v>#REF!</v>
      </c>
      <c r="EM67" t="e">
        <f>AND(Financial!#REF!,"AAAAAH0/vo4=")</f>
        <v>#REF!</v>
      </c>
      <c r="EN67" t="e">
        <f>AND(Financial!#REF!,"AAAAAH0/vo8=")</f>
        <v>#REF!</v>
      </c>
      <c r="EO67" t="e">
        <f>AND(Financial!#REF!,"AAAAAH0/vpA=")</f>
        <v>#REF!</v>
      </c>
      <c r="EP67" t="e">
        <f>AND(Financial!#REF!,"AAAAAH0/vpE=")</f>
        <v>#REF!</v>
      </c>
      <c r="EQ67" t="e">
        <f>AND(Financial!#REF!,"AAAAAH0/vpI=")</f>
        <v>#REF!</v>
      </c>
      <c r="ER67" t="e">
        <f>IF(Financial!#REF!,"AAAAAH0/vpM=",0)</f>
        <v>#REF!</v>
      </c>
      <c r="ES67" t="e">
        <f>AND(Financial!#REF!,"AAAAAH0/vpQ=")</f>
        <v>#REF!</v>
      </c>
      <c r="ET67" t="e">
        <f>AND(Financial!#REF!,"AAAAAH0/vpU=")</f>
        <v>#REF!</v>
      </c>
      <c r="EU67" t="e">
        <f>AND(Financial!#REF!,"AAAAAH0/vpY=")</f>
        <v>#REF!</v>
      </c>
      <c r="EV67" t="e">
        <f>AND(Financial!#REF!,"AAAAAH0/vpc=")</f>
        <v>#REF!</v>
      </c>
      <c r="EW67" t="e">
        <f>AND(Financial!#REF!,"AAAAAH0/vpg=")</f>
        <v>#REF!</v>
      </c>
      <c r="EX67" t="e">
        <f>AND(Financial!#REF!,"AAAAAH0/vpk=")</f>
        <v>#REF!</v>
      </c>
      <c r="EY67" t="e">
        <f>AND(Financial!#REF!,"AAAAAH0/vpo=")</f>
        <v>#REF!</v>
      </c>
      <c r="EZ67" t="e">
        <f>AND(Financial!#REF!,"AAAAAH0/vps=")</f>
        <v>#REF!</v>
      </c>
      <c r="FA67" t="e">
        <f>AND(Financial!#REF!,"AAAAAH0/vpw=")</f>
        <v>#REF!</v>
      </c>
      <c r="FB67" t="e">
        <f>AND(Financial!#REF!,"AAAAAH0/vp0=")</f>
        <v>#REF!</v>
      </c>
      <c r="FC67" t="e">
        <f>AND(Financial!#REF!,"AAAAAH0/vp4=")</f>
        <v>#REF!</v>
      </c>
      <c r="FD67" t="e">
        <f>AND(Financial!#REF!,"AAAAAH0/vp8=")</f>
        <v>#REF!</v>
      </c>
      <c r="FE67" t="e">
        <f>AND(Financial!#REF!,"AAAAAH0/vqA=")</f>
        <v>#REF!</v>
      </c>
      <c r="FF67" t="e">
        <f>AND(Financial!#REF!,"AAAAAH0/vqE=")</f>
        <v>#REF!</v>
      </c>
      <c r="FG67" t="e">
        <f>IF(Financial!#REF!,"AAAAAH0/vqI=",0)</f>
        <v>#REF!</v>
      </c>
      <c r="FH67" t="e">
        <f>AND(Financial!#REF!,"AAAAAH0/vqM=")</f>
        <v>#REF!</v>
      </c>
      <c r="FI67" t="e">
        <f>AND(Financial!#REF!,"AAAAAH0/vqQ=")</f>
        <v>#REF!</v>
      </c>
      <c r="FJ67" t="e">
        <f>AND(Financial!#REF!,"AAAAAH0/vqU=")</f>
        <v>#REF!</v>
      </c>
      <c r="FK67" t="e">
        <f>AND(Financial!#REF!,"AAAAAH0/vqY=")</f>
        <v>#REF!</v>
      </c>
      <c r="FL67" t="e">
        <f>AND(Financial!#REF!,"AAAAAH0/vqc=")</f>
        <v>#REF!</v>
      </c>
      <c r="FM67" t="e">
        <f>AND(Financial!#REF!,"AAAAAH0/vqg=")</f>
        <v>#REF!</v>
      </c>
      <c r="FN67" t="e">
        <f>AND(Financial!#REF!,"AAAAAH0/vqk=")</f>
        <v>#REF!</v>
      </c>
      <c r="FO67" t="e">
        <f>AND(Financial!#REF!,"AAAAAH0/vqo=")</f>
        <v>#REF!</v>
      </c>
      <c r="FP67" t="e">
        <f>AND(Financial!#REF!,"AAAAAH0/vqs=")</f>
        <v>#REF!</v>
      </c>
      <c r="FQ67" t="e">
        <f>AND(Financial!#REF!,"AAAAAH0/vqw=")</f>
        <v>#REF!</v>
      </c>
      <c r="FR67" t="e">
        <f>AND(Financial!#REF!,"AAAAAH0/vq0=")</f>
        <v>#REF!</v>
      </c>
      <c r="FS67" t="e">
        <f>AND(Financial!#REF!,"AAAAAH0/vq4=")</f>
        <v>#REF!</v>
      </c>
      <c r="FT67" t="e">
        <f>AND(Financial!#REF!,"AAAAAH0/vq8=")</f>
        <v>#REF!</v>
      </c>
      <c r="FU67" t="e">
        <f>AND(Financial!#REF!,"AAAAAH0/vrA=")</f>
        <v>#REF!</v>
      </c>
      <c r="FV67">
        <f>IF(Financial!54:54,"AAAAAH0/vrE=",0)</f>
        <v>0</v>
      </c>
      <c r="FW67" t="e">
        <f>AND(Financial!#REF!,"AAAAAH0/vrI=")</f>
        <v>#REF!</v>
      </c>
      <c r="FX67" t="e">
        <f>AND(Financial!A54,"AAAAAH0/vrM=")</f>
        <v>#VALUE!</v>
      </c>
      <c r="FY67" t="e">
        <f>AND(Financial!B54,"AAAAAH0/vrQ=")</f>
        <v>#VALUE!</v>
      </c>
      <c r="FZ67" t="e">
        <f>AND(Financial!C54,"AAAAAH0/vrU=")</f>
        <v>#VALUE!</v>
      </c>
      <c r="GA67" t="e">
        <f>AND(Financial!D54,"AAAAAH0/vrY=")</f>
        <v>#VALUE!</v>
      </c>
      <c r="GB67" t="e">
        <f>AND(Financial!E54,"AAAAAH0/vrc=")</f>
        <v>#VALUE!</v>
      </c>
      <c r="GC67" t="e">
        <f>AND(Financial!F54,"AAAAAH0/vrg=")</f>
        <v>#VALUE!</v>
      </c>
      <c r="GD67" t="e">
        <f>AND(Financial!G54,"AAAAAH0/vrk=")</f>
        <v>#VALUE!</v>
      </c>
      <c r="GE67" t="e">
        <f>AND(Financial!H54,"AAAAAH0/vro=")</f>
        <v>#VALUE!</v>
      </c>
      <c r="GF67" t="e">
        <f>AND(Financial!I54,"AAAAAH0/vrs=")</f>
        <v>#VALUE!</v>
      </c>
      <c r="GG67" t="e">
        <f>AND(Financial!J54,"AAAAAH0/vrw=")</f>
        <v>#VALUE!</v>
      </c>
      <c r="GH67" t="e">
        <f>AND(Financial!K54,"AAAAAH0/vr0=")</f>
        <v>#VALUE!</v>
      </c>
      <c r="GI67" t="e">
        <f>AND(Financial!L54,"AAAAAH0/vr4=")</f>
        <v>#VALUE!</v>
      </c>
      <c r="GJ67" t="e">
        <f>AND(Financial!M54,"AAAAAH0/vr8=")</f>
        <v>#VALUE!</v>
      </c>
      <c r="GK67" t="e">
        <f>IF(Financial!#REF!,"AAAAAH0/vsA=",0)</f>
        <v>#REF!</v>
      </c>
      <c r="GL67" t="e">
        <f>AND(Financial!#REF!,"AAAAAH0/vsE=")</f>
        <v>#REF!</v>
      </c>
      <c r="GM67" t="e">
        <f>AND(Financial!#REF!,"AAAAAH0/vsI=")</f>
        <v>#REF!</v>
      </c>
      <c r="GN67" t="e">
        <f>AND(Financial!#REF!,"AAAAAH0/vsM=")</f>
        <v>#REF!</v>
      </c>
      <c r="GO67" t="e">
        <f>AND(Financial!#REF!,"AAAAAH0/vsQ=")</f>
        <v>#REF!</v>
      </c>
      <c r="GP67" t="e">
        <f>AND(Financial!#REF!,"AAAAAH0/vsU=")</f>
        <v>#REF!</v>
      </c>
      <c r="GQ67" t="e">
        <f>AND(Financial!#REF!,"AAAAAH0/vsY=")</f>
        <v>#REF!</v>
      </c>
      <c r="GR67" t="e">
        <f>AND(Financial!#REF!,"AAAAAH0/vsc=")</f>
        <v>#REF!</v>
      </c>
      <c r="GS67" t="e">
        <f>AND(Financial!#REF!,"AAAAAH0/vsg=")</f>
        <v>#REF!</v>
      </c>
      <c r="GT67" t="e">
        <f>AND(Financial!#REF!,"AAAAAH0/vsk=")</f>
        <v>#REF!</v>
      </c>
      <c r="GU67" t="e">
        <f>AND(Financial!#REF!,"AAAAAH0/vso=")</f>
        <v>#REF!</v>
      </c>
      <c r="GV67" t="e">
        <f>AND(Financial!#REF!,"AAAAAH0/vss=")</f>
        <v>#REF!</v>
      </c>
      <c r="GW67" t="e">
        <f>AND(Financial!#REF!,"AAAAAH0/vsw=")</f>
        <v>#REF!</v>
      </c>
      <c r="GX67" t="e">
        <f>AND(Financial!#REF!,"AAAAAH0/vs0=")</f>
        <v>#REF!</v>
      </c>
      <c r="GY67" t="e">
        <f>AND(Financial!#REF!,"AAAAAH0/vs4=")</f>
        <v>#REF!</v>
      </c>
      <c r="GZ67">
        <f>IF(Financial!55:55,"AAAAAH0/vs8=",0)</f>
        <v>0</v>
      </c>
      <c r="HA67" t="e">
        <f>AND(Financial!#REF!,"AAAAAH0/vtA=")</f>
        <v>#REF!</v>
      </c>
      <c r="HB67" t="e">
        <f>AND(Financial!A55,"AAAAAH0/vtE=")</f>
        <v>#VALUE!</v>
      </c>
      <c r="HC67" t="e">
        <f>AND(Financial!B55,"AAAAAH0/vtI=")</f>
        <v>#VALUE!</v>
      </c>
      <c r="HD67" t="e">
        <f>AND(Financial!C55,"AAAAAH0/vtM=")</f>
        <v>#VALUE!</v>
      </c>
      <c r="HE67" t="e">
        <f>AND(Financial!E55,"AAAAAH0/vtQ=")</f>
        <v>#VALUE!</v>
      </c>
      <c r="HF67" t="e">
        <f>AND(Financial!#REF!,"AAAAAH0/vtU=")</f>
        <v>#REF!</v>
      </c>
      <c r="HG67" t="e">
        <f>AND(Financial!F55,"AAAAAH0/vtY=")</f>
        <v>#VALUE!</v>
      </c>
      <c r="HH67" t="e">
        <f>AND(Financial!G55,"AAAAAH0/vtc=")</f>
        <v>#VALUE!</v>
      </c>
      <c r="HI67" t="e">
        <f>AND(Financial!H55,"AAAAAH0/vtg=")</f>
        <v>#VALUE!</v>
      </c>
      <c r="HJ67" t="e">
        <f>AND(Financial!I55,"AAAAAH0/vtk=")</f>
        <v>#VALUE!</v>
      </c>
      <c r="HK67" t="e">
        <f>AND(Financial!J55,"AAAAAH0/vto=")</f>
        <v>#VALUE!</v>
      </c>
      <c r="HL67" t="e">
        <f>AND(Financial!K55,"AAAAAH0/vts=")</f>
        <v>#VALUE!</v>
      </c>
      <c r="HM67" t="e">
        <f>AND(Financial!L55,"AAAAAH0/vtw=")</f>
        <v>#VALUE!</v>
      </c>
      <c r="HN67" t="e">
        <f>AND(Financial!M55,"AAAAAH0/vt0=")</f>
        <v>#VALUE!</v>
      </c>
      <c r="HO67">
        <f>IF(Financial!56:56,"AAAAAH0/vt4=",0)</f>
        <v>0</v>
      </c>
      <c r="HP67" t="e">
        <f>AND(Financial!#REF!,"AAAAAH0/vt8=")</f>
        <v>#REF!</v>
      </c>
      <c r="HQ67" t="e">
        <f>AND(Financial!A56,"AAAAAH0/vuA=")</f>
        <v>#VALUE!</v>
      </c>
      <c r="HR67" t="e">
        <f>AND(Financial!B56,"AAAAAH0/vuE=")</f>
        <v>#VALUE!</v>
      </c>
      <c r="HS67" t="e">
        <f>AND(Financial!C56,"AAAAAH0/vuI=")</f>
        <v>#VALUE!</v>
      </c>
      <c r="HT67" t="e">
        <f>AND(Financial!E56,"AAAAAH0/vuM=")</f>
        <v>#VALUE!</v>
      </c>
      <c r="HU67" t="e">
        <f>AND(Financial!#REF!,"AAAAAH0/vuQ=")</f>
        <v>#REF!</v>
      </c>
      <c r="HV67" t="e">
        <f>AND(Financial!F56,"AAAAAH0/vuU=")</f>
        <v>#VALUE!</v>
      </c>
      <c r="HW67" t="e">
        <f>AND(Financial!G56,"AAAAAH0/vuY=")</f>
        <v>#VALUE!</v>
      </c>
      <c r="HX67" t="e">
        <f>AND(Financial!H56,"AAAAAH0/vuc=")</f>
        <v>#VALUE!</v>
      </c>
      <c r="HY67" t="e">
        <f>AND(Financial!I56,"AAAAAH0/vug=")</f>
        <v>#VALUE!</v>
      </c>
      <c r="HZ67" t="e">
        <f>AND(Financial!J56,"AAAAAH0/vuk=")</f>
        <v>#VALUE!</v>
      </c>
      <c r="IA67" t="e">
        <f>AND(Financial!K56,"AAAAAH0/vuo=")</f>
        <v>#VALUE!</v>
      </c>
      <c r="IB67" t="e">
        <f>AND(Financial!L56,"AAAAAH0/vus=")</f>
        <v>#VALUE!</v>
      </c>
      <c r="IC67" t="e">
        <f>AND(Financial!M56,"AAAAAH0/vuw=")</f>
        <v>#VALUE!</v>
      </c>
      <c r="ID67">
        <f>IF(Financial!57:57,"AAAAAH0/vu0=",0)</f>
        <v>0</v>
      </c>
      <c r="IE67" t="e">
        <f>AND(Financial!#REF!,"AAAAAH0/vu4=")</f>
        <v>#REF!</v>
      </c>
      <c r="IF67" t="e">
        <f>AND(Financial!A57,"AAAAAH0/vu8=")</f>
        <v>#VALUE!</v>
      </c>
      <c r="IG67" t="e">
        <f>AND(Financial!B57,"AAAAAH0/vvA=")</f>
        <v>#VALUE!</v>
      </c>
      <c r="IH67" t="e">
        <f>AND(Financial!C57,"AAAAAH0/vvE=")</f>
        <v>#VALUE!</v>
      </c>
      <c r="II67" t="e">
        <f>AND(Financial!E57,"AAAAAH0/vvI=")</f>
        <v>#VALUE!</v>
      </c>
      <c r="IJ67" t="e">
        <f>AND(Financial!#REF!,"AAAAAH0/vvM=")</f>
        <v>#REF!</v>
      </c>
      <c r="IK67" t="e">
        <f>AND(Financial!F57,"AAAAAH0/vvQ=")</f>
        <v>#VALUE!</v>
      </c>
      <c r="IL67" t="e">
        <f>AND(Financial!G57,"AAAAAH0/vvU=")</f>
        <v>#VALUE!</v>
      </c>
      <c r="IM67" t="e">
        <f>AND(Financial!H57,"AAAAAH0/vvY=")</f>
        <v>#VALUE!</v>
      </c>
      <c r="IN67" t="e">
        <f>AND(Financial!I57,"AAAAAH0/vvc=")</f>
        <v>#VALUE!</v>
      </c>
      <c r="IO67" t="e">
        <f>AND(Financial!J57,"AAAAAH0/vvg=")</f>
        <v>#VALUE!</v>
      </c>
      <c r="IP67" t="e">
        <f>AND(Financial!K57,"AAAAAH0/vvk=")</f>
        <v>#VALUE!</v>
      </c>
      <c r="IQ67" t="e">
        <f>AND(Financial!L57,"AAAAAH0/vvo=")</f>
        <v>#VALUE!</v>
      </c>
      <c r="IR67" t="e">
        <f>AND(Financial!M57,"AAAAAH0/vvs=")</f>
        <v>#VALUE!</v>
      </c>
      <c r="IS67">
        <f>IF(Financial!58:58,"AAAAAH0/vvw=",0)</f>
        <v>0</v>
      </c>
      <c r="IT67" t="e">
        <f>AND(Financial!#REF!,"AAAAAH0/vv0=")</f>
        <v>#REF!</v>
      </c>
      <c r="IU67" t="e">
        <f>AND(Financial!A58,"AAAAAH0/vv4=")</f>
        <v>#VALUE!</v>
      </c>
      <c r="IV67" t="e">
        <f>AND(Financial!B58,"AAAAAH0/vv8=")</f>
        <v>#VALUE!</v>
      </c>
    </row>
    <row r="68" spans="1:256" x14ac:dyDescent="0.2">
      <c r="A68" t="e">
        <f>AND(Financial!C58,"AAAAAH/+2wA=")</f>
        <v>#VALUE!</v>
      </c>
      <c r="B68" t="e">
        <f>AND(Financial!E58,"AAAAAH/+2wE=")</f>
        <v>#VALUE!</v>
      </c>
      <c r="C68" t="e">
        <f>AND(Financial!#REF!,"AAAAAH/+2wI=")</f>
        <v>#REF!</v>
      </c>
      <c r="D68" t="e">
        <f>AND(Financial!F58,"AAAAAH/+2wM=")</f>
        <v>#VALUE!</v>
      </c>
      <c r="E68" t="e">
        <f>AND(Financial!G58,"AAAAAH/+2wQ=")</f>
        <v>#VALUE!</v>
      </c>
      <c r="F68" t="e">
        <f>AND(Financial!H58,"AAAAAH/+2wU=")</f>
        <v>#VALUE!</v>
      </c>
      <c r="G68" t="e">
        <f>AND(Financial!I58,"AAAAAH/+2wY=")</f>
        <v>#VALUE!</v>
      </c>
      <c r="H68" t="e">
        <f>AND(Financial!J58,"AAAAAH/+2wc=")</f>
        <v>#VALUE!</v>
      </c>
      <c r="I68" t="e">
        <f>AND(Financial!K58,"AAAAAH/+2wg=")</f>
        <v>#VALUE!</v>
      </c>
      <c r="J68" t="e">
        <f>AND(Financial!L58,"AAAAAH/+2wk=")</f>
        <v>#VALUE!</v>
      </c>
      <c r="K68" t="e">
        <f>AND(Financial!M58,"AAAAAH/+2wo=")</f>
        <v>#VALUE!</v>
      </c>
      <c r="L68">
        <f>IF(Financial!59:59,"AAAAAH/+2ws=",0)</f>
        <v>0</v>
      </c>
      <c r="M68" t="e">
        <f>AND(Financial!#REF!,"AAAAAH/+2ww=")</f>
        <v>#REF!</v>
      </c>
      <c r="N68" t="e">
        <f>AND(Financial!A59,"AAAAAH/+2w0=")</f>
        <v>#VALUE!</v>
      </c>
      <c r="O68" t="e">
        <f>AND(Financial!B59,"AAAAAH/+2w4=")</f>
        <v>#VALUE!</v>
      </c>
      <c r="P68" t="e">
        <f>AND(Financial!C59,"AAAAAH/+2w8=")</f>
        <v>#VALUE!</v>
      </c>
      <c r="Q68" t="e">
        <f>AND(Financial!E59,"AAAAAH/+2xA=")</f>
        <v>#VALUE!</v>
      </c>
      <c r="R68" t="e">
        <f>AND(Financial!#REF!,"AAAAAH/+2xE=")</f>
        <v>#REF!</v>
      </c>
      <c r="S68" t="e">
        <f>AND(Financial!F59,"AAAAAH/+2xI=")</f>
        <v>#VALUE!</v>
      </c>
      <c r="T68" t="e">
        <f>AND(Financial!G59,"AAAAAH/+2xM=")</f>
        <v>#VALUE!</v>
      </c>
      <c r="U68" t="e">
        <f>AND(Financial!H59,"AAAAAH/+2xQ=")</f>
        <v>#VALUE!</v>
      </c>
      <c r="V68" t="e">
        <f>AND(Financial!I59,"AAAAAH/+2xU=")</f>
        <v>#VALUE!</v>
      </c>
      <c r="W68" t="e">
        <f>AND(Financial!J59,"AAAAAH/+2xY=")</f>
        <v>#VALUE!</v>
      </c>
      <c r="X68" t="e">
        <f>AND(Financial!K59,"AAAAAH/+2xc=")</f>
        <v>#VALUE!</v>
      </c>
      <c r="Y68" t="e">
        <f>AND(Financial!L59,"AAAAAH/+2xg=")</f>
        <v>#VALUE!</v>
      </c>
      <c r="Z68" t="e">
        <f>AND(Financial!M59,"AAAAAH/+2xk=")</f>
        <v>#VALUE!</v>
      </c>
      <c r="AA68">
        <f>IF(Financial!60:60,"AAAAAH/+2xo=",0)</f>
        <v>0</v>
      </c>
      <c r="AB68" t="e">
        <f>AND(Financial!#REF!,"AAAAAH/+2xs=")</f>
        <v>#REF!</v>
      </c>
      <c r="AC68" t="e">
        <f>AND(Financial!A60,"AAAAAH/+2xw=")</f>
        <v>#VALUE!</v>
      </c>
      <c r="AD68" t="e">
        <f>AND(Financial!B60,"AAAAAH/+2x0=")</f>
        <v>#VALUE!</v>
      </c>
      <c r="AE68" t="e">
        <f>AND(Financial!C60,"AAAAAH/+2x4=")</f>
        <v>#VALUE!</v>
      </c>
      <c r="AF68" t="e">
        <f>AND(Financial!E60,"AAAAAH/+2x8=")</f>
        <v>#VALUE!</v>
      </c>
      <c r="AG68" t="e">
        <f>AND(Financial!#REF!,"AAAAAH/+2yA=")</f>
        <v>#REF!</v>
      </c>
      <c r="AH68" t="e">
        <f>AND(Financial!F60,"AAAAAH/+2yE=")</f>
        <v>#VALUE!</v>
      </c>
      <c r="AI68" t="e">
        <f>AND(Financial!G60,"AAAAAH/+2yI=")</f>
        <v>#VALUE!</v>
      </c>
      <c r="AJ68" t="e">
        <f>AND(Financial!H60,"AAAAAH/+2yM=")</f>
        <v>#VALUE!</v>
      </c>
      <c r="AK68" t="e">
        <f>AND(Financial!I60,"AAAAAH/+2yQ=")</f>
        <v>#VALUE!</v>
      </c>
      <c r="AL68" t="e">
        <f>AND(Financial!J60,"AAAAAH/+2yU=")</f>
        <v>#VALUE!</v>
      </c>
      <c r="AM68" t="e">
        <f>AND(Financial!K60,"AAAAAH/+2yY=")</f>
        <v>#VALUE!</v>
      </c>
      <c r="AN68" t="e">
        <f>AND(Financial!L60,"AAAAAH/+2yc=")</f>
        <v>#VALUE!</v>
      </c>
      <c r="AO68" t="e">
        <f>AND(Financial!M60,"AAAAAH/+2yg=")</f>
        <v>#VALUE!</v>
      </c>
      <c r="AP68">
        <f>IF(Financial!61:61,"AAAAAH/+2yk=",0)</f>
        <v>0</v>
      </c>
      <c r="AQ68" t="e">
        <f>AND(Financial!#REF!,"AAAAAH/+2yo=")</f>
        <v>#REF!</v>
      </c>
      <c r="AR68" t="e">
        <f>AND(Financial!A61,"AAAAAH/+2ys=")</f>
        <v>#VALUE!</v>
      </c>
      <c r="AS68" t="e">
        <f>AND(Financial!B61,"AAAAAH/+2yw=")</f>
        <v>#VALUE!</v>
      </c>
      <c r="AT68" t="e">
        <f>AND(Financial!C61,"AAAAAH/+2y0=")</f>
        <v>#VALUE!</v>
      </c>
      <c r="AU68" t="e">
        <f>AND(Financial!D61,"AAAAAH/+2y4=")</f>
        <v>#VALUE!</v>
      </c>
      <c r="AV68" t="e">
        <f>AND(Financial!E61,"AAAAAH/+2y8=")</f>
        <v>#VALUE!</v>
      </c>
      <c r="AW68" t="e">
        <f>AND(Financial!F61,"AAAAAH/+2zA=")</f>
        <v>#VALUE!</v>
      </c>
      <c r="AX68" t="e">
        <f>AND(Financial!G61,"AAAAAH/+2zE=")</f>
        <v>#VALUE!</v>
      </c>
      <c r="AY68" t="e">
        <f>AND(Financial!H61,"AAAAAH/+2zI=")</f>
        <v>#VALUE!</v>
      </c>
      <c r="AZ68" t="e">
        <f>AND(Financial!I61,"AAAAAH/+2zM=")</f>
        <v>#VALUE!</v>
      </c>
      <c r="BA68" t="e">
        <f>AND(Financial!J61,"AAAAAH/+2zQ=")</f>
        <v>#VALUE!</v>
      </c>
      <c r="BB68" t="e">
        <f>AND(Financial!K61,"AAAAAH/+2zU=")</f>
        <v>#VALUE!</v>
      </c>
      <c r="BC68" t="e">
        <f>AND(Financial!L61,"AAAAAH/+2zY=")</f>
        <v>#VALUE!</v>
      </c>
      <c r="BD68" t="e">
        <f>AND(Financial!M61,"AAAAAH/+2zc=")</f>
        <v>#VALUE!</v>
      </c>
      <c r="BE68">
        <f>IF(Financial!62:62,"AAAAAH/+2zg=",0)</f>
        <v>0</v>
      </c>
      <c r="BF68" t="e">
        <f>AND(Financial!#REF!,"AAAAAH/+2zk=")</f>
        <v>#REF!</v>
      </c>
      <c r="BG68" t="e">
        <f>AND(Financial!A62,"AAAAAH/+2zo=")</f>
        <v>#VALUE!</v>
      </c>
      <c r="BH68" t="e">
        <f>AND(Financial!B62,"AAAAAH/+2zs=")</f>
        <v>#VALUE!</v>
      </c>
      <c r="BI68" t="e">
        <f>AND(Financial!C62,"AAAAAH/+2zw=")</f>
        <v>#VALUE!</v>
      </c>
      <c r="BJ68" t="e">
        <f>AND(Financial!D62,"AAAAAH/+2z0=")</f>
        <v>#VALUE!</v>
      </c>
      <c r="BK68" t="e">
        <f>AND(Financial!E62,"AAAAAH/+2z4=")</f>
        <v>#VALUE!</v>
      </c>
      <c r="BL68" t="e">
        <f>AND(Financial!F62,"AAAAAH/+2z8=")</f>
        <v>#VALUE!</v>
      </c>
      <c r="BM68" t="e">
        <f>AND(Financial!G62,"AAAAAH/+20A=")</f>
        <v>#VALUE!</v>
      </c>
      <c r="BN68" t="e">
        <f>AND(Financial!H62,"AAAAAH/+20E=")</f>
        <v>#VALUE!</v>
      </c>
      <c r="BO68" t="e">
        <f>AND(Financial!I62,"AAAAAH/+20I=")</f>
        <v>#VALUE!</v>
      </c>
      <c r="BP68" t="e">
        <f>AND(Financial!J62,"AAAAAH/+20M=")</f>
        <v>#VALUE!</v>
      </c>
      <c r="BQ68" t="e">
        <f>AND(Financial!K62,"AAAAAH/+20Q=")</f>
        <v>#VALUE!</v>
      </c>
      <c r="BR68" t="e">
        <f>AND(Financial!L62,"AAAAAH/+20U=")</f>
        <v>#VALUE!</v>
      </c>
      <c r="BS68" t="e">
        <f>AND(Financial!M62,"AAAAAH/+20Y=")</f>
        <v>#VALUE!</v>
      </c>
      <c r="BT68" t="e">
        <f>IF(Financial!#REF!,"AAAAAH/+20c=",0)</f>
        <v>#REF!</v>
      </c>
      <c r="BU68" t="e">
        <f>AND(Financial!#REF!,"AAAAAH/+20g=")</f>
        <v>#REF!</v>
      </c>
      <c r="BV68" t="e">
        <f>AND(Financial!#REF!,"AAAAAH/+20k=")</f>
        <v>#REF!</v>
      </c>
      <c r="BW68" t="e">
        <f>AND(Financial!#REF!,"AAAAAH/+20o=")</f>
        <v>#REF!</v>
      </c>
      <c r="BX68" t="e">
        <f>AND(Financial!#REF!,"AAAAAH/+20s=")</f>
        <v>#REF!</v>
      </c>
      <c r="BY68" t="e">
        <f>AND(Financial!#REF!,"AAAAAH/+20w=")</f>
        <v>#REF!</v>
      </c>
      <c r="BZ68" t="e">
        <f>AND(Financial!#REF!,"AAAAAH/+200=")</f>
        <v>#REF!</v>
      </c>
      <c r="CA68" t="e">
        <f>AND(Financial!#REF!,"AAAAAH/+204=")</f>
        <v>#REF!</v>
      </c>
      <c r="CB68" t="e">
        <f>AND(Financial!#REF!,"AAAAAH/+208=")</f>
        <v>#REF!</v>
      </c>
      <c r="CC68" t="e">
        <f>AND(Financial!#REF!,"AAAAAH/+21A=")</f>
        <v>#REF!</v>
      </c>
      <c r="CD68" t="e">
        <f>AND(Financial!#REF!,"AAAAAH/+21E=")</f>
        <v>#REF!</v>
      </c>
      <c r="CE68" t="e">
        <f>AND(Financial!#REF!,"AAAAAH/+21I=")</f>
        <v>#REF!</v>
      </c>
      <c r="CF68" t="e">
        <f>AND(Financial!#REF!,"AAAAAH/+21M=")</f>
        <v>#REF!</v>
      </c>
      <c r="CG68" t="e">
        <f>AND(Financial!#REF!,"AAAAAH/+21Q=")</f>
        <v>#REF!</v>
      </c>
      <c r="CH68" t="e">
        <f>AND(Financial!#REF!,"AAAAAH/+21U=")</f>
        <v>#REF!</v>
      </c>
      <c r="CI68" t="e">
        <f>IF(Financial!#REF!,"AAAAAH/+21Y=",0)</f>
        <v>#REF!</v>
      </c>
      <c r="CJ68" t="e">
        <f>AND(Financial!#REF!,"AAAAAH/+21c=")</f>
        <v>#REF!</v>
      </c>
      <c r="CK68" t="e">
        <f>AND(Financial!#REF!,"AAAAAH/+21g=")</f>
        <v>#REF!</v>
      </c>
      <c r="CL68" t="e">
        <f>AND(Financial!#REF!,"AAAAAH/+21k=")</f>
        <v>#REF!</v>
      </c>
      <c r="CM68" t="e">
        <f>AND(Financial!#REF!,"AAAAAH/+21o=")</f>
        <v>#REF!</v>
      </c>
      <c r="CN68" t="e">
        <f>AND(Financial!#REF!,"AAAAAH/+21s=")</f>
        <v>#REF!</v>
      </c>
      <c r="CO68" t="e">
        <f>AND(Financial!#REF!,"AAAAAH/+21w=")</f>
        <v>#REF!</v>
      </c>
      <c r="CP68" t="e">
        <f>AND(Financial!#REF!,"AAAAAH/+210=")</f>
        <v>#REF!</v>
      </c>
      <c r="CQ68" t="e">
        <f>AND(Financial!#REF!,"AAAAAH/+214=")</f>
        <v>#REF!</v>
      </c>
      <c r="CR68" t="e">
        <f>AND(Financial!#REF!,"AAAAAH/+218=")</f>
        <v>#REF!</v>
      </c>
      <c r="CS68" t="e">
        <f>AND(Financial!#REF!,"AAAAAH/+22A=")</f>
        <v>#REF!</v>
      </c>
      <c r="CT68" t="e">
        <f>AND(Financial!#REF!,"AAAAAH/+22E=")</f>
        <v>#REF!</v>
      </c>
      <c r="CU68" t="e">
        <f>AND(Financial!#REF!,"AAAAAH/+22I=")</f>
        <v>#REF!</v>
      </c>
      <c r="CV68" t="e">
        <f>AND(Financial!#REF!,"AAAAAH/+22M=")</f>
        <v>#REF!</v>
      </c>
      <c r="CW68" t="e">
        <f>AND(Financial!#REF!,"AAAAAH/+22Q=")</f>
        <v>#REF!</v>
      </c>
      <c r="CX68" t="e">
        <f>IF(Financial!#REF!,"AAAAAH/+22U=",0)</f>
        <v>#REF!</v>
      </c>
      <c r="CY68" t="e">
        <f>AND(Financial!#REF!,"AAAAAH/+22Y=")</f>
        <v>#REF!</v>
      </c>
      <c r="CZ68" t="e">
        <f>AND(Financial!#REF!,"AAAAAH/+22c=")</f>
        <v>#REF!</v>
      </c>
      <c r="DA68" t="e">
        <f>AND(Financial!#REF!,"AAAAAH/+22g=")</f>
        <v>#REF!</v>
      </c>
      <c r="DB68" t="e">
        <f>AND(Financial!#REF!,"AAAAAH/+22k=")</f>
        <v>#REF!</v>
      </c>
      <c r="DC68" t="e">
        <f>AND(Financial!#REF!,"AAAAAH/+22o=")</f>
        <v>#REF!</v>
      </c>
      <c r="DD68" t="e">
        <f>AND(Financial!#REF!,"AAAAAH/+22s=")</f>
        <v>#REF!</v>
      </c>
      <c r="DE68" t="e">
        <f>AND(Financial!#REF!,"AAAAAH/+22w=")</f>
        <v>#REF!</v>
      </c>
      <c r="DF68" t="e">
        <f>AND(Financial!#REF!,"AAAAAH/+220=")</f>
        <v>#REF!</v>
      </c>
      <c r="DG68" t="e">
        <f>AND(Financial!#REF!,"AAAAAH/+224=")</f>
        <v>#REF!</v>
      </c>
      <c r="DH68" t="e">
        <f>AND(Financial!#REF!,"AAAAAH/+228=")</f>
        <v>#REF!</v>
      </c>
      <c r="DI68" t="e">
        <f>AND(Financial!#REF!,"AAAAAH/+23A=")</f>
        <v>#REF!</v>
      </c>
      <c r="DJ68" t="e">
        <f>AND(Financial!#REF!,"AAAAAH/+23E=")</f>
        <v>#REF!</v>
      </c>
      <c r="DK68" t="e">
        <f>AND(Financial!#REF!,"AAAAAH/+23I=")</f>
        <v>#REF!</v>
      </c>
      <c r="DL68" t="e">
        <f>AND(Financial!#REF!,"AAAAAH/+23M=")</f>
        <v>#REF!</v>
      </c>
      <c r="DM68" t="e">
        <f>IF(Financial!#REF!,"AAAAAH/+23Q=",0)</f>
        <v>#REF!</v>
      </c>
      <c r="DN68" t="e">
        <f>AND(Financial!#REF!,"AAAAAH/+23U=")</f>
        <v>#REF!</v>
      </c>
      <c r="DO68" t="e">
        <f>AND(Financial!#REF!,"AAAAAH/+23Y=")</f>
        <v>#REF!</v>
      </c>
      <c r="DP68" t="e">
        <f>AND(Financial!#REF!,"AAAAAH/+23c=")</f>
        <v>#REF!</v>
      </c>
      <c r="DQ68" t="e">
        <f>AND(Financial!#REF!,"AAAAAH/+23g=")</f>
        <v>#REF!</v>
      </c>
      <c r="DR68" t="e">
        <f>AND(Financial!#REF!,"AAAAAH/+23k=")</f>
        <v>#REF!</v>
      </c>
      <c r="DS68" t="e">
        <f>AND(Financial!#REF!,"AAAAAH/+23o=")</f>
        <v>#REF!</v>
      </c>
      <c r="DT68" t="e">
        <f>AND(Financial!#REF!,"AAAAAH/+23s=")</f>
        <v>#REF!</v>
      </c>
      <c r="DU68" t="e">
        <f>AND(Financial!#REF!,"AAAAAH/+23w=")</f>
        <v>#REF!</v>
      </c>
      <c r="DV68" t="e">
        <f>AND(Financial!#REF!,"AAAAAH/+230=")</f>
        <v>#REF!</v>
      </c>
      <c r="DW68" t="e">
        <f>AND(Financial!#REF!,"AAAAAH/+234=")</f>
        <v>#REF!</v>
      </c>
      <c r="DX68" t="e">
        <f>AND(Financial!#REF!,"AAAAAH/+238=")</f>
        <v>#REF!</v>
      </c>
      <c r="DY68" t="e">
        <f>AND(Financial!#REF!,"AAAAAH/+24A=")</f>
        <v>#REF!</v>
      </c>
      <c r="DZ68" t="e">
        <f>AND(Financial!#REF!,"AAAAAH/+24E=")</f>
        <v>#REF!</v>
      </c>
      <c r="EA68" t="e">
        <f>AND(Financial!#REF!,"AAAAAH/+24I=")</f>
        <v>#REF!</v>
      </c>
      <c r="EB68" t="e">
        <f>IF(Financial!#REF!,"AAAAAH/+24M=",0)</f>
        <v>#REF!</v>
      </c>
      <c r="EC68" t="e">
        <f>AND(Financial!#REF!,"AAAAAH/+24Q=")</f>
        <v>#REF!</v>
      </c>
      <c r="ED68" t="e">
        <f>AND(Financial!#REF!,"AAAAAH/+24U=")</f>
        <v>#REF!</v>
      </c>
      <c r="EE68" t="e">
        <f>AND(Financial!#REF!,"AAAAAH/+24Y=")</f>
        <v>#REF!</v>
      </c>
      <c r="EF68" t="e">
        <f>AND(Financial!#REF!,"AAAAAH/+24c=")</f>
        <v>#REF!</v>
      </c>
      <c r="EG68" t="e">
        <f>AND(Financial!#REF!,"AAAAAH/+24g=")</f>
        <v>#REF!</v>
      </c>
      <c r="EH68" t="e">
        <f>AND(Financial!#REF!,"AAAAAH/+24k=")</f>
        <v>#REF!</v>
      </c>
      <c r="EI68" t="e">
        <f>AND(Financial!#REF!,"AAAAAH/+24o=")</f>
        <v>#REF!</v>
      </c>
      <c r="EJ68" t="e">
        <f>AND(Financial!#REF!,"AAAAAH/+24s=")</f>
        <v>#REF!</v>
      </c>
      <c r="EK68" t="e">
        <f>AND(Financial!#REF!,"AAAAAH/+24w=")</f>
        <v>#REF!</v>
      </c>
      <c r="EL68" t="e">
        <f>AND(Financial!#REF!,"AAAAAH/+240=")</f>
        <v>#REF!</v>
      </c>
      <c r="EM68" t="e">
        <f>AND(Financial!#REF!,"AAAAAH/+244=")</f>
        <v>#REF!</v>
      </c>
      <c r="EN68" t="e">
        <f>AND(Financial!#REF!,"AAAAAH/+248=")</f>
        <v>#REF!</v>
      </c>
      <c r="EO68" t="e">
        <f>AND(Financial!#REF!,"AAAAAH/+25A=")</f>
        <v>#REF!</v>
      </c>
      <c r="EP68" t="e">
        <f>AND(Financial!#REF!,"AAAAAH/+25E=")</f>
        <v>#REF!</v>
      </c>
      <c r="EQ68" t="e">
        <f>IF(Financial!#REF!,"AAAAAH/+25I=",0)</f>
        <v>#REF!</v>
      </c>
      <c r="ER68" t="e">
        <f>AND(Financial!#REF!,"AAAAAH/+25M=")</f>
        <v>#REF!</v>
      </c>
      <c r="ES68" t="e">
        <f>AND(Financial!#REF!,"AAAAAH/+25Q=")</f>
        <v>#REF!</v>
      </c>
      <c r="ET68" t="e">
        <f>AND(Financial!#REF!,"AAAAAH/+25U=")</f>
        <v>#REF!</v>
      </c>
      <c r="EU68" t="e">
        <f>AND(Financial!#REF!,"AAAAAH/+25Y=")</f>
        <v>#REF!</v>
      </c>
      <c r="EV68" t="e">
        <f>AND(Financial!#REF!,"AAAAAH/+25c=")</f>
        <v>#REF!</v>
      </c>
      <c r="EW68" t="e">
        <f>AND(Financial!#REF!,"AAAAAH/+25g=")</f>
        <v>#REF!</v>
      </c>
      <c r="EX68" t="e">
        <f>AND(Financial!#REF!,"AAAAAH/+25k=")</f>
        <v>#REF!</v>
      </c>
      <c r="EY68" t="e">
        <f>AND(Financial!#REF!,"AAAAAH/+25o=")</f>
        <v>#REF!</v>
      </c>
      <c r="EZ68" t="e">
        <f>AND(Financial!#REF!,"AAAAAH/+25s=")</f>
        <v>#REF!</v>
      </c>
      <c r="FA68" t="e">
        <f>AND(Financial!#REF!,"AAAAAH/+25w=")</f>
        <v>#REF!</v>
      </c>
      <c r="FB68" t="e">
        <f>AND(Financial!#REF!,"AAAAAH/+250=")</f>
        <v>#REF!</v>
      </c>
      <c r="FC68" t="e">
        <f>AND(Financial!#REF!,"AAAAAH/+254=")</f>
        <v>#REF!</v>
      </c>
      <c r="FD68" t="e">
        <f>AND(Financial!#REF!,"AAAAAH/+258=")</f>
        <v>#REF!</v>
      </c>
      <c r="FE68" t="e">
        <f>AND(Financial!#REF!,"AAAAAH/+26A=")</f>
        <v>#REF!</v>
      </c>
      <c r="FF68" t="e">
        <f>IF(Financial!#REF!,"AAAAAH/+26E=",0)</f>
        <v>#REF!</v>
      </c>
      <c r="FG68" t="e">
        <f>AND(Financial!#REF!,"AAAAAH/+26I=")</f>
        <v>#REF!</v>
      </c>
      <c r="FH68" t="e">
        <f>AND(Financial!#REF!,"AAAAAH/+26M=")</f>
        <v>#REF!</v>
      </c>
      <c r="FI68" t="e">
        <f>AND(Financial!#REF!,"AAAAAH/+26Q=")</f>
        <v>#REF!</v>
      </c>
      <c r="FJ68" t="e">
        <f>AND(Financial!#REF!,"AAAAAH/+26U=")</f>
        <v>#REF!</v>
      </c>
      <c r="FK68" t="e">
        <f>AND(Financial!#REF!,"AAAAAH/+26Y=")</f>
        <v>#REF!</v>
      </c>
      <c r="FL68" t="e">
        <f>AND(Financial!#REF!,"AAAAAH/+26c=")</f>
        <v>#REF!</v>
      </c>
      <c r="FM68" t="e">
        <f>AND(Financial!#REF!,"AAAAAH/+26g=")</f>
        <v>#REF!</v>
      </c>
      <c r="FN68" t="e">
        <f>AND(Financial!#REF!,"AAAAAH/+26k=")</f>
        <v>#REF!</v>
      </c>
      <c r="FO68" t="e">
        <f>AND(Financial!#REF!,"AAAAAH/+26o=")</f>
        <v>#REF!</v>
      </c>
      <c r="FP68" t="e">
        <f>AND(Financial!#REF!,"AAAAAH/+26s=")</f>
        <v>#REF!</v>
      </c>
      <c r="FQ68" t="e">
        <f>AND(Financial!#REF!,"AAAAAH/+26w=")</f>
        <v>#REF!</v>
      </c>
      <c r="FR68" t="e">
        <f>AND(Financial!#REF!,"AAAAAH/+260=")</f>
        <v>#REF!</v>
      </c>
      <c r="FS68" t="e">
        <f>AND(Financial!#REF!,"AAAAAH/+264=")</f>
        <v>#REF!</v>
      </c>
      <c r="FT68" t="e">
        <f>AND(Financial!#REF!,"AAAAAH/+268=")</f>
        <v>#REF!</v>
      </c>
      <c r="FU68" t="e">
        <f>IF(Financial!#REF!,"AAAAAH/+27A=",0)</f>
        <v>#REF!</v>
      </c>
      <c r="FV68" t="e">
        <f>AND(Financial!#REF!,"AAAAAH/+27E=")</f>
        <v>#REF!</v>
      </c>
      <c r="FW68" t="e">
        <f>AND(Financial!#REF!,"AAAAAH/+27I=")</f>
        <v>#REF!</v>
      </c>
      <c r="FX68" t="e">
        <f>AND(Financial!#REF!,"AAAAAH/+27M=")</f>
        <v>#REF!</v>
      </c>
      <c r="FY68" t="e">
        <f>AND(Financial!#REF!,"AAAAAH/+27Q=")</f>
        <v>#REF!</v>
      </c>
      <c r="FZ68" t="e">
        <f>AND(Financial!#REF!,"AAAAAH/+27U=")</f>
        <v>#REF!</v>
      </c>
      <c r="GA68" t="e">
        <f>AND(Financial!#REF!,"AAAAAH/+27Y=")</f>
        <v>#REF!</v>
      </c>
      <c r="GB68" t="e">
        <f>AND(Financial!#REF!,"AAAAAH/+27c=")</f>
        <v>#REF!</v>
      </c>
      <c r="GC68" t="e">
        <f>AND(Financial!#REF!,"AAAAAH/+27g=")</f>
        <v>#REF!</v>
      </c>
      <c r="GD68" t="e">
        <f>AND(Financial!#REF!,"AAAAAH/+27k=")</f>
        <v>#REF!</v>
      </c>
      <c r="GE68" t="e">
        <f>AND(Financial!#REF!,"AAAAAH/+27o=")</f>
        <v>#REF!</v>
      </c>
      <c r="GF68" t="e">
        <f>AND(Financial!#REF!,"AAAAAH/+27s=")</f>
        <v>#REF!</v>
      </c>
      <c r="GG68" t="e">
        <f>AND(Financial!#REF!,"AAAAAH/+27w=")</f>
        <v>#REF!</v>
      </c>
      <c r="GH68" t="e">
        <f>AND(Financial!#REF!,"AAAAAH/+270=")</f>
        <v>#REF!</v>
      </c>
      <c r="GI68" t="e">
        <f>AND(Financial!#REF!,"AAAAAH/+274=")</f>
        <v>#REF!</v>
      </c>
      <c r="GJ68">
        <f>IF(Financial!81:81,"AAAAAH/+278=",0)</f>
        <v>0</v>
      </c>
      <c r="GK68" t="e">
        <f>AND(Financial!#REF!,"AAAAAH/+28A=")</f>
        <v>#REF!</v>
      </c>
      <c r="GL68" t="e">
        <f>AND(Financial!A81,"AAAAAH/+28E=")</f>
        <v>#VALUE!</v>
      </c>
      <c r="GM68" t="e">
        <f>AND(Financial!B81,"AAAAAH/+28I=")</f>
        <v>#VALUE!</v>
      </c>
      <c r="GN68" t="e">
        <f>AND(Financial!C81,"AAAAAH/+28M=")</f>
        <v>#VALUE!</v>
      </c>
      <c r="GO68" t="e">
        <f>AND(Financial!D81,"AAAAAH/+28Q=")</f>
        <v>#VALUE!</v>
      </c>
      <c r="GP68" t="e">
        <f>AND(Financial!E81,"AAAAAH/+28U=")</f>
        <v>#VALUE!</v>
      </c>
      <c r="GQ68" t="e">
        <f>AND(Financial!F81,"AAAAAH/+28Y=")</f>
        <v>#VALUE!</v>
      </c>
      <c r="GR68" t="e">
        <f>AND(Financial!G81,"AAAAAH/+28c=")</f>
        <v>#VALUE!</v>
      </c>
      <c r="GS68" t="e">
        <f>AND(Financial!H81,"AAAAAH/+28g=")</f>
        <v>#VALUE!</v>
      </c>
      <c r="GT68" t="e">
        <f>AND(Financial!I81,"AAAAAH/+28k=")</f>
        <v>#VALUE!</v>
      </c>
      <c r="GU68" t="e">
        <f>AND(Financial!J81,"AAAAAH/+28o=")</f>
        <v>#VALUE!</v>
      </c>
      <c r="GV68" t="e">
        <f>AND(Financial!K81,"AAAAAH/+28s=")</f>
        <v>#VALUE!</v>
      </c>
      <c r="GW68" t="e">
        <f>AND(Financial!L81,"AAAAAH/+28w=")</f>
        <v>#VALUE!</v>
      </c>
      <c r="GX68" t="e">
        <f>AND(Financial!M81,"AAAAAH/+280=")</f>
        <v>#VALUE!</v>
      </c>
      <c r="GY68" t="e">
        <f>IF(Financial!#REF!,"AAAAAH/+284=",0)</f>
        <v>#REF!</v>
      </c>
      <c r="GZ68" t="e">
        <f>AND(Financial!#REF!,"AAAAAH/+288=")</f>
        <v>#REF!</v>
      </c>
      <c r="HA68" t="e">
        <f>AND(Financial!#REF!,"AAAAAH/+29A=")</f>
        <v>#REF!</v>
      </c>
      <c r="HB68" t="e">
        <f>AND(Financial!#REF!,"AAAAAH/+29E=")</f>
        <v>#REF!</v>
      </c>
      <c r="HC68" t="e">
        <f>AND(Financial!#REF!,"AAAAAH/+29I=")</f>
        <v>#REF!</v>
      </c>
      <c r="HD68" t="e">
        <f>AND(Financial!#REF!,"AAAAAH/+29M=")</f>
        <v>#REF!</v>
      </c>
      <c r="HE68" t="e">
        <f>AND(Financial!#REF!,"AAAAAH/+29Q=")</f>
        <v>#REF!</v>
      </c>
      <c r="HF68" t="e">
        <f>AND(Financial!#REF!,"AAAAAH/+29U=")</f>
        <v>#REF!</v>
      </c>
      <c r="HG68" t="e">
        <f>AND(Financial!#REF!,"AAAAAH/+29Y=")</f>
        <v>#REF!</v>
      </c>
      <c r="HH68" t="e">
        <f>AND(Financial!#REF!,"AAAAAH/+29c=")</f>
        <v>#REF!</v>
      </c>
      <c r="HI68" t="e">
        <f>AND(Financial!#REF!,"AAAAAH/+29g=")</f>
        <v>#REF!</v>
      </c>
      <c r="HJ68" t="e">
        <f>AND(Financial!#REF!,"AAAAAH/+29k=")</f>
        <v>#REF!</v>
      </c>
      <c r="HK68" t="e">
        <f>AND(Financial!#REF!,"AAAAAH/+29o=")</f>
        <v>#REF!</v>
      </c>
      <c r="HL68" t="e">
        <f>AND(Financial!#REF!,"AAAAAH/+29s=")</f>
        <v>#REF!</v>
      </c>
      <c r="HM68" t="e">
        <f>AND(Financial!#REF!,"AAAAAH/+29w=")</f>
        <v>#REF!</v>
      </c>
      <c r="HN68">
        <f>IF(Financial!82:82,"AAAAAH/+290=",0)</f>
        <v>0</v>
      </c>
      <c r="HO68" t="e">
        <f>AND(Financial!#REF!,"AAAAAH/+294=")</f>
        <v>#REF!</v>
      </c>
      <c r="HP68" t="e">
        <f>AND(Financial!A82,"AAAAAH/+298=")</f>
        <v>#VALUE!</v>
      </c>
      <c r="HQ68" t="e">
        <f>AND(Financial!B82,"AAAAAH/+2+A=")</f>
        <v>#VALUE!</v>
      </c>
      <c r="HR68" t="e">
        <f>AND(Financial!C82,"AAAAAH/+2+E=")</f>
        <v>#VALUE!</v>
      </c>
      <c r="HS68" t="e">
        <f>AND(Financial!D82,"AAAAAH/+2+I=")</f>
        <v>#VALUE!</v>
      </c>
      <c r="HT68" t="e">
        <f>AND(Financial!E82,"AAAAAH/+2+M=")</f>
        <v>#VALUE!</v>
      </c>
      <c r="HU68" t="e">
        <f>AND(Financial!F82,"AAAAAH/+2+Q=")</f>
        <v>#VALUE!</v>
      </c>
      <c r="HV68" t="e">
        <f>AND(Financial!G82,"AAAAAH/+2+U=")</f>
        <v>#VALUE!</v>
      </c>
      <c r="HW68" t="e">
        <f>AND(Financial!H82,"AAAAAH/+2+Y=")</f>
        <v>#VALUE!</v>
      </c>
      <c r="HX68" t="e">
        <f>AND(Financial!I82,"AAAAAH/+2+c=")</f>
        <v>#VALUE!</v>
      </c>
      <c r="HY68" t="e">
        <f>AND(Financial!J82,"AAAAAH/+2+g=")</f>
        <v>#VALUE!</v>
      </c>
      <c r="HZ68" t="e">
        <f>AND(Financial!K82,"AAAAAH/+2+k=")</f>
        <v>#VALUE!</v>
      </c>
      <c r="IA68" t="e">
        <f>AND(Financial!L82,"AAAAAH/+2+o=")</f>
        <v>#VALUE!</v>
      </c>
      <c r="IB68" t="e">
        <f>AND(Financial!M82,"AAAAAH/+2+s=")</f>
        <v>#VALUE!</v>
      </c>
      <c r="IC68">
        <f>IF(Financial!83:83,"AAAAAH/+2+w=",0)</f>
        <v>0</v>
      </c>
      <c r="ID68" t="e">
        <f>AND(Financial!#REF!,"AAAAAH/+2+0=")</f>
        <v>#REF!</v>
      </c>
      <c r="IE68" t="e">
        <f>AND(Financial!A83,"AAAAAH/+2+4=")</f>
        <v>#VALUE!</v>
      </c>
      <c r="IF68" t="e">
        <f>AND(Financial!B83,"AAAAAH/+2+8=")</f>
        <v>#VALUE!</v>
      </c>
      <c r="IG68" t="e">
        <f>AND(Financial!C83,"AAAAAH/+2/A=")</f>
        <v>#VALUE!</v>
      </c>
      <c r="IH68" t="e">
        <f>AND(Financial!D83,"AAAAAH/+2/E=")</f>
        <v>#VALUE!</v>
      </c>
      <c r="II68" t="e">
        <f>AND(Financial!E83,"AAAAAH/+2/I=")</f>
        <v>#VALUE!</v>
      </c>
      <c r="IJ68" t="e">
        <f>AND(Financial!F83,"AAAAAH/+2/M=")</f>
        <v>#VALUE!</v>
      </c>
      <c r="IK68" t="e">
        <f>AND(Financial!G83,"AAAAAH/+2/Q=")</f>
        <v>#VALUE!</v>
      </c>
      <c r="IL68" t="e">
        <f>AND(Financial!H83,"AAAAAH/+2/U=")</f>
        <v>#VALUE!</v>
      </c>
      <c r="IM68" t="e">
        <f>AND(Financial!I83,"AAAAAH/+2/Y=")</f>
        <v>#VALUE!</v>
      </c>
      <c r="IN68" t="e">
        <f>AND(Financial!J83,"AAAAAH/+2/c=")</f>
        <v>#VALUE!</v>
      </c>
      <c r="IO68" t="e">
        <f>AND(Financial!K83,"AAAAAH/+2/g=")</f>
        <v>#VALUE!</v>
      </c>
      <c r="IP68" t="e">
        <f>AND(Financial!L83,"AAAAAH/+2/k=")</f>
        <v>#VALUE!</v>
      </c>
      <c r="IQ68" t="e">
        <f>AND(Financial!M83,"AAAAAH/+2/o=")</f>
        <v>#VALUE!</v>
      </c>
      <c r="IR68">
        <f>IF(Financial!84:84,"AAAAAH/+2/s=",0)</f>
        <v>0</v>
      </c>
      <c r="IS68" t="e">
        <f>AND(Financial!#REF!,"AAAAAH/+2/w=")</f>
        <v>#REF!</v>
      </c>
      <c r="IT68" t="e">
        <f>AND(Financial!A84,"AAAAAH/+2/0=")</f>
        <v>#VALUE!</v>
      </c>
      <c r="IU68" t="e">
        <f>AND(Financial!B84,"AAAAAH/+2/4=")</f>
        <v>#VALUE!</v>
      </c>
      <c r="IV68" t="e">
        <f>AND(Financial!C84,"AAAAAH/+2/8=")</f>
        <v>#VALUE!</v>
      </c>
    </row>
    <row r="69" spans="1:256" x14ac:dyDescent="0.2">
      <c r="A69" t="e">
        <f>AND(Financial!D84,"AAAAAGoH7QA=")</f>
        <v>#VALUE!</v>
      </c>
      <c r="B69" t="e">
        <f>AND(Financial!E84,"AAAAAGoH7QE=")</f>
        <v>#VALUE!</v>
      </c>
      <c r="C69" t="e">
        <f>AND(Financial!F84,"AAAAAGoH7QI=")</f>
        <v>#VALUE!</v>
      </c>
      <c r="D69" t="e">
        <f>AND(Financial!G84,"AAAAAGoH7QM=")</f>
        <v>#VALUE!</v>
      </c>
      <c r="E69" t="e">
        <f>AND(Financial!H84,"AAAAAGoH7QQ=")</f>
        <v>#VALUE!</v>
      </c>
      <c r="F69" t="e">
        <f>AND(Financial!I84,"AAAAAGoH7QU=")</f>
        <v>#VALUE!</v>
      </c>
      <c r="G69" t="e">
        <f>AND(Financial!J84,"AAAAAGoH7QY=")</f>
        <v>#VALUE!</v>
      </c>
      <c r="H69" t="e">
        <f>AND(Financial!K84,"AAAAAGoH7Qc=")</f>
        <v>#VALUE!</v>
      </c>
      <c r="I69" t="e">
        <f>AND(Financial!L84,"AAAAAGoH7Qg=")</f>
        <v>#VALUE!</v>
      </c>
      <c r="J69" t="e">
        <f>AND(Financial!M84,"AAAAAGoH7Qk=")</f>
        <v>#VALUE!</v>
      </c>
      <c r="K69">
        <f>IF(Financial!85:85,"AAAAAGoH7Qo=",0)</f>
        <v>0</v>
      </c>
      <c r="L69" t="e">
        <f>AND(Financial!#REF!,"AAAAAGoH7Qs=")</f>
        <v>#REF!</v>
      </c>
      <c r="M69" t="e">
        <f>AND(Financial!A85,"AAAAAGoH7Qw=")</f>
        <v>#VALUE!</v>
      </c>
      <c r="N69" t="e">
        <f>AND(Financial!B85,"AAAAAGoH7Q0=")</f>
        <v>#VALUE!</v>
      </c>
      <c r="O69" t="e">
        <f>AND(Financial!C85,"AAAAAGoH7Q4=")</f>
        <v>#VALUE!</v>
      </c>
      <c r="P69" t="e">
        <f>AND(Financial!D85,"AAAAAGoH7Q8=")</f>
        <v>#VALUE!</v>
      </c>
      <c r="Q69" t="e">
        <f>AND(Financial!E85,"AAAAAGoH7RA=")</f>
        <v>#VALUE!</v>
      </c>
      <c r="R69" t="e">
        <f>AND(Financial!F85,"AAAAAGoH7RE=")</f>
        <v>#VALUE!</v>
      </c>
      <c r="S69" t="e">
        <f>AND(Financial!G85,"AAAAAGoH7RI=")</f>
        <v>#VALUE!</v>
      </c>
      <c r="T69" t="e">
        <f>AND(Financial!H85,"AAAAAGoH7RM=")</f>
        <v>#VALUE!</v>
      </c>
      <c r="U69" t="e">
        <f>AND(Financial!I85,"AAAAAGoH7RQ=")</f>
        <v>#VALUE!</v>
      </c>
      <c r="V69" t="e">
        <f>AND(Financial!J85,"AAAAAGoH7RU=")</f>
        <v>#VALUE!</v>
      </c>
      <c r="W69" t="e">
        <f>AND(Financial!K85,"AAAAAGoH7RY=")</f>
        <v>#VALUE!</v>
      </c>
      <c r="X69" t="e">
        <f>AND(Financial!L85,"AAAAAGoH7Rc=")</f>
        <v>#VALUE!</v>
      </c>
      <c r="Y69" t="e">
        <f>AND(Financial!M85,"AAAAAGoH7Rg=")</f>
        <v>#VALUE!</v>
      </c>
      <c r="Z69">
        <f>IF(Financial!86:86,"AAAAAGoH7Rk=",0)</f>
        <v>0</v>
      </c>
      <c r="AA69" t="e">
        <f>AND(Financial!#REF!,"AAAAAGoH7Ro=")</f>
        <v>#REF!</v>
      </c>
      <c r="AB69" t="e">
        <f>AND(Financial!A86,"AAAAAGoH7Rs=")</f>
        <v>#VALUE!</v>
      </c>
      <c r="AC69" t="e">
        <f>AND(Financial!B86,"AAAAAGoH7Rw=")</f>
        <v>#VALUE!</v>
      </c>
      <c r="AD69" t="e">
        <f>AND(Financial!C86,"AAAAAGoH7R0=")</f>
        <v>#VALUE!</v>
      </c>
      <c r="AE69" t="e">
        <f>AND(Financial!D86,"AAAAAGoH7R4=")</f>
        <v>#VALUE!</v>
      </c>
      <c r="AF69" t="e">
        <f>AND(Financial!E86,"AAAAAGoH7R8=")</f>
        <v>#VALUE!</v>
      </c>
      <c r="AG69" t="e">
        <f>AND(Financial!F86,"AAAAAGoH7SA=")</f>
        <v>#VALUE!</v>
      </c>
      <c r="AH69" t="e">
        <f>AND(Financial!G86,"AAAAAGoH7SE=")</f>
        <v>#VALUE!</v>
      </c>
      <c r="AI69" t="e">
        <f>AND(Financial!H86,"AAAAAGoH7SI=")</f>
        <v>#VALUE!</v>
      </c>
      <c r="AJ69" t="e">
        <f>AND(Financial!I86,"AAAAAGoH7SM=")</f>
        <v>#VALUE!</v>
      </c>
      <c r="AK69" t="e">
        <f>AND(Financial!J86,"AAAAAGoH7SQ=")</f>
        <v>#VALUE!</v>
      </c>
      <c r="AL69" t="e">
        <f>AND(Financial!K86,"AAAAAGoH7SU=")</f>
        <v>#VALUE!</v>
      </c>
      <c r="AM69" t="e">
        <f>AND(Financial!L86,"AAAAAGoH7SY=")</f>
        <v>#VALUE!</v>
      </c>
      <c r="AN69" t="e">
        <f>AND(Financial!M86,"AAAAAGoH7Sc=")</f>
        <v>#VALUE!</v>
      </c>
      <c r="AO69">
        <f>IF(Financial!87:87,"AAAAAGoH7Sg=",0)</f>
        <v>0</v>
      </c>
      <c r="AP69" t="e">
        <f>AND(Financial!#REF!,"AAAAAGoH7Sk=")</f>
        <v>#REF!</v>
      </c>
      <c r="AQ69" t="e">
        <f>AND(Financial!A87,"AAAAAGoH7So=")</f>
        <v>#VALUE!</v>
      </c>
      <c r="AR69" t="e">
        <f>AND(Financial!B87,"AAAAAGoH7Ss=")</f>
        <v>#VALUE!</v>
      </c>
      <c r="AS69" t="e">
        <f>AND(Financial!C87,"AAAAAGoH7Sw=")</f>
        <v>#VALUE!</v>
      </c>
      <c r="AT69" t="e">
        <f>AND(Financial!D87,"AAAAAGoH7S0=")</f>
        <v>#VALUE!</v>
      </c>
      <c r="AU69" t="e">
        <f>AND(Financial!E87,"AAAAAGoH7S4=")</f>
        <v>#VALUE!</v>
      </c>
      <c r="AV69" t="e">
        <f>AND(Financial!F87,"AAAAAGoH7S8=")</f>
        <v>#VALUE!</v>
      </c>
      <c r="AW69" t="e">
        <f>AND(Financial!G87,"AAAAAGoH7TA=")</f>
        <v>#VALUE!</v>
      </c>
      <c r="AX69" t="e">
        <f>AND(Financial!H87,"AAAAAGoH7TE=")</f>
        <v>#VALUE!</v>
      </c>
      <c r="AY69" t="e">
        <f>AND(Financial!I87,"AAAAAGoH7TI=")</f>
        <v>#VALUE!</v>
      </c>
      <c r="AZ69" t="e">
        <f>AND(Financial!J87,"AAAAAGoH7TM=")</f>
        <v>#VALUE!</v>
      </c>
      <c r="BA69" t="e">
        <f>AND(Financial!K87,"AAAAAGoH7TQ=")</f>
        <v>#VALUE!</v>
      </c>
      <c r="BB69" t="e">
        <f>AND(Financial!L87,"AAAAAGoH7TU=")</f>
        <v>#VALUE!</v>
      </c>
      <c r="BC69" t="e">
        <f>AND(Financial!M87,"AAAAAGoH7TY=")</f>
        <v>#VALUE!</v>
      </c>
      <c r="BD69">
        <f>IF(Financial!88:88,"AAAAAGoH7Tc=",0)</f>
        <v>0</v>
      </c>
      <c r="BE69" t="e">
        <f>AND(Financial!#REF!,"AAAAAGoH7Tg=")</f>
        <v>#REF!</v>
      </c>
      <c r="BF69" t="e">
        <f>AND(Financial!A88,"AAAAAGoH7Tk=")</f>
        <v>#VALUE!</v>
      </c>
      <c r="BG69" t="e">
        <f>AND(Financial!B88,"AAAAAGoH7To=")</f>
        <v>#VALUE!</v>
      </c>
      <c r="BH69" t="e">
        <f>AND(Financial!C88,"AAAAAGoH7Ts=")</f>
        <v>#VALUE!</v>
      </c>
      <c r="BI69" t="e">
        <f>AND(Financial!D88,"AAAAAGoH7Tw=")</f>
        <v>#VALUE!</v>
      </c>
      <c r="BJ69" t="e">
        <f>AND(Financial!E88,"AAAAAGoH7T0=")</f>
        <v>#VALUE!</v>
      </c>
      <c r="BK69" t="e">
        <f>AND(Financial!F88,"AAAAAGoH7T4=")</f>
        <v>#VALUE!</v>
      </c>
      <c r="BL69" t="e">
        <f>AND(Financial!G88,"AAAAAGoH7T8=")</f>
        <v>#VALUE!</v>
      </c>
      <c r="BM69" t="e">
        <f>AND(Financial!H88,"AAAAAGoH7UA=")</f>
        <v>#VALUE!</v>
      </c>
      <c r="BN69" t="e">
        <f>AND(Financial!I88,"AAAAAGoH7UE=")</f>
        <v>#VALUE!</v>
      </c>
      <c r="BO69" t="e">
        <f>AND(Financial!J88,"AAAAAGoH7UI=")</f>
        <v>#VALUE!</v>
      </c>
      <c r="BP69" t="e">
        <f>AND(Financial!K88,"AAAAAGoH7UM=")</f>
        <v>#VALUE!</v>
      </c>
      <c r="BQ69" t="e">
        <f>AND(Financial!L88,"AAAAAGoH7UQ=")</f>
        <v>#VALUE!</v>
      </c>
      <c r="BR69" t="e">
        <f>AND(Financial!M88,"AAAAAGoH7UU=")</f>
        <v>#VALUE!</v>
      </c>
      <c r="BS69">
        <f>IF(Financial!89:89,"AAAAAGoH7UY=",0)</f>
        <v>0</v>
      </c>
      <c r="BT69" t="e">
        <f>AND(Financial!#REF!,"AAAAAGoH7Uc=")</f>
        <v>#REF!</v>
      </c>
      <c r="BU69" t="e">
        <f>AND(Financial!A89,"AAAAAGoH7Ug=")</f>
        <v>#VALUE!</v>
      </c>
      <c r="BV69" t="e">
        <f>AND(Financial!B89,"AAAAAGoH7Uk=")</f>
        <v>#VALUE!</v>
      </c>
      <c r="BW69" t="e">
        <f>AND(Financial!C89,"AAAAAGoH7Uo=")</f>
        <v>#VALUE!</v>
      </c>
      <c r="BX69" t="e">
        <f>AND(Financial!D89,"AAAAAGoH7Us=")</f>
        <v>#VALUE!</v>
      </c>
      <c r="BY69" t="e">
        <f>AND(Financial!E89,"AAAAAGoH7Uw=")</f>
        <v>#VALUE!</v>
      </c>
      <c r="BZ69" t="e">
        <f>AND(Financial!F89,"AAAAAGoH7U0=")</f>
        <v>#VALUE!</v>
      </c>
      <c r="CA69" t="e">
        <f>AND(Financial!G89,"AAAAAGoH7U4=")</f>
        <v>#VALUE!</v>
      </c>
      <c r="CB69" t="e">
        <f>AND(Financial!H89,"AAAAAGoH7U8=")</f>
        <v>#VALUE!</v>
      </c>
      <c r="CC69" t="e">
        <f>AND(Financial!I89,"AAAAAGoH7VA=")</f>
        <v>#VALUE!</v>
      </c>
      <c r="CD69" t="e">
        <f>AND(Financial!J89,"AAAAAGoH7VE=")</f>
        <v>#VALUE!</v>
      </c>
      <c r="CE69" t="e">
        <f>AND(Financial!K89,"AAAAAGoH7VI=")</f>
        <v>#VALUE!</v>
      </c>
      <c r="CF69" t="e">
        <f>AND(Financial!L89,"AAAAAGoH7VM=")</f>
        <v>#VALUE!</v>
      </c>
      <c r="CG69" t="e">
        <f>AND(Financial!M89,"AAAAAGoH7VQ=")</f>
        <v>#VALUE!</v>
      </c>
      <c r="CH69" t="e">
        <f>IF(Financial!#REF!,"AAAAAGoH7VU=",0)</f>
        <v>#REF!</v>
      </c>
      <c r="CI69" t="e">
        <f>AND(Financial!#REF!,"AAAAAGoH7VY=")</f>
        <v>#REF!</v>
      </c>
      <c r="CJ69" t="e">
        <f>AND(Financial!#REF!,"AAAAAGoH7Vc=")</f>
        <v>#REF!</v>
      </c>
      <c r="CK69" t="e">
        <f>AND(Financial!#REF!,"AAAAAGoH7Vg=")</f>
        <v>#REF!</v>
      </c>
      <c r="CL69" t="e">
        <f>AND(Financial!#REF!,"AAAAAGoH7Vk=")</f>
        <v>#REF!</v>
      </c>
      <c r="CM69" t="e">
        <f>AND(Financial!#REF!,"AAAAAGoH7Vo=")</f>
        <v>#REF!</v>
      </c>
      <c r="CN69" t="e">
        <f>AND(Financial!#REF!,"AAAAAGoH7Vs=")</f>
        <v>#REF!</v>
      </c>
      <c r="CO69" t="e">
        <f>AND(Financial!#REF!,"AAAAAGoH7Vw=")</f>
        <v>#REF!</v>
      </c>
      <c r="CP69" t="e">
        <f>AND(Financial!#REF!,"AAAAAGoH7V0=")</f>
        <v>#REF!</v>
      </c>
      <c r="CQ69" t="e">
        <f>AND(Financial!#REF!,"AAAAAGoH7V4=")</f>
        <v>#REF!</v>
      </c>
      <c r="CR69" t="e">
        <f>AND(Financial!#REF!,"AAAAAGoH7V8=")</f>
        <v>#REF!</v>
      </c>
      <c r="CS69" t="e">
        <f>AND(Financial!#REF!,"AAAAAGoH7WA=")</f>
        <v>#REF!</v>
      </c>
      <c r="CT69" t="e">
        <f>AND(Financial!#REF!,"AAAAAGoH7WE=")</f>
        <v>#REF!</v>
      </c>
      <c r="CU69" t="e">
        <f>AND(Financial!#REF!,"AAAAAGoH7WI=")</f>
        <v>#REF!</v>
      </c>
      <c r="CV69" t="e">
        <f>AND(Financial!#REF!,"AAAAAGoH7WM=")</f>
        <v>#REF!</v>
      </c>
      <c r="CW69">
        <f>IF(Financial!90:90,"AAAAAGoH7WQ=",0)</f>
        <v>0</v>
      </c>
      <c r="CX69" t="e">
        <f>AND(Financial!#REF!,"AAAAAGoH7WU=")</f>
        <v>#REF!</v>
      </c>
      <c r="CY69" t="e">
        <f>AND(Financial!A90,"AAAAAGoH7WY=")</f>
        <v>#VALUE!</v>
      </c>
      <c r="CZ69" t="e">
        <f>AND(Financial!B90,"AAAAAGoH7Wc=")</f>
        <v>#VALUE!</v>
      </c>
      <c r="DA69" t="e">
        <f>AND(Financial!C90,"AAAAAGoH7Wg=")</f>
        <v>#VALUE!</v>
      </c>
      <c r="DB69" t="e">
        <f>AND(Financial!D90,"AAAAAGoH7Wk=")</f>
        <v>#VALUE!</v>
      </c>
      <c r="DC69" t="e">
        <f>AND(Financial!E90,"AAAAAGoH7Wo=")</f>
        <v>#VALUE!</v>
      </c>
      <c r="DD69" t="e">
        <f>AND(Financial!F90,"AAAAAGoH7Ws=")</f>
        <v>#VALUE!</v>
      </c>
      <c r="DE69" t="e">
        <f>AND(Financial!G90,"AAAAAGoH7Ww=")</f>
        <v>#VALUE!</v>
      </c>
      <c r="DF69" t="e">
        <f>AND(Financial!H90,"AAAAAGoH7W0=")</f>
        <v>#VALUE!</v>
      </c>
      <c r="DG69" t="e">
        <f>AND(Financial!I90,"AAAAAGoH7W4=")</f>
        <v>#VALUE!</v>
      </c>
      <c r="DH69" t="e">
        <f>AND(Financial!J90,"AAAAAGoH7W8=")</f>
        <v>#VALUE!</v>
      </c>
      <c r="DI69" t="e">
        <f>AND(Financial!K90,"AAAAAGoH7XA=")</f>
        <v>#VALUE!</v>
      </c>
      <c r="DJ69" t="e">
        <f>AND(Financial!L90,"AAAAAGoH7XE=")</f>
        <v>#VALUE!</v>
      </c>
      <c r="DK69" t="e">
        <f>AND(Financial!M90,"AAAAAGoH7XI=")</f>
        <v>#VALUE!</v>
      </c>
      <c r="DL69">
        <f>IF(Financial!91:91,"AAAAAGoH7XM=",0)</f>
        <v>0</v>
      </c>
      <c r="DM69" t="e">
        <f>AND(Financial!#REF!,"AAAAAGoH7XQ=")</f>
        <v>#REF!</v>
      </c>
      <c r="DN69" t="e">
        <f>AND(Financial!A91,"AAAAAGoH7XU=")</f>
        <v>#VALUE!</v>
      </c>
      <c r="DO69" t="e">
        <f>AND(Financial!B91,"AAAAAGoH7XY=")</f>
        <v>#VALUE!</v>
      </c>
      <c r="DP69" t="e">
        <f>AND(Financial!C91,"AAAAAGoH7Xc=")</f>
        <v>#VALUE!</v>
      </c>
      <c r="DQ69" t="e">
        <f>AND(Financial!D91,"AAAAAGoH7Xg=")</f>
        <v>#VALUE!</v>
      </c>
      <c r="DR69" t="e">
        <f>AND(Financial!E91,"AAAAAGoH7Xk=")</f>
        <v>#VALUE!</v>
      </c>
      <c r="DS69" t="e">
        <f>AND(Financial!F91,"AAAAAGoH7Xo=")</f>
        <v>#VALUE!</v>
      </c>
      <c r="DT69" t="e">
        <f>AND(Financial!G91,"AAAAAGoH7Xs=")</f>
        <v>#VALUE!</v>
      </c>
      <c r="DU69" t="e">
        <f>AND(Financial!H91,"AAAAAGoH7Xw=")</f>
        <v>#VALUE!</v>
      </c>
      <c r="DV69" t="e">
        <f>AND(Financial!I91,"AAAAAGoH7X0=")</f>
        <v>#VALUE!</v>
      </c>
      <c r="DW69" t="e">
        <f>AND(Financial!J91,"AAAAAGoH7X4=")</f>
        <v>#VALUE!</v>
      </c>
      <c r="DX69" t="e">
        <f>AND(Financial!K91,"AAAAAGoH7X8=")</f>
        <v>#VALUE!</v>
      </c>
      <c r="DY69" t="e">
        <f>AND(Financial!L91,"AAAAAGoH7YA=")</f>
        <v>#VALUE!</v>
      </c>
      <c r="DZ69" t="e">
        <f>AND(Financial!M91,"AAAAAGoH7YE=")</f>
        <v>#VALUE!</v>
      </c>
      <c r="EA69">
        <f>IF(Financial!92:92,"AAAAAGoH7YI=",0)</f>
        <v>0</v>
      </c>
      <c r="EB69" t="e">
        <f>AND(Financial!#REF!,"AAAAAGoH7YM=")</f>
        <v>#REF!</v>
      </c>
      <c r="EC69" t="e">
        <f>AND(Financial!A92,"AAAAAGoH7YQ=")</f>
        <v>#VALUE!</v>
      </c>
      <c r="ED69" t="e">
        <f>AND(Financial!B92,"AAAAAGoH7YU=")</f>
        <v>#VALUE!</v>
      </c>
      <c r="EE69" t="e">
        <f>AND(Financial!C92,"AAAAAGoH7YY=")</f>
        <v>#VALUE!</v>
      </c>
      <c r="EF69" t="e">
        <f>AND(Financial!D92,"AAAAAGoH7Yc=")</f>
        <v>#VALUE!</v>
      </c>
      <c r="EG69" t="e">
        <f>AND(Financial!E92,"AAAAAGoH7Yg=")</f>
        <v>#VALUE!</v>
      </c>
      <c r="EH69" t="e">
        <f>AND(Financial!F92,"AAAAAGoH7Yk=")</f>
        <v>#VALUE!</v>
      </c>
      <c r="EI69" t="e">
        <f>AND(Financial!G92,"AAAAAGoH7Yo=")</f>
        <v>#VALUE!</v>
      </c>
      <c r="EJ69" t="e">
        <f>AND(Financial!H92,"AAAAAGoH7Ys=")</f>
        <v>#VALUE!</v>
      </c>
      <c r="EK69" t="e">
        <f>AND(Financial!I92,"AAAAAGoH7Yw=")</f>
        <v>#VALUE!</v>
      </c>
      <c r="EL69" t="e">
        <f>AND(Financial!J92,"AAAAAGoH7Y0=")</f>
        <v>#VALUE!</v>
      </c>
      <c r="EM69" t="e">
        <f>AND(Financial!K92,"AAAAAGoH7Y4=")</f>
        <v>#VALUE!</v>
      </c>
      <c r="EN69" t="e">
        <f>AND(Financial!L92,"AAAAAGoH7Y8=")</f>
        <v>#VALUE!</v>
      </c>
      <c r="EO69" t="e">
        <f>AND(Financial!M92,"AAAAAGoH7ZA=")</f>
        <v>#VALUE!</v>
      </c>
      <c r="EP69">
        <f>IF(Financial!93:93,"AAAAAGoH7ZE=",0)</f>
        <v>0</v>
      </c>
      <c r="EQ69" t="e">
        <f>AND(Financial!#REF!,"AAAAAGoH7ZI=")</f>
        <v>#REF!</v>
      </c>
      <c r="ER69" t="e">
        <f>AND(Financial!A93,"AAAAAGoH7ZM=")</f>
        <v>#VALUE!</v>
      </c>
      <c r="ES69" t="e">
        <f>AND(Financial!B93,"AAAAAGoH7ZQ=")</f>
        <v>#VALUE!</v>
      </c>
      <c r="ET69" t="e">
        <f>AND(Financial!C93,"AAAAAGoH7ZU=")</f>
        <v>#VALUE!</v>
      </c>
      <c r="EU69" t="e">
        <f>AND(Financial!D93,"AAAAAGoH7ZY=")</f>
        <v>#VALUE!</v>
      </c>
      <c r="EV69" t="e">
        <f>AND(Financial!E93,"AAAAAGoH7Zc=")</f>
        <v>#VALUE!</v>
      </c>
      <c r="EW69" t="e">
        <f>AND(Financial!F93,"AAAAAGoH7Zg=")</f>
        <v>#VALUE!</v>
      </c>
      <c r="EX69" t="e">
        <f>AND(Financial!G93,"AAAAAGoH7Zk=")</f>
        <v>#VALUE!</v>
      </c>
      <c r="EY69" t="e">
        <f>AND(Financial!H93,"AAAAAGoH7Zo=")</f>
        <v>#VALUE!</v>
      </c>
      <c r="EZ69" t="e">
        <f>AND(Financial!I93,"AAAAAGoH7Zs=")</f>
        <v>#VALUE!</v>
      </c>
      <c r="FA69" t="e">
        <f>AND(Financial!J93,"AAAAAGoH7Zw=")</f>
        <v>#VALUE!</v>
      </c>
      <c r="FB69" t="e">
        <f>AND(Financial!K93,"AAAAAGoH7Z0=")</f>
        <v>#VALUE!</v>
      </c>
      <c r="FC69" t="e">
        <f>AND(Financial!L93,"AAAAAGoH7Z4=")</f>
        <v>#VALUE!</v>
      </c>
      <c r="FD69" t="e">
        <f>AND(Financial!M93,"AAAAAGoH7Z8=")</f>
        <v>#VALUE!</v>
      </c>
      <c r="FE69" t="e">
        <f>IF(Financial!#REF!,"AAAAAGoH7aA=",0)</f>
        <v>#REF!</v>
      </c>
      <c r="FF69" t="e">
        <f>AND(Financial!#REF!,"AAAAAGoH7aE=")</f>
        <v>#REF!</v>
      </c>
      <c r="FG69" t="e">
        <f>AND(Financial!#REF!,"AAAAAGoH7aI=")</f>
        <v>#REF!</v>
      </c>
      <c r="FH69" t="e">
        <f>AND(Financial!#REF!,"AAAAAGoH7aM=")</f>
        <v>#REF!</v>
      </c>
      <c r="FI69" t="e">
        <f>AND(Financial!#REF!,"AAAAAGoH7aQ=")</f>
        <v>#REF!</v>
      </c>
      <c r="FJ69" t="e">
        <f>AND(Financial!#REF!,"AAAAAGoH7aU=")</f>
        <v>#REF!</v>
      </c>
      <c r="FK69" t="e">
        <f>AND(Financial!#REF!,"AAAAAGoH7aY=")</f>
        <v>#REF!</v>
      </c>
      <c r="FL69" t="e">
        <f>AND(Financial!#REF!,"AAAAAGoH7ac=")</f>
        <v>#REF!</v>
      </c>
      <c r="FM69" t="e">
        <f>AND(Financial!#REF!,"AAAAAGoH7ag=")</f>
        <v>#REF!</v>
      </c>
      <c r="FN69" t="e">
        <f>AND(Financial!#REF!,"AAAAAGoH7ak=")</f>
        <v>#REF!</v>
      </c>
      <c r="FO69" t="e">
        <f>AND(Financial!#REF!,"AAAAAGoH7ao=")</f>
        <v>#REF!</v>
      </c>
      <c r="FP69" t="e">
        <f>AND(Financial!#REF!,"AAAAAGoH7as=")</f>
        <v>#REF!</v>
      </c>
      <c r="FQ69" t="e">
        <f>AND(Financial!#REF!,"AAAAAGoH7aw=")</f>
        <v>#REF!</v>
      </c>
      <c r="FR69" t="e">
        <f>AND(Financial!#REF!,"AAAAAGoH7a0=")</f>
        <v>#REF!</v>
      </c>
      <c r="FS69" t="e">
        <f>AND(Financial!#REF!,"AAAAAGoH7a4=")</f>
        <v>#REF!</v>
      </c>
      <c r="FT69" t="e">
        <f>IF(Financial!#REF!,"AAAAAGoH7a8=",0)</f>
        <v>#REF!</v>
      </c>
      <c r="FU69" t="e">
        <f>AND(Financial!#REF!,"AAAAAGoH7bA=")</f>
        <v>#REF!</v>
      </c>
      <c r="FV69" t="e">
        <f>AND(Financial!#REF!,"AAAAAGoH7bE=")</f>
        <v>#REF!</v>
      </c>
      <c r="FW69" t="e">
        <f>AND(Financial!#REF!,"AAAAAGoH7bI=")</f>
        <v>#REF!</v>
      </c>
      <c r="FX69" t="e">
        <f>AND(Financial!#REF!,"AAAAAGoH7bM=")</f>
        <v>#REF!</v>
      </c>
      <c r="FY69" t="e">
        <f>AND(Financial!#REF!,"AAAAAGoH7bQ=")</f>
        <v>#REF!</v>
      </c>
      <c r="FZ69" t="e">
        <f>AND(Financial!#REF!,"AAAAAGoH7bU=")</f>
        <v>#REF!</v>
      </c>
      <c r="GA69" t="e">
        <f>AND(Financial!#REF!,"AAAAAGoH7bY=")</f>
        <v>#REF!</v>
      </c>
      <c r="GB69" t="e">
        <f>AND(Financial!#REF!,"AAAAAGoH7bc=")</f>
        <v>#REF!</v>
      </c>
      <c r="GC69" t="e">
        <f>AND(Financial!#REF!,"AAAAAGoH7bg=")</f>
        <v>#REF!</v>
      </c>
      <c r="GD69" t="e">
        <f>AND(Financial!#REF!,"AAAAAGoH7bk=")</f>
        <v>#REF!</v>
      </c>
      <c r="GE69" t="e">
        <f>AND(Financial!#REF!,"AAAAAGoH7bo=")</f>
        <v>#REF!</v>
      </c>
      <c r="GF69" t="e">
        <f>AND(Financial!#REF!,"AAAAAGoH7bs=")</f>
        <v>#REF!</v>
      </c>
      <c r="GG69" t="e">
        <f>AND(Financial!#REF!,"AAAAAGoH7bw=")</f>
        <v>#REF!</v>
      </c>
      <c r="GH69" t="e">
        <f>AND(Financial!#REF!,"AAAAAGoH7b0=")</f>
        <v>#REF!</v>
      </c>
      <c r="GI69" t="e">
        <f>IF(Financial!#REF!,"AAAAAGoH7b4=",0)</f>
        <v>#REF!</v>
      </c>
      <c r="GJ69" t="e">
        <f>AND(Financial!#REF!,"AAAAAGoH7b8=")</f>
        <v>#REF!</v>
      </c>
      <c r="GK69" t="e">
        <f>AND(Financial!#REF!,"AAAAAGoH7cA=")</f>
        <v>#REF!</v>
      </c>
      <c r="GL69" t="e">
        <f>AND(Financial!#REF!,"AAAAAGoH7cE=")</f>
        <v>#REF!</v>
      </c>
      <c r="GM69" t="e">
        <f>AND(Financial!#REF!,"AAAAAGoH7cI=")</f>
        <v>#REF!</v>
      </c>
      <c r="GN69" t="e">
        <f>AND(Financial!#REF!,"AAAAAGoH7cM=")</f>
        <v>#REF!</v>
      </c>
      <c r="GO69" t="e">
        <f>AND(Financial!#REF!,"AAAAAGoH7cQ=")</f>
        <v>#REF!</v>
      </c>
      <c r="GP69" t="e">
        <f>AND(Financial!#REF!,"AAAAAGoH7cU=")</f>
        <v>#REF!</v>
      </c>
      <c r="GQ69" t="e">
        <f>AND(Financial!#REF!,"AAAAAGoH7cY=")</f>
        <v>#REF!</v>
      </c>
      <c r="GR69" t="e">
        <f>AND(Financial!#REF!,"AAAAAGoH7cc=")</f>
        <v>#REF!</v>
      </c>
      <c r="GS69" t="e">
        <f>AND(Financial!#REF!,"AAAAAGoH7cg=")</f>
        <v>#REF!</v>
      </c>
      <c r="GT69" t="e">
        <f>AND(Financial!#REF!,"AAAAAGoH7ck=")</f>
        <v>#REF!</v>
      </c>
      <c r="GU69" t="e">
        <f>AND(Financial!#REF!,"AAAAAGoH7co=")</f>
        <v>#REF!</v>
      </c>
      <c r="GV69" t="e">
        <f>AND(Financial!#REF!,"AAAAAGoH7cs=")</f>
        <v>#REF!</v>
      </c>
      <c r="GW69" t="e">
        <f>AND(Financial!#REF!,"AAAAAGoH7cw=")</f>
        <v>#REF!</v>
      </c>
      <c r="GX69" t="e">
        <f>IF(Financial!#REF!,"AAAAAGoH7c0=",0)</f>
        <v>#REF!</v>
      </c>
      <c r="GY69" t="e">
        <f>AND(Financial!#REF!,"AAAAAGoH7c4=")</f>
        <v>#REF!</v>
      </c>
      <c r="GZ69" t="e">
        <f>AND(Financial!#REF!,"AAAAAGoH7c8=")</f>
        <v>#REF!</v>
      </c>
      <c r="HA69" t="e">
        <f>AND(Financial!#REF!,"AAAAAGoH7dA=")</f>
        <v>#REF!</v>
      </c>
      <c r="HB69" t="e">
        <f>AND(Financial!#REF!,"AAAAAGoH7dE=")</f>
        <v>#REF!</v>
      </c>
      <c r="HC69" t="e">
        <f>AND(Financial!#REF!,"AAAAAGoH7dI=")</f>
        <v>#REF!</v>
      </c>
      <c r="HD69" t="e">
        <f>AND(Financial!#REF!,"AAAAAGoH7dM=")</f>
        <v>#REF!</v>
      </c>
      <c r="HE69" t="e">
        <f>AND(Financial!#REF!,"AAAAAGoH7dQ=")</f>
        <v>#REF!</v>
      </c>
      <c r="HF69" t="e">
        <f>AND(Financial!#REF!,"AAAAAGoH7dU=")</f>
        <v>#REF!</v>
      </c>
      <c r="HG69" t="e">
        <f>AND(Financial!#REF!,"AAAAAGoH7dY=")</f>
        <v>#REF!</v>
      </c>
      <c r="HH69" t="e">
        <f>AND(Financial!#REF!,"AAAAAGoH7dc=")</f>
        <v>#REF!</v>
      </c>
      <c r="HI69" t="e">
        <f>AND(Financial!#REF!,"AAAAAGoH7dg=")</f>
        <v>#REF!</v>
      </c>
      <c r="HJ69" t="e">
        <f>AND(Financial!#REF!,"AAAAAGoH7dk=")</f>
        <v>#REF!</v>
      </c>
      <c r="HK69" t="e">
        <f>AND(Financial!#REF!,"AAAAAGoH7do=")</f>
        <v>#REF!</v>
      </c>
      <c r="HL69" t="e">
        <f>AND(Financial!#REF!,"AAAAAGoH7ds=")</f>
        <v>#REF!</v>
      </c>
      <c r="HM69" t="e">
        <f>IF(Financial!#REF!,"AAAAAGoH7dw=",0)</f>
        <v>#REF!</v>
      </c>
      <c r="HN69" t="e">
        <f>AND(Financial!#REF!,"AAAAAGoH7d0=")</f>
        <v>#REF!</v>
      </c>
      <c r="HO69" t="e">
        <f>AND(Financial!#REF!,"AAAAAGoH7d4=")</f>
        <v>#REF!</v>
      </c>
      <c r="HP69" t="e">
        <f>AND(Financial!#REF!,"AAAAAGoH7d8=")</f>
        <v>#REF!</v>
      </c>
      <c r="HQ69" t="e">
        <f>AND(Financial!#REF!,"AAAAAGoH7eA=")</f>
        <v>#REF!</v>
      </c>
      <c r="HR69" t="e">
        <f>AND(Financial!#REF!,"AAAAAGoH7eE=")</f>
        <v>#REF!</v>
      </c>
      <c r="HS69" t="e">
        <f>AND(Financial!#REF!,"AAAAAGoH7eI=")</f>
        <v>#REF!</v>
      </c>
      <c r="HT69" t="e">
        <f>AND(Financial!#REF!,"AAAAAGoH7eM=")</f>
        <v>#REF!</v>
      </c>
      <c r="HU69" t="e">
        <f>AND(Financial!#REF!,"AAAAAGoH7eQ=")</f>
        <v>#REF!</v>
      </c>
      <c r="HV69" t="e">
        <f>AND(Financial!#REF!,"AAAAAGoH7eU=")</f>
        <v>#REF!</v>
      </c>
      <c r="HW69" t="e">
        <f>AND(Financial!#REF!,"AAAAAGoH7eY=")</f>
        <v>#REF!</v>
      </c>
      <c r="HX69" t="e">
        <f>AND(Financial!#REF!,"AAAAAGoH7ec=")</f>
        <v>#REF!</v>
      </c>
      <c r="HY69" t="e">
        <f>AND(Financial!#REF!,"AAAAAGoH7eg=")</f>
        <v>#REF!</v>
      </c>
      <c r="HZ69" t="e">
        <f>AND(Financial!#REF!,"AAAAAGoH7ek=")</f>
        <v>#REF!</v>
      </c>
      <c r="IA69" t="e">
        <f>AND(Financial!#REF!,"AAAAAGoH7eo=")</f>
        <v>#REF!</v>
      </c>
      <c r="IB69" t="e">
        <f>IF(Financial!#REF!,"AAAAAGoH7es=",0)</f>
        <v>#REF!</v>
      </c>
      <c r="IC69" t="e">
        <f>AND(Financial!#REF!,"AAAAAGoH7ew=")</f>
        <v>#REF!</v>
      </c>
      <c r="ID69" t="e">
        <f>AND(Financial!#REF!,"AAAAAGoH7e0=")</f>
        <v>#REF!</v>
      </c>
      <c r="IE69" t="e">
        <f>AND(Financial!#REF!,"AAAAAGoH7e4=")</f>
        <v>#REF!</v>
      </c>
      <c r="IF69" t="e">
        <f>AND(Financial!#REF!,"AAAAAGoH7e8=")</f>
        <v>#REF!</v>
      </c>
      <c r="IG69" t="e">
        <f>AND(Financial!#REF!,"AAAAAGoH7fA=")</f>
        <v>#REF!</v>
      </c>
      <c r="IH69" t="e">
        <f>AND(Financial!#REF!,"AAAAAGoH7fE=")</f>
        <v>#REF!</v>
      </c>
      <c r="II69" t="e">
        <f>AND(Financial!#REF!,"AAAAAGoH7fI=")</f>
        <v>#REF!</v>
      </c>
      <c r="IJ69" t="e">
        <f>AND(Financial!#REF!,"AAAAAGoH7fM=")</f>
        <v>#REF!</v>
      </c>
      <c r="IK69" t="e">
        <f>AND(Financial!#REF!,"AAAAAGoH7fQ=")</f>
        <v>#REF!</v>
      </c>
      <c r="IL69" t="e">
        <f>AND(Financial!#REF!,"AAAAAGoH7fU=")</f>
        <v>#REF!</v>
      </c>
      <c r="IM69" t="e">
        <f>AND(Financial!#REF!,"AAAAAGoH7fY=")</f>
        <v>#REF!</v>
      </c>
      <c r="IN69" t="e">
        <f>AND(Financial!#REF!,"AAAAAGoH7fc=")</f>
        <v>#REF!</v>
      </c>
      <c r="IO69" t="e">
        <f>AND(Financial!#REF!,"AAAAAGoH7fg=")</f>
        <v>#REF!</v>
      </c>
      <c r="IP69" t="e">
        <f>AND(Financial!#REF!,"AAAAAGoH7fk=")</f>
        <v>#REF!</v>
      </c>
      <c r="IQ69" t="e">
        <f>IF(Financial!#REF!,"AAAAAGoH7fo=",0)</f>
        <v>#REF!</v>
      </c>
      <c r="IR69" t="e">
        <f>AND(Financial!#REF!,"AAAAAGoH7fs=")</f>
        <v>#REF!</v>
      </c>
      <c r="IS69" t="e">
        <f>AND(Financial!#REF!,"AAAAAGoH7fw=")</f>
        <v>#REF!</v>
      </c>
      <c r="IT69" t="e">
        <f>AND(Financial!#REF!,"AAAAAGoH7f0=")</f>
        <v>#REF!</v>
      </c>
      <c r="IU69" t="e">
        <f>AND(Financial!#REF!,"AAAAAGoH7f4=")</f>
        <v>#REF!</v>
      </c>
      <c r="IV69" t="e">
        <f>AND(Financial!#REF!,"AAAAAGoH7f8=")</f>
        <v>#REF!</v>
      </c>
    </row>
    <row r="70" spans="1:256" x14ac:dyDescent="0.2">
      <c r="A70" t="e">
        <f>AND(Financial!#REF!,"AAAAAHd7XgA=")</f>
        <v>#REF!</v>
      </c>
      <c r="B70" t="e">
        <f>AND(Financial!#REF!,"AAAAAHd7XgE=")</f>
        <v>#REF!</v>
      </c>
      <c r="C70" t="e">
        <f>AND(Financial!#REF!,"AAAAAHd7XgI=")</f>
        <v>#REF!</v>
      </c>
      <c r="D70" t="e">
        <f>AND(Financial!#REF!,"AAAAAHd7XgM=")</f>
        <v>#REF!</v>
      </c>
      <c r="E70" t="e">
        <f>AND(Financial!#REF!,"AAAAAHd7XgQ=")</f>
        <v>#REF!</v>
      </c>
      <c r="F70" t="e">
        <f>AND(Financial!#REF!,"AAAAAHd7XgU=")</f>
        <v>#REF!</v>
      </c>
      <c r="G70" t="e">
        <f>AND(Financial!#REF!,"AAAAAHd7XgY=")</f>
        <v>#REF!</v>
      </c>
      <c r="H70" t="e">
        <f>AND(Financial!#REF!,"AAAAAHd7Xgc=")</f>
        <v>#REF!</v>
      </c>
      <c r="I70" t="e">
        <f>AND(Financial!#REF!,"AAAAAHd7Xgg=")</f>
        <v>#REF!</v>
      </c>
      <c r="J70" t="e">
        <f>IF(Financial!#REF!,"AAAAAHd7Xgk=",0)</f>
        <v>#REF!</v>
      </c>
      <c r="K70" t="e">
        <f>AND(Financial!#REF!,"AAAAAHd7Xgo=")</f>
        <v>#REF!</v>
      </c>
      <c r="L70" t="e">
        <f>AND(Financial!#REF!,"AAAAAHd7Xgs=")</f>
        <v>#REF!</v>
      </c>
      <c r="M70" t="e">
        <f>AND(Financial!#REF!,"AAAAAHd7Xgw=")</f>
        <v>#REF!</v>
      </c>
      <c r="N70" t="e">
        <f>AND(Financial!#REF!,"AAAAAHd7Xg0=")</f>
        <v>#REF!</v>
      </c>
      <c r="O70" t="e">
        <f>AND(Financial!#REF!,"AAAAAHd7Xg4=")</f>
        <v>#REF!</v>
      </c>
      <c r="P70" t="e">
        <f>AND(Financial!#REF!,"AAAAAHd7Xg8=")</f>
        <v>#REF!</v>
      </c>
      <c r="Q70" t="e">
        <f>AND(Financial!#REF!,"AAAAAHd7XhA=")</f>
        <v>#REF!</v>
      </c>
      <c r="R70" t="e">
        <f>AND(Financial!#REF!,"AAAAAHd7XhE=")</f>
        <v>#REF!</v>
      </c>
      <c r="S70" t="e">
        <f>AND(Financial!#REF!,"AAAAAHd7XhI=")</f>
        <v>#REF!</v>
      </c>
      <c r="T70" t="e">
        <f>AND(Financial!#REF!,"AAAAAHd7XhM=")</f>
        <v>#REF!</v>
      </c>
      <c r="U70" t="e">
        <f>AND(Financial!#REF!,"AAAAAHd7XhQ=")</f>
        <v>#REF!</v>
      </c>
      <c r="V70" t="e">
        <f>AND(Financial!#REF!,"AAAAAHd7XhU=")</f>
        <v>#REF!</v>
      </c>
      <c r="W70" t="e">
        <f>AND(Financial!#REF!,"AAAAAHd7XhY=")</f>
        <v>#REF!</v>
      </c>
      <c r="X70" t="e">
        <f>AND(Financial!#REF!,"AAAAAHd7Xhc=")</f>
        <v>#REF!</v>
      </c>
      <c r="Y70" t="e">
        <f>IF(Financial!#REF!,"AAAAAHd7Xhg=",0)</f>
        <v>#REF!</v>
      </c>
      <c r="Z70" t="e">
        <f>AND(Financial!#REF!,"AAAAAHd7Xhk=")</f>
        <v>#REF!</v>
      </c>
      <c r="AA70" t="e">
        <f>AND(Financial!#REF!,"AAAAAHd7Xho=")</f>
        <v>#REF!</v>
      </c>
      <c r="AB70" t="e">
        <f>AND(Financial!#REF!,"AAAAAHd7Xhs=")</f>
        <v>#REF!</v>
      </c>
      <c r="AC70" t="e">
        <f>AND(Financial!#REF!,"AAAAAHd7Xhw=")</f>
        <v>#REF!</v>
      </c>
      <c r="AD70" t="e">
        <f>AND(Financial!#REF!,"AAAAAHd7Xh0=")</f>
        <v>#REF!</v>
      </c>
      <c r="AE70" t="e">
        <f>AND(Financial!#REF!,"AAAAAHd7Xh4=")</f>
        <v>#REF!</v>
      </c>
      <c r="AF70" t="e">
        <f>AND(Financial!#REF!,"AAAAAHd7Xh8=")</f>
        <v>#REF!</v>
      </c>
      <c r="AG70" t="e">
        <f>AND(Financial!#REF!,"AAAAAHd7XiA=")</f>
        <v>#REF!</v>
      </c>
      <c r="AH70" t="e">
        <f>AND(Financial!#REF!,"AAAAAHd7XiE=")</f>
        <v>#REF!</v>
      </c>
      <c r="AI70" t="e">
        <f>AND(Financial!#REF!,"AAAAAHd7XiI=")</f>
        <v>#REF!</v>
      </c>
      <c r="AJ70" t="e">
        <f>AND(Financial!#REF!,"AAAAAHd7XiM=")</f>
        <v>#REF!</v>
      </c>
      <c r="AK70" t="e">
        <f>AND(Financial!#REF!,"AAAAAHd7XiQ=")</f>
        <v>#REF!</v>
      </c>
      <c r="AL70" t="e">
        <f>AND(Financial!#REF!,"AAAAAHd7XiU=")</f>
        <v>#REF!</v>
      </c>
      <c r="AM70" t="e">
        <f>AND(Financial!#REF!,"AAAAAHd7XiY=")</f>
        <v>#REF!</v>
      </c>
      <c r="AN70" t="e">
        <f>IF(Financial!#REF!,"AAAAAHd7Xic=",0)</f>
        <v>#REF!</v>
      </c>
      <c r="AO70" t="e">
        <f>AND(Financial!#REF!,"AAAAAHd7Xig=")</f>
        <v>#REF!</v>
      </c>
      <c r="AP70" t="e">
        <f>AND(Financial!#REF!,"AAAAAHd7Xik=")</f>
        <v>#REF!</v>
      </c>
      <c r="AQ70" t="e">
        <f>AND(Financial!#REF!,"AAAAAHd7Xio=")</f>
        <v>#REF!</v>
      </c>
      <c r="AR70" t="e">
        <f>AND(Financial!#REF!,"AAAAAHd7Xis=")</f>
        <v>#REF!</v>
      </c>
      <c r="AS70" t="e">
        <f>AND(Financial!#REF!,"AAAAAHd7Xiw=")</f>
        <v>#REF!</v>
      </c>
      <c r="AT70" t="e">
        <f>AND(Financial!#REF!,"AAAAAHd7Xi0=")</f>
        <v>#REF!</v>
      </c>
      <c r="AU70" t="e">
        <f>AND(Financial!#REF!,"AAAAAHd7Xi4=")</f>
        <v>#REF!</v>
      </c>
      <c r="AV70" t="e">
        <f>AND(Financial!#REF!,"AAAAAHd7Xi8=")</f>
        <v>#REF!</v>
      </c>
      <c r="AW70" t="e">
        <f>AND(Financial!#REF!,"AAAAAHd7XjA=")</f>
        <v>#REF!</v>
      </c>
      <c r="AX70" t="e">
        <f>AND(Financial!#REF!,"AAAAAHd7XjE=")</f>
        <v>#REF!</v>
      </c>
      <c r="AY70" t="e">
        <f>AND(Financial!#REF!,"AAAAAHd7XjI=")</f>
        <v>#REF!</v>
      </c>
      <c r="AZ70" t="e">
        <f>AND(Financial!#REF!,"AAAAAHd7XjM=")</f>
        <v>#REF!</v>
      </c>
      <c r="BA70" t="e">
        <f>AND(Financial!#REF!,"AAAAAHd7XjQ=")</f>
        <v>#REF!</v>
      </c>
      <c r="BB70" t="e">
        <f>AND(Financial!#REF!,"AAAAAHd7XjU=")</f>
        <v>#REF!</v>
      </c>
      <c r="BC70" t="e">
        <f>IF(Financial!#REF!,"AAAAAHd7XjY=",0)</f>
        <v>#REF!</v>
      </c>
      <c r="BD70" t="e">
        <f>AND(Financial!#REF!,"AAAAAHd7Xjc=")</f>
        <v>#REF!</v>
      </c>
      <c r="BE70" t="e">
        <f>AND(Financial!#REF!,"AAAAAHd7Xjg=")</f>
        <v>#REF!</v>
      </c>
      <c r="BF70" t="e">
        <f>AND(Financial!#REF!,"AAAAAHd7Xjk=")</f>
        <v>#REF!</v>
      </c>
      <c r="BG70" t="e">
        <f>AND(Financial!#REF!,"AAAAAHd7Xjo=")</f>
        <v>#REF!</v>
      </c>
      <c r="BH70" t="e">
        <f>AND(Financial!#REF!,"AAAAAHd7Xjs=")</f>
        <v>#REF!</v>
      </c>
      <c r="BI70" t="e">
        <f>AND(Financial!#REF!,"AAAAAHd7Xjw=")</f>
        <v>#REF!</v>
      </c>
      <c r="BJ70" t="e">
        <f>AND(Financial!#REF!,"AAAAAHd7Xj0=")</f>
        <v>#REF!</v>
      </c>
      <c r="BK70" t="e">
        <f>AND(Financial!#REF!,"AAAAAHd7Xj4=")</f>
        <v>#REF!</v>
      </c>
      <c r="BL70" t="e">
        <f>AND(Financial!#REF!,"AAAAAHd7Xj8=")</f>
        <v>#REF!</v>
      </c>
      <c r="BM70" t="e">
        <f>AND(Financial!#REF!,"AAAAAHd7XkA=")</f>
        <v>#REF!</v>
      </c>
      <c r="BN70" t="e">
        <f>AND(Financial!#REF!,"AAAAAHd7XkE=")</f>
        <v>#REF!</v>
      </c>
      <c r="BO70" t="e">
        <f>AND(Financial!#REF!,"AAAAAHd7XkI=")</f>
        <v>#REF!</v>
      </c>
      <c r="BP70" t="e">
        <f>AND(Financial!#REF!,"AAAAAHd7XkM=")</f>
        <v>#REF!</v>
      </c>
      <c r="BQ70" t="e">
        <f>AND(Financial!#REF!,"AAAAAHd7XkQ=")</f>
        <v>#REF!</v>
      </c>
      <c r="BR70" t="e">
        <f>IF(Financial!#REF!,"AAAAAHd7XkU=",0)</f>
        <v>#REF!</v>
      </c>
      <c r="BS70" t="e">
        <f>AND(Financial!#REF!,"AAAAAHd7XkY=")</f>
        <v>#REF!</v>
      </c>
      <c r="BT70" t="e">
        <f>AND(Financial!#REF!,"AAAAAHd7Xkc=")</f>
        <v>#REF!</v>
      </c>
      <c r="BU70" t="e">
        <f>AND(Financial!#REF!,"AAAAAHd7Xkg=")</f>
        <v>#REF!</v>
      </c>
      <c r="BV70" t="e">
        <f>AND(Financial!#REF!,"AAAAAHd7Xkk=")</f>
        <v>#REF!</v>
      </c>
      <c r="BW70" t="e">
        <f>AND(Financial!#REF!,"AAAAAHd7Xko=")</f>
        <v>#REF!</v>
      </c>
      <c r="BX70" t="e">
        <f>AND(Financial!#REF!,"AAAAAHd7Xks=")</f>
        <v>#REF!</v>
      </c>
      <c r="BY70" t="e">
        <f>AND(Financial!#REF!,"AAAAAHd7Xkw=")</f>
        <v>#REF!</v>
      </c>
      <c r="BZ70" t="e">
        <f>AND(Financial!#REF!,"AAAAAHd7Xk0=")</f>
        <v>#REF!</v>
      </c>
      <c r="CA70" t="e">
        <f>AND(Financial!#REF!,"AAAAAHd7Xk4=")</f>
        <v>#REF!</v>
      </c>
      <c r="CB70" t="e">
        <f>AND(Financial!#REF!,"AAAAAHd7Xk8=")</f>
        <v>#REF!</v>
      </c>
      <c r="CC70" t="e">
        <f>AND(Financial!#REF!,"AAAAAHd7XlA=")</f>
        <v>#REF!</v>
      </c>
      <c r="CD70" t="e">
        <f>AND(Financial!#REF!,"AAAAAHd7XlE=")</f>
        <v>#REF!</v>
      </c>
      <c r="CE70" t="e">
        <f>AND(Financial!#REF!,"AAAAAHd7XlI=")</f>
        <v>#REF!</v>
      </c>
      <c r="CF70" t="e">
        <f>AND(Financial!#REF!,"AAAAAHd7XlM=")</f>
        <v>#REF!</v>
      </c>
      <c r="CG70" t="e">
        <f>IF(Financial!#REF!,"AAAAAHd7XlQ=",0)</f>
        <v>#REF!</v>
      </c>
      <c r="CH70" t="e">
        <f>AND(Financial!#REF!,"AAAAAHd7XlU=")</f>
        <v>#REF!</v>
      </c>
      <c r="CI70" t="e">
        <f>AND(Financial!#REF!,"AAAAAHd7XlY=")</f>
        <v>#REF!</v>
      </c>
      <c r="CJ70" t="e">
        <f>AND(Financial!#REF!,"AAAAAHd7Xlc=")</f>
        <v>#REF!</v>
      </c>
      <c r="CK70" t="e">
        <f>AND(Financial!#REF!,"AAAAAHd7Xlg=")</f>
        <v>#REF!</v>
      </c>
      <c r="CL70" t="e">
        <f>AND(Financial!#REF!,"AAAAAHd7Xlk=")</f>
        <v>#REF!</v>
      </c>
      <c r="CM70" t="e">
        <f>AND(Financial!#REF!,"AAAAAHd7Xlo=")</f>
        <v>#REF!</v>
      </c>
      <c r="CN70" t="e">
        <f>AND(Financial!#REF!,"AAAAAHd7Xls=")</f>
        <v>#REF!</v>
      </c>
      <c r="CO70" t="e">
        <f>AND(Financial!#REF!,"AAAAAHd7Xlw=")</f>
        <v>#REF!</v>
      </c>
      <c r="CP70" t="e">
        <f>AND(Financial!#REF!,"AAAAAHd7Xl0=")</f>
        <v>#REF!</v>
      </c>
      <c r="CQ70" t="e">
        <f>AND(Financial!#REF!,"AAAAAHd7Xl4=")</f>
        <v>#REF!</v>
      </c>
      <c r="CR70" t="e">
        <f>AND(Financial!#REF!,"AAAAAHd7Xl8=")</f>
        <v>#REF!</v>
      </c>
      <c r="CS70" t="e">
        <f>AND(Financial!#REF!,"AAAAAHd7XmA=")</f>
        <v>#REF!</v>
      </c>
      <c r="CT70" t="e">
        <f>AND(Financial!#REF!,"AAAAAHd7XmE=")</f>
        <v>#REF!</v>
      </c>
      <c r="CU70" t="e">
        <f>AND(Financial!#REF!,"AAAAAHd7XmI=")</f>
        <v>#REF!</v>
      </c>
      <c r="CV70" t="e">
        <f>IF(Financial!#REF!,"AAAAAHd7XmM=",0)</f>
        <v>#REF!</v>
      </c>
      <c r="CW70" t="e">
        <f>AND(Financial!#REF!,"AAAAAHd7XmQ=")</f>
        <v>#REF!</v>
      </c>
      <c r="CX70" t="e">
        <f>AND(Financial!#REF!,"AAAAAHd7XmU=")</f>
        <v>#REF!</v>
      </c>
      <c r="CY70" t="e">
        <f>AND(Financial!#REF!,"AAAAAHd7XmY=")</f>
        <v>#REF!</v>
      </c>
      <c r="CZ70" t="e">
        <f>AND(Financial!#REF!,"AAAAAHd7Xmc=")</f>
        <v>#REF!</v>
      </c>
      <c r="DA70" t="e">
        <f>AND(Financial!#REF!,"AAAAAHd7Xmg=")</f>
        <v>#REF!</v>
      </c>
      <c r="DB70" t="e">
        <f>AND(Financial!#REF!,"AAAAAHd7Xmk=")</f>
        <v>#REF!</v>
      </c>
      <c r="DC70" t="e">
        <f>AND(Financial!#REF!,"AAAAAHd7Xmo=")</f>
        <v>#REF!</v>
      </c>
      <c r="DD70" t="e">
        <f>AND(Financial!#REF!,"AAAAAHd7Xms=")</f>
        <v>#REF!</v>
      </c>
      <c r="DE70" t="e">
        <f>AND(Financial!#REF!,"AAAAAHd7Xmw=")</f>
        <v>#REF!</v>
      </c>
      <c r="DF70" t="e">
        <f>AND(Financial!#REF!,"AAAAAHd7Xm0=")</f>
        <v>#REF!</v>
      </c>
      <c r="DG70" t="e">
        <f>AND(Financial!#REF!,"AAAAAHd7Xm4=")</f>
        <v>#REF!</v>
      </c>
      <c r="DH70" t="e">
        <f>AND(Financial!#REF!,"AAAAAHd7Xm8=")</f>
        <v>#REF!</v>
      </c>
      <c r="DI70" t="e">
        <f>AND(Financial!#REF!,"AAAAAHd7XnA=")</f>
        <v>#REF!</v>
      </c>
      <c r="DJ70" t="e">
        <f>AND(Financial!#REF!,"AAAAAHd7XnE=")</f>
        <v>#REF!</v>
      </c>
      <c r="DK70" t="e">
        <f>IF(Financial!#REF!,"AAAAAHd7XnI=",0)</f>
        <v>#REF!</v>
      </c>
      <c r="DL70" t="e">
        <f>AND(Financial!#REF!,"AAAAAHd7XnM=")</f>
        <v>#REF!</v>
      </c>
      <c r="DM70" t="e">
        <f>AND(Financial!#REF!,"AAAAAHd7XnQ=")</f>
        <v>#REF!</v>
      </c>
      <c r="DN70" t="e">
        <f>AND(Financial!#REF!,"AAAAAHd7XnU=")</f>
        <v>#REF!</v>
      </c>
      <c r="DO70" t="e">
        <f>AND(Financial!#REF!,"AAAAAHd7XnY=")</f>
        <v>#REF!</v>
      </c>
      <c r="DP70" t="e">
        <f>AND(Financial!#REF!,"AAAAAHd7Xnc=")</f>
        <v>#REF!</v>
      </c>
      <c r="DQ70" t="e">
        <f>AND(Financial!#REF!,"AAAAAHd7Xng=")</f>
        <v>#REF!</v>
      </c>
      <c r="DR70" t="e">
        <f>AND(Financial!#REF!,"AAAAAHd7Xnk=")</f>
        <v>#REF!</v>
      </c>
      <c r="DS70" t="e">
        <f>AND(Financial!#REF!,"AAAAAHd7Xno=")</f>
        <v>#REF!</v>
      </c>
      <c r="DT70" t="e">
        <f>AND(Financial!#REF!,"AAAAAHd7Xns=")</f>
        <v>#REF!</v>
      </c>
      <c r="DU70" t="e">
        <f>AND(Financial!#REF!,"AAAAAHd7Xnw=")</f>
        <v>#REF!</v>
      </c>
      <c r="DV70" t="e">
        <f>AND(Financial!#REF!,"AAAAAHd7Xn0=")</f>
        <v>#REF!</v>
      </c>
      <c r="DW70" t="e">
        <f>AND(Financial!#REF!,"AAAAAHd7Xn4=")</f>
        <v>#REF!</v>
      </c>
      <c r="DX70" t="e">
        <f>AND(Financial!#REF!,"AAAAAHd7Xn8=")</f>
        <v>#REF!</v>
      </c>
      <c r="DY70" t="e">
        <f>AND(Financial!#REF!,"AAAAAHd7XoA=")</f>
        <v>#REF!</v>
      </c>
      <c r="DZ70" t="e">
        <f>IF(Financial!#REF!,"AAAAAHd7XoE=",0)</f>
        <v>#REF!</v>
      </c>
      <c r="EA70" t="e">
        <f>AND(Financial!#REF!,"AAAAAHd7XoI=")</f>
        <v>#REF!</v>
      </c>
      <c r="EB70" t="e">
        <f>AND(Financial!#REF!,"AAAAAHd7XoM=")</f>
        <v>#REF!</v>
      </c>
      <c r="EC70" t="e">
        <f>AND(Financial!#REF!,"AAAAAHd7XoQ=")</f>
        <v>#REF!</v>
      </c>
      <c r="ED70" t="e">
        <f>AND(Financial!#REF!,"AAAAAHd7XoU=")</f>
        <v>#REF!</v>
      </c>
      <c r="EE70" t="e">
        <f>AND(Financial!#REF!,"AAAAAHd7XoY=")</f>
        <v>#REF!</v>
      </c>
      <c r="EF70" t="e">
        <f>AND(Financial!#REF!,"AAAAAHd7Xoc=")</f>
        <v>#REF!</v>
      </c>
      <c r="EG70" t="e">
        <f>AND(Financial!#REF!,"AAAAAHd7Xog=")</f>
        <v>#REF!</v>
      </c>
      <c r="EH70" t="e">
        <f>AND(Financial!#REF!,"AAAAAHd7Xok=")</f>
        <v>#REF!</v>
      </c>
      <c r="EI70" t="e">
        <f>AND(Financial!#REF!,"AAAAAHd7Xoo=")</f>
        <v>#REF!</v>
      </c>
      <c r="EJ70" t="e">
        <f>AND(Financial!#REF!,"AAAAAHd7Xos=")</f>
        <v>#REF!</v>
      </c>
      <c r="EK70" t="e">
        <f>AND(Financial!#REF!,"AAAAAHd7Xow=")</f>
        <v>#REF!</v>
      </c>
      <c r="EL70" t="e">
        <f>AND(Financial!#REF!,"AAAAAHd7Xo0=")</f>
        <v>#REF!</v>
      </c>
      <c r="EM70" t="e">
        <f>AND(Financial!#REF!,"AAAAAHd7Xo4=")</f>
        <v>#REF!</v>
      </c>
      <c r="EN70" t="e">
        <f>AND(Financial!#REF!,"AAAAAHd7Xo8=")</f>
        <v>#REF!</v>
      </c>
      <c r="EO70" t="e">
        <f>IF(Financial!#REF!,"AAAAAHd7XpA=",0)</f>
        <v>#REF!</v>
      </c>
      <c r="EP70" t="e">
        <f>AND(Financial!#REF!,"AAAAAHd7XpE=")</f>
        <v>#REF!</v>
      </c>
      <c r="EQ70" t="e">
        <f>AND(Financial!#REF!,"AAAAAHd7XpI=")</f>
        <v>#REF!</v>
      </c>
      <c r="ER70" t="e">
        <f>AND(Financial!#REF!,"AAAAAHd7XpM=")</f>
        <v>#REF!</v>
      </c>
      <c r="ES70" t="e">
        <f>AND(Financial!#REF!,"AAAAAHd7XpQ=")</f>
        <v>#REF!</v>
      </c>
      <c r="ET70" t="e">
        <f>AND(Financial!#REF!,"AAAAAHd7XpU=")</f>
        <v>#REF!</v>
      </c>
      <c r="EU70" t="e">
        <f>AND(Financial!#REF!,"AAAAAHd7XpY=")</f>
        <v>#REF!</v>
      </c>
      <c r="EV70" t="e">
        <f>AND(Financial!#REF!,"AAAAAHd7Xpc=")</f>
        <v>#REF!</v>
      </c>
      <c r="EW70" t="e">
        <f>AND(Financial!#REF!,"AAAAAHd7Xpg=")</f>
        <v>#REF!</v>
      </c>
      <c r="EX70" t="e">
        <f>AND(Financial!#REF!,"AAAAAHd7Xpk=")</f>
        <v>#REF!</v>
      </c>
      <c r="EY70" t="e">
        <f>AND(Financial!#REF!,"AAAAAHd7Xpo=")</f>
        <v>#REF!</v>
      </c>
      <c r="EZ70" t="e">
        <f>AND(Financial!#REF!,"AAAAAHd7Xps=")</f>
        <v>#REF!</v>
      </c>
      <c r="FA70" t="e">
        <f>AND(Financial!#REF!,"AAAAAHd7Xpw=")</f>
        <v>#REF!</v>
      </c>
      <c r="FB70" t="e">
        <f>AND(Financial!#REF!,"AAAAAHd7Xp0=")</f>
        <v>#REF!</v>
      </c>
      <c r="FC70" t="e">
        <f>AND(Financial!#REF!,"AAAAAHd7Xp4=")</f>
        <v>#REF!</v>
      </c>
      <c r="FD70" t="e">
        <f>IF(Financial!#REF!,"AAAAAHd7Xp8=",0)</f>
        <v>#REF!</v>
      </c>
      <c r="FE70" t="e">
        <f>AND(Financial!#REF!,"AAAAAHd7XqA=")</f>
        <v>#REF!</v>
      </c>
      <c r="FF70" t="e">
        <f>AND(Financial!#REF!,"AAAAAHd7XqE=")</f>
        <v>#REF!</v>
      </c>
      <c r="FG70" t="e">
        <f>AND(Financial!#REF!,"AAAAAHd7XqI=")</f>
        <v>#REF!</v>
      </c>
      <c r="FH70" t="e">
        <f>AND(Financial!#REF!,"AAAAAHd7XqM=")</f>
        <v>#REF!</v>
      </c>
      <c r="FI70" t="e">
        <f>AND(Financial!#REF!,"AAAAAHd7XqQ=")</f>
        <v>#REF!</v>
      </c>
      <c r="FJ70" t="e">
        <f>AND(Financial!#REF!,"AAAAAHd7XqU=")</f>
        <v>#REF!</v>
      </c>
      <c r="FK70" t="e">
        <f>AND(Financial!#REF!,"AAAAAHd7XqY=")</f>
        <v>#REF!</v>
      </c>
      <c r="FL70" t="e">
        <f>AND(Financial!#REF!,"AAAAAHd7Xqc=")</f>
        <v>#REF!</v>
      </c>
      <c r="FM70" t="e">
        <f>AND(Financial!#REF!,"AAAAAHd7Xqg=")</f>
        <v>#REF!</v>
      </c>
      <c r="FN70" t="e">
        <f>AND(Financial!#REF!,"AAAAAHd7Xqk=")</f>
        <v>#REF!</v>
      </c>
      <c r="FO70" t="e">
        <f>AND(Financial!#REF!,"AAAAAHd7Xqo=")</f>
        <v>#REF!</v>
      </c>
      <c r="FP70" t="e">
        <f>AND(Financial!#REF!,"AAAAAHd7Xqs=")</f>
        <v>#REF!</v>
      </c>
      <c r="FQ70" t="e">
        <f>AND(Financial!#REF!,"AAAAAHd7Xqw=")</f>
        <v>#REF!</v>
      </c>
      <c r="FR70" t="e">
        <f>AND(Financial!#REF!,"AAAAAHd7Xq0=")</f>
        <v>#REF!</v>
      </c>
      <c r="FS70" t="e">
        <f>IF(Financial!#REF!,"AAAAAHd7Xq4=",0)</f>
        <v>#REF!</v>
      </c>
      <c r="FT70" t="e">
        <f>AND(Financial!#REF!,"AAAAAHd7Xq8=")</f>
        <v>#REF!</v>
      </c>
      <c r="FU70" t="e">
        <f>AND(Financial!#REF!,"AAAAAHd7XrA=")</f>
        <v>#REF!</v>
      </c>
      <c r="FV70" t="e">
        <f>AND(Financial!#REF!,"AAAAAHd7XrE=")</f>
        <v>#REF!</v>
      </c>
      <c r="FW70" t="e">
        <f>AND(Financial!#REF!,"AAAAAHd7XrI=")</f>
        <v>#REF!</v>
      </c>
      <c r="FX70" t="e">
        <f>AND(Financial!#REF!,"AAAAAHd7XrM=")</f>
        <v>#REF!</v>
      </c>
      <c r="FY70" t="e">
        <f>AND(Financial!#REF!,"AAAAAHd7XrQ=")</f>
        <v>#REF!</v>
      </c>
      <c r="FZ70" t="e">
        <f>AND(Financial!#REF!,"AAAAAHd7XrU=")</f>
        <v>#REF!</v>
      </c>
      <c r="GA70" t="e">
        <f>AND(Financial!#REF!,"AAAAAHd7XrY=")</f>
        <v>#REF!</v>
      </c>
      <c r="GB70" t="e">
        <f>AND(Financial!#REF!,"AAAAAHd7Xrc=")</f>
        <v>#REF!</v>
      </c>
      <c r="GC70" t="e">
        <f>AND(Financial!#REF!,"AAAAAHd7Xrg=")</f>
        <v>#REF!</v>
      </c>
      <c r="GD70" t="e">
        <f>AND(Financial!#REF!,"AAAAAHd7Xrk=")</f>
        <v>#REF!</v>
      </c>
      <c r="GE70" t="e">
        <f>AND(Financial!#REF!,"AAAAAHd7Xro=")</f>
        <v>#REF!</v>
      </c>
      <c r="GF70" t="e">
        <f>AND(Financial!#REF!,"AAAAAHd7Xrs=")</f>
        <v>#REF!</v>
      </c>
      <c r="GG70" t="e">
        <f>AND(Financial!#REF!,"AAAAAHd7Xrw=")</f>
        <v>#REF!</v>
      </c>
      <c r="GH70" t="e">
        <f>IF(Financial!#REF!,"AAAAAHd7Xr0=",0)</f>
        <v>#REF!</v>
      </c>
      <c r="GI70" t="e">
        <f>AND(Financial!#REF!,"AAAAAHd7Xr4=")</f>
        <v>#REF!</v>
      </c>
      <c r="GJ70" t="e">
        <f>AND(Financial!#REF!,"AAAAAHd7Xr8=")</f>
        <v>#REF!</v>
      </c>
      <c r="GK70" t="e">
        <f>AND(Financial!#REF!,"AAAAAHd7XsA=")</f>
        <v>#REF!</v>
      </c>
      <c r="GL70" t="e">
        <f>AND(Financial!#REF!,"AAAAAHd7XsE=")</f>
        <v>#REF!</v>
      </c>
      <c r="GM70" t="e">
        <f>AND(Financial!#REF!,"AAAAAHd7XsI=")</f>
        <v>#REF!</v>
      </c>
      <c r="GN70" t="e">
        <f>AND(Financial!#REF!,"AAAAAHd7XsM=")</f>
        <v>#REF!</v>
      </c>
      <c r="GO70" t="e">
        <f>AND(Financial!#REF!,"AAAAAHd7XsQ=")</f>
        <v>#REF!</v>
      </c>
      <c r="GP70" t="e">
        <f>AND(Financial!#REF!,"AAAAAHd7XsU=")</f>
        <v>#REF!</v>
      </c>
      <c r="GQ70" t="e">
        <f>AND(Financial!#REF!,"AAAAAHd7XsY=")</f>
        <v>#REF!</v>
      </c>
      <c r="GR70" t="e">
        <f>AND(Financial!#REF!,"AAAAAHd7Xsc=")</f>
        <v>#REF!</v>
      </c>
      <c r="GS70" t="e">
        <f>AND(Financial!#REF!,"AAAAAHd7Xsg=")</f>
        <v>#REF!</v>
      </c>
      <c r="GT70" t="e">
        <f>AND(Financial!#REF!,"AAAAAHd7Xsk=")</f>
        <v>#REF!</v>
      </c>
      <c r="GU70" t="e">
        <f>AND(Financial!#REF!,"AAAAAHd7Xso=")</f>
        <v>#REF!</v>
      </c>
      <c r="GV70" t="e">
        <f>AND(Financial!#REF!,"AAAAAHd7Xss=")</f>
        <v>#REF!</v>
      </c>
      <c r="GW70" t="e">
        <f>IF(Financial!#REF!,"AAAAAHd7Xsw=",0)</f>
        <v>#REF!</v>
      </c>
      <c r="GX70" t="e">
        <f>AND(Financial!#REF!,"AAAAAHd7Xs0=")</f>
        <v>#REF!</v>
      </c>
      <c r="GY70" t="e">
        <f>AND(Financial!#REF!,"AAAAAHd7Xs4=")</f>
        <v>#REF!</v>
      </c>
      <c r="GZ70" t="e">
        <f>AND(Financial!#REF!,"AAAAAHd7Xs8=")</f>
        <v>#REF!</v>
      </c>
      <c r="HA70" t="e">
        <f>AND(Financial!#REF!,"AAAAAHd7XtA=")</f>
        <v>#REF!</v>
      </c>
      <c r="HB70" t="e">
        <f>AND(Financial!#REF!,"AAAAAHd7XtE=")</f>
        <v>#REF!</v>
      </c>
      <c r="HC70" t="e">
        <f>AND(Financial!#REF!,"AAAAAHd7XtI=")</f>
        <v>#REF!</v>
      </c>
      <c r="HD70" t="e">
        <f>AND(Financial!#REF!,"AAAAAHd7XtM=")</f>
        <v>#REF!</v>
      </c>
      <c r="HE70" t="e">
        <f>AND(Financial!#REF!,"AAAAAHd7XtQ=")</f>
        <v>#REF!</v>
      </c>
      <c r="HF70" t="e">
        <f>AND(Financial!#REF!,"AAAAAHd7XtU=")</f>
        <v>#REF!</v>
      </c>
      <c r="HG70" t="e">
        <f>AND(Financial!#REF!,"AAAAAHd7XtY=")</f>
        <v>#REF!</v>
      </c>
      <c r="HH70" t="e">
        <f>AND(Financial!#REF!,"AAAAAHd7Xtc=")</f>
        <v>#REF!</v>
      </c>
      <c r="HI70" t="e">
        <f>AND(Financial!#REF!,"AAAAAHd7Xtg=")</f>
        <v>#REF!</v>
      </c>
      <c r="HJ70" t="e">
        <f>AND(Financial!#REF!,"AAAAAHd7Xtk=")</f>
        <v>#REF!</v>
      </c>
      <c r="HK70" t="e">
        <f>AND(Financial!#REF!,"AAAAAHd7Xto=")</f>
        <v>#REF!</v>
      </c>
      <c r="HL70" t="e">
        <f>IF(Financial!#REF!,"AAAAAHd7Xts=",0)</f>
        <v>#REF!</v>
      </c>
      <c r="HM70" t="e">
        <f>AND(Financial!#REF!,"AAAAAHd7Xtw=")</f>
        <v>#REF!</v>
      </c>
      <c r="HN70" t="e">
        <f>AND(Financial!#REF!,"AAAAAHd7Xt0=")</f>
        <v>#REF!</v>
      </c>
      <c r="HO70" t="e">
        <f>AND(Financial!#REF!,"AAAAAHd7Xt4=")</f>
        <v>#REF!</v>
      </c>
      <c r="HP70" t="e">
        <f>AND(Financial!#REF!,"AAAAAHd7Xt8=")</f>
        <v>#REF!</v>
      </c>
      <c r="HQ70" t="e">
        <f>AND(Financial!#REF!,"AAAAAHd7XuA=")</f>
        <v>#REF!</v>
      </c>
      <c r="HR70" t="e">
        <f>AND(Financial!#REF!,"AAAAAHd7XuE=")</f>
        <v>#REF!</v>
      </c>
      <c r="HS70" t="e">
        <f>AND(Financial!#REF!,"AAAAAHd7XuI=")</f>
        <v>#REF!</v>
      </c>
      <c r="HT70" t="e">
        <f>AND(Financial!#REF!,"AAAAAHd7XuM=")</f>
        <v>#REF!</v>
      </c>
      <c r="HU70" t="e">
        <f>AND(Financial!#REF!,"AAAAAHd7XuQ=")</f>
        <v>#REF!</v>
      </c>
      <c r="HV70" t="e">
        <f>AND(Financial!#REF!,"AAAAAHd7XuU=")</f>
        <v>#REF!</v>
      </c>
      <c r="HW70" t="e">
        <f>AND(Financial!#REF!,"AAAAAHd7XuY=")</f>
        <v>#REF!</v>
      </c>
      <c r="HX70" t="e">
        <f>AND(Financial!#REF!,"AAAAAHd7Xuc=")</f>
        <v>#REF!</v>
      </c>
      <c r="HY70" t="e">
        <f>AND(Financial!#REF!,"AAAAAHd7Xug=")</f>
        <v>#REF!</v>
      </c>
      <c r="HZ70" t="e">
        <f>AND(Financial!#REF!,"AAAAAHd7Xuk=")</f>
        <v>#REF!</v>
      </c>
      <c r="IA70" t="e">
        <f>IF(Financial!#REF!,"AAAAAHd7Xuo=",0)</f>
        <v>#REF!</v>
      </c>
      <c r="IB70" t="e">
        <f>AND(Financial!#REF!,"AAAAAHd7Xus=")</f>
        <v>#REF!</v>
      </c>
      <c r="IC70" t="e">
        <f>AND(Financial!#REF!,"AAAAAHd7Xuw=")</f>
        <v>#REF!</v>
      </c>
      <c r="ID70" t="e">
        <f>AND(Financial!#REF!,"AAAAAHd7Xu0=")</f>
        <v>#REF!</v>
      </c>
      <c r="IE70" t="e">
        <f>AND(Financial!#REF!,"AAAAAHd7Xu4=")</f>
        <v>#REF!</v>
      </c>
      <c r="IF70" t="e">
        <f>AND(Financial!#REF!,"AAAAAHd7Xu8=")</f>
        <v>#REF!</v>
      </c>
      <c r="IG70" t="e">
        <f>AND(Financial!#REF!,"AAAAAHd7XvA=")</f>
        <v>#REF!</v>
      </c>
      <c r="IH70" t="e">
        <f>AND(Financial!#REF!,"AAAAAHd7XvE=")</f>
        <v>#REF!</v>
      </c>
      <c r="II70" t="e">
        <f>AND(Financial!#REF!,"AAAAAHd7XvI=")</f>
        <v>#REF!</v>
      </c>
      <c r="IJ70" t="e">
        <f>AND(Financial!#REF!,"AAAAAHd7XvM=")</f>
        <v>#REF!</v>
      </c>
      <c r="IK70" t="e">
        <f>AND(Financial!#REF!,"AAAAAHd7XvQ=")</f>
        <v>#REF!</v>
      </c>
      <c r="IL70" t="e">
        <f>AND(Financial!#REF!,"AAAAAHd7XvU=")</f>
        <v>#REF!</v>
      </c>
      <c r="IM70" t="e">
        <f>AND(Financial!#REF!,"AAAAAHd7XvY=")</f>
        <v>#REF!</v>
      </c>
      <c r="IN70" t="e">
        <f>AND(Financial!#REF!,"AAAAAHd7Xvc=")</f>
        <v>#REF!</v>
      </c>
      <c r="IO70" t="e">
        <f>AND(Financial!#REF!,"AAAAAHd7Xvg=")</f>
        <v>#REF!</v>
      </c>
      <c r="IP70">
        <f>IF(Financial!130:130,"AAAAAHd7Xvk=",0)</f>
        <v>0</v>
      </c>
      <c r="IQ70" t="e">
        <f>AND(Financial!#REF!,"AAAAAHd7Xvo=")</f>
        <v>#REF!</v>
      </c>
      <c r="IR70" t="e">
        <f>AND(Financial!A130,"AAAAAHd7Xvs=")</f>
        <v>#VALUE!</v>
      </c>
      <c r="IS70" t="e">
        <f>AND(Financial!B130,"AAAAAHd7Xvw=")</f>
        <v>#VALUE!</v>
      </c>
      <c r="IT70" t="e">
        <f>AND(Financial!C130,"AAAAAHd7Xv0=")</f>
        <v>#VALUE!</v>
      </c>
      <c r="IU70" t="e">
        <f>AND(Financial!D130,"AAAAAHd7Xv4=")</f>
        <v>#VALUE!</v>
      </c>
      <c r="IV70" t="e">
        <f>AND(Financial!E130,"AAAAAHd7Xv8=")</f>
        <v>#VALUE!</v>
      </c>
    </row>
    <row r="71" spans="1:256" x14ac:dyDescent="0.2">
      <c r="A71" t="e">
        <f>AND(Financial!F130,"AAAAAD/K/wA=")</f>
        <v>#VALUE!</v>
      </c>
      <c r="B71" t="e">
        <f>AND(Financial!G130,"AAAAAD/K/wE=")</f>
        <v>#VALUE!</v>
      </c>
      <c r="C71" t="e">
        <f>AND(Financial!H130,"AAAAAD/K/wI=")</f>
        <v>#VALUE!</v>
      </c>
      <c r="D71" t="e">
        <f>AND(Financial!I130,"AAAAAD/K/wM=")</f>
        <v>#VALUE!</v>
      </c>
      <c r="E71" t="e">
        <f>AND(Financial!J130,"AAAAAD/K/wQ=")</f>
        <v>#VALUE!</v>
      </c>
      <c r="F71" t="e">
        <f>AND(Financial!K130,"AAAAAD/K/wU=")</f>
        <v>#VALUE!</v>
      </c>
      <c r="G71" t="e">
        <f>AND(Financial!L130,"AAAAAD/K/wY=")</f>
        <v>#VALUE!</v>
      </c>
      <c r="H71" t="e">
        <f>AND(Financial!M130,"AAAAAD/K/wc=")</f>
        <v>#VALUE!</v>
      </c>
      <c r="I71">
        <f>IF(Financial!131:131,"AAAAAD/K/wg=",0)</f>
        <v>0</v>
      </c>
      <c r="J71" t="e">
        <f>AND(Financial!#REF!,"AAAAAD/K/wk=")</f>
        <v>#REF!</v>
      </c>
      <c r="K71" t="e">
        <f>AND(Financial!A131,"AAAAAD/K/wo=")</f>
        <v>#VALUE!</v>
      </c>
      <c r="L71" t="e">
        <f>AND(Financial!B131,"AAAAAD/K/ws=")</f>
        <v>#VALUE!</v>
      </c>
      <c r="M71" t="e">
        <f>AND(Financial!C131,"AAAAAD/K/ww=")</f>
        <v>#VALUE!</v>
      </c>
      <c r="N71" t="e">
        <f>AND(Financial!D131,"AAAAAD/K/w0=")</f>
        <v>#VALUE!</v>
      </c>
      <c r="O71" t="e">
        <f>AND(Financial!#REF!,"AAAAAD/K/w4=")</f>
        <v>#REF!</v>
      </c>
      <c r="P71" t="e">
        <f>AND(Financial!#REF!,"AAAAAD/K/w8=")</f>
        <v>#REF!</v>
      </c>
      <c r="Q71" t="e">
        <f>AND(Financial!#REF!,"AAAAAD/K/xA=")</f>
        <v>#REF!</v>
      </c>
      <c r="R71" t="e">
        <f>AND(Financial!#REF!,"AAAAAD/K/xE=")</f>
        <v>#REF!</v>
      </c>
      <c r="S71" t="e">
        <f>AND(Financial!#REF!,"AAAAAD/K/xI=")</f>
        <v>#REF!</v>
      </c>
      <c r="T71" t="e">
        <f>AND(Financial!#REF!,"AAAAAD/K/xM=")</f>
        <v>#REF!</v>
      </c>
      <c r="U71" t="e">
        <f>AND(Financial!#REF!,"AAAAAD/K/xQ=")</f>
        <v>#REF!</v>
      </c>
      <c r="V71" t="e">
        <f>AND(Financial!E131,"AAAAAD/K/xU=")</f>
        <v>#VALUE!</v>
      </c>
      <c r="W71" t="e">
        <f>AND(Financial!F131,"AAAAAD/K/xY=")</f>
        <v>#VALUE!</v>
      </c>
      <c r="X71">
        <f>IF(Financial!142:142,"AAAAAD/K/xc=",0)</f>
        <v>0</v>
      </c>
      <c r="Y71" t="e">
        <f>AND(Financial!#REF!,"AAAAAD/K/xg=")</f>
        <v>#REF!</v>
      </c>
      <c r="Z71" t="e">
        <f>AND(Financial!A142,"AAAAAD/K/xk=")</f>
        <v>#VALUE!</v>
      </c>
      <c r="AA71" t="e">
        <f>AND(Financial!B142,"AAAAAD/K/xo=")</f>
        <v>#VALUE!</v>
      </c>
      <c r="AB71" t="e">
        <f>AND(Financial!C142,"AAAAAD/K/xs=")</f>
        <v>#VALUE!</v>
      </c>
      <c r="AC71" t="e">
        <f>AND(Financial!D142,"AAAAAD/K/xw=")</f>
        <v>#VALUE!</v>
      </c>
      <c r="AD71" t="e">
        <f>AND(Financial!E142,"AAAAAD/K/x0=")</f>
        <v>#VALUE!</v>
      </c>
      <c r="AE71" t="e">
        <f>AND(Financial!F142,"AAAAAD/K/x4=")</f>
        <v>#VALUE!</v>
      </c>
      <c r="AF71" t="e">
        <f>AND(Financial!G142,"AAAAAD/K/x8=")</f>
        <v>#VALUE!</v>
      </c>
      <c r="AG71" t="e">
        <f>AND(Financial!H142,"AAAAAD/K/yA=")</f>
        <v>#VALUE!</v>
      </c>
      <c r="AH71" t="e">
        <f>AND(Financial!I142,"AAAAAD/K/yE=")</f>
        <v>#VALUE!</v>
      </c>
      <c r="AI71" t="e">
        <f>AND(Financial!J142,"AAAAAD/K/yI=")</f>
        <v>#VALUE!</v>
      </c>
      <c r="AJ71" t="e">
        <f>AND(Financial!K142,"AAAAAD/K/yM=")</f>
        <v>#VALUE!</v>
      </c>
      <c r="AK71" t="e">
        <f>AND(Financial!L142,"AAAAAD/K/yQ=")</f>
        <v>#VALUE!</v>
      </c>
      <c r="AL71" t="e">
        <f>AND(Financial!M142,"AAAAAD/K/yU=")</f>
        <v>#VALUE!</v>
      </c>
      <c r="AM71">
        <f>IF(Financial!143:143,"AAAAAD/K/yY=",0)</f>
        <v>0</v>
      </c>
      <c r="AN71" t="e">
        <f>AND(Financial!#REF!,"AAAAAD/K/yc=")</f>
        <v>#REF!</v>
      </c>
      <c r="AO71" t="e">
        <f>AND(Financial!A143,"AAAAAD/K/yg=")</f>
        <v>#VALUE!</v>
      </c>
      <c r="AP71" t="e">
        <f>AND(Financial!B143,"AAAAAD/K/yk=")</f>
        <v>#VALUE!</v>
      </c>
      <c r="AQ71" t="e">
        <f>AND(Financial!C143,"AAAAAD/K/yo=")</f>
        <v>#VALUE!</v>
      </c>
      <c r="AR71" t="e">
        <f>AND(Financial!D143,"AAAAAD/K/ys=")</f>
        <v>#VALUE!</v>
      </c>
      <c r="AS71" t="e">
        <f>AND(Financial!E143,"AAAAAD/K/yw=")</f>
        <v>#VALUE!</v>
      </c>
      <c r="AT71" t="e">
        <f>AND(Financial!F143,"AAAAAD/K/y0=")</f>
        <v>#VALUE!</v>
      </c>
      <c r="AU71" t="e">
        <f>AND(Financial!G143,"AAAAAD/K/y4=")</f>
        <v>#VALUE!</v>
      </c>
      <c r="AV71" t="e">
        <f>AND(Financial!H143,"AAAAAD/K/y8=")</f>
        <v>#VALUE!</v>
      </c>
      <c r="AW71" t="e">
        <f>AND(Financial!I143,"AAAAAD/K/zA=")</f>
        <v>#VALUE!</v>
      </c>
      <c r="AX71" t="e">
        <f>AND(Financial!J143,"AAAAAD/K/zE=")</f>
        <v>#VALUE!</v>
      </c>
      <c r="AY71" t="e">
        <f>AND(Financial!K143,"AAAAAD/K/zI=")</f>
        <v>#VALUE!</v>
      </c>
      <c r="AZ71" t="e">
        <f>AND(Financial!L143,"AAAAAD/K/zM=")</f>
        <v>#VALUE!</v>
      </c>
      <c r="BA71" t="e">
        <f>AND(Financial!M143,"AAAAAD/K/zQ=")</f>
        <v>#VALUE!</v>
      </c>
      <c r="BB71">
        <f>IF(Financial!144:144,"AAAAAD/K/zU=",0)</f>
        <v>0</v>
      </c>
      <c r="BC71" t="e">
        <f>AND(Financial!#REF!,"AAAAAD/K/zY=")</f>
        <v>#REF!</v>
      </c>
      <c r="BD71" t="e">
        <f>AND(Financial!A144,"AAAAAD/K/zc=")</f>
        <v>#VALUE!</v>
      </c>
      <c r="BE71" t="e">
        <f>AND(Financial!B144,"AAAAAD/K/zg=")</f>
        <v>#VALUE!</v>
      </c>
      <c r="BF71" t="e">
        <f>AND(Financial!C144,"AAAAAD/K/zk=")</f>
        <v>#VALUE!</v>
      </c>
      <c r="BG71" t="e">
        <f>AND(Financial!D144,"AAAAAD/K/zo=")</f>
        <v>#VALUE!</v>
      </c>
      <c r="BH71" t="e">
        <f>AND(Financial!E144,"AAAAAD/K/zs=")</f>
        <v>#VALUE!</v>
      </c>
      <c r="BI71" t="e">
        <f>AND(Financial!F144,"AAAAAD/K/zw=")</f>
        <v>#VALUE!</v>
      </c>
      <c r="BJ71" t="e">
        <f>AND(Financial!G144,"AAAAAD/K/z0=")</f>
        <v>#VALUE!</v>
      </c>
      <c r="BK71" t="e">
        <f>AND(Financial!H144,"AAAAAD/K/z4=")</f>
        <v>#VALUE!</v>
      </c>
      <c r="BL71" t="e">
        <f>AND(Financial!I144,"AAAAAD/K/z8=")</f>
        <v>#VALUE!</v>
      </c>
      <c r="BM71" t="e">
        <f>AND(Financial!J144,"AAAAAD/K/0A=")</f>
        <v>#VALUE!</v>
      </c>
      <c r="BN71" t="e">
        <f>AND(Financial!K144,"AAAAAD/K/0E=")</f>
        <v>#VALUE!</v>
      </c>
      <c r="BO71" t="e">
        <f>AND(Financial!L144,"AAAAAD/K/0I=")</f>
        <v>#VALUE!</v>
      </c>
      <c r="BP71" t="e">
        <f>AND(Financial!M144,"AAAAAD/K/0M=")</f>
        <v>#VALUE!</v>
      </c>
      <c r="BQ71">
        <f>IF(Financial!139:139,"AAAAAD/K/0Q=",0)</f>
        <v>0</v>
      </c>
      <c r="BR71" t="e">
        <f>AND(Financial!#REF!,"AAAAAD/K/0U=")</f>
        <v>#REF!</v>
      </c>
      <c r="BS71" t="e">
        <f>AND(Financial!A139,"AAAAAD/K/0Y=")</f>
        <v>#VALUE!</v>
      </c>
      <c r="BT71" t="e">
        <f>AND(Financial!B139,"AAAAAD/K/0c=")</f>
        <v>#VALUE!</v>
      </c>
      <c r="BU71" t="e">
        <f>AND(Financial!C139,"AAAAAD/K/0g=")</f>
        <v>#VALUE!</v>
      </c>
      <c r="BV71" t="e">
        <f>AND(Financial!D139,"AAAAAD/K/0k=")</f>
        <v>#VALUE!</v>
      </c>
      <c r="BW71" t="e">
        <f>AND(Financial!E139,"AAAAAD/K/0o=")</f>
        <v>#VALUE!</v>
      </c>
      <c r="BX71" t="e">
        <f>AND(Financial!F139,"AAAAAD/K/0s=")</f>
        <v>#VALUE!</v>
      </c>
      <c r="BY71" t="e">
        <f>AND(Financial!G139,"AAAAAD/K/0w=")</f>
        <v>#VALUE!</v>
      </c>
      <c r="BZ71" t="e">
        <f>AND(Financial!H139,"AAAAAD/K/00=")</f>
        <v>#VALUE!</v>
      </c>
      <c r="CA71" t="e">
        <f>AND(Financial!I139,"AAAAAD/K/04=")</f>
        <v>#VALUE!</v>
      </c>
      <c r="CB71" t="e">
        <f>AND(Financial!J139,"AAAAAD/K/08=")</f>
        <v>#VALUE!</v>
      </c>
      <c r="CC71" t="e">
        <f>AND(Financial!K139,"AAAAAD/K/1A=")</f>
        <v>#VALUE!</v>
      </c>
      <c r="CD71" t="e">
        <f>AND(Financial!L139,"AAAAAD/K/1E=")</f>
        <v>#VALUE!</v>
      </c>
      <c r="CE71" t="e">
        <f>AND(Financial!M139,"AAAAAD/K/1I=")</f>
        <v>#VALUE!</v>
      </c>
      <c r="CF71" t="e">
        <f>IF(Financial!#REF!,"AAAAAD/K/1M=",0)</f>
        <v>#REF!</v>
      </c>
      <c r="CG71" t="e">
        <f>AND(Financial!#REF!,"AAAAAD/K/1Q=")</f>
        <v>#REF!</v>
      </c>
      <c r="CH71" t="e">
        <f>AND(Financial!#REF!,"AAAAAD/K/1U=")</f>
        <v>#REF!</v>
      </c>
      <c r="CI71" t="e">
        <f>AND(Financial!#REF!,"AAAAAD/K/1Y=")</f>
        <v>#REF!</v>
      </c>
      <c r="CJ71" t="e">
        <f>AND(Financial!#REF!,"AAAAAD/K/1c=")</f>
        <v>#REF!</v>
      </c>
      <c r="CK71" t="e">
        <f>AND(Financial!#REF!,"AAAAAD/K/1g=")</f>
        <v>#REF!</v>
      </c>
      <c r="CL71" t="e">
        <f>AND(Financial!#REF!,"AAAAAD/K/1k=")</f>
        <v>#REF!</v>
      </c>
      <c r="CM71" t="e">
        <f>AND(Financial!#REF!,"AAAAAD/K/1o=")</f>
        <v>#REF!</v>
      </c>
      <c r="CN71" t="e">
        <f>AND(Financial!#REF!,"AAAAAD/K/1s=")</f>
        <v>#REF!</v>
      </c>
      <c r="CO71" t="e">
        <f>AND(Financial!#REF!,"AAAAAD/K/1w=")</f>
        <v>#REF!</v>
      </c>
      <c r="CP71" t="e">
        <f>AND(Financial!#REF!,"AAAAAD/K/10=")</f>
        <v>#REF!</v>
      </c>
      <c r="CQ71" t="e">
        <f>AND(Financial!#REF!,"AAAAAD/K/14=")</f>
        <v>#REF!</v>
      </c>
      <c r="CR71" t="e">
        <f>AND(Financial!#REF!,"AAAAAD/K/18=")</f>
        <v>#REF!</v>
      </c>
      <c r="CS71" t="e">
        <f>AND(Financial!#REF!,"AAAAAD/K/2A=")</f>
        <v>#REF!</v>
      </c>
      <c r="CT71" t="e">
        <f>AND(Financial!#REF!,"AAAAAD/K/2E=")</f>
        <v>#REF!</v>
      </c>
      <c r="CU71">
        <f>IF(Financial!132:132,"AAAAAD/K/2I=",0)</f>
        <v>0</v>
      </c>
      <c r="CV71" t="e">
        <f>AND(Financial!#REF!,"AAAAAD/K/2M=")</f>
        <v>#REF!</v>
      </c>
      <c r="CW71" t="e">
        <f>AND(Financial!A132,"AAAAAD/K/2Q=")</f>
        <v>#VALUE!</v>
      </c>
      <c r="CX71" t="e">
        <f>AND(Financial!B132,"AAAAAD/K/2U=")</f>
        <v>#VALUE!</v>
      </c>
      <c r="CY71" t="e">
        <f>AND(Financial!C132,"AAAAAD/K/2Y=")</f>
        <v>#VALUE!</v>
      </c>
      <c r="CZ71" t="e">
        <f>AND(Financial!D132,"AAAAAD/K/2c=")</f>
        <v>#VALUE!</v>
      </c>
      <c r="DA71" t="e">
        <f>AND(Financial!E132,"AAAAAD/K/2g=")</f>
        <v>#VALUE!</v>
      </c>
      <c r="DB71" t="e">
        <f>AND(Financial!F132,"AAAAAD/K/2k=")</f>
        <v>#VALUE!</v>
      </c>
      <c r="DC71" t="e">
        <f>AND(Financial!G132,"AAAAAD/K/2o=")</f>
        <v>#VALUE!</v>
      </c>
      <c r="DD71" t="e">
        <f>AND(Financial!H132,"AAAAAD/K/2s=")</f>
        <v>#VALUE!</v>
      </c>
      <c r="DE71" t="e">
        <f>AND(Financial!I132,"AAAAAD/K/2w=")</f>
        <v>#VALUE!</v>
      </c>
      <c r="DF71" t="e">
        <f>AND(Financial!J132,"AAAAAD/K/20=")</f>
        <v>#VALUE!</v>
      </c>
      <c r="DG71" t="e">
        <f>AND(Financial!K132,"AAAAAD/K/24=")</f>
        <v>#VALUE!</v>
      </c>
      <c r="DH71" t="e">
        <f>AND(Financial!L132,"AAAAAD/K/28=")</f>
        <v>#VALUE!</v>
      </c>
      <c r="DI71" t="e">
        <f>AND(Financial!M132,"AAAAAD/K/3A=")</f>
        <v>#VALUE!</v>
      </c>
      <c r="DJ71">
        <f>IF(Financial!133:133,"AAAAAD/K/3E=",0)</f>
        <v>0</v>
      </c>
      <c r="DK71" t="e">
        <f>AND(Financial!#REF!,"AAAAAD/K/3I=")</f>
        <v>#REF!</v>
      </c>
      <c r="DL71" t="e">
        <f>AND(Financial!A133,"AAAAAD/K/3M=")</f>
        <v>#VALUE!</v>
      </c>
      <c r="DM71" t="e">
        <f>AND(Financial!B133,"AAAAAD/K/3Q=")</f>
        <v>#VALUE!</v>
      </c>
      <c r="DN71" t="e">
        <f>AND(Financial!C133,"AAAAAD/K/3U=")</f>
        <v>#VALUE!</v>
      </c>
      <c r="DO71" t="e">
        <f>AND(Financial!D133,"AAAAAD/K/3Y=")</f>
        <v>#VALUE!</v>
      </c>
      <c r="DP71" t="e">
        <f>AND(Financial!E133,"AAAAAD/K/3c=")</f>
        <v>#VALUE!</v>
      </c>
      <c r="DQ71" t="e">
        <f>AND(Financial!F133,"AAAAAD/K/3g=")</f>
        <v>#VALUE!</v>
      </c>
      <c r="DR71" t="e">
        <f>AND(Financial!G133,"AAAAAD/K/3k=")</f>
        <v>#VALUE!</v>
      </c>
      <c r="DS71" t="e">
        <f>AND(Financial!H133,"AAAAAD/K/3o=")</f>
        <v>#VALUE!</v>
      </c>
      <c r="DT71" t="e">
        <f>AND(Financial!I133,"AAAAAD/K/3s=")</f>
        <v>#VALUE!</v>
      </c>
      <c r="DU71" t="e">
        <f>AND(Financial!J133,"AAAAAD/K/3w=")</f>
        <v>#VALUE!</v>
      </c>
      <c r="DV71" t="e">
        <f>AND(Financial!K133,"AAAAAD/K/30=")</f>
        <v>#VALUE!</v>
      </c>
      <c r="DW71" t="e">
        <f>AND(Financial!L133,"AAAAAD/K/34=")</f>
        <v>#VALUE!</v>
      </c>
      <c r="DX71" t="e">
        <f>AND(Financial!M133,"AAAAAD/K/38=")</f>
        <v>#VALUE!</v>
      </c>
      <c r="DY71">
        <f>IF(Financial!134:134,"AAAAAD/K/4A=",0)</f>
        <v>0</v>
      </c>
      <c r="DZ71" t="e">
        <f>AND(Financial!#REF!,"AAAAAD/K/4E=")</f>
        <v>#REF!</v>
      </c>
      <c r="EA71" t="e">
        <f>AND(Financial!A134,"AAAAAD/K/4I=")</f>
        <v>#VALUE!</v>
      </c>
      <c r="EB71" t="e">
        <f>AND(Financial!B134,"AAAAAD/K/4M=")</f>
        <v>#VALUE!</v>
      </c>
      <c r="EC71" t="e">
        <f>AND(Financial!C134,"AAAAAD/K/4Q=")</f>
        <v>#VALUE!</v>
      </c>
      <c r="ED71" t="e">
        <f>AND(Financial!D134,"AAAAAD/K/4U=")</f>
        <v>#VALUE!</v>
      </c>
      <c r="EE71" t="e">
        <f>AND(Financial!E134,"AAAAAD/K/4Y=")</f>
        <v>#VALUE!</v>
      </c>
      <c r="EF71" t="e">
        <f>AND(Financial!F134,"AAAAAD/K/4c=")</f>
        <v>#VALUE!</v>
      </c>
      <c r="EG71" t="e">
        <f>AND(Financial!G134,"AAAAAD/K/4g=")</f>
        <v>#VALUE!</v>
      </c>
      <c r="EH71" t="e">
        <f>AND(Financial!H134,"AAAAAD/K/4k=")</f>
        <v>#VALUE!</v>
      </c>
      <c r="EI71" t="e">
        <f>AND(Financial!I134,"AAAAAD/K/4o=")</f>
        <v>#VALUE!</v>
      </c>
      <c r="EJ71" t="e">
        <f>AND(Financial!J134,"AAAAAD/K/4s=")</f>
        <v>#VALUE!</v>
      </c>
      <c r="EK71" t="e">
        <f>AND(Financial!K134,"AAAAAD/K/4w=")</f>
        <v>#VALUE!</v>
      </c>
      <c r="EL71" t="e">
        <f>AND(Financial!L134,"AAAAAD/K/40=")</f>
        <v>#VALUE!</v>
      </c>
      <c r="EM71" t="e">
        <f>AND(Financial!M134,"AAAAAD/K/44=")</f>
        <v>#VALUE!</v>
      </c>
      <c r="EN71">
        <f>IF(Financial!135:135,"AAAAAD/K/48=",0)</f>
        <v>0</v>
      </c>
      <c r="EO71" t="e">
        <f>AND(Financial!#REF!,"AAAAAD/K/5A=")</f>
        <v>#REF!</v>
      </c>
      <c r="EP71" t="e">
        <f>AND(Financial!A135,"AAAAAD/K/5E=")</f>
        <v>#VALUE!</v>
      </c>
      <c r="EQ71" t="e">
        <f>AND(Financial!B135,"AAAAAD/K/5I=")</f>
        <v>#VALUE!</v>
      </c>
      <c r="ER71" t="e">
        <f>AND(Financial!C135,"AAAAAD/K/5M=")</f>
        <v>#VALUE!</v>
      </c>
      <c r="ES71" t="e">
        <f>AND(Financial!D135,"AAAAAD/K/5Q=")</f>
        <v>#VALUE!</v>
      </c>
      <c r="ET71" t="e">
        <f>AND(Financial!E135,"AAAAAD/K/5U=")</f>
        <v>#VALUE!</v>
      </c>
      <c r="EU71" t="e">
        <f>AND(Financial!F135,"AAAAAD/K/5Y=")</f>
        <v>#VALUE!</v>
      </c>
      <c r="EV71" t="e">
        <f>AND(Financial!G135,"AAAAAD/K/5c=")</f>
        <v>#VALUE!</v>
      </c>
      <c r="EW71" t="e">
        <f>AND(Financial!H135,"AAAAAD/K/5g=")</f>
        <v>#VALUE!</v>
      </c>
      <c r="EX71" t="e">
        <f>AND(Financial!I135,"AAAAAD/K/5k=")</f>
        <v>#VALUE!</v>
      </c>
      <c r="EY71" t="e">
        <f>AND(Financial!J135,"AAAAAD/K/5o=")</f>
        <v>#VALUE!</v>
      </c>
      <c r="EZ71" t="e">
        <f>AND(Financial!K135,"AAAAAD/K/5s=")</f>
        <v>#VALUE!</v>
      </c>
      <c r="FA71" t="e">
        <f>AND(Financial!L135,"AAAAAD/K/5w=")</f>
        <v>#VALUE!</v>
      </c>
      <c r="FB71" t="e">
        <f>AND(Financial!M135,"AAAAAD/K/50=")</f>
        <v>#VALUE!</v>
      </c>
      <c r="FC71">
        <f>IF(Financial!136:136,"AAAAAD/K/54=",0)</f>
        <v>0</v>
      </c>
      <c r="FD71" t="e">
        <f>AND(Financial!#REF!,"AAAAAD/K/58=")</f>
        <v>#REF!</v>
      </c>
      <c r="FE71" t="e">
        <f>AND(Financial!A136,"AAAAAD/K/6A=")</f>
        <v>#VALUE!</v>
      </c>
      <c r="FF71" t="e">
        <f>AND(Financial!B136,"AAAAAD/K/6E=")</f>
        <v>#VALUE!</v>
      </c>
      <c r="FG71" t="e">
        <f>AND(Financial!C136,"AAAAAD/K/6I=")</f>
        <v>#VALUE!</v>
      </c>
      <c r="FH71" t="e">
        <f>AND(Financial!D136,"AAAAAD/K/6M=")</f>
        <v>#VALUE!</v>
      </c>
      <c r="FI71" t="e">
        <f>AND(Financial!E136,"AAAAAD/K/6Q=")</f>
        <v>#VALUE!</v>
      </c>
      <c r="FJ71" t="e">
        <f>AND(Financial!F136,"AAAAAD/K/6U=")</f>
        <v>#VALUE!</v>
      </c>
      <c r="FK71" t="e">
        <f>AND(Financial!G136,"AAAAAD/K/6Y=")</f>
        <v>#VALUE!</v>
      </c>
      <c r="FL71" t="e">
        <f>AND(Financial!H136,"AAAAAD/K/6c=")</f>
        <v>#VALUE!</v>
      </c>
      <c r="FM71" t="e">
        <f>AND(Financial!I136,"AAAAAD/K/6g=")</f>
        <v>#VALUE!</v>
      </c>
      <c r="FN71" t="e">
        <f>AND(Financial!J136,"AAAAAD/K/6k=")</f>
        <v>#VALUE!</v>
      </c>
      <c r="FO71" t="e">
        <f>AND(Financial!K136,"AAAAAD/K/6o=")</f>
        <v>#VALUE!</v>
      </c>
      <c r="FP71" t="e">
        <f>AND(Financial!L136,"AAAAAD/K/6s=")</f>
        <v>#VALUE!</v>
      </c>
      <c r="FQ71" t="e">
        <f>AND(Financial!M136,"AAAAAD/K/6w=")</f>
        <v>#VALUE!</v>
      </c>
      <c r="FR71">
        <f>IF(Financial!137:137,"AAAAAD/K/60=",0)</f>
        <v>0</v>
      </c>
      <c r="FS71" t="e">
        <f>AND(Financial!#REF!,"AAAAAD/K/64=")</f>
        <v>#REF!</v>
      </c>
      <c r="FT71" t="e">
        <f>AND(Financial!A137,"AAAAAD/K/68=")</f>
        <v>#VALUE!</v>
      </c>
      <c r="FU71" t="e">
        <f>AND(Financial!B137,"AAAAAD/K/7A=")</f>
        <v>#VALUE!</v>
      </c>
      <c r="FV71" t="e">
        <f>AND(Financial!C137,"AAAAAD/K/7E=")</f>
        <v>#VALUE!</v>
      </c>
      <c r="FW71" t="e">
        <f>AND(Financial!D137,"AAAAAD/K/7I=")</f>
        <v>#VALUE!</v>
      </c>
      <c r="FX71" t="e">
        <f>AND(Financial!E137,"AAAAAD/K/7M=")</f>
        <v>#VALUE!</v>
      </c>
      <c r="FY71" t="e">
        <f>AND(Financial!F137,"AAAAAD/K/7Q=")</f>
        <v>#VALUE!</v>
      </c>
      <c r="FZ71" t="e">
        <f>AND(Financial!G137,"AAAAAD/K/7U=")</f>
        <v>#VALUE!</v>
      </c>
      <c r="GA71" t="e">
        <f>AND(Financial!H137,"AAAAAD/K/7Y=")</f>
        <v>#VALUE!</v>
      </c>
      <c r="GB71" t="e">
        <f>AND(Financial!I137,"AAAAAD/K/7c=")</f>
        <v>#VALUE!</v>
      </c>
      <c r="GC71" t="e">
        <f>AND(Financial!J137,"AAAAAD/K/7g=")</f>
        <v>#VALUE!</v>
      </c>
      <c r="GD71" t="e">
        <f>AND(Financial!K137,"AAAAAD/K/7k=")</f>
        <v>#VALUE!</v>
      </c>
      <c r="GE71" t="e">
        <f>AND(Financial!L137,"AAAAAD/K/7o=")</f>
        <v>#VALUE!</v>
      </c>
      <c r="GF71" t="e">
        <f>AND(Financial!M137,"AAAAAD/K/7s=")</f>
        <v>#VALUE!</v>
      </c>
      <c r="GG71">
        <f>IF(Financial!138:138,"AAAAAD/K/7w=",0)</f>
        <v>0</v>
      </c>
      <c r="GH71" t="e">
        <f>AND(Financial!#REF!,"AAAAAD/K/70=")</f>
        <v>#REF!</v>
      </c>
      <c r="GI71" t="e">
        <f>AND(Financial!A138,"AAAAAD/K/74=")</f>
        <v>#VALUE!</v>
      </c>
      <c r="GJ71" t="e">
        <f>AND(Financial!B138,"AAAAAD/K/78=")</f>
        <v>#VALUE!</v>
      </c>
      <c r="GK71" t="e">
        <f>AND(Financial!C138,"AAAAAD/K/8A=")</f>
        <v>#VALUE!</v>
      </c>
      <c r="GL71" t="e">
        <f>AND(Financial!D138,"AAAAAD/K/8E=")</f>
        <v>#VALUE!</v>
      </c>
      <c r="GM71" t="e">
        <f>AND(Financial!E138,"AAAAAD/K/8I=")</f>
        <v>#VALUE!</v>
      </c>
      <c r="GN71" t="e">
        <f>AND(Financial!F138,"AAAAAD/K/8M=")</f>
        <v>#VALUE!</v>
      </c>
      <c r="GO71" t="e">
        <f>AND(Financial!G138,"AAAAAD/K/8Q=")</f>
        <v>#VALUE!</v>
      </c>
      <c r="GP71" t="e">
        <f>AND(Financial!H138,"AAAAAD/K/8U=")</f>
        <v>#VALUE!</v>
      </c>
      <c r="GQ71" t="e">
        <f>AND(Financial!I138,"AAAAAD/K/8Y=")</f>
        <v>#VALUE!</v>
      </c>
      <c r="GR71" t="e">
        <f>AND(Financial!J138,"AAAAAD/K/8c=")</f>
        <v>#VALUE!</v>
      </c>
      <c r="GS71" t="e">
        <f>AND(Financial!K138,"AAAAAD/K/8g=")</f>
        <v>#VALUE!</v>
      </c>
      <c r="GT71" t="e">
        <f>AND(Financial!L138,"AAAAAD/K/8k=")</f>
        <v>#VALUE!</v>
      </c>
      <c r="GU71" t="e">
        <f>AND(Financial!M138,"AAAAAD/K/8o=")</f>
        <v>#VALUE!</v>
      </c>
      <c r="GV71" t="e">
        <f>IF(Financial!#REF!,"AAAAAD/K/8s=",0)</f>
        <v>#REF!</v>
      </c>
      <c r="GW71" t="e">
        <f>IF(Financial!A:A,"AAAAAD/K/8w=",0)</f>
        <v>#VALUE!</v>
      </c>
      <c r="GX71">
        <f>IF(Financial!B:B,"AAAAAD/K/80=",0)</f>
        <v>0</v>
      </c>
      <c r="GY71">
        <f>IF(Financial!C:C,"AAAAAD/K/84=",0)</f>
        <v>0</v>
      </c>
      <c r="GZ71">
        <f>IF(Financial!D:D,"AAAAAD/K/88=",0)</f>
        <v>0</v>
      </c>
      <c r="HA71">
        <f>IF(Financial!E:E,"AAAAAD/K/9A=",0)</f>
        <v>0</v>
      </c>
      <c r="HB71">
        <f>IF(Financial!F:F,"AAAAAD/K/9E=",0)</f>
        <v>0</v>
      </c>
      <c r="HC71">
        <f>IF(Financial!G:G,"AAAAAD/K/9I=",0)</f>
        <v>0</v>
      </c>
      <c r="HD71">
        <f>IF(Financial!H:H,"AAAAAD/K/9M=",0)</f>
        <v>0</v>
      </c>
      <c r="HE71">
        <f>IF(Financial!I:I,"AAAAAD/K/9Q=",0)</f>
        <v>0</v>
      </c>
      <c r="HF71">
        <f>IF(Financial!J:J,"AAAAAD/K/9U=",0)</f>
        <v>0</v>
      </c>
      <c r="HG71">
        <f>IF(Financial!K:K,"AAAAAD/K/9Y=",0)</f>
        <v>0</v>
      </c>
      <c r="HH71">
        <f>IF(Financial!L:L,"AAAAAD/K/9c=",0)</f>
        <v>0</v>
      </c>
      <c r="HI71">
        <f>IF(Financial!M:M,"AAAAAD/K/9g=",0)</f>
        <v>0</v>
      </c>
      <c r="HJ71">
        <f>IF('Field Designations'!1:1,"AAAAAD/K/9k=",0)</f>
        <v>0</v>
      </c>
      <c r="HK71" t="e">
        <f>AND('Field Designations'!#REF!,"AAAAAD/K/9o=")</f>
        <v>#REF!</v>
      </c>
      <c r="HL71" t="e">
        <f>AND('Field Designations'!A1,"AAAAAD/K/9s=")</f>
        <v>#VALUE!</v>
      </c>
      <c r="HM71" t="e">
        <f>AND('Field Designations'!#REF!,"AAAAAD/K/9w=")</f>
        <v>#REF!</v>
      </c>
      <c r="HN71" t="e">
        <f>AND('Field Designations'!C1,"AAAAAD/K/90=")</f>
        <v>#VALUE!</v>
      </c>
      <c r="HO71" t="e">
        <f>AND('Field Designations'!#REF!,"AAAAAD/K/94=")</f>
        <v>#REF!</v>
      </c>
      <c r="HP71" t="e">
        <f>AND('Field Designations'!E1,"AAAAAD/K/98=")</f>
        <v>#VALUE!</v>
      </c>
      <c r="HQ71" t="e">
        <f>AND('Field Designations'!F1,"AAAAAD/K/+A=")</f>
        <v>#VALUE!</v>
      </c>
      <c r="HR71" t="e">
        <f>AND('Field Designations'!G1,"AAAAAD/K/+E=")</f>
        <v>#VALUE!</v>
      </c>
      <c r="HS71" t="e">
        <f>AND('Field Designations'!#REF!,"AAAAAD/K/+I=")</f>
        <v>#REF!</v>
      </c>
      <c r="HT71" t="e">
        <f>AND('Field Designations'!#REF!,"AAAAAD/K/+M=")</f>
        <v>#REF!</v>
      </c>
      <c r="HU71" t="e">
        <f>AND('Field Designations'!#REF!,"AAAAAD/K/+Q=")</f>
        <v>#REF!</v>
      </c>
      <c r="HV71" t="e">
        <f>AND('Field Designations'!#REF!,"AAAAAD/K/+U=")</f>
        <v>#REF!</v>
      </c>
      <c r="HW71" t="e">
        <f>AND('Field Designations'!#REF!,"AAAAAD/K/+Y=")</f>
        <v>#REF!</v>
      </c>
      <c r="HX71" t="e">
        <f>AND('Field Designations'!#REF!,"AAAAAD/K/+c=")</f>
        <v>#REF!</v>
      </c>
      <c r="HY71" t="e">
        <f>AND('Field Designations'!#REF!,"AAAAAD/K/+g=")</f>
        <v>#REF!</v>
      </c>
      <c r="HZ71" t="e">
        <f>AND('Field Designations'!#REF!,"AAAAAD/K/+k=")</f>
        <v>#REF!</v>
      </c>
      <c r="IA71" t="e">
        <f>AND('Field Designations'!#REF!,"AAAAAD/K/+o=")</f>
        <v>#REF!</v>
      </c>
      <c r="IB71" t="e">
        <f>AND('Field Designations'!#REF!,"AAAAAD/K/+s=")</f>
        <v>#REF!</v>
      </c>
      <c r="IC71" t="e">
        <f>AND('Field Designations'!#REF!,"AAAAAD/K/+w=")</f>
        <v>#REF!</v>
      </c>
      <c r="ID71" t="e">
        <f>AND('Field Designations'!#REF!,"AAAAAD/K/+0=")</f>
        <v>#REF!</v>
      </c>
      <c r="IE71" t="e">
        <f>AND('Field Designations'!H1,"AAAAAD/K/+4=")</f>
        <v>#VALUE!</v>
      </c>
      <c r="IF71" t="e">
        <f>AND('Field Designations'!I1,"AAAAAD/K/+8=")</f>
        <v>#VALUE!</v>
      </c>
      <c r="IG71" t="e">
        <f>AND('Field Designations'!J1,"AAAAAD/K//A=")</f>
        <v>#VALUE!</v>
      </c>
      <c r="IH71" t="e">
        <f>AND('Field Designations'!K1,"AAAAAD/K//E=")</f>
        <v>#VALUE!</v>
      </c>
      <c r="II71">
        <f>IF('Field Designations'!2:2,"AAAAAD/K//I=",0)</f>
        <v>0</v>
      </c>
      <c r="IJ71" t="e">
        <f>AND('Field Designations'!A2,"AAAAAD/K//M=")</f>
        <v>#VALUE!</v>
      </c>
      <c r="IK71" t="e">
        <f>AND('Field Designations'!B2,"AAAAAD/K//Q=")</f>
        <v>#VALUE!</v>
      </c>
      <c r="IL71" t="e">
        <f>AND('Field Designations'!#REF!,"AAAAAD/K//U=")</f>
        <v>#REF!</v>
      </c>
      <c r="IM71" t="e">
        <f>AND('Field Designations'!C2,"AAAAAD/K//Y=")</f>
        <v>#VALUE!</v>
      </c>
      <c r="IN71" t="e">
        <f>AND('Field Designations'!#REF!,"AAAAAD/K//c=")</f>
        <v>#REF!</v>
      </c>
      <c r="IO71" t="e">
        <f>AND('Field Designations'!E2,"AAAAAD/K//g=")</f>
        <v>#VALUE!</v>
      </c>
      <c r="IP71" t="e">
        <f>AND('Field Designations'!F2,"AAAAAD/K//k=")</f>
        <v>#VALUE!</v>
      </c>
      <c r="IQ71" t="e">
        <f>AND('Field Designations'!G2,"AAAAAD/K//o=")</f>
        <v>#VALUE!</v>
      </c>
      <c r="IR71" t="e">
        <f>AND('Field Designations'!#REF!,"AAAAAD/K//s=")</f>
        <v>#REF!</v>
      </c>
      <c r="IS71" t="e">
        <f>AND('Field Designations'!#REF!,"AAAAAD/K//w=")</f>
        <v>#REF!</v>
      </c>
      <c r="IT71" t="e">
        <f>AND('Field Designations'!#REF!,"AAAAAD/K//0=")</f>
        <v>#REF!</v>
      </c>
      <c r="IU71" t="e">
        <f>AND('Field Designations'!#REF!,"AAAAAD/K//4=")</f>
        <v>#REF!</v>
      </c>
      <c r="IV71" t="e">
        <f>AND('Field Designations'!#REF!,"AAAAAD/K//8=")</f>
        <v>#REF!</v>
      </c>
    </row>
    <row r="72" spans="1:256" x14ac:dyDescent="0.2">
      <c r="A72" t="e">
        <f>AND('Field Designations'!#REF!,"AAAAAH87/wA=")</f>
        <v>#REF!</v>
      </c>
      <c r="B72" t="e">
        <f>AND('Field Designations'!#REF!,"AAAAAH87/wE=")</f>
        <v>#REF!</v>
      </c>
      <c r="C72" t="e">
        <f>AND('Field Designations'!#REF!,"AAAAAH87/wI=")</f>
        <v>#REF!</v>
      </c>
      <c r="D72" t="e">
        <f>AND('Field Designations'!#REF!,"AAAAAH87/wM=")</f>
        <v>#REF!</v>
      </c>
      <c r="E72" t="e">
        <f>AND('Field Designations'!#REF!,"AAAAAH87/wQ=")</f>
        <v>#REF!</v>
      </c>
      <c r="F72" t="e">
        <f>AND('Field Designations'!#REF!,"AAAAAH87/wU=")</f>
        <v>#REF!</v>
      </c>
      <c r="G72" t="e">
        <f>AND('Field Designations'!#REF!,"AAAAAH87/wY=")</f>
        <v>#REF!</v>
      </c>
      <c r="H72" t="e">
        <f>AND('Field Designations'!H2,"AAAAAH87/wc=")</f>
        <v>#VALUE!</v>
      </c>
      <c r="I72" t="e">
        <f>AND('Field Designations'!I2,"AAAAAH87/wg=")</f>
        <v>#VALUE!</v>
      </c>
      <c r="J72" t="e">
        <f>AND('Field Designations'!J2,"AAAAAH87/wk=")</f>
        <v>#VALUE!</v>
      </c>
      <c r="K72" t="e">
        <f>AND('Field Designations'!K2,"AAAAAH87/wo=")</f>
        <v>#VALUE!</v>
      </c>
      <c r="L72">
        <f>IF('Field Designations'!3:3,"AAAAAH87/ws=",0)</f>
        <v>0</v>
      </c>
      <c r="M72" t="e">
        <f>AND('Field Designations'!A3,"AAAAAH87/ww=")</f>
        <v>#VALUE!</v>
      </c>
      <c r="N72" t="e">
        <f>AND('Field Designations'!B3,"AAAAAH87/w0=")</f>
        <v>#VALUE!</v>
      </c>
      <c r="O72" t="e">
        <f>AND('Field Designations'!#REF!,"AAAAAH87/w4=")</f>
        <v>#REF!</v>
      </c>
      <c r="P72" t="e">
        <f>AND('Field Designations'!C3,"AAAAAH87/w8=")</f>
        <v>#VALUE!</v>
      </c>
      <c r="Q72" t="e">
        <f>AND('Field Designations'!#REF!,"AAAAAH87/xA=")</f>
        <v>#REF!</v>
      </c>
      <c r="R72" t="e">
        <f>AND('Field Designations'!E3,"AAAAAH87/xE=")</f>
        <v>#VALUE!</v>
      </c>
      <c r="S72" t="e">
        <f>AND('Field Designations'!F3,"AAAAAH87/xI=")</f>
        <v>#VALUE!</v>
      </c>
      <c r="T72" t="e">
        <f>AND('Field Designations'!G3,"AAAAAH87/xM=")</f>
        <v>#VALUE!</v>
      </c>
      <c r="U72" t="e">
        <f>AND('Field Designations'!#REF!,"AAAAAH87/xQ=")</f>
        <v>#REF!</v>
      </c>
      <c r="V72" t="e">
        <f>AND('Field Designations'!#REF!,"AAAAAH87/xU=")</f>
        <v>#REF!</v>
      </c>
      <c r="W72" t="e">
        <f>AND('Field Designations'!#REF!,"AAAAAH87/xY=")</f>
        <v>#REF!</v>
      </c>
      <c r="X72" t="e">
        <f>AND('Field Designations'!#REF!,"AAAAAH87/xc=")</f>
        <v>#REF!</v>
      </c>
      <c r="Y72" t="e">
        <f>AND('Field Designations'!#REF!,"AAAAAH87/xg=")</f>
        <v>#REF!</v>
      </c>
      <c r="Z72" t="e">
        <f>AND('Field Designations'!#REF!,"AAAAAH87/xk=")</f>
        <v>#REF!</v>
      </c>
      <c r="AA72" t="e">
        <f>AND('Field Designations'!#REF!,"AAAAAH87/xo=")</f>
        <v>#REF!</v>
      </c>
      <c r="AB72" t="e">
        <f>AND('Field Designations'!#REF!,"AAAAAH87/xs=")</f>
        <v>#REF!</v>
      </c>
      <c r="AC72" t="e">
        <f>AND('Field Designations'!#REF!,"AAAAAH87/xw=")</f>
        <v>#REF!</v>
      </c>
      <c r="AD72" t="e">
        <f>AND('Field Designations'!#REF!,"AAAAAH87/x0=")</f>
        <v>#REF!</v>
      </c>
      <c r="AE72" t="e">
        <f>AND('Field Designations'!#REF!,"AAAAAH87/x4=")</f>
        <v>#REF!</v>
      </c>
      <c r="AF72" t="e">
        <f>AND('Field Designations'!#REF!,"AAAAAH87/x8=")</f>
        <v>#REF!</v>
      </c>
      <c r="AG72" t="e">
        <f>AND('Field Designations'!H3,"AAAAAH87/yA=")</f>
        <v>#VALUE!</v>
      </c>
      <c r="AH72" t="e">
        <f>AND('Field Designations'!I3,"AAAAAH87/yE=")</f>
        <v>#VALUE!</v>
      </c>
      <c r="AI72" t="e">
        <f>AND('Field Designations'!J3,"AAAAAH87/yI=")</f>
        <v>#VALUE!</v>
      </c>
      <c r="AJ72" t="e">
        <f>AND('Field Designations'!K3,"AAAAAH87/yM=")</f>
        <v>#VALUE!</v>
      </c>
      <c r="AK72" t="e">
        <f>IF('Field Designations'!#REF!,"AAAAAH87/yQ=",0)</f>
        <v>#REF!</v>
      </c>
      <c r="AL72" t="e">
        <f>AND('Field Designations'!#REF!,"AAAAAH87/yU=")</f>
        <v>#REF!</v>
      </c>
      <c r="AM72" t="e">
        <f>AND('Field Designations'!#REF!,"AAAAAH87/yY=")</f>
        <v>#REF!</v>
      </c>
      <c r="AN72" t="e">
        <f>AND('Field Designations'!#REF!,"AAAAAH87/yc=")</f>
        <v>#REF!</v>
      </c>
      <c r="AO72" t="e">
        <f>AND('Field Designations'!#REF!,"AAAAAH87/yg=")</f>
        <v>#REF!</v>
      </c>
      <c r="AP72" t="e">
        <f>AND('Field Designations'!#REF!,"AAAAAH87/yk=")</f>
        <v>#REF!</v>
      </c>
      <c r="AQ72" t="e">
        <f>AND('Field Designations'!#REF!,"AAAAAH87/yo=")</f>
        <v>#REF!</v>
      </c>
      <c r="AR72" t="e">
        <f>AND('Field Designations'!#REF!,"AAAAAH87/ys=")</f>
        <v>#REF!</v>
      </c>
      <c r="AS72" t="e">
        <f>AND('Field Designations'!#REF!,"AAAAAH87/yw=")</f>
        <v>#REF!</v>
      </c>
      <c r="AT72" t="e">
        <f>AND('Field Designations'!#REF!,"AAAAAH87/y0=")</f>
        <v>#REF!</v>
      </c>
      <c r="AU72" t="e">
        <f>AND('Field Designations'!#REF!,"AAAAAH87/y4=")</f>
        <v>#REF!</v>
      </c>
      <c r="AV72" t="e">
        <f>AND('Field Designations'!#REF!,"AAAAAH87/y8=")</f>
        <v>#REF!</v>
      </c>
      <c r="AW72" t="e">
        <f>AND('Field Designations'!#REF!,"AAAAAH87/zA=")</f>
        <v>#REF!</v>
      </c>
      <c r="AX72" t="e">
        <f>AND('Field Designations'!#REF!,"AAAAAH87/zE=")</f>
        <v>#REF!</v>
      </c>
      <c r="AY72" t="e">
        <f>AND('Field Designations'!#REF!,"AAAAAH87/zI=")</f>
        <v>#REF!</v>
      </c>
      <c r="AZ72" t="e">
        <f>AND('Field Designations'!#REF!,"AAAAAH87/zM=")</f>
        <v>#REF!</v>
      </c>
      <c r="BA72" t="e">
        <f>AND('Field Designations'!#REF!,"AAAAAH87/zQ=")</f>
        <v>#REF!</v>
      </c>
      <c r="BB72" t="e">
        <f>AND('Field Designations'!#REF!,"AAAAAH87/zU=")</f>
        <v>#REF!</v>
      </c>
      <c r="BC72" t="e">
        <f>AND('Field Designations'!#REF!,"AAAAAH87/zY=")</f>
        <v>#REF!</v>
      </c>
      <c r="BD72" t="e">
        <f>AND('Field Designations'!#REF!,"AAAAAH87/zc=")</f>
        <v>#REF!</v>
      </c>
      <c r="BE72" t="e">
        <f>AND('Field Designations'!#REF!,"AAAAAH87/zg=")</f>
        <v>#REF!</v>
      </c>
      <c r="BF72" t="e">
        <f>AND('Field Designations'!#REF!,"AAAAAH87/zk=")</f>
        <v>#REF!</v>
      </c>
      <c r="BG72" t="e">
        <f>AND('Field Designations'!#REF!,"AAAAAH87/zo=")</f>
        <v>#REF!</v>
      </c>
      <c r="BH72" t="e">
        <f>AND('Field Designations'!#REF!,"AAAAAH87/zs=")</f>
        <v>#REF!</v>
      </c>
      <c r="BI72" t="e">
        <f>AND('Field Designations'!#REF!,"AAAAAH87/zw=")</f>
        <v>#REF!</v>
      </c>
      <c r="BJ72" t="e">
        <f>IF('Field Designations'!#REF!,"AAAAAH87/z0=",0)</f>
        <v>#REF!</v>
      </c>
      <c r="BK72" t="e">
        <f>AND('Field Designations'!#REF!,"AAAAAH87/z4=")</f>
        <v>#REF!</v>
      </c>
      <c r="BL72" t="e">
        <f>AND('Field Designations'!#REF!,"AAAAAH87/z8=")</f>
        <v>#REF!</v>
      </c>
      <c r="BM72" t="e">
        <f>AND('Field Designations'!#REF!,"AAAAAH87/0A=")</f>
        <v>#REF!</v>
      </c>
      <c r="BN72" t="e">
        <f>AND('Field Designations'!#REF!,"AAAAAH87/0E=")</f>
        <v>#REF!</v>
      </c>
      <c r="BO72" t="e">
        <f>AND('Field Designations'!#REF!,"AAAAAH87/0I=")</f>
        <v>#REF!</v>
      </c>
      <c r="BP72" t="e">
        <f>AND('Field Designations'!#REF!,"AAAAAH87/0M=")</f>
        <v>#REF!</v>
      </c>
      <c r="BQ72" t="e">
        <f>AND('Field Designations'!#REF!,"AAAAAH87/0Q=")</f>
        <v>#REF!</v>
      </c>
      <c r="BR72" t="e">
        <f>AND('Field Designations'!#REF!,"AAAAAH87/0U=")</f>
        <v>#REF!</v>
      </c>
      <c r="BS72" t="e">
        <f>AND('Field Designations'!#REF!,"AAAAAH87/0Y=")</f>
        <v>#REF!</v>
      </c>
      <c r="BT72" t="e">
        <f>AND('Field Designations'!#REF!,"AAAAAH87/0c=")</f>
        <v>#REF!</v>
      </c>
      <c r="BU72" t="e">
        <f>AND('Field Designations'!#REF!,"AAAAAH87/0g=")</f>
        <v>#REF!</v>
      </c>
      <c r="BV72" t="e">
        <f>AND('Field Designations'!#REF!,"AAAAAH87/0k=")</f>
        <v>#REF!</v>
      </c>
      <c r="BW72" t="e">
        <f>AND('Field Designations'!#REF!,"AAAAAH87/0o=")</f>
        <v>#REF!</v>
      </c>
      <c r="BX72" t="e">
        <f>AND('Field Designations'!#REF!,"AAAAAH87/0s=")</f>
        <v>#REF!</v>
      </c>
      <c r="BY72" t="e">
        <f>AND('Field Designations'!#REF!,"AAAAAH87/0w=")</f>
        <v>#REF!</v>
      </c>
      <c r="BZ72" t="e">
        <f>AND('Field Designations'!#REF!,"AAAAAH87/00=")</f>
        <v>#REF!</v>
      </c>
      <c r="CA72" t="e">
        <f>AND('Field Designations'!#REF!,"AAAAAH87/04=")</f>
        <v>#REF!</v>
      </c>
      <c r="CB72" t="e">
        <f>AND('Field Designations'!#REF!,"AAAAAH87/08=")</f>
        <v>#REF!</v>
      </c>
      <c r="CC72" t="e">
        <f>AND('Field Designations'!#REF!,"AAAAAH87/1A=")</f>
        <v>#REF!</v>
      </c>
      <c r="CD72" t="e">
        <f>AND('Field Designations'!#REF!,"AAAAAH87/1E=")</f>
        <v>#REF!</v>
      </c>
      <c r="CE72" t="e">
        <f>AND('Field Designations'!#REF!,"AAAAAH87/1I=")</f>
        <v>#REF!</v>
      </c>
      <c r="CF72" t="e">
        <f>AND('Field Designations'!#REF!,"AAAAAH87/1M=")</f>
        <v>#REF!</v>
      </c>
      <c r="CG72" t="e">
        <f>AND('Field Designations'!#REF!,"AAAAAH87/1Q=")</f>
        <v>#REF!</v>
      </c>
      <c r="CH72" t="e">
        <f>AND('Field Designations'!#REF!,"AAAAAH87/1U=")</f>
        <v>#REF!</v>
      </c>
      <c r="CI72" t="e">
        <f>IF('Field Designations'!#REF!,"AAAAAH87/1Y=",0)</f>
        <v>#REF!</v>
      </c>
      <c r="CJ72" t="e">
        <f>AND('Field Designations'!#REF!,"AAAAAH87/1c=")</f>
        <v>#REF!</v>
      </c>
      <c r="CK72" t="e">
        <f>AND('Field Designations'!#REF!,"AAAAAH87/1g=")</f>
        <v>#REF!</v>
      </c>
      <c r="CL72" t="e">
        <f>AND('Field Designations'!#REF!,"AAAAAH87/1k=")</f>
        <v>#REF!</v>
      </c>
      <c r="CM72" t="e">
        <f>AND('Field Designations'!#REF!,"AAAAAH87/1o=")</f>
        <v>#REF!</v>
      </c>
      <c r="CN72" t="e">
        <f>AND('Field Designations'!#REF!,"AAAAAH87/1s=")</f>
        <v>#REF!</v>
      </c>
      <c r="CO72" t="e">
        <f>AND('Field Designations'!#REF!,"AAAAAH87/1w=")</f>
        <v>#REF!</v>
      </c>
      <c r="CP72" t="e">
        <f>AND('Field Designations'!#REF!,"AAAAAH87/10=")</f>
        <v>#REF!</v>
      </c>
      <c r="CQ72" t="e">
        <f>AND('Field Designations'!#REF!,"AAAAAH87/14=")</f>
        <v>#REF!</v>
      </c>
      <c r="CR72" t="e">
        <f>AND('Field Designations'!#REF!,"AAAAAH87/18=")</f>
        <v>#REF!</v>
      </c>
      <c r="CS72" t="e">
        <f>AND('Field Designations'!#REF!,"AAAAAH87/2A=")</f>
        <v>#REF!</v>
      </c>
      <c r="CT72" t="e">
        <f>AND('Field Designations'!#REF!,"AAAAAH87/2E=")</f>
        <v>#REF!</v>
      </c>
      <c r="CU72" t="e">
        <f>AND('Field Designations'!#REF!,"AAAAAH87/2I=")</f>
        <v>#REF!</v>
      </c>
      <c r="CV72" t="e">
        <f>AND('Field Designations'!#REF!,"AAAAAH87/2M=")</f>
        <v>#REF!</v>
      </c>
      <c r="CW72" t="e">
        <f>AND('Field Designations'!#REF!,"AAAAAH87/2Q=")</f>
        <v>#REF!</v>
      </c>
      <c r="CX72" t="e">
        <f>AND('Field Designations'!#REF!,"AAAAAH87/2U=")</f>
        <v>#REF!</v>
      </c>
      <c r="CY72" t="e">
        <f>AND('Field Designations'!#REF!,"AAAAAH87/2Y=")</f>
        <v>#REF!</v>
      </c>
      <c r="CZ72" t="e">
        <f>AND('Field Designations'!#REF!,"AAAAAH87/2c=")</f>
        <v>#REF!</v>
      </c>
      <c r="DA72" t="e">
        <f>AND('Field Designations'!#REF!,"AAAAAH87/2g=")</f>
        <v>#REF!</v>
      </c>
      <c r="DB72" t="e">
        <f>AND('Field Designations'!#REF!,"AAAAAH87/2k=")</f>
        <v>#REF!</v>
      </c>
      <c r="DC72" t="e">
        <f>AND('Field Designations'!#REF!,"AAAAAH87/2o=")</f>
        <v>#REF!</v>
      </c>
      <c r="DD72" t="e">
        <f>AND('Field Designations'!#REF!,"AAAAAH87/2s=")</f>
        <v>#REF!</v>
      </c>
      <c r="DE72" t="e">
        <f>AND('Field Designations'!#REF!,"AAAAAH87/2w=")</f>
        <v>#REF!</v>
      </c>
      <c r="DF72" t="e">
        <f>AND('Field Designations'!#REF!,"AAAAAH87/20=")</f>
        <v>#REF!</v>
      </c>
      <c r="DG72" t="e">
        <f>AND('Field Designations'!#REF!,"AAAAAH87/24=")</f>
        <v>#REF!</v>
      </c>
      <c r="DH72" t="e">
        <f>IF('Field Designations'!#REF!,"AAAAAH87/28=",0)</f>
        <v>#REF!</v>
      </c>
      <c r="DI72" t="e">
        <f>AND('Field Designations'!#REF!,"AAAAAH87/3A=")</f>
        <v>#REF!</v>
      </c>
      <c r="DJ72" t="e">
        <f>AND('Field Designations'!#REF!,"AAAAAH87/3E=")</f>
        <v>#REF!</v>
      </c>
      <c r="DK72" t="e">
        <f>AND('Field Designations'!#REF!,"AAAAAH87/3I=")</f>
        <v>#REF!</v>
      </c>
      <c r="DL72" t="e">
        <f>AND('Field Designations'!#REF!,"AAAAAH87/3M=")</f>
        <v>#REF!</v>
      </c>
      <c r="DM72" t="e">
        <f>AND('Field Designations'!#REF!,"AAAAAH87/3Q=")</f>
        <v>#REF!</v>
      </c>
      <c r="DN72" t="e">
        <f>AND('Field Designations'!#REF!,"AAAAAH87/3U=")</f>
        <v>#REF!</v>
      </c>
      <c r="DO72" t="e">
        <f>AND('Field Designations'!#REF!,"AAAAAH87/3Y=")</f>
        <v>#REF!</v>
      </c>
      <c r="DP72" t="e">
        <f>AND('Field Designations'!#REF!,"AAAAAH87/3c=")</f>
        <v>#REF!</v>
      </c>
      <c r="DQ72" t="e">
        <f>AND('Field Designations'!#REF!,"AAAAAH87/3g=")</f>
        <v>#REF!</v>
      </c>
      <c r="DR72" t="e">
        <f>AND('Field Designations'!#REF!,"AAAAAH87/3k=")</f>
        <v>#REF!</v>
      </c>
      <c r="DS72" t="e">
        <f>AND('Field Designations'!#REF!,"AAAAAH87/3o=")</f>
        <v>#REF!</v>
      </c>
      <c r="DT72" t="e">
        <f>AND('Field Designations'!#REF!,"AAAAAH87/3s=")</f>
        <v>#REF!</v>
      </c>
      <c r="DU72" t="e">
        <f>AND('Field Designations'!#REF!,"AAAAAH87/3w=")</f>
        <v>#REF!</v>
      </c>
      <c r="DV72" t="e">
        <f>AND('Field Designations'!#REF!,"AAAAAH87/30=")</f>
        <v>#REF!</v>
      </c>
      <c r="DW72" t="e">
        <f>AND('Field Designations'!#REF!,"AAAAAH87/34=")</f>
        <v>#REF!</v>
      </c>
      <c r="DX72" t="e">
        <f>AND('Field Designations'!#REF!,"AAAAAH87/38=")</f>
        <v>#REF!</v>
      </c>
      <c r="DY72" t="e">
        <f>AND('Field Designations'!#REF!,"AAAAAH87/4A=")</f>
        <v>#REF!</v>
      </c>
      <c r="DZ72" t="e">
        <f>AND('Field Designations'!#REF!,"AAAAAH87/4E=")</f>
        <v>#REF!</v>
      </c>
      <c r="EA72" t="e">
        <f>AND('Field Designations'!#REF!,"AAAAAH87/4I=")</f>
        <v>#REF!</v>
      </c>
      <c r="EB72" t="e">
        <f>AND('Field Designations'!#REF!,"AAAAAH87/4M=")</f>
        <v>#REF!</v>
      </c>
      <c r="EC72" t="e">
        <f>AND('Field Designations'!#REF!,"AAAAAH87/4Q=")</f>
        <v>#REF!</v>
      </c>
      <c r="ED72" t="e">
        <f>AND('Field Designations'!#REF!,"AAAAAH87/4U=")</f>
        <v>#REF!</v>
      </c>
      <c r="EE72" t="e">
        <f>AND('Field Designations'!#REF!,"AAAAAH87/4Y=")</f>
        <v>#REF!</v>
      </c>
      <c r="EF72" t="e">
        <f>AND('Field Designations'!#REF!,"AAAAAH87/4c=")</f>
        <v>#REF!</v>
      </c>
      <c r="EG72" t="e">
        <f>IF('Field Designations'!#REF!,"AAAAAH87/4g=",0)</f>
        <v>#REF!</v>
      </c>
      <c r="EH72" t="e">
        <f>AND('Field Designations'!#REF!,"AAAAAH87/4k=")</f>
        <v>#REF!</v>
      </c>
      <c r="EI72" t="e">
        <f>AND('Field Designations'!#REF!,"AAAAAH87/4o=")</f>
        <v>#REF!</v>
      </c>
      <c r="EJ72" t="e">
        <f>AND('Field Designations'!#REF!,"AAAAAH87/4s=")</f>
        <v>#REF!</v>
      </c>
      <c r="EK72" t="e">
        <f>AND('Field Designations'!#REF!,"AAAAAH87/4w=")</f>
        <v>#REF!</v>
      </c>
      <c r="EL72" t="e">
        <f>AND('Field Designations'!#REF!,"AAAAAH87/40=")</f>
        <v>#REF!</v>
      </c>
      <c r="EM72" t="e">
        <f>AND('Field Designations'!#REF!,"AAAAAH87/44=")</f>
        <v>#REF!</v>
      </c>
      <c r="EN72" t="e">
        <f>AND('Field Designations'!#REF!,"AAAAAH87/48=")</f>
        <v>#REF!</v>
      </c>
      <c r="EO72" t="e">
        <f>AND('Field Designations'!#REF!,"AAAAAH87/5A=")</f>
        <v>#REF!</v>
      </c>
      <c r="EP72" t="e">
        <f>AND('Field Designations'!#REF!,"AAAAAH87/5E=")</f>
        <v>#REF!</v>
      </c>
      <c r="EQ72" t="e">
        <f>AND('Field Designations'!#REF!,"AAAAAH87/5I=")</f>
        <v>#REF!</v>
      </c>
      <c r="ER72" t="e">
        <f>AND('Field Designations'!#REF!,"AAAAAH87/5M=")</f>
        <v>#REF!</v>
      </c>
      <c r="ES72" t="e">
        <f>AND('Field Designations'!#REF!,"AAAAAH87/5Q=")</f>
        <v>#REF!</v>
      </c>
      <c r="ET72" t="e">
        <f>AND('Field Designations'!#REF!,"AAAAAH87/5U=")</f>
        <v>#REF!</v>
      </c>
      <c r="EU72" t="e">
        <f>AND('Field Designations'!#REF!,"AAAAAH87/5Y=")</f>
        <v>#REF!</v>
      </c>
      <c r="EV72" t="e">
        <f>AND('Field Designations'!#REF!,"AAAAAH87/5c=")</f>
        <v>#REF!</v>
      </c>
      <c r="EW72" t="e">
        <f>AND('Field Designations'!#REF!,"AAAAAH87/5g=")</f>
        <v>#REF!</v>
      </c>
      <c r="EX72" t="e">
        <f>AND('Field Designations'!#REF!,"AAAAAH87/5k=")</f>
        <v>#REF!</v>
      </c>
      <c r="EY72" t="e">
        <f>AND('Field Designations'!#REF!,"AAAAAH87/5o=")</f>
        <v>#REF!</v>
      </c>
      <c r="EZ72" t="e">
        <f>AND('Field Designations'!#REF!,"AAAAAH87/5s=")</f>
        <v>#REF!</v>
      </c>
      <c r="FA72" t="e">
        <f>AND('Field Designations'!#REF!,"AAAAAH87/5w=")</f>
        <v>#REF!</v>
      </c>
      <c r="FB72" t="e">
        <f>AND('Field Designations'!#REF!,"AAAAAH87/50=")</f>
        <v>#REF!</v>
      </c>
      <c r="FC72" t="e">
        <f>AND('Field Designations'!#REF!,"AAAAAH87/54=")</f>
        <v>#REF!</v>
      </c>
      <c r="FD72" t="e">
        <f>AND('Field Designations'!#REF!,"AAAAAH87/58=")</f>
        <v>#REF!</v>
      </c>
      <c r="FE72" t="e">
        <f>AND('Field Designations'!#REF!,"AAAAAH87/6A=")</f>
        <v>#REF!</v>
      </c>
      <c r="FF72" t="e">
        <f>IF('Field Designations'!#REF!,"AAAAAH87/6E=",0)</f>
        <v>#REF!</v>
      </c>
      <c r="FG72" t="e">
        <f>AND('Field Designations'!#REF!,"AAAAAH87/6I=")</f>
        <v>#REF!</v>
      </c>
      <c r="FH72" t="e">
        <f>AND('Field Designations'!#REF!,"AAAAAH87/6M=")</f>
        <v>#REF!</v>
      </c>
      <c r="FI72" t="e">
        <f>AND('Field Designations'!#REF!,"AAAAAH87/6Q=")</f>
        <v>#REF!</v>
      </c>
      <c r="FJ72" t="e">
        <f>AND('Field Designations'!#REF!,"AAAAAH87/6U=")</f>
        <v>#REF!</v>
      </c>
      <c r="FK72" t="e">
        <f>AND('Field Designations'!#REF!,"AAAAAH87/6Y=")</f>
        <v>#REF!</v>
      </c>
      <c r="FL72" t="e">
        <f>AND('Field Designations'!#REF!,"AAAAAH87/6c=")</f>
        <v>#REF!</v>
      </c>
      <c r="FM72" t="e">
        <f>AND('Field Designations'!#REF!,"AAAAAH87/6g=")</f>
        <v>#REF!</v>
      </c>
      <c r="FN72" t="e">
        <f>AND('Field Designations'!#REF!,"AAAAAH87/6k=")</f>
        <v>#REF!</v>
      </c>
      <c r="FO72" t="e">
        <f>AND('Field Designations'!#REF!,"AAAAAH87/6o=")</f>
        <v>#REF!</v>
      </c>
      <c r="FP72" t="e">
        <f>AND('Field Designations'!#REF!,"AAAAAH87/6s=")</f>
        <v>#REF!</v>
      </c>
      <c r="FQ72" t="e">
        <f>AND('Field Designations'!#REF!,"AAAAAH87/6w=")</f>
        <v>#REF!</v>
      </c>
      <c r="FR72" t="e">
        <f>AND('Field Designations'!#REF!,"AAAAAH87/60=")</f>
        <v>#REF!</v>
      </c>
      <c r="FS72" t="e">
        <f>AND('Field Designations'!#REF!,"AAAAAH87/64=")</f>
        <v>#REF!</v>
      </c>
      <c r="FT72" t="e">
        <f>AND('Field Designations'!#REF!,"AAAAAH87/68=")</f>
        <v>#REF!</v>
      </c>
      <c r="FU72" t="e">
        <f>AND('Field Designations'!#REF!,"AAAAAH87/7A=")</f>
        <v>#REF!</v>
      </c>
      <c r="FV72" t="e">
        <f>AND('Field Designations'!#REF!,"AAAAAH87/7E=")</f>
        <v>#REF!</v>
      </c>
      <c r="FW72" t="e">
        <f>AND('Field Designations'!#REF!,"AAAAAH87/7I=")</f>
        <v>#REF!</v>
      </c>
      <c r="FX72" t="e">
        <f>AND('Field Designations'!#REF!,"AAAAAH87/7M=")</f>
        <v>#REF!</v>
      </c>
      <c r="FY72" t="e">
        <f>AND('Field Designations'!#REF!,"AAAAAH87/7Q=")</f>
        <v>#REF!</v>
      </c>
      <c r="FZ72" t="e">
        <f>AND('Field Designations'!#REF!,"AAAAAH87/7U=")</f>
        <v>#REF!</v>
      </c>
      <c r="GA72" t="e">
        <f>AND('Field Designations'!#REF!,"AAAAAH87/7Y=")</f>
        <v>#REF!</v>
      </c>
      <c r="GB72" t="e">
        <f>AND('Field Designations'!#REF!,"AAAAAH87/7c=")</f>
        <v>#REF!</v>
      </c>
      <c r="GC72" t="e">
        <f>AND('Field Designations'!#REF!,"AAAAAH87/7g=")</f>
        <v>#REF!</v>
      </c>
      <c r="GD72" t="e">
        <f>AND('Field Designations'!#REF!,"AAAAAH87/7k=")</f>
        <v>#REF!</v>
      </c>
      <c r="GE72">
        <f>IF('Field Designations'!4:4,"AAAAAH87/7o=",0)</f>
        <v>0</v>
      </c>
      <c r="GF72" t="e">
        <f>AND('Field Designations'!#REF!,"AAAAAH87/7s=")</f>
        <v>#REF!</v>
      </c>
      <c r="GG72" t="e">
        <f>AND('Field Designations'!B4,"AAAAAH87/7w=")</f>
        <v>#VALUE!</v>
      </c>
      <c r="GH72" t="e">
        <f>AND('Field Designations'!#REF!,"AAAAAH87/70=")</f>
        <v>#REF!</v>
      </c>
      <c r="GI72" t="e">
        <f>AND('Field Designations'!A4,"AAAAAH87/74=")</f>
        <v>#VALUE!</v>
      </c>
      <c r="GJ72" t="e">
        <f>AND('Field Designations'!C4,"AAAAAH87/78=")</f>
        <v>#VALUE!</v>
      </c>
      <c r="GK72" t="e">
        <f>AND('Field Designations'!#REF!,"AAAAAH87/8A=")</f>
        <v>#REF!</v>
      </c>
      <c r="GL72" t="e">
        <f>AND('Field Designations'!E4,"AAAAAH87/8E=")</f>
        <v>#VALUE!</v>
      </c>
      <c r="GM72" t="e">
        <f>AND('Field Designations'!#REF!,"AAAAAH87/8I=")</f>
        <v>#REF!</v>
      </c>
      <c r="GN72" t="e">
        <f>AND('Field Designations'!F4,"AAAAAH87/8M=")</f>
        <v>#VALUE!</v>
      </c>
      <c r="GO72" t="e">
        <f>AND('Field Designations'!#REF!,"AAAAAH87/8Q=")</f>
        <v>#REF!</v>
      </c>
      <c r="GP72" t="e">
        <f>AND('Field Designations'!G4,"AAAAAH87/8U=")</f>
        <v>#VALUE!</v>
      </c>
      <c r="GQ72" t="e">
        <f>AND('Field Designations'!#REF!,"AAAAAH87/8Y=")</f>
        <v>#REF!</v>
      </c>
      <c r="GR72" t="e">
        <f>AND('Field Designations'!#REF!,"AAAAAH87/8c=")</f>
        <v>#REF!</v>
      </c>
      <c r="GS72" t="e">
        <f>AND('Field Designations'!#REF!,"AAAAAH87/8g=")</f>
        <v>#REF!</v>
      </c>
      <c r="GT72" t="e">
        <f>AND('Field Designations'!#REF!,"AAAAAH87/8k=")</f>
        <v>#REF!</v>
      </c>
      <c r="GU72" t="e">
        <f>AND('Field Designations'!#REF!,"AAAAAH87/8o=")</f>
        <v>#REF!</v>
      </c>
      <c r="GV72" t="e">
        <f>AND('Field Designations'!#REF!,"AAAAAH87/8s=")</f>
        <v>#REF!</v>
      </c>
      <c r="GW72" t="e">
        <f>AND('Field Designations'!#REF!,"AAAAAH87/8w=")</f>
        <v>#REF!</v>
      </c>
      <c r="GX72" t="e">
        <f>AND('Field Designations'!#REF!,"AAAAAH87/80=")</f>
        <v>#REF!</v>
      </c>
      <c r="GY72" t="e">
        <f>AND('Field Designations'!#REF!,"AAAAAH87/84=")</f>
        <v>#REF!</v>
      </c>
      <c r="GZ72" t="e">
        <f>AND('Field Designations'!#REF!,"AAAAAH87/88=")</f>
        <v>#REF!</v>
      </c>
      <c r="HA72" t="e">
        <f>AND('Field Designations'!#REF!,"AAAAAH87/9A=")</f>
        <v>#REF!</v>
      </c>
      <c r="HB72" t="e">
        <f>AND('Field Designations'!#REF!,"AAAAAH87/9E=")</f>
        <v>#REF!</v>
      </c>
      <c r="HC72" t="e">
        <f>AND('Field Designations'!H4,"AAAAAH87/9I=")</f>
        <v>#VALUE!</v>
      </c>
      <c r="HD72">
        <f>IF('Field Designations'!5:5,"AAAAAH87/9M=",0)</f>
        <v>0</v>
      </c>
      <c r="HE72" t="e">
        <f>AND('Field Designations'!#REF!,"AAAAAH87/9Q=")</f>
        <v>#REF!</v>
      </c>
      <c r="HF72" t="e">
        <f>AND('Field Designations'!B5,"AAAAAH87/9U=")</f>
        <v>#VALUE!</v>
      </c>
      <c r="HG72" t="e">
        <f>AND('Field Designations'!#REF!,"AAAAAH87/9Y=")</f>
        <v>#REF!</v>
      </c>
      <c r="HH72" t="e">
        <f>AND('Field Designations'!A5,"AAAAAH87/9c=")</f>
        <v>#VALUE!</v>
      </c>
      <c r="HI72" t="e">
        <f>AND('Field Designations'!C5,"AAAAAH87/9g=")</f>
        <v>#VALUE!</v>
      </c>
      <c r="HJ72" t="e">
        <f>AND('Field Designations'!#REF!,"AAAAAH87/9k=")</f>
        <v>#REF!</v>
      </c>
      <c r="HK72" t="e">
        <f>AND('Field Designations'!E5,"AAAAAH87/9o=")</f>
        <v>#VALUE!</v>
      </c>
      <c r="HL72" t="e">
        <f>AND('Field Designations'!#REF!,"AAAAAH87/9s=")</f>
        <v>#REF!</v>
      </c>
      <c r="HM72" t="e">
        <f>AND('Field Designations'!F5,"AAAAAH87/9w=")</f>
        <v>#VALUE!</v>
      </c>
      <c r="HN72" t="e">
        <f>AND('Field Designations'!#REF!,"AAAAAH87/90=")</f>
        <v>#REF!</v>
      </c>
      <c r="HO72" t="e">
        <f>AND('Field Designations'!G5,"AAAAAH87/94=")</f>
        <v>#VALUE!</v>
      </c>
      <c r="HP72" t="e">
        <f>AND('Field Designations'!#REF!,"AAAAAH87/98=")</f>
        <v>#REF!</v>
      </c>
      <c r="HQ72" t="e">
        <f>AND('Field Designations'!#REF!,"AAAAAH87/+A=")</f>
        <v>#REF!</v>
      </c>
      <c r="HR72" t="e">
        <f>AND('Field Designations'!#REF!,"AAAAAH87/+E=")</f>
        <v>#REF!</v>
      </c>
      <c r="HS72" t="e">
        <f>AND('Field Designations'!#REF!,"AAAAAH87/+I=")</f>
        <v>#REF!</v>
      </c>
      <c r="HT72" t="e">
        <f>AND('Field Designations'!#REF!,"AAAAAH87/+M=")</f>
        <v>#REF!</v>
      </c>
      <c r="HU72" t="e">
        <f>AND('Field Designations'!#REF!,"AAAAAH87/+Q=")</f>
        <v>#REF!</v>
      </c>
      <c r="HV72" t="e">
        <f>AND('Field Designations'!#REF!,"AAAAAH87/+U=")</f>
        <v>#REF!</v>
      </c>
      <c r="HW72" t="e">
        <f>AND('Field Designations'!#REF!,"AAAAAH87/+Y=")</f>
        <v>#REF!</v>
      </c>
      <c r="HX72" t="e">
        <f>AND('Field Designations'!#REF!,"AAAAAH87/+c=")</f>
        <v>#REF!</v>
      </c>
      <c r="HY72" t="e">
        <f>AND('Field Designations'!#REF!,"AAAAAH87/+g=")</f>
        <v>#REF!</v>
      </c>
      <c r="HZ72" t="e">
        <f>AND('Field Designations'!#REF!,"AAAAAH87/+k=")</f>
        <v>#REF!</v>
      </c>
      <c r="IA72" t="e">
        <f>AND('Field Designations'!#REF!,"AAAAAH87/+o=")</f>
        <v>#REF!</v>
      </c>
      <c r="IB72" t="e">
        <f>AND('Field Designations'!H5,"AAAAAH87/+s=")</f>
        <v>#VALUE!</v>
      </c>
      <c r="IC72">
        <f>IF('Field Designations'!6:6,"AAAAAH87/+w=",0)</f>
        <v>0</v>
      </c>
      <c r="ID72" t="e">
        <f>AND('Field Designations'!#REF!,"AAAAAH87/+0=")</f>
        <v>#REF!</v>
      </c>
      <c r="IE72" t="e">
        <f>AND('Field Designations'!B6,"AAAAAH87/+4=")</f>
        <v>#VALUE!</v>
      </c>
      <c r="IF72" t="e">
        <f>AND('Field Designations'!#REF!,"AAAAAH87/+8=")</f>
        <v>#REF!</v>
      </c>
      <c r="IG72" t="e">
        <f>AND('Field Designations'!A6,"AAAAAH87//A=")</f>
        <v>#VALUE!</v>
      </c>
      <c r="IH72" t="e">
        <f>AND('Field Designations'!C6,"AAAAAH87//E=")</f>
        <v>#VALUE!</v>
      </c>
      <c r="II72" t="e">
        <f>AND('Field Designations'!#REF!,"AAAAAH87//I=")</f>
        <v>#REF!</v>
      </c>
      <c r="IJ72" t="e">
        <f>AND('Field Designations'!E6,"AAAAAH87//M=")</f>
        <v>#VALUE!</v>
      </c>
      <c r="IK72" t="e">
        <f>AND('Field Designations'!#REF!,"AAAAAH87//Q=")</f>
        <v>#REF!</v>
      </c>
      <c r="IL72" t="e">
        <f>AND('Field Designations'!F6,"AAAAAH87//U=")</f>
        <v>#VALUE!</v>
      </c>
      <c r="IM72" t="e">
        <f>AND('Field Designations'!#REF!,"AAAAAH87//Y=")</f>
        <v>#REF!</v>
      </c>
      <c r="IN72" t="e">
        <f>AND('Field Designations'!G6,"AAAAAH87//c=")</f>
        <v>#VALUE!</v>
      </c>
      <c r="IO72" t="e">
        <f>AND('Field Designations'!#REF!,"AAAAAH87//g=")</f>
        <v>#REF!</v>
      </c>
      <c r="IP72" t="e">
        <f>AND('Field Designations'!#REF!,"AAAAAH87//k=")</f>
        <v>#REF!</v>
      </c>
      <c r="IQ72" t="e">
        <f>AND('Field Designations'!#REF!,"AAAAAH87//o=")</f>
        <v>#REF!</v>
      </c>
      <c r="IR72" t="e">
        <f>AND('Field Designations'!#REF!,"AAAAAH87//s=")</f>
        <v>#REF!</v>
      </c>
      <c r="IS72" t="e">
        <f>AND('Field Designations'!#REF!,"AAAAAH87//w=")</f>
        <v>#REF!</v>
      </c>
      <c r="IT72" t="e">
        <f>AND('Field Designations'!#REF!,"AAAAAH87//0=")</f>
        <v>#REF!</v>
      </c>
      <c r="IU72" t="e">
        <f>AND('Field Designations'!#REF!,"AAAAAH87//4=")</f>
        <v>#REF!</v>
      </c>
      <c r="IV72" t="e">
        <f>AND('Field Designations'!#REF!,"AAAAAH87//8=")</f>
        <v>#REF!</v>
      </c>
    </row>
    <row r="73" spans="1:256" x14ac:dyDescent="0.2">
      <c r="A73" t="e">
        <f>AND('Field Designations'!#REF!,"AAAAAB5+vgA=")</f>
        <v>#REF!</v>
      </c>
      <c r="B73" t="e">
        <f>AND('Field Designations'!#REF!,"AAAAAB5+vgE=")</f>
        <v>#REF!</v>
      </c>
      <c r="C73" t="e">
        <f>AND('Field Designations'!#REF!,"AAAAAB5+vgI=")</f>
        <v>#REF!</v>
      </c>
      <c r="D73" t="e">
        <f>AND('Field Designations'!#REF!,"AAAAAB5+vgM=")</f>
        <v>#REF!</v>
      </c>
      <c r="E73" t="e">
        <f>AND('Field Designations'!H6,"AAAAAB5+vgQ=")</f>
        <v>#VALUE!</v>
      </c>
      <c r="F73">
        <f>IF('Field Designations'!7:7,"AAAAAB5+vgU=",0)</f>
        <v>0</v>
      </c>
      <c r="G73" t="e">
        <f>AND('Field Designations'!#REF!,"AAAAAB5+vgY=")</f>
        <v>#REF!</v>
      </c>
      <c r="H73" t="e">
        <f>AND('Field Designations'!B7,"AAAAAB5+vgc=")</f>
        <v>#VALUE!</v>
      </c>
      <c r="I73" t="e">
        <f>AND('Field Designations'!#REF!,"AAAAAB5+vgg=")</f>
        <v>#REF!</v>
      </c>
      <c r="J73" t="e">
        <f>AND('Field Designations'!A7,"AAAAAB5+vgk=")</f>
        <v>#VALUE!</v>
      </c>
      <c r="K73" t="e">
        <f>AND('Field Designations'!C7,"AAAAAB5+vgo=")</f>
        <v>#VALUE!</v>
      </c>
      <c r="L73" t="e">
        <f>AND('Field Designations'!#REF!,"AAAAAB5+vgs=")</f>
        <v>#REF!</v>
      </c>
      <c r="M73" t="e">
        <f>AND('Field Designations'!E7,"AAAAAB5+vgw=")</f>
        <v>#VALUE!</v>
      </c>
      <c r="N73" t="e">
        <f>AND('Field Designations'!#REF!,"AAAAAB5+vg0=")</f>
        <v>#REF!</v>
      </c>
      <c r="O73" t="e">
        <f>AND('Field Designations'!F7,"AAAAAB5+vg4=")</f>
        <v>#VALUE!</v>
      </c>
      <c r="P73" t="e">
        <f>AND('Field Designations'!#REF!,"AAAAAB5+vg8=")</f>
        <v>#REF!</v>
      </c>
      <c r="Q73" t="e">
        <f>AND('Field Designations'!G7,"AAAAAB5+vhA=")</f>
        <v>#VALUE!</v>
      </c>
      <c r="R73" t="e">
        <f>AND('Field Designations'!#REF!,"AAAAAB5+vhE=")</f>
        <v>#REF!</v>
      </c>
      <c r="S73" t="e">
        <f>AND('Field Designations'!#REF!,"AAAAAB5+vhI=")</f>
        <v>#REF!</v>
      </c>
      <c r="T73" t="e">
        <f>AND('Field Designations'!#REF!,"AAAAAB5+vhM=")</f>
        <v>#REF!</v>
      </c>
      <c r="U73" t="e">
        <f>AND('Field Designations'!#REF!,"AAAAAB5+vhQ=")</f>
        <v>#REF!</v>
      </c>
      <c r="V73" t="e">
        <f>AND('Field Designations'!#REF!,"AAAAAB5+vhU=")</f>
        <v>#REF!</v>
      </c>
      <c r="W73" t="e">
        <f>AND('Field Designations'!#REF!,"AAAAAB5+vhY=")</f>
        <v>#REF!</v>
      </c>
      <c r="X73" t="e">
        <f>AND('Field Designations'!#REF!,"AAAAAB5+vhc=")</f>
        <v>#REF!</v>
      </c>
      <c r="Y73" t="e">
        <f>AND('Field Designations'!#REF!,"AAAAAB5+vhg=")</f>
        <v>#REF!</v>
      </c>
      <c r="Z73" t="e">
        <f>AND('Field Designations'!#REF!,"AAAAAB5+vhk=")</f>
        <v>#REF!</v>
      </c>
      <c r="AA73" t="e">
        <f>AND('Field Designations'!#REF!,"AAAAAB5+vho=")</f>
        <v>#REF!</v>
      </c>
      <c r="AB73" t="e">
        <f>AND('Field Designations'!#REF!,"AAAAAB5+vhs=")</f>
        <v>#REF!</v>
      </c>
      <c r="AC73" t="e">
        <f>AND('Field Designations'!#REF!,"AAAAAB5+vhw=")</f>
        <v>#REF!</v>
      </c>
      <c r="AD73" t="e">
        <f>AND('Field Designations'!H7,"AAAAAB5+vh0=")</f>
        <v>#VALUE!</v>
      </c>
      <c r="AE73">
        <f>IF('Field Designations'!8:8,"AAAAAB5+vh4=",0)</f>
        <v>0</v>
      </c>
      <c r="AF73" t="e">
        <f>AND('Field Designations'!#REF!,"AAAAAB5+vh8=")</f>
        <v>#REF!</v>
      </c>
      <c r="AG73" t="e">
        <f>AND('Field Designations'!B8,"AAAAAB5+viA=")</f>
        <v>#VALUE!</v>
      </c>
      <c r="AH73" t="e">
        <f>AND('Field Designations'!#REF!,"AAAAAB5+viE=")</f>
        <v>#REF!</v>
      </c>
      <c r="AI73" t="e">
        <f>AND('Field Designations'!A8,"AAAAAB5+viI=")</f>
        <v>#VALUE!</v>
      </c>
      <c r="AJ73" t="e">
        <f>AND('Field Designations'!C8,"AAAAAB5+viM=")</f>
        <v>#VALUE!</v>
      </c>
      <c r="AK73" t="e">
        <f>AND('Field Designations'!#REF!,"AAAAAB5+viQ=")</f>
        <v>#REF!</v>
      </c>
      <c r="AL73" t="e">
        <f>AND('Field Designations'!E8,"AAAAAB5+viU=")</f>
        <v>#VALUE!</v>
      </c>
      <c r="AM73" t="e">
        <f>AND('Field Designations'!#REF!,"AAAAAB5+viY=")</f>
        <v>#REF!</v>
      </c>
      <c r="AN73" t="e">
        <f>AND('Field Designations'!F8,"AAAAAB5+vic=")</f>
        <v>#VALUE!</v>
      </c>
      <c r="AO73" t="e">
        <f>AND('Field Designations'!#REF!,"AAAAAB5+vig=")</f>
        <v>#REF!</v>
      </c>
      <c r="AP73" t="e">
        <f>AND('Field Designations'!G8,"AAAAAB5+vik=")</f>
        <v>#VALUE!</v>
      </c>
      <c r="AQ73" t="e">
        <f>AND('Field Designations'!#REF!,"AAAAAB5+vio=")</f>
        <v>#REF!</v>
      </c>
      <c r="AR73" t="e">
        <f>AND('Field Designations'!#REF!,"AAAAAB5+vis=")</f>
        <v>#REF!</v>
      </c>
      <c r="AS73" t="e">
        <f>AND('Field Designations'!#REF!,"AAAAAB5+viw=")</f>
        <v>#REF!</v>
      </c>
      <c r="AT73" t="e">
        <f>AND('Field Designations'!#REF!,"AAAAAB5+vi0=")</f>
        <v>#REF!</v>
      </c>
      <c r="AU73" t="e">
        <f>AND('Field Designations'!#REF!,"AAAAAB5+vi4=")</f>
        <v>#REF!</v>
      </c>
      <c r="AV73" t="e">
        <f>AND('Field Designations'!#REF!,"AAAAAB5+vi8=")</f>
        <v>#REF!</v>
      </c>
      <c r="AW73" t="e">
        <f>AND('Field Designations'!#REF!,"AAAAAB5+vjA=")</f>
        <v>#REF!</v>
      </c>
      <c r="AX73" t="e">
        <f>AND('Field Designations'!#REF!,"AAAAAB5+vjE=")</f>
        <v>#REF!</v>
      </c>
      <c r="AY73" t="e">
        <f>AND('Field Designations'!#REF!,"AAAAAB5+vjI=")</f>
        <v>#REF!</v>
      </c>
      <c r="AZ73" t="e">
        <f>AND('Field Designations'!#REF!,"AAAAAB5+vjM=")</f>
        <v>#REF!</v>
      </c>
      <c r="BA73" t="e">
        <f>AND('Field Designations'!#REF!,"AAAAAB5+vjQ=")</f>
        <v>#REF!</v>
      </c>
      <c r="BB73" t="e">
        <f>AND('Field Designations'!#REF!,"AAAAAB5+vjU=")</f>
        <v>#REF!</v>
      </c>
      <c r="BC73" t="e">
        <f>AND('Field Designations'!H8,"AAAAAB5+vjY=")</f>
        <v>#VALUE!</v>
      </c>
      <c r="BD73">
        <f>IF('Field Designations'!9:9,"AAAAAB5+vjc=",0)</f>
        <v>0</v>
      </c>
      <c r="BE73" t="e">
        <f>AND('Field Designations'!#REF!,"AAAAAB5+vjg=")</f>
        <v>#REF!</v>
      </c>
      <c r="BF73" t="e">
        <f>AND('Field Designations'!B9,"AAAAAB5+vjk=")</f>
        <v>#VALUE!</v>
      </c>
      <c r="BG73" t="e">
        <f>AND('Field Designations'!#REF!,"AAAAAB5+vjo=")</f>
        <v>#REF!</v>
      </c>
      <c r="BH73" t="e">
        <f>AND('Field Designations'!A9,"AAAAAB5+vjs=")</f>
        <v>#VALUE!</v>
      </c>
      <c r="BI73" t="e">
        <f>AND('Field Designations'!C9,"AAAAAB5+vjw=")</f>
        <v>#VALUE!</v>
      </c>
      <c r="BJ73" t="e">
        <f>AND('Field Designations'!#REF!,"AAAAAB5+vj0=")</f>
        <v>#REF!</v>
      </c>
      <c r="BK73" t="e">
        <f>AND('Field Designations'!E9,"AAAAAB5+vj4=")</f>
        <v>#VALUE!</v>
      </c>
      <c r="BL73" t="e">
        <f>AND('Field Designations'!#REF!,"AAAAAB5+vj8=")</f>
        <v>#REF!</v>
      </c>
      <c r="BM73" t="e">
        <f>AND('Field Designations'!F9,"AAAAAB5+vkA=")</f>
        <v>#VALUE!</v>
      </c>
      <c r="BN73" t="e">
        <f>AND('Field Designations'!#REF!,"AAAAAB5+vkE=")</f>
        <v>#REF!</v>
      </c>
      <c r="BO73" t="e">
        <f>AND('Field Designations'!G9,"AAAAAB5+vkI=")</f>
        <v>#VALUE!</v>
      </c>
      <c r="BP73" t="e">
        <f>AND('Field Designations'!#REF!,"AAAAAB5+vkM=")</f>
        <v>#REF!</v>
      </c>
      <c r="BQ73" t="e">
        <f>AND('Field Designations'!#REF!,"AAAAAB5+vkQ=")</f>
        <v>#REF!</v>
      </c>
      <c r="BR73" t="e">
        <f>AND('Field Designations'!#REF!,"AAAAAB5+vkU=")</f>
        <v>#REF!</v>
      </c>
      <c r="BS73" t="e">
        <f>AND('Field Designations'!#REF!,"AAAAAB5+vkY=")</f>
        <v>#REF!</v>
      </c>
      <c r="BT73" t="e">
        <f>AND('Field Designations'!#REF!,"AAAAAB5+vkc=")</f>
        <v>#REF!</v>
      </c>
      <c r="BU73" t="e">
        <f>AND('Field Designations'!#REF!,"AAAAAB5+vkg=")</f>
        <v>#REF!</v>
      </c>
      <c r="BV73" t="e">
        <f>AND('Field Designations'!#REF!,"AAAAAB5+vkk=")</f>
        <v>#REF!</v>
      </c>
      <c r="BW73" t="e">
        <f>AND('Field Designations'!#REF!,"AAAAAB5+vko=")</f>
        <v>#REF!</v>
      </c>
      <c r="BX73" t="e">
        <f>AND('Field Designations'!#REF!,"AAAAAB5+vks=")</f>
        <v>#REF!</v>
      </c>
      <c r="BY73" t="e">
        <f>AND('Field Designations'!#REF!,"AAAAAB5+vkw=")</f>
        <v>#REF!</v>
      </c>
      <c r="BZ73" t="e">
        <f>AND('Field Designations'!#REF!,"AAAAAB5+vk0=")</f>
        <v>#REF!</v>
      </c>
      <c r="CA73" t="e">
        <f>AND('Field Designations'!#REF!,"AAAAAB5+vk4=")</f>
        <v>#REF!</v>
      </c>
      <c r="CB73" t="e">
        <f>AND('Field Designations'!H9,"AAAAAB5+vk8=")</f>
        <v>#VALUE!</v>
      </c>
      <c r="CC73">
        <f>IF('Field Designations'!10:10,"AAAAAB5+vlA=",0)</f>
        <v>0</v>
      </c>
      <c r="CD73" t="e">
        <f>AND('Field Designations'!#REF!,"AAAAAB5+vlE=")</f>
        <v>#REF!</v>
      </c>
      <c r="CE73" t="e">
        <f>AND('Field Designations'!B10,"AAAAAB5+vlI=")</f>
        <v>#VALUE!</v>
      </c>
      <c r="CF73" t="e">
        <f>AND('Field Designations'!#REF!,"AAAAAB5+vlM=")</f>
        <v>#REF!</v>
      </c>
      <c r="CG73" t="e">
        <f>AND('Field Designations'!A10,"AAAAAB5+vlQ=")</f>
        <v>#VALUE!</v>
      </c>
      <c r="CH73" t="e">
        <f>AND('Field Designations'!C10,"AAAAAB5+vlU=")</f>
        <v>#VALUE!</v>
      </c>
      <c r="CI73" t="e">
        <f>AND('Field Designations'!#REF!,"AAAAAB5+vlY=")</f>
        <v>#REF!</v>
      </c>
      <c r="CJ73" t="e">
        <f>AND('Field Designations'!E10,"AAAAAB5+vlc=")</f>
        <v>#VALUE!</v>
      </c>
      <c r="CK73" t="e">
        <f>AND('Field Designations'!#REF!,"AAAAAB5+vlg=")</f>
        <v>#REF!</v>
      </c>
      <c r="CL73" t="e">
        <f>AND('Field Designations'!F10,"AAAAAB5+vlk=")</f>
        <v>#VALUE!</v>
      </c>
      <c r="CM73" t="e">
        <f>AND('Field Designations'!#REF!,"AAAAAB5+vlo=")</f>
        <v>#REF!</v>
      </c>
      <c r="CN73" t="e">
        <f>AND('Field Designations'!G10,"AAAAAB5+vls=")</f>
        <v>#VALUE!</v>
      </c>
      <c r="CO73" t="e">
        <f>AND('Field Designations'!#REF!,"AAAAAB5+vlw=")</f>
        <v>#REF!</v>
      </c>
      <c r="CP73" t="e">
        <f>AND('Field Designations'!#REF!,"AAAAAB5+vl0=")</f>
        <v>#REF!</v>
      </c>
      <c r="CQ73" t="e">
        <f>AND('Field Designations'!#REF!,"AAAAAB5+vl4=")</f>
        <v>#REF!</v>
      </c>
      <c r="CR73" t="e">
        <f>AND('Field Designations'!#REF!,"AAAAAB5+vl8=")</f>
        <v>#REF!</v>
      </c>
      <c r="CS73" t="e">
        <f>AND('Field Designations'!#REF!,"AAAAAB5+vmA=")</f>
        <v>#REF!</v>
      </c>
      <c r="CT73" t="e">
        <f>AND('Field Designations'!#REF!,"AAAAAB5+vmE=")</f>
        <v>#REF!</v>
      </c>
      <c r="CU73" t="e">
        <f>AND('Field Designations'!#REF!,"AAAAAB5+vmI=")</f>
        <v>#REF!</v>
      </c>
      <c r="CV73" t="e">
        <f>AND('Field Designations'!#REF!,"AAAAAB5+vmM=")</f>
        <v>#REF!</v>
      </c>
      <c r="CW73" t="e">
        <f>AND('Field Designations'!#REF!,"AAAAAB5+vmQ=")</f>
        <v>#REF!</v>
      </c>
      <c r="CX73" t="e">
        <f>AND('Field Designations'!#REF!,"AAAAAB5+vmU=")</f>
        <v>#REF!</v>
      </c>
      <c r="CY73" t="e">
        <f>AND('Field Designations'!#REF!,"AAAAAB5+vmY=")</f>
        <v>#REF!</v>
      </c>
      <c r="CZ73" t="e">
        <f>AND('Field Designations'!#REF!,"AAAAAB5+vmc=")</f>
        <v>#REF!</v>
      </c>
      <c r="DA73" t="e">
        <f>AND('Field Designations'!H10,"AAAAAB5+vmg=")</f>
        <v>#VALUE!</v>
      </c>
      <c r="DB73">
        <f>IF('Field Designations'!11:11,"AAAAAB5+vmk=",0)</f>
        <v>0</v>
      </c>
      <c r="DC73" t="e">
        <f>AND('Field Designations'!#REF!,"AAAAAB5+vmo=")</f>
        <v>#REF!</v>
      </c>
      <c r="DD73" t="e">
        <f>AND('Field Designations'!B11,"AAAAAB5+vms=")</f>
        <v>#VALUE!</v>
      </c>
      <c r="DE73" t="e">
        <f>AND('Field Designations'!#REF!,"AAAAAB5+vmw=")</f>
        <v>#REF!</v>
      </c>
      <c r="DF73" t="e">
        <f>AND('Field Designations'!A11,"AAAAAB5+vm0=")</f>
        <v>#VALUE!</v>
      </c>
      <c r="DG73" t="e">
        <f>AND('Field Designations'!C11,"AAAAAB5+vm4=")</f>
        <v>#VALUE!</v>
      </c>
      <c r="DH73" t="e">
        <f>AND('Field Designations'!#REF!,"AAAAAB5+vm8=")</f>
        <v>#REF!</v>
      </c>
      <c r="DI73" t="e">
        <f>AND('Field Designations'!E11,"AAAAAB5+vnA=")</f>
        <v>#VALUE!</v>
      </c>
      <c r="DJ73" t="e">
        <f>AND('Field Designations'!#REF!,"AAAAAB5+vnE=")</f>
        <v>#REF!</v>
      </c>
      <c r="DK73" t="e">
        <f>AND('Field Designations'!F11,"AAAAAB5+vnI=")</f>
        <v>#VALUE!</v>
      </c>
      <c r="DL73" t="e">
        <f>AND('Field Designations'!#REF!,"AAAAAB5+vnM=")</f>
        <v>#REF!</v>
      </c>
      <c r="DM73" t="e">
        <f>AND('Field Designations'!G11,"AAAAAB5+vnQ=")</f>
        <v>#VALUE!</v>
      </c>
      <c r="DN73" t="e">
        <f>AND('Field Designations'!#REF!,"AAAAAB5+vnU=")</f>
        <v>#REF!</v>
      </c>
      <c r="DO73" t="e">
        <f>AND('Field Designations'!#REF!,"AAAAAB5+vnY=")</f>
        <v>#REF!</v>
      </c>
      <c r="DP73" t="e">
        <f>AND('Field Designations'!#REF!,"AAAAAB5+vnc=")</f>
        <v>#REF!</v>
      </c>
      <c r="DQ73" t="e">
        <f>AND('Field Designations'!#REF!,"AAAAAB5+vng=")</f>
        <v>#REF!</v>
      </c>
      <c r="DR73" t="e">
        <f>AND('Field Designations'!#REF!,"AAAAAB5+vnk=")</f>
        <v>#REF!</v>
      </c>
      <c r="DS73" t="e">
        <f>AND('Field Designations'!#REF!,"AAAAAB5+vno=")</f>
        <v>#REF!</v>
      </c>
      <c r="DT73" t="e">
        <f>AND('Field Designations'!#REF!,"AAAAAB5+vns=")</f>
        <v>#REF!</v>
      </c>
      <c r="DU73" t="e">
        <f>AND('Field Designations'!#REF!,"AAAAAB5+vnw=")</f>
        <v>#REF!</v>
      </c>
      <c r="DV73" t="e">
        <f>AND('Field Designations'!#REF!,"AAAAAB5+vn0=")</f>
        <v>#REF!</v>
      </c>
      <c r="DW73" t="e">
        <f>AND('Field Designations'!#REF!,"AAAAAB5+vn4=")</f>
        <v>#REF!</v>
      </c>
      <c r="DX73" t="e">
        <f>AND('Field Designations'!#REF!,"AAAAAB5+vn8=")</f>
        <v>#REF!</v>
      </c>
      <c r="DY73" t="e">
        <f>AND('Field Designations'!#REF!,"AAAAAB5+voA=")</f>
        <v>#REF!</v>
      </c>
      <c r="DZ73" t="e">
        <f>AND('Field Designations'!H11,"AAAAAB5+voE=")</f>
        <v>#VALUE!</v>
      </c>
      <c r="EA73">
        <f>IF('Field Designations'!12:12,"AAAAAB5+voI=",0)</f>
        <v>0</v>
      </c>
      <c r="EB73" t="e">
        <f>AND('Field Designations'!#REF!,"AAAAAB5+voM=")</f>
        <v>#REF!</v>
      </c>
      <c r="EC73" t="e">
        <f>AND('Field Designations'!B12,"AAAAAB5+voQ=")</f>
        <v>#VALUE!</v>
      </c>
      <c r="ED73" t="e">
        <f>AND('Field Designations'!#REF!,"AAAAAB5+voU=")</f>
        <v>#REF!</v>
      </c>
      <c r="EE73" t="e">
        <f>AND('Field Designations'!A12,"AAAAAB5+voY=")</f>
        <v>#VALUE!</v>
      </c>
      <c r="EF73" t="e">
        <f>AND('Field Designations'!C12,"AAAAAB5+voc=")</f>
        <v>#VALUE!</v>
      </c>
      <c r="EG73" t="e">
        <f>AND('Field Designations'!#REF!,"AAAAAB5+vog=")</f>
        <v>#REF!</v>
      </c>
      <c r="EH73" t="e">
        <f>AND('Field Designations'!E12,"AAAAAB5+vok=")</f>
        <v>#VALUE!</v>
      </c>
      <c r="EI73" t="e">
        <f>AND('Field Designations'!#REF!,"AAAAAB5+voo=")</f>
        <v>#REF!</v>
      </c>
      <c r="EJ73" t="e">
        <f>AND('Field Designations'!F12,"AAAAAB5+vos=")</f>
        <v>#VALUE!</v>
      </c>
      <c r="EK73" t="e">
        <f>AND('Field Designations'!#REF!,"AAAAAB5+vow=")</f>
        <v>#REF!</v>
      </c>
      <c r="EL73" t="e">
        <f>AND('Field Designations'!G12,"AAAAAB5+vo0=")</f>
        <v>#VALUE!</v>
      </c>
      <c r="EM73" t="e">
        <f>AND('Field Designations'!#REF!,"AAAAAB5+vo4=")</f>
        <v>#REF!</v>
      </c>
      <c r="EN73" t="e">
        <f>AND('Field Designations'!#REF!,"AAAAAB5+vo8=")</f>
        <v>#REF!</v>
      </c>
      <c r="EO73" t="e">
        <f>AND('Field Designations'!#REF!,"AAAAAB5+vpA=")</f>
        <v>#REF!</v>
      </c>
      <c r="EP73" t="e">
        <f>AND('Field Designations'!#REF!,"AAAAAB5+vpE=")</f>
        <v>#REF!</v>
      </c>
      <c r="EQ73" t="e">
        <f>AND('Field Designations'!#REF!,"AAAAAB5+vpI=")</f>
        <v>#REF!</v>
      </c>
      <c r="ER73" t="e">
        <f>AND('Field Designations'!#REF!,"AAAAAB5+vpM=")</f>
        <v>#REF!</v>
      </c>
      <c r="ES73" t="e">
        <f>AND('Field Designations'!#REF!,"AAAAAB5+vpQ=")</f>
        <v>#REF!</v>
      </c>
      <c r="ET73" t="e">
        <f>AND('Field Designations'!#REF!,"AAAAAB5+vpU=")</f>
        <v>#REF!</v>
      </c>
      <c r="EU73" t="e">
        <f>AND('Field Designations'!#REF!,"AAAAAB5+vpY=")</f>
        <v>#REF!</v>
      </c>
      <c r="EV73" t="e">
        <f>AND('Field Designations'!#REF!,"AAAAAB5+vpc=")</f>
        <v>#REF!</v>
      </c>
      <c r="EW73" t="e">
        <f>AND('Field Designations'!#REF!,"AAAAAB5+vpg=")</f>
        <v>#REF!</v>
      </c>
      <c r="EX73" t="e">
        <f>AND('Field Designations'!#REF!,"AAAAAB5+vpk=")</f>
        <v>#REF!</v>
      </c>
      <c r="EY73" t="e">
        <f>AND('Field Designations'!H12,"AAAAAB5+vpo=")</f>
        <v>#VALUE!</v>
      </c>
      <c r="EZ73">
        <f>IF('Field Designations'!13:13,"AAAAAB5+vps=",0)</f>
        <v>0</v>
      </c>
      <c r="FA73" t="e">
        <f>AND('Field Designations'!#REF!,"AAAAAB5+vpw=")</f>
        <v>#REF!</v>
      </c>
      <c r="FB73" t="e">
        <f>AND('Field Designations'!B13,"AAAAAB5+vp0=")</f>
        <v>#VALUE!</v>
      </c>
      <c r="FC73" t="e">
        <f>AND('Field Designations'!#REF!,"AAAAAB5+vp4=")</f>
        <v>#REF!</v>
      </c>
      <c r="FD73" t="e">
        <f>AND('Field Designations'!A13,"AAAAAB5+vp8=")</f>
        <v>#VALUE!</v>
      </c>
      <c r="FE73" t="e">
        <f>AND('Field Designations'!C13,"AAAAAB5+vqA=")</f>
        <v>#VALUE!</v>
      </c>
      <c r="FF73" t="e">
        <f>AND('Field Designations'!#REF!,"AAAAAB5+vqE=")</f>
        <v>#REF!</v>
      </c>
      <c r="FG73" t="e">
        <f>AND('Field Designations'!E13,"AAAAAB5+vqI=")</f>
        <v>#VALUE!</v>
      </c>
      <c r="FH73" t="e">
        <f>AND('Field Designations'!#REF!,"AAAAAB5+vqM=")</f>
        <v>#REF!</v>
      </c>
      <c r="FI73" t="e">
        <f>AND('Field Designations'!F13,"AAAAAB5+vqQ=")</f>
        <v>#VALUE!</v>
      </c>
      <c r="FJ73" t="e">
        <f>AND('Field Designations'!#REF!,"AAAAAB5+vqU=")</f>
        <v>#REF!</v>
      </c>
      <c r="FK73" t="e">
        <f>AND('Field Designations'!G13,"AAAAAB5+vqY=")</f>
        <v>#VALUE!</v>
      </c>
      <c r="FL73" t="e">
        <f>AND('Field Designations'!#REF!,"AAAAAB5+vqc=")</f>
        <v>#REF!</v>
      </c>
      <c r="FM73" t="e">
        <f>AND('Field Designations'!#REF!,"AAAAAB5+vqg=")</f>
        <v>#REF!</v>
      </c>
      <c r="FN73" t="e">
        <f>AND('Field Designations'!#REF!,"AAAAAB5+vqk=")</f>
        <v>#REF!</v>
      </c>
      <c r="FO73" t="e">
        <f>AND('Field Designations'!#REF!,"AAAAAB5+vqo=")</f>
        <v>#REF!</v>
      </c>
      <c r="FP73" t="e">
        <f>AND('Field Designations'!#REF!,"AAAAAB5+vqs=")</f>
        <v>#REF!</v>
      </c>
      <c r="FQ73" t="e">
        <f>AND('Field Designations'!#REF!,"AAAAAB5+vqw=")</f>
        <v>#REF!</v>
      </c>
      <c r="FR73" t="e">
        <f>AND('Field Designations'!#REF!,"AAAAAB5+vq0=")</f>
        <v>#REF!</v>
      </c>
      <c r="FS73" t="e">
        <f>AND('Field Designations'!#REF!,"AAAAAB5+vq4=")</f>
        <v>#REF!</v>
      </c>
      <c r="FT73" t="e">
        <f>AND('Field Designations'!#REF!,"AAAAAB5+vq8=")</f>
        <v>#REF!</v>
      </c>
      <c r="FU73" t="e">
        <f>AND('Field Designations'!#REF!,"AAAAAB5+vrA=")</f>
        <v>#REF!</v>
      </c>
      <c r="FV73" t="e">
        <f>AND('Field Designations'!#REF!,"AAAAAB5+vrE=")</f>
        <v>#REF!</v>
      </c>
      <c r="FW73" t="e">
        <f>AND('Field Designations'!#REF!,"AAAAAB5+vrI=")</f>
        <v>#REF!</v>
      </c>
      <c r="FX73" t="e">
        <f>AND('Field Designations'!H13,"AAAAAB5+vrM=")</f>
        <v>#VALUE!</v>
      </c>
      <c r="FY73">
        <f>IF('Field Designations'!14:14,"AAAAAB5+vrQ=",0)</f>
        <v>0</v>
      </c>
      <c r="FZ73" t="e">
        <f>AND('Field Designations'!#REF!,"AAAAAB5+vrU=")</f>
        <v>#REF!</v>
      </c>
      <c r="GA73" t="e">
        <f>AND('Field Designations'!B14,"AAAAAB5+vrY=")</f>
        <v>#VALUE!</v>
      </c>
      <c r="GB73" t="e">
        <f>AND('Field Designations'!#REF!,"AAAAAB5+vrc=")</f>
        <v>#REF!</v>
      </c>
      <c r="GC73" t="e">
        <f>AND('Field Designations'!A14,"AAAAAB5+vrg=")</f>
        <v>#VALUE!</v>
      </c>
      <c r="GD73" t="e">
        <f>AND('Field Designations'!C14,"AAAAAB5+vrk=")</f>
        <v>#VALUE!</v>
      </c>
      <c r="GE73" t="e">
        <f>AND('Field Designations'!#REF!,"AAAAAB5+vro=")</f>
        <v>#REF!</v>
      </c>
      <c r="GF73" t="e">
        <f>AND('Field Designations'!E14,"AAAAAB5+vrs=")</f>
        <v>#VALUE!</v>
      </c>
      <c r="GG73" t="e">
        <f>AND('Field Designations'!#REF!,"AAAAAB5+vrw=")</f>
        <v>#REF!</v>
      </c>
      <c r="GH73" t="e">
        <f>AND('Field Designations'!F14,"AAAAAB5+vr0=")</f>
        <v>#VALUE!</v>
      </c>
      <c r="GI73" t="e">
        <f>AND('Field Designations'!#REF!,"AAAAAB5+vr4=")</f>
        <v>#REF!</v>
      </c>
      <c r="GJ73" t="e">
        <f>AND('Field Designations'!G14,"AAAAAB5+vr8=")</f>
        <v>#VALUE!</v>
      </c>
      <c r="GK73" t="e">
        <f>AND('Field Designations'!#REF!,"AAAAAB5+vsA=")</f>
        <v>#REF!</v>
      </c>
      <c r="GL73" t="e">
        <f>AND('Field Designations'!#REF!,"AAAAAB5+vsE=")</f>
        <v>#REF!</v>
      </c>
      <c r="GM73" t="e">
        <f>AND('Field Designations'!#REF!,"AAAAAB5+vsI=")</f>
        <v>#REF!</v>
      </c>
      <c r="GN73" t="e">
        <f>AND('Field Designations'!#REF!,"AAAAAB5+vsM=")</f>
        <v>#REF!</v>
      </c>
      <c r="GO73" t="e">
        <f>AND('Field Designations'!#REF!,"AAAAAB5+vsQ=")</f>
        <v>#REF!</v>
      </c>
      <c r="GP73" t="e">
        <f>AND('Field Designations'!#REF!,"AAAAAB5+vsU=")</f>
        <v>#REF!</v>
      </c>
      <c r="GQ73" t="e">
        <f>AND('Field Designations'!#REF!,"AAAAAB5+vsY=")</f>
        <v>#REF!</v>
      </c>
      <c r="GR73" t="e">
        <f>AND('Field Designations'!#REF!,"AAAAAB5+vsc=")</f>
        <v>#REF!</v>
      </c>
      <c r="GS73" t="e">
        <f>AND('Field Designations'!#REF!,"AAAAAB5+vsg=")</f>
        <v>#REF!</v>
      </c>
      <c r="GT73" t="e">
        <f>AND('Field Designations'!#REF!,"AAAAAB5+vsk=")</f>
        <v>#REF!</v>
      </c>
      <c r="GU73" t="e">
        <f>AND('Field Designations'!#REF!,"AAAAAB5+vso=")</f>
        <v>#REF!</v>
      </c>
      <c r="GV73" t="e">
        <f>AND('Field Designations'!#REF!,"AAAAAB5+vss=")</f>
        <v>#REF!</v>
      </c>
      <c r="GW73" t="e">
        <f>AND('Field Designations'!H14,"AAAAAB5+vsw=")</f>
        <v>#VALUE!</v>
      </c>
      <c r="GX73">
        <f>IF('Field Designations'!15:15,"AAAAAB5+vs0=",0)</f>
        <v>0</v>
      </c>
      <c r="GY73" t="e">
        <f>AND('Field Designations'!#REF!,"AAAAAB5+vs4=")</f>
        <v>#REF!</v>
      </c>
      <c r="GZ73" t="e">
        <f>AND('Field Designations'!B15,"AAAAAB5+vs8=")</f>
        <v>#VALUE!</v>
      </c>
      <c r="HA73" t="e">
        <f>AND('Field Designations'!#REF!,"AAAAAB5+vtA=")</f>
        <v>#REF!</v>
      </c>
      <c r="HB73" t="e">
        <f>AND('Field Designations'!A15,"AAAAAB5+vtE=")</f>
        <v>#VALUE!</v>
      </c>
      <c r="HC73" t="e">
        <f>AND('Field Designations'!C15,"AAAAAB5+vtI=")</f>
        <v>#VALUE!</v>
      </c>
      <c r="HD73" t="e">
        <f>AND('Field Designations'!#REF!,"AAAAAB5+vtM=")</f>
        <v>#REF!</v>
      </c>
      <c r="HE73" t="e">
        <f>AND('Field Designations'!E15,"AAAAAB5+vtQ=")</f>
        <v>#VALUE!</v>
      </c>
      <c r="HF73" t="e">
        <f>AND('Field Designations'!#REF!,"AAAAAB5+vtU=")</f>
        <v>#REF!</v>
      </c>
      <c r="HG73" t="e">
        <f>AND('Field Designations'!F15,"AAAAAB5+vtY=")</f>
        <v>#VALUE!</v>
      </c>
      <c r="HH73" t="e">
        <f>AND('Field Designations'!#REF!,"AAAAAB5+vtc=")</f>
        <v>#REF!</v>
      </c>
      <c r="HI73" t="e">
        <f>AND('Field Designations'!G15,"AAAAAB5+vtg=")</f>
        <v>#VALUE!</v>
      </c>
      <c r="HJ73" t="e">
        <f>AND('Field Designations'!#REF!,"AAAAAB5+vtk=")</f>
        <v>#REF!</v>
      </c>
      <c r="HK73" t="e">
        <f>AND('Field Designations'!#REF!,"AAAAAB5+vto=")</f>
        <v>#REF!</v>
      </c>
      <c r="HL73" t="e">
        <f>AND('Field Designations'!#REF!,"AAAAAB5+vts=")</f>
        <v>#REF!</v>
      </c>
      <c r="HM73" t="e">
        <f>AND('Field Designations'!#REF!,"AAAAAB5+vtw=")</f>
        <v>#REF!</v>
      </c>
      <c r="HN73" t="e">
        <f>AND('Field Designations'!#REF!,"AAAAAB5+vt0=")</f>
        <v>#REF!</v>
      </c>
      <c r="HO73" t="e">
        <f>AND('Field Designations'!#REF!,"AAAAAB5+vt4=")</f>
        <v>#REF!</v>
      </c>
      <c r="HP73" t="e">
        <f>AND('Field Designations'!#REF!,"AAAAAB5+vt8=")</f>
        <v>#REF!</v>
      </c>
      <c r="HQ73" t="e">
        <f>AND('Field Designations'!#REF!,"AAAAAB5+vuA=")</f>
        <v>#REF!</v>
      </c>
      <c r="HR73" t="e">
        <f>AND('Field Designations'!#REF!,"AAAAAB5+vuE=")</f>
        <v>#REF!</v>
      </c>
      <c r="HS73" t="e">
        <f>AND('Field Designations'!#REF!,"AAAAAB5+vuI=")</f>
        <v>#REF!</v>
      </c>
      <c r="HT73" t="e">
        <f>AND('Field Designations'!#REF!,"AAAAAB5+vuM=")</f>
        <v>#REF!</v>
      </c>
      <c r="HU73" t="e">
        <f>AND('Field Designations'!#REF!,"AAAAAB5+vuQ=")</f>
        <v>#REF!</v>
      </c>
      <c r="HV73" t="e">
        <f>AND('Field Designations'!H15,"AAAAAB5+vuU=")</f>
        <v>#VALUE!</v>
      </c>
      <c r="HW73">
        <f>IF('Field Designations'!16:16,"AAAAAB5+vuY=",0)</f>
        <v>0</v>
      </c>
      <c r="HX73" t="e">
        <f>AND('Field Designations'!#REF!,"AAAAAB5+vuc=")</f>
        <v>#REF!</v>
      </c>
      <c r="HY73" t="e">
        <f>AND('Field Designations'!B16,"AAAAAB5+vug=")</f>
        <v>#VALUE!</v>
      </c>
      <c r="HZ73" t="e">
        <f>AND('Field Designations'!#REF!,"AAAAAB5+vuk=")</f>
        <v>#REF!</v>
      </c>
      <c r="IA73" t="e">
        <f>AND('Field Designations'!A16,"AAAAAB5+vuo=")</f>
        <v>#VALUE!</v>
      </c>
      <c r="IB73" t="e">
        <f>AND('Field Designations'!C16,"AAAAAB5+vus=")</f>
        <v>#VALUE!</v>
      </c>
      <c r="IC73" t="e">
        <f>AND('Field Designations'!#REF!,"AAAAAB5+vuw=")</f>
        <v>#REF!</v>
      </c>
      <c r="ID73" t="e">
        <f>AND('Field Designations'!E16,"AAAAAB5+vu0=")</f>
        <v>#VALUE!</v>
      </c>
      <c r="IE73" t="e">
        <f>AND('Field Designations'!#REF!,"AAAAAB5+vu4=")</f>
        <v>#REF!</v>
      </c>
      <c r="IF73" t="e">
        <f>AND('Field Designations'!F16,"AAAAAB5+vu8=")</f>
        <v>#VALUE!</v>
      </c>
      <c r="IG73" t="e">
        <f>AND('Field Designations'!#REF!,"AAAAAB5+vvA=")</f>
        <v>#REF!</v>
      </c>
      <c r="IH73" t="e">
        <f>AND('Field Designations'!G16,"AAAAAB5+vvE=")</f>
        <v>#VALUE!</v>
      </c>
      <c r="II73" t="e">
        <f>AND('Field Designations'!#REF!,"AAAAAB5+vvI=")</f>
        <v>#REF!</v>
      </c>
      <c r="IJ73" t="e">
        <f>AND('Field Designations'!#REF!,"AAAAAB5+vvM=")</f>
        <v>#REF!</v>
      </c>
      <c r="IK73" t="e">
        <f>AND('Field Designations'!#REF!,"AAAAAB5+vvQ=")</f>
        <v>#REF!</v>
      </c>
      <c r="IL73" t="e">
        <f>AND('Field Designations'!#REF!,"AAAAAB5+vvU=")</f>
        <v>#REF!</v>
      </c>
      <c r="IM73" t="e">
        <f>AND('Field Designations'!#REF!,"AAAAAB5+vvY=")</f>
        <v>#REF!</v>
      </c>
      <c r="IN73" t="e">
        <f>AND('Field Designations'!#REF!,"AAAAAB5+vvc=")</f>
        <v>#REF!</v>
      </c>
      <c r="IO73" t="e">
        <f>AND('Field Designations'!#REF!,"AAAAAB5+vvg=")</f>
        <v>#REF!</v>
      </c>
      <c r="IP73" t="e">
        <f>AND('Field Designations'!#REF!,"AAAAAB5+vvk=")</f>
        <v>#REF!</v>
      </c>
      <c r="IQ73" t="e">
        <f>AND('Field Designations'!#REF!,"AAAAAB5+vvo=")</f>
        <v>#REF!</v>
      </c>
      <c r="IR73" t="e">
        <f>AND('Field Designations'!#REF!,"AAAAAB5+vvs=")</f>
        <v>#REF!</v>
      </c>
      <c r="IS73" t="e">
        <f>AND('Field Designations'!#REF!,"AAAAAB5+vvw=")</f>
        <v>#REF!</v>
      </c>
      <c r="IT73" t="e">
        <f>AND('Field Designations'!#REF!,"AAAAAB5+vv0=")</f>
        <v>#REF!</v>
      </c>
      <c r="IU73" t="e">
        <f>AND('Field Designations'!H16,"AAAAAB5+vv4=")</f>
        <v>#VALUE!</v>
      </c>
      <c r="IV73">
        <f>IF('Field Designations'!17:17,"AAAAAB5+vv8=",0)</f>
        <v>0</v>
      </c>
    </row>
    <row r="74" spans="1:256" x14ac:dyDescent="0.2">
      <c r="A74" t="e">
        <f>AND('Field Designations'!#REF!,"AAAAAH/efQA=")</f>
        <v>#REF!</v>
      </c>
      <c r="B74" t="e">
        <f>AND('Field Designations'!B17,"AAAAAH/efQE=")</f>
        <v>#VALUE!</v>
      </c>
      <c r="C74" t="e">
        <f>AND('Field Designations'!#REF!,"AAAAAH/efQI=")</f>
        <v>#REF!</v>
      </c>
      <c r="D74" t="e">
        <f>AND('Field Designations'!A17,"AAAAAH/efQM=")</f>
        <v>#VALUE!</v>
      </c>
      <c r="E74" t="e">
        <f>AND('Field Designations'!C17,"AAAAAH/efQQ=")</f>
        <v>#VALUE!</v>
      </c>
      <c r="F74" t="e">
        <f>AND('Field Designations'!#REF!,"AAAAAH/efQU=")</f>
        <v>#REF!</v>
      </c>
      <c r="G74" t="e">
        <f>AND('Field Designations'!E17,"AAAAAH/efQY=")</f>
        <v>#VALUE!</v>
      </c>
      <c r="H74" t="e">
        <f>AND('Field Designations'!#REF!,"AAAAAH/efQc=")</f>
        <v>#REF!</v>
      </c>
      <c r="I74" t="e">
        <f>AND('Field Designations'!F17,"AAAAAH/efQg=")</f>
        <v>#VALUE!</v>
      </c>
      <c r="J74" t="e">
        <f>AND('Field Designations'!#REF!,"AAAAAH/efQk=")</f>
        <v>#REF!</v>
      </c>
      <c r="K74" t="e">
        <f>AND('Field Designations'!G17,"AAAAAH/efQo=")</f>
        <v>#VALUE!</v>
      </c>
      <c r="L74" t="e">
        <f>AND('Field Designations'!#REF!,"AAAAAH/efQs=")</f>
        <v>#REF!</v>
      </c>
      <c r="M74" t="e">
        <f>AND('Field Designations'!#REF!,"AAAAAH/efQw=")</f>
        <v>#REF!</v>
      </c>
      <c r="N74" t="e">
        <f>AND('Field Designations'!#REF!,"AAAAAH/efQ0=")</f>
        <v>#REF!</v>
      </c>
      <c r="O74" t="e">
        <f>AND('Field Designations'!#REF!,"AAAAAH/efQ4=")</f>
        <v>#REF!</v>
      </c>
      <c r="P74" t="e">
        <f>AND('Field Designations'!#REF!,"AAAAAH/efQ8=")</f>
        <v>#REF!</v>
      </c>
      <c r="Q74" t="e">
        <f>AND('Field Designations'!#REF!,"AAAAAH/efRA=")</f>
        <v>#REF!</v>
      </c>
      <c r="R74" t="e">
        <f>AND('Field Designations'!#REF!,"AAAAAH/efRE=")</f>
        <v>#REF!</v>
      </c>
      <c r="S74" t="e">
        <f>AND('Field Designations'!#REF!,"AAAAAH/efRI=")</f>
        <v>#REF!</v>
      </c>
      <c r="T74" t="e">
        <f>AND('Field Designations'!#REF!,"AAAAAH/efRM=")</f>
        <v>#REF!</v>
      </c>
      <c r="U74" t="e">
        <f>AND('Field Designations'!#REF!,"AAAAAH/efRQ=")</f>
        <v>#REF!</v>
      </c>
      <c r="V74" t="e">
        <f>AND('Field Designations'!#REF!,"AAAAAH/efRU=")</f>
        <v>#REF!</v>
      </c>
      <c r="W74" t="e">
        <f>AND('Field Designations'!#REF!,"AAAAAH/efRY=")</f>
        <v>#REF!</v>
      </c>
      <c r="X74" t="e">
        <f>AND('Field Designations'!H17,"AAAAAH/efRc=")</f>
        <v>#VALUE!</v>
      </c>
      <c r="Y74">
        <f>IF('Field Designations'!18:18,"AAAAAH/efRg=",0)</f>
        <v>0</v>
      </c>
      <c r="Z74" t="e">
        <f>AND('Field Designations'!#REF!,"AAAAAH/efRk=")</f>
        <v>#REF!</v>
      </c>
      <c r="AA74" t="e">
        <f>AND('Field Designations'!B18,"AAAAAH/efRo=")</f>
        <v>#VALUE!</v>
      </c>
      <c r="AB74" t="e">
        <f>AND('Field Designations'!#REF!,"AAAAAH/efRs=")</f>
        <v>#REF!</v>
      </c>
      <c r="AC74" t="e">
        <f>AND('Field Designations'!A18,"AAAAAH/efRw=")</f>
        <v>#VALUE!</v>
      </c>
      <c r="AD74" t="e">
        <f>AND('Field Designations'!C18,"AAAAAH/efR0=")</f>
        <v>#VALUE!</v>
      </c>
      <c r="AE74" t="e">
        <f>AND('Field Designations'!#REF!,"AAAAAH/efR4=")</f>
        <v>#REF!</v>
      </c>
      <c r="AF74" t="e">
        <f>AND('Field Designations'!E18,"AAAAAH/efR8=")</f>
        <v>#VALUE!</v>
      </c>
      <c r="AG74" t="e">
        <f>AND('Field Designations'!#REF!,"AAAAAH/efSA=")</f>
        <v>#REF!</v>
      </c>
      <c r="AH74" t="e">
        <f>AND('Field Designations'!F18,"AAAAAH/efSE=")</f>
        <v>#VALUE!</v>
      </c>
      <c r="AI74" t="e">
        <f>AND('Field Designations'!#REF!,"AAAAAH/efSI=")</f>
        <v>#REF!</v>
      </c>
      <c r="AJ74" t="e">
        <f>AND('Field Designations'!G18,"AAAAAH/efSM=")</f>
        <v>#VALUE!</v>
      </c>
      <c r="AK74" t="e">
        <f>AND('Field Designations'!#REF!,"AAAAAH/efSQ=")</f>
        <v>#REF!</v>
      </c>
      <c r="AL74" t="e">
        <f>AND('Field Designations'!#REF!,"AAAAAH/efSU=")</f>
        <v>#REF!</v>
      </c>
      <c r="AM74" t="e">
        <f>AND('Field Designations'!#REF!,"AAAAAH/efSY=")</f>
        <v>#REF!</v>
      </c>
      <c r="AN74" t="e">
        <f>AND('Field Designations'!#REF!,"AAAAAH/efSc=")</f>
        <v>#REF!</v>
      </c>
      <c r="AO74" t="e">
        <f>AND('Field Designations'!#REF!,"AAAAAH/efSg=")</f>
        <v>#REF!</v>
      </c>
      <c r="AP74" t="e">
        <f>AND('Field Designations'!#REF!,"AAAAAH/efSk=")</f>
        <v>#REF!</v>
      </c>
      <c r="AQ74" t="e">
        <f>AND('Field Designations'!#REF!,"AAAAAH/efSo=")</f>
        <v>#REF!</v>
      </c>
      <c r="AR74" t="e">
        <f>AND('Field Designations'!#REF!,"AAAAAH/efSs=")</f>
        <v>#REF!</v>
      </c>
      <c r="AS74" t="e">
        <f>AND('Field Designations'!#REF!,"AAAAAH/efSw=")</f>
        <v>#REF!</v>
      </c>
      <c r="AT74" t="e">
        <f>AND('Field Designations'!#REF!,"AAAAAH/efS0=")</f>
        <v>#REF!</v>
      </c>
      <c r="AU74" t="e">
        <f>AND('Field Designations'!#REF!,"AAAAAH/efS4=")</f>
        <v>#REF!</v>
      </c>
      <c r="AV74" t="e">
        <f>AND('Field Designations'!#REF!,"AAAAAH/efS8=")</f>
        <v>#REF!</v>
      </c>
      <c r="AW74" t="e">
        <f>AND('Field Designations'!H18,"AAAAAH/efTA=")</f>
        <v>#VALUE!</v>
      </c>
      <c r="AX74">
        <f>IF('Field Designations'!19:19,"AAAAAH/efTE=",0)</f>
        <v>0</v>
      </c>
      <c r="AY74" t="e">
        <f>AND('Field Designations'!#REF!,"AAAAAH/efTI=")</f>
        <v>#REF!</v>
      </c>
      <c r="AZ74" t="e">
        <f>AND('Field Designations'!B19,"AAAAAH/efTM=")</f>
        <v>#VALUE!</v>
      </c>
      <c r="BA74" t="e">
        <f>AND('Field Designations'!#REF!,"AAAAAH/efTQ=")</f>
        <v>#REF!</v>
      </c>
      <c r="BB74" t="e">
        <f>AND('Field Designations'!A19,"AAAAAH/efTU=")</f>
        <v>#VALUE!</v>
      </c>
      <c r="BC74" t="e">
        <f>AND('Field Designations'!C19,"AAAAAH/efTY=")</f>
        <v>#VALUE!</v>
      </c>
      <c r="BD74" t="e">
        <f>AND('Field Designations'!#REF!,"AAAAAH/efTc=")</f>
        <v>#REF!</v>
      </c>
      <c r="BE74" t="e">
        <f>AND('Field Designations'!E19,"AAAAAH/efTg=")</f>
        <v>#VALUE!</v>
      </c>
      <c r="BF74" t="e">
        <f>AND('Field Designations'!#REF!,"AAAAAH/efTk=")</f>
        <v>#REF!</v>
      </c>
      <c r="BG74" t="e">
        <f>AND('Field Designations'!F19,"AAAAAH/efTo=")</f>
        <v>#VALUE!</v>
      </c>
      <c r="BH74" t="e">
        <f>AND('Field Designations'!#REF!,"AAAAAH/efTs=")</f>
        <v>#REF!</v>
      </c>
      <c r="BI74" t="e">
        <f>AND('Field Designations'!G19,"AAAAAH/efTw=")</f>
        <v>#VALUE!</v>
      </c>
      <c r="BJ74" t="e">
        <f>AND('Field Designations'!#REF!,"AAAAAH/efT0=")</f>
        <v>#REF!</v>
      </c>
      <c r="BK74" t="e">
        <f>AND('Field Designations'!#REF!,"AAAAAH/efT4=")</f>
        <v>#REF!</v>
      </c>
      <c r="BL74" t="e">
        <f>AND('Field Designations'!#REF!,"AAAAAH/efT8=")</f>
        <v>#REF!</v>
      </c>
      <c r="BM74" t="e">
        <f>AND('Field Designations'!#REF!,"AAAAAH/efUA=")</f>
        <v>#REF!</v>
      </c>
      <c r="BN74" t="e">
        <f>AND('Field Designations'!#REF!,"AAAAAH/efUE=")</f>
        <v>#REF!</v>
      </c>
      <c r="BO74" t="e">
        <f>AND('Field Designations'!#REF!,"AAAAAH/efUI=")</f>
        <v>#REF!</v>
      </c>
      <c r="BP74" t="e">
        <f>AND('Field Designations'!#REF!,"AAAAAH/efUM=")</f>
        <v>#REF!</v>
      </c>
      <c r="BQ74" t="e">
        <f>AND('Field Designations'!#REF!,"AAAAAH/efUQ=")</f>
        <v>#REF!</v>
      </c>
      <c r="BR74" t="e">
        <f>AND('Field Designations'!#REF!,"AAAAAH/efUU=")</f>
        <v>#REF!</v>
      </c>
      <c r="BS74" t="e">
        <f>AND('Field Designations'!#REF!,"AAAAAH/efUY=")</f>
        <v>#REF!</v>
      </c>
      <c r="BT74" t="e">
        <f>AND('Field Designations'!#REF!,"AAAAAH/efUc=")</f>
        <v>#REF!</v>
      </c>
      <c r="BU74" t="e">
        <f>AND('Field Designations'!#REF!,"AAAAAH/efUg=")</f>
        <v>#REF!</v>
      </c>
      <c r="BV74" t="e">
        <f>AND('Field Designations'!H19,"AAAAAH/efUk=")</f>
        <v>#VALUE!</v>
      </c>
      <c r="BW74">
        <f>IF('Field Designations'!20:20,"AAAAAH/efUo=",0)</f>
        <v>0</v>
      </c>
      <c r="BX74" t="e">
        <f>AND('Field Designations'!#REF!,"AAAAAH/efUs=")</f>
        <v>#REF!</v>
      </c>
      <c r="BY74" t="e">
        <f>AND('Field Designations'!B20,"AAAAAH/efUw=")</f>
        <v>#VALUE!</v>
      </c>
      <c r="BZ74" t="e">
        <f>AND('Field Designations'!#REF!,"AAAAAH/efU0=")</f>
        <v>#REF!</v>
      </c>
      <c r="CA74" t="e">
        <f>AND('Field Designations'!A20,"AAAAAH/efU4=")</f>
        <v>#VALUE!</v>
      </c>
      <c r="CB74" t="e">
        <f>AND('Field Designations'!C20,"AAAAAH/efU8=")</f>
        <v>#VALUE!</v>
      </c>
      <c r="CC74" t="e">
        <f>AND('Field Designations'!#REF!,"AAAAAH/efVA=")</f>
        <v>#REF!</v>
      </c>
      <c r="CD74" t="e">
        <f>AND('Field Designations'!E20,"AAAAAH/efVE=")</f>
        <v>#VALUE!</v>
      </c>
      <c r="CE74" t="e">
        <f>AND('Field Designations'!#REF!,"AAAAAH/efVI=")</f>
        <v>#REF!</v>
      </c>
      <c r="CF74" t="e">
        <f>AND('Field Designations'!F20,"AAAAAH/efVM=")</f>
        <v>#VALUE!</v>
      </c>
      <c r="CG74" t="e">
        <f>AND('Field Designations'!#REF!,"AAAAAH/efVQ=")</f>
        <v>#REF!</v>
      </c>
      <c r="CH74" t="e">
        <f>AND('Field Designations'!G20,"AAAAAH/efVU=")</f>
        <v>#VALUE!</v>
      </c>
      <c r="CI74" t="e">
        <f>AND('Field Designations'!#REF!,"AAAAAH/efVY=")</f>
        <v>#REF!</v>
      </c>
      <c r="CJ74" t="e">
        <f>AND('Field Designations'!#REF!,"AAAAAH/efVc=")</f>
        <v>#REF!</v>
      </c>
      <c r="CK74" t="e">
        <f>AND('Field Designations'!#REF!,"AAAAAH/efVg=")</f>
        <v>#REF!</v>
      </c>
      <c r="CL74" t="e">
        <f>AND('Field Designations'!#REF!,"AAAAAH/efVk=")</f>
        <v>#REF!</v>
      </c>
      <c r="CM74" t="e">
        <f>AND('Field Designations'!#REF!,"AAAAAH/efVo=")</f>
        <v>#REF!</v>
      </c>
      <c r="CN74" t="e">
        <f>AND('Field Designations'!#REF!,"AAAAAH/efVs=")</f>
        <v>#REF!</v>
      </c>
      <c r="CO74" t="e">
        <f>AND('Field Designations'!#REF!,"AAAAAH/efVw=")</f>
        <v>#REF!</v>
      </c>
      <c r="CP74" t="e">
        <f>AND('Field Designations'!#REF!,"AAAAAH/efV0=")</f>
        <v>#REF!</v>
      </c>
      <c r="CQ74" t="e">
        <f>AND('Field Designations'!#REF!,"AAAAAH/efV4=")</f>
        <v>#REF!</v>
      </c>
      <c r="CR74" t="e">
        <f>AND('Field Designations'!#REF!,"AAAAAH/efV8=")</f>
        <v>#REF!</v>
      </c>
      <c r="CS74" t="e">
        <f>AND('Field Designations'!#REF!,"AAAAAH/efWA=")</f>
        <v>#REF!</v>
      </c>
      <c r="CT74" t="e">
        <f>AND('Field Designations'!#REF!,"AAAAAH/efWE=")</f>
        <v>#REF!</v>
      </c>
      <c r="CU74" t="e">
        <f>AND('Field Designations'!H20,"AAAAAH/efWI=")</f>
        <v>#VALUE!</v>
      </c>
      <c r="CV74" t="e">
        <f>IF('Field Designations'!#REF!,"AAAAAH/efWM=",0)</f>
        <v>#REF!</v>
      </c>
      <c r="CW74" t="e">
        <f>AND('Field Designations'!#REF!,"AAAAAH/efWQ=")</f>
        <v>#REF!</v>
      </c>
      <c r="CX74" t="e">
        <f>AND('Field Designations'!#REF!,"AAAAAH/efWU=")</f>
        <v>#REF!</v>
      </c>
      <c r="CY74" t="e">
        <f>AND('Field Designations'!#REF!,"AAAAAH/efWY=")</f>
        <v>#REF!</v>
      </c>
      <c r="CZ74" t="e">
        <f>AND('Field Designations'!#REF!,"AAAAAH/efWc=")</f>
        <v>#REF!</v>
      </c>
      <c r="DA74" t="e">
        <f>AND('Field Designations'!#REF!,"AAAAAH/efWg=")</f>
        <v>#REF!</v>
      </c>
      <c r="DB74" t="e">
        <f>AND('Field Designations'!#REF!,"AAAAAH/efWk=")</f>
        <v>#REF!</v>
      </c>
      <c r="DC74" t="e">
        <f>AND('Field Designations'!#REF!,"AAAAAH/efWo=")</f>
        <v>#REF!</v>
      </c>
      <c r="DD74" t="e">
        <f>AND('Field Designations'!#REF!,"AAAAAH/efWs=")</f>
        <v>#REF!</v>
      </c>
      <c r="DE74" t="e">
        <f>AND('Field Designations'!#REF!,"AAAAAH/efWw=")</f>
        <v>#REF!</v>
      </c>
      <c r="DF74" t="e">
        <f>AND('Field Designations'!#REF!,"AAAAAH/efW0=")</f>
        <v>#REF!</v>
      </c>
      <c r="DG74" t="e">
        <f>AND('Field Designations'!#REF!,"AAAAAH/efW4=")</f>
        <v>#REF!</v>
      </c>
      <c r="DH74" t="e">
        <f>AND('Field Designations'!#REF!,"AAAAAH/efW8=")</f>
        <v>#REF!</v>
      </c>
      <c r="DI74" t="e">
        <f>AND('Field Designations'!#REF!,"AAAAAH/efXA=")</f>
        <v>#REF!</v>
      </c>
      <c r="DJ74" t="e">
        <f>AND('Field Designations'!#REF!,"AAAAAH/efXE=")</f>
        <v>#REF!</v>
      </c>
      <c r="DK74" t="e">
        <f>AND('Field Designations'!#REF!,"AAAAAH/efXI=")</f>
        <v>#REF!</v>
      </c>
      <c r="DL74" t="e">
        <f>AND('Field Designations'!#REF!,"AAAAAH/efXM=")</f>
        <v>#REF!</v>
      </c>
      <c r="DM74" t="e">
        <f>AND('Field Designations'!#REF!,"AAAAAH/efXQ=")</f>
        <v>#REF!</v>
      </c>
      <c r="DN74" t="e">
        <f>AND('Field Designations'!#REF!,"AAAAAH/efXU=")</f>
        <v>#REF!</v>
      </c>
      <c r="DO74" t="e">
        <f>AND('Field Designations'!#REF!,"AAAAAH/efXY=")</f>
        <v>#REF!</v>
      </c>
      <c r="DP74" t="e">
        <f>AND('Field Designations'!#REF!,"AAAAAH/efXc=")</f>
        <v>#REF!</v>
      </c>
      <c r="DQ74" t="e">
        <f>AND('Field Designations'!#REF!,"AAAAAH/efXg=")</f>
        <v>#REF!</v>
      </c>
      <c r="DR74" t="e">
        <f>AND('Field Designations'!#REF!,"AAAAAH/efXk=")</f>
        <v>#REF!</v>
      </c>
      <c r="DS74" t="e">
        <f>AND('Field Designations'!#REF!,"AAAAAH/efXo=")</f>
        <v>#REF!</v>
      </c>
      <c r="DT74" t="e">
        <f>AND('Field Designations'!#REF!,"AAAAAH/efXs=")</f>
        <v>#REF!</v>
      </c>
      <c r="DU74">
        <f>IF('Field Designations'!21:21,"AAAAAH/efXw=",0)</f>
        <v>0</v>
      </c>
      <c r="DV74" t="e">
        <f>AND('Field Designations'!#REF!,"AAAAAH/efX0=")</f>
        <v>#REF!</v>
      </c>
      <c r="DW74" t="e">
        <f>AND('Field Designations'!B21,"AAAAAH/efX4=")</f>
        <v>#VALUE!</v>
      </c>
      <c r="DX74" t="e">
        <f>AND('Field Designations'!#REF!,"AAAAAH/efX8=")</f>
        <v>#REF!</v>
      </c>
      <c r="DY74" t="e">
        <f>AND('Field Designations'!A21,"AAAAAH/efYA=")</f>
        <v>#VALUE!</v>
      </c>
      <c r="DZ74" t="e">
        <f>AND('Field Designations'!C21,"AAAAAH/efYE=")</f>
        <v>#VALUE!</v>
      </c>
      <c r="EA74" t="e">
        <f>AND('Field Designations'!#REF!,"AAAAAH/efYI=")</f>
        <v>#REF!</v>
      </c>
      <c r="EB74" t="e">
        <f>AND('Field Designations'!E21,"AAAAAH/efYM=")</f>
        <v>#VALUE!</v>
      </c>
      <c r="EC74" t="e">
        <f>AND('Field Designations'!#REF!,"AAAAAH/efYQ=")</f>
        <v>#REF!</v>
      </c>
      <c r="ED74" t="e">
        <f>AND('Field Designations'!F21,"AAAAAH/efYU=")</f>
        <v>#VALUE!</v>
      </c>
      <c r="EE74" t="e">
        <f>AND('Field Designations'!#REF!,"AAAAAH/efYY=")</f>
        <v>#REF!</v>
      </c>
      <c r="EF74" t="e">
        <f>AND('Field Designations'!G21,"AAAAAH/efYc=")</f>
        <v>#VALUE!</v>
      </c>
      <c r="EG74" t="e">
        <f>AND('Field Designations'!#REF!,"AAAAAH/efYg=")</f>
        <v>#REF!</v>
      </c>
      <c r="EH74" t="e">
        <f>AND('Field Designations'!#REF!,"AAAAAH/efYk=")</f>
        <v>#REF!</v>
      </c>
      <c r="EI74" t="e">
        <f>AND('Field Designations'!#REF!,"AAAAAH/efYo=")</f>
        <v>#REF!</v>
      </c>
      <c r="EJ74" t="e">
        <f>AND('Field Designations'!#REF!,"AAAAAH/efYs=")</f>
        <v>#REF!</v>
      </c>
      <c r="EK74" t="e">
        <f>AND('Field Designations'!#REF!,"AAAAAH/efYw=")</f>
        <v>#REF!</v>
      </c>
      <c r="EL74" t="e">
        <f>AND('Field Designations'!#REF!,"AAAAAH/efY0=")</f>
        <v>#REF!</v>
      </c>
      <c r="EM74" t="e">
        <f>AND('Field Designations'!#REF!,"AAAAAH/efY4=")</f>
        <v>#REF!</v>
      </c>
      <c r="EN74" t="e">
        <f>AND('Field Designations'!#REF!,"AAAAAH/efY8=")</f>
        <v>#REF!</v>
      </c>
      <c r="EO74" t="e">
        <f>AND('Field Designations'!#REF!,"AAAAAH/efZA=")</f>
        <v>#REF!</v>
      </c>
      <c r="EP74" t="e">
        <f>AND('Field Designations'!#REF!,"AAAAAH/efZE=")</f>
        <v>#REF!</v>
      </c>
      <c r="EQ74" t="e">
        <f>AND('Field Designations'!#REF!,"AAAAAH/efZI=")</f>
        <v>#REF!</v>
      </c>
      <c r="ER74" t="e">
        <f>AND('Field Designations'!#REF!,"AAAAAH/efZM=")</f>
        <v>#REF!</v>
      </c>
      <c r="ES74" t="e">
        <f>AND('Field Designations'!H21,"AAAAAH/efZQ=")</f>
        <v>#VALUE!</v>
      </c>
      <c r="ET74">
        <f>IF('Field Designations'!22:22,"AAAAAH/efZU=",0)</f>
        <v>0</v>
      </c>
      <c r="EU74" t="e">
        <f>AND('Field Designations'!#REF!,"AAAAAH/efZY=")</f>
        <v>#REF!</v>
      </c>
      <c r="EV74" t="e">
        <f>AND('Field Designations'!B22,"AAAAAH/efZc=")</f>
        <v>#VALUE!</v>
      </c>
      <c r="EW74" t="e">
        <f>AND('Field Designations'!#REF!,"AAAAAH/efZg=")</f>
        <v>#REF!</v>
      </c>
      <c r="EX74" t="e">
        <f>AND('Field Designations'!A22,"AAAAAH/efZk=")</f>
        <v>#VALUE!</v>
      </c>
      <c r="EY74" t="e">
        <f>AND('Field Designations'!C22,"AAAAAH/efZo=")</f>
        <v>#VALUE!</v>
      </c>
      <c r="EZ74" t="e">
        <f>AND('Field Designations'!#REF!,"AAAAAH/efZs=")</f>
        <v>#REF!</v>
      </c>
      <c r="FA74" t="e">
        <f>AND('Field Designations'!E22,"AAAAAH/efZw=")</f>
        <v>#VALUE!</v>
      </c>
      <c r="FB74" t="e">
        <f>AND('Field Designations'!#REF!,"AAAAAH/efZ0=")</f>
        <v>#REF!</v>
      </c>
      <c r="FC74" t="e">
        <f>AND('Field Designations'!F22,"AAAAAH/efZ4=")</f>
        <v>#VALUE!</v>
      </c>
      <c r="FD74" t="e">
        <f>AND('Field Designations'!#REF!,"AAAAAH/efZ8=")</f>
        <v>#REF!</v>
      </c>
      <c r="FE74" t="e">
        <f>AND('Field Designations'!G22,"AAAAAH/efaA=")</f>
        <v>#VALUE!</v>
      </c>
      <c r="FF74" t="e">
        <f>AND('Field Designations'!#REF!,"AAAAAH/efaE=")</f>
        <v>#REF!</v>
      </c>
      <c r="FG74" t="e">
        <f>AND('Field Designations'!#REF!,"AAAAAH/efaI=")</f>
        <v>#REF!</v>
      </c>
      <c r="FH74" t="e">
        <f>AND('Field Designations'!#REF!,"AAAAAH/efaM=")</f>
        <v>#REF!</v>
      </c>
      <c r="FI74" t="e">
        <f>AND('Field Designations'!#REF!,"AAAAAH/efaQ=")</f>
        <v>#REF!</v>
      </c>
      <c r="FJ74" t="e">
        <f>AND('Field Designations'!#REF!,"AAAAAH/efaU=")</f>
        <v>#REF!</v>
      </c>
      <c r="FK74" t="e">
        <f>AND('Field Designations'!#REF!,"AAAAAH/efaY=")</f>
        <v>#REF!</v>
      </c>
      <c r="FL74" t="e">
        <f>AND('Field Designations'!#REF!,"AAAAAH/efac=")</f>
        <v>#REF!</v>
      </c>
      <c r="FM74" t="e">
        <f>AND('Field Designations'!#REF!,"AAAAAH/efag=")</f>
        <v>#REF!</v>
      </c>
      <c r="FN74" t="e">
        <f>AND('Field Designations'!#REF!,"AAAAAH/efak=")</f>
        <v>#REF!</v>
      </c>
      <c r="FO74" t="e">
        <f>AND('Field Designations'!#REF!,"AAAAAH/efao=")</f>
        <v>#REF!</v>
      </c>
      <c r="FP74" t="e">
        <f>AND('Field Designations'!#REF!,"AAAAAH/efas=")</f>
        <v>#REF!</v>
      </c>
      <c r="FQ74" t="e">
        <f>AND('Field Designations'!#REF!,"AAAAAH/efaw=")</f>
        <v>#REF!</v>
      </c>
      <c r="FR74" t="e">
        <f>AND('Field Designations'!H22,"AAAAAH/efa0=")</f>
        <v>#VALUE!</v>
      </c>
      <c r="FS74" t="e">
        <f>IF('Field Designations'!#REF!,"AAAAAH/efa4=",0)</f>
        <v>#REF!</v>
      </c>
      <c r="FT74" t="e">
        <f>AND('Field Designations'!#REF!,"AAAAAH/efa8=")</f>
        <v>#REF!</v>
      </c>
      <c r="FU74" t="e">
        <f>AND('Field Designations'!#REF!,"AAAAAH/efbA=")</f>
        <v>#REF!</v>
      </c>
      <c r="FV74" t="e">
        <f>AND('Field Designations'!#REF!,"AAAAAH/efbE=")</f>
        <v>#REF!</v>
      </c>
      <c r="FW74" t="e">
        <f>AND('Field Designations'!#REF!,"AAAAAH/efbI=")</f>
        <v>#REF!</v>
      </c>
      <c r="FX74" t="e">
        <f>AND('Field Designations'!#REF!,"AAAAAH/efbM=")</f>
        <v>#REF!</v>
      </c>
      <c r="FY74" t="e">
        <f>AND('Field Designations'!#REF!,"AAAAAH/efbQ=")</f>
        <v>#REF!</v>
      </c>
      <c r="FZ74" t="e">
        <f>AND('Field Designations'!#REF!,"AAAAAH/efbU=")</f>
        <v>#REF!</v>
      </c>
      <c r="GA74" t="e">
        <f>AND('Field Designations'!#REF!,"AAAAAH/efbY=")</f>
        <v>#REF!</v>
      </c>
      <c r="GB74" t="e">
        <f>AND('Field Designations'!#REF!,"AAAAAH/efbc=")</f>
        <v>#REF!</v>
      </c>
      <c r="GC74" t="e">
        <f>AND('Field Designations'!#REF!,"AAAAAH/efbg=")</f>
        <v>#REF!</v>
      </c>
      <c r="GD74" t="e">
        <f>AND('Field Designations'!#REF!,"AAAAAH/efbk=")</f>
        <v>#REF!</v>
      </c>
      <c r="GE74" t="e">
        <f>AND('Field Designations'!#REF!,"AAAAAH/efbo=")</f>
        <v>#REF!</v>
      </c>
      <c r="GF74" t="e">
        <f>AND('Field Designations'!#REF!,"AAAAAH/efbs=")</f>
        <v>#REF!</v>
      </c>
      <c r="GG74" t="e">
        <f>AND('Field Designations'!#REF!,"AAAAAH/efbw=")</f>
        <v>#REF!</v>
      </c>
      <c r="GH74" t="e">
        <f>AND('Field Designations'!#REF!,"AAAAAH/efb0=")</f>
        <v>#REF!</v>
      </c>
      <c r="GI74" t="e">
        <f>AND('Field Designations'!#REF!,"AAAAAH/efb4=")</f>
        <v>#REF!</v>
      </c>
      <c r="GJ74" t="e">
        <f>AND('Field Designations'!#REF!,"AAAAAH/efb8=")</f>
        <v>#REF!</v>
      </c>
      <c r="GK74" t="e">
        <f>AND('Field Designations'!#REF!,"AAAAAH/efcA=")</f>
        <v>#REF!</v>
      </c>
      <c r="GL74" t="e">
        <f>AND('Field Designations'!#REF!,"AAAAAH/efcE=")</f>
        <v>#REF!</v>
      </c>
      <c r="GM74" t="e">
        <f>AND('Field Designations'!#REF!,"AAAAAH/efcI=")</f>
        <v>#REF!</v>
      </c>
      <c r="GN74" t="e">
        <f>AND('Field Designations'!#REF!,"AAAAAH/efcM=")</f>
        <v>#REF!</v>
      </c>
      <c r="GO74" t="e">
        <f>AND('Field Designations'!#REF!,"AAAAAH/efcQ=")</f>
        <v>#REF!</v>
      </c>
      <c r="GP74" t="e">
        <f>AND('Field Designations'!#REF!,"AAAAAH/efcU=")</f>
        <v>#REF!</v>
      </c>
      <c r="GQ74" t="e">
        <f>AND('Field Designations'!#REF!,"AAAAAH/efcY=")</f>
        <v>#REF!</v>
      </c>
      <c r="GR74">
        <f>IF('Field Designations'!23:23,"AAAAAH/efcc=",0)</f>
        <v>0</v>
      </c>
      <c r="GS74" t="e">
        <f>AND('Field Designations'!#REF!,"AAAAAH/efcg=")</f>
        <v>#REF!</v>
      </c>
      <c r="GT74" t="e">
        <f>AND('Field Designations'!B23,"AAAAAH/efck=")</f>
        <v>#VALUE!</v>
      </c>
      <c r="GU74" t="e">
        <f>AND('Field Designations'!#REF!,"AAAAAH/efco=")</f>
        <v>#REF!</v>
      </c>
      <c r="GV74" t="e">
        <f>AND('Field Designations'!A23,"AAAAAH/efcs=")</f>
        <v>#VALUE!</v>
      </c>
      <c r="GW74" t="e">
        <f>AND('Field Designations'!C23,"AAAAAH/efcw=")</f>
        <v>#VALUE!</v>
      </c>
      <c r="GX74" t="e">
        <f>AND('Field Designations'!#REF!,"AAAAAH/efc0=")</f>
        <v>#REF!</v>
      </c>
      <c r="GY74" t="e">
        <f>AND('Field Designations'!E23,"AAAAAH/efc4=")</f>
        <v>#VALUE!</v>
      </c>
      <c r="GZ74" t="e">
        <f>AND('Field Designations'!#REF!,"AAAAAH/efc8=")</f>
        <v>#REF!</v>
      </c>
      <c r="HA74" t="e">
        <f>AND('Field Designations'!F23,"AAAAAH/efdA=")</f>
        <v>#VALUE!</v>
      </c>
      <c r="HB74" t="e">
        <f>AND('Field Designations'!#REF!,"AAAAAH/efdE=")</f>
        <v>#REF!</v>
      </c>
      <c r="HC74" t="e">
        <f>AND('Field Designations'!G23,"AAAAAH/efdI=")</f>
        <v>#VALUE!</v>
      </c>
      <c r="HD74" t="e">
        <f>AND('Field Designations'!#REF!,"AAAAAH/efdM=")</f>
        <v>#REF!</v>
      </c>
      <c r="HE74" t="e">
        <f>AND('Field Designations'!#REF!,"AAAAAH/efdQ=")</f>
        <v>#REF!</v>
      </c>
      <c r="HF74" t="e">
        <f>AND('Field Designations'!#REF!,"AAAAAH/efdU=")</f>
        <v>#REF!</v>
      </c>
      <c r="HG74" t="e">
        <f>AND('Field Designations'!#REF!,"AAAAAH/efdY=")</f>
        <v>#REF!</v>
      </c>
      <c r="HH74" t="e">
        <f>AND('Field Designations'!#REF!,"AAAAAH/efdc=")</f>
        <v>#REF!</v>
      </c>
      <c r="HI74" t="e">
        <f>AND('Field Designations'!#REF!,"AAAAAH/efdg=")</f>
        <v>#REF!</v>
      </c>
      <c r="HJ74" t="e">
        <f>AND('Field Designations'!#REF!,"AAAAAH/efdk=")</f>
        <v>#REF!</v>
      </c>
      <c r="HK74" t="e">
        <f>AND('Field Designations'!#REF!,"AAAAAH/efdo=")</f>
        <v>#REF!</v>
      </c>
      <c r="HL74" t="e">
        <f>AND('Field Designations'!#REF!,"AAAAAH/efds=")</f>
        <v>#REF!</v>
      </c>
      <c r="HM74" t="e">
        <f>AND('Field Designations'!#REF!,"AAAAAH/efdw=")</f>
        <v>#REF!</v>
      </c>
      <c r="HN74" t="e">
        <f>AND('Field Designations'!#REF!,"AAAAAH/efd0=")</f>
        <v>#REF!</v>
      </c>
      <c r="HO74" t="e">
        <f>AND('Field Designations'!#REF!,"AAAAAH/efd4=")</f>
        <v>#REF!</v>
      </c>
      <c r="HP74" t="e">
        <f>AND('Field Designations'!H23,"AAAAAH/efd8=")</f>
        <v>#VALUE!</v>
      </c>
      <c r="HQ74">
        <f>IF('Field Designations'!24:24,"AAAAAH/efeA=",0)</f>
        <v>0</v>
      </c>
      <c r="HR74" t="e">
        <f>AND('Field Designations'!#REF!,"AAAAAH/efeE=")</f>
        <v>#REF!</v>
      </c>
      <c r="HS74" t="e">
        <f>AND('Field Designations'!B24,"AAAAAH/efeI=")</f>
        <v>#VALUE!</v>
      </c>
      <c r="HT74" t="e">
        <f>AND('Field Designations'!#REF!,"AAAAAH/efeM=")</f>
        <v>#REF!</v>
      </c>
      <c r="HU74" t="e">
        <f>AND('Field Designations'!A24,"AAAAAH/efeQ=")</f>
        <v>#VALUE!</v>
      </c>
      <c r="HV74" t="e">
        <f>AND('Field Designations'!C24,"AAAAAH/efeU=")</f>
        <v>#VALUE!</v>
      </c>
      <c r="HW74" t="e">
        <f>AND('Field Designations'!#REF!,"AAAAAH/efeY=")</f>
        <v>#REF!</v>
      </c>
      <c r="HX74" t="e">
        <f>AND('Field Designations'!E24,"AAAAAH/efec=")</f>
        <v>#VALUE!</v>
      </c>
      <c r="HY74" t="e">
        <f>AND('Field Designations'!#REF!,"AAAAAH/efeg=")</f>
        <v>#REF!</v>
      </c>
      <c r="HZ74" t="e">
        <f>AND('Field Designations'!F24,"AAAAAH/efek=")</f>
        <v>#VALUE!</v>
      </c>
      <c r="IA74" t="e">
        <f>AND('Field Designations'!#REF!,"AAAAAH/efeo=")</f>
        <v>#REF!</v>
      </c>
      <c r="IB74" t="e">
        <f>AND('Field Designations'!G24,"AAAAAH/efes=")</f>
        <v>#VALUE!</v>
      </c>
      <c r="IC74" t="e">
        <f>AND('Field Designations'!#REF!,"AAAAAH/efew=")</f>
        <v>#REF!</v>
      </c>
      <c r="ID74" t="e">
        <f>AND('Field Designations'!#REF!,"AAAAAH/efe0=")</f>
        <v>#REF!</v>
      </c>
      <c r="IE74" t="e">
        <f>AND('Field Designations'!#REF!,"AAAAAH/efe4=")</f>
        <v>#REF!</v>
      </c>
      <c r="IF74" t="e">
        <f>AND('Field Designations'!#REF!,"AAAAAH/efe8=")</f>
        <v>#REF!</v>
      </c>
      <c r="IG74" t="e">
        <f>AND('Field Designations'!#REF!,"AAAAAH/effA=")</f>
        <v>#REF!</v>
      </c>
      <c r="IH74" t="e">
        <f>AND('Field Designations'!#REF!,"AAAAAH/effE=")</f>
        <v>#REF!</v>
      </c>
      <c r="II74" t="e">
        <f>AND('Field Designations'!#REF!,"AAAAAH/effI=")</f>
        <v>#REF!</v>
      </c>
      <c r="IJ74" t="e">
        <f>AND('Field Designations'!#REF!,"AAAAAH/effM=")</f>
        <v>#REF!</v>
      </c>
      <c r="IK74" t="e">
        <f>AND('Field Designations'!#REF!,"AAAAAH/effQ=")</f>
        <v>#REF!</v>
      </c>
      <c r="IL74" t="e">
        <f>AND('Field Designations'!#REF!,"AAAAAH/effU=")</f>
        <v>#REF!</v>
      </c>
      <c r="IM74" t="e">
        <f>AND('Field Designations'!#REF!,"AAAAAH/effY=")</f>
        <v>#REF!</v>
      </c>
      <c r="IN74" t="e">
        <f>AND('Field Designations'!#REF!,"AAAAAH/effc=")</f>
        <v>#REF!</v>
      </c>
      <c r="IO74" t="e">
        <f>AND('Field Designations'!#REF!,"AAAAAH/effg=")</f>
        <v>#REF!</v>
      </c>
      <c r="IP74">
        <f>IF('Field Designations'!25:25,"AAAAAH/effk=",0)</f>
        <v>0</v>
      </c>
      <c r="IQ74" t="e">
        <f>AND('Field Designations'!#REF!,"AAAAAH/effo=")</f>
        <v>#REF!</v>
      </c>
      <c r="IR74" t="e">
        <f>AND('Field Designations'!B25,"AAAAAH/effs=")</f>
        <v>#VALUE!</v>
      </c>
      <c r="IS74" t="e">
        <f>AND('Field Designations'!#REF!,"AAAAAH/effw=")</f>
        <v>#REF!</v>
      </c>
      <c r="IT74" t="e">
        <f>AND('Field Designations'!A25,"AAAAAH/eff0=")</f>
        <v>#VALUE!</v>
      </c>
      <c r="IU74" t="e">
        <f>AND('Field Designations'!C25,"AAAAAH/eff4=")</f>
        <v>#VALUE!</v>
      </c>
      <c r="IV74" t="e">
        <f>AND('Field Designations'!#REF!,"AAAAAH/eff8=")</f>
        <v>#REF!</v>
      </c>
    </row>
    <row r="75" spans="1:256" x14ac:dyDescent="0.2">
      <c r="A75" t="e">
        <f>AND('Field Designations'!E25,"AAAAAG7zHwA=")</f>
        <v>#VALUE!</v>
      </c>
      <c r="B75" t="e">
        <f>AND('Field Designations'!#REF!,"AAAAAG7zHwE=")</f>
        <v>#REF!</v>
      </c>
      <c r="C75" t="e">
        <f>AND('Field Designations'!F25,"AAAAAG7zHwI=")</f>
        <v>#VALUE!</v>
      </c>
      <c r="D75" t="e">
        <f>AND('Field Designations'!#REF!,"AAAAAG7zHwM=")</f>
        <v>#REF!</v>
      </c>
      <c r="E75" t="e">
        <f>AND('Field Designations'!G25,"AAAAAG7zHwQ=")</f>
        <v>#VALUE!</v>
      </c>
      <c r="F75" t="e">
        <f>AND('Field Designations'!#REF!,"AAAAAG7zHwU=")</f>
        <v>#REF!</v>
      </c>
      <c r="G75" t="e">
        <f>AND('Field Designations'!#REF!,"AAAAAG7zHwY=")</f>
        <v>#REF!</v>
      </c>
      <c r="H75" t="e">
        <f>AND('Field Designations'!#REF!,"AAAAAG7zHwc=")</f>
        <v>#REF!</v>
      </c>
      <c r="I75" t="e">
        <f>AND('Field Designations'!#REF!,"AAAAAG7zHwg=")</f>
        <v>#REF!</v>
      </c>
      <c r="J75" t="e">
        <f>AND('Field Designations'!#REF!,"AAAAAG7zHwk=")</f>
        <v>#REF!</v>
      </c>
      <c r="K75" t="e">
        <f>AND('Field Designations'!#REF!,"AAAAAG7zHwo=")</f>
        <v>#REF!</v>
      </c>
      <c r="L75" t="e">
        <f>AND('Field Designations'!#REF!,"AAAAAG7zHws=")</f>
        <v>#REF!</v>
      </c>
      <c r="M75" t="e">
        <f>AND('Field Designations'!#REF!,"AAAAAG7zHww=")</f>
        <v>#REF!</v>
      </c>
      <c r="N75" t="e">
        <f>AND('Field Designations'!#REF!,"AAAAAG7zHw0=")</f>
        <v>#REF!</v>
      </c>
      <c r="O75" t="e">
        <f>AND('Field Designations'!#REF!,"AAAAAG7zHw4=")</f>
        <v>#REF!</v>
      </c>
      <c r="P75" t="e">
        <f>AND('Field Designations'!#REF!,"AAAAAG7zHw8=")</f>
        <v>#REF!</v>
      </c>
      <c r="Q75" t="e">
        <f>AND('Field Designations'!#REF!,"AAAAAG7zHxA=")</f>
        <v>#REF!</v>
      </c>
      <c r="R75" t="e">
        <f>AND('Field Designations'!H25,"AAAAAG7zHxE=")</f>
        <v>#VALUE!</v>
      </c>
      <c r="S75">
        <f>IF('Field Designations'!26:26,"AAAAAG7zHxI=",0)</f>
        <v>0</v>
      </c>
      <c r="T75" t="e">
        <f>AND('Field Designations'!#REF!,"AAAAAG7zHxM=")</f>
        <v>#REF!</v>
      </c>
      <c r="U75" t="e">
        <f>AND('Field Designations'!B26,"AAAAAG7zHxQ=")</f>
        <v>#VALUE!</v>
      </c>
      <c r="V75" t="e">
        <f>AND('Field Designations'!#REF!,"AAAAAG7zHxU=")</f>
        <v>#REF!</v>
      </c>
      <c r="W75" t="e">
        <f>AND('Field Designations'!A26,"AAAAAG7zHxY=")</f>
        <v>#VALUE!</v>
      </c>
      <c r="X75" t="e">
        <f>AND('Field Designations'!C26,"AAAAAG7zHxc=")</f>
        <v>#VALUE!</v>
      </c>
      <c r="Y75" t="e">
        <f>AND('Field Designations'!#REF!,"AAAAAG7zHxg=")</f>
        <v>#REF!</v>
      </c>
      <c r="Z75" t="e">
        <f>AND('Field Designations'!E26,"AAAAAG7zHxk=")</f>
        <v>#VALUE!</v>
      </c>
      <c r="AA75" t="e">
        <f>AND('Field Designations'!#REF!,"AAAAAG7zHxo=")</f>
        <v>#REF!</v>
      </c>
      <c r="AB75" t="e">
        <f>AND('Field Designations'!F26,"AAAAAG7zHxs=")</f>
        <v>#VALUE!</v>
      </c>
      <c r="AC75" t="e">
        <f>AND('Field Designations'!#REF!,"AAAAAG7zHxw=")</f>
        <v>#REF!</v>
      </c>
      <c r="AD75" t="e">
        <f>AND('Field Designations'!G26,"AAAAAG7zHx0=")</f>
        <v>#VALUE!</v>
      </c>
      <c r="AE75" t="e">
        <f>AND('Field Designations'!#REF!,"AAAAAG7zHx4=")</f>
        <v>#REF!</v>
      </c>
      <c r="AF75" t="e">
        <f>AND('Field Designations'!#REF!,"AAAAAG7zHx8=")</f>
        <v>#REF!</v>
      </c>
      <c r="AG75" t="e">
        <f>AND('Field Designations'!#REF!,"AAAAAG7zHyA=")</f>
        <v>#REF!</v>
      </c>
      <c r="AH75" t="e">
        <f>AND('Field Designations'!#REF!,"AAAAAG7zHyE=")</f>
        <v>#REF!</v>
      </c>
      <c r="AI75" t="e">
        <f>AND('Field Designations'!#REF!,"AAAAAG7zHyI=")</f>
        <v>#REF!</v>
      </c>
      <c r="AJ75" t="e">
        <f>AND('Field Designations'!#REF!,"AAAAAG7zHyM=")</f>
        <v>#REF!</v>
      </c>
      <c r="AK75" t="e">
        <f>AND('Field Designations'!#REF!,"AAAAAG7zHyQ=")</f>
        <v>#REF!</v>
      </c>
      <c r="AL75" t="e">
        <f>AND('Field Designations'!#REF!,"AAAAAG7zHyU=")</f>
        <v>#REF!</v>
      </c>
      <c r="AM75" t="e">
        <f>AND('Field Designations'!#REF!,"AAAAAG7zHyY=")</f>
        <v>#REF!</v>
      </c>
      <c r="AN75" t="e">
        <f>AND('Field Designations'!#REF!,"AAAAAG7zHyc=")</f>
        <v>#REF!</v>
      </c>
      <c r="AO75" t="e">
        <f>AND('Field Designations'!#REF!,"AAAAAG7zHyg=")</f>
        <v>#REF!</v>
      </c>
      <c r="AP75" t="e">
        <f>AND('Field Designations'!#REF!,"AAAAAG7zHyk=")</f>
        <v>#REF!</v>
      </c>
      <c r="AQ75" t="e">
        <f>AND('Field Designations'!H26,"AAAAAG7zHyo=")</f>
        <v>#VALUE!</v>
      </c>
      <c r="AR75">
        <f>IF('Field Designations'!27:27,"AAAAAG7zHys=",0)</f>
        <v>0</v>
      </c>
      <c r="AS75" t="e">
        <f>AND('Field Designations'!#REF!,"AAAAAG7zHyw=")</f>
        <v>#REF!</v>
      </c>
      <c r="AT75" t="e">
        <f>AND('Field Designations'!B27,"AAAAAG7zHy0=")</f>
        <v>#VALUE!</v>
      </c>
      <c r="AU75" t="e">
        <f>AND('Field Designations'!#REF!,"AAAAAG7zHy4=")</f>
        <v>#REF!</v>
      </c>
      <c r="AV75" t="e">
        <f>AND('Field Designations'!A27,"AAAAAG7zHy8=")</f>
        <v>#VALUE!</v>
      </c>
      <c r="AW75" t="e">
        <f>AND('Field Designations'!C27,"AAAAAG7zHzA=")</f>
        <v>#VALUE!</v>
      </c>
      <c r="AX75" t="e">
        <f>AND('Field Designations'!#REF!,"AAAAAG7zHzE=")</f>
        <v>#REF!</v>
      </c>
      <c r="AY75" t="e">
        <f>AND('Field Designations'!E27,"AAAAAG7zHzI=")</f>
        <v>#VALUE!</v>
      </c>
      <c r="AZ75" t="e">
        <f>AND('Field Designations'!#REF!,"AAAAAG7zHzM=")</f>
        <v>#REF!</v>
      </c>
      <c r="BA75" t="e">
        <f>AND('Field Designations'!F27,"AAAAAG7zHzQ=")</f>
        <v>#VALUE!</v>
      </c>
      <c r="BB75" t="e">
        <f>AND('Field Designations'!#REF!,"AAAAAG7zHzU=")</f>
        <v>#REF!</v>
      </c>
      <c r="BC75" t="e">
        <f>AND('Field Designations'!G27,"AAAAAG7zHzY=")</f>
        <v>#VALUE!</v>
      </c>
      <c r="BD75" t="e">
        <f>AND('Field Designations'!#REF!,"AAAAAG7zHzc=")</f>
        <v>#REF!</v>
      </c>
      <c r="BE75" t="e">
        <f>AND('Field Designations'!#REF!,"AAAAAG7zHzg=")</f>
        <v>#REF!</v>
      </c>
      <c r="BF75" t="e">
        <f>AND('Field Designations'!#REF!,"AAAAAG7zHzk=")</f>
        <v>#REF!</v>
      </c>
      <c r="BG75" t="e">
        <f>AND('Field Designations'!#REF!,"AAAAAG7zHzo=")</f>
        <v>#REF!</v>
      </c>
      <c r="BH75" t="e">
        <f>AND('Field Designations'!#REF!,"AAAAAG7zHzs=")</f>
        <v>#REF!</v>
      </c>
      <c r="BI75" t="e">
        <f>AND('Field Designations'!#REF!,"AAAAAG7zHzw=")</f>
        <v>#REF!</v>
      </c>
      <c r="BJ75" t="e">
        <f>AND('Field Designations'!#REF!,"AAAAAG7zHz0=")</f>
        <v>#REF!</v>
      </c>
      <c r="BK75" t="e">
        <f>AND('Field Designations'!#REF!,"AAAAAG7zHz4=")</f>
        <v>#REF!</v>
      </c>
      <c r="BL75" t="e">
        <f>AND('Field Designations'!#REF!,"AAAAAG7zHz8=")</f>
        <v>#REF!</v>
      </c>
      <c r="BM75" t="e">
        <f>AND('Field Designations'!#REF!,"AAAAAG7zH0A=")</f>
        <v>#REF!</v>
      </c>
      <c r="BN75" t="e">
        <f>AND('Field Designations'!#REF!,"AAAAAG7zH0E=")</f>
        <v>#REF!</v>
      </c>
      <c r="BO75" t="e">
        <f>AND('Field Designations'!#REF!,"AAAAAG7zH0I=")</f>
        <v>#REF!</v>
      </c>
      <c r="BP75" t="e">
        <f>AND('Field Designations'!H27,"AAAAAG7zH0M=")</f>
        <v>#VALUE!</v>
      </c>
      <c r="BQ75">
        <f>IF('Field Designations'!28:28,"AAAAAG7zH0Q=",0)</f>
        <v>0</v>
      </c>
      <c r="BR75" t="e">
        <f>AND('Field Designations'!#REF!,"AAAAAG7zH0U=")</f>
        <v>#REF!</v>
      </c>
      <c r="BS75" t="e">
        <f>AND('Field Designations'!B28,"AAAAAG7zH0Y=")</f>
        <v>#VALUE!</v>
      </c>
      <c r="BT75" t="e">
        <f>AND('Field Designations'!#REF!,"AAAAAG7zH0c=")</f>
        <v>#REF!</v>
      </c>
      <c r="BU75" t="e">
        <f>AND('Field Designations'!A28,"AAAAAG7zH0g=")</f>
        <v>#VALUE!</v>
      </c>
      <c r="BV75" t="e">
        <f>AND('Field Designations'!C28,"AAAAAG7zH0k=")</f>
        <v>#VALUE!</v>
      </c>
      <c r="BW75" t="e">
        <f>AND('Field Designations'!#REF!,"AAAAAG7zH0o=")</f>
        <v>#REF!</v>
      </c>
      <c r="BX75" t="e">
        <f>AND('Field Designations'!E28,"AAAAAG7zH0s=")</f>
        <v>#VALUE!</v>
      </c>
      <c r="BY75" t="e">
        <f>AND('Field Designations'!#REF!,"AAAAAG7zH0w=")</f>
        <v>#REF!</v>
      </c>
      <c r="BZ75" t="e">
        <f>AND('Field Designations'!F28,"AAAAAG7zH00=")</f>
        <v>#VALUE!</v>
      </c>
      <c r="CA75" t="e">
        <f>AND('Field Designations'!#REF!,"AAAAAG7zH04=")</f>
        <v>#REF!</v>
      </c>
      <c r="CB75" t="e">
        <f>AND('Field Designations'!G28,"AAAAAG7zH08=")</f>
        <v>#VALUE!</v>
      </c>
      <c r="CC75" t="e">
        <f>AND('Field Designations'!#REF!,"AAAAAG7zH1A=")</f>
        <v>#REF!</v>
      </c>
      <c r="CD75" t="e">
        <f>AND('Field Designations'!#REF!,"AAAAAG7zH1E=")</f>
        <v>#REF!</v>
      </c>
      <c r="CE75" t="e">
        <f>AND('Field Designations'!#REF!,"AAAAAG7zH1I=")</f>
        <v>#REF!</v>
      </c>
      <c r="CF75" t="e">
        <f>AND('Field Designations'!#REF!,"AAAAAG7zH1M=")</f>
        <v>#REF!</v>
      </c>
      <c r="CG75" t="e">
        <f>AND('Field Designations'!#REF!,"AAAAAG7zH1Q=")</f>
        <v>#REF!</v>
      </c>
      <c r="CH75" t="e">
        <f>AND('Field Designations'!#REF!,"AAAAAG7zH1U=")</f>
        <v>#REF!</v>
      </c>
      <c r="CI75" t="e">
        <f>AND('Field Designations'!#REF!,"AAAAAG7zH1Y=")</f>
        <v>#REF!</v>
      </c>
      <c r="CJ75" t="e">
        <f>AND('Field Designations'!#REF!,"AAAAAG7zH1c=")</f>
        <v>#REF!</v>
      </c>
      <c r="CK75" t="e">
        <f>AND('Field Designations'!#REF!,"AAAAAG7zH1g=")</f>
        <v>#REF!</v>
      </c>
      <c r="CL75" t="e">
        <f>AND('Field Designations'!#REF!,"AAAAAG7zH1k=")</f>
        <v>#REF!</v>
      </c>
      <c r="CM75" t="e">
        <f>AND('Field Designations'!#REF!,"AAAAAG7zH1o=")</f>
        <v>#REF!</v>
      </c>
      <c r="CN75" t="e">
        <f>AND('Field Designations'!#REF!,"AAAAAG7zH1s=")</f>
        <v>#REF!</v>
      </c>
      <c r="CO75" t="e">
        <f>AND('Field Designations'!H28,"AAAAAG7zH1w=")</f>
        <v>#VALUE!</v>
      </c>
      <c r="CP75" t="e">
        <f>IF('Field Designations'!#REF!,"AAAAAG7zH10=",0)</f>
        <v>#REF!</v>
      </c>
      <c r="CQ75" t="e">
        <f>AND('Field Designations'!#REF!,"AAAAAG7zH14=")</f>
        <v>#REF!</v>
      </c>
      <c r="CR75" t="e">
        <f>AND('Field Designations'!#REF!,"AAAAAG7zH18=")</f>
        <v>#REF!</v>
      </c>
      <c r="CS75" t="e">
        <f>AND('Field Designations'!#REF!,"AAAAAG7zH2A=")</f>
        <v>#REF!</v>
      </c>
      <c r="CT75" t="e">
        <f>AND('Field Designations'!#REF!,"AAAAAG7zH2E=")</f>
        <v>#REF!</v>
      </c>
      <c r="CU75" t="e">
        <f>AND('Field Designations'!#REF!,"AAAAAG7zH2I=")</f>
        <v>#REF!</v>
      </c>
      <c r="CV75" t="e">
        <f>AND('Field Designations'!#REF!,"AAAAAG7zH2M=")</f>
        <v>#REF!</v>
      </c>
      <c r="CW75" t="e">
        <f>AND('Field Designations'!#REF!,"AAAAAG7zH2Q=")</f>
        <v>#REF!</v>
      </c>
      <c r="CX75" t="e">
        <f>AND('Field Designations'!#REF!,"AAAAAG7zH2U=")</f>
        <v>#REF!</v>
      </c>
      <c r="CY75" t="e">
        <f>AND('Field Designations'!#REF!,"AAAAAG7zH2Y=")</f>
        <v>#REF!</v>
      </c>
      <c r="CZ75" t="e">
        <f>AND('Field Designations'!#REF!,"AAAAAG7zH2c=")</f>
        <v>#REF!</v>
      </c>
      <c r="DA75" t="e">
        <f>AND('Field Designations'!#REF!,"AAAAAG7zH2g=")</f>
        <v>#REF!</v>
      </c>
      <c r="DB75" t="e">
        <f>AND('Field Designations'!#REF!,"AAAAAG7zH2k=")</f>
        <v>#REF!</v>
      </c>
      <c r="DC75" t="e">
        <f>AND('Field Designations'!#REF!,"AAAAAG7zH2o=")</f>
        <v>#REF!</v>
      </c>
      <c r="DD75" t="e">
        <f>AND('Field Designations'!#REF!,"AAAAAG7zH2s=")</f>
        <v>#REF!</v>
      </c>
      <c r="DE75" t="e">
        <f>AND('Field Designations'!#REF!,"AAAAAG7zH2w=")</f>
        <v>#REF!</v>
      </c>
      <c r="DF75" t="e">
        <f>AND('Field Designations'!#REF!,"AAAAAG7zH20=")</f>
        <v>#REF!</v>
      </c>
      <c r="DG75" t="e">
        <f>AND('Field Designations'!#REF!,"AAAAAG7zH24=")</f>
        <v>#REF!</v>
      </c>
      <c r="DH75" t="e">
        <f>AND('Field Designations'!#REF!,"AAAAAG7zH28=")</f>
        <v>#REF!</v>
      </c>
      <c r="DI75" t="e">
        <f>AND('Field Designations'!#REF!,"AAAAAG7zH3A=")</f>
        <v>#REF!</v>
      </c>
      <c r="DJ75" t="e">
        <f>AND('Field Designations'!#REF!,"AAAAAG7zH3E=")</f>
        <v>#REF!</v>
      </c>
      <c r="DK75" t="e">
        <f>AND('Field Designations'!#REF!,"AAAAAG7zH3I=")</f>
        <v>#REF!</v>
      </c>
      <c r="DL75" t="e">
        <f>AND('Field Designations'!#REF!,"AAAAAG7zH3M=")</f>
        <v>#REF!</v>
      </c>
      <c r="DM75" t="e">
        <f>AND('Field Designations'!#REF!,"AAAAAG7zH3Q=")</f>
        <v>#REF!</v>
      </c>
      <c r="DN75" t="e">
        <f>AND('Field Designations'!#REF!,"AAAAAG7zH3U=")</f>
        <v>#REF!</v>
      </c>
      <c r="DO75">
        <f>IF('Field Designations'!29:29,"AAAAAG7zH3Y=",0)</f>
        <v>0</v>
      </c>
      <c r="DP75" t="e">
        <f>AND('Field Designations'!#REF!,"AAAAAG7zH3c=")</f>
        <v>#REF!</v>
      </c>
      <c r="DQ75" t="e">
        <f>AND('Field Designations'!B29,"AAAAAG7zH3g=")</f>
        <v>#VALUE!</v>
      </c>
      <c r="DR75" t="e">
        <f>AND('Field Designations'!#REF!,"AAAAAG7zH3k=")</f>
        <v>#REF!</v>
      </c>
      <c r="DS75" t="e">
        <f>AND('Field Designations'!A29,"AAAAAG7zH3o=")</f>
        <v>#VALUE!</v>
      </c>
      <c r="DT75" t="e">
        <f>AND('Field Designations'!C29,"AAAAAG7zH3s=")</f>
        <v>#VALUE!</v>
      </c>
      <c r="DU75" t="e">
        <f>AND('Field Designations'!#REF!,"AAAAAG7zH3w=")</f>
        <v>#REF!</v>
      </c>
      <c r="DV75" t="e">
        <f>AND('Field Designations'!E29,"AAAAAG7zH30=")</f>
        <v>#VALUE!</v>
      </c>
      <c r="DW75" t="e">
        <f>AND('Field Designations'!#REF!,"AAAAAG7zH34=")</f>
        <v>#REF!</v>
      </c>
      <c r="DX75" t="e">
        <f>AND('Field Designations'!F29,"AAAAAG7zH38=")</f>
        <v>#VALUE!</v>
      </c>
      <c r="DY75" t="e">
        <f>AND('Field Designations'!#REF!,"AAAAAG7zH4A=")</f>
        <v>#REF!</v>
      </c>
      <c r="DZ75" t="e">
        <f>AND('Field Designations'!G29,"AAAAAG7zH4E=")</f>
        <v>#VALUE!</v>
      </c>
      <c r="EA75" t="e">
        <f>AND('Field Designations'!#REF!,"AAAAAG7zH4I=")</f>
        <v>#REF!</v>
      </c>
      <c r="EB75" t="e">
        <f>AND('Field Designations'!#REF!,"AAAAAG7zH4M=")</f>
        <v>#REF!</v>
      </c>
      <c r="EC75" t="e">
        <f>AND('Field Designations'!#REF!,"AAAAAG7zH4Q=")</f>
        <v>#REF!</v>
      </c>
      <c r="ED75" t="e">
        <f>AND('Field Designations'!#REF!,"AAAAAG7zH4U=")</f>
        <v>#REF!</v>
      </c>
      <c r="EE75" t="e">
        <f>AND('Field Designations'!#REF!,"AAAAAG7zH4Y=")</f>
        <v>#REF!</v>
      </c>
      <c r="EF75" t="e">
        <f>AND('Field Designations'!#REF!,"AAAAAG7zH4c=")</f>
        <v>#REF!</v>
      </c>
      <c r="EG75" t="e">
        <f>AND('Field Designations'!#REF!,"AAAAAG7zH4g=")</f>
        <v>#REF!</v>
      </c>
      <c r="EH75" t="e">
        <f>AND('Field Designations'!#REF!,"AAAAAG7zH4k=")</f>
        <v>#REF!</v>
      </c>
      <c r="EI75" t="e">
        <f>AND('Field Designations'!#REF!,"AAAAAG7zH4o=")</f>
        <v>#REF!</v>
      </c>
      <c r="EJ75" t="e">
        <f>AND('Field Designations'!#REF!,"AAAAAG7zH4s=")</f>
        <v>#REF!</v>
      </c>
      <c r="EK75" t="e">
        <f>AND('Field Designations'!#REF!,"AAAAAG7zH4w=")</f>
        <v>#REF!</v>
      </c>
      <c r="EL75" t="e">
        <f>AND('Field Designations'!#REF!,"AAAAAG7zH40=")</f>
        <v>#REF!</v>
      </c>
      <c r="EM75" t="e">
        <f>AND('Field Designations'!H29,"AAAAAG7zH44=")</f>
        <v>#VALUE!</v>
      </c>
      <c r="EN75">
        <f>IF('Field Designations'!30:30,"AAAAAG7zH48=",0)</f>
        <v>0</v>
      </c>
      <c r="EO75" t="e">
        <f>AND('Field Designations'!#REF!,"AAAAAG7zH5A=")</f>
        <v>#REF!</v>
      </c>
      <c r="EP75" t="e">
        <f>AND('Field Designations'!B30,"AAAAAG7zH5E=")</f>
        <v>#VALUE!</v>
      </c>
      <c r="EQ75" t="e">
        <f>AND('Field Designations'!#REF!,"AAAAAG7zH5I=")</f>
        <v>#REF!</v>
      </c>
      <c r="ER75" t="e">
        <f>AND('Field Designations'!A30,"AAAAAG7zH5M=")</f>
        <v>#VALUE!</v>
      </c>
      <c r="ES75" t="e">
        <f>AND('Field Designations'!C30,"AAAAAG7zH5Q=")</f>
        <v>#VALUE!</v>
      </c>
      <c r="ET75" t="e">
        <f>AND('Field Designations'!#REF!,"AAAAAG7zH5U=")</f>
        <v>#REF!</v>
      </c>
      <c r="EU75" t="e">
        <f>AND('Field Designations'!E30,"AAAAAG7zH5Y=")</f>
        <v>#VALUE!</v>
      </c>
      <c r="EV75" t="e">
        <f>AND('Field Designations'!#REF!,"AAAAAG7zH5c=")</f>
        <v>#REF!</v>
      </c>
      <c r="EW75" t="e">
        <f>AND('Field Designations'!F30,"AAAAAG7zH5g=")</f>
        <v>#VALUE!</v>
      </c>
      <c r="EX75" t="e">
        <f>AND('Field Designations'!#REF!,"AAAAAG7zH5k=")</f>
        <v>#REF!</v>
      </c>
      <c r="EY75" t="e">
        <f>AND('Field Designations'!G30,"AAAAAG7zH5o=")</f>
        <v>#VALUE!</v>
      </c>
      <c r="EZ75" t="e">
        <f>AND('Field Designations'!#REF!,"AAAAAG7zH5s=")</f>
        <v>#REF!</v>
      </c>
      <c r="FA75" t="e">
        <f>AND('Field Designations'!#REF!,"AAAAAG7zH5w=")</f>
        <v>#REF!</v>
      </c>
      <c r="FB75" t="e">
        <f>AND('Field Designations'!#REF!,"AAAAAG7zH50=")</f>
        <v>#REF!</v>
      </c>
      <c r="FC75" t="e">
        <f>AND('Field Designations'!#REF!,"AAAAAG7zH54=")</f>
        <v>#REF!</v>
      </c>
      <c r="FD75" t="e">
        <f>AND('Field Designations'!#REF!,"AAAAAG7zH58=")</f>
        <v>#REF!</v>
      </c>
      <c r="FE75" t="e">
        <f>AND('Field Designations'!#REF!,"AAAAAG7zH6A=")</f>
        <v>#REF!</v>
      </c>
      <c r="FF75" t="e">
        <f>AND('Field Designations'!#REF!,"AAAAAG7zH6E=")</f>
        <v>#REF!</v>
      </c>
      <c r="FG75" t="e">
        <f>AND('Field Designations'!#REF!,"AAAAAG7zH6I=")</f>
        <v>#REF!</v>
      </c>
      <c r="FH75" t="e">
        <f>AND('Field Designations'!#REF!,"AAAAAG7zH6M=")</f>
        <v>#REF!</v>
      </c>
      <c r="FI75" t="e">
        <f>AND('Field Designations'!#REF!,"AAAAAG7zH6Q=")</f>
        <v>#REF!</v>
      </c>
      <c r="FJ75" t="e">
        <f>AND('Field Designations'!#REF!,"AAAAAG7zH6U=")</f>
        <v>#REF!</v>
      </c>
      <c r="FK75" t="e">
        <f>AND('Field Designations'!#REF!,"AAAAAG7zH6Y=")</f>
        <v>#REF!</v>
      </c>
      <c r="FL75" t="e">
        <f>AND('Field Designations'!H30,"AAAAAG7zH6c=")</f>
        <v>#VALUE!</v>
      </c>
      <c r="FM75">
        <f>IF('Field Designations'!31:31,"AAAAAG7zH6g=",0)</f>
        <v>0</v>
      </c>
      <c r="FN75" t="e">
        <f>AND('Field Designations'!#REF!,"AAAAAG7zH6k=")</f>
        <v>#REF!</v>
      </c>
      <c r="FO75" t="e">
        <f>AND('Field Designations'!B31,"AAAAAG7zH6o=")</f>
        <v>#VALUE!</v>
      </c>
      <c r="FP75" t="e">
        <f>AND('Field Designations'!#REF!,"AAAAAG7zH6s=")</f>
        <v>#REF!</v>
      </c>
      <c r="FQ75" t="e">
        <f>AND('Field Designations'!A31,"AAAAAG7zH6w=")</f>
        <v>#VALUE!</v>
      </c>
      <c r="FR75" t="e">
        <f>AND('Field Designations'!C31,"AAAAAG7zH60=")</f>
        <v>#VALUE!</v>
      </c>
      <c r="FS75" t="e">
        <f>AND('Field Designations'!#REF!,"AAAAAG7zH64=")</f>
        <v>#REF!</v>
      </c>
      <c r="FT75" t="e">
        <f>AND('Field Designations'!E31,"AAAAAG7zH68=")</f>
        <v>#VALUE!</v>
      </c>
      <c r="FU75" t="e">
        <f>AND('Field Designations'!#REF!,"AAAAAG7zH7A=")</f>
        <v>#REF!</v>
      </c>
      <c r="FV75" t="e">
        <f>AND('Field Designations'!F31,"AAAAAG7zH7E=")</f>
        <v>#VALUE!</v>
      </c>
      <c r="FW75" t="e">
        <f>AND('Field Designations'!#REF!,"AAAAAG7zH7I=")</f>
        <v>#REF!</v>
      </c>
      <c r="FX75" t="e">
        <f>AND('Field Designations'!G31,"AAAAAG7zH7M=")</f>
        <v>#VALUE!</v>
      </c>
      <c r="FY75" t="e">
        <f>AND('Field Designations'!#REF!,"AAAAAG7zH7Q=")</f>
        <v>#REF!</v>
      </c>
      <c r="FZ75" t="e">
        <f>AND('Field Designations'!#REF!,"AAAAAG7zH7U=")</f>
        <v>#REF!</v>
      </c>
      <c r="GA75" t="e">
        <f>AND('Field Designations'!#REF!,"AAAAAG7zH7Y=")</f>
        <v>#REF!</v>
      </c>
      <c r="GB75" t="e">
        <f>AND('Field Designations'!#REF!,"AAAAAG7zH7c=")</f>
        <v>#REF!</v>
      </c>
      <c r="GC75" t="e">
        <f>AND('Field Designations'!#REF!,"AAAAAG7zH7g=")</f>
        <v>#REF!</v>
      </c>
      <c r="GD75" t="e">
        <f>AND('Field Designations'!#REF!,"AAAAAG7zH7k=")</f>
        <v>#REF!</v>
      </c>
      <c r="GE75" t="e">
        <f>AND('Field Designations'!#REF!,"AAAAAG7zH7o=")</f>
        <v>#REF!</v>
      </c>
      <c r="GF75" t="e">
        <f>AND('Field Designations'!#REF!,"AAAAAG7zH7s=")</f>
        <v>#REF!</v>
      </c>
      <c r="GG75" t="e">
        <f>AND('Field Designations'!#REF!,"AAAAAG7zH7w=")</f>
        <v>#REF!</v>
      </c>
      <c r="GH75" t="e">
        <f>AND('Field Designations'!#REF!,"AAAAAG7zH70=")</f>
        <v>#REF!</v>
      </c>
      <c r="GI75" t="e">
        <f>AND('Field Designations'!#REF!,"AAAAAG7zH74=")</f>
        <v>#REF!</v>
      </c>
      <c r="GJ75" t="e">
        <f>AND('Field Designations'!#REF!,"AAAAAG7zH78=")</f>
        <v>#REF!</v>
      </c>
      <c r="GK75" t="e">
        <f>AND('Field Designations'!H31,"AAAAAG7zH8A=")</f>
        <v>#VALUE!</v>
      </c>
      <c r="GL75" t="e">
        <f>IF('Field Designations'!#REF!,"AAAAAG7zH8E=",0)</f>
        <v>#REF!</v>
      </c>
      <c r="GM75" t="e">
        <f>AND('Field Designations'!#REF!,"AAAAAG7zH8I=")</f>
        <v>#REF!</v>
      </c>
      <c r="GN75" t="e">
        <f>AND('Field Designations'!#REF!,"AAAAAG7zH8M=")</f>
        <v>#REF!</v>
      </c>
      <c r="GO75" t="e">
        <f>AND('Field Designations'!#REF!,"AAAAAG7zH8Q=")</f>
        <v>#REF!</v>
      </c>
      <c r="GP75" t="e">
        <f>AND('Field Designations'!#REF!,"AAAAAG7zH8U=")</f>
        <v>#REF!</v>
      </c>
      <c r="GQ75" t="e">
        <f>AND('Field Designations'!#REF!,"AAAAAG7zH8Y=")</f>
        <v>#REF!</v>
      </c>
      <c r="GR75" t="e">
        <f>AND('Field Designations'!#REF!,"AAAAAG7zH8c=")</f>
        <v>#REF!</v>
      </c>
      <c r="GS75" t="e">
        <f>AND('Field Designations'!#REF!,"AAAAAG7zH8g=")</f>
        <v>#REF!</v>
      </c>
      <c r="GT75" t="e">
        <f>AND('Field Designations'!#REF!,"AAAAAG7zH8k=")</f>
        <v>#REF!</v>
      </c>
      <c r="GU75" t="e">
        <f>AND('Field Designations'!#REF!,"AAAAAG7zH8o=")</f>
        <v>#REF!</v>
      </c>
      <c r="GV75" t="e">
        <f>AND('Field Designations'!#REF!,"AAAAAG7zH8s=")</f>
        <v>#REF!</v>
      </c>
      <c r="GW75" t="e">
        <f>AND('Field Designations'!#REF!,"AAAAAG7zH8w=")</f>
        <v>#REF!</v>
      </c>
      <c r="GX75" t="e">
        <f>AND('Field Designations'!#REF!,"AAAAAG7zH80=")</f>
        <v>#REF!</v>
      </c>
      <c r="GY75" t="e">
        <f>AND('Field Designations'!#REF!,"AAAAAG7zH84=")</f>
        <v>#REF!</v>
      </c>
      <c r="GZ75" t="e">
        <f>AND('Field Designations'!#REF!,"AAAAAG7zH88=")</f>
        <v>#REF!</v>
      </c>
      <c r="HA75" t="e">
        <f>AND('Field Designations'!#REF!,"AAAAAG7zH9A=")</f>
        <v>#REF!</v>
      </c>
      <c r="HB75" t="e">
        <f>AND('Field Designations'!#REF!,"AAAAAG7zH9E=")</f>
        <v>#REF!</v>
      </c>
      <c r="HC75" t="e">
        <f>AND('Field Designations'!#REF!,"AAAAAG7zH9I=")</f>
        <v>#REF!</v>
      </c>
      <c r="HD75" t="e">
        <f>AND('Field Designations'!#REF!,"AAAAAG7zH9M=")</f>
        <v>#REF!</v>
      </c>
      <c r="HE75" t="e">
        <f>AND('Field Designations'!#REF!,"AAAAAG7zH9Q=")</f>
        <v>#REF!</v>
      </c>
      <c r="HF75" t="e">
        <f>AND('Field Designations'!#REF!,"AAAAAG7zH9U=")</f>
        <v>#REF!</v>
      </c>
      <c r="HG75" t="e">
        <f>AND('Field Designations'!#REF!,"AAAAAG7zH9Y=")</f>
        <v>#REF!</v>
      </c>
      <c r="HH75" t="e">
        <f>AND('Field Designations'!#REF!,"AAAAAG7zH9c=")</f>
        <v>#REF!</v>
      </c>
      <c r="HI75" t="e">
        <f>AND('Field Designations'!#REF!,"AAAAAG7zH9g=")</f>
        <v>#REF!</v>
      </c>
      <c r="HJ75" t="e">
        <f>AND('Field Designations'!#REF!,"AAAAAG7zH9k=")</f>
        <v>#REF!</v>
      </c>
      <c r="HK75">
        <f>IF('Field Designations'!32:32,"AAAAAG7zH9o=",0)</f>
        <v>0</v>
      </c>
      <c r="HL75" t="e">
        <f>AND('Field Designations'!#REF!,"AAAAAG7zH9s=")</f>
        <v>#REF!</v>
      </c>
      <c r="HM75" t="e">
        <f>AND('Field Designations'!B32,"AAAAAG7zH9w=")</f>
        <v>#VALUE!</v>
      </c>
      <c r="HN75" t="e">
        <f>AND('Field Designations'!#REF!,"AAAAAG7zH90=")</f>
        <v>#REF!</v>
      </c>
      <c r="HO75" t="e">
        <f>AND('Field Designations'!A32,"AAAAAG7zH94=")</f>
        <v>#VALUE!</v>
      </c>
      <c r="HP75" t="e">
        <f>AND('Field Designations'!C32,"AAAAAG7zH98=")</f>
        <v>#VALUE!</v>
      </c>
      <c r="HQ75" t="e">
        <f>AND('Field Designations'!#REF!,"AAAAAG7zH+A=")</f>
        <v>#REF!</v>
      </c>
      <c r="HR75" t="e">
        <f>AND('Field Designations'!E32,"AAAAAG7zH+E=")</f>
        <v>#VALUE!</v>
      </c>
      <c r="HS75" t="e">
        <f>AND('Field Designations'!#REF!,"AAAAAG7zH+I=")</f>
        <v>#REF!</v>
      </c>
      <c r="HT75" t="e">
        <f>AND('Field Designations'!F32,"AAAAAG7zH+M=")</f>
        <v>#VALUE!</v>
      </c>
      <c r="HU75" t="e">
        <f>AND('Field Designations'!#REF!,"AAAAAG7zH+Q=")</f>
        <v>#REF!</v>
      </c>
      <c r="HV75" t="e">
        <f>AND('Field Designations'!G32,"AAAAAG7zH+U=")</f>
        <v>#VALUE!</v>
      </c>
      <c r="HW75" t="e">
        <f>AND('Field Designations'!#REF!,"AAAAAG7zH+Y=")</f>
        <v>#REF!</v>
      </c>
      <c r="HX75" t="e">
        <f>AND('Field Designations'!#REF!,"AAAAAG7zH+c=")</f>
        <v>#REF!</v>
      </c>
      <c r="HY75" t="e">
        <f>AND('Field Designations'!#REF!,"AAAAAG7zH+g=")</f>
        <v>#REF!</v>
      </c>
      <c r="HZ75" t="e">
        <f>AND('Field Designations'!#REF!,"AAAAAG7zH+k=")</f>
        <v>#REF!</v>
      </c>
      <c r="IA75" t="e">
        <f>AND('Field Designations'!#REF!,"AAAAAG7zH+o=")</f>
        <v>#REF!</v>
      </c>
      <c r="IB75" t="e">
        <f>AND('Field Designations'!#REF!,"AAAAAG7zH+s=")</f>
        <v>#REF!</v>
      </c>
      <c r="IC75" t="e">
        <f>AND('Field Designations'!#REF!,"AAAAAG7zH+w=")</f>
        <v>#REF!</v>
      </c>
      <c r="ID75" t="e">
        <f>AND('Field Designations'!#REF!,"AAAAAG7zH+0=")</f>
        <v>#REF!</v>
      </c>
      <c r="IE75" t="e">
        <f>AND('Field Designations'!#REF!,"AAAAAG7zH+4=")</f>
        <v>#REF!</v>
      </c>
      <c r="IF75" t="e">
        <f>AND('Field Designations'!#REF!,"AAAAAG7zH+8=")</f>
        <v>#REF!</v>
      </c>
      <c r="IG75" t="e">
        <f>AND('Field Designations'!#REF!,"AAAAAG7zH/A=")</f>
        <v>#REF!</v>
      </c>
      <c r="IH75" t="e">
        <f>AND('Field Designations'!#REF!,"AAAAAG7zH/E=")</f>
        <v>#REF!</v>
      </c>
      <c r="II75" t="e">
        <f>AND('Field Designations'!H32,"AAAAAG7zH/I=")</f>
        <v>#VALUE!</v>
      </c>
      <c r="IJ75" t="e">
        <f>IF('Field Designations'!#REF!,"AAAAAG7zH/M=",0)</f>
        <v>#REF!</v>
      </c>
      <c r="IK75" t="e">
        <f>AND('Field Designations'!#REF!,"AAAAAG7zH/Q=")</f>
        <v>#REF!</v>
      </c>
      <c r="IL75" t="e">
        <f>AND('Field Designations'!#REF!,"AAAAAG7zH/U=")</f>
        <v>#REF!</v>
      </c>
      <c r="IM75" t="e">
        <f>AND('Field Designations'!#REF!,"AAAAAG7zH/Y=")</f>
        <v>#REF!</v>
      </c>
      <c r="IN75" t="e">
        <f>AND('Field Designations'!#REF!,"AAAAAG7zH/c=")</f>
        <v>#REF!</v>
      </c>
      <c r="IO75" t="e">
        <f>AND('Field Designations'!#REF!,"AAAAAG7zH/g=")</f>
        <v>#REF!</v>
      </c>
      <c r="IP75" t="e">
        <f>AND('Field Designations'!#REF!,"AAAAAG7zH/k=")</f>
        <v>#REF!</v>
      </c>
      <c r="IQ75" t="e">
        <f>AND('Field Designations'!#REF!,"AAAAAG7zH/o=")</f>
        <v>#REF!</v>
      </c>
      <c r="IR75" t="e">
        <f>AND('Field Designations'!#REF!,"AAAAAG7zH/s=")</f>
        <v>#REF!</v>
      </c>
      <c r="IS75" t="e">
        <f>AND('Field Designations'!#REF!,"AAAAAG7zH/w=")</f>
        <v>#REF!</v>
      </c>
      <c r="IT75" t="e">
        <f>AND('Field Designations'!#REF!,"AAAAAG7zH/0=")</f>
        <v>#REF!</v>
      </c>
      <c r="IU75" t="e">
        <f>AND('Field Designations'!#REF!,"AAAAAG7zH/4=")</f>
        <v>#REF!</v>
      </c>
      <c r="IV75" t="e">
        <f>AND('Field Designations'!#REF!,"AAAAAG7zH/8=")</f>
        <v>#REF!</v>
      </c>
    </row>
    <row r="76" spans="1:256" x14ac:dyDescent="0.2">
      <c r="A76" t="e">
        <f>AND('Field Designations'!#REF!,"AAAAAHV/7QA=")</f>
        <v>#REF!</v>
      </c>
      <c r="B76" t="e">
        <f>AND('Field Designations'!#REF!,"AAAAAHV/7QE=")</f>
        <v>#REF!</v>
      </c>
      <c r="C76" t="e">
        <f>AND('Field Designations'!#REF!,"AAAAAHV/7QI=")</f>
        <v>#REF!</v>
      </c>
      <c r="D76" t="e">
        <f>AND('Field Designations'!#REF!,"AAAAAHV/7QM=")</f>
        <v>#REF!</v>
      </c>
      <c r="E76" t="e">
        <f>AND('Field Designations'!#REF!,"AAAAAHV/7QQ=")</f>
        <v>#REF!</v>
      </c>
      <c r="F76" t="e">
        <f>AND('Field Designations'!#REF!,"AAAAAHV/7QU=")</f>
        <v>#REF!</v>
      </c>
      <c r="G76" t="e">
        <f>AND('Field Designations'!#REF!,"AAAAAHV/7QY=")</f>
        <v>#REF!</v>
      </c>
      <c r="H76" t="e">
        <f>AND('Field Designations'!#REF!,"AAAAAHV/7Qc=")</f>
        <v>#REF!</v>
      </c>
      <c r="I76" t="e">
        <f>AND('Field Designations'!#REF!,"AAAAAHV/7Qg=")</f>
        <v>#REF!</v>
      </c>
      <c r="J76" t="e">
        <f>AND('Field Designations'!#REF!,"AAAAAHV/7Qk=")</f>
        <v>#REF!</v>
      </c>
      <c r="K76" t="e">
        <f>AND('Field Designations'!#REF!,"AAAAAHV/7Qo=")</f>
        <v>#REF!</v>
      </c>
      <c r="L76" t="e">
        <f>AND('Field Designations'!#REF!,"AAAAAHV/7Qs=")</f>
        <v>#REF!</v>
      </c>
      <c r="M76">
        <f>IF('Field Designations'!33:33,"AAAAAHV/7Qw=",0)</f>
        <v>0</v>
      </c>
      <c r="N76" t="e">
        <f>AND('Field Designations'!#REF!,"AAAAAHV/7Q0=")</f>
        <v>#REF!</v>
      </c>
      <c r="O76" t="e">
        <f>AND('Field Designations'!B33,"AAAAAHV/7Q4=")</f>
        <v>#VALUE!</v>
      </c>
      <c r="P76" t="e">
        <f>AND('Field Designations'!#REF!,"AAAAAHV/7Q8=")</f>
        <v>#REF!</v>
      </c>
      <c r="Q76" t="e">
        <f>AND('Field Designations'!A33,"AAAAAHV/7RA=")</f>
        <v>#VALUE!</v>
      </c>
      <c r="R76" t="e">
        <f>AND('Field Designations'!C33,"AAAAAHV/7RE=")</f>
        <v>#VALUE!</v>
      </c>
      <c r="S76" t="e">
        <f>AND('Field Designations'!#REF!,"AAAAAHV/7RI=")</f>
        <v>#REF!</v>
      </c>
      <c r="T76" t="e">
        <f>AND('Field Designations'!E33,"AAAAAHV/7RM=")</f>
        <v>#VALUE!</v>
      </c>
      <c r="U76" t="e">
        <f>AND('Field Designations'!#REF!,"AAAAAHV/7RQ=")</f>
        <v>#REF!</v>
      </c>
      <c r="V76" t="e">
        <f>AND('Field Designations'!F33,"AAAAAHV/7RU=")</f>
        <v>#VALUE!</v>
      </c>
      <c r="W76" t="e">
        <f>AND('Field Designations'!#REF!,"AAAAAHV/7RY=")</f>
        <v>#REF!</v>
      </c>
      <c r="X76" t="e">
        <f>AND('Field Designations'!G33,"AAAAAHV/7Rc=")</f>
        <v>#VALUE!</v>
      </c>
      <c r="Y76" t="e">
        <f>AND('Field Designations'!#REF!,"AAAAAHV/7Rg=")</f>
        <v>#REF!</v>
      </c>
      <c r="Z76" t="e">
        <f>AND('Field Designations'!#REF!,"AAAAAHV/7Rk=")</f>
        <v>#REF!</v>
      </c>
      <c r="AA76" t="e">
        <f>AND('Field Designations'!#REF!,"AAAAAHV/7Ro=")</f>
        <v>#REF!</v>
      </c>
      <c r="AB76" t="e">
        <f>AND('Field Designations'!#REF!,"AAAAAHV/7Rs=")</f>
        <v>#REF!</v>
      </c>
      <c r="AC76" t="e">
        <f>AND('Field Designations'!#REF!,"AAAAAHV/7Rw=")</f>
        <v>#REF!</v>
      </c>
      <c r="AD76" t="e">
        <f>AND('Field Designations'!#REF!,"AAAAAHV/7R0=")</f>
        <v>#REF!</v>
      </c>
      <c r="AE76" t="e">
        <f>AND('Field Designations'!#REF!,"AAAAAHV/7R4=")</f>
        <v>#REF!</v>
      </c>
      <c r="AF76" t="e">
        <f>AND('Field Designations'!#REF!,"AAAAAHV/7R8=")</f>
        <v>#REF!</v>
      </c>
      <c r="AG76" t="e">
        <f>AND('Field Designations'!#REF!,"AAAAAHV/7SA=")</f>
        <v>#REF!</v>
      </c>
      <c r="AH76" t="e">
        <f>AND('Field Designations'!#REF!,"AAAAAHV/7SE=")</f>
        <v>#REF!</v>
      </c>
      <c r="AI76" t="e">
        <f>AND('Field Designations'!#REF!,"AAAAAHV/7SI=")</f>
        <v>#REF!</v>
      </c>
      <c r="AJ76" t="e">
        <f>AND('Field Designations'!#REF!,"AAAAAHV/7SM=")</f>
        <v>#REF!</v>
      </c>
      <c r="AK76" t="e">
        <f>AND('Field Designations'!H33,"AAAAAHV/7SQ=")</f>
        <v>#VALUE!</v>
      </c>
      <c r="AL76" t="e">
        <f>IF('Field Designations'!#REF!,"AAAAAHV/7SU=",0)</f>
        <v>#REF!</v>
      </c>
      <c r="AM76" t="e">
        <f>AND('Field Designations'!#REF!,"AAAAAHV/7SY=")</f>
        <v>#REF!</v>
      </c>
      <c r="AN76" t="e">
        <f>AND('Field Designations'!#REF!,"AAAAAHV/7Sc=")</f>
        <v>#REF!</v>
      </c>
      <c r="AO76" t="e">
        <f>AND('Field Designations'!#REF!,"AAAAAHV/7Sg=")</f>
        <v>#REF!</v>
      </c>
      <c r="AP76" t="e">
        <f>AND('Field Designations'!#REF!,"AAAAAHV/7Sk=")</f>
        <v>#REF!</v>
      </c>
      <c r="AQ76" t="e">
        <f>AND('Field Designations'!#REF!,"AAAAAHV/7So=")</f>
        <v>#REF!</v>
      </c>
      <c r="AR76" t="e">
        <f>AND('Field Designations'!#REF!,"AAAAAHV/7Ss=")</f>
        <v>#REF!</v>
      </c>
      <c r="AS76" t="e">
        <f>AND('Field Designations'!#REF!,"AAAAAHV/7Sw=")</f>
        <v>#REF!</v>
      </c>
      <c r="AT76" t="e">
        <f>AND('Field Designations'!#REF!,"AAAAAHV/7S0=")</f>
        <v>#REF!</v>
      </c>
      <c r="AU76" t="e">
        <f>AND('Field Designations'!#REF!,"AAAAAHV/7S4=")</f>
        <v>#REF!</v>
      </c>
      <c r="AV76" t="e">
        <f>AND('Field Designations'!#REF!,"AAAAAHV/7S8=")</f>
        <v>#REF!</v>
      </c>
      <c r="AW76" t="e">
        <f>AND('Field Designations'!#REF!,"AAAAAHV/7TA=")</f>
        <v>#REF!</v>
      </c>
      <c r="AX76" t="e">
        <f>AND('Field Designations'!#REF!,"AAAAAHV/7TE=")</f>
        <v>#REF!</v>
      </c>
      <c r="AY76" t="e">
        <f>AND('Field Designations'!#REF!,"AAAAAHV/7TI=")</f>
        <v>#REF!</v>
      </c>
      <c r="AZ76" t="e">
        <f>AND('Field Designations'!#REF!,"AAAAAHV/7TM=")</f>
        <v>#REF!</v>
      </c>
      <c r="BA76" t="e">
        <f>AND('Field Designations'!#REF!,"AAAAAHV/7TQ=")</f>
        <v>#REF!</v>
      </c>
      <c r="BB76" t="e">
        <f>AND('Field Designations'!#REF!,"AAAAAHV/7TU=")</f>
        <v>#REF!</v>
      </c>
      <c r="BC76" t="e">
        <f>AND('Field Designations'!#REF!,"AAAAAHV/7TY=")</f>
        <v>#REF!</v>
      </c>
      <c r="BD76" t="e">
        <f>AND('Field Designations'!#REF!,"AAAAAHV/7Tc=")</f>
        <v>#REF!</v>
      </c>
      <c r="BE76" t="e">
        <f>AND('Field Designations'!#REF!,"AAAAAHV/7Tg=")</f>
        <v>#REF!</v>
      </c>
      <c r="BF76" t="e">
        <f>AND('Field Designations'!#REF!,"AAAAAHV/7Tk=")</f>
        <v>#REF!</v>
      </c>
      <c r="BG76" t="e">
        <f>AND('Field Designations'!#REF!,"AAAAAHV/7To=")</f>
        <v>#REF!</v>
      </c>
      <c r="BH76" t="e">
        <f>AND('Field Designations'!#REF!,"AAAAAHV/7Ts=")</f>
        <v>#REF!</v>
      </c>
      <c r="BI76" t="e">
        <f>AND('Field Designations'!#REF!,"AAAAAHV/7Tw=")</f>
        <v>#REF!</v>
      </c>
      <c r="BJ76" t="e">
        <f>AND('Field Designations'!#REF!,"AAAAAHV/7T0=")</f>
        <v>#REF!</v>
      </c>
      <c r="BK76">
        <f>IF('Field Designations'!63:63,"AAAAAHV/7T4=",0)</f>
        <v>0</v>
      </c>
      <c r="BL76" t="e">
        <f>AND('Field Designations'!#REF!,"AAAAAHV/7T8=")</f>
        <v>#REF!</v>
      </c>
      <c r="BM76" t="e">
        <f>AND('Field Designations'!B63,"AAAAAHV/7UA=")</f>
        <v>#VALUE!</v>
      </c>
      <c r="BN76" t="e">
        <f>AND('Field Designations'!#REF!,"AAAAAHV/7UE=")</f>
        <v>#REF!</v>
      </c>
      <c r="BO76" t="e">
        <f>AND('Field Designations'!A63,"AAAAAHV/7UI=")</f>
        <v>#VALUE!</v>
      </c>
      <c r="BP76" t="e">
        <f>AND('Field Designations'!C63,"AAAAAHV/7UM=")</f>
        <v>#VALUE!</v>
      </c>
      <c r="BQ76" t="e">
        <f>AND('Field Designations'!#REF!,"AAAAAHV/7UQ=")</f>
        <v>#REF!</v>
      </c>
      <c r="BR76" t="e">
        <f>AND('Field Designations'!E63,"AAAAAHV/7UU=")</f>
        <v>#VALUE!</v>
      </c>
      <c r="BS76" t="e">
        <f>AND('Field Designations'!#REF!,"AAAAAHV/7UY=")</f>
        <v>#REF!</v>
      </c>
      <c r="BT76" t="e">
        <f>AND('Field Designations'!F63,"AAAAAHV/7Uc=")</f>
        <v>#VALUE!</v>
      </c>
      <c r="BU76" t="e">
        <f>AND('Field Designations'!#REF!,"AAAAAHV/7Ug=")</f>
        <v>#REF!</v>
      </c>
      <c r="BV76" t="e">
        <f>AND('Field Designations'!G63,"AAAAAHV/7Uk=")</f>
        <v>#VALUE!</v>
      </c>
      <c r="BW76" t="e">
        <f>AND('Field Designations'!#REF!,"AAAAAHV/7Uo=")</f>
        <v>#REF!</v>
      </c>
      <c r="BX76" t="e">
        <f>AND('Field Designations'!#REF!,"AAAAAHV/7Us=")</f>
        <v>#REF!</v>
      </c>
      <c r="BY76" t="e">
        <f>AND('Field Designations'!#REF!,"AAAAAHV/7Uw=")</f>
        <v>#REF!</v>
      </c>
      <c r="BZ76" t="e">
        <f>AND('Field Designations'!#REF!,"AAAAAHV/7U0=")</f>
        <v>#REF!</v>
      </c>
      <c r="CA76" t="e">
        <f>AND('Field Designations'!#REF!,"AAAAAHV/7U4=")</f>
        <v>#REF!</v>
      </c>
      <c r="CB76" t="e">
        <f>AND('Field Designations'!#REF!,"AAAAAHV/7U8=")</f>
        <v>#REF!</v>
      </c>
      <c r="CC76" t="e">
        <f>AND('Field Designations'!#REF!,"AAAAAHV/7VA=")</f>
        <v>#REF!</v>
      </c>
      <c r="CD76" t="e">
        <f>AND('Field Designations'!#REF!,"AAAAAHV/7VE=")</f>
        <v>#REF!</v>
      </c>
      <c r="CE76" t="e">
        <f>AND('Field Designations'!#REF!,"AAAAAHV/7VI=")</f>
        <v>#REF!</v>
      </c>
      <c r="CF76" t="e">
        <f>AND('Field Designations'!#REF!,"AAAAAHV/7VM=")</f>
        <v>#REF!</v>
      </c>
      <c r="CG76" t="e">
        <f>AND('Field Designations'!#REF!,"AAAAAHV/7VQ=")</f>
        <v>#REF!</v>
      </c>
      <c r="CH76" t="e">
        <f>AND('Field Designations'!#REF!,"AAAAAHV/7VU=")</f>
        <v>#REF!</v>
      </c>
      <c r="CI76" t="e">
        <f>AND('Field Designations'!H63,"AAAAAHV/7VY=")</f>
        <v>#VALUE!</v>
      </c>
      <c r="CJ76">
        <f>IF('Field Designations'!34:34,"AAAAAHV/7Vc=",0)</f>
        <v>0</v>
      </c>
      <c r="CK76" t="e">
        <f>AND('Field Designations'!#REF!,"AAAAAHV/7Vg=")</f>
        <v>#REF!</v>
      </c>
      <c r="CL76" t="e">
        <f>AND('Field Designations'!B34,"AAAAAHV/7Vk=")</f>
        <v>#VALUE!</v>
      </c>
      <c r="CM76" t="e">
        <f>AND('Field Designations'!#REF!,"AAAAAHV/7Vo=")</f>
        <v>#REF!</v>
      </c>
      <c r="CN76" t="e">
        <f>AND('Field Designations'!A34,"AAAAAHV/7Vs=")</f>
        <v>#VALUE!</v>
      </c>
      <c r="CO76" t="e">
        <f>AND('Field Designations'!C34,"AAAAAHV/7Vw=")</f>
        <v>#VALUE!</v>
      </c>
      <c r="CP76" t="e">
        <f>AND('Field Designations'!#REF!,"AAAAAHV/7V0=")</f>
        <v>#REF!</v>
      </c>
      <c r="CQ76" t="e">
        <f>AND('Field Designations'!E34,"AAAAAHV/7V4=")</f>
        <v>#VALUE!</v>
      </c>
      <c r="CR76" t="e">
        <f>AND('Field Designations'!#REF!,"AAAAAHV/7V8=")</f>
        <v>#REF!</v>
      </c>
      <c r="CS76" t="e">
        <f>AND('Field Designations'!F34,"AAAAAHV/7WA=")</f>
        <v>#VALUE!</v>
      </c>
      <c r="CT76" t="e">
        <f>AND('Field Designations'!#REF!,"AAAAAHV/7WE=")</f>
        <v>#REF!</v>
      </c>
      <c r="CU76" t="e">
        <f>AND('Field Designations'!G34,"AAAAAHV/7WI=")</f>
        <v>#VALUE!</v>
      </c>
      <c r="CV76" t="e">
        <f>AND('Field Designations'!#REF!,"AAAAAHV/7WM=")</f>
        <v>#REF!</v>
      </c>
      <c r="CW76" t="e">
        <f>AND('Field Designations'!#REF!,"AAAAAHV/7WQ=")</f>
        <v>#REF!</v>
      </c>
      <c r="CX76" t="e">
        <f>AND('Field Designations'!#REF!,"AAAAAHV/7WU=")</f>
        <v>#REF!</v>
      </c>
      <c r="CY76" t="e">
        <f>AND('Field Designations'!#REF!,"AAAAAHV/7WY=")</f>
        <v>#REF!</v>
      </c>
      <c r="CZ76" t="e">
        <f>AND('Field Designations'!#REF!,"AAAAAHV/7Wc=")</f>
        <v>#REF!</v>
      </c>
      <c r="DA76" t="e">
        <f>AND('Field Designations'!#REF!,"AAAAAHV/7Wg=")</f>
        <v>#REF!</v>
      </c>
      <c r="DB76" t="e">
        <f>AND('Field Designations'!#REF!,"AAAAAHV/7Wk=")</f>
        <v>#REF!</v>
      </c>
      <c r="DC76" t="e">
        <f>AND('Field Designations'!#REF!,"AAAAAHV/7Wo=")</f>
        <v>#REF!</v>
      </c>
      <c r="DD76" t="e">
        <f>AND('Field Designations'!#REF!,"AAAAAHV/7Ws=")</f>
        <v>#REF!</v>
      </c>
      <c r="DE76" t="e">
        <f>AND('Field Designations'!#REF!,"AAAAAHV/7Ww=")</f>
        <v>#REF!</v>
      </c>
      <c r="DF76" t="e">
        <f>AND('Field Designations'!#REF!,"AAAAAHV/7W0=")</f>
        <v>#REF!</v>
      </c>
      <c r="DG76" t="e">
        <f>AND('Field Designations'!#REF!,"AAAAAHV/7W4=")</f>
        <v>#REF!</v>
      </c>
      <c r="DH76" t="e">
        <f>AND('Field Designations'!H34,"AAAAAHV/7W8=")</f>
        <v>#VALUE!</v>
      </c>
      <c r="DI76" t="e">
        <f>IF('Field Designations'!#REF!,"AAAAAHV/7XA=",0)</f>
        <v>#REF!</v>
      </c>
      <c r="DJ76" t="e">
        <f>AND('Field Designations'!#REF!,"AAAAAHV/7XE=")</f>
        <v>#REF!</v>
      </c>
      <c r="DK76" t="e">
        <f>AND('Field Designations'!#REF!,"AAAAAHV/7XI=")</f>
        <v>#REF!</v>
      </c>
      <c r="DL76" t="e">
        <f>AND('Field Designations'!#REF!,"AAAAAHV/7XM=")</f>
        <v>#REF!</v>
      </c>
      <c r="DM76" t="e">
        <f>AND('Field Designations'!#REF!,"AAAAAHV/7XQ=")</f>
        <v>#REF!</v>
      </c>
      <c r="DN76" t="e">
        <f>AND('Field Designations'!#REF!,"AAAAAHV/7XU=")</f>
        <v>#REF!</v>
      </c>
      <c r="DO76" t="e">
        <f>AND('Field Designations'!#REF!,"AAAAAHV/7XY=")</f>
        <v>#REF!</v>
      </c>
      <c r="DP76" t="e">
        <f>AND('Field Designations'!#REF!,"AAAAAHV/7Xc=")</f>
        <v>#REF!</v>
      </c>
      <c r="DQ76" t="e">
        <f>AND('Field Designations'!#REF!,"AAAAAHV/7Xg=")</f>
        <v>#REF!</v>
      </c>
      <c r="DR76" t="e">
        <f>AND('Field Designations'!#REF!,"AAAAAHV/7Xk=")</f>
        <v>#REF!</v>
      </c>
      <c r="DS76" t="e">
        <f>AND('Field Designations'!#REF!,"AAAAAHV/7Xo=")</f>
        <v>#REF!</v>
      </c>
      <c r="DT76" t="e">
        <f>AND('Field Designations'!#REF!,"AAAAAHV/7Xs=")</f>
        <v>#REF!</v>
      </c>
      <c r="DU76" t="e">
        <f>AND('Field Designations'!#REF!,"AAAAAHV/7Xw=")</f>
        <v>#REF!</v>
      </c>
      <c r="DV76" t="e">
        <f>AND('Field Designations'!#REF!,"AAAAAHV/7X0=")</f>
        <v>#REF!</v>
      </c>
      <c r="DW76" t="e">
        <f>AND('Field Designations'!#REF!,"AAAAAHV/7X4=")</f>
        <v>#REF!</v>
      </c>
      <c r="DX76" t="e">
        <f>AND('Field Designations'!#REF!,"AAAAAHV/7X8=")</f>
        <v>#REF!</v>
      </c>
      <c r="DY76" t="e">
        <f>AND('Field Designations'!#REF!,"AAAAAHV/7YA=")</f>
        <v>#REF!</v>
      </c>
      <c r="DZ76" t="e">
        <f>AND('Field Designations'!#REF!,"AAAAAHV/7YE=")</f>
        <v>#REF!</v>
      </c>
      <c r="EA76" t="e">
        <f>AND('Field Designations'!#REF!,"AAAAAHV/7YI=")</f>
        <v>#REF!</v>
      </c>
      <c r="EB76" t="e">
        <f>AND('Field Designations'!#REF!,"AAAAAHV/7YM=")</f>
        <v>#REF!</v>
      </c>
      <c r="EC76" t="e">
        <f>AND('Field Designations'!#REF!,"AAAAAHV/7YQ=")</f>
        <v>#REF!</v>
      </c>
      <c r="ED76" t="e">
        <f>AND('Field Designations'!#REF!,"AAAAAHV/7YU=")</f>
        <v>#REF!</v>
      </c>
      <c r="EE76" t="e">
        <f>AND('Field Designations'!#REF!,"AAAAAHV/7YY=")</f>
        <v>#REF!</v>
      </c>
      <c r="EF76" t="e">
        <f>AND('Field Designations'!#REF!,"AAAAAHV/7Yc=")</f>
        <v>#REF!</v>
      </c>
      <c r="EG76" t="e">
        <f>AND('Field Designations'!#REF!,"AAAAAHV/7Yg=")</f>
        <v>#REF!</v>
      </c>
      <c r="EH76">
        <f>IF('Field Designations'!36:36,"AAAAAHV/7Yk=",0)</f>
        <v>0</v>
      </c>
      <c r="EI76" t="e">
        <f>AND('Field Designations'!#REF!,"AAAAAHV/7Yo=")</f>
        <v>#REF!</v>
      </c>
      <c r="EJ76" t="e">
        <f>AND('Field Designations'!B36,"AAAAAHV/7Ys=")</f>
        <v>#VALUE!</v>
      </c>
      <c r="EK76" t="e">
        <f>AND('Field Designations'!#REF!,"AAAAAHV/7Yw=")</f>
        <v>#REF!</v>
      </c>
      <c r="EL76" t="e">
        <f>AND('Field Designations'!A36,"AAAAAHV/7Y0=")</f>
        <v>#VALUE!</v>
      </c>
      <c r="EM76" t="e">
        <f>AND('Field Designations'!C36,"AAAAAHV/7Y4=")</f>
        <v>#VALUE!</v>
      </c>
      <c r="EN76" t="e">
        <f>AND('Field Designations'!#REF!,"AAAAAHV/7Y8=")</f>
        <v>#REF!</v>
      </c>
      <c r="EO76" t="e">
        <f>AND('Field Designations'!E36,"AAAAAHV/7ZA=")</f>
        <v>#VALUE!</v>
      </c>
      <c r="EP76" t="e">
        <f>AND('Field Designations'!#REF!,"AAAAAHV/7ZE=")</f>
        <v>#REF!</v>
      </c>
      <c r="EQ76" t="e">
        <f>AND('Field Designations'!F36,"AAAAAHV/7ZI=")</f>
        <v>#VALUE!</v>
      </c>
      <c r="ER76" t="e">
        <f>AND('Field Designations'!#REF!,"AAAAAHV/7ZM=")</f>
        <v>#REF!</v>
      </c>
      <c r="ES76" t="e">
        <f>AND('Field Designations'!G36,"AAAAAHV/7ZQ=")</f>
        <v>#VALUE!</v>
      </c>
      <c r="ET76" t="e">
        <f>AND('Field Designations'!#REF!,"AAAAAHV/7ZU=")</f>
        <v>#REF!</v>
      </c>
      <c r="EU76" t="e">
        <f>AND('Field Designations'!#REF!,"AAAAAHV/7ZY=")</f>
        <v>#REF!</v>
      </c>
      <c r="EV76" t="e">
        <f>AND('Field Designations'!#REF!,"AAAAAHV/7Zc=")</f>
        <v>#REF!</v>
      </c>
      <c r="EW76" t="e">
        <f>AND('Field Designations'!#REF!,"AAAAAHV/7Zg=")</f>
        <v>#REF!</v>
      </c>
      <c r="EX76" t="e">
        <f>AND('Field Designations'!#REF!,"AAAAAHV/7Zk=")</f>
        <v>#REF!</v>
      </c>
      <c r="EY76" t="e">
        <f>AND('Field Designations'!#REF!,"AAAAAHV/7Zo=")</f>
        <v>#REF!</v>
      </c>
      <c r="EZ76" t="e">
        <f>AND('Field Designations'!#REF!,"AAAAAHV/7Zs=")</f>
        <v>#REF!</v>
      </c>
      <c r="FA76" t="e">
        <f>AND('Field Designations'!#REF!,"AAAAAHV/7Zw=")</f>
        <v>#REF!</v>
      </c>
      <c r="FB76" t="e">
        <f>AND('Field Designations'!#REF!,"AAAAAHV/7Z0=")</f>
        <v>#REF!</v>
      </c>
      <c r="FC76" t="e">
        <f>AND('Field Designations'!#REF!,"AAAAAHV/7Z4=")</f>
        <v>#REF!</v>
      </c>
      <c r="FD76" t="e">
        <f>AND('Field Designations'!#REF!,"AAAAAHV/7Z8=")</f>
        <v>#REF!</v>
      </c>
      <c r="FE76" t="e">
        <f>AND('Field Designations'!#REF!,"AAAAAHV/7aA=")</f>
        <v>#REF!</v>
      </c>
      <c r="FF76" t="e">
        <f>AND('Field Designations'!H36,"AAAAAHV/7aE=")</f>
        <v>#VALUE!</v>
      </c>
      <c r="FG76">
        <f>IF('Field Designations'!37:37,"AAAAAHV/7aI=",0)</f>
        <v>0</v>
      </c>
      <c r="FH76" t="e">
        <f>AND('Field Designations'!#REF!,"AAAAAHV/7aM=")</f>
        <v>#REF!</v>
      </c>
      <c r="FI76" t="e">
        <f>AND('Field Designations'!B37,"AAAAAHV/7aQ=")</f>
        <v>#VALUE!</v>
      </c>
      <c r="FJ76" t="e">
        <f>AND('Field Designations'!#REF!,"AAAAAHV/7aU=")</f>
        <v>#REF!</v>
      </c>
      <c r="FK76" t="e">
        <f>AND('Field Designations'!A37,"AAAAAHV/7aY=")</f>
        <v>#VALUE!</v>
      </c>
      <c r="FL76" t="e">
        <f>AND('Field Designations'!C37,"AAAAAHV/7ac=")</f>
        <v>#VALUE!</v>
      </c>
      <c r="FM76" t="e">
        <f>AND('Field Designations'!#REF!,"AAAAAHV/7ag=")</f>
        <v>#REF!</v>
      </c>
      <c r="FN76" t="e">
        <f>AND('Field Designations'!E37,"AAAAAHV/7ak=")</f>
        <v>#VALUE!</v>
      </c>
      <c r="FO76" t="e">
        <f>AND('Field Designations'!#REF!,"AAAAAHV/7ao=")</f>
        <v>#REF!</v>
      </c>
      <c r="FP76" t="e">
        <f>AND('Field Designations'!F37,"AAAAAHV/7as=")</f>
        <v>#VALUE!</v>
      </c>
      <c r="FQ76" t="e">
        <f>AND('Field Designations'!#REF!,"AAAAAHV/7aw=")</f>
        <v>#REF!</v>
      </c>
      <c r="FR76" t="e">
        <f>AND('Field Designations'!G37,"AAAAAHV/7a0=")</f>
        <v>#VALUE!</v>
      </c>
      <c r="FS76" t="e">
        <f>AND('Field Designations'!#REF!,"AAAAAHV/7a4=")</f>
        <v>#REF!</v>
      </c>
      <c r="FT76" t="e">
        <f>AND('Field Designations'!#REF!,"AAAAAHV/7a8=")</f>
        <v>#REF!</v>
      </c>
      <c r="FU76" t="e">
        <f>AND('Field Designations'!#REF!,"AAAAAHV/7bA=")</f>
        <v>#REF!</v>
      </c>
      <c r="FV76" t="e">
        <f>AND('Field Designations'!#REF!,"AAAAAHV/7bE=")</f>
        <v>#REF!</v>
      </c>
      <c r="FW76" t="e">
        <f>AND('Field Designations'!#REF!,"AAAAAHV/7bI=")</f>
        <v>#REF!</v>
      </c>
      <c r="FX76" t="e">
        <f>AND('Field Designations'!#REF!,"AAAAAHV/7bM=")</f>
        <v>#REF!</v>
      </c>
      <c r="FY76" t="e">
        <f>AND('Field Designations'!#REF!,"AAAAAHV/7bQ=")</f>
        <v>#REF!</v>
      </c>
      <c r="FZ76" t="e">
        <f>AND('Field Designations'!#REF!,"AAAAAHV/7bU=")</f>
        <v>#REF!</v>
      </c>
      <c r="GA76" t="e">
        <f>AND('Field Designations'!#REF!,"AAAAAHV/7bY=")</f>
        <v>#REF!</v>
      </c>
      <c r="GB76" t="e">
        <f>AND('Field Designations'!#REF!,"AAAAAHV/7bc=")</f>
        <v>#REF!</v>
      </c>
      <c r="GC76" t="e">
        <f>AND('Field Designations'!#REF!,"AAAAAHV/7bg=")</f>
        <v>#REF!</v>
      </c>
      <c r="GD76" t="e">
        <f>AND('Field Designations'!#REF!,"AAAAAHV/7bk=")</f>
        <v>#REF!</v>
      </c>
      <c r="GE76" t="e">
        <f>AND('Field Designations'!H37,"AAAAAHV/7bo=")</f>
        <v>#VALUE!</v>
      </c>
      <c r="GF76">
        <f>IF('Field Designations'!38:38,"AAAAAHV/7bs=",0)</f>
        <v>0</v>
      </c>
      <c r="GG76" t="e">
        <f>AND('Field Designations'!#REF!,"AAAAAHV/7bw=")</f>
        <v>#REF!</v>
      </c>
      <c r="GH76" t="e">
        <f>AND('Field Designations'!B38,"AAAAAHV/7b0=")</f>
        <v>#VALUE!</v>
      </c>
      <c r="GI76" t="e">
        <f>AND('Field Designations'!#REF!,"AAAAAHV/7b4=")</f>
        <v>#REF!</v>
      </c>
      <c r="GJ76" t="e">
        <f>AND('Field Designations'!A38,"AAAAAHV/7b8=")</f>
        <v>#VALUE!</v>
      </c>
      <c r="GK76" t="e">
        <f>AND('Field Designations'!C38,"AAAAAHV/7cA=")</f>
        <v>#VALUE!</v>
      </c>
      <c r="GL76" t="e">
        <f>AND('Field Designations'!#REF!,"AAAAAHV/7cE=")</f>
        <v>#REF!</v>
      </c>
      <c r="GM76" t="e">
        <f>AND('Field Designations'!E38,"AAAAAHV/7cI=")</f>
        <v>#VALUE!</v>
      </c>
      <c r="GN76" t="e">
        <f>AND('Field Designations'!#REF!,"AAAAAHV/7cM=")</f>
        <v>#REF!</v>
      </c>
      <c r="GO76" t="e">
        <f>AND('Field Designations'!F38,"AAAAAHV/7cQ=")</f>
        <v>#VALUE!</v>
      </c>
      <c r="GP76" t="e">
        <f>AND('Field Designations'!#REF!,"AAAAAHV/7cU=")</f>
        <v>#REF!</v>
      </c>
      <c r="GQ76" t="e">
        <f>AND('Field Designations'!G38,"AAAAAHV/7cY=")</f>
        <v>#VALUE!</v>
      </c>
      <c r="GR76" t="e">
        <f>AND('Field Designations'!#REF!,"AAAAAHV/7cc=")</f>
        <v>#REF!</v>
      </c>
      <c r="GS76" t="e">
        <f>AND('Field Designations'!#REF!,"AAAAAHV/7cg=")</f>
        <v>#REF!</v>
      </c>
      <c r="GT76" t="e">
        <f>AND('Field Designations'!#REF!,"AAAAAHV/7ck=")</f>
        <v>#REF!</v>
      </c>
      <c r="GU76" t="e">
        <f>AND('Field Designations'!#REF!,"AAAAAHV/7co=")</f>
        <v>#REF!</v>
      </c>
      <c r="GV76" t="e">
        <f>AND('Field Designations'!#REF!,"AAAAAHV/7cs=")</f>
        <v>#REF!</v>
      </c>
      <c r="GW76" t="e">
        <f>AND('Field Designations'!#REF!,"AAAAAHV/7cw=")</f>
        <v>#REF!</v>
      </c>
      <c r="GX76" t="e">
        <f>AND('Field Designations'!#REF!,"AAAAAHV/7c0=")</f>
        <v>#REF!</v>
      </c>
      <c r="GY76" t="e">
        <f>AND('Field Designations'!#REF!,"AAAAAHV/7c4=")</f>
        <v>#REF!</v>
      </c>
      <c r="GZ76" t="e">
        <f>AND('Field Designations'!#REF!,"AAAAAHV/7c8=")</f>
        <v>#REF!</v>
      </c>
      <c r="HA76" t="e">
        <f>AND('Field Designations'!#REF!,"AAAAAHV/7dA=")</f>
        <v>#REF!</v>
      </c>
      <c r="HB76" t="e">
        <f>AND('Field Designations'!#REF!,"AAAAAHV/7dE=")</f>
        <v>#REF!</v>
      </c>
      <c r="HC76" t="e">
        <f>AND('Field Designations'!#REF!,"AAAAAHV/7dI=")</f>
        <v>#REF!</v>
      </c>
      <c r="HD76" t="e">
        <f>AND('Field Designations'!H38,"AAAAAHV/7dM=")</f>
        <v>#VALUE!</v>
      </c>
      <c r="HE76">
        <f>IF('Field Designations'!39:39,"AAAAAHV/7dQ=",0)</f>
        <v>0</v>
      </c>
      <c r="HF76" t="e">
        <f>AND('Field Designations'!#REF!,"AAAAAHV/7dU=")</f>
        <v>#REF!</v>
      </c>
      <c r="HG76" t="e">
        <f>AND('Field Designations'!B39,"AAAAAHV/7dY=")</f>
        <v>#VALUE!</v>
      </c>
      <c r="HH76" t="e">
        <f>AND('Field Designations'!#REF!,"AAAAAHV/7dc=")</f>
        <v>#REF!</v>
      </c>
      <c r="HI76" t="e">
        <f>AND('Field Designations'!A39,"AAAAAHV/7dg=")</f>
        <v>#VALUE!</v>
      </c>
      <c r="HJ76" t="e">
        <f>AND('Field Designations'!C39,"AAAAAHV/7dk=")</f>
        <v>#VALUE!</v>
      </c>
      <c r="HK76" t="e">
        <f>AND('Field Designations'!#REF!,"AAAAAHV/7do=")</f>
        <v>#REF!</v>
      </c>
      <c r="HL76" t="e">
        <f>AND('Field Designations'!E39,"AAAAAHV/7ds=")</f>
        <v>#VALUE!</v>
      </c>
      <c r="HM76" t="e">
        <f>AND('Field Designations'!#REF!,"AAAAAHV/7dw=")</f>
        <v>#REF!</v>
      </c>
      <c r="HN76" t="e">
        <f>AND('Field Designations'!F39,"AAAAAHV/7d0=")</f>
        <v>#VALUE!</v>
      </c>
      <c r="HO76" t="e">
        <f>AND('Field Designations'!#REF!,"AAAAAHV/7d4=")</f>
        <v>#REF!</v>
      </c>
      <c r="HP76" t="e">
        <f>AND('Field Designations'!G39,"AAAAAHV/7d8=")</f>
        <v>#VALUE!</v>
      </c>
      <c r="HQ76" t="e">
        <f>AND('Field Designations'!#REF!,"AAAAAHV/7eA=")</f>
        <v>#REF!</v>
      </c>
      <c r="HR76" t="e">
        <f>AND('Field Designations'!#REF!,"AAAAAHV/7eE=")</f>
        <v>#REF!</v>
      </c>
      <c r="HS76" t="e">
        <f>AND('Field Designations'!#REF!,"AAAAAHV/7eI=")</f>
        <v>#REF!</v>
      </c>
      <c r="HT76" t="e">
        <f>AND('Field Designations'!#REF!,"AAAAAHV/7eM=")</f>
        <v>#REF!</v>
      </c>
      <c r="HU76" t="e">
        <f>AND('Field Designations'!#REF!,"AAAAAHV/7eQ=")</f>
        <v>#REF!</v>
      </c>
      <c r="HV76" t="e">
        <f>AND('Field Designations'!#REF!,"AAAAAHV/7eU=")</f>
        <v>#REF!</v>
      </c>
      <c r="HW76" t="e">
        <f>AND('Field Designations'!#REF!,"AAAAAHV/7eY=")</f>
        <v>#REF!</v>
      </c>
      <c r="HX76" t="e">
        <f>AND('Field Designations'!#REF!,"AAAAAHV/7ec=")</f>
        <v>#REF!</v>
      </c>
      <c r="HY76" t="e">
        <f>AND('Field Designations'!#REF!,"AAAAAHV/7eg=")</f>
        <v>#REF!</v>
      </c>
      <c r="HZ76" t="e">
        <f>AND('Field Designations'!#REF!,"AAAAAHV/7ek=")</f>
        <v>#REF!</v>
      </c>
      <c r="IA76" t="e">
        <f>AND('Field Designations'!#REF!,"AAAAAHV/7eo=")</f>
        <v>#REF!</v>
      </c>
      <c r="IB76" t="e">
        <f>AND('Field Designations'!#REF!,"AAAAAHV/7es=")</f>
        <v>#REF!</v>
      </c>
      <c r="IC76" t="e">
        <f>AND('Field Designations'!H39,"AAAAAHV/7ew=")</f>
        <v>#VALUE!</v>
      </c>
      <c r="ID76">
        <f>IF('Field Designations'!40:40,"AAAAAHV/7e0=",0)</f>
        <v>0</v>
      </c>
      <c r="IE76" t="e">
        <f>AND('Field Designations'!#REF!,"AAAAAHV/7e4=")</f>
        <v>#REF!</v>
      </c>
      <c r="IF76" t="e">
        <f>AND('Field Designations'!B40,"AAAAAHV/7e8=")</f>
        <v>#VALUE!</v>
      </c>
      <c r="IG76" t="e">
        <f>AND('Field Designations'!#REF!,"AAAAAHV/7fA=")</f>
        <v>#REF!</v>
      </c>
      <c r="IH76" t="e">
        <f>AND('Field Designations'!A40,"AAAAAHV/7fE=")</f>
        <v>#VALUE!</v>
      </c>
      <c r="II76" t="e">
        <f>AND('Field Designations'!C40,"AAAAAHV/7fI=")</f>
        <v>#VALUE!</v>
      </c>
      <c r="IJ76" t="e">
        <f>AND('Field Designations'!#REF!,"AAAAAHV/7fM=")</f>
        <v>#REF!</v>
      </c>
      <c r="IK76" t="e">
        <f>AND('Field Designations'!E40,"AAAAAHV/7fQ=")</f>
        <v>#VALUE!</v>
      </c>
      <c r="IL76" t="e">
        <f>AND('Field Designations'!#REF!,"AAAAAHV/7fU=")</f>
        <v>#REF!</v>
      </c>
      <c r="IM76" t="e">
        <f>AND('Field Designations'!F40,"AAAAAHV/7fY=")</f>
        <v>#VALUE!</v>
      </c>
      <c r="IN76" t="e">
        <f>AND('Field Designations'!#REF!,"AAAAAHV/7fc=")</f>
        <v>#REF!</v>
      </c>
      <c r="IO76" t="e">
        <f>AND('Field Designations'!G40,"AAAAAHV/7fg=")</f>
        <v>#VALUE!</v>
      </c>
      <c r="IP76" t="e">
        <f>AND('Field Designations'!#REF!,"AAAAAHV/7fk=")</f>
        <v>#REF!</v>
      </c>
      <c r="IQ76" t="e">
        <f>AND('Field Designations'!#REF!,"AAAAAHV/7fo=")</f>
        <v>#REF!</v>
      </c>
      <c r="IR76" t="e">
        <f>AND('Field Designations'!#REF!,"AAAAAHV/7fs=")</f>
        <v>#REF!</v>
      </c>
      <c r="IS76" t="e">
        <f>AND('Field Designations'!#REF!,"AAAAAHV/7fw=")</f>
        <v>#REF!</v>
      </c>
      <c r="IT76" t="e">
        <f>AND('Field Designations'!#REF!,"AAAAAHV/7f0=")</f>
        <v>#REF!</v>
      </c>
      <c r="IU76" t="e">
        <f>AND('Field Designations'!#REF!,"AAAAAHV/7f4=")</f>
        <v>#REF!</v>
      </c>
      <c r="IV76" t="e">
        <f>AND('Field Designations'!#REF!,"AAAAAHV/7f8=")</f>
        <v>#REF!</v>
      </c>
    </row>
    <row r="77" spans="1:256" x14ac:dyDescent="0.2">
      <c r="A77" t="e">
        <f>AND('Field Designations'!#REF!,"AAAAAHvfvgA=")</f>
        <v>#REF!</v>
      </c>
      <c r="B77" t="e">
        <f>AND('Field Designations'!#REF!,"AAAAAHvfvgE=")</f>
        <v>#REF!</v>
      </c>
      <c r="C77" t="e">
        <f>AND('Field Designations'!#REF!,"AAAAAHvfvgI=")</f>
        <v>#REF!</v>
      </c>
      <c r="D77" t="e">
        <f>AND('Field Designations'!#REF!,"AAAAAHvfvgM=")</f>
        <v>#REF!</v>
      </c>
      <c r="E77" t="e">
        <f>AND('Field Designations'!#REF!,"AAAAAHvfvgQ=")</f>
        <v>#REF!</v>
      </c>
      <c r="F77" t="e">
        <f>AND('Field Designations'!H40,"AAAAAHvfvgU=")</f>
        <v>#VALUE!</v>
      </c>
      <c r="G77" t="e">
        <f>IF('Field Designations'!42:42,"AAAAAHvfvgY=",0)</f>
        <v>#VALUE!</v>
      </c>
      <c r="H77" t="e">
        <f>AND('Field Designations'!#REF!,"AAAAAHvfvgc=")</f>
        <v>#REF!</v>
      </c>
      <c r="I77" t="e">
        <f>AND('Field Designations'!B42,"AAAAAHvfvgg=")</f>
        <v>#VALUE!</v>
      </c>
      <c r="J77" t="e">
        <f>AND('Field Designations'!#REF!,"AAAAAHvfvgk=")</f>
        <v>#REF!</v>
      </c>
      <c r="K77" t="e">
        <f>AND('Field Designations'!A42,"AAAAAHvfvgo=")</f>
        <v>#VALUE!</v>
      </c>
      <c r="L77" t="e">
        <f>AND('Field Designations'!C42,"AAAAAHvfvgs=")</f>
        <v>#VALUE!</v>
      </c>
      <c r="M77" t="e">
        <f>AND('Field Designations'!#REF!,"AAAAAHvfvgw=")</f>
        <v>#REF!</v>
      </c>
      <c r="N77" t="e">
        <f>AND('Field Designations'!E42,"AAAAAHvfvg0=")</f>
        <v>#VALUE!</v>
      </c>
      <c r="O77" t="e">
        <f>AND('Field Designations'!#REF!,"AAAAAHvfvg4=")</f>
        <v>#REF!</v>
      </c>
      <c r="P77" t="e">
        <f>AND('Field Designations'!F42,"AAAAAHvfvg8=")</f>
        <v>#VALUE!</v>
      </c>
      <c r="Q77" t="e">
        <f>AND('Field Designations'!#REF!,"AAAAAHvfvhA=")</f>
        <v>#REF!</v>
      </c>
      <c r="R77" t="e">
        <f>AND('Field Designations'!G42,"AAAAAHvfvhE=")</f>
        <v>#VALUE!</v>
      </c>
      <c r="S77" t="e">
        <f>AND('Field Designations'!#REF!,"AAAAAHvfvhI=")</f>
        <v>#REF!</v>
      </c>
      <c r="T77" t="e">
        <f>AND('Field Designations'!#REF!,"AAAAAHvfvhM=")</f>
        <v>#REF!</v>
      </c>
      <c r="U77" t="e">
        <f>AND('Field Designations'!#REF!,"AAAAAHvfvhQ=")</f>
        <v>#REF!</v>
      </c>
      <c r="V77" t="e">
        <f>AND('Field Designations'!#REF!,"AAAAAHvfvhU=")</f>
        <v>#REF!</v>
      </c>
      <c r="W77" t="e">
        <f>AND('Field Designations'!#REF!,"AAAAAHvfvhY=")</f>
        <v>#REF!</v>
      </c>
      <c r="X77" t="e">
        <f>AND('Field Designations'!#REF!,"AAAAAHvfvhc=")</f>
        <v>#REF!</v>
      </c>
      <c r="Y77" t="e">
        <f>AND('Field Designations'!#REF!,"AAAAAHvfvhg=")</f>
        <v>#REF!</v>
      </c>
      <c r="Z77" t="e">
        <f>AND('Field Designations'!#REF!,"AAAAAHvfvhk=")</f>
        <v>#REF!</v>
      </c>
      <c r="AA77" t="e">
        <f>AND('Field Designations'!#REF!,"AAAAAHvfvho=")</f>
        <v>#REF!</v>
      </c>
      <c r="AB77" t="e">
        <f>AND('Field Designations'!#REF!,"AAAAAHvfvhs=")</f>
        <v>#REF!</v>
      </c>
      <c r="AC77" t="e">
        <f>AND('Field Designations'!#REF!,"AAAAAHvfvhw=")</f>
        <v>#REF!</v>
      </c>
      <c r="AD77" t="e">
        <f>AND('Field Designations'!#REF!,"AAAAAHvfvh0=")</f>
        <v>#REF!</v>
      </c>
      <c r="AE77" t="e">
        <f>AND('Field Designations'!H42,"AAAAAHvfvh4=")</f>
        <v>#VALUE!</v>
      </c>
      <c r="AF77">
        <f>IF('Field Designations'!43:43,"AAAAAHvfvh8=",0)</f>
        <v>0</v>
      </c>
      <c r="AG77" t="e">
        <f>AND('Field Designations'!#REF!,"AAAAAHvfviA=")</f>
        <v>#REF!</v>
      </c>
      <c r="AH77" t="e">
        <f>AND('Field Designations'!B43,"AAAAAHvfviE=")</f>
        <v>#VALUE!</v>
      </c>
      <c r="AI77" t="e">
        <f>AND('Field Designations'!#REF!,"AAAAAHvfviI=")</f>
        <v>#REF!</v>
      </c>
      <c r="AJ77" t="e">
        <f>AND('Field Designations'!A43,"AAAAAHvfviM=")</f>
        <v>#VALUE!</v>
      </c>
      <c r="AK77" t="e">
        <f>AND('Field Designations'!C43,"AAAAAHvfviQ=")</f>
        <v>#VALUE!</v>
      </c>
      <c r="AL77" t="e">
        <f>AND('Field Designations'!#REF!,"AAAAAHvfviU=")</f>
        <v>#REF!</v>
      </c>
      <c r="AM77" t="e">
        <f>AND('Field Designations'!E43,"AAAAAHvfviY=")</f>
        <v>#VALUE!</v>
      </c>
      <c r="AN77" t="e">
        <f>AND('Field Designations'!#REF!,"AAAAAHvfvic=")</f>
        <v>#REF!</v>
      </c>
      <c r="AO77" t="e">
        <f>AND('Field Designations'!F43,"AAAAAHvfvig=")</f>
        <v>#VALUE!</v>
      </c>
      <c r="AP77" t="e">
        <f>AND('Field Designations'!#REF!,"AAAAAHvfvik=")</f>
        <v>#REF!</v>
      </c>
      <c r="AQ77" t="e">
        <f>AND('Field Designations'!G43,"AAAAAHvfvio=")</f>
        <v>#VALUE!</v>
      </c>
      <c r="AR77" t="e">
        <f>AND('Field Designations'!#REF!,"AAAAAHvfvis=")</f>
        <v>#REF!</v>
      </c>
      <c r="AS77" t="e">
        <f>AND('Field Designations'!#REF!,"AAAAAHvfviw=")</f>
        <v>#REF!</v>
      </c>
      <c r="AT77" t="e">
        <f>AND('Field Designations'!#REF!,"AAAAAHvfvi0=")</f>
        <v>#REF!</v>
      </c>
      <c r="AU77" t="e">
        <f>AND('Field Designations'!#REF!,"AAAAAHvfvi4=")</f>
        <v>#REF!</v>
      </c>
      <c r="AV77" t="e">
        <f>AND('Field Designations'!#REF!,"AAAAAHvfvi8=")</f>
        <v>#REF!</v>
      </c>
      <c r="AW77" t="e">
        <f>AND('Field Designations'!#REF!,"AAAAAHvfvjA=")</f>
        <v>#REF!</v>
      </c>
      <c r="AX77" t="e">
        <f>AND('Field Designations'!#REF!,"AAAAAHvfvjE=")</f>
        <v>#REF!</v>
      </c>
      <c r="AY77" t="e">
        <f>AND('Field Designations'!#REF!,"AAAAAHvfvjI=")</f>
        <v>#REF!</v>
      </c>
      <c r="AZ77" t="e">
        <f>AND('Field Designations'!#REF!,"AAAAAHvfvjM=")</f>
        <v>#REF!</v>
      </c>
      <c r="BA77" t="e">
        <f>AND('Field Designations'!#REF!,"AAAAAHvfvjQ=")</f>
        <v>#REF!</v>
      </c>
      <c r="BB77" t="e">
        <f>AND('Field Designations'!#REF!,"AAAAAHvfvjU=")</f>
        <v>#REF!</v>
      </c>
      <c r="BC77" t="e">
        <f>AND('Field Designations'!#REF!,"AAAAAHvfvjY=")</f>
        <v>#REF!</v>
      </c>
      <c r="BD77" t="e">
        <f>AND('Field Designations'!H43,"AAAAAHvfvjc=")</f>
        <v>#VALUE!</v>
      </c>
      <c r="BE77">
        <f>IF('Field Designations'!44:44,"AAAAAHvfvjg=",0)</f>
        <v>0</v>
      </c>
      <c r="BF77" t="e">
        <f>AND('Field Designations'!#REF!,"AAAAAHvfvjk=")</f>
        <v>#REF!</v>
      </c>
      <c r="BG77" t="e">
        <f>AND('Field Designations'!B44,"AAAAAHvfvjo=")</f>
        <v>#VALUE!</v>
      </c>
      <c r="BH77" t="e">
        <f>AND('Field Designations'!#REF!,"AAAAAHvfvjs=")</f>
        <v>#REF!</v>
      </c>
      <c r="BI77" t="e">
        <f>AND('Field Designations'!A44,"AAAAAHvfvjw=")</f>
        <v>#VALUE!</v>
      </c>
      <c r="BJ77" t="e">
        <f>AND('Field Designations'!C44,"AAAAAHvfvj0=")</f>
        <v>#VALUE!</v>
      </c>
      <c r="BK77" t="e">
        <f>AND('Field Designations'!#REF!,"AAAAAHvfvj4=")</f>
        <v>#REF!</v>
      </c>
      <c r="BL77" t="e">
        <f>AND('Field Designations'!E44,"AAAAAHvfvj8=")</f>
        <v>#VALUE!</v>
      </c>
      <c r="BM77" t="e">
        <f>AND('Field Designations'!#REF!,"AAAAAHvfvkA=")</f>
        <v>#REF!</v>
      </c>
      <c r="BN77" t="e">
        <f>AND('Field Designations'!F44,"AAAAAHvfvkE=")</f>
        <v>#VALUE!</v>
      </c>
      <c r="BO77" t="e">
        <f>AND('Field Designations'!#REF!,"AAAAAHvfvkI=")</f>
        <v>#REF!</v>
      </c>
      <c r="BP77" t="e">
        <f>AND('Field Designations'!G44,"AAAAAHvfvkM=")</f>
        <v>#VALUE!</v>
      </c>
      <c r="BQ77" t="e">
        <f>AND('Field Designations'!#REF!,"AAAAAHvfvkQ=")</f>
        <v>#REF!</v>
      </c>
      <c r="BR77" t="e">
        <f>AND('Field Designations'!#REF!,"AAAAAHvfvkU=")</f>
        <v>#REF!</v>
      </c>
      <c r="BS77" t="e">
        <f>AND('Field Designations'!#REF!,"AAAAAHvfvkY=")</f>
        <v>#REF!</v>
      </c>
      <c r="BT77" t="e">
        <f>AND('Field Designations'!#REF!,"AAAAAHvfvkc=")</f>
        <v>#REF!</v>
      </c>
      <c r="BU77" t="e">
        <f>AND('Field Designations'!#REF!,"AAAAAHvfvkg=")</f>
        <v>#REF!</v>
      </c>
      <c r="BV77" t="e">
        <f>AND('Field Designations'!#REF!,"AAAAAHvfvkk=")</f>
        <v>#REF!</v>
      </c>
      <c r="BW77" t="e">
        <f>AND('Field Designations'!#REF!,"AAAAAHvfvko=")</f>
        <v>#REF!</v>
      </c>
      <c r="BX77" t="e">
        <f>AND('Field Designations'!#REF!,"AAAAAHvfvks=")</f>
        <v>#REF!</v>
      </c>
      <c r="BY77" t="e">
        <f>AND('Field Designations'!#REF!,"AAAAAHvfvkw=")</f>
        <v>#REF!</v>
      </c>
      <c r="BZ77" t="e">
        <f>AND('Field Designations'!#REF!,"AAAAAHvfvk0=")</f>
        <v>#REF!</v>
      </c>
      <c r="CA77" t="e">
        <f>AND('Field Designations'!#REF!,"AAAAAHvfvk4=")</f>
        <v>#REF!</v>
      </c>
      <c r="CB77" t="e">
        <f>AND('Field Designations'!#REF!,"AAAAAHvfvk8=")</f>
        <v>#REF!</v>
      </c>
      <c r="CC77" t="e">
        <f>AND('Field Designations'!H44,"AAAAAHvfvlA=")</f>
        <v>#VALUE!</v>
      </c>
      <c r="CD77">
        <f>IF('Field Designations'!45:45,"AAAAAHvfvlE=",0)</f>
        <v>0</v>
      </c>
      <c r="CE77" t="e">
        <f>AND('Field Designations'!#REF!,"AAAAAHvfvlI=")</f>
        <v>#REF!</v>
      </c>
      <c r="CF77" t="e">
        <f>AND('Field Designations'!B45,"AAAAAHvfvlM=")</f>
        <v>#VALUE!</v>
      </c>
      <c r="CG77" t="e">
        <f>AND('Field Designations'!#REF!,"AAAAAHvfvlQ=")</f>
        <v>#REF!</v>
      </c>
      <c r="CH77" t="e">
        <f>AND('Field Designations'!A45,"AAAAAHvfvlU=")</f>
        <v>#VALUE!</v>
      </c>
      <c r="CI77" t="e">
        <f>AND('Field Designations'!C45,"AAAAAHvfvlY=")</f>
        <v>#VALUE!</v>
      </c>
      <c r="CJ77" t="e">
        <f>AND('Field Designations'!#REF!,"AAAAAHvfvlc=")</f>
        <v>#REF!</v>
      </c>
      <c r="CK77" t="e">
        <f>AND('Field Designations'!E45,"AAAAAHvfvlg=")</f>
        <v>#VALUE!</v>
      </c>
      <c r="CL77" t="e">
        <f>AND('Field Designations'!#REF!,"AAAAAHvfvlk=")</f>
        <v>#REF!</v>
      </c>
      <c r="CM77" t="e">
        <f>AND('Field Designations'!F45,"AAAAAHvfvlo=")</f>
        <v>#VALUE!</v>
      </c>
      <c r="CN77" t="e">
        <f>AND('Field Designations'!#REF!,"AAAAAHvfvls=")</f>
        <v>#REF!</v>
      </c>
      <c r="CO77" t="e">
        <f>AND('Field Designations'!G45,"AAAAAHvfvlw=")</f>
        <v>#VALUE!</v>
      </c>
      <c r="CP77" t="e">
        <f>AND('Field Designations'!#REF!,"AAAAAHvfvl0=")</f>
        <v>#REF!</v>
      </c>
      <c r="CQ77" t="e">
        <f>AND('Field Designations'!#REF!,"AAAAAHvfvl4=")</f>
        <v>#REF!</v>
      </c>
      <c r="CR77" t="e">
        <f>AND('Field Designations'!#REF!,"AAAAAHvfvl8=")</f>
        <v>#REF!</v>
      </c>
      <c r="CS77" t="e">
        <f>AND('Field Designations'!#REF!,"AAAAAHvfvmA=")</f>
        <v>#REF!</v>
      </c>
      <c r="CT77" t="e">
        <f>AND('Field Designations'!#REF!,"AAAAAHvfvmE=")</f>
        <v>#REF!</v>
      </c>
      <c r="CU77" t="e">
        <f>AND('Field Designations'!#REF!,"AAAAAHvfvmI=")</f>
        <v>#REF!</v>
      </c>
      <c r="CV77" t="e">
        <f>AND('Field Designations'!#REF!,"AAAAAHvfvmM=")</f>
        <v>#REF!</v>
      </c>
      <c r="CW77" t="e">
        <f>AND('Field Designations'!#REF!,"AAAAAHvfvmQ=")</f>
        <v>#REF!</v>
      </c>
      <c r="CX77" t="e">
        <f>AND('Field Designations'!#REF!,"AAAAAHvfvmU=")</f>
        <v>#REF!</v>
      </c>
      <c r="CY77" t="e">
        <f>AND('Field Designations'!#REF!,"AAAAAHvfvmY=")</f>
        <v>#REF!</v>
      </c>
      <c r="CZ77" t="e">
        <f>AND('Field Designations'!#REF!,"AAAAAHvfvmc=")</f>
        <v>#REF!</v>
      </c>
      <c r="DA77" t="e">
        <f>AND('Field Designations'!#REF!,"AAAAAHvfvmg=")</f>
        <v>#REF!</v>
      </c>
      <c r="DB77" t="e">
        <f>AND('Field Designations'!H45,"AAAAAHvfvmk=")</f>
        <v>#VALUE!</v>
      </c>
      <c r="DC77">
        <f>IF('Field Designations'!46:46,"AAAAAHvfvmo=",0)</f>
        <v>0</v>
      </c>
      <c r="DD77" t="e">
        <f>AND('Field Designations'!#REF!,"AAAAAHvfvms=")</f>
        <v>#REF!</v>
      </c>
      <c r="DE77" t="e">
        <f>AND('Field Designations'!B46,"AAAAAHvfvmw=")</f>
        <v>#VALUE!</v>
      </c>
      <c r="DF77" t="e">
        <f>AND('Field Designations'!#REF!,"AAAAAHvfvm0=")</f>
        <v>#REF!</v>
      </c>
      <c r="DG77" t="e">
        <f>AND('Field Designations'!A46,"AAAAAHvfvm4=")</f>
        <v>#VALUE!</v>
      </c>
      <c r="DH77" t="e">
        <f>AND('Field Designations'!C46,"AAAAAHvfvm8=")</f>
        <v>#VALUE!</v>
      </c>
      <c r="DI77" t="e">
        <f>AND('Field Designations'!#REF!,"AAAAAHvfvnA=")</f>
        <v>#REF!</v>
      </c>
      <c r="DJ77" t="e">
        <f>AND('Field Designations'!E46,"AAAAAHvfvnE=")</f>
        <v>#VALUE!</v>
      </c>
      <c r="DK77" t="e">
        <f>AND('Field Designations'!#REF!,"AAAAAHvfvnI=")</f>
        <v>#REF!</v>
      </c>
      <c r="DL77" t="e">
        <f>AND('Field Designations'!F46,"AAAAAHvfvnM=")</f>
        <v>#VALUE!</v>
      </c>
      <c r="DM77" t="e">
        <f>AND('Field Designations'!#REF!,"AAAAAHvfvnQ=")</f>
        <v>#REF!</v>
      </c>
      <c r="DN77" t="e">
        <f>AND('Field Designations'!G46,"AAAAAHvfvnU=")</f>
        <v>#VALUE!</v>
      </c>
      <c r="DO77" t="e">
        <f>AND('Field Designations'!#REF!,"AAAAAHvfvnY=")</f>
        <v>#REF!</v>
      </c>
      <c r="DP77" t="e">
        <f>AND('Field Designations'!#REF!,"AAAAAHvfvnc=")</f>
        <v>#REF!</v>
      </c>
      <c r="DQ77" t="e">
        <f>AND('Field Designations'!#REF!,"AAAAAHvfvng=")</f>
        <v>#REF!</v>
      </c>
      <c r="DR77" t="e">
        <f>AND('Field Designations'!#REF!,"AAAAAHvfvnk=")</f>
        <v>#REF!</v>
      </c>
      <c r="DS77" t="e">
        <f>AND('Field Designations'!#REF!,"AAAAAHvfvno=")</f>
        <v>#REF!</v>
      </c>
      <c r="DT77" t="e">
        <f>AND('Field Designations'!#REF!,"AAAAAHvfvns=")</f>
        <v>#REF!</v>
      </c>
      <c r="DU77" t="e">
        <f>AND('Field Designations'!#REF!,"AAAAAHvfvnw=")</f>
        <v>#REF!</v>
      </c>
      <c r="DV77" t="e">
        <f>AND('Field Designations'!#REF!,"AAAAAHvfvn0=")</f>
        <v>#REF!</v>
      </c>
      <c r="DW77" t="e">
        <f>AND('Field Designations'!#REF!,"AAAAAHvfvn4=")</f>
        <v>#REF!</v>
      </c>
      <c r="DX77" t="e">
        <f>AND('Field Designations'!#REF!,"AAAAAHvfvn8=")</f>
        <v>#REF!</v>
      </c>
      <c r="DY77" t="e">
        <f>AND('Field Designations'!#REF!,"AAAAAHvfvoA=")</f>
        <v>#REF!</v>
      </c>
      <c r="DZ77" t="e">
        <f>AND('Field Designations'!#REF!,"AAAAAHvfvoE=")</f>
        <v>#REF!</v>
      </c>
      <c r="EA77" t="e">
        <f>AND('Field Designations'!H46,"AAAAAHvfvoI=")</f>
        <v>#VALUE!</v>
      </c>
      <c r="EB77">
        <f>IF('Field Designations'!48:48,"AAAAAHvfvoM=",0)</f>
        <v>0</v>
      </c>
      <c r="EC77" t="e">
        <f>AND('Field Designations'!#REF!,"AAAAAHvfvoQ=")</f>
        <v>#REF!</v>
      </c>
      <c r="ED77" t="e">
        <f>AND('Field Designations'!B48,"AAAAAHvfvoU=")</f>
        <v>#VALUE!</v>
      </c>
      <c r="EE77" t="e">
        <f>AND('Field Designations'!#REF!,"AAAAAHvfvoY=")</f>
        <v>#REF!</v>
      </c>
      <c r="EF77" t="e">
        <f>AND('Field Designations'!A48,"AAAAAHvfvoc=")</f>
        <v>#VALUE!</v>
      </c>
      <c r="EG77" t="e">
        <f>AND('Field Designations'!C48,"AAAAAHvfvog=")</f>
        <v>#VALUE!</v>
      </c>
      <c r="EH77" t="e">
        <f>AND('Field Designations'!#REF!,"AAAAAHvfvok=")</f>
        <v>#REF!</v>
      </c>
      <c r="EI77" t="e">
        <f>AND('Field Designations'!E48,"AAAAAHvfvoo=")</f>
        <v>#VALUE!</v>
      </c>
      <c r="EJ77" t="e">
        <f>AND('Field Designations'!#REF!,"AAAAAHvfvos=")</f>
        <v>#REF!</v>
      </c>
      <c r="EK77" t="e">
        <f>AND('Field Designations'!F48,"AAAAAHvfvow=")</f>
        <v>#VALUE!</v>
      </c>
      <c r="EL77" t="e">
        <f>AND('Field Designations'!#REF!,"AAAAAHvfvo0=")</f>
        <v>#REF!</v>
      </c>
      <c r="EM77" t="e">
        <f>AND('Field Designations'!G48,"AAAAAHvfvo4=")</f>
        <v>#VALUE!</v>
      </c>
      <c r="EN77" t="e">
        <f>AND('Field Designations'!#REF!,"AAAAAHvfvo8=")</f>
        <v>#REF!</v>
      </c>
      <c r="EO77" t="e">
        <f>AND('Field Designations'!#REF!,"AAAAAHvfvpA=")</f>
        <v>#REF!</v>
      </c>
      <c r="EP77" t="e">
        <f>AND('Field Designations'!#REF!,"AAAAAHvfvpE=")</f>
        <v>#REF!</v>
      </c>
      <c r="EQ77" t="e">
        <f>AND('Field Designations'!#REF!,"AAAAAHvfvpI=")</f>
        <v>#REF!</v>
      </c>
      <c r="ER77" t="e">
        <f>AND('Field Designations'!#REF!,"AAAAAHvfvpM=")</f>
        <v>#REF!</v>
      </c>
      <c r="ES77" t="e">
        <f>AND('Field Designations'!#REF!,"AAAAAHvfvpQ=")</f>
        <v>#REF!</v>
      </c>
      <c r="ET77" t="e">
        <f>AND('Field Designations'!#REF!,"AAAAAHvfvpU=")</f>
        <v>#REF!</v>
      </c>
      <c r="EU77" t="e">
        <f>AND('Field Designations'!#REF!,"AAAAAHvfvpY=")</f>
        <v>#REF!</v>
      </c>
      <c r="EV77" t="e">
        <f>AND('Field Designations'!#REF!,"AAAAAHvfvpc=")</f>
        <v>#REF!</v>
      </c>
      <c r="EW77" t="e">
        <f>AND('Field Designations'!#REF!,"AAAAAHvfvpg=")</f>
        <v>#REF!</v>
      </c>
      <c r="EX77" t="e">
        <f>AND('Field Designations'!#REF!,"AAAAAHvfvpk=")</f>
        <v>#REF!</v>
      </c>
      <c r="EY77" t="e">
        <f>AND('Field Designations'!#REF!,"AAAAAHvfvpo=")</f>
        <v>#REF!</v>
      </c>
      <c r="EZ77" t="e">
        <f>AND('Field Designations'!H48,"AAAAAHvfvps=")</f>
        <v>#VALUE!</v>
      </c>
      <c r="FA77">
        <f>IF('Field Designations'!49:49,"AAAAAHvfvpw=",0)</f>
        <v>0</v>
      </c>
      <c r="FB77" t="e">
        <f>AND('Field Designations'!#REF!,"AAAAAHvfvp0=")</f>
        <v>#REF!</v>
      </c>
      <c r="FC77" t="e">
        <f>AND('Field Designations'!B49,"AAAAAHvfvp4=")</f>
        <v>#VALUE!</v>
      </c>
      <c r="FD77" t="e">
        <f>AND('Field Designations'!#REF!,"AAAAAHvfvp8=")</f>
        <v>#REF!</v>
      </c>
      <c r="FE77" t="e">
        <f>AND('Field Designations'!A49,"AAAAAHvfvqA=")</f>
        <v>#VALUE!</v>
      </c>
      <c r="FF77" t="e">
        <f>AND('Field Designations'!C49,"AAAAAHvfvqE=")</f>
        <v>#VALUE!</v>
      </c>
      <c r="FG77" t="e">
        <f>AND('Field Designations'!#REF!,"AAAAAHvfvqI=")</f>
        <v>#REF!</v>
      </c>
      <c r="FH77" t="e">
        <f>AND('Field Designations'!E49,"AAAAAHvfvqM=")</f>
        <v>#VALUE!</v>
      </c>
      <c r="FI77" t="e">
        <f>AND('Field Designations'!#REF!,"AAAAAHvfvqQ=")</f>
        <v>#REF!</v>
      </c>
      <c r="FJ77" t="e">
        <f>AND('Field Designations'!F49,"AAAAAHvfvqU=")</f>
        <v>#VALUE!</v>
      </c>
      <c r="FK77" t="e">
        <f>AND('Field Designations'!#REF!,"AAAAAHvfvqY=")</f>
        <v>#REF!</v>
      </c>
      <c r="FL77" t="e">
        <f>AND('Field Designations'!G49,"AAAAAHvfvqc=")</f>
        <v>#VALUE!</v>
      </c>
      <c r="FM77" t="e">
        <f>AND('Field Designations'!#REF!,"AAAAAHvfvqg=")</f>
        <v>#REF!</v>
      </c>
      <c r="FN77" t="e">
        <f>AND('Field Designations'!#REF!,"AAAAAHvfvqk=")</f>
        <v>#REF!</v>
      </c>
      <c r="FO77" t="e">
        <f>AND('Field Designations'!#REF!,"AAAAAHvfvqo=")</f>
        <v>#REF!</v>
      </c>
      <c r="FP77" t="e">
        <f>AND('Field Designations'!#REF!,"AAAAAHvfvqs=")</f>
        <v>#REF!</v>
      </c>
      <c r="FQ77" t="e">
        <f>AND('Field Designations'!#REF!,"AAAAAHvfvqw=")</f>
        <v>#REF!</v>
      </c>
      <c r="FR77" t="e">
        <f>AND('Field Designations'!#REF!,"AAAAAHvfvq0=")</f>
        <v>#REF!</v>
      </c>
      <c r="FS77" t="e">
        <f>AND('Field Designations'!#REF!,"AAAAAHvfvq4=")</f>
        <v>#REF!</v>
      </c>
      <c r="FT77" t="e">
        <f>AND('Field Designations'!#REF!,"AAAAAHvfvq8=")</f>
        <v>#REF!</v>
      </c>
      <c r="FU77" t="e">
        <f>AND('Field Designations'!#REF!,"AAAAAHvfvrA=")</f>
        <v>#REF!</v>
      </c>
      <c r="FV77" t="e">
        <f>AND('Field Designations'!#REF!,"AAAAAHvfvrE=")</f>
        <v>#REF!</v>
      </c>
      <c r="FW77" t="e">
        <f>AND('Field Designations'!#REF!,"AAAAAHvfvrI=")</f>
        <v>#REF!</v>
      </c>
      <c r="FX77" t="e">
        <f>AND('Field Designations'!#REF!,"AAAAAHvfvrM=")</f>
        <v>#REF!</v>
      </c>
      <c r="FY77" t="e">
        <f>AND('Field Designations'!H49,"AAAAAHvfvrQ=")</f>
        <v>#VALUE!</v>
      </c>
      <c r="FZ77">
        <f>IF('Field Designations'!50:50,"AAAAAHvfvrU=",0)</f>
        <v>0</v>
      </c>
      <c r="GA77" t="e">
        <f>AND('Field Designations'!#REF!,"AAAAAHvfvrY=")</f>
        <v>#REF!</v>
      </c>
      <c r="GB77" t="e">
        <f>AND('Field Designations'!B50,"AAAAAHvfvrc=")</f>
        <v>#VALUE!</v>
      </c>
      <c r="GC77" t="e">
        <f>AND('Field Designations'!#REF!,"AAAAAHvfvrg=")</f>
        <v>#REF!</v>
      </c>
      <c r="GD77" t="e">
        <f>AND('Field Designations'!A50,"AAAAAHvfvrk=")</f>
        <v>#VALUE!</v>
      </c>
      <c r="GE77" t="e">
        <f>AND('Field Designations'!C50,"AAAAAHvfvro=")</f>
        <v>#VALUE!</v>
      </c>
      <c r="GF77" t="e">
        <f>AND('Field Designations'!#REF!,"AAAAAHvfvrs=")</f>
        <v>#REF!</v>
      </c>
      <c r="GG77" t="e">
        <f>AND('Field Designations'!E50,"AAAAAHvfvrw=")</f>
        <v>#VALUE!</v>
      </c>
      <c r="GH77" t="e">
        <f>AND('Field Designations'!#REF!,"AAAAAHvfvr0=")</f>
        <v>#REF!</v>
      </c>
      <c r="GI77" t="e">
        <f>AND('Field Designations'!F50,"AAAAAHvfvr4=")</f>
        <v>#VALUE!</v>
      </c>
      <c r="GJ77" t="e">
        <f>AND('Field Designations'!#REF!,"AAAAAHvfvr8=")</f>
        <v>#REF!</v>
      </c>
      <c r="GK77" t="e">
        <f>AND('Field Designations'!G50,"AAAAAHvfvsA=")</f>
        <v>#VALUE!</v>
      </c>
      <c r="GL77" t="e">
        <f>AND('Field Designations'!#REF!,"AAAAAHvfvsE=")</f>
        <v>#REF!</v>
      </c>
      <c r="GM77" t="e">
        <f>AND('Field Designations'!#REF!,"AAAAAHvfvsI=")</f>
        <v>#REF!</v>
      </c>
      <c r="GN77" t="e">
        <f>AND('Field Designations'!#REF!,"AAAAAHvfvsM=")</f>
        <v>#REF!</v>
      </c>
      <c r="GO77" t="e">
        <f>AND('Field Designations'!#REF!,"AAAAAHvfvsQ=")</f>
        <v>#REF!</v>
      </c>
      <c r="GP77" t="e">
        <f>AND('Field Designations'!#REF!,"AAAAAHvfvsU=")</f>
        <v>#REF!</v>
      </c>
      <c r="GQ77" t="e">
        <f>AND('Field Designations'!#REF!,"AAAAAHvfvsY=")</f>
        <v>#REF!</v>
      </c>
      <c r="GR77" t="e">
        <f>AND('Field Designations'!#REF!,"AAAAAHvfvsc=")</f>
        <v>#REF!</v>
      </c>
      <c r="GS77" t="e">
        <f>AND('Field Designations'!#REF!,"AAAAAHvfvsg=")</f>
        <v>#REF!</v>
      </c>
      <c r="GT77" t="e">
        <f>AND('Field Designations'!#REF!,"AAAAAHvfvsk=")</f>
        <v>#REF!</v>
      </c>
      <c r="GU77" t="e">
        <f>AND('Field Designations'!#REF!,"AAAAAHvfvso=")</f>
        <v>#REF!</v>
      </c>
      <c r="GV77" t="e">
        <f>AND('Field Designations'!#REF!,"AAAAAHvfvss=")</f>
        <v>#REF!</v>
      </c>
      <c r="GW77" t="e">
        <f>AND('Field Designations'!#REF!,"AAAAAHvfvsw=")</f>
        <v>#REF!</v>
      </c>
      <c r="GX77" t="e">
        <f>AND('Field Designations'!H50,"AAAAAHvfvs0=")</f>
        <v>#VALUE!</v>
      </c>
      <c r="GY77">
        <f>IF('Field Designations'!51:51,"AAAAAHvfvs4=",0)</f>
        <v>0</v>
      </c>
      <c r="GZ77" t="e">
        <f>AND('Field Designations'!#REF!,"AAAAAHvfvs8=")</f>
        <v>#REF!</v>
      </c>
      <c r="HA77" t="e">
        <f>AND('Field Designations'!B51,"AAAAAHvfvtA=")</f>
        <v>#VALUE!</v>
      </c>
      <c r="HB77" t="e">
        <f>AND('Field Designations'!#REF!,"AAAAAHvfvtE=")</f>
        <v>#REF!</v>
      </c>
      <c r="HC77" t="e">
        <f>AND('Field Designations'!A51,"AAAAAHvfvtI=")</f>
        <v>#VALUE!</v>
      </c>
      <c r="HD77" t="e">
        <f>AND('Field Designations'!C51,"AAAAAHvfvtM=")</f>
        <v>#VALUE!</v>
      </c>
      <c r="HE77" t="e">
        <f>AND('Field Designations'!#REF!,"AAAAAHvfvtQ=")</f>
        <v>#REF!</v>
      </c>
      <c r="HF77" t="e">
        <f>AND('Field Designations'!E51,"AAAAAHvfvtU=")</f>
        <v>#VALUE!</v>
      </c>
      <c r="HG77" t="e">
        <f>AND('Field Designations'!#REF!,"AAAAAHvfvtY=")</f>
        <v>#REF!</v>
      </c>
      <c r="HH77" t="e">
        <f>AND('Field Designations'!F51,"AAAAAHvfvtc=")</f>
        <v>#VALUE!</v>
      </c>
      <c r="HI77" t="e">
        <f>AND('Field Designations'!#REF!,"AAAAAHvfvtg=")</f>
        <v>#REF!</v>
      </c>
      <c r="HJ77" t="e">
        <f>AND('Field Designations'!G51,"AAAAAHvfvtk=")</f>
        <v>#VALUE!</v>
      </c>
      <c r="HK77" t="e">
        <f>AND('Field Designations'!#REF!,"AAAAAHvfvto=")</f>
        <v>#REF!</v>
      </c>
      <c r="HL77" t="e">
        <f>AND('Field Designations'!#REF!,"AAAAAHvfvts=")</f>
        <v>#REF!</v>
      </c>
      <c r="HM77" t="e">
        <f>AND('Field Designations'!#REF!,"AAAAAHvfvtw=")</f>
        <v>#REF!</v>
      </c>
      <c r="HN77" t="e">
        <f>AND('Field Designations'!#REF!,"AAAAAHvfvt0=")</f>
        <v>#REF!</v>
      </c>
      <c r="HO77" t="e">
        <f>AND('Field Designations'!#REF!,"AAAAAHvfvt4=")</f>
        <v>#REF!</v>
      </c>
      <c r="HP77" t="e">
        <f>AND('Field Designations'!#REF!,"AAAAAHvfvt8=")</f>
        <v>#REF!</v>
      </c>
      <c r="HQ77" t="e">
        <f>AND('Field Designations'!#REF!,"AAAAAHvfvuA=")</f>
        <v>#REF!</v>
      </c>
      <c r="HR77" t="e">
        <f>AND('Field Designations'!#REF!,"AAAAAHvfvuE=")</f>
        <v>#REF!</v>
      </c>
      <c r="HS77" t="e">
        <f>AND('Field Designations'!#REF!,"AAAAAHvfvuI=")</f>
        <v>#REF!</v>
      </c>
      <c r="HT77" t="e">
        <f>AND('Field Designations'!#REF!,"AAAAAHvfvuM=")</f>
        <v>#REF!</v>
      </c>
      <c r="HU77" t="e">
        <f>AND('Field Designations'!#REF!,"AAAAAHvfvuQ=")</f>
        <v>#REF!</v>
      </c>
      <c r="HV77" t="e">
        <f>AND('Field Designations'!#REF!,"AAAAAHvfvuU=")</f>
        <v>#REF!</v>
      </c>
      <c r="HW77" t="e">
        <f>AND('Field Designations'!H51,"AAAAAHvfvuY=")</f>
        <v>#VALUE!</v>
      </c>
      <c r="HX77">
        <f>IF('Field Designations'!52:52,"AAAAAHvfvuc=",0)</f>
        <v>0</v>
      </c>
      <c r="HY77" t="e">
        <f>AND('Field Designations'!#REF!,"AAAAAHvfvug=")</f>
        <v>#REF!</v>
      </c>
      <c r="HZ77" t="e">
        <f>AND('Field Designations'!B52,"AAAAAHvfvuk=")</f>
        <v>#VALUE!</v>
      </c>
      <c r="IA77" t="e">
        <f>AND('Field Designations'!#REF!,"AAAAAHvfvuo=")</f>
        <v>#REF!</v>
      </c>
      <c r="IB77" t="e">
        <f>AND('Field Designations'!A52,"AAAAAHvfvus=")</f>
        <v>#VALUE!</v>
      </c>
      <c r="IC77" t="e">
        <f>AND('Field Designations'!C52,"AAAAAHvfvuw=")</f>
        <v>#VALUE!</v>
      </c>
      <c r="ID77" t="e">
        <f>AND('Field Designations'!#REF!,"AAAAAHvfvu0=")</f>
        <v>#REF!</v>
      </c>
      <c r="IE77" t="e">
        <f>AND('Field Designations'!E52,"AAAAAHvfvu4=")</f>
        <v>#VALUE!</v>
      </c>
      <c r="IF77" t="e">
        <f>AND('Field Designations'!#REF!,"AAAAAHvfvu8=")</f>
        <v>#REF!</v>
      </c>
      <c r="IG77" t="e">
        <f>AND('Field Designations'!F52,"AAAAAHvfvvA=")</f>
        <v>#VALUE!</v>
      </c>
      <c r="IH77" t="e">
        <f>AND('Field Designations'!#REF!,"AAAAAHvfvvE=")</f>
        <v>#REF!</v>
      </c>
      <c r="II77" t="e">
        <f>AND('Field Designations'!G52,"AAAAAHvfvvI=")</f>
        <v>#VALUE!</v>
      </c>
      <c r="IJ77" t="e">
        <f>AND('Field Designations'!#REF!,"AAAAAHvfvvM=")</f>
        <v>#REF!</v>
      </c>
      <c r="IK77" t="e">
        <f>AND('Field Designations'!#REF!,"AAAAAHvfvvQ=")</f>
        <v>#REF!</v>
      </c>
      <c r="IL77" t="e">
        <f>AND('Field Designations'!#REF!,"AAAAAHvfvvU=")</f>
        <v>#REF!</v>
      </c>
      <c r="IM77" t="e">
        <f>AND('Field Designations'!#REF!,"AAAAAHvfvvY=")</f>
        <v>#REF!</v>
      </c>
      <c r="IN77" t="e">
        <f>AND('Field Designations'!#REF!,"AAAAAHvfvvc=")</f>
        <v>#REF!</v>
      </c>
      <c r="IO77" t="e">
        <f>AND('Field Designations'!#REF!,"AAAAAHvfvvg=")</f>
        <v>#REF!</v>
      </c>
      <c r="IP77" t="e">
        <f>AND('Field Designations'!#REF!,"AAAAAHvfvvk=")</f>
        <v>#REF!</v>
      </c>
      <c r="IQ77" t="e">
        <f>AND('Field Designations'!#REF!,"AAAAAHvfvvo=")</f>
        <v>#REF!</v>
      </c>
      <c r="IR77" t="e">
        <f>AND('Field Designations'!#REF!,"AAAAAHvfvvs=")</f>
        <v>#REF!</v>
      </c>
      <c r="IS77" t="e">
        <f>AND('Field Designations'!#REF!,"AAAAAHvfvvw=")</f>
        <v>#REF!</v>
      </c>
      <c r="IT77" t="e">
        <f>AND('Field Designations'!#REF!,"AAAAAHvfvv0=")</f>
        <v>#REF!</v>
      </c>
      <c r="IU77" t="e">
        <f>AND('Field Designations'!#REF!,"AAAAAHvfvv4=")</f>
        <v>#REF!</v>
      </c>
      <c r="IV77" t="e">
        <f>AND('Field Designations'!H52,"AAAAAHvfvv8=")</f>
        <v>#VALUE!</v>
      </c>
    </row>
    <row r="78" spans="1:256" x14ac:dyDescent="0.2">
      <c r="A78" t="e">
        <f>IF('Field Designations'!53:53,"AAAAAE3f1wA=",0)</f>
        <v>#VALUE!</v>
      </c>
      <c r="B78" t="e">
        <f>AND('Field Designations'!#REF!,"AAAAAE3f1wE=")</f>
        <v>#REF!</v>
      </c>
      <c r="C78" t="e">
        <f>AND('Field Designations'!B53,"AAAAAE3f1wI=")</f>
        <v>#VALUE!</v>
      </c>
      <c r="D78" t="e">
        <f>AND('Field Designations'!#REF!,"AAAAAE3f1wM=")</f>
        <v>#REF!</v>
      </c>
      <c r="E78" t="e">
        <f>AND('Field Designations'!A53,"AAAAAE3f1wQ=")</f>
        <v>#VALUE!</v>
      </c>
      <c r="F78" t="e">
        <f>AND('Field Designations'!C53,"AAAAAE3f1wU=")</f>
        <v>#VALUE!</v>
      </c>
      <c r="G78" t="e">
        <f>AND('Field Designations'!#REF!,"AAAAAE3f1wY=")</f>
        <v>#REF!</v>
      </c>
      <c r="H78" t="e">
        <f>AND('Field Designations'!E53,"AAAAAE3f1wc=")</f>
        <v>#VALUE!</v>
      </c>
      <c r="I78" t="e">
        <f>AND('Field Designations'!#REF!,"AAAAAE3f1wg=")</f>
        <v>#REF!</v>
      </c>
      <c r="J78" t="e">
        <f>AND('Field Designations'!F53,"AAAAAE3f1wk=")</f>
        <v>#VALUE!</v>
      </c>
      <c r="K78" t="e">
        <f>AND('Field Designations'!#REF!,"AAAAAE3f1wo=")</f>
        <v>#REF!</v>
      </c>
      <c r="L78" t="e">
        <f>AND('Field Designations'!G53,"AAAAAE3f1ws=")</f>
        <v>#VALUE!</v>
      </c>
      <c r="M78" t="e">
        <f>AND('Field Designations'!#REF!,"AAAAAE3f1ww=")</f>
        <v>#REF!</v>
      </c>
      <c r="N78" t="e">
        <f>AND('Field Designations'!#REF!,"AAAAAE3f1w0=")</f>
        <v>#REF!</v>
      </c>
      <c r="O78" t="e">
        <f>AND('Field Designations'!#REF!,"AAAAAE3f1w4=")</f>
        <v>#REF!</v>
      </c>
      <c r="P78" t="e">
        <f>AND('Field Designations'!#REF!,"AAAAAE3f1w8=")</f>
        <v>#REF!</v>
      </c>
      <c r="Q78" t="e">
        <f>AND('Field Designations'!#REF!,"AAAAAE3f1xA=")</f>
        <v>#REF!</v>
      </c>
      <c r="R78" t="e">
        <f>AND('Field Designations'!#REF!,"AAAAAE3f1xE=")</f>
        <v>#REF!</v>
      </c>
      <c r="S78" t="e">
        <f>AND('Field Designations'!#REF!,"AAAAAE3f1xI=")</f>
        <v>#REF!</v>
      </c>
      <c r="T78" t="e">
        <f>AND('Field Designations'!#REF!,"AAAAAE3f1xM=")</f>
        <v>#REF!</v>
      </c>
      <c r="U78" t="e">
        <f>AND('Field Designations'!#REF!,"AAAAAE3f1xQ=")</f>
        <v>#REF!</v>
      </c>
      <c r="V78" t="e">
        <f>AND('Field Designations'!#REF!,"AAAAAE3f1xU=")</f>
        <v>#REF!</v>
      </c>
      <c r="W78" t="e">
        <f>AND('Field Designations'!#REF!,"AAAAAE3f1xY=")</f>
        <v>#REF!</v>
      </c>
      <c r="X78" t="e">
        <f>AND('Field Designations'!#REF!,"AAAAAE3f1xc=")</f>
        <v>#REF!</v>
      </c>
      <c r="Y78" t="e">
        <f>AND('Field Designations'!H53,"AAAAAE3f1xg=")</f>
        <v>#VALUE!</v>
      </c>
      <c r="Z78">
        <f>IF('Field Designations'!54:54,"AAAAAE3f1xk=",0)</f>
        <v>0</v>
      </c>
      <c r="AA78" t="e">
        <f>AND('Field Designations'!#REF!,"AAAAAE3f1xo=")</f>
        <v>#REF!</v>
      </c>
      <c r="AB78" t="e">
        <f>AND('Field Designations'!B54,"AAAAAE3f1xs=")</f>
        <v>#VALUE!</v>
      </c>
      <c r="AC78" t="e">
        <f>AND('Field Designations'!#REF!,"AAAAAE3f1xw=")</f>
        <v>#REF!</v>
      </c>
      <c r="AD78" t="e">
        <f>AND('Field Designations'!A54,"AAAAAE3f1x0=")</f>
        <v>#VALUE!</v>
      </c>
      <c r="AE78" t="e">
        <f>AND('Field Designations'!C54,"AAAAAE3f1x4=")</f>
        <v>#VALUE!</v>
      </c>
      <c r="AF78" t="e">
        <f>AND('Field Designations'!#REF!,"AAAAAE3f1x8=")</f>
        <v>#REF!</v>
      </c>
      <c r="AG78" t="e">
        <f>AND('Field Designations'!E54,"AAAAAE3f1yA=")</f>
        <v>#VALUE!</v>
      </c>
      <c r="AH78" t="e">
        <f>AND('Field Designations'!#REF!,"AAAAAE3f1yE=")</f>
        <v>#REF!</v>
      </c>
      <c r="AI78" t="e">
        <f>AND('Field Designations'!F54,"AAAAAE3f1yI=")</f>
        <v>#VALUE!</v>
      </c>
      <c r="AJ78" t="e">
        <f>AND('Field Designations'!#REF!,"AAAAAE3f1yM=")</f>
        <v>#REF!</v>
      </c>
      <c r="AK78" t="e">
        <f>AND('Field Designations'!G54,"AAAAAE3f1yQ=")</f>
        <v>#VALUE!</v>
      </c>
      <c r="AL78" t="e">
        <f>AND('Field Designations'!#REF!,"AAAAAE3f1yU=")</f>
        <v>#REF!</v>
      </c>
      <c r="AM78" t="e">
        <f>AND('Field Designations'!#REF!,"AAAAAE3f1yY=")</f>
        <v>#REF!</v>
      </c>
      <c r="AN78" t="e">
        <f>AND('Field Designations'!#REF!,"AAAAAE3f1yc=")</f>
        <v>#REF!</v>
      </c>
      <c r="AO78" t="e">
        <f>AND('Field Designations'!#REF!,"AAAAAE3f1yg=")</f>
        <v>#REF!</v>
      </c>
      <c r="AP78" t="e">
        <f>AND('Field Designations'!#REF!,"AAAAAE3f1yk=")</f>
        <v>#REF!</v>
      </c>
      <c r="AQ78" t="e">
        <f>AND('Field Designations'!#REF!,"AAAAAE3f1yo=")</f>
        <v>#REF!</v>
      </c>
      <c r="AR78" t="e">
        <f>AND('Field Designations'!#REF!,"AAAAAE3f1ys=")</f>
        <v>#REF!</v>
      </c>
      <c r="AS78" t="e">
        <f>AND('Field Designations'!#REF!,"AAAAAE3f1yw=")</f>
        <v>#REF!</v>
      </c>
      <c r="AT78" t="e">
        <f>AND('Field Designations'!#REF!,"AAAAAE3f1y0=")</f>
        <v>#REF!</v>
      </c>
      <c r="AU78" t="e">
        <f>AND('Field Designations'!#REF!,"AAAAAE3f1y4=")</f>
        <v>#REF!</v>
      </c>
      <c r="AV78" t="e">
        <f>AND('Field Designations'!#REF!,"AAAAAE3f1y8=")</f>
        <v>#REF!</v>
      </c>
      <c r="AW78" t="e">
        <f>AND('Field Designations'!#REF!,"AAAAAE3f1zA=")</f>
        <v>#REF!</v>
      </c>
      <c r="AX78" t="e">
        <f>AND('Field Designations'!H54,"AAAAAE3f1zE=")</f>
        <v>#VALUE!</v>
      </c>
      <c r="AY78">
        <f>IF('Field Designations'!55:55,"AAAAAE3f1zI=",0)</f>
        <v>0</v>
      </c>
      <c r="AZ78" t="e">
        <f>AND('Field Designations'!#REF!,"AAAAAE3f1zM=")</f>
        <v>#REF!</v>
      </c>
      <c r="BA78" t="e">
        <f>AND('Field Designations'!B55,"AAAAAE3f1zQ=")</f>
        <v>#VALUE!</v>
      </c>
      <c r="BB78" t="e">
        <f>AND('Field Designations'!#REF!,"AAAAAE3f1zU=")</f>
        <v>#REF!</v>
      </c>
      <c r="BC78" t="e">
        <f>AND('Field Designations'!A55,"AAAAAE3f1zY=")</f>
        <v>#VALUE!</v>
      </c>
      <c r="BD78" t="e">
        <f>AND('Field Designations'!C55,"AAAAAE3f1zc=")</f>
        <v>#VALUE!</v>
      </c>
      <c r="BE78" t="e">
        <f>AND('Field Designations'!#REF!,"AAAAAE3f1zg=")</f>
        <v>#REF!</v>
      </c>
      <c r="BF78" t="e">
        <f>AND('Field Designations'!E55,"AAAAAE3f1zk=")</f>
        <v>#VALUE!</v>
      </c>
      <c r="BG78" t="e">
        <f>AND('Field Designations'!#REF!,"AAAAAE3f1zo=")</f>
        <v>#REF!</v>
      </c>
      <c r="BH78" t="e">
        <f>AND('Field Designations'!F55,"AAAAAE3f1zs=")</f>
        <v>#VALUE!</v>
      </c>
      <c r="BI78" t="e">
        <f>AND('Field Designations'!#REF!,"AAAAAE3f1zw=")</f>
        <v>#REF!</v>
      </c>
      <c r="BJ78" t="e">
        <f>AND('Field Designations'!G55,"AAAAAE3f1z0=")</f>
        <v>#VALUE!</v>
      </c>
      <c r="BK78" t="e">
        <f>AND('Field Designations'!#REF!,"AAAAAE3f1z4=")</f>
        <v>#REF!</v>
      </c>
      <c r="BL78" t="e">
        <f>AND('Field Designations'!#REF!,"AAAAAE3f1z8=")</f>
        <v>#REF!</v>
      </c>
      <c r="BM78" t="e">
        <f>AND('Field Designations'!#REF!,"AAAAAE3f10A=")</f>
        <v>#REF!</v>
      </c>
      <c r="BN78" t="e">
        <f>AND('Field Designations'!#REF!,"AAAAAE3f10E=")</f>
        <v>#REF!</v>
      </c>
      <c r="BO78" t="e">
        <f>AND('Field Designations'!#REF!,"AAAAAE3f10I=")</f>
        <v>#REF!</v>
      </c>
      <c r="BP78" t="e">
        <f>AND('Field Designations'!#REF!,"AAAAAE3f10M=")</f>
        <v>#REF!</v>
      </c>
      <c r="BQ78" t="e">
        <f>AND('Field Designations'!#REF!,"AAAAAE3f10Q=")</f>
        <v>#REF!</v>
      </c>
      <c r="BR78" t="e">
        <f>AND('Field Designations'!#REF!,"AAAAAE3f10U=")</f>
        <v>#REF!</v>
      </c>
      <c r="BS78" t="e">
        <f>AND('Field Designations'!#REF!,"AAAAAE3f10Y=")</f>
        <v>#REF!</v>
      </c>
      <c r="BT78" t="e">
        <f>AND('Field Designations'!#REF!,"AAAAAE3f10c=")</f>
        <v>#REF!</v>
      </c>
      <c r="BU78" t="e">
        <f>AND('Field Designations'!#REF!,"AAAAAE3f10g=")</f>
        <v>#REF!</v>
      </c>
      <c r="BV78" t="e">
        <f>AND('Field Designations'!#REF!,"AAAAAE3f10k=")</f>
        <v>#REF!</v>
      </c>
      <c r="BW78" t="e">
        <f>AND('Field Designations'!H55,"AAAAAE3f10o=")</f>
        <v>#VALUE!</v>
      </c>
      <c r="BX78">
        <f>IF('Field Designations'!56:56,"AAAAAE3f10s=",0)</f>
        <v>0</v>
      </c>
      <c r="BY78" t="e">
        <f>AND('Field Designations'!#REF!,"AAAAAE3f10w=")</f>
        <v>#REF!</v>
      </c>
      <c r="BZ78" t="e">
        <f>AND('Field Designations'!B56,"AAAAAE3f100=")</f>
        <v>#VALUE!</v>
      </c>
      <c r="CA78" t="e">
        <f>AND('Field Designations'!#REF!,"AAAAAE3f104=")</f>
        <v>#REF!</v>
      </c>
      <c r="CB78" t="e">
        <f>AND('Field Designations'!A56,"AAAAAE3f108=")</f>
        <v>#VALUE!</v>
      </c>
      <c r="CC78" t="e">
        <f>AND('Field Designations'!C56,"AAAAAE3f11A=")</f>
        <v>#VALUE!</v>
      </c>
      <c r="CD78" t="e">
        <f>AND('Field Designations'!#REF!,"AAAAAE3f11E=")</f>
        <v>#REF!</v>
      </c>
      <c r="CE78" t="e">
        <f>AND('Field Designations'!E56,"AAAAAE3f11I=")</f>
        <v>#VALUE!</v>
      </c>
      <c r="CF78" t="e">
        <f>AND('Field Designations'!#REF!,"AAAAAE3f11M=")</f>
        <v>#REF!</v>
      </c>
      <c r="CG78" t="e">
        <f>AND('Field Designations'!F56,"AAAAAE3f11Q=")</f>
        <v>#VALUE!</v>
      </c>
      <c r="CH78" t="e">
        <f>AND('Field Designations'!#REF!,"AAAAAE3f11U=")</f>
        <v>#REF!</v>
      </c>
      <c r="CI78" t="e">
        <f>AND('Field Designations'!G56,"AAAAAE3f11Y=")</f>
        <v>#VALUE!</v>
      </c>
      <c r="CJ78" t="e">
        <f>AND('Field Designations'!#REF!,"AAAAAE3f11c=")</f>
        <v>#REF!</v>
      </c>
      <c r="CK78" t="e">
        <f>AND('Field Designations'!#REF!,"AAAAAE3f11g=")</f>
        <v>#REF!</v>
      </c>
      <c r="CL78" t="e">
        <f>AND('Field Designations'!#REF!,"AAAAAE3f11k=")</f>
        <v>#REF!</v>
      </c>
      <c r="CM78" t="e">
        <f>AND('Field Designations'!#REF!,"AAAAAE3f11o=")</f>
        <v>#REF!</v>
      </c>
      <c r="CN78" t="e">
        <f>AND('Field Designations'!#REF!,"AAAAAE3f11s=")</f>
        <v>#REF!</v>
      </c>
      <c r="CO78" t="e">
        <f>AND('Field Designations'!#REF!,"AAAAAE3f11w=")</f>
        <v>#REF!</v>
      </c>
      <c r="CP78" t="e">
        <f>AND('Field Designations'!#REF!,"AAAAAE3f110=")</f>
        <v>#REF!</v>
      </c>
      <c r="CQ78" t="e">
        <f>AND('Field Designations'!#REF!,"AAAAAE3f114=")</f>
        <v>#REF!</v>
      </c>
      <c r="CR78" t="e">
        <f>AND('Field Designations'!#REF!,"AAAAAE3f118=")</f>
        <v>#REF!</v>
      </c>
      <c r="CS78" t="e">
        <f>AND('Field Designations'!#REF!,"AAAAAE3f12A=")</f>
        <v>#REF!</v>
      </c>
      <c r="CT78" t="e">
        <f>AND('Field Designations'!#REF!,"AAAAAE3f12E=")</f>
        <v>#REF!</v>
      </c>
      <c r="CU78" t="e">
        <f>AND('Field Designations'!#REF!,"AAAAAE3f12I=")</f>
        <v>#REF!</v>
      </c>
      <c r="CV78" t="e">
        <f>AND('Field Designations'!H56,"AAAAAE3f12M=")</f>
        <v>#VALUE!</v>
      </c>
      <c r="CW78">
        <f>IF('Field Designations'!57:57,"AAAAAE3f12Q=",0)</f>
        <v>0</v>
      </c>
      <c r="CX78" t="e">
        <f>AND('Field Designations'!#REF!,"AAAAAE3f12U=")</f>
        <v>#REF!</v>
      </c>
      <c r="CY78" t="e">
        <f>AND('Field Designations'!B57,"AAAAAE3f12Y=")</f>
        <v>#VALUE!</v>
      </c>
      <c r="CZ78" t="e">
        <f>AND('Field Designations'!#REF!,"AAAAAE3f12c=")</f>
        <v>#REF!</v>
      </c>
      <c r="DA78" t="e">
        <f>AND('Field Designations'!A57,"AAAAAE3f12g=")</f>
        <v>#VALUE!</v>
      </c>
      <c r="DB78" t="e">
        <f>AND('Field Designations'!C57,"AAAAAE3f12k=")</f>
        <v>#VALUE!</v>
      </c>
      <c r="DC78" t="e">
        <f>AND('Field Designations'!#REF!,"AAAAAE3f12o=")</f>
        <v>#REF!</v>
      </c>
      <c r="DD78" t="e">
        <f>AND('Field Designations'!E57,"AAAAAE3f12s=")</f>
        <v>#VALUE!</v>
      </c>
      <c r="DE78" t="e">
        <f>AND('Field Designations'!#REF!,"AAAAAE3f12w=")</f>
        <v>#REF!</v>
      </c>
      <c r="DF78" t="e">
        <f>AND('Field Designations'!F57,"AAAAAE3f120=")</f>
        <v>#VALUE!</v>
      </c>
      <c r="DG78" t="e">
        <f>AND('Field Designations'!#REF!,"AAAAAE3f124=")</f>
        <v>#REF!</v>
      </c>
      <c r="DH78" t="e">
        <f>AND('Field Designations'!G57,"AAAAAE3f128=")</f>
        <v>#VALUE!</v>
      </c>
      <c r="DI78" t="e">
        <f>AND('Field Designations'!#REF!,"AAAAAE3f13A=")</f>
        <v>#REF!</v>
      </c>
      <c r="DJ78" t="e">
        <f>AND('Field Designations'!#REF!,"AAAAAE3f13E=")</f>
        <v>#REF!</v>
      </c>
      <c r="DK78" t="e">
        <f>AND('Field Designations'!#REF!,"AAAAAE3f13I=")</f>
        <v>#REF!</v>
      </c>
      <c r="DL78" t="e">
        <f>AND('Field Designations'!#REF!,"AAAAAE3f13M=")</f>
        <v>#REF!</v>
      </c>
      <c r="DM78" t="e">
        <f>AND('Field Designations'!#REF!,"AAAAAE3f13Q=")</f>
        <v>#REF!</v>
      </c>
      <c r="DN78" t="e">
        <f>AND('Field Designations'!#REF!,"AAAAAE3f13U=")</f>
        <v>#REF!</v>
      </c>
      <c r="DO78" t="e">
        <f>AND('Field Designations'!#REF!,"AAAAAE3f13Y=")</f>
        <v>#REF!</v>
      </c>
      <c r="DP78" t="e">
        <f>AND('Field Designations'!#REF!,"AAAAAE3f13c=")</f>
        <v>#REF!</v>
      </c>
      <c r="DQ78" t="e">
        <f>AND('Field Designations'!#REF!,"AAAAAE3f13g=")</f>
        <v>#REF!</v>
      </c>
      <c r="DR78" t="e">
        <f>AND('Field Designations'!#REF!,"AAAAAE3f13k=")</f>
        <v>#REF!</v>
      </c>
      <c r="DS78" t="e">
        <f>AND('Field Designations'!#REF!,"AAAAAE3f13o=")</f>
        <v>#REF!</v>
      </c>
      <c r="DT78" t="e">
        <f>AND('Field Designations'!#REF!,"AAAAAE3f13s=")</f>
        <v>#REF!</v>
      </c>
      <c r="DU78" t="e">
        <f>AND('Field Designations'!H57,"AAAAAE3f13w=")</f>
        <v>#VALUE!</v>
      </c>
      <c r="DV78">
        <f>IF('Field Designations'!58:58,"AAAAAE3f130=",0)</f>
        <v>0</v>
      </c>
      <c r="DW78" t="e">
        <f>AND('Field Designations'!#REF!,"AAAAAE3f134=")</f>
        <v>#REF!</v>
      </c>
      <c r="DX78" t="e">
        <f>AND('Field Designations'!B58,"AAAAAE3f138=")</f>
        <v>#VALUE!</v>
      </c>
      <c r="DY78" t="e">
        <f>AND('Field Designations'!#REF!,"AAAAAE3f14A=")</f>
        <v>#REF!</v>
      </c>
      <c r="DZ78" t="e">
        <f>AND('Field Designations'!A58,"AAAAAE3f14E=")</f>
        <v>#VALUE!</v>
      </c>
      <c r="EA78" t="e">
        <f>AND('Field Designations'!C58,"AAAAAE3f14I=")</f>
        <v>#VALUE!</v>
      </c>
      <c r="EB78" t="e">
        <f>AND('Field Designations'!#REF!,"AAAAAE3f14M=")</f>
        <v>#REF!</v>
      </c>
      <c r="EC78" t="e">
        <f>AND('Field Designations'!E58,"AAAAAE3f14Q=")</f>
        <v>#VALUE!</v>
      </c>
      <c r="ED78" t="e">
        <f>AND('Field Designations'!#REF!,"AAAAAE3f14U=")</f>
        <v>#REF!</v>
      </c>
      <c r="EE78" t="e">
        <f>AND('Field Designations'!F58,"AAAAAE3f14Y=")</f>
        <v>#VALUE!</v>
      </c>
      <c r="EF78" t="e">
        <f>AND('Field Designations'!#REF!,"AAAAAE3f14c=")</f>
        <v>#REF!</v>
      </c>
      <c r="EG78" t="e">
        <f>AND('Field Designations'!G58,"AAAAAE3f14g=")</f>
        <v>#VALUE!</v>
      </c>
      <c r="EH78" t="e">
        <f>AND('Field Designations'!#REF!,"AAAAAE3f14k=")</f>
        <v>#REF!</v>
      </c>
      <c r="EI78" t="e">
        <f>AND('Field Designations'!#REF!,"AAAAAE3f14o=")</f>
        <v>#REF!</v>
      </c>
      <c r="EJ78" t="e">
        <f>AND('Field Designations'!#REF!,"AAAAAE3f14s=")</f>
        <v>#REF!</v>
      </c>
      <c r="EK78" t="e">
        <f>AND('Field Designations'!#REF!,"AAAAAE3f14w=")</f>
        <v>#REF!</v>
      </c>
      <c r="EL78" t="e">
        <f>AND('Field Designations'!#REF!,"AAAAAE3f140=")</f>
        <v>#REF!</v>
      </c>
      <c r="EM78" t="e">
        <f>AND('Field Designations'!#REF!,"AAAAAE3f144=")</f>
        <v>#REF!</v>
      </c>
      <c r="EN78" t="e">
        <f>AND('Field Designations'!#REF!,"AAAAAE3f148=")</f>
        <v>#REF!</v>
      </c>
      <c r="EO78" t="e">
        <f>AND('Field Designations'!#REF!,"AAAAAE3f15A=")</f>
        <v>#REF!</v>
      </c>
      <c r="EP78" t="e">
        <f>AND('Field Designations'!#REF!,"AAAAAE3f15E=")</f>
        <v>#REF!</v>
      </c>
      <c r="EQ78" t="e">
        <f>AND('Field Designations'!#REF!,"AAAAAE3f15I=")</f>
        <v>#REF!</v>
      </c>
      <c r="ER78" t="e">
        <f>AND('Field Designations'!#REF!,"AAAAAE3f15M=")</f>
        <v>#REF!</v>
      </c>
      <c r="ES78" t="e">
        <f>AND('Field Designations'!#REF!,"AAAAAE3f15Q=")</f>
        <v>#REF!</v>
      </c>
      <c r="ET78" t="e">
        <f>AND('Field Designations'!H58,"AAAAAE3f15U=")</f>
        <v>#VALUE!</v>
      </c>
      <c r="EU78">
        <f>IF('Field Designations'!59:59,"AAAAAE3f15Y=",0)</f>
        <v>0</v>
      </c>
      <c r="EV78" t="e">
        <f>AND('Field Designations'!#REF!,"AAAAAE3f15c=")</f>
        <v>#REF!</v>
      </c>
      <c r="EW78" t="e">
        <f>AND('Field Designations'!B59,"AAAAAE3f15g=")</f>
        <v>#VALUE!</v>
      </c>
      <c r="EX78" t="e">
        <f>AND('Field Designations'!#REF!,"AAAAAE3f15k=")</f>
        <v>#REF!</v>
      </c>
      <c r="EY78" t="e">
        <f>AND('Field Designations'!A59,"AAAAAE3f15o=")</f>
        <v>#VALUE!</v>
      </c>
      <c r="EZ78" t="e">
        <f>AND('Field Designations'!C59,"AAAAAE3f15s=")</f>
        <v>#VALUE!</v>
      </c>
      <c r="FA78" t="e">
        <f>AND('Field Designations'!#REF!,"AAAAAE3f15w=")</f>
        <v>#REF!</v>
      </c>
      <c r="FB78" t="e">
        <f>AND('Field Designations'!E59,"AAAAAE3f150=")</f>
        <v>#VALUE!</v>
      </c>
      <c r="FC78" t="e">
        <f>AND('Field Designations'!#REF!,"AAAAAE3f154=")</f>
        <v>#REF!</v>
      </c>
      <c r="FD78" t="e">
        <f>AND('Field Designations'!F59,"AAAAAE3f158=")</f>
        <v>#VALUE!</v>
      </c>
      <c r="FE78" t="e">
        <f>AND('Field Designations'!#REF!,"AAAAAE3f16A=")</f>
        <v>#REF!</v>
      </c>
      <c r="FF78" t="e">
        <f>AND('Field Designations'!G59,"AAAAAE3f16E=")</f>
        <v>#VALUE!</v>
      </c>
      <c r="FG78" t="e">
        <f>AND('Field Designations'!#REF!,"AAAAAE3f16I=")</f>
        <v>#REF!</v>
      </c>
      <c r="FH78" t="e">
        <f>AND('Field Designations'!#REF!,"AAAAAE3f16M=")</f>
        <v>#REF!</v>
      </c>
      <c r="FI78" t="e">
        <f>AND('Field Designations'!#REF!,"AAAAAE3f16Q=")</f>
        <v>#REF!</v>
      </c>
      <c r="FJ78" t="e">
        <f>AND('Field Designations'!#REF!,"AAAAAE3f16U=")</f>
        <v>#REF!</v>
      </c>
      <c r="FK78" t="e">
        <f>AND('Field Designations'!#REF!,"AAAAAE3f16Y=")</f>
        <v>#REF!</v>
      </c>
      <c r="FL78" t="e">
        <f>AND('Field Designations'!#REF!,"AAAAAE3f16c=")</f>
        <v>#REF!</v>
      </c>
      <c r="FM78" t="e">
        <f>AND('Field Designations'!#REF!,"AAAAAE3f16g=")</f>
        <v>#REF!</v>
      </c>
      <c r="FN78" t="e">
        <f>AND('Field Designations'!#REF!,"AAAAAE3f16k=")</f>
        <v>#REF!</v>
      </c>
      <c r="FO78" t="e">
        <f>AND('Field Designations'!#REF!,"AAAAAE3f16o=")</f>
        <v>#REF!</v>
      </c>
      <c r="FP78" t="e">
        <f>AND('Field Designations'!#REF!,"AAAAAE3f16s=")</f>
        <v>#REF!</v>
      </c>
      <c r="FQ78" t="e">
        <f>AND('Field Designations'!#REF!,"AAAAAE3f16w=")</f>
        <v>#REF!</v>
      </c>
      <c r="FR78" t="e">
        <f>AND('Field Designations'!#REF!,"AAAAAE3f160=")</f>
        <v>#REF!</v>
      </c>
      <c r="FS78" t="e">
        <f>AND('Field Designations'!H59,"AAAAAE3f164=")</f>
        <v>#VALUE!</v>
      </c>
      <c r="FT78">
        <f>IF('Field Designations'!60:60,"AAAAAE3f168=",0)</f>
        <v>0</v>
      </c>
      <c r="FU78" t="e">
        <f>AND('Field Designations'!#REF!,"AAAAAE3f17A=")</f>
        <v>#REF!</v>
      </c>
      <c r="FV78" t="e">
        <f>AND('Field Designations'!B60,"AAAAAE3f17E=")</f>
        <v>#VALUE!</v>
      </c>
      <c r="FW78" t="e">
        <f>AND('Field Designations'!#REF!,"AAAAAE3f17I=")</f>
        <v>#REF!</v>
      </c>
      <c r="FX78" t="e">
        <f>AND('Field Designations'!A60,"AAAAAE3f17M=")</f>
        <v>#VALUE!</v>
      </c>
      <c r="FY78" t="e">
        <f>AND('Field Designations'!C60,"AAAAAE3f17Q=")</f>
        <v>#VALUE!</v>
      </c>
      <c r="FZ78" t="e">
        <f>AND('Field Designations'!#REF!,"AAAAAE3f17U=")</f>
        <v>#REF!</v>
      </c>
      <c r="GA78" t="e">
        <f>AND('Field Designations'!E60,"AAAAAE3f17Y=")</f>
        <v>#VALUE!</v>
      </c>
      <c r="GB78" t="e">
        <f>AND('Field Designations'!#REF!,"AAAAAE3f17c=")</f>
        <v>#REF!</v>
      </c>
      <c r="GC78" t="e">
        <f>AND('Field Designations'!F60,"AAAAAE3f17g=")</f>
        <v>#VALUE!</v>
      </c>
      <c r="GD78" t="e">
        <f>AND('Field Designations'!#REF!,"AAAAAE3f17k=")</f>
        <v>#REF!</v>
      </c>
      <c r="GE78" t="e">
        <f>AND('Field Designations'!G60,"AAAAAE3f17o=")</f>
        <v>#VALUE!</v>
      </c>
      <c r="GF78" t="e">
        <f>AND('Field Designations'!#REF!,"AAAAAE3f17s=")</f>
        <v>#REF!</v>
      </c>
      <c r="GG78" t="e">
        <f>AND('Field Designations'!#REF!,"AAAAAE3f17w=")</f>
        <v>#REF!</v>
      </c>
      <c r="GH78" t="e">
        <f>AND('Field Designations'!#REF!,"AAAAAE3f170=")</f>
        <v>#REF!</v>
      </c>
      <c r="GI78" t="e">
        <f>AND('Field Designations'!#REF!,"AAAAAE3f174=")</f>
        <v>#REF!</v>
      </c>
      <c r="GJ78" t="e">
        <f>AND('Field Designations'!#REF!,"AAAAAE3f178=")</f>
        <v>#REF!</v>
      </c>
      <c r="GK78" t="e">
        <f>AND('Field Designations'!#REF!,"AAAAAE3f18A=")</f>
        <v>#REF!</v>
      </c>
      <c r="GL78" t="e">
        <f>AND('Field Designations'!#REF!,"AAAAAE3f18E=")</f>
        <v>#REF!</v>
      </c>
      <c r="GM78" t="e">
        <f>AND('Field Designations'!#REF!,"AAAAAE3f18I=")</f>
        <v>#REF!</v>
      </c>
      <c r="GN78" t="e">
        <f>AND('Field Designations'!#REF!,"AAAAAE3f18M=")</f>
        <v>#REF!</v>
      </c>
      <c r="GO78" t="e">
        <f>AND('Field Designations'!#REF!,"AAAAAE3f18Q=")</f>
        <v>#REF!</v>
      </c>
      <c r="GP78" t="e">
        <f>AND('Field Designations'!#REF!,"AAAAAE3f18U=")</f>
        <v>#REF!</v>
      </c>
      <c r="GQ78" t="e">
        <f>AND('Field Designations'!#REF!,"AAAAAE3f18Y=")</f>
        <v>#REF!</v>
      </c>
      <c r="GR78" t="e">
        <f>AND('Field Designations'!H60,"AAAAAE3f18c=")</f>
        <v>#VALUE!</v>
      </c>
      <c r="GS78">
        <f>IF('Field Designations'!61:61,"AAAAAE3f18g=",0)</f>
        <v>0</v>
      </c>
      <c r="GT78" t="e">
        <f>AND('Field Designations'!#REF!,"AAAAAE3f18k=")</f>
        <v>#REF!</v>
      </c>
      <c r="GU78" t="e">
        <f>AND('Field Designations'!B61,"AAAAAE3f18o=")</f>
        <v>#VALUE!</v>
      </c>
      <c r="GV78" t="e">
        <f>AND('Field Designations'!#REF!,"AAAAAE3f18s=")</f>
        <v>#REF!</v>
      </c>
      <c r="GW78" t="e">
        <f>AND('Field Designations'!A61,"AAAAAE3f18w=")</f>
        <v>#VALUE!</v>
      </c>
      <c r="GX78" t="e">
        <f>AND('Field Designations'!C61,"AAAAAE3f180=")</f>
        <v>#VALUE!</v>
      </c>
      <c r="GY78" t="e">
        <f>AND('Field Designations'!#REF!,"AAAAAE3f184=")</f>
        <v>#REF!</v>
      </c>
      <c r="GZ78" t="e">
        <f>AND('Field Designations'!E61,"AAAAAE3f188=")</f>
        <v>#VALUE!</v>
      </c>
      <c r="HA78" t="e">
        <f>AND('Field Designations'!#REF!,"AAAAAE3f19A=")</f>
        <v>#REF!</v>
      </c>
      <c r="HB78" t="e">
        <f>AND('Field Designations'!F61,"AAAAAE3f19E=")</f>
        <v>#VALUE!</v>
      </c>
      <c r="HC78" t="e">
        <f>AND('Field Designations'!#REF!,"AAAAAE3f19I=")</f>
        <v>#REF!</v>
      </c>
      <c r="HD78" t="e">
        <f>AND('Field Designations'!G61,"AAAAAE3f19M=")</f>
        <v>#VALUE!</v>
      </c>
      <c r="HE78" t="e">
        <f>AND('Field Designations'!#REF!,"AAAAAE3f19Q=")</f>
        <v>#REF!</v>
      </c>
      <c r="HF78" t="e">
        <f>AND('Field Designations'!#REF!,"AAAAAE3f19U=")</f>
        <v>#REF!</v>
      </c>
      <c r="HG78" t="e">
        <f>AND('Field Designations'!#REF!,"AAAAAE3f19Y=")</f>
        <v>#REF!</v>
      </c>
      <c r="HH78" t="e">
        <f>AND('Field Designations'!#REF!,"AAAAAE3f19c=")</f>
        <v>#REF!</v>
      </c>
      <c r="HI78" t="e">
        <f>AND('Field Designations'!#REF!,"AAAAAE3f19g=")</f>
        <v>#REF!</v>
      </c>
      <c r="HJ78" t="e">
        <f>AND('Field Designations'!#REF!,"AAAAAE3f19k=")</f>
        <v>#REF!</v>
      </c>
      <c r="HK78" t="e">
        <f>AND('Field Designations'!#REF!,"AAAAAE3f19o=")</f>
        <v>#REF!</v>
      </c>
      <c r="HL78" t="e">
        <f>AND('Field Designations'!#REF!,"AAAAAE3f19s=")</f>
        <v>#REF!</v>
      </c>
      <c r="HM78" t="e">
        <f>AND('Field Designations'!#REF!,"AAAAAE3f19w=")</f>
        <v>#REF!</v>
      </c>
      <c r="HN78" t="e">
        <f>AND('Field Designations'!#REF!,"AAAAAE3f190=")</f>
        <v>#REF!</v>
      </c>
      <c r="HO78" t="e">
        <f>AND('Field Designations'!#REF!,"AAAAAE3f194=")</f>
        <v>#REF!</v>
      </c>
      <c r="HP78" t="e">
        <f>AND('Field Designations'!#REF!,"AAAAAE3f198=")</f>
        <v>#REF!</v>
      </c>
      <c r="HQ78" t="e">
        <f>AND('Field Designations'!H61,"AAAAAE3f1+A=")</f>
        <v>#VALUE!</v>
      </c>
      <c r="HR78">
        <f>IF('Field Designations'!62:62,"AAAAAE3f1+E=",0)</f>
        <v>0</v>
      </c>
      <c r="HS78" t="e">
        <f>AND('Field Designations'!#REF!,"AAAAAE3f1+I=")</f>
        <v>#REF!</v>
      </c>
      <c r="HT78" t="e">
        <f>AND('Field Designations'!B62,"AAAAAE3f1+M=")</f>
        <v>#VALUE!</v>
      </c>
      <c r="HU78" t="e">
        <f>AND('Field Designations'!#REF!,"AAAAAE3f1+Q=")</f>
        <v>#REF!</v>
      </c>
      <c r="HV78" t="e">
        <f>AND('Field Designations'!A62,"AAAAAE3f1+U=")</f>
        <v>#VALUE!</v>
      </c>
      <c r="HW78" t="e">
        <f>AND('Field Designations'!C62,"AAAAAE3f1+Y=")</f>
        <v>#VALUE!</v>
      </c>
      <c r="HX78" t="e">
        <f>AND('Field Designations'!#REF!,"AAAAAE3f1+c=")</f>
        <v>#REF!</v>
      </c>
      <c r="HY78" t="e">
        <f>AND('Field Designations'!E62,"AAAAAE3f1+g=")</f>
        <v>#VALUE!</v>
      </c>
      <c r="HZ78" t="e">
        <f>AND('Field Designations'!#REF!,"AAAAAE3f1+k=")</f>
        <v>#REF!</v>
      </c>
      <c r="IA78" t="e">
        <f>AND('Field Designations'!F62,"AAAAAE3f1+o=")</f>
        <v>#VALUE!</v>
      </c>
      <c r="IB78" t="e">
        <f>AND('Field Designations'!#REF!,"AAAAAE3f1+s=")</f>
        <v>#REF!</v>
      </c>
      <c r="IC78" t="e">
        <f>AND('Field Designations'!G62,"AAAAAE3f1+w=")</f>
        <v>#VALUE!</v>
      </c>
      <c r="ID78" t="e">
        <f>AND('Field Designations'!#REF!,"AAAAAE3f1+0=")</f>
        <v>#REF!</v>
      </c>
      <c r="IE78" t="e">
        <f>AND('Field Designations'!#REF!,"AAAAAE3f1+4=")</f>
        <v>#REF!</v>
      </c>
      <c r="IF78" t="e">
        <f>AND('Field Designations'!#REF!,"AAAAAE3f1+8=")</f>
        <v>#REF!</v>
      </c>
      <c r="IG78" t="e">
        <f>AND('Field Designations'!#REF!,"AAAAAE3f1/A=")</f>
        <v>#REF!</v>
      </c>
      <c r="IH78" t="e">
        <f>AND('Field Designations'!#REF!,"AAAAAE3f1/E=")</f>
        <v>#REF!</v>
      </c>
      <c r="II78" t="e">
        <f>AND('Field Designations'!#REF!,"AAAAAE3f1/I=")</f>
        <v>#REF!</v>
      </c>
      <c r="IJ78" t="e">
        <f>AND('Field Designations'!#REF!,"AAAAAE3f1/M=")</f>
        <v>#REF!</v>
      </c>
      <c r="IK78" t="e">
        <f>AND('Field Designations'!#REF!,"AAAAAE3f1/Q=")</f>
        <v>#REF!</v>
      </c>
      <c r="IL78" t="e">
        <f>AND('Field Designations'!#REF!,"AAAAAE3f1/U=")</f>
        <v>#REF!</v>
      </c>
      <c r="IM78" t="e">
        <f>AND('Field Designations'!#REF!,"AAAAAE3f1/Y=")</f>
        <v>#REF!</v>
      </c>
      <c r="IN78" t="e">
        <f>AND('Field Designations'!#REF!,"AAAAAE3f1/c=")</f>
        <v>#REF!</v>
      </c>
      <c r="IO78" t="e">
        <f>AND('Field Designations'!#REF!,"AAAAAE3f1/g=")</f>
        <v>#REF!</v>
      </c>
      <c r="IP78" t="e">
        <f>AND('Field Designations'!H62,"AAAAAE3f1/k=")</f>
        <v>#VALUE!</v>
      </c>
      <c r="IQ78">
        <f>IF('Field Designations'!64:64,"AAAAAE3f1/o=",0)</f>
        <v>0</v>
      </c>
      <c r="IR78" t="e">
        <f>AND('Field Designations'!#REF!,"AAAAAE3f1/s=")</f>
        <v>#REF!</v>
      </c>
      <c r="IS78" t="e">
        <f>AND('Field Designations'!B64,"AAAAAE3f1/w=")</f>
        <v>#VALUE!</v>
      </c>
      <c r="IT78" t="e">
        <f>AND('Field Designations'!#REF!,"AAAAAE3f1/0=")</f>
        <v>#REF!</v>
      </c>
      <c r="IU78" t="e">
        <f>AND('Field Designations'!A64,"AAAAAE3f1/4=")</f>
        <v>#VALUE!</v>
      </c>
      <c r="IV78" t="e">
        <f>AND('Field Designations'!C64,"AAAAAE3f1/8=")</f>
        <v>#VALUE!</v>
      </c>
    </row>
    <row r="79" spans="1:256" x14ac:dyDescent="0.2">
      <c r="A79" t="e">
        <f>AND('Field Designations'!#REF!,"AAAAAGVz+wA=")</f>
        <v>#REF!</v>
      </c>
      <c r="B79" t="e">
        <f>AND('Field Designations'!E64,"AAAAAGVz+wE=")</f>
        <v>#VALUE!</v>
      </c>
      <c r="C79" t="e">
        <f>AND('Field Designations'!#REF!,"AAAAAGVz+wI=")</f>
        <v>#REF!</v>
      </c>
      <c r="D79" t="e">
        <f>AND('Field Designations'!F64,"AAAAAGVz+wM=")</f>
        <v>#VALUE!</v>
      </c>
      <c r="E79" t="e">
        <f>AND('Field Designations'!#REF!,"AAAAAGVz+wQ=")</f>
        <v>#REF!</v>
      </c>
      <c r="F79" t="e">
        <f>AND('Field Designations'!G64,"AAAAAGVz+wU=")</f>
        <v>#VALUE!</v>
      </c>
      <c r="G79" t="e">
        <f>AND('Field Designations'!#REF!,"AAAAAGVz+wY=")</f>
        <v>#REF!</v>
      </c>
      <c r="H79" t="e">
        <f>AND('Field Designations'!#REF!,"AAAAAGVz+wc=")</f>
        <v>#REF!</v>
      </c>
      <c r="I79" t="e">
        <f>AND('Field Designations'!#REF!,"AAAAAGVz+wg=")</f>
        <v>#REF!</v>
      </c>
      <c r="J79" t="e">
        <f>AND('Field Designations'!#REF!,"AAAAAGVz+wk=")</f>
        <v>#REF!</v>
      </c>
      <c r="K79" t="e">
        <f>AND('Field Designations'!#REF!,"AAAAAGVz+wo=")</f>
        <v>#REF!</v>
      </c>
      <c r="L79" t="e">
        <f>AND('Field Designations'!#REF!,"AAAAAGVz+ws=")</f>
        <v>#REF!</v>
      </c>
      <c r="M79" t="e">
        <f>AND('Field Designations'!#REF!,"AAAAAGVz+ww=")</f>
        <v>#REF!</v>
      </c>
      <c r="N79" t="e">
        <f>AND('Field Designations'!#REF!,"AAAAAGVz+w0=")</f>
        <v>#REF!</v>
      </c>
      <c r="O79" t="e">
        <f>AND('Field Designations'!#REF!,"AAAAAGVz+w4=")</f>
        <v>#REF!</v>
      </c>
      <c r="P79" t="e">
        <f>AND('Field Designations'!#REF!,"AAAAAGVz+w8=")</f>
        <v>#REF!</v>
      </c>
      <c r="Q79" t="e">
        <f>AND('Field Designations'!#REF!,"AAAAAGVz+xA=")</f>
        <v>#REF!</v>
      </c>
      <c r="R79" t="e">
        <f>AND('Field Designations'!#REF!,"AAAAAGVz+xE=")</f>
        <v>#REF!</v>
      </c>
      <c r="S79" t="e">
        <f>AND('Field Designations'!H64,"AAAAAGVz+xI=")</f>
        <v>#VALUE!</v>
      </c>
      <c r="T79">
        <f>IF('Field Designations'!65:65,"AAAAAGVz+xM=",0)</f>
        <v>0</v>
      </c>
      <c r="U79" t="e">
        <f>AND('Field Designations'!#REF!,"AAAAAGVz+xQ=")</f>
        <v>#REF!</v>
      </c>
      <c r="V79" t="e">
        <f>AND('Field Designations'!B65,"AAAAAGVz+xU=")</f>
        <v>#VALUE!</v>
      </c>
      <c r="W79" t="e">
        <f>AND('Field Designations'!#REF!,"AAAAAGVz+xY=")</f>
        <v>#REF!</v>
      </c>
      <c r="X79" t="e">
        <f>AND('Field Designations'!A65,"AAAAAGVz+xc=")</f>
        <v>#VALUE!</v>
      </c>
      <c r="Y79" t="e">
        <f>AND('Field Designations'!C65,"AAAAAGVz+xg=")</f>
        <v>#VALUE!</v>
      </c>
      <c r="Z79" t="e">
        <f>AND('Field Designations'!#REF!,"AAAAAGVz+xk=")</f>
        <v>#REF!</v>
      </c>
      <c r="AA79" t="e">
        <f>AND('Field Designations'!E65,"AAAAAGVz+xo=")</f>
        <v>#VALUE!</v>
      </c>
      <c r="AB79" t="e">
        <f>AND('Field Designations'!#REF!,"AAAAAGVz+xs=")</f>
        <v>#REF!</v>
      </c>
      <c r="AC79" t="e">
        <f>AND('Field Designations'!F65,"AAAAAGVz+xw=")</f>
        <v>#VALUE!</v>
      </c>
      <c r="AD79" t="e">
        <f>AND('Field Designations'!#REF!,"AAAAAGVz+x0=")</f>
        <v>#REF!</v>
      </c>
      <c r="AE79" t="e">
        <f>AND('Field Designations'!G65,"AAAAAGVz+x4=")</f>
        <v>#VALUE!</v>
      </c>
      <c r="AF79" t="e">
        <f>AND('Field Designations'!#REF!,"AAAAAGVz+x8=")</f>
        <v>#REF!</v>
      </c>
      <c r="AG79" t="e">
        <f>AND('Field Designations'!#REF!,"AAAAAGVz+yA=")</f>
        <v>#REF!</v>
      </c>
      <c r="AH79" t="e">
        <f>AND('Field Designations'!#REF!,"AAAAAGVz+yE=")</f>
        <v>#REF!</v>
      </c>
      <c r="AI79" t="e">
        <f>AND('Field Designations'!#REF!,"AAAAAGVz+yI=")</f>
        <v>#REF!</v>
      </c>
      <c r="AJ79" t="e">
        <f>AND('Field Designations'!#REF!,"AAAAAGVz+yM=")</f>
        <v>#REF!</v>
      </c>
      <c r="AK79" t="e">
        <f>AND('Field Designations'!#REF!,"AAAAAGVz+yQ=")</f>
        <v>#REF!</v>
      </c>
      <c r="AL79" t="e">
        <f>AND('Field Designations'!#REF!,"AAAAAGVz+yU=")</f>
        <v>#REF!</v>
      </c>
      <c r="AM79" t="e">
        <f>AND('Field Designations'!#REF!,"AAAAAGVz+yY=")</f>
        <v>#REF!</v>
      </c>
      <c r="AN79" t="e">
        <f>AND('Field Designations'!#REF!,"AAAAAGVz+yc=")</f>
        <v>#REF!</v>
      </c>
      <c r="AO79" t="e">
        <f>AND('Field Designations'!#REF!,"AAAAAGVz+yg=")</f>
        <v>#REF!</v>
      </c>
      <c r="AP79" t="e">
        <f>AND('Field Designations'!#REF!,"AAAAAGVz+yk=")</f>
        <v>#REF!</v>
      </c>
      <c r="AQ79" t="e">
        <f>AND('Field Designations'!#REF!,"AAAAAGVz+yo=")</f>
        <v>#REF!</v>
      </c>
      <c r="AR79" t="e">
        <f>AND('Field Designations'!H65,"AAAAAGVz+ys=")</f>
        <v>#VALUE!</v>
      </c>
      <c r="AS79">
        <f>IF('Field Designations'!66:66,"AAAAAGVz+yw=",0)</f>
        <v>0</v>
      </c>
      <c r="AT79" t="e">
        <f>AND('Field Designations'!#REF!,"AAAAAGVz+y0=")</f>
        <v>#REF!</v>
      </c>
      <c r="AU79" t="e">
        <f>AND('Field Designations'!B66,"AAAAAGVz+y4=")</f>
        <v>#VALUE!</v>
      </c>
      <c r="AV79" t="e">
        <f>AND('Field Designations'!#REF!,"AAAAAGVz+y8=")</f>
        <v>#REF!</v>
      </c>
      <c r="AW79" t="e">
        <f>AND('Field Designations'!A66,"AAAAAGVz+zA=")</f>
        <v>#VALUE!</v>
      </c>
      <c r="AX79" t="e">
        <f>AND('Field Designations'!C66,"AAAAAGVz+zE=")</f>
        <v>#VALUE!</v>
      </c>
      <c r="AY79" t="e">
        <f>AND('Field Designations'!#REF!,"AAAAAGVz+zI=")</f>
        <v>#REF!</v>
      </c>
      <c r="AZ79" t="e">
        <f>AND('Field Designations'!E66,"AAAAAGVz+zM=")</f>
        <v>#VALUE!</v>
      </c>
      <c r="BA79" t="e">
        <f>AND('Field Designations'!#REF!,"AAAAAGVz+zQ=")</f>
        <v>#REF!</v>
      </c>
      <c r="BB79" t="e">
        <f>AND('Field Designations'!F66,"AAAAAGVz+zU=")</f>
        <v>#VALUE!</v>
      </c>
      <c r="BC79" t="e">
        <f>AND('Field Designations'!#REF!,"AAAAAGVz+zY=")</f>
        <v>#REF!</v>
      </c>
      <c r="BD79" t="e">
        <f>AND('Field Designations'!G66,"AAAAAGVz+zc=")</f>
        <v>#VALUE!</v>
      </c>
      <c r="BE79" t="e">
        <f>AND('Field Designations'!#REF!,"AAAAAGVz+zg=")</f>
        <v>#REF!</v>
      </c>
      <c r="BF79" t="e">
        <f>AND('Field Designations'!#REF!,"AAAAAGVz+zk=")</f>
        <v>#REF!</v>
      </c>
      <c r="BG79" t="e">
        <f>AND('Field Designations'!#REF!,"AAAAAGVz+zo=")</f>
        <v>#REF!</v>
      </c>
      <c r="BH79" t="e">
        <f>AND('Field Designations'!#REF!,"AAAAAGVz+zs=")</f>
        <v>#REF!</v>
      </c>
      <c r="BI79" t="e">
        <f>AND('Field Designations'!#REF!,"AAAAAGVz+zw=")</f>
        <v>#REF!</v>
      </c>
      <c r="BJ79" t="e">
        <f>AND('Field Designations'!#REF!,"AAAAAGVz+z0=")</f>
        <v>#REF!</v>
      </c>
      <c r="BK79" t="e">
        <f>AND('Field Designations'!#REF!,"AAAAAGVz+z4=")</f>
        <v>#REF!</v>
      </c>
      <c r="BL79" t="e">
        <f>AND('Field Designations'!#REF!,"AAAAAGVz+z8=")</f>
        <v>#REF!</v>
      </c>
      <c r="BM79" t="e">
        <f>AND('Field Designations'!#REF!,"AAAAAGVz+0A=")</f>
        <v>#REF!</v>
      </c>
      <c r="BN79" t="e">
        <f>AND('Field Designations'!#REF!,"AAAAAGVz+0E=")</f>
        <v>#REF!</v>
      </c>
      <c r="BO79" t="e">
        <f>AND('Field Designations'!#REF!,"AAAAAGVz+0I=")</f>
        <v>#REF!</v>
      </c>
      <c r="BP79" t="e">
        <f>AND('Field Designations'!#REF!,"AAAAAGVz+0M=")</f>
        <v>#REF!</v>
      </c>
      <c r="BQ79" t="e">
        <f>AND('Field Designations'!H66,"AAAAAGVz+0Q=")</f>
        <v>#VALUE!</v>
      </c>
      <c r="BR79">
        <f>IF('Field Designations'!67:67,"AAAAAGVz+0U=",0)</f>
        <v>0</v>
      </c>
      <c r="BS79" t="e">
        <f>AND('Field Designations'!#REF!,"AAAAAGVz+0Y=")</f>
        <v>#REF!</v>
      </c>
      <c r="BT79" t="e">
        <f>AND('Field Designations'!B67,"AAAAAGVz+0c=")</f>
        <v>#VALUE!</v>
      </c>
      <c r="BU79" t="e">
        <f>AND('Field Designations'!#REF!,"AAAAAGVz+0g=")</f>
        <v>#REF!</v>
      </c>
      <c r="BV79" t="e">
        <f>AND('Field Designations'!A67,"AAAAAGVz+0k=")</f>
        <v>#VALUE!</v>
      </c>
      <c r="BW79" t="e">
        <f>AND('Field Designations'!C67,"AAAAAGVz+0o=")</f>
        <v>#VALUE!</v>
      </c>
      <c r="BX79" t="e">
        <f>AND('Field Designations'!#REF!,"AAAAAGVz+0s=")</f>
        <v>#REF!</v>
      </c>
      <c r="BY79" t="e">
        <f>AND('Field Designations'!E67,"AAAAAGVz+0w=")</f>
        <v>#VALUE!</v>
      </c>
      <c r="BZ79">
        <f>IF('Field Designations'!A:A,"AAAAAGVz+00=",0)</f>
        <v>0</v>
      </c>
      <c r="CA79">
        <f>IF('Field Designations'!B:B,"AAAAAGVz+04=",0)</f>
        <v>0</v>
      </c>
      <c r="CB79" t="e">
        <f>IF('Field Designations'!#REF!,"AAAAAGVz+08=",0)</f>
        <v>#REF!</v>
      </c>
      <c r="CC79">
        <f>IF('Field Designations'!C:C,"AAAAAGVz+1A=",0)</f>
        <v>0</v>
      </c>
      <c r="CD79" t="e">
        <f>IF('Field Designations'!#REF!,"AAAAAGVz+1E=",0)</f>
        <v>#REF!</v>
      </c>
      <c r="CE79">
        <f>IF('Field Designations'!E:E,"AAAAAGVz+1I=",0)</f>
        <v>0</v>
      </c>
      <c r="CF79">
        <f>IF('Field Designations'!F:F,"AAAAAGVz+1M=",0)</f>
        <v>0</v>
      </c>
      <c r="CG79">
        <f>IF('Field Designations'!G:G,"AAAAAGVz+1Q=",0)</f>
        <v>0</v>
      </c>
      <c r="CH79" t="e">
        <f>IF('Field Designations'!#REF!,"AAAAAGVz+1U=",0)</f>
        <v>#REF!</v>
      </c>
      <c r="CI79" t="e">
        <f>IF('Field Designations'!#REF!,"AAAAAGVz+1Y=",0)</f>
        <v>#REF!</v>
      </c>
      <c r="CJ79" t="e">
        <f>IF('Field Designations'!#REF!,"AAAAAGVz+1c=",0)</f>
        <v>#REF!</v>
      </c>
      <c r="CK79" t="e">
        <f>IF('Field Designations'!#REF!,"AAAAAGVz+1g=",0)</f>
        <v>#REF!</v>
      </c>
      <c r="CL79" t="e">
        <f>IF('Field Designations'!#REF!,"AAAAAGVz+1k=",0)</f>
        <v>#REF!</v>
      </c>
      <c r="CM79" t="e">
        <f>IF('Field Designations'!#REF!,"AAAAAGVz+1o=",0)</f>
        <v>#REF!</v>
      </c>
      <c r="CN79" t="e">
        <f>IF('Field Designations'!#REF!,"AAAAAGVz+1s=",0)</f>
        <v>#REF!</v>
      </c>
      <c r="CO79" t="e">
        <f>IF('Field Designations'!#REF!,"AAAAAGVz+1w=",0)</f>
        <v>#REF!</v>
      </c>
      <c r="CP79" t="e">
        <f>IF('Field Designations'!#REF!,"AAAAAGVz+10=",0)</f>
        <v>#REF!</v>
      </c>
      <c r="CQ79" t="e">
        <f>IF('Field Designations'!#REF!,"AAAAAGVz+14=",0)</f>
        <v>#REF!</v>
      </c>
      <c r="CR79" t="e">
        <f>IF('Field Designations'!#REF!,"AAAAAGVz+18=",0)</f>
        <v>#REF!</v>
      </c>
      <c r="CS79" t="e">
        <f>IF('Field Designations'!#REF!,"AAAAAGVz+2A=",0)</f>
        <v>#REF!</v>
      </c>
      <c r="CT79">
        <f>IF('Field Designations'!H:H,"AAAAAGVz+2E=",0)</f>
        <v>0</v>
      </c>
      <c r="CU79">
        <f>IF('Field Designations'!I:I,"AAAAAGVz+2I=",0)</f>
        <v>0</v>
      </c>
      <c r="CV79">
        <f>IF('Field Designations'!J:J,"AAAAAGVz+2M=",0)</f>
        <v>0</v>
      </c>
      <c r="CW79">
        <f>IF('Field Designations'!K:K,"AAAAAGVz+2Q=",0)</f>
        <v>0</v>
      </c>
      <c r="CX79">
        <f>IF('Reg Codes'!1:1,"AAAAAGVz+2U=",0)</f>
        <v>0</v>
      </c>
      <c r="CY79" t="e">
        <f>AND('Reg Codes'!#REF!,"AAAAAGVz+2Y=")</f>
        <v>#REF!</v>
      </c>
      <c r="CZ79" t="e">
        <f>AND('Reg Codes'!A1,"AAAAAGVz+2c=")</f>
        <v>#VALUE!</v>
      </c>
      <c r="DA79" t="e">
        <f>AND('Reg Codes'!C1,"AAAAAGVz+2g=")</f>
        <v>#VALUE!</v>
      </c>
      <c r="DB79" t="e">
        <f>AND('Reg Codes'!#REF!,"AAAAAGVz+2k=")</f>
        <v>#REF!</v>
      </c>
      <c r="DC79" t="e">
        <f>AND('Reg Codes'!D1,"AAAAAGVz+2o=")</f>
        <v>#VALUE!</v>
      </c>
      <c r="DD79" t="e">
        <f>AND('Reg Codes'!E1,"AAAAAGVz+2s=")</f>
        <v>#VALUE!</v>
      </c>
      <c r="DE79" t="e">
        <f>AND('Reg Codes'!#REF!,"AAAAAGVz+2w=")</f>
        <v>#REF!</v>
      </c>
      <c r="DF79" t="e">
        <f>AND('Reg Codes'!H1,"AAAAAGVz+20=")</f>
        <v>#VALUE!</v>
      </c>
      <c r="DG79" t="e">
        <f>AND('Reg Codes'!I1,"AAAAAGVz+24=")</f>
        <v>#VALUE!</v>
      </c>
      <c r="DH79" t="e">
        <f>AND('Reg Codes'!J1,"AAAAAGVz+28=")</f>
        <v>#VALUE!</v>
      </c>
      <c r="DI79" t="e">
        <f>AND('Reg Codes'!K1,"AAAAAGVz+3A=")</f>
        <v>#VALUE!</v>
      </c>
      <c r="DJ79" t="e">
        <f>AND('Reg Codes'!#REF!,"AAAAAGVz+3E=")</f>
        <v>#REF!</v>
      </c>
      <c r="DK79" t="e">
        <f>AND('Reg Codes'!#REF!,"AAAAAGVz+3I=")</f>
        <v>#REF!</v>
      </c>
      <c r="DL79" t="e">
        <f>AND('Reg Codes'!#REF!,"AAAAAGVz+3M=")</f>
        <v>#REF!</v>
      </c>
      <c r="DM79" t="e">
        <f>AND('Reg Codes'!#REF!,"AAAAAGVz+3Q=")</f>
        <v>#REF!</v>
      </c>
      <c r="DN79">
        <f>IF('Reg Codes'!2:2,"AAAAAGVz+3U=",0)</f>
        <v>0</v>
      </c>
      <c r="DO79" t="e">
        <f>AND('Reg Codes'!A2,"AAAAAGVz+3Y=")</f>
        <v>#VALUE!</v>
      </c>
      <c r="DP79" t="e">
        <f>AND('Reg Codes'!B2,"AAAAAGVz+3c=")</f>
        <v>#VALUE!</v>
      </c>
      <c r="DQ79" t="e">
        <f>AND('Reg Codes'!C2,"AAAAAGVz+3g=")</f>
        <v>#VALUE!</v>
      </c>
      <c r="DR79" t="e">
        <f>AND('Reg Codes'!#REF!,"AAAAAGVz+3k=")</f>
        <v>#REF!</v>
      </c>
      <c r="DS79" t="e">
        <f>AND('Reg Codes'!D2,"AAAAAGVz+3o=")</f>
        <v>#VALUE!</v>
      </c>
      <c r="DT79" t="e">
        <f>AND('Reg Codes'!E2,"AAAAAGVz+3s=")</f>
        <v>#VALUE!</v>
      </c>
      <c r="DU79" t="e">
        <f>AND('Reg Codes'!#REF!,"AAAAAGVz+3w=")</f>
        <v>#REF!</v>
      </c>
      <c r="DV79" t="e">
        <f>AND('Reg Codes'!H2,"AAAAAGVz+30=")</f>
        <v>#VALUE!</v>
      </c>
      <c r="DW79" t="e">
        <f>AND('Reg Codes'!I2,"AAAAAGVz+34=")</f>
        <v>#VALUE!</v>
      </c>
      <c r="DX79" t="e">
        <f>AND('Reg Codes'!J2,"AAAAAGVz+38=")</f>
        <v>#VALUE!</v>
      </c>
      <c r="DY79" t="e">
        <f>AND('Reg Codes'!K2,"AAAAAGVz+4A=")</f>
        <v>#VALUE!</v>
      </c>
      <c r="DZ79" t="e">
        <f>AND('Reg Codes'!#REF!,"AAAAAGVz+4E=")</f>
        <v>#REF!</v>
      </c>
      <c r="EA79" t="e">
        <f>AND('Reg Codes'!#REF!,"AAAAAGVz+4I=")</f>
        <v>#REF!</v>
      </c>
      <c r="EB79" t="e">
        <f>AND('Reg Codes'!#REF!,"AAAAAGVz+4M=")</f>
        <v>#REF!</v>
      </c>
      <c r="EC79" t="e">
        <f>AND('Reg Codes'!#REF!,"AAAAAGVz+4Q=")</f>
        <v>#REF!</v>
      </c>
      <c r="ED79">
        <f>IF('Reg Codes'!3:3,"AAAAAGVz+4U=",0)</f>
        <v>0</v>
      </c>
      <c r="EE79" t="e">
        <f>AND('Reg Codes'!A3,"AAAAAGVz+4Y=")</f>
        <v>#VALUE!</v>
      </c>
      <c r="EF79" t="e">
        <f>AND('Reg Codes'!B3,"AAAAAGVz+4c=")</f>
        <v>#VALUE!</v>
      </c>
      <c r="EG79" t="e">
        <f>AND('Reg Codes'!C3,"AAAAAGVz+4g=")</f>
        <v>#VALUE!</v>
      </c>
      <c r="EH79" t="e">
        <f>AND('Reg Codes'!#REF!,"AAAAAGVz+4k=")</f>
        <v>#REF!</v>
      </c>
      <c r="EI79" t="e">
        <f>AND('Reg Codes'!D3,"AAAAAGVz+4o=")</f>
        <v>#VALUE!</v>
      </c>
      <c r="EJ79" t="e">
        <f>AND('Reg Codes'!E3,"AAAAAGVz+4s=")</f>
        <v>#VALUE!</v>
      </c>
      <c r="EK79" t="e">
        <f>AND('Reg Codes'!#REF!,"AAAAAGVz+4w=")</f>
        <v>#REF!</v>
      </c>
      <c r="EL79" t="e">
        <f>AND('Reg Codes'!H3,"AAAAAGVz+40=")</f>
        <v>#VALUE!</v>
      </c>
      <c r="EM79" t="e">
        <f>AND('Reg Codes'!I3,"AAAAAGVz+44=")</f>
        <v>#VALUE!</v>
      </c>
      <c r="EN79" t="e">
        <f>AND('Reg Codes'!J3,"AAAAAGVz+48=")</f>
        <v>#VALUE!</v>
      </c>
      <c r="EO79" t="e">
        <f>AND('Reg Codes'!K3,"AAAAAGVz+5A=")</f>
        <v>#VALUE!</v>
      </c>
      <c r="EP79" t="e">
        <f>AND('Reg Codes'!#REF!,"AAAAAGVz+5E=")</f>
        <v>#REF!</v>
      </c>
      <c r="EQ79" t="e">
        <f>AND('Reg Codes'!#REF!,"AAAAAGVz+5I=")</f>
        <v>#REF!</v>
      </c>
      <c r="ER79" t="e">
        <f>AND('Reg Codes'!#REF!,"AAAAAGVz+5M=")</f>
        <v>#REF!</v>
      </c>
      <c r="ES79" t="e">
        <f>AND('Reg Codes'!#REF!,"AAAAAGVz+5Q=")</f>
        <v>#REF!</v>
      </c>
      <c r="ET79">
        <f>IF('Reg Codes'!4:4,"AAAAAGVz+5U=",0)</f>
        <v>0</v>
      </c>
      <c r="EU79" t="e">
        <f>AND('Reg Codes'!A4,"AAAAAGVz+5Y=")</f>
        <v>#VALUE!</v>
      </c>
      <c r="EV79" t="e">
        <f>AND('Reg Codes'!B4,"AAAAAGVz+5c=")</f>
        <v>#VALUE!</v>
      </c>
      <c r="EW79" t="e">
        <f>AND('Reg Codes'!C4,"AAAAAGVz+5g=")</f>
        <v>#VALUE!</v>
      </c>
      <c r="EX79" t="e">
        <f>AND('Reg Codes'!#REF!,"AAAAAGVz+5k=")</f>
        <v>#REF!</v>
      </c>
      <c r="EY79" t="e">
        <f>AND('Reg Codes'!D4,"AAAAAGVz+5o=")</f>
        <v>#VALUE!</v>
      </c>
      <c r="EZ79" t="e">
        <f>AND('Reg Codes'!E4,"AAAAAGVz+5s=")</f>
        <v>#VALUE!</v>
      </c>
      <c r="FA79" t="e">
        <f>AND('Reg Codes'!#REF!,"AAAAAGVz+5w=")</f>
        <v>#REF!</v>
      </c>
      <c r="FB79" t="e">
        <f>AND('Reg Codes'!#REF!,"AAAAAGVz+50=")</f>
        <v>#REF!</v>
      </c>
      <c r="FC79" t="e">
        <f>AND('Reg Codes'!#REF!,"AAAAAGVz+54=")</f>
        <v>#REF!</v>
      </c>
      <c r="FD79" t="e">
        <f>AND('Reg Codes'!#REF!,"AAAAAGVz+58=")</f>
        <v>#REF!</v>
      </c>
      <c r="FE79" t="e">
        <f>AND('Reg Codes'!#REF!,"AAAAAGVz+6A=")</f>
        <v>#REF!</v>
      </c>
      <c r="FF79" t="e">
        <f>AND('Reg Codes'!H4,"AAAAAGVz+6E=")</f>
        <v>#VALUE!</v>
      </c>
      <c r="FG79" t="e">
        <f>AND('Reg Codes'!I4,"AAAAAGVz+6I=")</f>
        <v>#VALUE!</v>
      </c>
      <c r="FH79" t="e">
        <f>AND('Reg Codes'!J4,"AAAAAGVz+6M=")</f>
        <v>#VALUE!</v>
      </c>
      <c r="FI79" t="e">
        <f>AND('Reg Codes'!K4,"AAAAAGVz+6Q=")</f>
        <v>#VALUE!</v>
      </c>
      <c r="FJ79" t="e">
        <f>IF('Reg Codes'!#REF!,"AAAAAGVz+6U=",0)</f>
        <v>#REF!</v>
      </c>
      <c r="FK79" t="e">
        <f>AND('Reg Codes'!#REF!,"AAAAAGVz+6Y=")</f>
        <v>#REF!</v>
      </c>
      <c r="FL79" t="e">
        <f>AND('Reg Codes'!#REF!,"AAAAAGVz+6c=")</f>
        <v>#REF!</v>
      </c>
      <c r="FM79" t="e">
        <f>AND('Reg Codes'!#REF!,"AAAAAGVz+6g=")</f>
        <v>#REF!</v>
      </c>
      <c r="FN79" t="e">
        <f>AND('Reg Codes'!#REF!,"AAAAAGVz+6k=")</f>
        <v>#REF!</v>
      </c>
      <c r="FO79" t="e">
        <f>AND('Reg Codes'!#REF!,"AAAAAGVz+6o=")</f>
        <v>#REF!</v>
      </c>
      <c r="FP79" t="e">
        <f>AND('Reg Codes'!#REF!,"AAAAAGVz+6s=")</f>
        <v>#REF!</v>
      </c>
      <c r="FQ79" t="e">
        <f>AND('Reg Codes'!#REF!,"AAAAAGVz+6w=")</f>
        <v>#REF!</v>
      </c>
      <c r="FR79" t="e">
        <f>AND('Reg Codes'!#REF!,"AAAAAGVz+60=")</f>
        <v>#REF!</v>
      </c>
      <c r="FS79" t="e">
        <f>AND('Reg Codes'!#REF!,"AAAAAGVz+64=")</f>
        <v>#REF!</v>
      </c>
      <c r="FT79" t="e">
        <f>AND('Reg Codes'!#REF!,"AAAAAGVz+68=")</f>
        <v>#REF!</v>
      </c>
      <c r="FU79" t="e">
        <f>AND('Reg Codes'!#REF!,"AAAAAGVz+7A=")</f>
        <v>#REF!</v>
      </c>
      <c r="FV79" t="e">
        <f>AND('Reg Codes'!#REF!,"AAAAAGVz+7E=")</f>
        <v>#REF!</v>
      </c>
      <c r="FW79" t="e">
        <f>AND('Reg Codes'!#REF!,"AAAAAGVz+7I=")</f>
        <v>#REF!</v>
      </c>
      <c r="FX79" t="e">
        <f>AND('Reg Codes'!#REF!,"AAAAAGVz+7M=")</f>
        <v>#REF!</v>
      </c>
      <c r="FY79" t="e">
        <f>AND('Reg Codes'!#REF!,"AAAAAGVz+7Q=")</f>
        <v>#REF!</v>
      </c>
      <c r="FZ79" t="e">
        <f>IF('Reg Codes'!#REF!,"AAAAAGVz+7U=",0)</f>
        <v>#REF!</v>
      </c>
      <c r="GA79" t="e">
        <f>AND('Reg Codes'!#REF!,"AAAAAGVz+7Y=")</f>
        <v>#REF!</v>
      </c>
      <c r="GB79" t="e">
        <f>AND('Reg Codes'!#REF!,"AAAAAGVz+7c=")</f>
        <v>#REF!</v>
      </c>
      <c r="GC79" t="e">
        <f>AND('Reg Codes'!#REF!,"AAAAAGVz+7g=")</f>
        <v>#REF!</v>
      </c>
      <c r="GD79" t="e">
        <f>AND('Reg Codes'!#REF!,"AAAAAGVz+7k=")</f>
        <v>#REF!</v>
      </c>
      <c r="GE79" t="e">
        <f>AND('Reg Codes'!#REF!,"AAAAAGVz+7o=")</f>
        <v>#REF!</v>
      </c>
      <c r="GF79" t="e">
        <f>AND('Reg Codes'!#REF!,"AAAAAGVz+7s=")</f>
        <v>#REF!</v>
      </c>
      <c r="GG79" t="e">
        <f>AND('Reg Codes'!#REF!,"AAAAAGVz+7w=")</f>
        <v>#REF!</v>
      </c>
      <c r="GH79" t="e">
        <f>AND('Reg Codes'!#REF!,"AAAAAGVz+70=")</f>
        <v>#REF!</v>
      </c>
      <c r="GI79" t="e">
        <f>AND('Reg Codes'!#REF!,"AAAAAGVz+74=")</f>
        <v>#REF!</v>
      </c>
      <c r="GJ79" t="e">
        <f>AND('Reg Codes'!#REF!,"AAAAAGVz+78=")</f>
        <v>#REF!</v>
      </c>
      <c r="GK79" t="e">
        <f>AND('Reg Codes'!#REF!,"AAAAAGVz+8A=")</f>
        <v>#REF!</v>
      </c>
      <c r="GL79" t="e">
        <f>AND('Reg Codes'!#REF!,"AAAAAGVz+8E=")</f>
        <v>#REF!</v>
      </c>
      <c r="GM79" t="e">
        <f>AND('Reg Codes'!#REF!,"AAAAAGVz+8I=")</f>
        <v>#REF!</v>
      </c>
      <c r="GN79" t="e">
        <f>AND('Reg Codes'!#REF!,"AAAAAGVz+8M=")</f>
        <v>#REF!</v>
      </c>
      <c r="GO79" t="e">
        <f>AND('Reg Codes'!#REF!,"AAAAAGVz+8Q=")</f>
        <v>#REF!</v>
      </c>
      <c r="GP79" t="e">
        <f>IF('Reg Codes'!#REF!,"AAAAAGVz+8U=",0)</f>
        <v>#REF!</v>
      </c>
      <c r="GQ79" t="e">
        <f>AND('Reg Codes'!#REF!,"AAAAAGVz+8Y=")</f>
        <v>#REF!</v>
      </c>
      <c r="GR79" t="e">
        <f>AND('Reg Codes'!#REF!,"AAAAAGVz+8c=")</f>
        <v>#REF!</v>
      </c>
      <c r="GS79" t="e">
        <f>AND('Reg Codes'!#REF!,"AAAAAGVz+8g=")</f>
        <v>#REF!</v>
      </c>
      <c r="GT79" t="e">
        <f>AND('Reg Codes'!#REF!,"AAAAAGVz+8k=")</f>
        <v>#REF!</v>
      </c>
      <c r="GU79" t="e">
        <f>AND('Reg Codes'!#REF!,"AAAAAGVz+8o=")</f>
        <v>#REF!</v>
      </c>
      <c r="GV79" t="e">
        <f>AND('Reg Codes'!#REF!,"AAAAAGVz+8s=")</f>
        <v>#REF!</v>
      </c>
      <c r="GW79" t="e">
        <f>AND('Reg Codes'!#REF!,"AAAAAGVz+8w=")</f>
        <v>#REF!</v>
      </c>
      <c r="GX79" t="e">
        <f>AND('Reg Codes'!#REF!,"AAAAAGVz+80=")</f>
        <v>#REF!</v>
      </c>
      <c r="GY79" t="e">
        <f>AND('Reg Codes'!#REF!,"AAAAAGVz+84=")</f>
        <v>#REF!</v>
      </c>
      <c r="GZ79" t="e">
        <f>AND('Reg Codes'!#REF!,"AAAAAGVz+88=")</f>
        <v>#REF!</v>
      </c>
      <c r="HA79" t="e">
        <f>AND('Reg Codes'!#REF!,"AAAAAGVz+9A=")</f>
        <v>#REF!</v>
      </c>
      <c r="HB79" t="e">
        <f>AND('Reg Codes'!#REF!,"AAAAAGVz+9E=")</f>
        <v>#REF!</v>
      </c>
      <c r="HC79" t="e">
        <f>AND('Reg Codes'!#REF!,"AAAAAGVz+9I=")</f>
        <v>#REF!</v>
      </c>
      <c r="HD79" t="e">
        <f>AND('Reg Codes'!#REF!,"AAAAAGVz+9M=")</f>
        <v>#REF!</v>
      </c>
      <c r="HE79" t="e">
        <f>AND('Reg Codes'!#REF!,"AAAAAGVz+9Q=")</f>
        <v>#REF!</v>
      </c>
      <c r="HF79" t="e">
        <f>IF('Reg Codes'!#REF!,"AAAAAGVz+9U=",0)</f>
        <v>#REF!</v>
      </c>
      <c r="HG79" t="e">
        <f>AND('Reg Codes'!#REF!,"AAAAAGVz+9Y=")</f>
        <v>#REF!</v>
      </c>
      <c r="HH79" t="e">
        <f>AND('Reg Codes'!#REF!,"AAAAAGVz+9c=")</f>
        <v>#REF!</v>
      </c>
      <c r="HI79" t="e">
        <f>AND('Reg Codes'!#REF!,"AAAAAGVz+9g=")</f>
        <v>#REF!</v>
      </c>
      <c r="HJ79" t="e">
        <f>AND('Reg Codes'!#REF!,"AAAAAGVz+9k=")</f>
        <v>#REF!</v>
      </c>
      <c r="HK79" t="e">
        <f>AND('Reg Codes'!#REF!,"AAAAAGVz+9o=")</f>
        <v>#REF!</v>
      </c>
      <c r="HL79" t="e">
        <f>AND('Reg Codes'!#REF!,"AAAAAGVz+9s=")</f>
        <v>#REF!</v>
      </c>
      <c r="HM79" t="e">
        <f>AND('Reg Codes'!#REF!,"AAAAAGVz+9w=")</f>
        <v>#REF!</v>
      </c>
      <c r="HN79" t="e">
        <f>AND('Reg Codes'!#REF!,"AAAAAGVz+90=")</f>
        <v>#REF!</v>
      </c>
      <c r="HO79" t="e">
        <f>AND('Reg Codes'!#REF!,"AAAAAGVz+94=")</f>
        <v>#REF!</v>
      </c>
      <c r="HP79" t="e">
        <f>AND('Reg Codes'!#REF!,"AAAAAGVz+98=")</f>
        <v>#REF!</v>
      </c>
      <c r="HQ79" t="e">
        <f>AND('Reg Codes'!#REF!,"AAAAAGVz++A=")</f>
        <v>#REF!</v>
      </c>
      <c r="HR79" t="e">
        <f>AND('Reg Codes'!#REF!,"AAAAAGVz++E=")</f>
        <v>#REF!</v>
      </c>
      <c r="HS79" t="e">
        <f>AND('Reg Codes'!#REF!,"AAAAAGVz++I=")</f>
        <v>#REF!</v>
      </c>
      <c r="HT79" t="e">
        <f>AND('Reg Codes'!#REF!,"AAAAAGVz++M=")</f>
        <v>#REF!</v>
      </c>
      <c r="HU79" t="e">
        <f>AND('Reg Codes'!#REF!,"AAAAAGVz++Q=")</f>
        <v>#REF!</v>
      </c>
      <c r="HV79" t="e">
        <f>IF('Reg Codes'!#REF!,"AAAAAGVz++U=",0)</f>
        <v>#REF!</v>
      </c>
      <c r="HW79" t="e">
        <f>AND('Reg Codes'!#REF!,"AAAAAGVz++Y=")</f>
        <v>#REF!</v>
      </c>
      <c r="HX79" t="e">
        <f>AND('Reg Codes'!#REF!,"AAAAAGVz++c=")</f>
        <v>#REF!</v>
      </c>
      <c r="HY79" t="e">
        <f>AND('Reg Codes'!#REF!,"AAAAAGVz++g=")</f>
        <v>#REF!</v>
      </c>
      <c r="HZ79" t="e">
        <f>AND('Reg Codes'!#REF!,"AAAAAGVz++k=")</f>
        <v>#REF!</v>
      </c>
      <c r="IA79" t="e">
        <f>AND('Reg Codes'!#REF!,"AAAAAGVz++o=")</f>
        <v>#REF!</v>
      </c>
      <c r="IB79" t="e">
        <f>AND('Reg Codes'!#REF!,"AAAAAGVz++s=")</f>
        <v>#REF!</v>
      </c>
      <c r="IC79" t="e">
        <f>AND('Reg Codes'!#REF!,"AAAAAGVz++w=")</f>
        <v>#REF!</v>
      </c>
      <c r="ID79" t="e">
        <f>AND('Reg Codes'!#REF!,"AAAAAGVz++0=")</f>
        <v>#REF!</v>
      </c>
      <c r="IE79" t="e">
        <f>AND('Reg Codes'!#REF!,"AAAAAGVz++4=")</f>
        <v>#REF!</v>
      </c>
      <c r="IF79" t="e">
        <f>AND('Reg Codes'!#REF!,"AAAAAGVz++8=")</f>
        <v>#REF!</v>
      </c>
      <c r="IG79" t="e">
        <f>AND('Reg Codes'!#REF!,"AAAAAGVz+/A=")</f>
        <v>#REF!</v>
      </c>
      <c r="IH79" t="e">
        <f>AND('Reg Codes'!#REF!,"AAAAAGVz+/E=")</f>
        <v>#REF!</v>
      </c>
      <c r="II79" t="e">
        <f>AND('Reg Codes'!#REF!,"AAAAAGVz+/I=")</f>
        <v>#REF!</v>
      </c>
      <c r="IJ79" t="e">
        <f>AND('Reg Codes'!#REF!,"AAAAAGVz+/M=")</f>
        <v>#REF!</v>
      </c>
      <c r="IK79" t="e">
        <f>AND('Reg Codes'!#REF!,"AAAAAGVz+/Q=")</f>
        <v>#REF!</v>
      </c>
      <c r="IL79" t="e">
        <f>IF('Reg Codes'!#REF!,"AAAAAGVz+/U=",0)</f>
        <v>#REF!</v>
      </c>
      <c r="IM79" t="e">
        <f>AND('Reg Codes'!#REF!,"AAAAAGVz+/Y=")</f>
        <v>#REF!</v>
      </c>
      <c r="IN79" t="e">
        <f>AND('Reg Codes'!#REF!,"AAAAAGVz+/c=")</f>
        <v>#REF!</v>
      </c>
      <c r="IO79" t="e">
        <f>AND('Reg Codes'!#REF!,"AAAAAGVz+/g=")</f>
        <v>#REF!</v>
      </c>
      <c r="IP79" t="e">
        <f>AND('Reg Codes'!#REF!,"AAAAAGVz+/k=")</f>
        <v>#REF!</v>
      </c>
      <c r="IQ79" t="e">
        <f>AND('Reg Codes'!#REF!,"AAAAAGVz+/o=")</f>
        <v>#REF!</v>
      </c>
      <c r="IR79" t="e">
        <f>AND('Reg Codes'!#REF!,"AAAAAGVz+/s=")</f>
        <v>#REF!</v>
      </c>
      <c r="IS79" t="e">
        <f>AND('Reg Codes'!#REF!,"AAAAAGVz+/w=")</f>
        <v>#REF!</v>
      </c>
      <c r="IT79" t="e">
        <f>AND('Reg Codes'!#REF!,"AAAAAGVz+/0=")</f>
        <v>#REF!</v>
      </c>
      <c r="IU79" t="e">
        <f>AND('Reg Codes'!#REF!,"AAAAAGVz+/4=")</f>
        <v>#REF!</v>
      </c>
      <c r="IV79" t="e">
        <f>AND('Reg Codes'!#REF!,"AAAAAGVz+/8=")</f>
        <v>#REF!</v>
      </c>
    </row>
    <row r="80" spans="1:256" x14ac:dyDescent="0.2">
      <c r="A80" t="e">
        <f>AND('Reg Codes'!#REF!,"AAAAAHvjqwA=")</f>
        <v>#REF!</v>
      </c>
      <c r="B80" t="e">
        <f>AND('Reg Codes'!#REF!,"AAAAAHvjqwE=")</f>
        <v>#REF!</v>
      </c>
      <c r="C80" t="e">
        <f>AND('Reg Codes'!#REF!,"AAAAAHvjqwI=")</f>
        <v>#REF!</v>
      </c>
      <c r="D80" t="e">
        <f>AND('Reg Codes'!#REF!,"AAAAAHvjqwM=")</f>
        <v>#REF!</v>
      </c>
      <c r="E80" t="e">
        <f>AND('Reg Codes'!#REF!,"AAAAAHvjqwQ=")</f>
        <v>#REF!</v>
      </c>
      <c r="F80" t="e">
        <f>IF('Reg Codes'!#REF!,"AAAAAHvjqwU=",0)</f>
        <v>#REF!</v>
      </c>
      <c r="G80" t="e">
        <f>AND('Reg Codes'!#REF!,"AAAAAHvjqwY=")</f>
        <v>#REF!</v>
      </c>
      <c r="H80" t="e">
        <f>AND('Reg Codes'!#REF!,"AAAAAHvjqwc=")</f>
        <v>#REF!</v>
      </c>
      <c r="I80" t="e">
        <f>AND('Reg Codes'!#REF!,"AAAAAHvjqwg=")</f>
        <v>#REF!</v>
      </c>
      <c r="J80" t="e">
        <f>AND('Reg Codes'!#REF!,"AAAAAHvjqwk=")</f>
        <v>#REF!</v>
      </c>
      <c r="K80" t="e">
        <f>AND('Reg Codes'!#REF!,"AAAAAHvjqwo=")</f>
        <v>#REF!</v>
      </c>
      <c r="L80" t="e">
        <f>AND('Reg Codes'!#REF!,"AAAAAHvjqws=")</f>
        <v>#REF!</v>
      </c>
      <c r="M80" t="e">
        <f>AND('Reg Codes'!#REF!,"AAAAAHvjqww=")</f>
        <v>#REF!</v>
      </c>
      <c r="N80" t="e">
        <f>AND('Reg Codes'!#REF!,"AAAAAHvjqw0=")</f>
        <v>#REF!</v>
      </c>
      <c r="O80" t="e">
        <f>AND('Reg Codes'!#REF!,"AAAAAHvjqw4=")</f>
        <v>#REF!</v>
      </c>
      <c r="P80" t="e">
        <f>AND('Reg Codes'!#REF!,"AAAAAHvjqw8=")</f>
        <v>#REF!</v>
      </c>
      <c r="Q80" t="e">
        <f>AND('Reg Codes'!#REF!,"AAAAAHvjqxA=")</f>
        <v>#REF!</v>
      </c>
      <c r="R80" t="e">
        <f>AND('Reg Codes'!#REF!,"AAAAAHvjqxE=")</f>
        <v>#REF!</v>
      </c>
      <c r="S80" t="e">
        <f>AND('Reg Codes'!#REF!,"AAAAAHvjqxI=")</f>
        <v>#REF!</v>
      </c>
      <c r="T80" t="e">
        <f>AND('Reg Codes'!#REF!,"AAAAAHvjqxM=")</f>
        <v>#REF!</v>
      </c>
      <c r="U80" t="e">
        <f>AND('Reg Codes'!#REF!,"AAAAAHvjqxQ=")</f>
        <v>#REF!</v>
      </c>
      <c r="V80">
        <f>IF('Reg Codes'!21:21,"AAAAAHvjqxU=",0)</f>
        <v>0</v>
      </c>
      <c r="W80" t="e">
        <f>AND('Reg Codes'!A21,"AAAAAHvjqxY=")</f>
        <v>#VALUE!</v>
      </c>
      <c r="X80">
        <f>IF('Reg Codes'!22:22,"AAAAAHvjqxc=",0)</f>
        <v>0</v>
      </c>
      <c r="Y80" t="e">
        <f>AND('Reg Codes'!A22,"AAAAAHvjqxg=")</f>
        <v>#VALUE!</v>
      </c>
      <c r="Z80">
        <f>IF('Reg Codes'!23:23,"AAAAAHvjqxk=",0)</f>
        <v>0</v>
      </c>
      <c r="AA80" t="e">
        <f>AND('Reg Codes'!A23,"AAAAAHvjqxo=")</f>
        <v>#VALUE!</v>
      </c>
      <c r="AB80">
        <f>IF('Reg Codes'!5:5,"AAAAAHvjqxs=",0)</f>
        <v>0</v>
      </c>
      <c r="AC80" t="e">
        <f>AND('Reg Codes'!A5,"AAAAAHvjqxw=")</f>
        <v>#VALUE!</v>
      </c>
      <c r="AD80">
        <f>IF('Reg Codes'!8:8,"AAAAAHvjqx0=",0)</f>
        <v>0</v>
      </c>
      <c r="AE80" t="e">
        <f>AND('Reg Codes'!A8,"AAAAAHvjqx4=")</f>
        <v>#VALUE!</v>
      </c>
      <c r="AF80">
        <f>IF('Reg Codes'!7:7,"AAAAAHvjqx8=",0)</f>
        <v>0</v>
      </c>
      <c r="AG80" t="e">
        <f>AND('Reg Codes'!A7,"AAAAAHvjqyA=")</f>
        <v>#VALUE!</v>
      </c>
      <c r="AH80">
        <f>IF('Reg Codes'!9:9,"AAAAAHvjqyE=",0)</f>
        <v>0</v>
      </c>
      <c r="AI80" t="e">
        <f>AND('Reg Codes'!A9,"AAAAAHvjqyI=")</f>
        <v>#VALUE!</v>
      </c>
      <c r="AJ80">
        <f>IF('Reg Codes'!10:10,"AAAAAHvjqyM=",0)</f>
        <v>0</v>
      </c>
      <c r="AK80" t="e">
        <f>AND('Reg Codes'!A10,"AAAAAHvjqyQ=")</f>
        <v>#VALUE!</v>
      </c>
      <c r="AL80" t="e">
        <f>IF('Reg Codes'!#REF!,"AAAAAHvjqyU=",0)</f>
        <v>#REF!</v>
      </c>
      <c r="AM80" t="e">
        <f>AND('Reg Codes'!#REF!,"AAAAAHvjqyY=")</f>
        <v>#REF!</v>
      </c>
      <c r="AN80">
        <f>IF('Reg Codes'!11:11,"AAAAAHvjqyc=",0)</f>
        <v>0</v>
      </c>
      <c r="AO80" t="e">
        <f>AND('Reg Codes'!A11,"AAAAAHvjqyg=")</f>
        <v>#VALUE!</v>
      </c>
      <c r="AP80">
        <f>IF('Reg Codes'!16:16,"AAAAAHvjqyk=",0)</f>
        <v>0</v>
      </c>
      <c r="AQ80" t="e">
        <f>AND('Reg Codes'!A16,"AAAAAHvjqyo=")</f>
        <v>#VALUE!</v>
      </c>
      <c r="AR80">
        <f>IF('Reg Codes'!12:12,"AAAAAHvjqys=",0)</f>
        <v>0</v>
      </c>
      <c r="AS80" t="e">
        <f>AND('Reg Codes'!A12,"AAAAAHvjqyw=")</f>
        <v>#VALUE!</v>
      </c>
      <c r="AT80">
        <f>IF('Reg Codes'!17:17,"AAAAAHvjqy0=",0)</f>
        <v>0</v>
      </c>
      <c r="AU80" t="e">
        <f>AND('Reg Codes'!A17,"AAAAAHvjqy4=")</f>
        <v>#VALUE!</v>
      </c>
      <c r="AV80" t="e">
        <f>IF('Reg Codes'!#REF!,"AAAAAHvjqy8=",0)</f>
        <v>#REF!</v>
      </c>
      <c r="AW80" t="e">
        <f>AND('Reg Codes'!#REF!,"AAAAAHvjqzA=")</f>
        <v>#REF!</v>
      </c>
      <c r="AX80">
        <f>IF('Reg Codes'!18:18,"AAAAAHvjqzE=",0)</f>
        <v>0</v>
      </c>
      <c r="AY80" t="e">
        <f>AND('Reg Codes'!A18,"AAAAAHvjqzI=")</f>
        <v>#VALUE!</v>
      </c>
      <c r="AZ80" t="e">
        <f>IF('Reg Codes'!#REF!,"AAAAAHvjqzM=",0)</f>
        <v>#REF!</v>
      </c>
      <c r="BA80" t="e">
        <f>AND('Reg Codes'!#REF!,"AAAAAHvjqzQ=")</f>
        <v>#REF!</v>
      </c>
      <c r="BB80">
        <f>IF('Reg Codes'!19:19,"AAAAAHvjqzU=",0)</f>
        <v>0</v>
      </c>
      <c r="BC80" t="e">
        <f>AND('Reg Codes'!A19,"AAAAAHvjqzY=")</f>
        <v>#VALUE!</v>
      </c>
      <c r="BD80">
        <f>IF('Reg Codes'!20:20,"AAAAAHvjqzc=",0)</f>
        <v>0</v>
      </c>
      <c r="BE80" t="e">
        <f>AND('Reg Codes'!A20,"AAAAAHvjqzg=")</f>
        <v>#VALUE!</v>
      </c>
      <c r="BF80" t="e">
        <f>IF('Reg Codes'!#REF!,"AAAAAHvjqzk=",0)</f>
        <v>#REF!</v>
      </c>
      <c r="BG80" t="e">
        <f>AND('Reg Codes'!#REF!,"AAAAAHvjqzo=")</f>
        <v>#REF!</v>
      </c>
      <c r="BH80" t="e">
        <f>IF('Reg Codes'!#REF!,"AAAAAHvjqzs=",0)</f>
        <v>#REF!</v>
      </c>
      <c r="BI80" t="e">
        <f>AND('Reg Codes'!#REF!,"AAAAAHvjqzw=")</f>
        <v>#REF!</v>
      </c>
      <c r="BJ80" t="e">
        <f>IF('Reg Codes'!#REF!,"AAAAAHvjqz0=",0)</f>
        <v>#REF!</v>
      </c>
      <c r="BK80" t="e">
        <f>AND('Reg Codes'!#REF!,"AAAAAHvjqz4=")</f>
        <v>#REF!</v>
      </c>
      <c r="BL80" t="e">
        <f>IF('Reg Codes'!#REF!,"AAAAAHvjqz8=",0)</f>
        <v>#REF!</v>
      </c>
      <c r="BM80" t="e">
        <f>AND('Reg Codes'!#REF!,"AAAAAHvjq0A=")</f>
        <v>#REF!</v>
      </c>
      <c r="BN80">
        <f>IF('Reg Codes'!26:26,"AAAAAHvjq0E=",0)</f>
        <v>0</v>
      </c>
      <c r="BO80" t="e">
        <f>AND('Reg Codes'!A26,"AAAAAHvjq0I=")</f>
        <v>#VALUE!</v>
      </c>
      <c r="BP80">
        <f>IF('Reg Codes'!A:A,"AAAAAHvjq0M=",0)</f>
        <v>0</v>
      </c>
      <c r="BQ80">
        <f>IF('Reg Codes'!B:B,"AAAAAHvjq0Q=",0)</f>
        <v>0</v>
      </c>
      <c r="BR80">
        <f>IF('Reg Codes'!C:C,"AAAAAHvjq0U=",0)</f>
        <v>0</v>
      </c>
      <c r="BS80" t="e">
        <f>IF('Reg Codes'!#REF!,"AAAAAHvjq0Y=",0)</f>
        <v>#REF!</v>
      </c>
      <c r="BT80">
        <f>IF('Reg Codes'!D:D,"AAAAAHvjq0c=",0)</f>
        <v>0</v>
      </c>
      <c r="BU80">
        <f>IF('Reg Codes'!E:E,"AAAAAHvjq0g=",0)</f>
        <v>0</v>
      </c>
      <c r="BV80" t="e">
        <f>IF('Reg Codes'!#REF!,"AAAAAHvjq0k=",0)</f>
        <v>#REF!</v>
      </c>
      <c r="BW80">
        <f>IF('Reg Codes'!H:H,"AAAAAHvjq0o=",0)</f>
        <v>0</v>
      </c>
      <c r="BX80">
        <f>IF('Reg Codes'!I:I,"AAAAAHvjq0s=",0)</f>
        <v>0</v>
      </c>
      <c r="BY80">
        <f>IF('Reg Codes'!J:J,"AAAAAHvjq0w=",0)</f>
        <v>0</v>
      </c>
      <c r="BZ80">
        <f>IF('Reg Codes'!K:K,"AAAAAHvjq00=",0)</f>
        <v>0</v>
      </c>
      <c r="CA80" t="e">
        <f>IF('Reg Codes'!#REF!,"AAAAAHvjq04=",0)</f>
        <v>#REF!</v>
      </c>
      <c r="CB80" t="e">
        <f>IF('Reg Codes'!#REF!,"AAAAAHvjq08=",0)</f>
        <v>#REF!</v>
      </c>
      <c r="CC80" t="e">
        <f>IF('Reg Codes'!#REF!,"AAAAAHvjq1A=",0)</f>
        <v>#REF!</v>
      </c>
      <c r="CD80" t="e">
        <f>IF('Reg Codes'!#REF!,"AAAAAHvjq1E=",0)</f>
        <v>#REF!</v>
      </c>
      <c r="CE80">
        <f>IF('Discount Mgr'!1:1,"AAAAAHvjq1I=",0)</f>
        <v>0</v>
      </c>
      <c r="CF80" t="e">
        <f>AND('Discount Mgr'!#REF!,"AAAAAHvjq1M=")</f>
        <v>#REF!</v>
      </c>
      <c r="CG80" t="e">
        <f>AND('Discount Mgr'!A1,"AAAAAHvjq1Q=")</f>
        <v>#VALUE!</v>
      </c>
      <c r="CH80" t="e">
        <f>AND('Discount Mgr'!C1,"AAAAAHvjq1U=")</f>
        <v>#VALUE!</v>
      </c>
      <c r="CI80" t="e">
        <f>AND('Discount Mgr'!D1,"AAAAAHvjq1Y=")</f>
        <v>#VALUE!</v>
      </c>
      <c r="CJ80" t="e">
        <f>AND('Discount Mgr'!E1,"AAAAAHvjq1c=")</f>
        <v>#VALUE!</v>
      </c>
      <c r="CK80" t="e">
        <f>AND('Discount Mgr'!F1,"AAAAAHvjq1g=")</f>
        <v>#VALUE!</v>
      </c>
      <c r="CL80" t="e">
        <f>AND('Discount Mgr'!G1,"AAAAAHvjq1k=")</f>
        <v>#VALUE!</v>
      </c>
      <c r="CM80" t="e">
        <f>AND('Discount Mgr'!H1,"AAAAAHvjq1o=")</f>
        <v>#VALUE!</v>
      </c>
      <c r="CN80" t="e">
        <f>AND('Discount Mgr'!I1,"AAAAAHvjq1s=")</f>
        <v>#VALUE!</v>
      </c>
      <c r="CO80" t="e">
        <f>AND('Discount Mgr'!J1,"AAAAAHvjq1w=")</f>
        <v>#VALUE!</v>
      </c>
      <c r="CP80" t="e">
        <f>AND('Discount Mgr'!#REF!,"AAAAAHvjq10=")</f>
        <v>#REF!</v>
      </c>
      <c r="CQ80" t="e">
        <f>AND('Discount Mgr'!K1,"AAAAAHvjq14=")</f>
        <v>#VALUE!</v>
      </c>
      <c r="CR80" t="e">
        <f>AND('Discount Mgr'!L1,"AAAAAHvjq18=")</f>
        <v>#VALUE!</v>
      </c>
      <c r="CS80" t="e">
        <f>AND('Discount Mgr'!N1,"AAAAAHvjq2A=")</f>
        <v>#VALUE!</v>
      </c>
      <c r="CT80" t="e">
        <f>AND('Discount Mgr'!O1,"AAAAAHvjq2E=")</f>
        <v>#VALUE!</v>
      </c>
      <c r="CU80" t="e">
        <f>AND('Discount Mgr'!P1,"AAAAAHvjq2I=")</f>
        <v>#VALUE!</v>
      </c>
      <c r="CV80" t="e">
        <f>AND('Discount Mgr'!Q1,"AAAAAHvjq2M=")</f>
        <v>#VALUE!</v>
      </c>
      <c r="CW80" t="e">
        <f>AND('Discount Mgr'!R1,"AAAAAHvjq2Q=")</f>
        <v>#VALUE!</v>
      </c>
      <c r="CX80" t="e">
        <f>AND('Discount Mgr'!S1,"AAAAAHvjq2U=")</f>
        <v>#VALUE!</v>
      </c>
      <c r="CY80" t="e">
        <f>AND('Discount Mgr'!T1,"AAAAAHvjq2Y=")</f>
        <v>#VALUE!</v>
      </c>
      <c r="CZ80" t="e">
        <f>AND('Discount Mgr'!U1,"AAAAAHvjq2c=")</f>
        <v>#VALUE!</v>
      </c>
      <c r="DA80" t="e">
        <f>AND('Discount Mgr'!V1,"AAAAAHvjq2g=")</f>
        <v>#VALUE!</v>
      </c>
      <c r="DB80" t="e">
        <f>AND('Discount Mgr'!W1,"AAAAAHvjq2k=")</f>
        <v>#VALUE!</v>
      </c>
      <c r="DC80" t="e">
        <f>AND('Discount Mgr'!X1,"AAAAAHvjq2o=")</f>
        <v>#VALUE!</v>
      </c>
      <c r="DD80">
        <f>IF('Discount Mgr'!2:2,"AAAAAHvjq2s=",0)</f>
        <v>0</v>
      </c>
      <c r="DE80" t="e">
        <f>AND('Discount Mgr'!A2,"AAAAAHvjq2w=")</f>
        <v>#VALUE!</v>
      </c>
      <c r="DF80" t="e">
        <f>AND('Discount Mgr'!B2,"AAAAAHvjq20=")</f>
        <v>#VALUE!</v>
      </c>
      <c r="DG80" t="e">
        <f>AND('Discount Mgr'!C2,"AAAAAHvjq24=")</f>
        <v>#VALUE!</v>
      </c>
      <c r="DH80" t="e">
        <f>AND('Discount Mgr'!D2,"AAAAAHvjq28=")</f>
        <v>#VALUE!</v>
      </c>
      <c r="DI80" t="e">
        <f>AND('Discount Mgr'!E2,"AAAAAHvjq3A=")</f>
        <v>#VALUE!</v>
      </c>
      <c r="DJ80" t="e">
        <f>AND('Discount Mgr'!F2,"AAAAAHvjq3E=")</f>
        <v>#VALUE!</v>
      </c>
      <c r="DK80" t="e">
        <f>AND('Discount Mgr'!G2,"AAAAAHvjq3I=")</f>
        <v>#VALUE!</v>
      </c>
      <c r="DL80" t="e">
        <f>AND('Discount Mgr'!H2,"AAAAAHvjq3M=")</f>
        <v>#VALUE!</v>
      </c>
      <c r="DM80" t="e">
        <f>AND('Discount Mgr'!I2,"AAAAAHvjq3Q=")</f>
        <v>#VALUE!</v>
      </c>
      <c r="DN80" t="e">
        <f>AND('Discount Mgr'!J2,"AAAAAHvjq3U=")</f>
        <v>#VALUE!</v>
      </c>
      <c r="DO80" t="e">
        <f>AND('Discount Mgr'!K2,"AAAAAHvjq3Y=")</f>
        <v>#VALUE!</v>
      </c>
      <c r="DP80" t="e">
        <f>AND('Discount Mgr'!L2,"AAAAAHvjq3c=")</f>
        <v>#VALUE!</v>
      </c>
      <c r="DQ80" t="e">
        <f>AND('Discount Mgr'!M2,"AAAAAHvjq3g=")</f>
        <v>#VALUE!</v>
      </c>
      <c r="DR80" t="e">
        <f>AND('Discount Mgr'!N2,"AAAAAHvjq3k=")</f>
        <v>#VALUE!</v>
      </c>
      <c r="DS80" t="e">
        <f>AND('Discount Mgr'!O2,"AAAAAHvjq3o=")</f>
        <v>#VALUE!</v>
      </c>
      <c r="DT80" t="e">
        <f>AND('Discount Mgr'!P2,"AAAAAHvjq3s=")</f>
        <v>#VALUE!</v>
      </c>
      <c r="DU80" t="e">
        <f>AND('Discount Mgr'!Q2,"AAAAAHvjq3w=")</f>
        <v>#VALUE!</v>
      </c>
      <c r="DV80" t="e">
        <f>AND('Discount Mgr'!R2,"AAAAAHvjq30=")</f>
        <v>#VALUE!</v>
      </c>
      <c r="DW80" t="e">
        <f>AND('Discount Mgr'!S2,"AAAAAHvjq34=")</f>
        <v>#VALUE!</v>
      </c>
      <c r="DX80" t="e">
        <f>AND('Discount Mgr'!T2,"AAAAAHvjq38=")</f>
        <v>#VALUE!</v>
      </c>
      <c r="DY80" t="e">
        <f>AND('Discount Mgr'!U2,"AAAAAHvjq4A=")</f>
        <v>#VALUE!</v>
      </c>
      <c r="DZ80" t="e">
        <f>AND('Discount Mgr'!V2,"AAAAAHvjq4E=")</f>
        <v>#VALUE!</v>
      </c>
      <c r="EA80" t="e">
        <f>AND('Discount Mgr'!W2,"AAAAAHvjq4I=")</f>
        <v>#VALUE!</v>
      </c>
      <c r="EB80" t="e">
        <f>AND('Discount Mgr'!X2,"AAAAAHvjq4M=")</f>
        <v>#VALUE!</v>
      </c>
      <c r="EC80">
        <f>IF('Discount Mgr'!3:3,"AAAAAHvjq4Q=",0)</f>
        <v>0</v>
      </c>
      <c r="ED80" t="e">
        <f>AND('Discount Mgr'!A3,"AAAAAHvjq4U=")</f>
        <v>#VALUE!</v>
      </c>
      <c r="EE80" t="e">
        <f>AND('Discount Mgr'!B3,"AAAAAHvjq4Y=")</f>
        <v>#VALUE!</v>
      </c>
      <c r="EF80" t="e">
        <f>AND('Discount Mgr'!C3,"AAAAAHvjq4c=")</f>
        <v>#VALUE!</v>
      </c>
      <c r="EG80" t="e">
        <f>AND('Discount Mgr'!D3,"AAAAAHvjq4g=")</f>
        <v>#VALUE!</v>
      </c>
      <c r="EH80" t="e">
        <f>AND('Discount Mgr'!E3,"AAAAAHvjq4k=")</f>
        <v>#VALUE!</v>
      </c>
      <c r="EI80" t="e">
        <f>AND('Discount Mgr'!F3,"AAAAAHvjq4o=")</f>
        <v>#VALUE!</v>
      </c>
      <c r="EJ80" t="e">
        <f>AND('Discount Mgr'!G3,"AAAAAHvjq4s=")</f>
        <v>#VALUE!</v>
      </c>
      <c r="EK80" t="e">
        <f>AND('Discount Mgr'!H3,"AAAAAHvjq4w=")</f>
        <v>#VALUE!</v>
      </c>
      <c r="EL80" t="e">
        <f>AND('Discount Mgr'!I3,"AAAAAHvjq40=")</f>
        <v>#VALUE!</v>
      </c>
      <c r="EM80" t="e">
        <f>AND('Discount Mgr'!J3,"AAAAAHvjq44=")</f>
        <v>#VALUE!</v>
      </c>
      <c r="EN80" t="e">
        <f>AND('Discount Mgr'!K3,"AAAAAHvjq48=")</f>
        <v>#VALUE!</v>
      </c>
      <c r="EO80" t="e">
        <f>AND('Discount Mgr'!L3,"AAAAAHvjq5A=")</f>
        <v>#VALUE!</v>
      </c>
      <c r="EP80" t="e">
        <f>AND('Discount Mgr'!M3,"AAAAAHvjq5E=")</f>
        <v>#VALUE!</v>
      </c>
      <c r="EQ80" t="e">
        <f>AND('Discount Mgr'!N3,"AAAAAHvjq5I=")</f>
        <v>#VALUE!</v>
      </c>
      <c r="ER80" t="e">
        <f>AND('Discount Mgr'!O3,"AAAAAHvjq5M=")</f>
        <v>#VALUE!</v>
      </c>
      <c r="ES80" t="e">
        <f>AND('Discount Mgr'!P3,"AAAAAHvjq5Q=")</f>
        <v>#VALUE!</v>
      </c>
      <c r="ET80" t="e">
        <f>AND('Discount Mgr'!Q3,"AAAAAHvjq5U=")</f>
        <v>#VALUE!</v>
      </c>
      <c r="EU80" t="e">
        <f>AND('Discount Mgr'!R3,"AAAAAHvjq5Y=")</f>
        <v>#VALUE!</v>
      </c>
      <c r="EV80" t="e">
        <f>AND('Discount Mgr'!S3,"AAAAAHvjq5c=")</f>
        <v>#VALUE!</v>
      </c>
      <c r="EW80" t="e">
        <f>AND('Discount Mgr'!T3,"AAAAAHvjq5g=")</f>
        <v>#VALUE!</v>
      </c>
      <c r="EX80" t="e">
        <f>AND('Discount Mgr'!U3,"AAAAAHvjq5k=")</f>
        <v>#VALUE!</v>
      </c>
      <c r="EY80" t="e">
        <f>AND('Discount Mgr'!V3,"AAAAAHvjq5o=")</f>
        <v>#VALUE!</v>
      </c>
      <c r="EZ80" t="e">
        <f>AND('Discount Mgr'!W3,"AAAAAHvjq5s=")</f>
        <v>#VALUE!</v>
      </c>
      <c r="FA80" t="e">
        <f>AND('Discount Mgr'!X3,"AAAAAHvjq5w=")</f>
        <v>#VALUE!</v>
      </c>
      <c r="FB80" t="e">
        <f>IF('Discount Mgr'!#REF!,"AAAAAHvjq50=",0)</f>
        <v>#REF!</v>
      </c>
      <c r="FC80" t="e">
        <f>AND('Discount Mgr'!#REF!,"AAAAAHvjq54=")</f>
        <v>#REF!</v>
      </c>
      <c r="FD80" t="e">
        <f>AND('Discount Mgr'!#REF!,"AAAAAHvjq58=")</f>
        <v>#REF!</v>
      </c>
      <c r="FE80" t="e">
        <f>AND('Discount Mgr'!#REF!,"AAAAAHvjq6A=")</f>
        <v>#REF!</v>
      </c>
      <c r="FF80" t="e">
        <f>AND('Discount Mgr'!#REF!,"AAAAAHvjq6E=")</f>
        <v>#REF!</v>
      </c>
      <c r="FG80" t="e">
        <f>AND('Discount Mgr'!#REF!,"AAAAAHvjq6I=")</f>
        <v>#REF!</v>
      </c>
      <c r="FH80" t="e">
        <f>AND('Discount Mgr'!#REF!,"AAAAAHvjq6M=")</f>
        <v>#REF!</v>
      </c>
      <c r="FI80" t="e">
        <f>AND('Discount Mgr'!#REF!,"AAAAAHvjq6Q=")</f>
        <v>#REF!</v>
      </c>
      <c r="FJ80" t="e">
        <f>AND('Discount Mgr'!#REF!,"AAAAAHvjq6U=")</f>
        <v>#REF!</v>
      </c>
      <c r="FK80" t="e">
        <f>AND('Discount Mgr'!#REF!,"AAAAAHvjq6Y=")</f>
        <v>#REF!</v>
      </c>
      <c r="FL80" t="e">
        <f>AND('Discount Mgr'!#REF!,"AAAAAHvjq6c=")</f>
        <v>#REF!</v>
      </c>
      <c r="FM80" t="e">
        <f>AND('Discount Mgr'!#REF!,"AAAAAHvjq6g=")</f>
        <v>#REF!</v>
      </c>
      <c r="FN80" t="e">
        <f>AND('Discount Mgr'!#REF!,"AAAAAHvjq6k=")</f>
        <v>#REF!</v>
      </c>
      <c r="FO80" t="e">
        <f>AND('Discount Mgr'!#REF!,"AAAAAHvjq6o=")</f>
        <v>#REF!</v>
      </c>
      <c r="FP80" t="e">
        <f>AND('Discount Mgr'!#REF!,"AAAAAHvjq6s=")</f>
        <v>#REF!</v>
      </c>
      <c r="FQ80" t="e">
        <f>AND('Discount Mgr'!#REF!,"AAAAAHvjq6w=")</f>
        <v>#REF!</v>
      </c>
      <c r="FR80" t="e">
        <f>AND('Discount Mgr'!#REF!,"AAAAAHvjq60=")</f>
        <v>#REF!</v>
      </c>
      <c r="FS80" t="e">
        <f>AND('Discount Mgr'!#REF!,"AAAAAHvjq64=")</f>
        <v>#REF!</v>
      </c>
      <c r="FT80" t="e">
        <f>AND('Discount Mgr'!#REF!,"AAAAAHvjq68=")</f>
        <v>#REF!</v>
      </c>
      <c r="FU80" t="e">
        <f>AND('Discount Mgr'!#REF!,"AAAAAHvjq7A=")</f>
        <v>#REF!</v>
      </c>
      <c r="FV80" t="e">
        <f>AND('Discount Mgr'!#REF!,"AAAAAHvjq7E=")</f>
        <v>#REF!</v>
      </c>
      <c r="FW80" t="e">
        <f>AND('Discount Mgr'!#REF!,"AAAAAHvjq7I=")</f>
        <v>#REF!</v>
      </c>
      <c r="FX80" t="e">
        <f>AND('Discount Mgr'!#REF!,"AAAAAHvjq7M=")</f>
        <v>#REF!</v>
      </c>
      <c r="FY80" t="e">
        <f>AND('Discount Mgr'!#REF!,"AAAAAHvjq7Q=")</f>
        <v>#REF!</v>
      </c>
      <c r="FZ80" t="e">
        <f>AND('Discount Mgr'!#REF!,"AAAAAHvjq7U=")</f>
        <v>#REF!</v>
      </c>
      <c r="GA80" t="e">
        <f>IF('Discount Mgr'!#REF!,"AAAAAHvjq7Y=",0)</f>
        <v>#REF!</v>
      </c>
      <c r="GB80" t="e">
        <f>AND('Discount Mgr'!#REF!,"AAAAAHvjq7c=")</f>
        <v>#REF!</v>
      </c>
      <c r="GC80" t="e">
        <f>AND('Discount Mgr'!#REF!,"AAAAAHvjq7g=")</f>
        <v>#REF!</v>
      </c>
      <c r="GD80" t="e">
        <f>AND('Discount Mgr'!#REF!,"AAAAAHvjq7k=")</f>
        <v>#REF!</v>
      </c>
      <c r="GE80" t="e">
        <f>AND('Discount Mgr'!#REF!,"AAAAAHvjq7o=")</f>
        <v>#REF!</v>
      </c>
      <c r="GF80" t="e">
        <f>AND('Discount Mgr'!#REF!,"AAAAAHvjq7s=")</f>
        <v>#REF!</v>
      </c>
      <c r="GG80" t="e">
        <f>AND('Discount Mgr'!#REF!,"AAAAAHvjq7w=")</f>
        <v>#REF!</v>
      </c>
      <c r="GH80" t="e">
        <f>AND('Discount Mgr'!#REF!,"AAAAAHvjq70=")</f>
        <v>#REF!</v>
      </c>
      <c r="GI80" t="e">
        <f>AND('Discount Mgr'!#REF!,"AAAAAHvjq74=")</f>
        <v>#REF!</v>
      </c>
      <c r="GJ80" t="e">
        <f>AND('Discount Mgr'!#REF!,"AAAAAHvjq78=")</f>
        <v>#REF!</v>
      </c>
      <c r="GK80" t="e">
        <f>AND('Discount Mgr'!#REF!,"AAAAAHvjq8A=")</f>
        <v>#REF!</v>
      </c>
      <c r="GL80" t="e">
        <f>AND('Discount Mgr'!#REF!,"AAAAAHvjq8E=")</f>
        <v>#REF!</v>
      </c>
      <c r="GM80" t="e">
        <f>AND('Discount Mgr'!#REF!,"AAAAAHvjq8I=")</f>
        <v>#REF!</v>
      </c>
      <c r="GN80" t="e">
        <f>AND('Discount Mgr'!#REF!,"AAAAAHvjq8M=")</f>
        <v>#REF!</v>
      </c>
      <c r="GO80" t="e">
        <f>AND('Discount Mgr'!#REF!,"AAAAAHvjq8Q=")</f>
        <v>#REF!</v>
      </c>
      <c r="GP80" t="e">
        <f>AND('Discount Mgr'!#REF!,"AAAAAHvjq8U=")</f>
        <v>#REF!</v>
      </c>
      <c r="GQ80" t="e">
        <f>AND('Discount Mgr'!#REF!,"AAAAAHvjq8Y=")</f>
        <v>#REF!</v>
      </c>
      <c r="GR80" t="e">
        <f>AND('Discount Mgr'!#REF!,"AAAAAHvjq8c=")</f>
        <v>#REF!</v>
      </c>
      <c r="GS80" t="e">
        <f>AND('Discount Mgr'!#REF!,"AAAAAHvjq8g=")</f>
        <v>#REF!</v>
      </c>
      <c r="GT80" t="e">
        <f>AND('Discount Mgr'!#REF!,"AAAAAHvjq8k=")</f>
        <v>#REF!</v>
      </c>
      <c r="GU80" t="e">
        <f>AND('Discount Mgr'!#REF!,"AAAAAHvjq8o=")</f>
        <v>#REF!</v>
      </c>
      <c r="GV80" t="e">
        <f>AND('Discount Mgr'!#REF!,"AAAAAHvjq8s=")</f>
        <v>#REF!</v>
      </c>
      <c r="GW80" t="e">
        <f>AND('Discount Mgr'!#REF!,"AAAAAHvjq8w=")</f>
        <v>#REF!</v>
      </c>
      <c r="GX80" t="e">
        <f>AND('Discount Mgr'!#REF!,"AAAAAHvjq80=")</f>
        <v>#REF!</v>
      </c>
      <c r="GY80" t="e">
        <f>AND('Discount Mgr'!#REF!,"AAAAAHvjq84=")</f>
        <v>#REF!</v>
      </c>
      <c r="GZ80" t="e">
        <f>IF('Discount Mgr'!#REF!,"AAAAAHvjq88=",0)</f>
        <v>#REF!</v>
      </c>
      <c r="HA80" t="e">
        <f>AND('Discount Mgr'!#REF!,"AAAAAHvjq9A=")</f>
        <v>#REF!</v>
      </c>
      <c r="HB80" t="e">
        <f>AND('Discount Mgr'!#REF!,"AAAAAHvjq9E=")</f>
        <v>#REF!</v>
      </c>
      <c r="HC80" t="e">
        <f>AND('Discount Mgr'!#REF!,"AAAAAHvjq9I=")</f>
        <v>#REF!</v>
      </c>
      <c r="HD80" t="e">
        <f>AND('Discount Mgr'!#REF!,"AAAAAHvjq9M=")</f>
        <v>#REF!</v>
      </c>
      <c r="HE80" t="e">
        <f>AND('Discount Mgr'!#REF!,"AAAAAHvjq9Q=")</f>
        <v>#REF!</v>
      </c>
      <c r="HF80" t="e">
        <f>AND('Discount Mgr'!#REF!,"AAAAAHvjq9U=")</f>
        <v>#REF!</v>
      </c>
      <c r="HG80" t="e">
        <f>AND('Discount Mgr'!#REF!,"AAAAAHvjq9Y=")</f>
        <v>#REF!</v>
      </c>
      <c r="HH80" t="e">
        <f>AND('Discount Mgr'!#REF!,"AAAAAHvjq9c=")</f>
        <v>#REF!</v>
      </c>
      <c r="HI80" t="e">
        <f>AND('Discount Mgr'!#REF!,"AAAAAHvjq9g=")</f>
        <v>#REF!</v>
      </c>
      <c r="HJ80" t="e">
        <f>AND('Discount Mgr'!#REF!,"AAAAAHvjq9k=")</f>
        <v>#REF!</v>
      </c>
      <c r="HK80" t="e">
        <f>AND('Discount Mgr'!#REF!,"AAAAAHvjq9o=")</f>
        <v>#REF!</v>
      </c>
      <c r="HL80" t="e">
        <f>AND('Discount Mgr'!#REF!,"AAAAAHvjq9s=")</f>
        <v>#REF!</v>
      </c>
      <c r="HM80" t="e">
        <f>AND('Discount Mgr'!#REF!,"AAAAAHvjq9w=")</f>
        <v>#REF!</v>
      </c>
      <c r="HN80" t="e">
        <f>AND('Discount Mgr'!#REF!,"AAAAAHvjq90=")</f>
        <v>#REF!</v>
      </c>
      <c r="HO80" t="e">
        <f>AND('Discount Mgr'!#REF!,"AAAAAHvjq94=")</f>
        <v>#REF!</v>
      </c>
      <c r="HP80" t="e">
        <f>AND('Discount Mgr'!#REF!,"AAAAAHvjq98=")</f>
        <v>#REF!</v>
      </c>
      <c r="HQ80" t="e">
        <f>AND('Discount Mgr'!#REF!,"AAAAAHvjq+A=")</f>
        <v>#REF!</v>
      </c>
      <c r="HR80" t="e">
        <f>AND('Discount Mgr'!#REF!,"AAAAAHvjq+E=")</f>
        <v>#REF!</v>
      </c>
      <c r="HS80" t="e">
        <f>AND('Discount Mgr'!#REF!,"AAAAAHvjq+I=")</f>
        <v>#REF!</v>
      </c>
      <c r="HT80" t="e">
        <f>AND('Discount Mgr'!#REF!,"AAAAAHvjq+M=")</f>
        <v>#REF!</v>
      </c>
      <c r="HU80" t="e">
        <f>AND('Discount Mgr'!#REF!,"AAAAAHvjq+Q=")</f>
        <v>#REF!</v>
      </c>
      <c r="HV80" t="e">
        <f>AND('Discount Mgr'!#REF!,"AAAAAHvjq+U=")</f>
        <v>#REF!</v>
      </c>
      <c r="HW80" t="e">
        <f>AND('Discount Mgr'!#REF!,"AAAAAHvjq+Y=")</f>
        <v>#REF!</v>
      </c>
      <c r="HX80" t="e">
        <f>AND('Discount Mgr'!#REF!,"AAAAAHvjq+c=")</f>
        <v>#REF!</v>
      </c>
      <c r="HY80" t="e">
        <f>IF('Discount Mgr'!#REF!,"AAAAAHvjq+g=",0)</f>
        <v>#REF!</v>
      </c>
      <c r="HZ80" t="e">
        <f>AND('Discount Mgr'!#REF!,"AAAAAHvjq+k=")</f>
        <v>#REF!</v>
      </c>
      <c r="IA80" t="e">
        <f>AND('Discount Mgr'!#REF!,"AAAAAHvjq+o=")</f>
        <v>#REF!</v>
      </c>
      <c r="IB80" t="e">
        <f>AND('Discount Mgr'!#REF!,"AAAAAHvjq+s=")</f>
        <v>#REF!</v>
      </c>
      <c r="IC80" t="e">
        <f>AND('Discount Mgr'!#REF!,"AAAAAHvjq+w=")</f>
        <v>#REF!</v>
      </c>
      <c r="ID80" t="e">
        <f>AND('Discount Mgr'!#REF!,"AAAAAHvjq+0=")</f>
        <v>#REF!</v>
      </c>
      <c r="IE80" t="e">
        <f>AND('Discount Mgr'!#REF!,"AAAAAHvjq+4=")</f>
        <v>#REF!</v>
      </c>
      <c r="IF80" t="e">
        <f>AND('Discount Mgr'!#REF!,"AAAAAHvjq+8=")</f>
        <v>#REF!</v>
      </c>
      <c r="IG80" t="e">
        <f>AND('Discount Mgr'!#REF!,"AAAAAHvjq/A=")</f>
        <v>#REF!</v>
      </c>
      <c r="IH80" t="e">
        <f>AND('Discount Mgr'!#REF!,"AAAAAHvjq/E=")</f>
        <v>#REF!</v>
      </c>
      <c r="II80" t="e">
        <f>AND('Discount Mgr'!#REF!,"AAAAAHvjq/I=")</f>
        <v>#REF!</v>
      </c>
      <c r="IJ80" t="e">
        <f>AND('Discount Mgr'!#REF!,"AAAAAHvjq/M=")</f>
        <v>#REF!</v>
      </c>
      <c r="IK80" t="e">
        <f>AND('Discount Mgr'!#REF!,"AAAAAHvjq/Q=")</f>
        <v>#REF!</v>
      </c>
      <c r="IL80" t="e">
        <f>AND('Discount Mgr'!#REF!,"AAAAAHvjq/U=")</f>
        <v>#REF!</v>
      </c>
      <c r="IM80" t="e">
        <f>AND('Discount Mgr'!#REF!,"AAAAAHvjq/Y=")</f>
        <v>#REF!</v>
      </c>
      <c r="IN80" t="e">
        <f>AND('Discount Mgr'!#REF!,"AAAAAHvjq/c=")</f>
        <v>#REF!</v>
      </c>
      <c r="IO80" t="e">
        <f>AND('Discount Mgr'!#REF!,"AAAAAHvjq/g=")</f>
        <v>#REF!</v>
      </c>
      <c r="IP80" t="e">
        <f>AND('Discount Mgr'!#REF!,"AAAAAHvjq/k=")</f>
        <v>#REF!</v>
      </c>
      <c r="IQ80" t="e">
        <f>AND('Discount Mgr'!#REF!,"AAAAAHvjq/o=")</f>
        <v>#REF!</v>
      </c>
      <c r="IR80" t="e">
        <f>AND('Discount Mgr'!#REF!,"AAAAAHvjq/s=")</f>
        <v>#REF!</v>
      </c>
      <c r="IS80" t="e">
        <f>AND('Discount Mgr'!#REF!,"AAAAAHvjq/w=")</f>
        <v>#REF!</v>
      </c>
      <c r="IT80" t="e">
        <f>AND('Discount Mgr'!#REF!,"AAAAAHvjq/0=")</f>
        <v>#REF!</v>
      </c>
      <c r="IU80" t="e">
        <f>AND('Discount Mgr'!#REF!,"AAAAAHvjq/4=")</f>
        <v>#REF!</v>
      </c>
      <c r="IV80" t="e">
        <f>AND('Discount Mgr'!#REF!,"AAAAAHvjq/8=")</f>
        <v>#REF!</v>
      </c>
    </row>
    <row r="81" spans="1:256" x14ac:dyDescent="0.2">
      <c r="A81" t="e">
        <f>AND('Discount Mgr'!#REF!,"AAAAAH1/vQA=")</f>
        <v>#REF!</v>
      </c>
      <c r="B81" t="e">
        <f>IF('Discount Mgr'!#REF!,"AAAAAH1/vQE=",0)</f>
        <v>#REF!</v>
      </c>
      <c r="C81" t="e">
        <f>AND('Discount Mgr'!#REF!,"AAAAAH1/vQI=")</f>
        <v>#REF!</v>
      </c>
      <c r="D81" t="e">
        <f>AND('Discount Mgr'!#REF!,"AAAAAH1/vQM=")</f>
        <v>#REF!</v>
      </c>
      <c r="E81" t="e">
        <f>AND('Discount Mgr'!#REF!,"AAAAAH1/vQQ=")</f>
        <v>#REF!</v>
      </c>
      <c r="F81" t="e">
        <f>AND('Discount Mgr'!#REF!,"AAAAAH1/vQU=")</f>
        <v>#REF!</v>
      </c>
      <c r="G81" t="e">
        <f>AND('Discount Mgr'!#REF!,"AAAAAH1/vQY=")</f>
        <v>#REF!</v>
      </c>
      <c r="H81" t="e">
        <f>AND('Discount Mgr'!#REF!,"AAAAAH1/vQc=")</f>
        <v>#REF!</v>
      </c>
      <c r="I81" t="e">
        <f>AND('Discount Mgr'!#REF!,"AAAAAH1/vQg=")</f>
        <v>#REF!</v>
      </c>
      <c r="J81" t="e">
        <f>AND('Discount Mgr'!#REF!,"AAAAAH1/vQk=")</f>
        <v>#REF!</v>
      </c>
      <c r="K81" t="e">
        <f>AND('Discount Mgr'!#REF!,"AAAAAH1/vQo=")</f>
        <v>#REF!</v>
      </c>
      <c r="L81" t="e">
        <f>AND('Discount Mgr'!#REF!,"AAAAAH1/vQs=")</f>
        <v>#REF!</v>
      </c>
      <c r="M81" t="e">
        <f>AND('Discount Mgr'!#REF!,"AAAAAH1/vQw=")</f>
        <v>#REF!</v>
      </c>
      <c r="N81" t="e">
        <f>AND('Discount Mgr'!#REF!,"AAAAAH1/vQ0=")</f>
        <v>#REF!</v>
      </c>
      <c r="O81" t="e">
        <f>AND('Discount Mgr'!#REF!,"AAAAAH1/vQ4=")</f>
        <v>#REF!</v>
      </c>
      <c r="P81" t="e">
        <f>AND('Discount Mgr'!#REF!,"AAAAAH1/vQ8=")</f>
        <v>#REF!</v>
      </c>
      <c r="Q81" t="e">
        <f>AND('Discount Mgr'!#REF!,"AAAAAH1/vRA=")</f>
        <v>#REF!</v>
      </c>
      <c r="R81" t="e">
        <f>AND('Discount Mgr'!#REF!,"AAAAAH1/vRE=")</f>
        <v>#REF!</v>
      </c>
      <c r="S81" t="e">
        <f>AND('Discount Mgr'!#REF!,"AAAAAH1/vRI=")</f>
        <v>#REF!</v>
      </c>
      <c r="T81" t="e">
        <f>AND('Discount Mgr'!#REF!,"AAAAAH1/vRM=")</f>
        <v>#REF!</v>
      </c>
      <c r="U81" t="e">
        <f>AND('Discount Mgr'!#REF!,"AAAAAH1/vRQ=")</f>
        <v>#REF!</v>
      </c>
      <c r="V81" t="e">
        <f>AND('Discount Mgr'!#REF!,"AAAAAH1/vRU=")</f>
        <v>#REF!</v>
      </c>
      <c r="W81" t="e">
        <f>AND('Discount Mgr'!#REF!,"AAAAAH1/vRY=")</f>
        <v>#REF!</v>
      </c>
      <c r="X81" t="e">
        <f>AND('Discount Mgr'!#REF!,"AAAAAH1/vRc=")</f>
        <v>#REF!</v>
      </c>
      <c r="Y81" t="e">
        <f>AND('Discount Mgr'!#REF!,"AAAAAH1/vRg=")</f>
        <v>#REF!</v>
      </c>
      <c r="Z81" t="e">
        <f>AND('Discount Mgr'!#REF!,"AAAAAH1/vRk=")</f>
        <v>#REF!</v>
      </c>
      <c r="AA81" t="e">
        <f>IF('Discount Mgr'!#REF!,"AAAAAH1/vRo=",0)</f>
        <v>#REF!</v>
      </c>
      <c r="AB81" t="e">
        <f>AND('Discount Mgr'!#REF!,"AAAAAH1/vRs=")</f>
        <v>#REF!</v>
      </c>
      <c r="AC81" t="e">
        <f>AND('Discount Mgr'!#REF!,"AAAAAH1/vRw=")</f>
        <v>#REF!</v>
      </c>
      <c r="AD81" t="e">
        <f>AND('Discount Mgr'!#REF!,"AAAAAH1/vR0=")</f>
        <v>#REF!</v>
      </c>
      <c r="AE81" t="e">
        <f>AND('Discount Mgr'!#REF!,"AAAAAH1/vR4=")</f>
        <v>#REF!</v>
      </c>
      <c r="AF81" t="e">
        <f>AND('Discount Mgr'!#REF!,"AAAAAH1/vR8=")</f>
        <v>#REF!</v>
      </c>
      <c r="AG81" t="e">
        <f>AND('Discount Mgr'!#REF!,"AAAAAH1/vSA=")</f>
        <v>#REF!</v>
      </c>
      <c r="AH81" t="e">
        <f>AND('Discount Mgr'!#REF!,"AAAAAH1/vSE=")</f>
        <v>#REF!</v>
      </c>
      <c r="AI81" t="e">
        <f>AND('Discount Mgr'!#REF!,"AAAAAH1/vSI=")</f>
        <v>#REF!</v>
      </c>
      <c r="AJ81" t="e">
        <f>AND('Discount Mgr'!#REF!,"AAAAAH1/vSM=")</f>
        <v>#REF!</v>
      </c>
      <c r="AK81" t="e">
        <f>AND('Discount Mgr'!#REF!,"AAAAAH1/vSQ=")</f>
        <v>#REF!</v>
      </c>
      <c r="AL81" t="e">
        <f>AND('Discount Mgr'!#REF!,"AAAAAH1/vSU=")</f>
        <v>#REF!</v>
      </c>
      <c r="AM81" t="e">
        <f>AND('Discount Mgr'!#REF!,"AAAAAH1/vSY=")</f>
        <v>#REF!</v>
      </c>
      <c r="AN81" t="e">
        <f>AND('Discount Mgr'!#REF!,"AAAAAH1/vSc=")</f>
        <v>#REF!</v>
      </c>
      <c r="AO81" t="e">
        <f>AND('Discount Mgr'!#REF!,"AAAAAH1/vSg=")</f>
        <v>#REF!</v>
      </c>
      <c r="AP81" t="e">
        <f>AND('Discount Mgr'!#REF!,"AAAAAH1/vSk=")</f>
        <v>#REF!</v>
      </c>
      <c r="AQ81" t="e">
        <f>AND('Discount Mgr'!#REF!,"AAAAAH1/vSo=")</f>
        <v>#REF!</v>
      </c>
      <c r="AR81" t="e">
        <f>AND('Discount Mgr'!#REF!,"AAAAAH1/vSs=")</f>
        <v>#REF!</v>
      </c>
      <c r="AS81" t="e">
        <f>AND('Discount Mgr'!#REF!,"AAAAAH1/vSw=")</f>
        <v>#REF!</v>
      </c>
      <c r="AT81" t="e">
        <f>AND('Discount Mgr'!#REF!,"AAAAAH1/vS0=")</f>
        <v>#REF!</v>
      </c>
      <c r="AU81" t="e">
        <f>AND('Discount Mgr'!#REF!,"AAAAAH1/vS4=")</f>
        <v>#REF!</v>
      </c>
      <c r="AV81" t="e">
        <f>AND('Discount Mgr'!#REF!,"AAAAAH1/vS8=")</f>
        <v>#REF!</v>
      </c>
      <c r="AW81" t="e">
        <f>AND('Discount Mgr'!#REF!,"AAAAAH1/vTA=")</f>
        <v>#REF!</v>
      </c>
      <c r="AX81" t="e">
        <f>AND('Discount Mgr'!#REF!,"AAAAAH1/vTE=")</f>
        <v>#REF!</v>
      </c>
      <c r="AY81" t="e">
        <f>AND('Discount Mgr'!#REF!,"AAAAAH1/vTI=")</f>
        <v>#REF!</v>
      </c>
      <c r="AZ81" t="e">
        <f>IF('Discount Mgr'!#REF!,"AAAAAH1/vTM=",0)</f>
        <v>#REF!</v>
      </c>
      <c r="BA81" t="e">
        <f>AND('Discount Mgr'!#REF!,"AAAAAH1/vTQ=")</f>
        <v>#REF!</v>
      </c>
      <c r="BB81" t="e">
        <f>AND('Discount Mgr'!#REF!,"AAAAAH1/vTU=")</f>
        <v>#REF!</v>
      </c>
      <c r="BC81" t="e">
        <f>AND('Discount Mgr'!#REF!,"AAAAAH1/vTY=")</f>
        <v>#REF!</v>
      </c>
      <c r="BD81" t="e">
        <f>AND('Discount Mgr'!#REF!,"AAAAAH1/vTc=")</f>
        <v>#REF!</v>
      </c>
      <c r="BE81" t="e">
        <f>AND('Discount Mgr'!#REF!,"AAAAAH1/vTg=")</f>
        <v>#REF!</v>
      </c>
      <c r="BF81" t="e">
        <f>AND('Discount Mgr'!#REF!,"AAAAAH1/vTk=")</f>
        <v>#REF!</v>
      </c>
      <c r="BG81" t="e">
        <f>AND('Discount Mgr'!#REF!,"AAAAAH1/vTo=")</f>
        <v>#REF!</v>
      </c>
      <c r="BH81" t="e">
        <f>AND('Discount Mgr'!#REF!,"AAAAAH1/vTs=")</f>
        <v>#REF!</v>
      </c>
      <c r="BI81" t="e">
        <f>AND('Discount Mgr'!#REF!,"AAAAAH1/vTw=")</f>
        <v>#REF!</v>
      </c>
      <c r="BJ81" t="e">
        <f>AND('Discount Mgr'!#REF!,"AAAAAH1/vT0=")</f>
        <v>#REF!</v>
      </c>
      <c r="BK81" t="e">
        <f>AND('Discount Mgr'!#REF!,"AAAAAH1/vT4=")</f>
        <v>#REF!</v>
      </c>
      <c r="BL81" t="e">
        <f>AND('Discount Mgr'!#REF!,"AAAAAH1/vT8=")</f>
        <v>#REF!</v>
      </c>
      <c r="BM81" t="e">
        <f>AND('Discount Mgr'!#REF!,"AAAAAH1/vUA=")</f>
        <v>#REF!</v>
      </c>
      <c r="BN81" t="e">
        <f>AND('Discount Mgr'!#REF!,"AAAAAH1/vUE=")</f>
        <v>#REF!</v>
      </c>
      <c r="BO81" t="e">
        <f>AND('Discount Mgr'!#REF!,"AAAAAH1/vUI=")</f>
        <v>#REF!</v>
      </c>
      <c r="BP81" t="e">
        <f>AND('Discount Mgr'!#REF!,"AAAAAH1/vUM=")</f>
        <v>#REF!</v>
      </c>
      <c r="BQ81" t="e">
        <f>AND('Discount Mgr'!#REF!,"AAAAAH1/vUQ=")</f>
        <v>#REF!</v>
      </c>
      <c r="BR81" t="e">
        <f>AND('Discount Mgr'!#REF!,"AAAAAH1/vUU=")</f>
        <v>#REF!</v>
      </c>
      <c r="BS81" t="e">
        <f>AND('Discount Mgr'!#REF!,"AAAAAH1/vUY=")</f>
        <v>#REF!</v>
      </c>
      <c r="BT81" t="e">
        <f>AND('Discount Mgr'!#REF!,"AAAAAH1/vUc=")</f>
        <v>#REF!</v>
      </c>
      <c r="BU81" t="e">
        <f>AND('Discount Mgr'!#REF!,"AAAAAH1/vUg=")</f>
        <v>#REF!</v>
      </c>
      <c r="BV81" t="e">
        <f>AND('Discount Mgr'!#REF!,"AAAAAH1/vUk=")</f>
        <v>#REF!</v>
      </c>
      <c r="BW81" t="e">
        <f>AND('Discount Mgr'!#REF!,"AAAAAH1/vUo=")</f>
        <v>#REF!</v>
      </c>
      <c r="BX81" t="e">
        <f>AND('Discount Mgr'!#REF!,"AAAAAH1/vUs=")</f>
        <v>#REF!</v>
      </c>
      <c r="BY81" t="e">
        <f>IF('Discount Mgr'!#REF!,"AAAAAH1/vUw=",0)</f>
        <v>#REF!</v>
      </c>
      <c r="BZ81" t="e">
        <f>AND('Discount Mgr'!#REF!,"AAAAAH1/vU0=")</f>
        <v>#REF!</v>
      </c>
      <c r="CA81" t="e">
        <f>AND('Discount Mgr'!#REF!,"AAAAAH1/vU4=")</f>
        <v>#REF!</v>
      </c>
      <c r="CB81" t="e">
        <f>AND('Discount Mgr'!#REF!,"AAAAAH1/vU8=")</f>
        <v>#REF!</v>
      </c>
      <c r="CC81" t="e">
        <f>AND('Discount Mgr'!#REF!,"AAAAAH1/vVA=")</f>
        <v>#REF!</v>
      </c>
      <c r="CD81" t="e">
        <f>AND('Discount Mgr'!#REF!,"AAAAAH1/vVE=")</f>
        <v>#REF!</v>
      </c>
      <c r="CE81" t="e">
        <f>AND('Discount Mgr'!#REF!,"AAAAAH1/vVI=")</f>
        <v>#REF!</v>
      </c>
      <c r="CF81" t="e">
        <f>AND('Discount Mgr'!#REF!,"AAAAAH1/vVM=")</f>
        <v>#REF!</v>
      </c>
      <c r="CG81" t="e">
        <f>AND('Discount Mgr'!#REF!,"AAAAAH1/vVQ=")</f>
        <v>#REF!</v>
      </c>
      <c r="CH81" t="e">
        <f>AND('Discount Mgr'!#REF!,"AAAAAH1/vVU=")</f>
        <v>#REF!</v>
      </c>
      <c r="CI81" t="e">
        <f>AND('Discount Mgr'!#REF!,"AAAAAH1/vVY=")</f>
        <v>#REF!</v>
      </c>
      <c r="CJ81" t="e">
        <f>AND('Discount Mgr'!#REF!,"AAAAAH1/vVc=")</f>
        <v>#REF!</v>
      </c>
      <c r="CK81" t="e">
        <f>AND('Discount Mgr'!#REF!,"AAAAAH1/vVg=")</f>
        <v>#REF!</v>
      </c>
      <c r="CL81" t="e">
        <f>AND('Discount Mgr'!#REF!,"AAAAAH1/vVk=")</f>
        <v>#REF!</v>
      </c>
      <c r="CM81" t="e">
        <f>AND('Discount Mgr'!#REF!,"AAAAAH1/vVo=")</f>
        <v>#REF!</v>
      </c>
      <c r="CN81" t="e">
        <f>AND('Discount Mgr'!#REF!,"AAAAAH1/vVs=")</f>
        <v>#REF!</v>
      </c>
      <c r="CO81" t="e">
        <f>AND('Discount Mgr'!#REF!,"AAAAAH1/vVw=")</f>
        <v>#REF!</v>
      </c>
      <c r="CP81" t="e">
        <f>AND('Discount Mgr'!#REF!,"AAAAAH1/vV0=")</f>
        <v>#REF!</v>
      </c>
      <c r="CQ81" t="e">
        <f>AND('Discount Mgr'!#REF!,"AAAAAH1/vV4=")</f>
        <v>#REF!</v>
      </c>
      <c r="CR81" t="e">
        <f>AND('Discount Mgr'!#REF!,"AAAAAH1/vV8=")</f>
        <v>#REF!</v>
      </c>
      <c r="CS81" t="e">
        <f>AND('Discount Mgr'!#REF!,"AAAAAH1/vWA=")</f>
        <v>#REF!</v>
      </c>
      <c r="CT81" t="e">
        <f>AND('Discount Mgr'!#REF!,"AAAAAH1/vWE=")</f>
        <v>#REF!</v>
      </c>
      <c r="CU81" t="e">
        <f>AND('Discount Mgr'!#REF!,"AAAAAH1/vWI=")</f>
        <v>#REF!</v>
      </c>
      <c r="CV81" t="e">
        <f>AND('Discount Mgr'!#REF!,"AAAAAH1/vWM=")</f>
        <v>#REF!</v>
      </c>
      <c r="CW81" t="e">
        <f>AND('Discount Mgr'!#REF!,"AAAAAH1/vWQ=")</f>
        <v>#REF!</v>
      </c>
      <c r="CX81" t="e">
        <f>IF('Discount Mgr'!#REF!,"AAAAAH1/vWU=",0)</f>
        <v>#REF!</v>
      </c>
      <c r="CY81" t="e">
        <f>AND('Discount Mgr'!#REF!,"AAAAAH1/vWY=")</f>
        <v>#REF!</v>
      </c>
      <c r="CZ81" t="e">
        <f>AND('Discount Mgr'!#REF!,"AAAAAH1/vWc=")</f>
        <v>#REF!</v>
      </c>
      <c r="DA81" t="e">
        <f>AND('Discount Mgr'!#REF!,"AAAAAH1/vWg=")</f>
        <v>#REF!</v>
      </c>
      <c r="DB81" t="e">
        <f>AND('Discount Mgr'!#REF!,"AAAAAH1/vWk=")</f>
        <v>#REF!</v>
      </c>
      <c r="DC81" t="e">
        <f>AND('Discount Mgr'!#REF!,"AAAAAH1/vWo=")</f>
        <v>#REF!</v>
      </c>
      <c r="DD81" t="e">
        <f>AND('Discount Mgr'!#REF!,"AAAAAH1/vWs=")</f>
        <v>#REF!</v>
      </c>
      <c r="DE81" t="e">
        <f>AND('Discount Mgr'!#REF!,"AAAAAH1/vWw=")</f>
        <v>#REF!</v>
      </c>
      <c r="DF81" t="e">
        <f>AND('Discount Mgr'!#REF!,"AAAAAH1/vW0=")</f>
        <v>#REF!</v>
      </c>
      <c r="DG81" t="e">
        <f>AND('Discount Mgr'!#REF!,"AAAAAH1/vW4=")</f>
        <v>#REF!</v>
      </c>
      <c r="DH81" t="e">
        <f>AND('Discount Mgr'!#REF!,"AAAAAH1/vW8=")</f>
        <v>#REF!</v>
      </c>
      <c r="DI81" t="e">
        <f>AND('Discount Mgr'!#REF!,"AAAAAH1/vXA=")</f>
        <v>#REF!</v>
      </c>
      <c r="DJ81" t="e">
        <f>AND('Discount Mgr'!#REF!,"AAAAAH1/vXE=")</f>
        <v>#REF!</v>
      </c>
      <c r="DK81" t="e">
        <f>AND('Discount Mgr'!#REF!,"AAAAAH1/vXI=")</f>
        <v>#REF!</v>
      </c>
      <c r="DL81" t="e">
        <f>AND('Discount Mgr'!#REF!,"AAAAAH1/vXM=")</f>
        <v>#REF!</v>
      </c>
      <c r="DM81" t="e">
        <f>AND('Discount Mgr'!#REF!,"AAAAAH1/vXQ=")</f>
        <v>#REF!</v>
      </c>
      <c r="DN81" t="e">
        <f>AND('Discount Mgr'!#REF!,"AAAAAH1/vXU=")</f>
        <v>#REF!</v>
      </c>
      <c r="DO81" t="e">
        <f>AND('Discount Mgr'!#REF!,"AAAAAH1/vXY=")</f>
        <v>#REF!</v>
      </c>
      <c r="DP81" t="e">
        <f>AND('Discount Mgr'!#REF!,"AAAAAH1/vXc=")</f>
        <v>#REF!</v>
      </c>
      <c r="DQ81" t="e">
        <f>AND('Discount Mgr'!#REF!,"AAAAAH1/vXg=")</f>
        <v>#REF!</v>
      </c>
      <c r="DR81" t="e">
        <f>AND('Discount Mgr'!#REF!,"AAAAAH1/vXk=")</f>
        <v>#REF!</v>
      </c>
      <c r="DS81" t="e">
        <f>AND('Discount Mgr'!#REF!,"AAAAAH1/vXo=")</f>
        <v>#REF!</v>
      </c>
      <c r="DT81" t="e">
        <f>AND('Discount Mgr'!#REF!,"AAAAAH1/vXs=")</f>
        <v>#REF!</v>
      </c>
      <c r="DU81" t="e">
        <f>AND('Discount Mgr'!#REF!,"AAAAAH1/vXw=")</f>
        <v>#REF!</v>
      </c>
      <c r="DV81" t="e">
        <f>AND('Discount Mgr'!#REF!,"AAAAAH1/vX0=")</f>
        <v>#REF!</v>
      </c>
      <c r="DW81" t="e">
        <f>IF('Discount Mgr'!#REF!,"AAAAAH1/vX4=",0)</f>
        <v>#REF!</v>
      </c>
      <c r="DX81" t="e">
        <f>AND('Discount Mgr'!#REF!,"AAAAAH1/vX8=")</f>
        <v>#REF!</v>
      </c>
      <c r="DY81" t="e">
        <f>AND('Discount Mgr'!#REF!,"AAAAAH1/vYA=")</f>
        <v>#REF!</v>
      </c>
      <c r="DZ81" t="e">
        <f>AND('Discount Mgr'!#REF!,"AAAAAH1/vYE=")</f>
        <v>#REF!</v>
      </c>
      <c r="EA81" t="e">
        <f>AND('Discount Mgr'!#REF!,"AAAAAH1/vYI=")</f>
        <v>#REF!</v>
      </c>
      <c r="EB81" t="e">
        <f>AND('Discount Mgr'!#REF!,"AAAAAH1/vYM=")</f>
        <v>#REF!</v>
      </c>
      <c r="EC81" t="e">
        <f>AND('Discount Mgr'!#REF!,"AAAAAH1/vYQ=")</f>
        <v>#REF!</v>
      </c>
      <c r="ED81" t="e">
        <f>AND('Discount Mgr'!#REF!,"AAAAAH1/vYU=")</f>
        <v>#REF!</v>
      </c>
      <c r="EE81" t="e">
        <f>AND('Discount Mgr'!#REF!,"AAAAAH1/vYY=")</f>
        <v>#REF!</v>
      </c>
      <c r="EF81" t="e">
        <f>AND('Discount Mgr'!#REF!,"AAAAAH1/vYc=")</f>
        <v>#REF!</v>
      </c>
      <c r="EG81" t="e">
        <f>AND('Discount Mgr'!#REF!,"AAAAAH1/vYg=")</f>
        <v>#REF!</v>
      </c>
      <c r="EH81" t="e">
        <f>AND('Discount Mgr'!#REF!,"AAAAAH1/vYk=")</f>
        <v>#REF!</v>
      </c>
      <c r="EI81" t="e">
        <f>AND('Discount Mgr'!#REF!,"AAAAAH1/vYo=")</f>
        <v>#REF!</v>
      </c>
      <c r="EJ81" t="e">
        <f>AND('Discount Mgr'!#REF!,"AAAAAH1/vYs=")</f>
        <v>#REF!</v>
      </c>
      <c r="EK81" t="e">
        <f>AND('Discount Mgr'!#REF!,"AAAAAH1/vYw=")</f>
        <v>#REF!</v>
      </c>
      <c r="EL81" t="e">
        <f>AND('Discount Mgr'!#REF!,"AAAAAH1/vY0=")</f>
        <v>#REF!</v>
      </c>
      <c r="EM81" t="e">
        <f>AND('Discount Mgr'!#REF!,"AAAAAH1/vY4=")</f>
        <v>#REF!</v>
      </c>
      <c r="EN81" t="e">
        <f>AND('Discount Mgr'!#REF!,"AAAAAH1/vY8=")</f>
        <v>#REF!</v>
      </c>
      <c r="EO81" t="e">
        <f>AND('Discount Mgr'!#REF!,"AAAAAH1/vZA=")</f>
        <v>#REF!</v>
      </c>
      <c r="EP81" t="e">
        <f>AND('Discount Mgr'!#REF!,"AAAAAH1/vZE=")</f>
        <v>#REF!</v>
      </c>
      <c r="EQ81" t="e">
        <f>AND('Discount Mgr'!#REF!,"AAAAAH1/vZI=")</f>
        <v>#REF!</v>
      </c>
      <c r="ER81" t="e">
        <f>AND('Discount Mgr'!#REF!,"AAAAAH1/vZM=")</f>
        <v>#REF!</v>
      </c>
      <c r="ES81" t="e">
        <f>AND('Discount Mgr'!#REF!,"AAAAAH1/vZQ=")</f>
        <v>#REF!</v>
      </c>
      <c r="ET81" t="e">
        <f>AND('Discount Mgr'!#REF!,"AAAAAH1/vZU=")</f>
        <v>#REF!</v>
      </c>
      <c r="EU81" t="e">
        <f>AND('Discount Mgr'!#REF!,"AAAAAH1/vZY=")</f>
        <v>#REF!</v>
      </c>
      <c r="EV81" t="e">
        <f>IF('Discount Mgr'!#REF!,"AAAAAH1/vZc=",0)</f>
        <v>#REF!</v>
      </c>
      <c r="EW81" t="e">
        <f>AND('Discount Mgr'!#REF!,"AAAAAH1/vZg=")</f>
        <v>#REF!</v>
      </c>
      <c r="EX81" t="e">
        <f>AND('Discount Mgr'!#REF!,"AAAAAH1/vZk=")</f>
        <v>#REF!</v>
      </c>
      <c r="EY81" t="e">
        <f>AND('Discount Mgr'!#REF!,"AAAAAH1/vZo=")</f>
        <v>#REF!</v>
      </c>
      <c r="EZ81" t="e">
        <f>AND('Discount Mgr'!#REF!,"AAAAAH1/vZs=")</f>
        <v>#REF!</v>
      </c>
      <c r="FA81" t="e">
        <f>AND('Discount Mgr'!#REF!,"AAAAAH1/vZw=")</f>
        <v>#REF!</v>
      </c>
      <c r="FB81" t="e">
        <f>AND('Discount Mgr'!#REF!,"AAAAAH1/vZ0=")</f>
        <v>#REF!</v>
      </c>
      <c r="FC81" t="e">
        <f>AND('Discount Mgr'!#REF!,"AAAAAH1/vZ4=")</f>
        <v>#REF!</v>
      </c>
      <c r="FD81" t="e">
        <f>AND('Discount Mgr'!#REF!,"AAAAAH1/vZ8=")</f>
        <v>#REF!</v>
      </c>
      <c r="FE81" t="e">
        <f>AND('Discount Mgr'!#REF!,"AAAAAH1/vaA=")</f>
        <v>#REF!</v>
      </c>
      <c r="FF81" t="e">
        <f>AND('Discount Mgr'!#REF!,"AAAAAH1/vaE=")</f>
        <v>#REF!</v>
      </c>
      <c r="FG81" t="e">
        <f>AND('Discount Mgr'!#REF!,"AAAAAH1/vaI=")</f>
        <v>#REF!</v>
      </c>
      <c r="FH81" t="e">
        <f>AND('Discount Mgr'!#REF!,"AAAAAH1/vaM=")</f>
        <v>#REF!</v>
      </c>
      <c r="FI81" t="e">
        <f>AND('Discount Mgr'!#REF!,"AAAAAH1/vaQ=")</f>
        <v>#REF!</v>
      </c>
      <c r="FJ81" t="e">
        <f>AND('Discount Mgr'!#REF!,"AAAAAH1/vaU=")</f>
        <v>#REF!</v>
      </c>
      <c r="FK81" t="e">
        <f>AND('Discount Mgr'!#REF!,"AAAAAH1/vaY=")</f>
        <v>#REF!</v>
      </c>
      <c r="FL81" t="e">
        <f>AND('Discount Mgr'!#REF!,"AAAAAH1/vac=")</f>
        <v>#REF!</v>
      </c>
      <c r="FM81" t="e">
        <f>AND('Discount Mgr'!#REF!,"AAAAAH1/vag=")</f>
        <v>#REF!</v>
      </c>
      <c r="FN81" t="e">
        <f>AND('Discount Mgr'!#REF!,"AAAAAH1/vak=")</f>
        <v>#REF!</v>
      </c>
      <c r="FO81" t="e">
        <f>AND('Discount Mgr'!#REF!,"AAAAAH1/vao=")</f>
        <v>#REF!</v>
      </c>
      <c r="FP81" t="e">
        <f>AND('Discount Mgr'!#REF!,"AAAAAH1/vas=")</f>
        <v>#REF!</v>
      </c>
      <c r="FQ81" t="e">
        <f>AND('Discount Mgr'!#REF!,"AAAAAH1/vaw=")</f>
        <v>#REF!</v>
      </c>
      <c r="FR81" t="e">
        <f>AND('Discount Mgr'!#REF!,"AAAAAH1/va0=")</f>
        <v>#REF!</v>
      </c>
      <c r="FS81" t="e">
        <f>AND('Discount Mgr'!#REF!,"AAAAAH1/va4=")</f>
        <v>#REF!</v>
      </c>
      <c r="FT81" t="e">
        <f>AND('Discount Mgr'!#REF!,"AAAAAH1/va8=")</f>
        <v>#REF!</v>
      </c>
      <c r="FU81" t="e">
        <f>IF('Discount Mgr'!#REF!,"AAAAAH1/vbA=",0)</f>
        <v>#REF!</v>
      </c>
      <c r="FV81" t="e">
        <f>IF('Discount Mgr'!#REF!,"AAAAAH1/vbE=",0)</f>
        <v>#REF!</v>
      </c>
      <c r="FW81" t="e">
        <f>IF('Discount Mgr'!#REF!,"AAAAAH1/vbI=",0)</f>
        <v>#REF!</v>
      </c>
      <c r="FX81" t="e">
        <f>IF('Discount Mgr'!#REF!,"AAAAAH1/vbM=",0)</f>
        <v>#REF!</v>
      </c>
      <c r="FY81" t="e">
        <f>IF('Discount Mgr'!#REF!,"AAAAAH1/vbQ=",0)</f>
        <v>#REF!</v>
      </c>
      <c r="FZ81" t="e">
        <f>IF('Discount Mgr'!#REF!,"AAAAAH1/vbU=",0)</f>
        <v>#REF!</v>
      </c>
      <c r="GA81" t="e">
        <f>IF('Discount Mgr'!#REF!,"AAAAAH1/vbY=",0)</f>
        <v>#REF!</v>
      </c>
      <c r="GB81" t="e">
        <f>IF('Discount Mgr'!#REF!,"AAAAAH1/vbc=",0)</f>
        <v>#REF!</v>
      </c>
      <c r="GC81" t="e">
        <f>IF('Discount Mgr'!#REF!,"AAAAAH1/vbg=",0)</f>
        <v>#REF!</v>
      </c>
      <c r="GD81" t="e">
        <f>IF('Discount Mgr'!#REF!,"AAAAAH1/vbk=",0)</f>
        <v>#REF!</v>
      </c>
      <c r="GE81" t="e">
        <f>IF('Discount Mgr'!#REF!,"AAAAAH1/vbo=",0)</f>
        <v>#REF!</v>
      </c>
      <c r="GF81">
        <f>IF('Discount Mgr'!A:A,"AAAAAH1/vbs=",0)</f>
        <v>0</v>
      </c>
      <c r="GG81">
        <f>IF('Discount Mgr'!B:B,"AAAAAH1/vbw=",0)</f>
        <v>0</v>
      </c>
      <c r="GH81">
        <f>IF('Discount Mgr'!C:C,"AAAAAH1/vb0=",0)</f>
        <v>0</v>
      </c>
      <c r="GI81">
        <f>IF('Discount Mgr'!D:D,"AAAAAH1/vb4=",0)</f>
        <v>0</v>
      </c>
      <c r="GJ81">
        <f>IF('Discount Mgr'!E:E,"AAAAAH1/vb8=",0)</f>
        <v>0</v>
      </c>
      <c r="GK81">
        <f>IF('Discount Mgr'!F:F,"AAAAAH1/vcA=",0)</f>
        <v>0</v>
      </c>
      <c r="GL81">
        <f>IF('Discount Mgr'!G:G,"AAAAAH1/vcE=",0)</f>
        <v>0</v>
      </c>
      <c r="GM81">
        <f>IF('Discount Mgr'!H:H,"AAAAAH1/vcI=",0)</f>
        <v>0</v>
      </c>
      <c r="GN81">
        <f>IF('Discount Mgr'!I:I,"AAAAAH1/vcM=",0)</f>
        <v>0</v>
      </c>
      <c r="GO81">
        <f>IF('Discount Mgr'!J:J,"AAAAAH1/vcQ=",0)</f>
        <v>0</v>
      </c>
      <c r="GP81">
        <f>IF('Discount Mgr'!K:K,"AAAAAH1/vcU=",0)</f>
        <v>0</v>
      </c>
      <c r="GQ81">
        <f>IF('Discount Mgr'!L:L,"AAAAAH1/vcY=",0)</f>
        <v>0</v>
      </c>
      <c r="GR81">
        <f>IF('Discount Mgr'!M:M,"AAAAAH1/vcc=",0)</f>
        <v>0</v>
      </c>
      <c r="GS81">
        <f>IF('Discount Mgr'!N:N,"AAAAAH1/vcg=",0)</f>
        <v>0</v>
      </c>
      <c r="GT81">
        <f>IF('Discount Mgr'!O:O,"AAAAAH1/vck=",0)</f>
        <v>0</v>
      </c>
      <c r="GU81">
        <f>IF('Discount Mgr'!P:P,"AAAAAH1/vco=",0)</f>
        <v>0</v>
      </c>
      <c r="GV81">
        <f>IF('Discount Mgr'!Q:Q,"AAAAAH1/vcs=",0)</f>
        <v>0</v>
      </c>
      <c r="GW81">
        <f>IF('Discount Mgr'!R:R,"AAAAAH1/vcw=",0)</f>
        <v>0</v>
      </c>
      <c r="GX81">
        <f>IF('Discount Mgr'!S:S,"AAAAAH1/vc0=",0)</f>
        <v>0</v>
      </c>
      <c r="GY81">
        <f>IF('Discount Mgr'!T:T,"AAAAAH1/vc4=",0)</f>
        <v>0</v>
      </c>
      <c r="GZ81">
        <f>IF('Discount Mgr'!U:U,"AAAAAH1/vc8=",0)</f>
        <v>0</v>
      </c>
      <c r="HA81">
        <f>IF('Discount Mgr'!V:V,"AAAAAH1/vdA=",0)</f>
        <v>0</v>
      </c>
      <c r="HB81">
        <f>IF('Discount Mgr'!W:W,"AAAAAH1/vdE=",0)</f>
        <v>0</v>
      </c>
      <c r="HC81">
        <f>IF('Discount Mgr'!X:X,"AAAAAH1/vdI=",0)</f>
        <v>0</v>
      </c>
      <c r="HD81" t="e">
        <f>IF('Reg Types'!#REF!,"AAAAAH1/vdM=",0)</f>
        <v>#REF!</v>
      </c>
      <c r="HE81" t="e">
        <f>AND('Reg Types'!#REF!,"AAAAAH1/vdQ=")</f>
        <v>#REF!</v>
      </c>
      <c r="HF81" t="e">
        <f>AND('Reg Types'!#REF!,"AAAAAH1/vdU=")</f>
        <v>#REF!</v>
      </c>
      <c r="HG81" t="e">
        <f>AND('Reg Types'!#REF!,"AAAAAH1/vdY=")</f>
        <v>#REF!</v>
      </c>
      <c r="HH81" t="e">
        <f>AND('Reg Types'!#REF!,"AAAAAH1/vdc=")</f>
        <v>#REF!</v>
      </c>
      <c r="HI81" t="e">
        <f>AND('Reg Types'!#REF!,"AAAAAH1/vdg=")</f>
        <v>#REF!</v>
      </c>
      <c r="HJ81" t="e">
        <f>AND('Reg Types'!#REF!,"AAAAAH1/vdk=")</f>
        <v>#REF!</v>
      </c>
      <c r="HK81" t="e">
        <f>AND('Reg Types'!#REF!,"AAAAAH1/vdo=")</f>
        <v>#REF!</v>
      </c>
      <c r="HL81" t="e">
        <f>AND('Reg Types'!#REF!,"AAAAAH1/vds=")</f>
        <v>#REF!</v>
      </c>
      <c r="HM81" t="e">
        <f>AND('Reg Types'!#REF!,"AAAAAH1/vdw=")</f>
        <v>#REF!</v>
      </c>
      <c r="HN81" t="e">
        <f>AND('Reg Types'!#REF!,"AAAAAH1/vd0=")</f>
        <v>#REF!</v>
      </c>
      <c r="HO81" t="e">
        <f>AND('Reg Types'!#REF!,"AAAAAH1/vd4=")</f>
        <v>#REF!</v>
      </c>
      <c r="HP81" t="e">
        <f>AND('Reg Types'!#REF!,"AAAAAH1/vd8=")</f>
        <v>#REF!</v>
      </c>
      <c r="HQ81" t="e">
        <f>AND('Reg Types'!#REF!,"AAAAAH1/veA=")</f>
        <v>#REF!</v>
      </c>
      <c r="HR81" t="e">
        <f>AND('Reg Types'!#REF!,"AAAAAH1/veE=")</f>
        <v>#REF!</v>
      </c>
      <c r="HS81" t="e">
        <f>AND('Reg Types'!#REF!,"AAAAAH1/veI=")</f>
        <v>#REF!</v>
      </c>
      <c r="HT81" t="e">
        <f>AND('Reg Types'!#REF!,"AAAAAH1/veM=")</f>
        <v>#REF!</v>
      </c>
      <c r="HU81" t="e">
        <f>AND('Reg Types'!#REF!,"AAAAAH1/veQ=")</f>
        <v>#REF!</v>
      </c>
      <c r="HV81" t="e">
        <f>AND('Reg Types'!#REF!,"AAAAAH1/veU=")</f>
        <v>#REF!</v>
      </c>
      <c r="HW81" t="e">
        <f>AND('Reg Types'!#REF!,"AAAAAH1/veY=")</f>
        <v>#REF!</v>
      </c>
      <c r="HX81" t="e">
        <f>AND('Reg Types'!#REF!,"AAAAAH1/vec=")</f>
        <v>#REF!</v>
      </c>
      <c r="HY81" t="e">
        <f>AND('Reg Types'!#REF!,"AAAAAH1/veg=")</f>
        <v>#REF!</v>
      </c>
      <c r="HZ81" t="e">
        <f>AND('Reg Types'!#REF!,"AAAAAH1/vek=")</f>
        <v>#REF!</v>
      </c>
      <c r="IA81" t="e">
        <f>AND('Reg Types'!#REF!,"AAAAAH1/veo=")</f>
        <v>#REF!</v>
      </c>
      <c r="IB81" t="e">
        <f>IF('Reg Types'!#REF!,"AAAAAH1/ves=",0)</f>
        <v>#REF!</v>
      </c>
      <c r="IC81" t="e">
        <f>AND('Reg Types'!#REF!,"AAAAAH1/vew=")</f>
        <v>#REF!</v>
      </c>
      <c r="ID81" t="e">
        <f>AND('Reg Types'!#REF!,"AAAAAH1/ve0=")</f>
        <v>#REF!</v>
      </c>
      <c r="IE81" t="e">
        <f>AND('Reg Types'!#REF!,"AAAAAH1/ve4=")</f>
        <v>#REF!</v>
      </c>
      <c r="IF81" t="e">
        <f>AND('Reg Types'!#REF!,"AAAAAH1/ve8=")</f>
        <v>#REF!</v>
      </c>
      <c r="IG81" t="e">
        <f>AND('Reg Types'!#REF!,"AAAAAH1/vfA=")</f>
        <v>#REF!</v>
      </c>
      <c r="IH81" t="e">
        <f>AND('Reg Types'!#REF!,"AAAAAH1/vfE=")</f>
        <v>#REF!</v>
      </c>
      <c r="II81" t="e">
        <f>AND('Reg Types'!#REF!,"AAAAAH1/vfI=")</f>
        <v>#REF!</v>
      </c>
      <c r="IJ81" t="e">
        <f>AND('Reg Types'!#REF!,"AAAAAH1/vfM=")</f>
        <v>#REF!</v>
      </c>
      <c r="IK81" t="e">
        <f>AND('Reg Types'!#REF!,"AAAAAH1/vfQ=")</f>
        <v>#REF!</v>
      </c>
      <c r="IL81" t="e">
        <f>AND('Reg Types'!#REF!,"AAAAAH1/vfU=")</f>
        <v>#REF!</v>
      </c>
      <c r="IM81" t="e">
        <f>AND('Reg Types'!#REF!,"AAAAAH1/vfY=")</f>
        <v>#REF!</v>
      </c>
      <c r="IN81" t="e">
        <f>AND('Reg Types'!#REF!,"AAAAAH1/vfc=")</f>
        <v>#REF!</v>
      </c>
      <c r="IO81" t="e">
        <f>AND('Reg Types'!#REF!,"AAAAAH1/vfg=")</f>
        <v>#REF!</v>
      </c>
      <c r="IP81" t="e">
        <f>AND('Reg Types'!#REF!,"AAAAAH1/vfk=")</f>
        <v>#REF!</v>
      </c>
      <c r="IQ81" t="e">
        <f>AND('Reg Types'!#REF!,"AAAAAH1/vfo=")</f>
        <v>#REF!</v>
      </c>
      <c r="IR81" t="e">
        <f>AND('Reg Types'!#REF!,"AAAAAH1/vfs=")</f>
        <v>#REF!</v>
      </c>
      <c r="IS81" t="e">
        <f>AND('Reg Types'!#REF!,"AAAAAH1/vfw=")</f>
        <v>#REF!</v>
      </c>
      <c r="IT81" t="e">
        <f>AND('Reg Types'!#REF!,"AAAAAH1/vf0=")</f>
        <v>#REF!</v>
      </c>
      <c r="IU81" t="e">
        <f>AND('Reg Types'!#REF!,"AAAAAH1/vf4=")</f>
        <v>#REF!</v>
      </c>
      <c r="IV81" t="e">
        <f>AND('Reg Types'!#REF!,"AAAAAH1/vf8=")</f>
        <v>#REF!</v>
      </c>
    </row>
    <row r="82" spans="1:256" x14ac:dyDescent="0.2">
      <c r="A82" t="e">
        <f>AND('Reg Types'!#REF!,"AAAAAFj+9gA=")</f>
        <v>#REF!</v>
      </c>
      <c r="B82" t="e">
        <f>AND('Reg Types'!#REF!,"AAAAAFj+9gE=")</f>
        <v>#REF!</v>
      </c>
      <c r="C82" t="e">
        <f>AND('Reg Types'!#REF!,"AAAAAFj+9gI=")</f>
        <v>#REF!</v>
      </c>
      <c r="D82" t="e">
        <f>IF('Reg Types'!#REF!,"AAAAAFj+9gM=",0)</f>
        <v>#REF!</v>
      </c>
      <c r="E82" t="e">
        <f>AND('Reg Types'!#REF!,"AAAAAFj+9gQ=")</f>
        <v>#REF!</v>
      </c>
      <c r="F82" t="e">
        <f>AND('Reg Types'!#REF!,"AAAAAFj+9gU=")</f>
        <v>#REF!</v>
      </c>
      <c r="G82" t="e">
        <f>AND('Reg Types'!#REF!,"AAAAAFj+9gY=")</f>
        <v>#REF!</v>
      </c>
      <c r="H82" t="e">
        <f>AND('Reg Types'!#REF!,"AAAAAFj+9gc=")</f>
        <v>#REF!</v>
      </c>
      <c r="I82" t="e">
        <f>AND('Reg Types'!#REF!,"AAAAAFj+9gg=")</f>
        <v>#REF!</v>
      </c>
      <c r="J82" t="e">
        <f>AND('Reg Types'!#REF!,"AAAAAFj+9gk=")</f>
        <v>#REF!</v>
      </c>
      <c r="K82" t="e">
        <f>AND('Reg Types'!#REF!,"AAAAAFj+9go=")</f>
        <v>#REF!</v>
      </c>
      <c r="L82" t="e">
        <f>AND('Reg Types'!#REF!,"AAAAAFj+9gs=")</f>
        <v>#REF!</v>
      </c>
      <c r="M82" t="e">
        <f>AND('Reg Types'!#REF!,"AAAAAFj+9gw=")</f>
        <v>#REF!</v>
      </c>
      <c r="N82" t="e">
        <f>AND('Reg Types'!#REF!,"AAAAAFj+9g0=")</f>
        <v>#REF!</v>
      </c>
      <c r="O82" t="e">
        <f>AND('Reg Types'!#REF!,"AAAAAFj+9g4=")</f>
        <v>#REF!</v>
      </c>
      <c r="P82" t="e">
        <f>AND('Reg Types'!#REF!,"AAAAAFj+9g8=")</f>
        <v>#REF!</v>
      </c>
      <c r="Q82" t="e">
        <f>AND('Reg Types'!#REF!,"AAAAAFj+9hA=")</f>
        <v>#REF!</v>
      </c>
      <c r="R82" t="e">
        <f>AND('Reg Types'!#REF!,"AAAAAFj+9hE=")</f>
        <v>#REF!</v>
      </c>
      <c r="S82" t="e">
        <f>AND('Reg Types'!#REF!,"AAAAAFj+9hI=")</f>
        <v>#REF!</v>
      </c>
      <c r="T82" t="e">
        <f>AND('Reg Types'!#REF!,"AAAAAFj+9hM=")</f>
        <v>#REF!</v>
      </c>
      <c r="U82" t="e">
        <f>AND('Reg Types'!#REF!,"AAAAAFj+9hQ=")</f>
        <v>#REF!</v>
      </c>
      <c r="V82" t="e">
        <f>AND('Reg Types'!#REF!,"AAAAAFj+9hU=")</f>
        <v>#REF!</v>
      </c>
      <c r="W82" t="e">
        <f>AND('Reg Types'!#REF!,"AAAAAFj+9hY=")</f>
        <v>#REF!</v>
      </c>
      <c r="X82" t="e">
        <f>AND('Reg Types'!#REF!,"AAAAAFj+9hc=")</f>
        <v>#REF!</v>
      </c>
      <c r="Y82" t="e">
        <f>AND('Reg Types'!#REF!,"AAAAAFj+9hg=")</f>
        <v>#REF!</v>
      </c>
      <c r="Z82" t="e">
        <f>AND('Reg Types'!#REF!,"AAAAAFj+9hk=")</f>
        <v>#REF!</v>
      </c>
      <c r="AA82" t="e">
        <f>AND('Reg Types'!#REF!,"AAAAAFj+9ho=")</f>
        <v>#REF!</v>
      </c>
      <c r="AB82" t="e">
        <f>IF('Reg Types'!#REF!,"AAAAAFj+9hs=",0)</f>
        <v>#REF!</v>
      </c>
      <c r="AC82" t="e">
        <f>AND('Reg Types'!#REF!,"AAAAAFj+9hw=")</f>
        <v>#REF!</v>
      </c>
      <c r="AD82" t="e">
        <f>AND('Reg Types'!#REF!,"AAAAAFj+9h0=")</f>
        <v>#REF!</v>
      </c>
      <c r="AE82" t="e">
        <f>AND('Reg Types'!#REF!,"AAAAAFj+9h4=")</f>
        <v>#REF!</v>
      </c>
      <c r="AF82" t="e">
        <f>AND('Reg Types'!#REF!,"AAAAAFj+9h8=")</f>
        <v>#REF!</v>
      </c>
      <c r="AG82" t="e">
        <f>AND('Reg Types'!#REF!,"AAAAAFj+9iA=")</f>
        <v>#REF!</v>
      </c>
      <c r="AH82" t="e">
        <f>AND('Reg Types'!#REF!,"AAAAAFj+9iE=")</f>
        <v>#REF!</v>
      </c>
      <c r="AI82" t="e">
        <f>AND('Reg Types'!#REF!,"AAAAAFj+9iI=")</f>
        <v>#REF!</v>
      </c>
      <c r="AJ82" t="e">
        <f>AND('Reg Types'!#REF!,"AAAAAFj+9iM=")</f>
        <v>#REF!</v>
      </c>
      <c r="AK82" t="e">
        <f>AND('Reg Types'!#REF!,"AAAAAFj+9iQ=")</f>
        <v>#REF!</v>
      </c>
      <c r="AL82" t="e">
        <f>AND('Reg Types'!#REF!,"AAAAAFj+9iU=")</f>
        <v>#REF!</v>
      </c>
      <c r="AM82" t="e">
        <f>AND('Reg Types'!#REF!,"AAAAAFj+9iY=")</f>
        <v>#REF!</v>
      </c>
      <c r="AN82" t="e">
        <f>AND('Reg Types'!#REF!,"AAAAAFj+9ic=")</f>
        <v>#REF!</v>
      </c>
      <c r="AO82" t="e">
        <f>AND('Reg Types'!#REF!,"AAAAAFj+9ig=")</f>
        <v>#REF!</v>
      </c>
      <c r="AP82" t="e">
        <f>AND('Reg Types'!#REF!,"AAAAAFj+9ik=")</f>
        <v>#REF!</v>
      </c>
      <c r="AQ82" t="e">
        <f>AND('Reg Types'!#REF!,"AAAAAFj+9io=")</f>
        <v>#REF!</v>
      </c>
      <c r="AR82" t="e">
        <f>AND('Reg Types'!#REF!,"AAAAAFj+9is=")</f>
        <v>#REF!</v>
      </c>
      <c r="AS82" t="e">
        <f>AND('Reg Types'!#REF!,"AAAAAFj+9iw=")</f>
        <v>#REF!</v>
      </c>
      <c r="AT82" t="e">
        <f>AND('Reg Types'!#REF!,"AAAAAFj+9i0=")</f>
        <v>#REF!</v>
      </c>
      <c r="AU82" t="e">
        <f>AND('Reg Types'!#REF!,"AAAAAFj+9i4=")</f>
        <v>#REF!</v>
      </c>
      <c r="AV82" t="e">
        <f>AND('Reg Types'!#REF!,"AAAAAFj+9i8=")</f>
        <v>#REF!</v>
      </c>
      <c r="AW82" t="e">
        <f>AND('Reg Types'!#REF!,"AAAAAFj+9jA=")</f>
        <v>#REF!</v>
      </c>
      <c r="AX82" t="e">
        <f>AND('Reg Types'!#REF!,"AAAAAFj+9jE=")</f>
        <v>#REF!</v>
      </c>
      <c r="AY82" t="e">
        <f>AND('Reg Types'!#REF!,"AAAAAFj+9jI=")</f>
        <v>#REF!</v>
      </c>
      <c r="AZ82" t="e">
        <f>IF('Reg Types'!#REF!,"AAAAAFj+9jM=",0)</f>
        <v>#REF!</v>
      </c>
      <c r="BA82" t="e">
        <f>AND('Reg Types'!#REF!,"AAAAAFj+9jQ=")</f>
        <v>#REF!</v>
      </c>
      <c r="BB82" t="e">
        <f>AND('Reg Types'!#REF!,"AAAAAFj+9jU=")</f>
        <v>#REF!</v>
      </c>
      <c r="BC82" t="e">
        <f>AND('Reg Types'!#REF!,"AAAAAFj+9jY=")</f>
        <v>#REF!</v>
      </c>
      <c r="BD82" t="e">
        <f>AND('Reg Types'!#REF!,"AAAAAFj+9jc=")</f>
        <v>#REF!</v>
      </c>
      <c r="BE82" t="e">
        <f>AND('Reg Types'!#REF!,"AAAAAFj+9jg=")</f>
        <v>#REF!</v>
      </c>
      <c r="BF82" t="e">
        <f>AND('Reg Types'!#REF!,"AAAAAFj+9jk=")</f>
        <v>#REF!</v>
      </c>
      <c r="BG82" t="e">
        <f>AND('Reg Types'!#REF!,"AAAAAFj+9jo=")</f>
        <v>#REF!</v>
      </c>
      <c r="BH82" t="e">
        <f>AND('Reg Types'!#REF!,"AAAAAFj+9js=")</f>
        <v>#REF!</v>
      </c>
      <c r="BI82" t="e">
        <f>AND('Reg Types'!#REF!,"AAAAAFj+9jw=")</f>
        <v>#REF!</v>
      </c>
      <c r="BJ82" t="e">
        <f>AND('Reg Types'!#REF!,"AAAAAFj+9j0=")</f>
        <v>#REF!</v>
      </c>
      <c r="BK82" t="e">
        <f>AND('Reg Types'!#REF!,"AAAAAFj+9j4=")</f>
        <v>#REF!</v>
      </c>
      <c r="BL82" t="e">
        <f>AND('Reg Types'!#REF!,"AAAAAFj+9j8=")</f>
        <v>#REF!</v>
      </c>
      <c r="BM82" t="e">
        <f>AND('Reg Types'!#REF!,"AAAAAFj+9kA=")</f>
        <v>#REF!</v>
      </c>
      <c r="BN82" t="e">
        <f>AND('Reg Types'!#REF!,"AAAAAFj+9kE=")</f>
        <v>#REF!</v>
      </c>
      <c r="BO82" t="e">
        <f>AND('Reg Types'!#REF!,"AAAAAFj+9kI=")</f>
        <v>#REF!</v>
      </c>
      <c r="BP82" t="e">
        <f>AND('Reg Types'!#REF!,"AAAAAFj+9kM=")</f>
        <v>#REF!</v>
      </c>
      <c r="BQ82" t="e">
        <f>AND('Reg Types'!#REF!,"AAAAAFj+9kQ=")</f>
        <v>#REF!</v>
      </c>
      <c r="BR82" t="e">
        <f>AND('Reg Types'!#REF!,"AAAAAFj+9kU=")</f>
        <v>#REF!</v>
      </c>
      <c r="BS82" t="e">
        <f>AND('Reg Types'!#REF!,"AAAAAFj+9kY=")</f>
        <v>#REF!</v>
      </c>
      <c r="BT82" t="e">
        <f>AND('Reg Types'!#REF!,"AAAAAFj+9kc=")</f>
        <v>#REF!</v>
      </c>
      <c r="BU82" t="e">
        <f>AND('Reg Types'!#REF!,"AAAAAFj+9kg=")</f>
        <v>#REF!</v>
      </c>
      <c r="BV82" t="e">
        <f>AND('Reg Types'!#REF!,"AAAAAFj+9kk=")</f>
        <v>#REF!</v>
      </c>
      <c r="BW82" t="e">
        <f>AND('Reg Types'!#REF!,"AAAAAFj+9ko=")</f>
        <v>#REF!</v>
      </c>
      <c r="BX82" t="e">
        <f>IF('Reg Types'!#REF!,"AAAAAFj+9ks=",0)</f>
        <v>#REF!</v>
      </c>
      <c r="BY82" t="e">
        <f>AND('Reg Types'!#REF!,"AAAAAFj+9kw=")</f>
        <v>#REF!</v>
      </c>
      <c r="BZ82" t="e">
        <f>AND('Reg Types'!#REF!,"AAAAAFj+9k0=")</f>
        <v>#REF!</v>
      </c>
      <c r="CA82" t="e">
        <f>AND('Reg Types'!#REF!,"AAAAAFj+9k4=")</f>
        <v>#REF!</v>
      </c>
      <c r="CB82" t="e">
        <f>AND('Reg Types'!#REF!,"AAAAAFj+9k8=")</f>
        <v>#REF!</v>
      </c>
      <c r="CC82" t="e">
        <f>AND('Reg Types'!#REF!,"AAAAAFj+9lA=")</f>
        <v>#REF!</v>
      </c>
      <c r="CD82" t="e">
        <f>AND('Reg Types'!#REF!,"AAAAAFj+9lE=")</f>
        <v>#REF!</v>
      </c>
      <c r="CE82" t="e">
        <f>AND('Reg Types'!#REF!,"AAAAAFj+9lI=")</f>
        <v>#REF!</v>
      </c>
      <c r="CF82" t="e">
        <f>AND('Reg Types'!#REF!,"AAAAAFj+9lM=")</f>
        <v>#REF!</v>
      </c>
      <c r="CG82" t="e">
        <f>AND('Reg Types'!#REF!,"AAAAAFj+9lQ=")</f>
        <v>#REF!</v>
      </c>
      <c r="CH82" t="e">
        <f>AND('Reg Types'!#REF!,"AAAAAFj+9lU=")</f>
        <v>#REF!</v>
      </c>
      <c r="CI82" t="e">
        <f>AND('Reg Types'!#REF!,"AAAAAFj+9lY=")</f>
        <v>#REF!</v>
      </c>
      <c r="CJ82" t="e">
        <f>AND('Reg Types'!#REF!,"AAAAAFj+9lc=")</f>
        <v>#REF!</v>
      </c>
      <c r="CK82" t="e">
        <f>AND('Reg Types'!#REF!,"AAAAAFj+9lg=")</f>
        <v>#REF!</v>
      </c>
      <c r="CL82" t="e">
        <f>AND('Reg Types'!#REF!,"AAAAAFj+9lk=")</f>
        <v>#REF!</v>
      </c>
      <c r="CM82" t="e">
        <f>AND('Reg Types'!#REF!,"AAAAAFj+9lo=")</f>
        <v>#REF!</v>
      </c>
      <c r="CN82" t="e">
        <f>AND('Reg Types'!#REF!,"AAAAAFj+9ls=")</f>
        <v>#REF!</v>
      </c>
      <c r="CO82" t="e">
        <f>AND('Reg Types'!#REF!,"AAAAAFj+9lw=")</f>
        <v>#REF!</v>
      </c>
      <c r="CP82" t="e">
        <f>AND('Reg Types'!#REF!,"AAAAAFj+9l0=")</f>
        <v>#REF!</v>
      </c>
      <c r="CQ82" t="e">
        <f>AND('Reg Types'!#REF!,"AAAAAFj+9l4=")</f>
        <v>#REF!</v>
      </c>
      <c r="CR82" t="e">
        <f>AND('Reg Types'!#REF!,"AAAAAFj+9l8=")</f>
        <v>#REF!</v>
      </c>
      <c r="CS82" t="e">
        <f>AND('Reg Types'!#REF!,"AAAAAFj+9mA=")</f>
        <v>#REF!</v>
      </c>
      <c r="CT82" t="e">
        <f>AND('Reg Types'!#REF!,"AAAAAFj+9mE=")</f>
        <v>#REF!</v>
      </c>
      <c r="CU82" t="e">
        <f>AND('Reg Types'!#REF!,"AAAAAFj+9mI=")</f>
        <v>#REF!</v>
      </c>
      <c r="CV82">
        <f>IF('Reg Types'!4:4,"AAAAAFj+9mM=",0)</f>
        <v>0</v>
      </c>
      <c r="CW82" t="e">
        <f>AND('Reg Types'!A4,"AAAAAFj+9mQ=")</f>
        <v>#VALUE!</v>
      </c>
      <c r="CX82" t="e">
        <f>AND('Reg Types'!B4,"AAAAAFj+9mU=")</f>
        <v>#VALUE!</v>
      </c>
      <c r="CY82" t="e">
        <f>AND('Reg Types'!C4,"AAAAAFj+9mY=")</f>
        <v>#VALUE!</v>
      </c>
      <c r="CZ82" t="e">
        <f>AND('Reg Types'!D4,"AAAAAFj+9mc=")</f>
        <v>#VALUE!</v>
      </c>
      <c r="DA82" t="e">
        <f>AND('Reg Types'!G4,"AAAAAFj+9mg=")</f>
        <v>#VALUE!</v>
      </c>
      <c r="DB82" t="e">
        <f>AND('Reg Types'!#REF!,"AAAAAFj+9mk=")</f>
        <v>#REF!</v>
      </c>
      <c r="DC82" t="e">
        <f>AND('Reg Types'!#REF!,"AAAAAFj+9mo=")</f>
        <v>#REF!</v>
      </c>
      <c r="DD82" t="e">
        <f>AND('Reg Types'!#REF!,"AAAAAFj+9ms=")</f>
        <v>#REF!</v>
      </c>
      <c r="DE82" t="e">
        <f>AND('Reg Types'!#REF!,"AAAAAFj+9mw=")</f>
        <v>#REF!</v>
      </c>
      <c r="DF82" t="e">
        <f>AND('Reg Types'!#REF!,"AAAAAFj+9m0=")</f>
        <v>#REF!</v>
      </c>
      <c r="DG82" t="e">
        <f>AND('Reg Types'!#REF!,"AAAAAFj+9m4=")</f>
        <v>#REF!</v>
      </c>
      <c r="DH82" t="e">
        <f>AND('Reg Types'!#REF!,"AAAAAFj+9m8=")</f>
        <v>#REF!</v>
      </c>
      <c r="DI82" t="e">
        <f>AND('Reg Types'!M4,"AAAAAFj+9nA=")</f>
        <v>#VALUE!</v>
      </c>
      <c r="DJ82" t="e">
        <f>AND('Reg Types'!I4,"AAAAAFj+9nE=")</f>
        <v>#VALUE!</v>
      </c>
      <c r="DK82" t="e">
        <f>AND('Reg Types'!J4,"AAAAAFj+9nI=")</f>
        <v>#VALUE!</v>
      </c>
      <c r="DL82" t="e">
        <f>AND('Reg Types'!K4,"AAAAAFj+9nM=")</f>
        <v>#VALUE!</v>
      </c>
      <c r="DM82" t="e">
        <f>AND('Reg Types'!L4,"AAAAAFj+9nQ=")</f>
        <v>#VALUE!</v>
      </c>
      <c r="DN82" t="e">
        <f>AND('Reg Types'!#REF!,"AAAAAFj+9nU=")</f>
        <v>#REF!</v>
      </c>
      <c r="DO82" t="e">
        <f>AND('Reg Types'!O4,"AAAAAFj+9nY=")</f>
        <v>#VALUE!</v>
      </c>
      <c r="DP82" t="e">
        <f>AND('Reg Types'!P4,"AAAAAFj+9nc=")</f>
        <v>#VALUE!</v>
      </c>
      <c r="DQ82" t="e">
        <f>AND('Reg Types'!R4,"AAAAAFj+9ng=")</f>
        <v>#VALUE!</v>
      </c>
      <c r="DR82" t="e">
        <f>AND('Reg Types'!#REF!,"AAAAAFj+9nk=")</f>
        <v>#REF!</v>
      </c>
      <c r="DS82" t="e">
        <f>AND('Reg Types'!S4,"AAAAAFj+9no=")</f>
        <v>#VALUE!</v>
      </c>
      <c r="DT82">
        <f>IF('Reg Types'!1:1,"AAAAAFj+9ns=",0)</f>
        <v>0</v>
      </c>
      <c r="DU82" t="e">
        <f>AND('Reg Types'!A1,"AAAAAFj+9nw=")</f>
        <v>#VALUE!</v>
      </c>
      <c r="DV82" t="e">
        <f>AND('Reg Types'!B1,"AAAAAFj+9n0=")</f>
        <v>#VALUE!</v>
      </c>
      <c r="DW82" t="e">
        <f>AND('Reg Types'!C1,"AAAAAFj+9n4=")</f>
        <v>#VALUE!</v>
      </c>
      <c r="DX82" t="e">
        <f>AND('Reg Types'!D1,"AAAAAFj+9n8=")</f>
        <v>#VALUE!</v>
      </c>
      <c r="DY82" t="e">
        <f>AND('Reg Types'!G1,"AAAAAFj+9oA=")</f>
        <v>#VALUE!</v>
      </c>
      <c r="DZ82" t="e">
        <f>AND('Reg Types'!#REF!,"AAAAAFj+9oE=")</f>
        <v>#REF!</v>
      </c>
      <c r="EA82" t="e">
        <f>AND('Reg Types'!#REF!,"AAAAAFj+9oI=")</f>
        <v>#REF!</v>
      </c>
      <c r="EB82" t="e">
        <f>AND('Reg Types'!#REF!,"AAAAAFj+9oM=")</f>
        <v>#REF!</v>
      </c>
      <c r="EC82" t="e">
        <f>AND('Reg Types'!#REF!,"AAAAAFj+9oQ=")</f>
        <v>#REF!</v>
      </c>
      <c r="ED82" t="e">
        <f>AND('Reg Types'!#REF!,"AAAAAFj+9oU=")</f>
        <v>#REF!</v>
      </c>
      <c r="EE82" t="e">
        <f>AND('Reg Types'!#REF!,"AAAAAFj+9oY=")</f>
        <v>#REF!</v>
      </c>
      <c r="EF82" t="e">
        <f>AND('Reg Types'!#REF!,"AAAAAFj+9oc=")</f>
        <v>#REF!</v>
      </c>
      <c r="EG82" t="e">
        <f>AND('Reg Types'!M1,"AAAAAFj+9og=")</f>
        <v>#VALUE!</v>
      </c>
      <c r="EH82" t="e">
        <f>AND('Reg Types'!I1,"AAAAAFj+9ok=")</f>
        <v>#VALUE!</v>
      </c>
      <c r="EI82" t="e">
        <f>AND('Reg Types'!J1,"AAAAAFj+9oo=")</f>
        <v>#VALUE!</v>
      </c>
      <c r="EJ82" t="e">
        <f>AND('Reg Types'!K1,"AAAAAFj+9os=")</f>
        <v>#VALUE!</v>
      </c>
      <c r="EK82" t="e">
        <f>AND('Reg Types'!L1,"AAAAAFj+9ow=")</f>
        <v>#VALUE!</v>
      </c>
      <c r="EL82" t="e">
        <f>AND('Reg Types'!#REF!,"AAAAAFj+9o0=")</f>
        <v>#REF!</v>
      </c>
      <c r="EM82" t="e">
        <f>AND('Reg Types'!O1,"AAAAAFj+9o4=")</f>
        <v>#VALUE!</v>
      </c>
      <c r="EN82" t="e">
        <f>AND('Reg Types'!P1,"AAAAAFj+9o8=")</f>
        <v>#VALUE!</v>
      </c>
      <c r="EO82" t="e">
        <f>AND('Reg Types'!R1,"AAAAAFj+9pA=")</f>
        <v>#VALUE!</v>
      </c>
      <c r="EP82" t="e">
        <f>AND('Reg Types'!#REF!,"AAAAAFj+9pE=")</f>
        <v>#REF!</v>
      </c>
      <c r="EQ82" t="e">
        <f>AND('Reg Types'!S1,"AAAAAFj+9pI=")</f>
        <v>#VALUE!</v>
      </c>
      <c r="ER82">
        <f>IF('Reg Types'!5:5,"AAAAAFj+9pM=",0)</f>
        <v>0</v>
      </c>
      <c r="ES82" t="e">
        <f>AND('Reg Types'!A5,"AAAAAFj+9pQ=")</f>
        <v>#VALUE!</v>
      </c>
      <c r="ET82" t="e">
        <f>AND('Reg Types'!B5,"AAAAAFj+9pU=")</f>
        <v>#VALUE!</v>
      </c>
      <c r="EU82" t="e">
        <f>AND('Reg Types'!C5,"AAAAAFj+9pY=")</f>
        <v>#VALUE!</v>
      </c>
      <c r="EV82" t="e">
        <f>AND('Reg Types'!D5,"AAAAAFj+9pc=")</f>
        <v>#VALUE!</v>
      </c>
      <c r="EW82" t="e">
        <f>AND('Reg Types'!G5,"AAAAAFj+9pg=")</f>
        <v>#VALUE!</v>
      </c>
      <c r="EX82" t="e">
        <f>AND('Reg Types'!#REF!,"AAAAAFj+9pk=")</f>
        <v>#REF!</v>
      </c>
      <c r="EY82" t="e">
        <f>AND('Reg Types'!#REF!,"AAAAAFj+9po=")</f>
        <v>#REF!</v>
      </c>
      <c r="EZ82" t="e">
        <f>AND('Reg Types'!#REF!,"AAAAAFj+9ps=")</f>
        <v>#REF!</v>
      </c>
      <c r="FA82" t="e">
        <f>AND('Reg Types'!#REF!,"AAAAAFj+9pw=")</f>
        <v>#REF!</v>
      </c>
      <c r="FB82" t="e">
        <f>AND('Reg Types'!#REF!,"AAAAAFj+9p0=")</f>
        <v>#REF!</v>
      </c>
      <c r="FC82" t="e">
        <f>AND('Reg Types'!#REF!,"AAAAAFj+9p4=")</f>
        <v>#REF!</v>
      </c>
      <c r="FD82" t="e">
        <f>AND('Reg Types'!#REF!,"AAAAAFj+9p8=")</f>
        <v>#REF!</v>
      </c>
      <c r="FE82" t="e">
        <f>AND('Reg Types'!M5,"AAAAAFj+9qA=")</f>
        <v>#VALUE!</v>
      </c>
      <c r="FF82" t="e">
        <f>AND('Reg Types'!I5,"AAAAAFj+9qE=")</f>
        <v>#VALUE!</v>
      </c>
      <c r="FG82" t="e">
        <f>AND('Reg Types'!J5,"AAAAAFj+9qI=")</f>
        <v>#VALUE!</v>
      </c>
      <c r="FH82" t="e">
        <f>AND('Reg Types'!K5,"AAAAAFj+9qM=")</f>
        <v>#VALUE!</v>
      </c>
      <c r="FI82" t="e">
        <f>AND('Reg Types'!L5,"AAAAAFj+9qQ=")</f>
        <v>#VALUE!</v>
      </c>
      <c r="FJ82" t="e">
        <f>AND('Reg Types'!#REF!,"AAAAAFj+9qU=")</f>
        <v>#REF!</v>
      </c>
      <c r="FK82" t="e">
        <f>AND('Reg Types'!O5,"AAAAAFj+9qY=")</f>
        <v>#VALUE!</v>
      </c>
      <c r="FL82" t="e">
        <f>AND('Reg Types'!P5,"AAAAAFj+9qc=")</f>
        <v>#VALUE!</v>
      </c>
      <c r="FM82" t="e">
        <f>AND('Reg Types'!R5,"AAAAAFj+9qg=")</f>
        <v>#VALUE!</v>
      </c>
      <c r="FN82" t="e">
        <f>AND('Reg Types'!#REF!,"AAAAAFj+9qk=")</f>
        <v>#REF!</v>
      </c>
      <c r="FO82" t="e">
        <f>AND('Reg Types'!S5,"AAAAAFj+9qo=")</f>
        <v>#VALUE!</v>
      </c>
      <c r="FP82">
        <f>IF('Reg Types'!6:6,"AAAAAFj+9qs=",0)</f>
        <v>0</v>
      </c>
      <c r="FQ82" t="e">
        <f>AND('Reg Types'!A6,"AAAAAFj+9qw=")</f>
        <v>#VALUE!</v>
      </c>
      <c r="FR82" t="e">
        <f>AND('Reg Types'!B6,"AAAAAFj+9q0=")</f>
        <v>#VALUE!</v>
      </c>
      <c r="FS82" t="e">
        <f>AND('Reg Types'!C6,"AAAAAFj+9q4=")</f>
        <v>#VALUE!</v>
      </c>
      <c r="FT82" t="e">
        <f>AND('Reg Types'!D6,"AAAAAFj+9q8=")</f>
        <v>#VALUE!</v>
      </c>
      <c r="FU82" t="e">
        <f>AND('Reg Types'!G6,"AAAAAFj+9rA=")</f>
        <v>#VALUE!</v>
      </c>
      <c r="FV82" t="e">
        <f>AND('Reg Types'!#REF!,"AAAAAFj+9rE=")</f>
        <v>#REF!</v>
      </c>
      <c r="FW82" t="e">
        <f>AND('Reg Types'!#REF!,"AAAAAFj+9rI=")</f>
        <v>#REF!</v>
      </c>
      <c r="FX82" t="e">
        <f>AND('Reg Types'!#REF!,"AAAAAFj+9rM=")</f>
        <v>#REF!</v>
      </c>
      <c r="FY82" t="e">
        <f>AND('Reg Types'!#REF!,"AAAAAFj+9rQ=")</f>
        <v>#REF!</v>
      </c>
      <c r="FZ82" t="e">
        <f>AND('Reg Types'!#REF!,"AAAAAFj+9rU=")</f>
        <v>#REF!</v>
      </c>
      <c r="GA82" t="e">
        <f>AND('Reg Types'!#REF!,"AAAAAFj+9rY=")</f>
        <v>#REF!</v>
      </c>
      <c r="GB82" t="e">
        <f>AND('Reg Types'!#REF!,"AAAAAFj+9rc=")</f>
        <v>#REF!</v>
      </c>
      <c r="GC82" t="e">
        <f>AND('Reg Types'!M6,"AAAAAFj+9rg=")</f>
        <v>#VALUE!</v>
      </c>
      <c r="GD82" t="e">
        <f>AND('Reg Types'!I6,"AAAAAFj+9rk=")</f>
        <v>#VALUE!</v>
      </c>
      <c r="GE82" t="e">
        <f>AND('Reg Types'!J6,"AAAAAFj+9ro=")</f>
        <v>#VALUE!</v>
      </c>
      <c r="GF82" t="e">
        <f>AND('Reg Types'!K6,"AAAAAFj+9rs=")</f>
        <v>#VALUE!</v>
      </c>
      <c r="GG82" t="e">
        <f>AND('Reg Types'!L6,"AAAAAFj+9rw=")</f>
        <v>#VALUE!</v>
      </c>
      <c r="GH82" t="e">
        <f>AND('Reg Types'!#REF!,"AAAAAFj+9r0=")</f>
        <v>#REF!</v>
      </c>
      <c r="GI82" t="e">
        <f>AND('Reg Types'!O6,"AAAAAFj+9r4=")</f>
        <v>#VALUE!</v>
      </c>
      <c r="GJ82" t="e">
        <f>AND('Reg Types'!P6,"AAAAAFj+9r8=")</f>
        <v>#VALUE!</v>
      </c>
      <c r="GK82" t="e">
        <f>AND('Reg Types'!R6,"AAAAAFj+9sA=")</f>
        <v>#VALUE!</v>
      </c>
      <c r="GL82" t="e">
        <f>AND('Reg Types'!#REF!,"AAAAAFj+9sE=")</f>
        <v>#REF!</v>
      </c>
      <c r="GM82" t="e">
        <f>AND('Reg Types'!S6,"AAAAAFj+9sI=")</f>
        <v>#VALUE!</v>
      </c>
      <c r="GN82">
        <f>IF('Reg Types'!7:7,"AAAAAFj+9sM=",0)</f>
        <v>0</v>
      </c>
      <c r="GO82" t="e">
        <f>AND('Reg Types'!A7,"AAAAAFj+9sQ=")</f>
        <v>#VALUE!</v>
      </c>
      <c r="GP82" t="e">
        <f>AND('Reg Types'!B7,"AAAAAFj+9sU=")</f>
        <v>#VALUE!</v>
      </c>
      <c r="GQ82" t="e">
        <f>AND('Reg Types'!C7,"AAAAAFj+9sY=")</f>
        <v>#VALUE!</v>
      </c>
      <c r="GR82" t="e">
        <f>AND('Reg Types'!D7,"AAAAAFj+9sc=")</f>
        <v>#VALUE!</v>
      </c>
      <c r="GS82" t="e">
        <f>AND('Reg Types'!G7,"AAAAAFj+9sg=")</f>
        <v>#VALUE!</v>
      </c>
      <c r="GT82" t="e">
        <f>AND('Reg Types'!#REF!,"AAAAAFj+9sk=")</f>
        <v>#REF!</v>
      </c>
      <c r="GU82" t="e">
        <f>AND('Reg Types'!#REF!,"AAAAAFj+9so=")</f>
        <v>#REF!</v>
      </c>
      <c r="GV82" t="e">
        <f>AND('Reg Types'!#REF!,"AAAAAFj+9ss=")</f>
        <v>#REF!</v>
      </c>
      <c r="GW82" t="e">
        <f>AND('Reg Types'!#REF!,"AAAAAFj+9sw=")</f>
        <v>#REF!</v>
      </c>
      <c r="GX82" t="e">
        <f>AND('Reg Types'!#REF!,"AAAAAFj+9s0=")</f>
        <v>#REF!</v>
      </c>
      <c r="GY82" t="e">
        <f>AND('Reg Types'!#REF!,"AAAAAFj+9s4=")</f>
        <v>#REF!</v>
      </c>
      <c r="GZ82" t="e">
        <f>AND('Reg Types'!#REF!,"AAAAAFj+9s8=")</f>
        <v>#REF!</v>
      </c>
      <c r="HA82" t="e">
        <f>AND('Reg Types'!M7,"AAAAAFj+9tA=")</f>
        <v>#VALUE!</v>
      </c>
      <c r="HB82" t="e">
        <f>AND('Reg Types'!I7,"AAAAAFj+9tE=")</f>
        <v>#VALUE!</v>
      </c>
      <c r="HC82" t="e">
        <f>AND('Reg Types'!J7,"AAAAAFj+9tI=")</f>
        <v>#VALUE!</v>
      </c>
      <c r="HD82" t="e">
        <f>AND('Reg Types'!K7,"AAAAAFj+9tM=")</f>
        <v>#VALUE!</v>
      </c>
      <c r="HE82" t="e">
        <f>AND('Reg Types'!L7,"AAAAAFj+9tQ=")</f>
        <v>#VALUE!</v>
      </c>
      <c r="HF82" t="e">
        <f>AND('Reg Types'!#REF!,"AAAAAFj+9tU=")</f>
        <v>#REF!</v>
      </c>
      <c r="HG82" t="e">
        <f>AND('Reg Types'!O7,"AAAAAFj+9tY=")</f>
        <v>#VALUE!</v>
      </c>
      <c r="HH82" t="e">
        <f>AND('Reg Types'!P7,"AAAAAFj+9tc=")</f>
        <v>#VALUE!</v>
      </c>
      <c r="HI82" t="e">
        <f>AND('Reg Types'!R7,"AAAAAFj+9tg=")</f>
        <v>#VALUE!</v>
      </c>
      <c r="HJ82" t="e">
        <f>AND('Reg Types'!#REF!,"AAAAAFj+9tk=")</f>
        <v>#REF!</v>
      </c>
      <c r="HK82" t="e">
        <f>AND('Reg Types'!S7,"AAAAAFj+9to=")</f>
        <v>#VALUE!</v>
      </c>
      <c r="HL82">
        <f>IF('Reg Types'!8:8,"AAAAAFj+9ts=",0)</f>
        <v>0</v>
      </c>
      <c r="HM82" t="e">
        <f>AND('Reg Types'!A8,"AAAAAFj+9tw=")</f>
        <v>#VALUE!</v>
      </c>
      <c r="HN82" t="e">
        <f>AND('Reg Types'!B8,"AAAAAFj+9t0=")</f>
        <v>#VALUE!</v>
      </c>
      <c r="HO82" t="e">
        <f>AND('Reg Types'!C8,"AAAAAFj+9t4=")</f>
        <v>#VALUE!</v>
      </c>
      <c r="HP82" t="e">
        <f>AND('Reg Types'!D8,"AAAAAFj+9t8=")</f>
        <v>#VALUE!</v>
      </c>
      <c r="HQ82" t="e">
        <f>AND('Reg Types'!G8,"AAAAAFj+9uA=")</f>
        <v>#VALUE!</v>
      </c>
      <c r="HR82" t="e">
        <f>AND('Reg Types'!#REF!,"AAAAAFj+9uE=")</f>
        <v>#REF!</v>
      </c>
      <c r="HS82" t="e">
        <f>AND('Reg Types'!#REF!,"AAAAAFj+9uI=")</f>
        <v>#REF!</v>
      </c>
      <c r="HT82" t="e">
        <f>AND('Reg Types'!#REF!,"AAAAAFj+9uM=")</f>
        <v>#REF!</v>
      </c>
      <c r="HU82" t="e">
        <f>AND('Reg Types'!#REF!,"AAAAAFj+9uQ=")</f>
        <v>#REF!</v>
      </c>
      <c r="HV82" t="e">
        <f>AND('Reg Types'!#REF!,"AAAAAFj+9uU=")</f>
        <v>#REF!</v>
      </c>
      <c r="HW82" t="e">
        <f>AND('Reg Types'!#REF!,"AAAAAFj+9uY=")</f>
        <v>#REF!</v>
      </c>
      <c r="HX82" t="e">
        <f>AND('Reg Types'!#REF!,"AAAAAFj+9uc=")</f>
        <v>#REF!</v>
      </c>
      <c r="HY82" t="e">
        <f>AND('Reg Types'!M8,"AAAAAFj+9ug=")</f>
        <v>#VALUE!</v>
      </c>
      <c r="HZ82" t="e">
        <f>AND('Reg Types'!I8,"AAAAAFj+9uk=")</f>
        <v>#VALUE!</v>
      </c>
      <c r="IA82" t="e">
        <f>AND('Reg Types'!J8,"AAAAAFj+9uo=")</f>
        <v>#VALUE!</v>
      </c>
      <c r="IB82" t="e">
        <f>AND('Reg Types'!K8,"AAAAAFj+9us=")</f>
        <v>#VALUE!</v>
      </c>
      <c r="IC82" t="e">
        <f>AND('Reg Types'!L8,"AAAAAFj+9uw=")</f>
        <v>#VALUE!</v>
      </c>
      <c r="ID82" t="e">
        <f>AND('Reg Types'!#REF!,"AAAAAFj+9u0=")</f>
        <v>#REF!</v>
      </c>
      <c r="IE82" t="e">
        <f>AND('Reg Types'!O8,"AAAAAFj+9u4=")</f>
        <v>#VALUE!</v>
      </c>
      <c r="IF82" t="e">
        <f>AND('Reg Types'!P8,"AAAAAFj+9u8=")</f>
        <v>#VALUE!</v>
      </c>
      <c r="IG82" t="e">
        <f>AND('Reg Types'!R8,"AAAAAFj+9vA=")</f>
        <v>#VALUE!</v>
      </c>
      <c r="IH82" t="e">
        <f>AND('Reg Types'!#REF!,"AAAAAFj+9vE=")</f>
        <v>#REF!</v>
      </c>
      <c r="II82" t="e">
        <f>AND('Reg Types'!S8,"AAAAAFj+9vI=")</f>
        <v>#VALUE!</v>
      </c>
      <c r="IJ82">
        <f>IF('Reg Types'!9:9,"AAAAAFj+9vM=",0)</f>
        <v>0</v>
      </c>
      <c r="IK82" t="e">
        <f>AND('Reg Types'!A9,"AAAAAFj+9vQ=")</f>
        <v>#VALUE!</v>
      </c>
      <c r="IL82" t="e">
        <f>AND('Reg Types'!B9,"AAAAAFj+9vU=")</f>
        <v>#VALUE!</v>
      </c>
      <c r="IM82" t="e">
        <f>AND('Reg Types'!C9,"AAAAAFj+9vY=")</f>
        <v>#VALUE!</v>
      </c>
      <c r="IN82" t="e">
        <f>AND('Reg Types'!D9,"AAAAAFj+9vc=")</f>
        <v>#VALUE!</v>
      </c>
      <c r="IO82" t="e">
        <f>AND('Reg Types'!G9,"AAAAAFj+9vg=")</f>
        <v>#VALUE!</v>
      </c>
      <c r="IP82" t="e">
        <f>AND('Reg Types'!#REF!,"AAAAAFj+9vk=")</f>
        <v>#REF!</v>
      </c>
      <c r="IQ82" t="e">
        <f>AND('Reg Types'!#REF!,"AAAAAFj+9vo=")</f>
        <v>#REF!</v>
      </c>
      <c r="IR82" t="e">
        <f>AND('Reg Types'!#REF!,"AAAAAFj+9vs=")</f>
        <v>#REF!</v>
      </c>
      <c r="IS82" t="e">
        <f>AND('Reg Types'!#REF!,"AAAAAFj+9vw=")</f>
        <v>#REF!</v>
      </c>
      <c r="IT82" t="e">
        <f>AND('Reg Types'!#REF!,"AAAAAFj+9v0=")</f>
        <v>#REF!</v>
      </c>
      <c r="IU82" t="e">
        <f>AND('Reg Types'!#REF!,"AAAAAFj+9v4=")</f>
        <v>#REF!</v>
      </c>
      <c r="IV82" t="e">
        <f>AND('Reg Types'!#REF!,"AAAAAFj+9v8=")</f>
        <v>#REF!</v>
      </c>
    </row>
    <row r="83" spans="1:256" x14ac:dyDescent="0.2">
      <c r="A83" t="e">
        <f>AND('Reg Types'!M9,"AAAAADrq9wA=")</f>
        <v>#VALUE!</v>
      </c>
      <c r="B83" t="e">
        <f>AND('Reg Types'!I9,"AAAAADrq9wE=")</f>
        <v>#VALUE!</v>
      </c>
      <c r="C83" t="e">
        <f>AND('Reg Types'!J9,"AAAAADrq9wI=")</f>
        <v>#VALUE!</v>
      </c>
      <c r="D83" t="e">
        <f>AND('Reg Types'!K9,"AAAAADrq9wM=")</f>
        <v>#VALUE!</v>
      </c>
      <c r="E83" t="e">
        <f>AND('Reg Types'!L9,"AAAAADrq9wQ=")</f>
        <v>#VALUE!</v>
      </c>
      <c r="F83" t="e">
        <f>AND('Reg Types'!#REF!,"AAAAADrq9wU=")</f>
        <v>#REF!</v>
      </c>
      <c r="G83" t="e">
        <f>AND('Reg Types'!O9,"AAAAADrq9wY=")</f>
        <v>#VALUE!</v>
      </c>
      <c r="H83" t="e">
        <f>AND('Reg Types'!P9,"AAAAADrq9wc=")</f>
        <v>#VALUE!</v>
      </c>
      <c r="I83" t="e">
        <f>AND('Reg Types'!R9,"AAAAADrq9wg=")</f>
        <v>#VALUE!</v>
      </c>
      <c r="J83" t="e">
        <f>AND('Reg Types'!#REF!,"AAAAADrq9wk=")</f>
        <v>#REF!</v>
      </c>
      <c r="K83" t="e">
        <f>AND('Reg Types'!S9,"AAAAADrq9wo=")</f>
        <v>#VALUE!</v>
      </c>
      <c r="L83">
        <f>IF('Reg Types'!73:73,"AAAAADrq9ws=",0)</f>
        <v>0</v>
      </c>
      <c r="M83" t="e">
        <f>AND('Reg Types'!A73,"AAAAADrq9ww=")</f>
        <v>#VALUE!</v>
      </c>
      <c r="N83" t="e">
        <f>AND('Reg Types'!B73,"AAAAADrq9w0=")</f>
        <v>#VALUE!</v>
      </c>
      <c r="O83" t="e">
        <f>AND('Reg Types'!C73,"AAAAADrq9w4=")</f>
        <v>#VALUE!</v>
      </c>
      <c r="P83" t="e">
        <f>AND('Reg Types'!D73,"AAAAADrq9w8=")</f>
        <v>#VALUE!</v>
      </c>
      <c r="Q83" t="e">
        <f>AND('Reg Types'!G73,"AAAAADrq9xA=")</f>
        <v>#VALUE!</v>
      </c>
      <c r="R83" t="e">
        <f>AND('Reg Types'!#REF!,"AAAAADrq9xE=")</f>
        <v>#REF!</v>
      </c>
      <c r="S83" t="e">
        <f>AND('Reg Types'!#REF!,"AAAAADrq9xI=")</f>
        <v>#REF!</v>
      </c>
      <c r="T83" t="e">
        <f>AND('Reg Types'!#REF!,"AAAAADrq9xM=")</f>
        <v>#REF!</v>
      </c>
      <c r="U83" t="e">
        <f>AND('Reg Types'!#REF!,"AAAAADrq9xQ=")</f>
        <v>#REF!</v>
      </c>
      <c r="V83" t="e">
        <f>AND('Reg Types'!#REF!,"AAAAADrq9xU=")</f>
        <v>#REF!</v>
      </c>
      <c r="W83" t="e">
        <f>AND('Reg Types'!#REF!,"AAAAADrq9xY=")</f>
        <v>#REF!</v>
      </c>
      <c r="X83" t="e">
        <f>AND('Reg Types'!#REF!,"AAAAADrq9xc=")</f>
        <v>#REF!</v>
      </c>
      <c r="Y83" t="e">
        <f>AND('Reg Types'!M73,"AAAAADrq9xg=")</f>
        <v>#VALUE!</v>
      </c>
      <c r="Z83" t="e">
        <f>AND('Reg Types'!I73,"AAAAADrq9xk=")</f>
        <v>#VALUE!</v>
      </c>
      <c r="AA83" t="e">
        <f>AND('Reg Types'!J73,"AAAAADrq9xo=")</f>
        <v>#VALUE!</v>
      </c>
      <c r="AB83" t="e">
        <f>AND('Reg Types'!K73,"AAAAADrq9xs=")</f>
        <v>#VALUE!</v>
      </c>
      <c r="AC83" t="e">
        <f>AND('Reg Types'!L73,"AAAAADrq9xw=")</f>
        <v>#VALUE!</v>
      </c>
      <c r="AD83" t="e">
        <f>AND('Reg Types'!#REF!,"AAAAADrq9x0=")</f>
        <v>#REF!</v>
      </c>
      <c r="AE83" t="e">
        <f>AND('Reg Types'!O73,"AAAAADrq9x4=")</f>
        <v>#VALUE!</v>
      </c>
      <c r="AF83" t="e">
        <f>AND('Reg Types'!P73,"AAAAADrq9x8=")</f>
        <v>#VALUE!</v>
      </c>
      <c r="AG83" t="e">
        <f>AND('Reg Types'!R73,"AAAAADrq9yA=")</f>
        <v>#VALUE!</v>
      </c>
      <c r="AH83" t="e">
        <f>AND('Reg Types'!#REF!,"AAAAADrq9yE=")</f>
        <v>#REF!</v>
      </c>
      <c r="AI83" t="e">
        <f>AND('Reg Types'!S73,"AAAAADrq9yI=")</f>
        <v>#VALUE!</v>
      </c>
      <c r="AJ83">
        <f>IF('Reg Types'!74:74,"AAAAADrq9yM=",0)</f>
        <v>0</v>
      </c>
      <c r="AK83" t="e">
        <f>AND('Reg Types'!A74,"AAAAADrq9yQ=")</f>
        <v>#VALUE!</v>
      </c>
      <c r="AL83" t="e">
        <f>AND('Reg Types'!B74,"AAAAADrq9yU=")</f>
        <v>#VALUE!</v>
      </c>
      <c r="AM83" t="e">
        <f>AND('Reg Types'!C74,"AAAAADrq9yY=")</f>
        <v>#VALUE!</v>
      </c>
      <c r="AN83" t="e">
        <f>AND('Reg Types'!D74,"AAAAADrq9yc=")</f>
        <v>#VALUE!</v>
      </c>
      <c r="AO83" t="e">
        <f>AND('Reg Types'!G74,"AAAAADrq9yg=")</f>
        <v>#VALUE!</v>
      </c>
      <c r="AP83" t="e">
        <f>AND('Reg Types'!#REF!,"AAAAADrq9yk=")</f>
        <v>#REF!</v>
      </c>
      <c r="AQ83" t="e">
        <f>AND('Reg Types'!#REF!,"AAAAADrq9yo=")</f>
        <v>#REF!</v>
      </c>
      <c r="AR83" t="e">
        <f>AND('Reg Types'!#REF!,"AAAAADrq9ys=")</f>
        <v>#REF!</v>
      </c>
      <c r="AS83" t="e">
        <f>AND('Reg Types'!#REF!,"AAAAADrq9yw=")</f>
        <v>#REF!</v>
      </c>
      <c r="AT83" t="e">
        <f>AND('Reg Types'!#REF!,"AAAAADrq9y0=")</f>
        <v>#REF!</v>
      </c>
      <c r="AU83" t="e">
        <f>AND('Reg Types'!#REF!,"AAAAADrq9y4=")</f>
        <v>#REF!</v>
      </c>
      <c r="AV83" t="e">
        <f>AND('Reg Types'!#REF!,"AAAAADrq9y8=")</f>
        <v>#REF!</v>
      </c>
      <c r="AW83" t="e">
        <f>AND('Reg Types'!M74,"AAAAADrq9zA=")</f>
        <v>#VALUE!</v>
      </c>
      <c r="AX83" t="e">
        <f>AND('Reg Types'!I74,"AAAAADrq9zE=")</f>
        <v>#VALUE!</v>
      </c>
      <c r="AY83" t="e">
        <f>AND('Reg Types'!J74,"AAAAADrq9zI=")</f>
        <v>#VALUE!</v>
      </c>
      <c r="AZ83" t="e">
        <f>AND('Reg Types'!K74,"AAAAADrq9zM=")</f>
        <v>#VALUE!</v>
      </c>
      <c r="BA83" t="e">
        <f>AND('Reg Types'!L74,"AAAAADrq9zQ=")</f>
        <v>#VALUE!</v>
      </c>
      <c r="BB83" t="e">
        <f>AND('Reg Types'!#REF!,"AAAAADrq9zU=")</f>
        <v>#REF!</v>
      </c>
      <c r="BC83" t="e">
        <f>AND('Reg Types'!O74,"AAAAADrq9zY=")</f>
        <v>#VALUE!</v>
      </c>
      <c r="BD83" t="e">
        <f>AND('Reg Types'!P74,"AAAAADrq9zc=")</f>
        <v>#VALUE!</v>
      </c>
      <c r="BE83" t="e">
        <f>AND('Reg Types'!R74,"AAAAADrq9zg=")</f>
        <v>#VALUE!</v>
      </c>
      <c r="BF83" t="e">
        <f>AND('Reg Types'!#REF!,"AAAAADrq9zk=")</f>
        <v>#REF!</v>
      </c>
      <c r="BG83" t="e">
        <f>AND('Reg Types'!S74,"AAAAADrq9zo=")</f>
        <v>#VALUE!</v>
      </c>
      <c r="BH83">
        <f>IF('Reg Types'!75:75,"AAAAADrq9zs=",0)</f>
        <v>0</v>
      </c>
      <c r="BI83" t="e">
        <f>AND('Reg Types'!A75,"AAAAADrq9zw=")</f>
        <v>#VALUE!</v>
      </c>
      <c r="BJ83" t="e">
        <f>AND('Reg Types'!B75,"AAAAADrq9z0=")</f>
        <v>#VALUE!</v>
      </c>
      <c r="BK83" t="e">
        <f>AND('Reg Types'!C75,"AAAAADrq9z4=")</f>
        <v>#VALUE!</v>
      </c>
      <c r="BL83" t="e">
        <f>AND('Reg Types'!D75,"AAAAADrq9z8=")</f>
        <v>#VALUE!</v>
      </c>
      <c r="BM83" t="e">
        <f>AND('Reg Types'!G75,"AAAAADrq90A=")</f>
        <v>#VALUE!</v>
      </c>
      <c r="BN83" t="e">
        <f>AND('Reg Types'!#REF!,"AAAAADrq90E=")</f>
        <v>#REF!</v>
      </c>
      <c r="BO83" t="e">
        <f>AND('Reg Types'!#REF!,"AAAAADrq90I=")</f>
        <v>#REF!</v>
      </c>
      <c r="BP83" t="e">
        <f>AND('Reg Types'!#REF!,"AAAAADrq90M=")</f>
        <v>#REF!</v>
      </c>
      <c r="BQ83" t="e">
        <f>AND('Reg Types'!#REF!,"AAAAADrq90Q=")</f>
        <v>#REF!</v>
      </c>
      <c r="BR83" t="e">
        <f>AND('Reg Types'!#REF!,"AAAAADrq90U=")</f>
        <v>#REF!</v>
      </c>
      <c r="BS83" t="e">
        <f>AND('Reg Types'!#REF!,"AAAAADrq90Y=")</f>
        <v>#REF!</v>
      </c>
      <c r="BT83" t="e">
        <f>AND('Reg Types'!#REF!,"AAAAADrq90c=")</f>
        <v>#REF!</v>
      </c>
      <c r="BU83" t="e">
        <f>AND('Reg Types'!M75,"AAAAADrq90g=")</f>
        <v>#VALUE!</v>
      </c>
      <c r="BV83" t="e">
        <f>AND('Reg Types'!I75,"AAAAADrq90k=")</f>
        <v>#VALUE!</v>
      </c>
      <c r="BW83" t="e">
        <f>AND('Reg Types'!J75,"AAAAADrq90o=")</f>
        <v>#VALUE!</v>
      </c>
      <c r="BX83" t="e">
        <f>AND('Reg Types'!K75,"AAAAADrq90s=")</f>
        <v>#VALUE!</v>
      </c>
      <c r="BY83" t="e">
        <f>AND('Reg Types'!L75,"AAAAADrq90w=")</f>
        <v>#VALUE!</v>
      </c>
      <c r="BZ83" t="e">
        <f>AND('Reg Types'!#REF!,"AAAAADrq900=")</f>
        <v>#REF!</v>
      </c>
      <c r="CA83" t="e">
        <f>AND('Reg Types'!O75,"AAAAADrq904=")</f>
        <v>#VALUE!</v>
      </c>
      <c r="CB83" t="e">
        <f>AND('Reg Types'!P75,"AAAAADrq908=")</f>
        <v>#VALUE!</v>
      </c>
      <c r="CC83" t="e">
        <f>AND('Reg Types'!R75,"AAAAADrq91A=")</f>
        <v>#VALUE!</v>
      </c>
      <c r="CD83" t="e">
        <f>AND('Reg Types'!#REF!,"AAAAADrq91E=")</f>
        <v>#REF!</v>
      </c>
      <c r="CE83" t="e">
        <f>AND('Reg Types'!S75,"AAAAADrq91I=")</f>
        <v>#VALUE!</v>
      </c>
      <c r="CF83">
        <f>IF('Reg Types'!76:76,"AAAAADrq91M=",0)</f>
        <v>0</v>
      </c>
      <c r="CG83" t="e">
        <f>AND('Reg Types'!A76,"AAAAADrq91Q=")</f>
        <v>#VALUE!</v>
      </c>
      <c r="CH83" t="e">
        <f>AND('Reg Types'!B76,"AAAAADrq91U=")</f>
        <v>#VALUE!</v>
      </c>
      <c r="CI83" t="e">
        <f>AND('Reg Types'!C76,"AAAAADrq91Y=")</f>
        <v>#VALUE!</v>
      </c>
      <c r="CJ83" t="e">
        <f>AND('Reg Types'!D76,"AAAAADrq91c=")</f>
        <v>#VALUE!</v>
      </c>
      <c r="CK83" t="e">
        <f>AND('Reg Types'!G76,"AAAAADrq91g=")</f>
        <v>#VALUE!</v>
      </c>
      <c r="CL83" t="e">
        <f>AND('Reg Types'!#REF!,"AAAAADrq91k=")</f>
        <v>#REF!</v>
      </c>
      <c r="CM83" t="e">
        <f>AND('Reg Types'!#REF!,"AAAAADrq91o=")</f>
        <v>#REF!</v>
      </c>
      <c r="CN83" t="e">
        <f>AND('Reg Types'!#REF!,"AAAAADrq91s=")</f>
        <v>#REF!</v>
      </c>
      <c r="CO83" t="e">
        <f>AND('Reg Types'!#REF!,"AAAAADrq91w=")</f>
        <v>#REF!</v>
      </c>
      <c r="CP83" t="e">
        <f>AND('Reg Types'!#REF!,"AAAAADrq910=")</f>
        <v>#REF!</v>
      </c>
      <c r="CQ83" t="e">
        <f>AND('Reg Types'!#REF!,"AAAAADrq914=")</f>
        <v>#REF!</v>
      </c>
      <c r="CR83" t="e">
        <f>AND('Reg Types'!#REF!,"AAAAADrq918=")</f>
        <v>#REF!</v>
      </c>
      <c r="CS83" t="e">
        <f>AND('Reg Types'!M76,"AAAAADrq92A=")</f>
        <v>#VALUE!</v>
      </c>
      <c r="CT83" t="e">
        <f>AND('Reg Types'!I76,"AAAAADrq92E=")</f>
        <v>#VALUE!</v>
      </c>
      <c r="CU83" t="e">
        <f>AND('Reg Types'!J76,"AAAAADrq92I=")</f>
        <v>#VALUE!</v>
      </c>
      <c r="CV83" t="e">
        <f>AND('Reg Types'!K76,"AAAAADrq92M=")</f>
        <v>#VALUE!</v>
      </c>
      <c r="CW83" t="e">
        <f>AND('Reg Types'!L76,"AAAAADrq92Q=")</f>
        <v>#VALUE!</v>
      </c>
      <c r="CX83" t="e">
        <f>AND('Reg Types'!#REF!,"AAAAADrq92U=")</f>
        <v>#REF!</v>
      </c>
      <c r="CY83" t="e">
        <f>AND('Reg Types'!O76,"AAAAADrq92Y=")</f>
        <v>#VALUE!</v>
      </c>
      <c r="CZ83" t="e">
        <f>AND('Reg Types'!P76,"AAAAADrq92c=")</f>
        <v>#VALUE!</v>
      </c>
      <c r="DA83" t="e">
        <f>AND('Reg Types'!R76,"AAAAADrq92g=")</f>
        <v>#VALUE!</v>
      </c>
      <c r="DB83" t="e">
        <f>AND('Reg Types'!#REF!,"AAAAADrq92k=")</f>
        <v>#REF!</v>
      </c>
      <c r="DC83" t="e">
        <f>AND('Reg Types'!S76,"AAAAADrq92o=")</f>
        <v>#VALUE!</v>
      </c>
      <c r="DD83">
        <f>IF('Reg Types'!77:77,"AAAAADrq92s=",0)</f>
        <v>0</v>
      </c>
      <c r="DE83" t="e">
        <f>AND('Reg Types'!A77,"AAAAADrq92w=")</f>
        <v>#VALUE!</v>
      </c>
      <c r="DF83" t="e">
        <f>AND('Reg Types'!B77,"AAAAADrq920=")</f>
        <v>#VALUE!</v>
      </c>
      <c r="DG83" t="e">
        <f>AND('Reg Types'!C77,"AAAAADrq924=")</f>
        <v>#VALUE!</v>
      </c>
      <c r="DH83" t="e">
        <f>AND('Reg Types'!D77,"AAAAADrq928=")</f>
        <v>#VALUE!</v>
      </c>
      <c r="DI83" t="e">
        <f>AND('Reg Types'!G77,"AAAAADrq93A=")</f>
        <v>#VALUE!</v>
      </c>
      <c r="DJ83" t="e">
        <f>AND('Reg Types'!#REF!,"AAAAADrq93E=")</f>
        <v>#REF!</v>
      </c>
      <c r="DK83" t="e">
        <f>AND('Reg Types'!#REF!,"AAAAADrq93I=")</f>
        <v>#REF!</v>
      </c>
      <c r="DL83" t="e">
        <f>AND('Reg Types'!#REF!,"AAAAADrq93M=")</f>
        <v>#REF!</v>
      </c>
      <c r="DM83" t="e">
        <f>AND('Reg Types'!#REF!,"AAAAADrq93Q=")</f>
        <v>#REF!</v>
      </c>
      <c r="DN83" t="e">
        <f>AND('Reg Types'!#REF!,"AAAAADrq93U=")</f>
        <v>#REF!</v>
      </c>
      <c r="DO83" t="e">
        <f>AND('Reg Types'!#REF!,"AAAAADrq93Y=")</f>
        <v>#REF!</v>
      </c>
      <c r="DP83" t="e">
        <f>AND('Reg Types'!#REF!,"AAAAADrq93c=")</f>
        <v>#REF!</v>
      </c>
      <c r="DQ83" t="e">
        <f>AND('Reg Types'!M77,"AAAAADrq93g=")</f>
        <v>#VALUE!</v>
      </c>
      <c r="DR83" t="e">
        <f>AND('Reg Types'!I77,"AAAAADrq93k=")</f>
        <v>#VALUE!</v>
      </c>
      <c r="DS83" t="e">
        <f>AND('Reg Types'!J77,"AAAAADrq93o=")</f>
        <v>#VALUE!</v>
      </c>
      <c r="DT83" t="e">
        <f>AND('Reg Types'!K77,"AAAAADrq93s=")</f>
        <v>#VALUE!</v>
      </c>
      <c r="DU83" t="e">
        <f>AND('Reg Types'!L77,"AAAAADrq93w=")</f>
        <v>#VALUE!</v>
      </c>
      <c r="DV83" t="e">
        <f>AND('Reg Types'!#REF!,"AAAAADrq930=")</f>
        <v>#REF!</v>
      </c>
      <c r="DW83" t="e">
        <f>AND('Reg Types'!O77,"AAAAADrq934=")</f>
        <v>#VALUE!</v>
      </c>
      <c r="DX83" t="e">
        <f>AND('Reg Types'!P77,"AAAAADrq938=")</f>
        <v>#VALUE!</v>
      </c>
      <c r="DY83" t="e">
        <f>AND('Reg Types'!R77,"AAAAADrq94A=")</f>
        <v>#VALUE!</v>
      </c>
      <c r="DZ83" t="e">
        <f>AND('Reg Types'!#REF!,"AAAAADrq94E=")</f>
        <v>#REF!</v>
      </c>
      <c r="EA83" t="e">
        <f>AND('Reg Types'!S77,"AAAAADrq94I=")</f>
        <v>#VALUE!</v>
      </c>
      <c r="EB83">
        <f>IF('Reg Types'!78:78,"AAAAADrq94M=",0)</f>
        <v>0</v>
      </c>
      <c r="EC83" t="e">
        <f>AND('Reg Types'!A78,"AAAAADrq94Q=")</f>
        <v>#VALUE!</v>
      </c>
      <c r="ED83" t="e">
        <f>AND('Reg Types'!B78,"AAAAADrq94U=")</f>
        <v>#VALUE!</v>
      </c>
      <c r="EE83" t="e">
        <f>AND('Reg Types'!C78,"AAAAADrq94Y=")</f>
        <v>#VALUE!</v>
      </c>
      <c r="EF83" t="e">
        <f>AND('Reg Types'!D78,"AAAAADrq94c=")</f>
        <v>#VALUE!</v>
      </c>
      <c r="EG83" t="e">
        <f>AND('Reg Types'!G78,"AAAAADrq94g=")</f>
        <v>#VALUE!</v>
      </c>
      <c r="EH83" t="e">
        <f>AND('Reg Types'!#REF!,"AAAAADrq94k=")</f>
        <v>#REF!</v>
      </c>
      <c r="EI83" t="e">
        <f>AND('Reg Types'!#REF!,"AAAAADrq94o=")</f>
        <v>#REF!</v>
      </c>
      <c r="EJ83" t="e">
        <f>AND('Reg Types'!#REF!,"AAAAADrq94s=")</f>
        <v>#REF!</v>
      </c>
      <c r="EK83" t="e">
        <f>AND('Reg Types'!#REF!,"AAAAADrq94w=")</f>
        <v>#REF!</v>
      </c>
      <c r="EL83" t="e">
        <f>AND('Reg Types'!#REF!,"AAAAADrq940=")</f>
        <v>#REF!</v>
      </c>
      <c r="EM83" t="e">
        <f>AND('Reg Types'!#REF!,"AAAAADrq944=")</f>
        <v>#REF!</v>
      </c>
      <c r="EN83" t="e">
        <f>AND('Reg Types'!#REF!,"AAAAADrq948=")</f>
        <v>#REF!</v>
      </c>
      <c r="EO83" t="e">
        <f>AND('Reg Types'!M78,"AAAAADrq95A=")</f>
        <v>#VALUE!</v>
      </c>
      <c r="EP83" t="e">
        <f>AND('Reg Types'!I78,"AAAAADrq95E=")</f>
        <v>#VALUE!</v>
      </c>
      <c r="EQ83" t="e">
        <f>AND('Reg Types'!J78,"AAAAADrq95I=")</f>
        <v>#VALUE!</v>
      </c>
      <c r="ER83" t="e">
        <f>AND('Reg Types'!K78,"AAAAADrq95M=")</f>
        <v>#VALUE!</v>
      </c>
      <c r="ES83" t="e">
        <f>AND('Reg Types'!L78,"AAAAADrq95Q=")</f>
        <v>#VALUE!</v>
      </c>
      <c r="ET83" t="e">
        <f>AND('Reg Types'!#REF!,"AAAAADrq95U=")</f>
        <v>#REF!</v>
      </c>
      <c r="EU83" t="e">
        <f>AND('Reg Types'!O78,"AAAAADrq95Y=")</f>
        <v>#VALUE!</v>
      </c>
      <c r="EV83" t="e">
        <f>AND('Reg Types'!P78,"AAAAADrq95c=")</f>
        <v>#VALUE!</v>
      </c>
      <c r="EW83" t="e">
        <f>AND('Reg Types'!R78,"AAAAADrq95g=")</f>
        <v>#VALUE!</v>
      </c>
      <c r="EX83" t="e">
        <f>AND('Reg Types'!#REF!,"AAAAADrq95k=")</f>
        <v>#REF!</v>
      </c>
      <c r="EY83" t="e">
        <f>AND('Reg Types'!S78,"AAAAADrq95o=")</f>
        <v>#VALUE!</v>
      </c>
      <c r="EZ83">
        <f>IF('Reg Types'!79:79,"AAAAADrq95s=",0)</f>
        <v>0</v>
      </c>
      <c r="FA83" t="e">
        <f>AND('Reg Types'!A79,"AAAAADrq95w=")</f>
        <v>#VALUE!</v>
      </c>
      <c r="FB83" t="e">
        <f>AND('Reg Types'!B79,"AAAAADrq950=")</f>
        <v>#VALUE!</v>
      </c>
      <c r="FC83" t="e">
        <f>AND('Reg Types'!C79,"AAAAADrq954=")</f>
        <v>#VALUE!</v>
      </c>
      <c r="FD83" t="e">
        <f>AND('Reg Types'!D79,"AAAAADrq958=")</f>
        <v>#VALUE!</v>
      </c>
      <c r="FE83" t="e">
        <f>AND('Reg Types'!G79,"AAAAADrq96A=")</f>
        <v>#VALUE!</v>
      </c>
      <c r="FF83" t="e">
        <f>AND('Reg Types'!#REF!,"AAAAADrq96E=")</f>
        <v>#REF!</v>
      </c>
      <c r="FG83" t="e">
        <f>AND('Reg Types'!#REF!,"AAAAADrq96I=")</f>
        <v>#REF!</v>
      </c>
      <c r="FH83" t="e">
        <f>AND('Reg Types'!#REF!,"AAAAADrq96M=")</f>
        <v>#REF!</v>
      </c>
      <c r="FI83" t="e">
        <f>AND('Reg Types'!#REF!,"AAAAADrq96Q=")</f>
        <v>#REF!</v>
      </c>
      <c r="FJ83" t="e">
        <f>AND('Reg Types'!#REF!,"AAAAADrq96U=")</f>
        <v>#REF!</v>
      </c>
      <c r="FK83" t="e">
        <f>AND('Reg Types'!#REF!,"AAAAADrq96Y=")</f>
        <v>#REF!</v>
      </c>
      <c r="FL83" t="e">
        <f>AND('Reg Types'!#REF!,"AAAAADrq96c=")</f>
        <v>#REF!</v>
      </c>
      <c r="FM83" t="e">
        <f>AND('Reg Types'!M79,"AAAAADrq96g=")</f>
        <v>#VALUE!</v>
      </c>
      <c r="FN83" t="e">
        <f>AND('Reg Types'!I79,"AAAAADrq96k=")</f>
        <v>#VALUE!</v>
      </c>
      <c r="FO83" t="e">
        <f>AND('Reg Types'!J79,"AAAAADrq96o=")</f>
        <v>#VALUE!</v>
      </c>
      <c r="FP83" t="e">
        <f>AND('Reg Types'!K79,"AAAAADrq96s=")</f>
        <v>#VALUE!</v>
      </c>
      <c r="FQ83" t="e">
        <f>AND('Reg Types'!L79,"AAAAADrq96w=")</f>
        <v>#VALUE!</v>
      </c>
      <c r="FR83" t="e">
        <f>AND('Reg Types'!#REF!,"AAAAADrq960=")</f>
        <v>#REF!</v>
      </c>
      <c r="FS83" t="e">
        <f>AND('Reg Types'!O79,"AAAAADrq964=")</f>
        <v>#VALUE!</v>
      </c>
      <c r="FT83" t="e">
        <f>AND('Reg Types'!P79,"AAAAADrq968=")</f>
        <v>#VALUE!</v>
      </c>
      <c r="FU83" t="e">
        <f>AND('Reg Types'!R79,"AAAAADrq97A=")</f>
        <v>#VALUE!</v>
      </c>
      <c r="FV83" t="e">
        <f>AND('Reg Types'!#REF!,"AAAAADrq97E=")</f>
        <v>#REF!</v>
      </c>
      <c r="FW83" t="e">
        <f>AND('Reg Types'!S79,"AAAAADrq97I=")</f>
        <v>#VALUE!</v>
      </c>
      <c r="FX83">
        <f>IF('Reg Types'!28:28,"AAAAADrq97M=",0)</f>
        <v>0</v>
      </c>
      <c r="FY83" t="e">
        <f>AND('Reg Types'!A28,"AAAAADrq97Q=")</f>
        <v>#VALUE!</v>
      </c>
      <c r="FZ83" t="e">
        <f>AND('Reg Types'!B28,"AAAAADrq97U=")</f>
        <v>#VALUE!</v>
      </c>
      <c r="GA83" t="e">
        <f>AND('Reg Types'!C28,"AAAAADrq97Y=")</f>
        <v>#VALUE!</v>
      </c>
      <c r="GB83" t="e">
        <f>AND('Reg Types'!D28,"AAAAADrq97c=")</f>
        <v>#VALUE!</v>
      </c>
      <c r="GC83" t="e">
        <f>AND('Reg Types'!G28,"AAAAADrq97g=")</f>
        <v>#VALUE!</v>
      </c>
      <c r="GD83" t="e">
        <f>AND('Reg Types'!#REF!,"AAAAADrq97k=")</f>
        <v>#REF!</v>
      </c>
      <c r="GE83" t="e">
        <f>AND('Reg Types'!#REF!,"AAAAADrq97o=")</f>
        <v>#REF!</v>
      </c>
      <c r="GF83" t="e">
        <f>AND('Reg Types'!#REF!,"AAAAADrq97s=")</f>
        <v>#REF!</v>
      </c>
      <c r="GG83" t="e">
        <f>AND('Reg Types'!#REF!,"AAAAADrq97w=")</f>
        <v>#REF!</v>
      </c>
      <c r="GH83" t="e">
        <f>AND('Reg Types'!#REF!,"AAAAADrq970=")</f>
        <v>#REF!</v>
      </c>
      <c r="GI83" t="e">
        <f>AND('Reg Types'!#REF!,"AAAAADrq974=")</f>
        <v>#REF!</v>
      </c>
      <c r="GJ83" t="e">
        <f>AND('Reg Types'!#REF!,"AAAAADrq978=")</f>
        <v>#REF!</v>
      </c>
      <c r="GK83" t="e">
        <f>AND('Reg Types'!M28,"AAAAADrq98A=")</f>
        <v>#VALUE!</v>
      </c>
      <c r="GL83" t="e">
        <f>AND('Reg Types'!I28,"AAAAADrq98E=")</f>
        <v>#VALUE!</v>
      </c>
      <c r="GM83" t="e">
        <f>AND('Reg Types'!J28,"AAAAADrq98I=")</f>
        <v>#VALUE!</v>
      </c>
      <c r="GN83" t="e">
        <f>AND('Reg Types'!K28,"AAAAADrq98M=")</f>
        <v>#VALUE!</v>
      </c>
      <c r="GO83" t="e">
        <f>AND('Reg Types'!L28,"AAAAADrq98Q=")</f>
        <v>#VALUE!</v>
      </c>
      <c r="GP83" t="e">
        <f>AND('Reg Types'!#REF!,"AAAAADrq98U=")</f>
        <v>#REF!</v>
      </c>
      <c r="GQ83" t="e">
        <f>AND('Reg Types'!O28,"AAAAADrq98Y=")</f>
        <v>#VALUE!</v>
      </c>
      <c r="GR83" t="e">
        <f>AND('Reg Types'!P28,"AAAAADrq98c=")</f>
        <v>#VALUE!</v>
      </c>
      <c r="GS83" t="e">
        <f>AND('Reg Types'!R28,"AAAAADrq98g=")</f>
        <v>#VALUE!</v>
      </c>
      <c r="GT83" t="e">
        <f>AND('Reg Types'!#REF!,"AAAAADrq98k=")</f>
        <v>#REF!</v>
      </c>
      <c r="GU83" t="e">
        <f>AND('Reg Types'!S28,"AAAAADrq98o=")</f>
        <v>#VALUE!</v>
      </c>
      <c r="GV83">
        <f>IF('Reg Types'!29:29,"AAAAADrq98s=",0)</f>
        <v>0</v>
      </c>
      <c r="GW83" t="e">
        <f>AND('Reg Types'!A29,"AAAAADrq98w=")</f>
        <v>#VALUE!</v>
      </c>
      <c r="GX83" t="e">
        <f>AND('Reg Types'!B29,"AAAAADrq980=")</f>
        <v>#VALUE!</v>
      </c>
      <c r="GY83" t="e">
        <f>AND('Reg Types'!C29,"AAAAADrq984=")</f>
        <v>#VALUE!</v>
      </c>
      <c r="GZ83" t="e">
        <f>AND('Reg Types'!D29,"AAAAADrq988=")</f>
        <v>#VALUE!</v>
      </c>
      <c r="HA83" t="e">
        <f>AND('Reg Types'!G29,"AAAAADrq99A=")</f>
        <v>#VALUE!</v>
      </c>
      <c r="HB83" t="e">
        <f>AND('Reg Types'!#REF!,"AAAAADrq99E=")</f>
        <v>#REF!</v>
      </c>
      <c r="HC83" t="e">
        <f>AND('Reg Types'!#REF!,"AAAAADrq99I=")</f>
        <v>#REF!</v>
      </c>
      <c r="HD83" t="e">
        <f>AND('Reg Types'!#REF!,"AAAAADrq99M=")</f>
        <v>#REF!</v>
      </c>
      <c r="HE83" t="e">
        <f>AND('Reg Types'!#REF!,"AAAAADrq99Q=")</f>
        <v>#REF!</v>
      </c>
      <c r="HF83" t="e">
        <f>AND('Reg Types'!#REF!,"AAAAADrq99U=")</f>
        <v>#REF!</v>
      </c>
      <c r="HG83" t="e">
        <f>AND('Reg Types'!#REF!,"AAAAADrq99Y=")</f>
        <v>#REF!</v>
      </c>
      <c r="HH83" t="e">
        <f>AND('Reg Types'!#REF!,"AAAAADrq99c=")</f>
        <v>#REF!</v>
      </c>
      <c r="HI83" t="e">
        <f>AND('Reg Types'!M29,"AAAAADrq99g=")</f>
        <v>#VALUE!</v>
      </c>
      <c r="HJ83" t="e">
        <f>AND('Reg Types'!I29,"AAAAADrq99k=")</f>
        <v>#VALUE!</v>
      </c>
      <c r="HK83" t="e">
        <f>AND('Reg Types'!J29,"AAAAADrq99o=")</f>
        <v>#VALUE!</v>
      </c>
      <c r="HL83" t="e">
        <f>AND('Reg Types'!K29,"AAAAADrq99s=")</f>
        <v>#VALUE!</v>
      </c>
      <c r="HM83" t="e">
        <f>AND('Reg Types'!L29,"AAAAADrq99w=")</f>
        <v>#VALUE!</v>
      </c>
      <c r="HN83" t="e">
        <f>AND('Reg Types'!#REF!,"AAAAADrq990=")</f>
        <v>#REF!</v>
      </c>
      <c r="HO83" t="e">
        <f>AND('Reg Types'!O29,"AAAAADrq994=")</f>
        <v>#VALUE!</v>
      </c>
      <c r="HP83" t="e">
        <f>AND('Reg Types'!P29,"AAAAADrq998=")</f>
        <v>#VALUE!</v>
      </c>
      <c r="HQ83" t="e">
        <f>AND('Reg Types'!R29,"AAAAADrq9+A=")</f>
        <v>#VALUE!</v>
      </c>
      <c r="HR83" t="e">
        <f>AND('Reg Types'!#REF!,"AAAAADrq9+E=")</f>
        <v>#REF!</v>
      </c>
      <c r="HS83" t="e">
        <f>AND('Reg Types'!S29,"AAAAADrq9+I=")</f>
        <v>#VALUE!</v>
      </c>
      <c r="HT83">
        <f>IF('Reg Types'!30:30,"AAAAADrq9+M=",0)</f>
        <v>0</v>
      </c>
      <c r="HU83" t="e">
        <f>AND('Reg Types'!A30,"AAAAADrq9+Q=")</f>
        <v>#VALUE!</v>
      </c>
      <c r="HV83" t="e">
        <f>AND('Reg Types'!B30,"AAAAADrq9+U=")</f>
        <v>#VALUE!</v>
      </c>
      <c r="HW83" t="e">
        <f>AND('Reg Types'!C30,"AAAAADrq9+Y=")</f>
        <v>#VALUE!</v>
      </c>
      <c r="HX83" t="e">
        <f>AND('Reg Types'!D30,"AAAAADrq9+c=")</f>
        <v>#VALUE!</v>
      </c>
      <c r="HY83" t="e">
        <f>AND('Reg Types'!G30,"AAAAADrq9+g=")</f>
        <v>#VALUE!</v>
      </c>
      <c r="HZ83" t="e">
        <f>AND('Reg Types'!#REF!,"AAAAADrq9+k=")</f>
        <v>#REF!</v>
      </c>
      <c r="IA83" t="e">
        <f>AND('Reg Types'!#REF!,"AAAAADrq9+o=")</f>
        <v>#REF!</v>
      </c>
      <c r="IB83" t="e">
        <f>AND('Reg Types'!#REF!,"AAAAADrq9+s=")</f>
        <v>#REF!</v>
      </c>
      <c r="IC83" t="e">
        <f>AND('Reg Types'!#REF!,"AAAAADrq9+w=")</f>
        <v>#REF!</v>
      </c>
      <c r="ID83" t="e">
        <f>AND('Reg Types'!#REF!,"AAAAADrq9+0=")</f>
        <v>#REF!</v>
      </c>
      <c r="IE83" t="e">
        <f>AND('Reg Types'!#REF!,"AAAAADrq9+4=")</f>
        <v>#REF!</v>
      </c>
      <c r="IF83" t="e">
        <f>AND('Reg Types'!#REF!,"AAAAADrq9+8=")</f>
        <v>#REF!</v>
      </c>
      <c r="IG83" t="e">
        <f>AND('Reg Types'!M30,"AAAAADrq9/A=")</f>
        <v>#VALUE!</v>
      </c>
      <c r="IH83" t="e">
        <f>AND('Reg Types'!I30,"AAAAADrq9/E=")</f>
        <v>#VALUE!</v>
      </c>
      <c r="II83" t="e">
        <f>AND('Reg Types'!J30,"AAAAADrq9/I=")</f>
        <v>#VALUE!</v>
      </c>
      <c r="IJ83" t="e">
        <f>AND('Reg Types'!K30,"AAAAADrq9/M=")</f>
        <v>#VALUE!</v>
      </c>
      <c r="IK83" t="e">
        <f>AND('Reg Types'!L30,"AAAAADrq9/Q=")</f>
        <v>#VALUE!</v>
      </c>
      <c r="IL83" t="e">
        <f>AND('Reg Types'!#REF!,"AAAAADrq9/U=")</f>
        <v>#REF!</v>
      </c>
      <c r="IM83" t="e">
        <f>AND('Reg Types'!O30,"AAAAADrq9/Y=")</f>
        <v>#VALUE!</v>
      </c>
      <c r="IN83" t="e">
        <f>AND('Reg Types'!P30,"AAAAADrq9/c=")</f>
        <v>#VALUE!</v>
      </c>
      <c r="IO83" t="e">
        <f>AND('Reg Types'!R30,"AAAAADrq9/g=")</f>
        <v>#VALUE!</v>
      </c>
      <c r="IP83" t="e">
        <f>AND('Reg Types'!#REF!,"AAAAADrq9/k=")</f>
        <v>#REF!</v>
      </c>
      <c r="IQ83" t="e">
        <f>AND('Reg Types'!S30,"AAAAADrq9/o=")</f>
        <v>#VALUE!</v>
      </c>
      <c r="IR83">
        <f>IF('Reg Types'!31:31,"AAAAADrq9/s=",0)</f>
        <v>0</v>
      </c>
      <c r="IS83" t="e">
        <f>AND('Reg Types'!A31,"AAAAADrq9/w=")</f>
        <v>#VALUE!</v>
      </c>
      <c r="IT83" t="e">
        <f>AND('Reg Types'!B31,"AAAAADrq9/0=")</f>
        <v>#VALUE!</v>
      </c>
      <c r="IU83" t="e">
        <f>AND('Reg Types'!C31,"AAAAADrq9/4=")</f>
        <v>#VALUE!</v>
      </c>
      <c r="IV83" t="e">
        <f>AND('Reg Types'!D31,"AAAAADrq9/8=")</f>
        <v>#VALUE!</v>
      </c>
    </row>
    <row r="84" spans="1:256" x14ac:dyDescent="0.2">
      <c r="A84" t="e">
        <f>AND('Reg Types'!G31,"AAAAAHv/PgA=")</f>
        <v>#VALUE!</v>
      </c>
      <c r="B84" t="e">
        <f>AND('Reg Types'!#REF!,"AAAAAHv/PgE=")</f>
        <v>#REF!</v>
      </c>
      <c r="C84" t="e">
        <f>AND('Reg Types'!#REF!,"AAAAAHv/PgI=")</f>
        <v>#REF!</v>
      </c>
      <c r="D84" t="e">
        <f>AND('Reg Types'!#REF!,"AAAAAHv/PgM=")</f>
        <v>#REF!</v>
      </c>
      <c r="E84" t="e">
        <f>AND('Reg Types'!#REF!,"AAAAAHv/PgQ=")</f>
        <v>#REF!</v>
      </c>
      <c r="F84" t="e">
        <f>AND('Reg Types'!#REF!,"AAAAAHv/PgU=")</f>
        <v>#REF!</v>
      </c>
      <c r="G84" t="e">
        <f>AND('Reg Types'!#REF!,"AAAAAHv/PgY=")</f>
        <v>#REF!</v>
      </c>
      <c r="H84" t="e">
        <f>AND('Reg Types'!#REF!,"AAAAAHv/Pgc=")</f>
        <v>#REF!</v>
      </c>
      <c r="I84" t="e">
        <f>AND('Reg Types'!M31,"AAAAAHv/Pgg=")</f>
        <v>#VALUE!</v>
      </c>
      <c r="J84" t="e">
        <f>AND('Reg Types'!I31,"AAAAAHv/Pgk=")</f>
        <v>#VALUE!</v>
      </c>
      <c r="K84" t="e">
        <f>AND('Reg Types'!J31,"AAAAAHv/Pgo=")</f>
        <v>#VALUE!</v>
      </c>
      <c r="L84" t="e">
        <f>AND('Reg Types'!K31,"AAAAAHv/Pgs=")</f>
        <v>#VALUE!</v>
      </c>
      <c r="M84" t="e">
        <f>AND('Reg Types'!L31,"AAAAAHv/Pgw=")</f>
        <v>#VALUE!</v>
      </c>
      <c r="N84" t="e">
        <f>AND('Reg Types'!#REF!,"AAAAAHv/Pg0=")</f>
        <v>#REF!</v>
      </c>
      <c r="O84" t="e">
        <f>AND('Reg Types'!O31,"AAAAAHv/Pg4=")</f>
        <v>#VALUE!</v>
      </c>
      <c r="P84" t="e">
        <f>AND('Reg Types'!P31,"AAAAAHv/Pg8=")</f>
        <v>#VALUE!</v>
      </c>
      <c r="Q84" t="e">
        <f>AND('Reg Types'!R31,"AAAAAHv/PhA=")</f>
        <v>#VALUE!</v>
      </c>
      <c r="R84" t="e">
        <f>AND('Reg Types'!#REF!,"AAAAAHv/PhE=")</f>
        <v>#REF!</v>
      </c>
      <c r="S84" t="e">
        <f>AND('Reg Types'!S31,"AAAAAHv/PhI=")</f>
        <v>#VALUE!</v>
      </c>
      <c r="T84">
        <f>IF('Reg Types'!32:32,"AAAAAHv/PhM=",0)</f>
        <v>0</v>
      </c>
      <c r="U84" t="e">
        <f>AND('Reg Types'!A32,"AAAAAHv/PhQ=")</f>
        <v>#VALUE!</v>
      </c>
      <c r="V84" t="e">
        <f>AND('Reg Types'!B32,"AAAAAHv/PhU=")</f>
        <v>#VALUE!</v>
      </c>
      <c r="W84" t="e">
        <f>AND('Reg Types'!C32,"AAAAAHv/PhY=")</f>
        <v>#VALUE!</v>
      </c>
      <c r="X84" t="e">
        <f>AND('Reg Types'!D32,"AAAAAHv/Phc=")</f>
        <v>#VALUE!</v>
      </c>
      <c r="Y84" t="e">
        <f>AND('Reg Types'!G32,"AAAAAHv/Phg=")</f>
        <v>#VALUE!</v>
      </c>
      <c r="Z84" t="e">
        <f>AND('Reg Types'!#REF!,"AAAAAHv/Phk=")</f>
        <v>#REF!</v>
      </c>
      <c r="AA84" t="e">
        <f>AND('Reg Types'!#REF!,"AAAAAHv/Pho=")</f>
        <v>#REF!</v>
      </c>
      <c r="AB84" t="e">
        <f>AND('Reg Types'!#REF!,"AAAAAHv/Phs=")</f>
        <v>#REF!</v>
      </c>
      <c r="AC84" t="e">
        <f>AND('Reg Types'!#REF!,"AAAAAHv/Phw=")</f>
        <v>#REF!</v>
      </c>
      <c r="AD84" t="e">
        <f>AND('Reg Types'!#REF!,"AAAAAHv/Ph0=")</f>
        <v>#REF!</v>
      </c>
      <c r="AE84" t="e">
        <f>AND('Reg Types'!#REF!,"AAAAAHv/Ph4=")</f>
        <v>#REF!</v>
      </c>
      <c r="AF84" t="e">
        <f>AND('Reg Types'!#REF!,"AAAAAHv/Ph8=")</f>
        <v>#REF!</v>
      </c>
      <c r="AG84" t="e">
        <f>AND('Reg Types'!M32,"AAAAAHv/PiA=")</f>
        <v>#VALUE!</v>
      </c>
      <c r="AH84" t="e">
        <f>AND('Reg Types'!I32,"AAAAAHv/PiE=")</f>
        <v>#VALUE!</v>
      </c>
      <c r="AI84" t="e">
        <f>AND('Reg Types'!J32,"AAAAAHv/PiI=")</f>
        <v>#VALUE!</v>
      </c>
      <c r="AJ84" t="e">
        <f>AND('Reg Types'!K32,"AAAAAHv/PiM=")</f>
        <v>#VALUE!</v>
      </c>
      <c r="AK84" t="e">
        <f>AND('Reg Types'!L32,"AAAAAHv/PiQ=")</f>
        <v>#VALUE!</v>
      </c>
      <c r="AL84" t="e">
        <f>AND('Reg Types'!#REF!,"AAAAAHv/PiU=")</f>
        <v>#REF!</v>
      </c>
      <c r="AM84" t="e">
        <f>AND('Reg Types'!O32,"AAAAAHv/PiY=")</f>
        <v>#VALUE!</v>
      </c>
      <c r="AN84" t="e">
        <f>AND('Reg Types'!P32,"AAAAAHv/Pic=")</f>
        <v>#VALUE!</v>
      </c>
      <c r="AO84" t="e">
        <f>AND('Reg Types'!R32,"AAAAAHv/Pig=")</f>
        <v>#VALUE!</v>
      </c>
      <c r="AP84" t="e">
        <f>AND('Reg Types'!#REF!,"AAAAAHv/Pik=")</f>
        <v>#REF!</v>
      </c>
      <c r="AQ84" t="e">
        <f>AND('Reg Types'!S32,"AAAAAHv/Pio=")</f>
        <v>#VALUE!</v>
      </c>
      <c r="AR84">
        <f>IF('Reg Types'!33:33,"AAAAAHv/Pis=",0)</f>
        <v>0</v>
      </c>
      <c r="AS84" t="e">
        <f>AND('Reg Types'!A33,"AAAAAHv/Piw=")</f>
        <v>#VALUE!</v>
      </c>
      <c r="AT84" t="e">
        <f>AND('Reg Types'!B33,"AAAAAHv/Pi0=")</f>
        <v>#VALUE!</v>
      </c>
      <c r="AU84" t="e">
        <f>AND('Reg Types'!C33,"AAAAAHv/Pi4=")</f>
        <v>#VALUE!</v>
      </c>
      <c r="AV84" t="e">
        <f>AND('Reg Types'!D33,"AAAAAHv/Pi8=")</f>
        <v>#VALUE!</v>
      </c>
      <c r="AW84" t="e">
        <f>AND('Reg Types'!G33,"AAAAAHv/PjA=")</f>
        <v>#VALUE!</v>
      </c>
      <c r="AX84" t="e">
        <f>AND('Reg Types'!#REF!,"AAAAAHv/PjE=")</f>
        <v>#REF!</v>
      </c>
      <c r="AY84" t="e">
        <f>AND('Reg Types'!#REF!,"AAAAAHv/PjI=")</f>
        <v>#REF!</v>
      </c>
      <c r="AZ84" t="e">
        <f>AND('Reg Types'!#REF!,"AAAAAHv/PjM=")</f>
        <v>#REF!</v>
      </c>
      <c r="BA84" t="e">
        <f>AND('Reg Types'!#REF!,"AAAAAHv/PjQ=")</f>
        <v>#REF!</v>
      </c>
      <c r="BB84" t="e">
        <f>AND('Reg Types'!#REF!,"AAAAAHv/PjU=")</f>
        <v>#REF!</v>
      </c>
      <c r="BC84" t="e">
        <f>AND('Reg Types'!#REF!,"AAAAAHv/PjY=")</f>
        <v>#REF!</v>
      </c>
      <c r="BD84" t="e">
        <f>AND('Reg Types'!#REF!,"AAAAAHv/Pjc=")</f>
        <v>#REF!</v>
      </c>
      <c r="BE84" t="e">
        <f>AND('Reg Types'!M33,"AAAAAHv/Pjg=")</f>
        <v>#VALUE!</v>
      </c>
      <c r="BF84" t="e">
        <f>AND('Reg Types'!I33,"AAAAAHv/Pjk=")</f>
        <v>#VALUE!</v>
      </c>
      <c r="BG84" t="e">
        <f>AND('Reg Types'!J33,"AAAAAHv/Pjo=")</f>
        <v>#VALUE!</v>
      </c>
      <c r="BH84" t="e">
        <f>AND('Reg Types'!K33,"AAAAAHv/Pjs=")</f>
        <v>#VALUE!</v>
      </c>
      <c r="BI84" t="e">
        <f>AND('Reg Types'!L33,"AAAAAHv/Pjw=")</f>
        <v>#VALUE!</v>
      </c>
      <c r="BJ84" t="e">
        <f>AND('Reg Types'!#REF!,"AAAAAHv/Pj0=")</f>
        <v>#REF!</v>
      </c>
      <c r="BK84" t="e">
        <f>AND('Reg Types'!O33,"AAAAAHv/Pj4=")</f>
        <v>#VALUE!</v>
      </c>
      <c r="BL84" t="e">
        <f>AND('Reg Types'!P33,"AAAAAHv/Pj8=")</f>
        <v>#VALUE!</v>
      </c>
      <c r="BM84" t="e">
        <f>AND('Reg Types'!R33,"AAAAAHv/PkA=")</f>
        <v>#VALUE!</v>
      </c>
      <c r="BN84" t="e">
        <f>AND('Reg Types'!#REF!,"AAAAAHv/PkE=")</f>
        <v>#REF!</v>
      </c>
      <c r="BO84" t="e">
        <f>AND('Reg Types'!S33,"AAAAAHv/PkI=")</f>
        <v>#VALUE!</v>
      </c>
      <c r="BP84">
        <f>IF('Reg Types'!34:34,"AAAAAHv/PkM=",0)</f>
        <v>0</v>
      </c>
      <c r="BQ84" t="e">
        <f>AND('Reg Types'!A34,"AAAAAHv/PkQ=")</f>
        <v>#VALUE!</v>
      </c>
      <c r="BR84" t="e">
        <f>AND('Reg Types'!B34,"AAAAAHv/PkU=")</f>
        <v>#VALUE!</v>
      </c>
      <c r="BS84" t="e">
        <f>AND('Reg Types'!C34,"AAAAAHv/PkY=")</f>
        <v>#VALUE!</v>
      </c>
      <c r="BT84" t="e">
        <f>AND('Reg Types'!D34,"AAAAAHv/Pkc=")</f>
        <v>#VALUE!</v>
      </c>
      <c r="BU84" t="e">
        <f>AND('Reg Types'!G34,"AAAAAHv/Pkg=")</f>
        <v>#VALUE!</v>
      </c>
      <c r="BV84" t="e">
        <f>AND('Reg Types'!#REF!,"AAAAAHv/Pkk=")</f>
        <v>#REF!</v>
      </c>
      <c r="BW84" t="e">
        <f>AND('Reg Types'!#REF!,"AAAAAHv/Pko=")</f>
        <v>#REF!</v>
      </c>
      <c r="BX84" t="e">
        <f>AND('Reg Types'!#REF!,"AAAAAHv/Pks=")</f>
        <v>#REF!</v>
      </c>
      <c r="BY84" t="e">
        <f>AND('Reg Types'!#REF!,"AAAAAHv/Pkw=")</f>
        <v>#REF!</v>
      </c>
      <c r="BZ84" t="e">
        <f>AND('Reg Types'!#REF!,"AAAAAHv/Pk0=")</f>
        <v>#REF!</v>
      </c>
      <c r="CA84" t="e">
        <f>AND('Reg Types'!#REF!,"AAAAAHv/Pk4=")</f>
        <v>#REF!</v>
      </c>
      <c r="CB84" t="e">
        <f>AND('Reg Types'!#REF!,"AAAAAHv/Pk8=")</f>
        <v>#REF!</v>
      </c>
      <c r="CC84" t="e">
        <f>AND('Reg Types'!M34,"AAAAAHv/PlA=")</f>
        <v>#VALUE!</v>
      </c>
      <c r="CD84" t="e">
        <f>AND('Reg Types'!I34,"AAAAAHv/PlE=")</f>
        <v>#VALUE!</v>
      </c>
      <c r="CE84" t="e">
        <f>AND('Reg Types'!J34,"AAAAAHv/PlI=")</f>
        <v>#VALUE!</v>
      </c>
      <c r="CF84" t="e">
        <f>AND('Reg Types'!K34,"AAAAAHv/PlM=")</f>
        <v>#VALUE!</v>
      </c>
      <c r="CG84" t="e">
        <f>AND('Reg Types'!L34,"AAAAAHv/PlQ=")</f>
        <v>#VALUE!</v>
      </c>
      <c r="CH84" t="e">
        <f>AND('Reg Types'!#REF!,"AAAAAHv/PlU=")</f>
        <v>#REF!</v>
      </c>
      <c r="CI84" t="e">
        <f>AND('Reg Types'!O34,"AAAAAHv/PlY=")</f>
        <v>#VALUE!</v>
      </c>
      <c r="CJ84" t="e">
        <f>AND('Reg Types'!P34,"AAAAAHv/Plc=")</f>
        <v>#VALUE!</v>
      </c>
      <c r="CK84" t="e">
        <f>AND('Reg Types'!R34,"AAAAAHv/Plg=")</f>
        <v>#VALUE!</v>
      </c>
      <c r="CL84" t="e">
        <f>AND('Reg Types'!#REF!,"AAAAAHv/Plk=")</f>
        <v>#REF!</v>
      </c>
      <c r="CM84" t="e">
        <f>AND('Reg Types'!S34,"AAAAAHv/Plo=")</f>
        <v>#VALUE!</v>
      </c>
      <c r="CN84">
        <f>IF('Reg Types'!84:84,"AAAAAHv/Pls=",0)</f>
        <v>0</v>
      </c>
      <c r="CO84" t="e">
        <f>AND('Reg Types'!A84,"AAAAAHv/Plw=")</f>
        <v>#VALUE!</v>
      </c>
      <c r="CP84" t="e">
        <f>AND('Reg Types'!B84,"AAAAAHv/Pl0=")</f>
        <v>#VALUE!</v>
      </c>
      <c r="CQ84" t="e">
        <f>AND('Reg Types'!C84,"AAAAAHv/Pl4=")</f>
        <v>#VALUE!</v>
      </c>
      <c r="CR84" t="e">
        <f>AND('Reg Types'!D84,"AAAAAHv/Pl8=")</f>
        <v>#VALUE!</v>
      </c>
      <c r="CS84" t="e">
        <f>AND('Reg Types'!G84,"AAAAAHv/PmA=")</f>
        <v>#VALUE!</v>
      </c>
      <c r="CT84" t="e">
        <f>AND('Reg Types'!#REF!,"AAAAAHv/PmE=")</f>
        <v>#REF!</v>
      </c>
      <c r="CU84" t="e">
        <f>AND('Reg Types'!#REF!,"AAAAAHv/PmI=")</f>
        <v>#REF!</v>
      </c>
      <c r="CV84" t="e">
        <f>AND('Reg Types'!#REF!,"AAAAAHv/PmM=")</f>
        <v>#REF!</v>
      </c>
      <c r="CW84" t="e">
        <f>AND('Reg Types'!#REF!,"AAAAAHv/PmQ=")</f>
        <v>#REF!</v>
      </c>
      <c r="CX84" t="e">
        <f>AND('Reg Types'!#REF!,"AAAAAHv/PmU=")</f>
        <v>#REF!</v>
      </c>
      <c r="CY84" t="e">
        <f>AND('Reg Types'!#REF!,"AAAAAHv/PmY=")</f>
        <v>#REF!</v>
      </c>
      <c r="CZ84" t="e">
        <f>AND('Reg Types'!#REF!,"AAAAAHv/Pmc=")</f>
        <v>#REF!</v>
      </c>
      <c r="DA84" t="e">
        <f>AND('Reg Types'!M84,"AAAAAHv/Pmg=")</f>
        <v>#VALUE!</v>
      </c>
      <c r="DB84" t="e">
        <f>AND('Reg Types'!I84,"AAAAAHv/Pmk=")</f>
        <v>#VALUE!</v>
      </c>
      <c r="DC84" t="e">
        <f>AND('Reg Types'!J84,"AAAAAHv/Pmo=")</f>
        <v>#VALUE!</v>
      </c>
      <c r="DD84" t="e">
        <f>AND('Reg Types'!K84,"AAAAAHv/Pms=")</f>
        <v>#VALUE!</v>
      </c>
      <c r="DE84" t="e">
        <f>AND('Reg Types'!L84,"AAAAAHv/Pmw=")</f>
        <v>#VALUE!</v>
      </c>
      <c r="DF84" t="e">
        <f>AND('Reg Types'!#REF!,"AAAAAHv/Pm0=")</f>
        <v>#REF!</v>
      </c>
      <c r="DG84" t="e">
        <f>AND('Reg Types'!O84,"AAAAAHv/Pm4=")</f>
        <v>#VALUE!</v>
      </c>
      <c r="DH84" t="e">
        <f>AND('Reg Types'!P84,"AAAAAHv/Pm8=")</f>
        <v>#VALUE!</v>
      </c>
      <c r="DI84" t="e">
        <f>AND('Reg Types'!R84,"AAAAAHv/PnA=")</f>
        <v>#VALUE!</v>
      </c>
      <c r="DJ84" t="e">
        <f>AND('Reg Types'!#REF!,"AAAAAHv/PnE=")</f>
        <v>#REF!</v>
      </c>
      <c r="DK84" t="e">
        <f>AND('Reg Types'!S84,"AAAAAHv/PnI=")</f>
        <v>#VALUE!</v>
      </c>
      <c r="DL84">
        <f>IF('Reg Types'!83:83,"AAAAAHv/PnM=",0)</f>
        <v>0</v>
      </c>
      <c r="DM84" t="e">
        <f>AND('Reg Types'!A83,"AAAAAHv/PnQ=")</f>
        <v>#VALUE!</v>
      </c>
      <c r="DN84" t="e">
        <f>AND('Reg Types'!B83,"AAAAAHv/PnU=")</f>
        <v>#VALUE!</v>
      </c>
      <c r="DO84" t="e">
        <f>AND('Reg Types'!C83,"AAAAAHv/PnY=")</f>
        <v>#VALUE!</v>
      </c>
      <c r="DP84" t="e">
        <f>AND('Reg Types'!D83,"AAAAAHv/Pnc=")</f>
        <v>#VALUE!</v>
      </c>
      <c r="DQ84" t="e">
        <f>AND('Reg Types'!G83,"AAAAAHv/Png=")</f>
        <v>#VALUE!</v>
      </c>
      <c r="DR84" t="e">
        <f>AND('Reg Types'!#REF!,"AAAAAHv/Pnk=")</f>
        <v>#REF!</v>
      </c>
      <c r="DS84" t="e">
        <f>AND('Reg Types'!#REF!,"AAAAAHv/Pno=")</f>
        <v>#REF!</v>
      </c>
      <c r="DT84" t="e">
        <f>AND('Reg Types'!#REF!,"AAAAAHv/Pns=")</f>
        <v>#REF!</v>
      </c>
      <c r="DU84" t="e">
        <f>AND('Reg Types'!#REF!,"AAAAAHv/Pnw=")</f>
        <v>#REF!</v>
      </c>
      <c r="DV84" t="e">
        <f>AND('Reg Types'!#REF!,"AAAAAHv/Pn0=")</f>
        <v>#REF!</v>
      </c>
      <c r="DW84" t="e">
        <f>AND('Reg Types'!#REF!,"AAAAAHv/Pn4=")</f>
        <v>#REF!</v>
      </c>
      <c r="DX84" t="e">
        <f>AND('Reg Types'!#REF!,"AAAAAHv/Pn8=")</f>
        <v>#REF!</v>
      </c>
      <c r="DY84" t="e">
        <f>AND('Reg Types'!M83,"AAAAAHv/PoA=")</f>
        <v>#VALUE!</v>
      </c>
      <c r="DZ84" t="e">
        <f>AND('Reg Types'!I83,"AAAAAHv/PoE=")</f>
        <v>#VALUE!</v>
      </c>
      <c r="EA84" t="e">
        <f>AND('Reg Types'!J83,"AAAAAHv/PoI=")</f>
        <v>#VALUE!</v>
      </c>
      <c r="EB84" t="e">
        <f>AND('Reg Types'!K83,"AAAAAHv/PoM=")</f>
        <v>#VALUE!</v>
      </c>
      <c r="EC84" t="e">
        <f>AND('Reg Types'!L83,"AAAAAHv/PoQ=")</f>
        <v>#VALUE!</v>
      </c>
      <c r="ED84" t="e">
        <f>AND('Reg Types'!#REF!,"AAAAAHv/PoU=")</f>
        <v>#REF!</v>
      </c>
      <c r="EE84" t="e">
        <f>AND('Reg Types'!O83,"AAAAAHv/PoY=")</f>
        <v>#VALUE!</v>
      </c>
      <c r="EF84" t="e">
        <f>AND('Reg Types'!P83,"AAAAAHv/Poc=")</f>
        <v>#VALUE!</v>
      </c>
      <c r="EG84" t="e">
        <f>AND('Reg Types'!R83,"AAAAAHv/Pog=")</f>
        <v>#VALUE!</v>
      </c>
      <c r="EH84" t="e">
        <f>AND('Reg Types'!#REF!,"AAAAAHv/Pok=")</f>
        <v>#REF!</v>
      </c>
      <c r="EI84" t="e">
        <f>AND('Reg Types'!S83,"AAAAAHv/Poo=")</f>
        <v>#VALUE!</v>
      </c>
      <c r="EJ84" t="e">
        <f>IF('Reg Types'!#REF!,"AAAAAHv/Pos=",0)</f>
        <v>#REF!</v>
      </c>
      <c r="EK84" t="e">
        <f>AND('Reg Types'!#REF!,"AAAAAHv/Pow=")</f>
        <v>#REF!</v>
      </c>
      <c r="EL84" t="e">
        <f>AND('Reg Types'!#REF!,"AAAAAHv/Po0=")</f>
        <v>#REF!</v>
      </c>
      <c r="EM84" t="e">
        <f>AND('Reg Types'!#REF!,"AAAAAHv/Po4=")</f>
        <v>#REF!</v>
      </c>
      <c r="EN84" t="e">
        <f>AND('Reg Types'!#REF!,"AAAAAHv/Po8=")</f>
        <v>#REF!</v>
      </c>
      <c r="EO84" t="e">
        <f>AND('Reg Types'!#REF!,"AAAAAHv/PpA=")</f>
        <v>#REF!</v>
      </c>
      <c r="EP84" t="e">
        <f>AND('Reg Types'!#REF!,"AAAAAHv/PpE=")</f>
        <v>#REF!</v>
      </c>
      <c r="EQ84" t="e">
        <f>AND('Reg Types'!#REF!,"AAAAAHv/PpI=")</f>
        <v>#REF!</v>
      </c>
      <c r="ER84" t="e">
        <f>AND('Reg Types'!#REF!,"AAAAAHv/PpM=")</f>
        <v>#REF!</v>
      </c>
      <c r="ES84" t="e">
        <f>AND('Reg Types'!#REF!,"AAAAAHv/PpQ=")</f>
        <v>#REF!</v>
      </c>
      <c r="ET84" t="e">
        <f>AND('Reg Types'!#REF!,"AAAAAHv/PpU=")</f>
        <v>#REF!</v>
      </c>
      <c r="EU84" t="e">
        <f>AND('Reg Types'!#REF!,"AAAAAHv/PpY=")</f>
        <v>#REF!</v>
      </c>
      <c r="EV84" t="e">
        <f>AND('Reg Types'!#REF!,"AAAAAHv/Ppc=")</f>
        <v>#REF!</v>
      </c>
      <c r="EW84" t="e">
        <f>AND('Reg Types'!#REF!,"AAAAAHv/Ppg=")</f>
        <v>#REF!</v>
      </c>
      <c r="EX84" t="e">
        <f>AND('Reg Types'!#REF!,"AAAAAHv/Ppk=")</f>
        <v>#REF!</v>
      </c>
      <c r="EY84" t="e">
        <f>AND('Reg Types'!#REF!,"AAAAAHv/Ppo=")</f>
        <v>#REF!</v>
      </c>
      <c r="EZ84" t="e">
        <f>AND('Reg Types'!#REF!,"AAAAAHv/Pps=")</f>
        <v>#REF!</v>
      </c>
      <c r="FA84" t="e">
        <f>AND('Reg Types'!#REF!,"AAAAAHv/Ppw=")</f>
        <v>#REF!</v>
      </c>
      <c r="FB84" t="e">
        <f>AND('Reg Types'!#REF!,"AAAAAHv/Pp0=")</f>
        <v>#REF!</v>
      </c>
      <c r="FC84" t="e">
        <f>AND('Reg Types'!#REF!,"AAAAAHv/Pp4=")</f>
        <v>#REF!</v>
      </c>
      <c r="FD84" t="e">
        <f>AND('Reg Types'!#REF!,"AAAAAHv/Pp8=")</f>
        <v>#REF!</v>
      </c>
      <c r="FE84" t="e">
        <f>AND('Reg Types'!#REF!,"AAAAAHv/PqA=")</f>
        <v>#REF!</v>
      </c>
      <c r="FF84" t="e">
        <f>AND('Reg Types'!#REF!,"AAAAAHv/PqE=")</f>
        <v>#REF!</v>
      </c>
      <c r="FG84" t="e">
        <f>AND('Reg Types'!#REF!,"AAAAAHv/PqI=")</f>
        <v>#REF!</v>
      </c>
      <c r="FH84" t="e">
        <f>IF('Reg Types'!#REF!,"AAAAAHv/PqM=",0)</f>
        <v>#REF!</v>
      </c>
      <c r="FI84" t="e">
        <f>AND('Reg Types'!#REF!,"AAAAAHv/PqQ=")</f>
        <v>#REF!</v>
      </c>
      <c r="FJ84" t="e">
        <f>AND('Reg Types'!#REF!,"AAAAAHv/PqU=")</f>
        <v>#REF!</v>
      </c>
      <c r="FK84" t="e">
        <f>AND('Reg Types'!#REF!,"AAAAAHv/PqY=")</f>
        <v>#REF!</v>
      </c>
      <c r="FL84" t="e">
        <f>AND('Reg Types'!#REF!,"AAAAAHv/Pqc=")</f>
        <v>#REF!</v>
      </c>
      <c r="FM84" t="e">
        <f>AND('Reg Types'!#REF!,"AAAAAHv/Pqg=")</f>
        <v>#REF!</v>
      </c>
      <c r="FN84" t="e">
        <f>AND('Reg Types'!#REF!,"AAAAAHv/Pqk=")</f>
        <v>#REF!</v>
      </c>
      <c r="FO84" t="e">
        <f>AND('Reg Types'!#REF!,"AAAAAHv/Pqo=")</f>
        <v>#REF!</v>
      </c>
      <c r="FP84" t="e">
        <f>AND('Reg Types'!#REF!,"AAAAAHv/Pqs=")</f>
        <v>#REF!</v>
      </c>
      <c r="FQ84" t="e">
        <f>AND('Reg Types'!#REF!,"AAAAAHv/Pqw=")</f>
        <v>#REF!</v>
      </c>
      <c r="FR84" t="e">
        <f>AND('Reg Types'!#REF!,"AAAAAHv/Pq0=")</f>
        <v>#REF!</v>
      </c>
      <c r="FS84" t="e">
        <f>AND('Reg Types'!#REF!,"AAAAAHv/Pq4=")</f>
        <v>#REF!</v>
      </c>
      <c r="FT84" t="e">
        <f>AND('Reg Types'!#REF!,"AAAAAHv/Pq8=")</f>
        <v>#REF!</v>
      </c>
      <c r="FU84" t="e">
        <f>AND('Reg Types'!#REF!,"AAAAAHv/PrA=")</f>
        <v>#REF!</v>
      </c>
      <c r="FV84" t="e">
        <f>AND('Reg Types'!#REF!,"AAAAAHv/PrE=")</f>
        <v>#REF!</v>
      </c>
      <c r="FW84" t="e">
        <f>AND('Reg Types'!#REF!,"AAAAAHv/PrI=")</f>
        <v>#REF!</v>
      </c>
      <c r="FX84" t="e">
        <f>AND('Reg Types'!#REF!,"AAAAAHv/PrM=")</f>
        <v>#REF!</v>
      </c>
      <c r="FY84" t="e">
        <f>AND('Reg Types'!#REF!,"AAAAAHv/PrQ=")</f>
        <v>#REF!</v>
      </c>
      <c r="FZ84" t="e">
        <f>AND('Reg Types'!#REF!,"AAAAAHv/PrU=")</f>
        <v>#REF!</v>
      </c>
      <c r="GA84" t="e">
        <f>AND('Reg Types'!#REF!,"AAAAAHv/PrY=")</f>
        <v>#REF!</v>
      </c>
      <c r="GB84" t="e">
        <f>AND('Reg Types'!#REF!,"AAAAAHv/Prc=")</f>
        <v>#REF!</v>
      </c>
      <c r="GC84" t="e">
        <f>AND('Reg Types'!#REF!,"AAAAAHv/Prg=")</f>
        <v>#REF!</v>
      </c>
      <c r="GD84" t="e">
        <f>AND('Reg Types'!#REF!,"AAAAAHv/Prk=")</f>
        <v>#REF!</v>
      </c>
      <c r="GE84" t="e">
        <f>AND('Reg Types'!#REF!,"AAAAAHv/Pro=")</f>
        <v>#REF!</v>
      </c>
      <c r="GF84" t="e">
        <f>IF('Reg Types'!#REF!,"AAAAAHv/Prs=",0)</f>
        <v>#REF!</v>
      </c>
      <c r="GG84" t="e">
        <f>AND('Reg Types'!#REF!,"AAAAAHv/Prw=")</f>
        <v>#REF!</v>
      </c>
      <c r="GH84" t="e">
        <f>AND('Reg Types'!#REF!,"AAAAAHv/Pr0=")</f>
        <v>#REF!</v>
      </c>
      <c r="GI84" t="e">
        <f>AND('Reg Types'!#REF!,"AAAAAHv/Pr4=")</f>
        <v>#REF!</v>
      </c>
      <c r="GJ84" t="e">
        <f>AND('Reg Types'!#REF!,"AAAAAHv/Pr8=")</f>
        <v>#REF!</v>
      </c>
      <c r="GK84" t="e">
        <f>AND('Reg Types'!#REF!,"AAAAAHv/PsA=")</f>
        <v>#REF!</v>
      </c>
      <c r="GL84" t="e">
        <f>AND('Reg Types'!#REF!,"AAAAAHv/PsE=")</f>
        <v>#REF!</v>
      </c>
      <c r="GM84" t="e">
        <f>AND('Reg Types'!#REF!,"AAAAAHv/PsI=")</f>
        <v>#REF!</v>
      </c>
      <c r="GN84" t="e">
        <f>AND('Reg Types'!#REF!,"AAAAAHv/PsM=")</f>
        <v>#REF!</v>
      </c>
      <c r="GO84" t="e">
        <f>AND('Reg Types'!#REF!,"AAAAAHv/PsQ=")</f>
        <v>#REF!</v>
      </c>
      <c r="GP84" t="e">
        <f>AND('Reg Types'!#REF!,"AAAAAHv/PsU=")</f>
        <v>#REF!</v>
      </c>
      <c r="GQ84" t="e">
        <f>AND('Reg Types'!#REF!,"AAAAAHv/PsY=")</f>
        <v>#REF!</v>
      </c>
      <c r="GR84" t="e">
        <f>AND('Reg Types'!#REF!,"AAAAAHv/Psc=")</f>
        <v>#REF!</v>
      </c>
      <c r="GS84" t="e">
        <f>AND('Reg Types'!#REF!,"AAAAAHv/Psg=")</f>
        <v>#REF!</v>
      </c>
      <c r="GT84" t="e">
        <f>AND('Reg Types'!#REF!,"AAAAAHv/Psk=")</f>
        <v>#REF!</v>
      </c>
      <c r="GU84" t="e">
        <f>AND('Reg Types'!#REF!,"AAAAAHv/Pso=")</f>
        <v>#REF!</v>
      </c>
      <c r="GV84" t="e">
        <f>AND('Reg Types'!#REF!,"AAAAAHv/Pss=")</f>
        <v>#REF!</v>
      </c>
      <c r="GW84" t="e">
        <f>AND('Reg Types'!#REF!,"AAAAAHv/Psw=")</f>
        <v>#REF!</v>
      </c>
      <c r="GX84" t="e">
        <f>AND('Reg Types'!#REF!,"AAAAAHv/Ps0=")</f>
        <v>#REF!</v>
      </c>
      <c r="GY84" t="e">
        <f>AND('Reg Types'!#REF!,"AAAAAHv/Ps4=")</f>
        <v>#REF!</v>
      </c>
      <c r="GZ84" t="e">
        <f>AND('Reg Types'!#REF!,"AAAAAHv/Ps8=")</f>
        <v>#REF!</v>
      </c>
      <c r="HA84" t="e">
        <f>AND('Reg Types'!#REF!,"AAAAAHv/PtA=")</f>
        <v>#REF!</v>
      </c>
      <c r="HB84" t="e">
        <f>AND('Reg Types'!#REF!,"AAAAAHv/PtE=")</f>
        <v>#REF!</v>
      </c>
      <c r="HC84" t="e">
        <f>AND('Reg Types'!#REF!,"AAAAAHv/PtI=")</f>
        <v>#REF!</v>
      </c>
      <c r="HD84" t="e">
        <f>IF('Reg Types'!#REF!,"AAAAAHv/PtM=",0)</f>
        <v>#REF!</v>
      </c>
      <c r="HE84" t="e">
        <f>AND('Reg Types'!#REF!,"AAAAAHv/PtQ=")</f>
        <v>#REF!</v>
      </c>
      <c r="HF84" t="e">
        <f>AND('Reg Types'!#REF!,"AAAAAHv/PtU=")</f>
        <v>#REF!</v>
      </c>
      <c r="HG84" t="e">
        <f>AND('Reg Types'!#REF!,"AAAAAHv/PtY=")</f>
        <v>#REF!</v>
      </c>
      <c r="HH84" t="e">
        <f>AND('Reg Types'!#REF!,"AAAAAHv/Ptc=")</f>
        <v>#REF!</v>
      </c>
      <c r="HI84" t="e">
        <f>AND('Reg Types'!#REF!,"AAAAAHv/Ptg=")</f>
        <v>#REF!</v>
      </c>
      <c r="HJ84" t="e">
        <f>AND('Reg Types'!#REF!,"AAAAAHv/Ptk=")</f>
        <v>#REF!</v>
      </c>
      <c r="HK84" t="e">
        <f>AND('Reg Types'!#REF!,"AAAAAHv/Pto=")</f>
        <v>#REF!</v>
      </c>
      <c r="HL84" t="e">
        <f>AND('Reg Types'!#REF!,"AAAAAHv/Pts=")</f>
        <v>#REF!</v>
      </c>
      <c r="HM84" t="e">
        <f>AND('Reg Types'!#REF!,"AAAAAHv/Ptw=")</f>
        <v>#REF!</v>
      </c>
      <c r="HN84" t="e">
        <f>AND('Reg Types'!#REF!,"AAAAAHv/Pt0=")</f>
        <v>#REF!</v>
      </c>
      <c r="HO84" t="e">
        <f>AND('Reg Types'!#REF!,"AAAAAHv/Pt4=")</f>
        <v>#REF!</v>
      </c>
      <c r="HP84" t="e">
        <f>AND('Reg Types'!#REF!,"AAAAAHv/Pt8=")</f>
        <v>#REF!</v>
      </c>
      <c r="HQ84" t="e">
        <f>AND('Reg Types'!#REF!,"AAAAAHv/PuA=")</f>
        <v>#REF!</v>
      </c>
      <c r="HR84" t="e">
        <f>AND('Reg Types'!#REF!,"AAAAAHv/PuE=")</f>
        <v>#REF!</v>
      </c>
      <c r="HS84" t="e">
        <f>AND('Reg Types'!#REF!,"AAAAAHv/PuI=")</f>
        <v>#REF!</v>
      </c>
      <c r="HT84" t="e">
        <f>AND('Reg Types'!#REF!,"AAAAAHv/PuM=")</f>
        <v>#REF!</v>
      </c>
      <c r="HU84" t="e">
        <f>AND('Reg Types'!#REF!,"AAAAAHv/PuQ=")</f>
        <v>#REF!</v>
      </c>
      <c r="HV84" t="e">
        <f>AND('Reg Types'!#REF!,"AAAAAHv/PuU=")</f>
        <v>#REF!</v>
      </c>
      <c r="HW84" t="e">
        <f>AND('Reg Types'!#REF!,"AAAAAHv/PuY=")</f>
        <v>#REF!</v>
      </c>
      <c r="HX84" t="e">
        <f>AND('Reg Types'!#REF!,"AAAAAHv/Puc=")</f>
        <v>#REF!</v>
      </c>
      <c r="HY84" t="e">
        <f>AND('Reg Types'!#REF!,"AAAAAHv/Pug=")</f>
        <v>#REF!</v>
      </c>
      <c r="HZ84" t="e">
        <f>AND('Reg Types'!#REF!,"AAAAAHv/Puk=")</f>
        <v>#REF!</v>
      </c>
      <c r="IA84" t="e">
        <f>AND('Reg Types'!#REF!,"AAAAAHv/Puo=")</f>
        <v>#REF!</v>
      </c>
      <c r="IB84" t="e">
        <f>IF('Reg Types'!#REF!,"AAAAAHv/Pus=",0)</f>
        <v>#REF!</v>
      </c>
      <c r="IC84" t="e">
        <f>AND('Reg Types'!#REF!,"AAAAAHv/Puw=")</f>
        <v>#REF!</v>
      </c>
      <c r="ID84" t="e">
        <f>AND('Reg Types'!#REF!,"AAAAAHv/Pu0=")</f>
        <v>#REF!</v>
      </c>
      <c r="IE84" t="e">
        <f>AND('Reg Types'!#REF!,"AAAAAHv/Pu4=")</f>
        <v>#REF!</v>
      </c>
      <c r="IF84" t="e">
        <f>AND('Reg Types'!#REF!,"AAAAAHv/Pu8=")</f>
        <v>#REF!</v>
      </c>
      <c r="IG84" t="e">
        <f>AND('Reg Types'!#REF!,"AAAAAHv/PvA=")</f>
        <v>#REF!</v>
      </c>
      <c r="IH84" t="e">
        <f>AND('Reg Types'!#REF!,"AAAAAHv/PvE=")</f>
        <v>#REF!</v>
      </c>
      <c r="II84" t="e">
        <f>AND('Reg Types'!#REF!,"AAAAAHv/PvI=")</f>
        <v>#REF!</v>
      </c>
      <c r="IJ84" t="e">
        <f>AND('Reg Types'!#REF!,"AAAAAHv/PvM=")</f>
        <v>#REF!</v>
      </c>
      <c r="IK84" t="e">
        <f>AND('Reg Types'!#REF!,"AAAAAHv/PvQ=")</f>
        <v>#REF!</v>
      </c>
      <c r="IL84" t="e">
        <f>AND('Reg Types'!#REF!,"AAAAAHv/PvU=")</f>
        <v>#REF!</v>
      </c>
      <c r="IM84" t="e">
        <f>AND('Reg Types'!#REF!,"AAAAAHv/PvY=")</f>
        <v>#REF!</v>
      </c>
      <c r="IN84" t="e">
        <f>AND('Reg Types'!#REF!,"AAAAAHv/Pvc=")</f>
        <v>#REF!</v>
      </c>
      <c r="IO84" t="e">
        <f>AND('Reg Types'!#REF!,"AAAAAHv/Pvg=")</f>
        <v>#REF!</v>
      </c>
      <c r="IP84" t="e">
        <f>AND('Reg Types'!#REF!,"AAAAAHv/Pvk=")</f>
        <v>#REF!</v>
      </c>
      <c r="IQ84" t="e">
        <f>AND('Reg Types'!#REF!,"AAAAAHv/Pvo=")</f>
        <v>#REF!</v>
      </c>
      <c r="IR84" t="e">
        <f>AND('Reg Types'!#REF!,"AAAAAHv/Pvs=")</f>
        <v>#REF!</v>
      </c>
      <c r="IS84" t="e">
        <f>AND('Reg Types'!#REF!,"AAAAAHv/Pvw=")</f>
        <v>#REF!</v>
      </c>
      <c r="IT84" t="e">
        <f>AND('Reg Types'!#REF!,"AAAAAHv/Pv0=")</f>
        <v>#REF!</v>
      </c>
      <c r="IU84" t="e">
        <f>AND('Reg Types'!#REF!,"AAAAAHv/Pv4=")</f>
        <v>#REF!</v>
      </c>
      <c r="IV84" t="e">
        <f>AND('Reg Types'!#REF!,"AAAAAHv/Pv8=")</f>
        <v>#REF!</v>
      </c>
    </row>
    <row r="85" spans="1:256" x14ac:dyDescent="0.2">
      <c r="A85" t="e">
        <f>AND('Reg Types'!#REF!,"AAAAAH/pswA=")</f>
        <v>#REF!</v>
      </c>
      <c r="B85" t="e">
        <f>AND('Reg Types'!#REF!,"AAAAAH/pswE=")</f>
        <v>#REF!</v>
      </c>
      <c r="C85" t="e">
        <f>AND('Reg Types'!#REF!,"AAAAAH/pswI=")</f>
        <v>#REF!</v>
      </c>
      <c r="D85" t="e">
        <f>IF('Reg Types'!#REF!,"AAAAAH/pswM=",0)</f>
        <v>#REF!</v>
      </c>
      <c r="E85" t="e">
        <f>AND('Reg Types'!#REF!,"AAAAAH/pswQ=")</f>
        <v>#REF!</v>
      </c>
      <c r="F85" t="e">
        <f>AND('Reg Types'!#REF!,"AAAAAH/pswU=")</f>
        <v>#REF!</v>
      </c>
      <c r="G85" t="e">
        <f>AND('Reg Types'!#REF!,"AAAAAH/pswY=")</f>
        <v>#REF!</v>
      </c>
      <c r="H85" t="e">
        <f>AND('Reg Types'!#REF!,"AAAAAH/pswc=")</f>
        <v>#REF!</v>
      </c>
      <c r="I85" t="e">
        <f>AND('Reg Types'!#REF!,"AAAAAH/pswg=")</f>
        <v>#REF!</v>
      </c>
      <c r="J85" t="e">
        <f>AND('Reg Types'!#REF!,"AAAAAH/pswk=")</f>
        <v>#REF!</v>
      </c>
      <c r="K85" t="e">
        <f>AND('Reg Types'!#REF!,"AAAAAH/pswo=")</f>
        <v>#REF!</v>
      </c>
      <c r="L85" t="e">
        <f>AND('Reg Types'!#REF!,"AAAAAH/psws=")</f>
        <v>#REF!</v>
      </c>
      <c r="M85" t="e">
        <f>AND('Reg Types'!#REF!,"AAAAAH/psww=")</f>
        <v>#REF!</v>
      </c>
      <c r="N85" t="e">
        <f>AND('Reg Types'!#REF!,"AAAAAH/psw0=")</f>
        <v>#REF!</v>
      </c>
      <c r="O85" t="e">
        <f>AND('Reg Types'!#REF!,"AAAAAH/psw4=")</f>
        <v>#REF!</v>
      </c>
      <c r="P85" t="e">
        <f>AND('Reg Types'!#REF!,"AAAAAH/psw8=")</f>
        <v>#REF!</v>
      </c>
      <c r="Q85" t="e">
        <f>AND('Reg Types'!#REF!,"AAAAAH/psxA=")</f>
        <v>#REF!</v>
      </c>
      <c r="R85" t="e">
        <f>AND('Reg Types'!#REF!,"AAAAAH/psxE=")</f>
        <v>#REF!</v>
      </c>
      <c r="S85" t="e">
        <f>AND('Reg Types'!#REF!,"AAAAAH/psxI=")</f>
        <v>#REF!</v>
      </c>
      <c r="T85" t="e">
        <f>AND('Reg Types'!#REF!,"AAAAAH/psxM=")</f>
        <v>#REF!</v>
      </c>
      <c r="U85" t="e">
        <f>AND('Reg Types'!#REF!,"AAAAAH/psxQ=")</f>
        <v>#REF!</v>
      </c>
      <c r="V85" t="e">
        <f>AND('Reg Types'!#REF!,"AAAAAH/psxU=")</f>
        <v>#REF!</v>
      </c>
      <c r="W85" t="e">
        <f>AND('Reg Types'!#REF!,"AAAAAH/psxY=")</f>
        <v>#REF!</v>
      </c>
      <c r="X85" t="e">
        <f>AND('Reg Types'!#REF!,"AAAAAH/psxc=")</f>
        <v>#REF!</v>
      </c>
      <c r="Y85" t="e">
        <f>AND('Reg Types'!#REF!,"AAAAAH/psxg=")</f>
        <v>#REF!</v>
      </c>
      <c r="Z85" t="e">
        <f>AND('Reg Types'!#REF!,"AAAAAH/psxk=")</f>
        <v>#REF!</v>
      </c>
      <c r="AA85" t="e">
        <f>AND('Reg Types'!#REF!,"AAAAAH/psxo=")</f>
        <v>#REF!</v>
      </c>
      <c r="AB85" t="e">
        <f>IF('Reg Types'!#REF!,"AAAAAH/psxs=",0)</f>
        <v>#REF!</v>
      </c>
      <c r="AC85" t="e">
        <f>AND('Reg Types'!#REF!,"AAAAAH/psxw=")</f>
        <v>#REF!</v>
      </c>
      <c r="AD85" t="e">
        <f>AND('Reg Types'!#REF!,"AAAAAH/psx0=")</f>
        <v>#REF!</v>
      </c>
      <c r="AE85" t="e">
        <f>AND('Reg Types'!#REF!,"AAAAAH/psx4=")</f>
        <v>#REF!</v>
      </c>
      <c r="AF85" t="e">
        <f>AND('Reg Types'!#REF!,"AAAAAH/psx8=")</f>
        <v>#REF!</v>
      </c>
      <c r="AG85" t="e">
        <f>AND('Reg Types'!#REF!,"AAAAAH/psyA=")</f>
        <v>#REF!</v>
      </c>
      <c r="AH85" t="e">
        <f>AND('Reg Types'!#REF!,"AAAAAH/psyE=")</f>
        <v>#REF!</v>
      </c>
      <c r="AI85" t="e">
        <f>AND('Reg Types'!#REF!,"AAAAAH/psyI=")</f>
        <v>#REF!</v>
      </c>
      <c r="AJ85" t="e">
        <f>AND('Reg Types'!#REF!,"AAAAAH/psyM=")</f>
        <v>#REF!</v>
      </c>
      <c r="AK85" t="e">
        <f>AND('Reg Types'!#REF!,"AAAAAH/psyQ=")</f>
        <v>#REF!</v>
      </c>
      <c r="AL85" t="e">
        <f>AND('Reg Types'!#REF!,"AAAAAH/psyU=")</f>
        <v>#REF!</v>
      </c>
      <c r="AM85" t="e">
        <f>AND('Reg Types'!#REF!,"AAAAAH/psyY=")</f>
        <v>#REF!</v>
      </c>
      <c r="AN85" t="e">
        <f>AND('Reg Types'!#REF!,"AAAAAH/psyc=")</f>
        <v>#REF!</v>
      </c>
      <c r="AO85" t="e">
        <f>AND('Reg Types'!#REF!,"AAAAAH/psyg=")</f>
        <v>#REF!</v>
      </c>
      <c r="AP85" t="e">
        <f>AND('Reg Types'!#REF!,"AAAAAH/psyk=")</f>
        <v>#REF!</v>
      </c>
      <c r="AQ85" t="e">
        <f>AND('Reg Types'!#REF!,"AAAAAH/psyo=")</f>
        <v>#REF!</v>
      </c>
      <c r="AR85" t="e">
        <f>AND('Reg Types'!#REF!,"AAAAAH/psys=")</f>
        <v>#REF!</v>
      </c>
      <c r="AS85" t="e">
        <f>AND('Reg Types'!#REF!,"AAAAAH/psyw=")</f>
        <v>#REF!</v>
      </c>
      <c r="AT85" t="e">
        <f>AND('Reg Types'!#REF!,"AAAAAH/psy0=")</f>
        <v>#REF!</v>
      </c>
      <c r="AU85" t="e">
        <f>AND('Reg Types'!#REF!,"AAAAAH/psy4=")</f>
        <v>#REF!</v>
      </c>
      <c r="AV85" t="e">
        <f>AND('Reg Types'!#REF!,"AAAAAH/psy8=")</f>
        <v>#REF!</v>
      </c>
      <c r="AW85" t="e">
        <f>AND('Reg Types'!#REF!,"AAAAAH/pszA=")</f>
        <v>#REF!</v>
      </c>
      <c r="AX85" t="e">
        <f>AND('Reg Types'!#REF!,"AAAAAH/pszE=")</f>
        <v>#REF!</v>
      </c>
      <c r="AY85" t="e">
        <f>AND('Reg Types'!#REF!,"AAAAAH/pszI=")</f>
        <v>#REF!</v>
      </c>
      <c r="AZ85" t="e">
        <f>IF('Reg Types'!#REF!,"AAAAAH/pszM=",0)</f>
        <v>#REF!</v>
      </c>
      <c r="BA85" t="e">
        <f>AND('Reg Types'!#REF!,"AAAAAH/pszQ=")</f>
        <v>#REF!</v>
      </c>
      <c r="BB85" t="e">
        <f>AND('Reg Types'!#REF!,"AAAAAH/pszU=")</f>
        <v>#REF!</v>
      </c>
      <c r="BC85" t="e">
        <f>AND('Reg Types'!#REF!,"AAAAAH/pszY=")</f>
        <v>#REF!</v>
      </c>
      <c r="BD85" t="e">
        <f>AND('Reg Types'!#REF!,"AAAAAH/pszc=")</f>
        <v>#REF!</v>
      </c>
      <c r="BE85" t="e">
        <f>AND('Reg Types'!#REF!,"AAAAAH/pszg=")</f>
        <v>#REF!</v>
      </c>
      <c r="BF85" t="e">
        <f>AND('Reg Types'!#REF!,"AAAAAH/pszk=")</f>
        <v>#REF!</v>
      </c>
      <c r="BG85" t="e">
        <f>AND('Reg Types'!#REF!,"AAAAAH/pszo=")</f>
        <v>#REF!</v>
      </c>
      <c r="BH85" t="e">
        <f>AND('Reg Types'!#REF!,"AAAAAH/pszs=")</f>
        <v>#REF!</v>
      </c>
      <c r="BI85" t="e">
        <f>AND('Reg Types'!#REF!,"AAAAAH/pszw=")</f>
        <v>#REF!</v>
      </c>
      <c r="BJ85" t="e">
        <f>AND('Reg Types'!#REF!,"AAAAAH/psz0=")</f>
        <v>#REF!</v>
      </c>
      <c r="BK85" t="e">
        <f>AND('Reg Types'!#REF!,"AAAAAH/psz4=")</f>
        <v>#REF!</v>
      </c>
      <c r="BL85" t="e">
        <f>AND('Reg Types'!#REF!,"AAAAAH/psz8=")</f>
        <v>#REF!</v>
      </c>
      <c r="BM85" t="e">
        <f>AND('Reg Types'!#REF!,"AAAAAH/ps0A=")</f>
        <v>#REF!</v>
      </c>
      <c r="BN85" t="e">
        <f>AND('Reg Types'!#REF!,"AAAAAH/ps0E=")</f>
        <v>#REF!</v>
      </c>
      <c r="BO85" t="e">
        <f>AND('Reg Types'!#REF!,"AAAAAH/ps0I=")</f>
        <v>#REF!</v>
      </c>
      <c r="BP85" t="e">
        <f>AND('Reg Types'!#REF!,"AAAAAH/ps0M=")</f>
        <v>#REF!</v>
      </c>
      <c r="BQ85" t="e">
        <f>AND('Reg Types'!#REF!,"AAAAAH/ps0Q=")</f>
        <v>#REF!</v>
      </c>
      <c r="BR85" t="e">
        <f>AND('Reg Types'!#REF!,"AAAAAH/ps0U=")</f>
        <v>#REF!</v>
      </c>
      <c r="BS85" t="e">
        <f>AND('Reg Types'!#REF!,"AAAAAH/ps0Y=")</f>
        <v>#REF!</v>
      </c>
      <c r="BT85" t="e">
        <f>AND('Reg Types'!#REF!,"AAAAAH/ps0c=")</f>
        <v>#REF!</v>
      </c>
      <c r="BU85" t="e">
        <f>AND('Reg Types'!#REF!,"AAAAAH/ps0g=")</f>
        <v>#REF!</v>
      </c>
      <c r="BV85" t="e">
        <f>AND('Reg Types'!#REF!,"AAAAAH/ps0k=")</f>
        <v>#REF!</v>
      </c>
      <c r="BW85" t="e">
        <f>AND('Reg Types'!#REF!,"AAAAAH/ps0o=")</f>
        <v>#REF!</v>
      </c>
      <c r="BX85" t="e">
        <f>IF('Reg Types'!#REF!,"AAAAAH/ps0s=",0)</f>
        <v>#REF!</v>
      </c>
      <c r="BY85" t="e">
        <f>AND('Reg Types'!#REF!,"AAAAAH/ps0w=")</f>
        <v>#REF!</v>
      </c>
      <c r="BZ85" t="e">
        <f>AND('Reg Types'!#REF!,"AAAAAH/ps00=")</f>
        <v>#REF!</v>
      </c>
      <c r="CA85" t="e">
        <f>AND('Reg Types'!#REF!,"AAAAAH/ps04=")</f>
        <v>#REF!</v>
      </c>
      <c r="CB85" t="e">
        <f>AND('Reg Types'!#REF!,"AAAAAH/ps08=")</f>
        <v>#REF!</v>
      </c>
      <c r="CC85" t="e">
        <f>AND('Reg Types'!#REF!,"AAAAAH/ps1A=")</f>
        <v>#REF!</v>
      </c>
      <c r="CD85" t="e">
        <f>AND('Reg Types'!#REF!,"AAAAAH/ps1E=")</f>
        <v>#REF!</v>
      </c>
      <c r="CE85" t="e">
        <f>AND('Reg Types'!#REF!,"AAAAAH/ps1I=")</f>
        <v>#REF!</v>
      </c>
      <c r="CF85" t="e">
        <f>AND('Reg Types'!#REF!,"AAAAAH/ps1M=")</f>
        <v>#REF!</v>
      </c>
      <c r="CG85" t="e">
        <f>AND('Reg Types'!#REF!,"AAAAAH/ps1Q=")</f>
        <v>#REF!</v>
      </c>
      <c r="CH85" t="e">
        <f>AND('Reg Types'!#REF!,"AAAAAH/ps1U=")</f>
        <v>#REF!</v>
      </c>
      <c r="CI85" t="e">
        <f>AND('Reg Types'!#REF!,"AAAAAH/ps1Y=")</f>
        <v>#REF!</v>
      </c>
      <c r="CJ85" t="e">
        <f>AND('Reg Types'!#REF!,"AAAAAH/ps1c=")</f>
        <v>#REF!</v>
      </c>
      <c r="CK85" t="e">
        <f>AND('Reg Types'!#REF!,"AAAAAH/ps1g=")</f>
        <v>#REF!</v>
      </c>
      <c r="CL85" t="e">
        <f>AND('Reg Types'!#REF!,"AAAAAH/ps1k=")</f>
        <v>#REF!</v>
      </c>
      <c r="CM85" t="e">
        <f>AND('Reg Types'!#REF!,"AAAAAH/ps1o=")</f>
        <v>#REF!</v>
      </c>
      <c r="CN85" t="e">
        <f>AND('Reg Types'!#REF!,"AAAAAH/ps1s=")</f>
        <v>#REF!</v>
      </c>
      <c r="CO85" t="e">
        <f>AND('Reg Types'!#REF!,"AAAAAH/ps1w=")</f>
        <v>#REF!</v>
      </c>
      <c r="CP85" t="e">
        <f>AND('Reg Types'!#REF!,"AAAAAH/ps10=")</f>
        <v>#REF!</v>
      </c>
      <c r="CQ85" t="e">
        <f>AND('Reg Types'!#REF!,"AAAAAH/ps14=")</f>
        <v>#REF!</v>
      </c>
      <c r="CR85" t="e">
        <f>AND('Reg Types'!#REF!,"AAAAAH/ps18=")</f>
        <v>#REF!</v>
      </c>
      <c r="CS85" t="e">
        <f>AND('Reg Types'!#REF!,"AAAAAH/ps2A=")</f>
        <v>#REF!</v>
      </c>
      <c r="CT85" t="e">
        <f>AND('Reg Types'!#REF!,"AAAAAH/ps2E=")</f>
        <v>#REF!</v>
      </c>
      <c r="CU85" t="e">
        <f>AND('Reg Types'!#REF!,"AAAAAH/ps2I=")</f>
        <v>#REF!</v>
      </c>
      <c r="CV85" t="e">
        <f>IF('Reg Types'!#REF!,"AAAAAH/ps2M=",0)</f>
        <v>#REF!</v>
      </c>
      <c r="CW85" t="e">
        <f>AND('Reg Types'!#REF!,"AAAAAH/ps2Q=")</f>
        <v>#REF!</v>
      </c>
      <c r="CX85" t="e">
        <f>AND('Reg Types'!#REF!,"AAAAAH/ps2U=")</f>
        <v>#REF!</v>
      </c>
      <c r="CY85" t="e">
        <f>AND('Reg Types'!#REF!,"AAAAAH/ps2Y=")</f>
        <v>#REF!</v>
      </c>
      <c r="CZ85" t="e">
        <f>AND('Reg Types'!#REF!,"AAAAAH/ps2c=")</f>
        <v>#REF!</v>
      </c>
      <c r="DA85" t="e">
        <f>AND('Reg Types'!#REF!,"AAAAAH/ps2g=")</f>
        <v>#REF!</v>
      </c>
      <c r="DB85" t="e">
        <f>AND('Reg Types'!#REF!,"AAAAAH/ps2k=")</f>
        <v>#REF!</v>
      </c>
      <c r="DC85" t="e">
        <f>AND('Reg Types'!#REF!,"AAAAAH/ps2o=")</f>
        <v>#REF!</v>
      </c>
      <c r="DD85" t="e">
        <f>AND('Reg Types'!#REF!,"AAAAAH/ps2s=")</f>
        <v>#REF!</v>
      </c>
      <c r="DE85" t="e">
        <f>AND('Reg Types'!#REF!,"AAAAAH/ps2w=")</f>
        <v>#REF!</v>
      </c>
      <c r="DF85" t="e">
        <f>AND('Reg Types'!#REF!,"AAAAAH/ps20=")</f>
        <v>#REF!</v>
      </c>
      <c r="DG85" t="e">
        <f>AND('Reg Types'!#REF!,"AAAAAH/ps24=")</f>
        <v>#REF!</v>
      </c>
      <c r="DH85" t="e">
        <f>AND('Reg Types'!#REF!,"AAAAAH/ps28=")</f>
        <v>#REF!</v>
      </c>
      <c r="DI85" t="e">
        <f>AND('Reg Types'!#REF!,"AAAAAH/ps3A=")</f>
        <v>#REF!</v>
      </c>
      <c r="DJ85" t="e">
        <f>AND('Reg Types'!#REF!,"AAAAAH/ps3E=")</f>
        <v>#REF!</v>
      </c>
      <c r="DK85" t="e">
        <f>AND('Reg Types'!#REF!,"AAAAAH/ps3I=")</f>
        <v>#REF!</v>
      </c>
      <c r="DL85" t="e">
        <f>AND('Reg Types'!#REF!,"AAAAAH/ps3M=")</f>
        <v>#REF!</v>
      </c>
      <c r="DM85" t="e">
        <f>AND('Reg Types'!#REF!,"AAAAAH/ps3Q=")</f>
        <v>#REF!</v>
      </c>
      <c r="DN85" t="e">
        <f>AND('Reg Types'!#REF!,"AAAAAH/ps3U=")</f>
        <v>#REF!</v>
      </c>
      <c r="DO85" t="e">
        <f>AND('Reg Types'!#REF!,"AAAAAH/ps3Y=")</f>
        <v>#REF!</v>
      </c>
      <c r="DP85" t="e">
        <f>AND('Reg Types'!#REF!,"AAAAAH/ps3c=")</f>
        <v>#REF!</v>
      </c>
      <c r="DQ85" t="e">
        <f>AND('Reg Types'!#REF!,"AAAAAH/ps3g=")</f>
        <v>#REF!</v>
      </c>
      <c r="DR85" t="e">
        <f>AND('Reg Types'!#REF!,"AAAAAH/ps3k=")</f>
        <v>#REF!</v>
      </c>
      <c r="DS85" t="e">
        <f>AND('Reg Types'!#REF!,"AAAAAH/ps3o=")</f>
        <v>#REF!</v>
      </c>
      <c r="DT85" t="e">
        <f>IF('Reg Types'!#REF!,"AAAAAH/ps3s=",0)</f>
        <v>#REF!</v>
      </c>
      <c r="DU85" t="e">
        <f>AND('Reg Types'!#REF!,"AAAAAH/ps3w=")</f>
        <v>#REF!</v>
      </c>
      <c r="DV85" t="e">
        <f>AND('Reg Types'!#REF!,"AAAAAH/ps30=")</f>
        <v>#REF!</v>
      </c>
      <c r="DW85" t="e">
        <f>AND('Reg Types'!#REF!,"AAAAAH/ps34=")</f>
        <v>#REF!</v>
      </c>
      <c r="DX85" t="e">
        <f>AND('Reg Types'!#REF!,"AAAAAH/ps38=")</f>
        <v>#REF!</v>
      </c>
      <c r="DY85" t="e">
        <f>AND('Reg Types'!#REF!,"AAAAAH/ps4A=")</f>
        <v>#REF!</v>
      </c>
      <c r="DZ85" t="e">
        <f>AND('Reg Types'!#REF!,"AAAAAH/ps4E=")</f>
        <v>#REF!</v>
      </c>
      <c r="EA85" t="e">
        <f>AND('Reg Types'!#REF!,"AAAAAH/ps4I=")</f>
        <v>#REF!</v>
      </c>
      <c r="EB85" t="e">
        <f>AND('Reg Types'!#REF!,"AAAAAH/ps4M=")</f>
        <v>#REF!</v>
      </c>
      <c r="EC85" t="e">
        <f>AND('Reg Types'!#REF!,"AAAAAH/ps4Q=")</f>
        <v>#REF!</v>
      </c>
      <c r="ED85" t="e">
        <f>AND('Reg Types'!#REF!,"AAAAAH/ps4U=")</f>
        <v>#REF!</v>
      </c>
      <c r="EE85" t="e">
        <f>AND('Reg Types'!#REF!,"AAAAAH/ps4Y=")</f>
        <v>#REF!</v>
      </c>
      <c r="EF85" t="e">
        <f>AND('Reg Types'!#REF!,"AAAAAH/ps4c=")</f>
        <v>#REF!</v>
      </c>
      <c r="EG85" t="e">
        <f>AND('Reg Types'!#REF!,"AAAAAH/ps4g=")</f>
        <v>#REF!</v>
      </c>
      <c r="EH85" t="e">
        <f>AND('Reg Types'!#REF!,"AAAAAH/ps4k=")</f>
        <v>#REF!</v>
      </c>
      <c r="EI85" t="e">
        <f>AND('Reg Types'!#REF!,"AAAAAH/ps4o=")</f>
        <v>#REF!</v>
      </c>
      <c r="EJ85" t="e">
        <f>AND('Reg Types'!#REF!,"AAAAAH/ps4s=")</f>
        <v>#REF!</v>
      </c>
      <c r="EK85" t="e">
        <f>AND('Reg Types'!#REF!,"AAAAAH/ps4w=")</f>
        <v>#REF!</v>
      </c>
      <c r="EL85" t="e">
        <f>AND('Reg Types'!#REF!,"AAAAAH/ps40=")</f>
        <v>#REF!</v>
      </c>
      <c r="EM85" t="e">
        <f>AND('Reg Types'!#REF!,"AAAAAH/ps44=")</f>
        <v>#REF!</v>
      </c>
      <c r="EN85" t="e">
        <f>AND('Reg Types'!#REF!,"AAAAAH/ps48=")</f>
        <v>#REF!</v>
      </c>
      <c r="EO85" t="e">
        <f>AND('Reg Types'!#REF!,"AAAAAH/ps5A=")</f>
        <v>#REF!</v>
      </c>
      <c r="EP85" t="e">
        <f>AND('Reg Types'!#REF!,"AAAAAH/ps5E=")</f>
        <v>#REF!</v>
      </c>
      <c r="EQ85" t="e">
        <f>AND('Reg Types'!#REF!,"AAAAAH/ps5I=")</f>
        <v>#REF!</v>
      </c>
      <c r="ER85" t="e">
        <f>IF('Reg Types'!#REF!,"AAAAAH/ps5M=",0)</f>
        <v>#REF!</v>
      </c>
      <c r="ES85" t="e">
        <f>AND('Reg Types'!#REF!,"AAAAAH/ps5Q=")</f>
        <v>#REF!</v>
      </c>
      <c r="ET85" t="e">
        <f>AND('Reg Types'!#REF!,"AAAAAH/ps5U=")</f>
        <v>#REF!</v>
      </c>
      <c r="EU85" t="e">
        <f>AND('Reg Types'!#REF!,"AAAAAH/ps5Y=")</f>
        <v>#REF!</v>
      </c>
      <c r="EV85" t="e">
        <f>AND('Reg Types'!#REF!,"AAAAAH/ps5c=")</f>
        <v>#REF!</v>
      </c>
      <c r="EW85" t="e">
        <f>AND('Reg Types'!#REF!,"AAAAAH/ps5g=")</f>
        <v>#REF!</v>
      </c>
      <c r="EX85" t="e">
        <f>AND('Reg Types'!#REF!,"AAAAAH/ps5k=")</f>
        <v>#REF!</v>
      </c>
      <c r="EY85" t="e">
        <f>AND('Reg Types'!#REF!,"AAAAAH/ps5o=")</f>
        <v>#REF!</v>
      </c>
      <c r="EZ85" t="e">
        <f>AND('Reg Types'!#REF!,"AAAAAH/ps5s=")</f>
        <v>#REF!</v>
      </c>
      <c r="FA85" t="e">
        <f>AND('Reg Types'!#REF!,"AAAAAH/ps5w=")</f>
        <v>#REF!</v>
      </c>
      <c r="FB85" t="e">
        <f>AND('Reg Types'!#REF!,"AAAAAH/ps50=")</f>
        <v>#REF!</v>
      </c>
      <c r="FC85" t="e">
        <f>AND('Reg Types'!#REF!,"AAAAAH/ps54=")</f>
        <v>#REF!</v>
      </c>
      <c r="FD85" t="e">
        <f>AND('Reg Types'!#REF!,"AAAAAH/ps58=")</f>
        <v>#REF!</v>
      </c>
      <c r="FE85" t="e">
        <f>AND('Reg Types'!#REF!,"AAAAAH/ps6A=")</f>
        <v>#REF!</v>
      </c>
      <c r="FF85" t="e">
        <f>AND('Reg Types'!#REF!,"AAAAAH/ps6E=")</f>
        <v>#REF!</v>
      </c>
      <c r="FG85" t="e">
        <f>AND('Reg Types'!#REF!,"AAAAAH/ps6I=")</f>
        <v>#REF!</v>
      </c>
      <c r="FH85" t="e">
        <f>AND('Reg Types'!#REF!,"AAAAAH/ps6M=")</f>
        <v>#REF!</v>
      </c>
      <c r="FI85" t="e">
        <f>AND('Reg Types'!#REF!,"AAAAAH/ps6Q=")</f>
        <v>#REF!</v>
      </c>
      <c r="FJ85" t="e">
        <f>AND('Reg Types'!#REF!,"AAAAAH/ps6U=")</f>
        <v>#REF!</v>
      </c>
      <c r="FK85" t="e">
        <f>AND('Reg Types'!#REF!,"AAAAAH/ps6Y=")</f>
        <v>#REF!</v>
      </c>
      <c r="FL85" t="e">
        <f>AND('Reg Types'!#REF!,"AAAAAH/ps6c=")</f>
        <v>#REF!</v>
      </c>
      <c r="FM85" t="e">
        <f>AND('Reg Types'!#REF!,"AAAAAH/ps6g=")</f>
        <v>#REF!</v>
      </c>
      <c r="FN85" t="e">
        <f>AND('Reg Types'!#REF!,"AAAAAH/ps6k=")</f>
        <v>#REF!</v>
      </c>
      <c r="FO85" t="e">
        <f>AND('Reg Types'!#REF!,"AAAAAH/ps6o=")</f>
        <v>#REF!</v>
      </c>
      <c r="FP85" t="e">
        <f>IF('Reg Types'!#REF!,"AAAAAH/ps6s=",0)</f>
        <v>#REF!</v>
      </c>
      <c r="FQ85" t="e">
        <f>AND('Reg Types'!#REF!,"AAAAAH/ps6w=")</f>
        <v>#REF!</v>
      </c>
      <c r="FR85" t="e">
        <f>AND('Reg Types'!#REF!,"AAAAAH/ps60=")</f>
        <v>#REF!</v>
      </c>
      <c r="FS85" t="e">
        <f>AND('Reg Types'!#REF!,"AAAAAH/ps64=")</f>
        <v>#REF!</v>
      </c>
      <c r="FT85" t="e">
        <f>AND('Reg Types'!#REF!,"AAAAAH/ps68=")</f>
        <v>#REF!</v>
      </c>
      <c r="FU85" t="e">
        <f>AND('Reg Types'!#REF!,"AAAAAH/ps7A=")</f>
        <v>#REF!</v>
      </c>
      <c r="FV85" t="e">
        <f>AND('Reg Types'!#REF!,"AAAAAH/ps7E=")</f>
        <v>#REF!</v>
      </c>
      <c r="FW85" t="e">
        <f>AND('Reg Types'!#REF!,"AAAAAH/ps7I=")</f>
        <v>#REF!</v>
      </c>
      <c r="FX85" t="e">
        <f>AND('Reg Types'!#REF!,"AAAAAH/ps7M=")</f>
        <v>#REF!</v>
      </c>
      <c r="FY85" t="e">
        <f>AND('Reg Types'!#REF!,"AAAAAH/ps7Q=")</f>
        <v>#REF!</v>
      </c>
      <c r="FZ85" t="e">
        <f>AND('Reg Types'!#REF!,"AAAAAH/ps7U=")</f>
        <v>#REF!</v>
      </c>
      <c r="GA85" t="e">
        <f>AND('Reg Types'!#REF!,"AAAAAH/ps7Y=")</f>
        <v>#REF!</v>
      </c>
      <c r="GB85" t="e">
        <f>AND('Reg Types'!#REF!,"AAAAAH/ps7c=")</f>
        <v>#REF!</v>
      </c>
      <c r="GC85" t="e">
        <f>AND('Reg Types'!#REF!,"AAAAAH/ps7g=")</f>
        <v>#REF!</v>
      </c>
      <c r="GD85" t="e">
        <f>AND('Reg Types'!#REF!,"AAAAAH/ps7k=")</f>
        <v>#REF!</v>
      </c>
      <c r="GE85" t="e">
        <f>AND('Reg Types'!#REF!,"AAAAAH/ps7o=")</f>
        <v>#REF!</v>
      </c>
      <c r="GF85" t="e">
        <f>AND('Reg Types'!#REF!,"AAAAAH/ps7s=")</f>
        <v>#REF!</v>
      </c>
      <c r="GG85" t="e">
        <f>AND('Reg Types'!#REF!,"AAAAAH/ps7w=")</f>
        <v>#REF!</v>
      </c>
      <c r="GH85" t="e">
        <f>AND('Reg Types'!#REF!,"AAAAAH/ps70=")</f>
        <v>#REF!</v>
      </c>
      <c r="GI85" t="e">
        <f>AND('Reg Types'!#REF!,"AAAAAH/ps74=")</f>
        <v>#REF!</v>
      </c>
      <c r="GJ85" t="e">
        <f>AND('Reg Types'!#REF!,"AAAAAH/ps78=")</f>
        <v>#REF!</v>
      </c>
      <c r="GK85" t="e">
        <f>AND('Reg Types'!#REF!,"AAAAAH/ps8A=")</f>
        <v>#REF!</v>
      </c>
      <c r="GL85" t="e">
        <f>AND('Reg Types'!#REF!,"AAAAAH/ps8E=")</f>
        <v>#REF!</v>
      </c>
      <c r="GM85" t="e">
        <f>AND('Reg Types'!#REF!,"AAAAAH/ps8I=")</f>
        <v>#REF!</v>
      </c>
      <c r="GN85" t="e">
        <f>IF('Reg Types'!#REF!,"AAAAAH/ps8M=",0)</f>
        <v>#REF!</v>
      </c>
      <c r="GO85" t="e">
        <f>AND('Reg Types'!#REF!,"AAAAAH/ps8Q=")</f>
        <v>#REF!</v>
      </c>
      <c r="GP85" t="e">
        <f>AND('Reg Types'!#REF!,"AAAAAH/ps8U=")</f>
        <v>#REF!</v>
      </c>
      <c r="GQ85" t="e">
        <f>AND('Reg Types'!#REF!,"AAAAAH/ps8Y=")</f>
        <v>#REF!</v>
      </c>
      <c r="GR85" t="e">
        <f>AND('Reg Types'!#REF!,"AAAAAH/ps8c=")</f>
        <v>#REF!</v>
      </c>
      <c r="GS85" t="e">
        <f>AND('Reg Types'!#REF!,"AAAAAH/ps8g=")</f>
        <v>#REF!</v>
      </c>
      <c r="GT85" t="e">
        <f>AND('Reg Types'!#REF!,"AAAAAH/ps8k=")</f>
        <v>#REF!</v>
      </c>
      <c r="GU85" t="e">
        <f>AND('Reg Types'!#REF!,"AAAAAH/ps8o=")</f>
        <v>#REF!</v>
      </c>
      <c r="GV85" t="e">
        <f>AND('Reg Types'!#REF!,"AAAAAH/ps8s=")</f>
        <v>#REF!</v>
      </c>
      <c r="GW85" t="e">
        <f>AND('Reg Types'!#REF!,"AAAAAH/ps8w=")</f>
        <v>#REF!</v>
      </c>
      <c r="GX85" t="e">
        <f>AND('Reg Types'!#REF!,"AAAAAH/ps80=")</f>
        <v>#REF!</v>
      </c>
      <c r="GY85" t="e">
        <f>AND('Reg Types'!#REF!,"AAAAAH/ps84=")</f>
        <v>#REF!</v>
      </c>
      <c r="GZ85" t="e">
        <f>AND('Reg Types'!#REF!,"AAAAAH/ps88=")</f>
        <v>#REF!</v>
      </c>
      <c r="HA85" t="e">
        <f>AND('Reg Types'!#REF!,"AAAAAH/ps9A=")</f>
        <v>#REF!</v>
      </c>
      <c r="HB85" t="e">
        <f>AND('Reg Types'!#REF!,"AAAAAH/ps9E=")</f>
        <v>#REF!</v>
      </c>
      <c r="HC85" t="e">
        <f>AND('Reg Types'!#REF!,"AAAAAH/ps9I=")</f>
        <v>#REF!</v>
      </c>
      <c r="HD85" t="e">
        <f>AND('Reg Types'!#REF!,"AAAAAH/ps9M=")</f>
        <v>#REF!</v>
      </c>
      <c r="HE85" t="e">
        <f>AND('Reg Types'!#REF!,"AAAAAH/ps9Q=")</f>
        <v>#REF!</v>
      </c>
      <c r="HF85" t="e">
        <f>AND('Reg Types'!#REF!,"AAAAAH/ps9U=")</f>
        <v>#REF!</v>
      </c>
      <c r="HG85" t="e">
        <f>AND('Reg Types'!#REF!,"AAAAAH/ps9Y=")</f>
        <v>#REF!</v>
      </c>
      <c r="HH85" t="e">
        <f>AND('Reg Types'!#REF!,"AAAAAH/ps9c=")</f>
        <v>#REF!</v>
      </c>
      <c r="HI85" t="e">
        <f>AND('Reg Types'!#REF!,"AAAAAH/ps9g=")</f>
        <v>#REF!</v>
      </c>
      <c r="HJ85" t="e">
        <f>AND('Reg Types'!#REF!,"AAAAAH/ps9k=")</f>
        <v>#REF!</v>
      </c>
      <c r="HK85" t="e">
        <f>AND('Reg Types'!#REF!,"AAAAAH/ps9o=")</f>
        <v>#REF!</v>
      </c>
      <c r="HL85" t="e">
        <f>IF('Reg Types'!#REF!,"AAAAAH/ps9s=",0)</f>
        <v>#REF!</v>
      </c>
      <c r="HM85" t="e">
        <f>AND('Reg Types'!#REF!,"AAAAAH/ps9w=")</f>
        <v>#REF!</v>
      </c>
      <c r="HN85" t="e">
        <f>AND('Reg Types'!#REF!,"AAAAAH/ps90=")</f>
        <v>#REF!</v>
      </c>
      <c r="HO85" t="e">
        <f>AND('Reg Types'!#REF!,"AAAAAH/ps94=")</f>
        <v>#REF!</v>
      </c>
      <c r="HP85" t="e">
        <f>AND('Reg Types'!#REF!,"AAAAAH/ps98=")</f>
        <v>#REF!</v>
      </c>
      <c r="HQ85" t="e">
        <f>AND('Reg Types'!#REF!,"AAAAAH/ps+A=")</f>
        <v>#REF!</v>
      </c>
      <c r="HR85" t="e">
        <f>AND('Reg Types'!#REF!,"AAAAAH/ps+E=")</f>
        <v>#REF!</v>
      </c>
      <c r="HS85" t="e">
        <f>AND('Reg Types'!#REF!,"AAAAAH/ps+I=")</f>
        <v>#REF!</v>
      </c>
      <c r="HT85" t="e">
        <f>AND('Reg Types'!#REF!,"AAAAAH/ps+M=")</f>
        <v>#REF!</v>
      </c>
      <c r="HU85" t="e">
        <f>AND('Reg Types'!#REF!,"AAAAAH/ps+Q=")</f>
        <v>#REF!</v>
      </c>
      <c r="HV85" t="e">
        <f>AND('Reg Types'!#REF!,"AAAAAH/ps+U=")</f>
        <v>#REF!</v>
      </c>
      <c r="HW85" t="e">
        <f>AND('Reg Types'!#REF!,"AAAAAH/ps+Y=")</f>
        <v>#REF!</v>
      </c>
      <c r="HX85" t="e">
        <f>AND('Reg Types'!#REF!,"AAAAAH/ps+c=")</f>
        <v>#REF!</v>
      </c>
      <c r="HY85" t="e">
        <f>AND('Reg Types'!#REF!,"AAAAAH/ps+g=")</f>
        <v>#REF!</v>
      </c>
      <c r="HZ85" t="e">
        <f>AND('Reg Types'!#REF!,"AAAAAH/ps+k=")</f>
        <v>#REF!</v>
      </c>
      <c r="IA85" t="e">
        <f>AND('Reg Types'!#REF!,"AAAAAH/ps+o=")</f>
        <v>#REF!</v>
      </c>
      <c r="IB85" t="e">
        <f>AND('Reg Types'!#REF!,"AAAAAH/ps+s=")</f>
        <v>#REF!</v>
      </c>
      <c r="IC85" t="e">
        <f>AND('Reg Types'!#REF!,"AAAAAH/ps+w=")</f>
        <v>#REF!</v>
      </c>
      <c r="ID85" t="e">
        <f>AND('Reg Types'!#REF!,"AAAAAH/ps+0=")</f>
        <v>#REF!</v>
      </c>
      <c r="IE85" t="e">
        <f>AND('Reg Types'!#REF!,"AAAAAH/ps+4=")</f>
        <v>#REF!</v>
      </c>
      <c r="IF85" t="e">
        <f>AND('Reg Types'!#REF!,"AAAAAH/ps+8=")</f>
        <v>#REF!</v>
      </c>
      <c r="IG85" t="e">
        <f>AND('Reg Types'!#REF!,"AAAAAH/ps/A=")</f>
        <v>#REF!</v>
      </c>
      <c r="IH85" t="e">
        <f>AND('Reg Types'!#REF!,"AAAAAH/ps/E=")</f>
        <v>#REF!</v>
      </c>
      <c r="II85" t="e">
        <f>AND('Reg Types'!#REF!,"AAAAAH/ps/I=")</f>
        <v>#REF!</v>
      </c>
      <c r="IJ85" t="e">
        <f>IF('Reg Types'!#REF!,"AAAAAH/ps/M=",0)</f>
        <v>#REF!</v>
      </c>
      <c r="IK85" t="e">
        <f>AND('Reg Types'!#REF!,"AAAAAH/ps/Q=")</f>
        <v>#REF!</v>
      </c>
      <c r="IL85" t="e">
        <f>AND('Reg Types'!#REF!,"AAAAAH/ps/U=")</f>
        <v>#REF!</v>
      </c>
      <c r="IM85" t="e">
        <f>AND('Reg Types'!#REF!,"AAAAAH/ps/Y=")</f>
        <v>#REF!</v>
      </c>
      <c r="IN85" t="e">
        <f>AND('Reg Types'!#REF!,"AAAAAH/ps/c=")</f>
        <v>#REF!</v>
      </c>
      <c r="IO85" t="e">
        <f>AND('Reg Types'!#REF!,"AAAAAH/ps/g=")</f>
        <v>#REF!</v>
      </c>
      <c r="IP85" t="e">
        <f>AND('Reg Types'!#REF!,"AAAAAH/ps/k=")</f>
        <v>#REF!</v>
      </c>
      <c r="IQ85" t="e">
        <f>AND('Reg Types'!#REF!,"AAAAAH/ps/o=")</f>
        <v>#REF!</v>
      </c>
      <c r="IR85" t="e">
        <f>AND('Reg Types'!#REF!,"AAAAAH/ps/s=")</f>
        <v>#REF!</v>
      </c>
      <c r="IS85" t="e">
        <f>AND('Reg Types'!#REF!,"AAAAAH/ps/w=")</f>
        <v>#REF!</v>
      </c>
      <c r="IT85" t="e">
        <f>AND('Reg Types'!#REF!,"AAAAAH/ps/0=")</f>
        <v>#REF!</v>
      </c>
      <c r="IU85" t="e">
        <f>AND('Reg Types'!#REF!,"AAAAAH/ps/4=")</f>
        <v>#REF!</v>
      </c>
      <c r="IV85" t="e">
        <f>AND('Reg Types'!#REF!,"AAAAAH/ps/8=")</f>
        <v>#REF!</v>
      </c>
    </row>
    <row r="86" spans="1:256" x14ac:dyDescent="0.2">
      <c r="A86" t="e">
        <f>AND('Reg Types'!#REF!,"AAAAAH8/+QA=")</f>
        <v>#REF!</v>
      </c>
      <c r="B86" t="e">
        <f>AND('Reg Types'!#REF!,"AAAAAH8/+QE=")</f>
        <v>#REF!</v>
      </c>
      <c r="C86" t="e">
        <f>AND('Reg Types'!#REF!,"AAAAAH8/+QI=")</f>
        <v>#REF!</v>
      </c>
      <c r="D86" t="e">
        <f>AND('Reg Types'!#REF!,"AAAAAH8/+QM=")</f>
        <v>#REF!</v>
      </c>
      <c r="E86" t="e">
        <f>AND('Reg Types'!#REF!,"AAAAAH8/+QQ=")</f>
        <v>#REF!</v>
      </c>
      <c r="F86" t="e">
        <f>AND('Reg Types'!#REF!,"AAAAAH8/+QU=")</f>
        <v>#REF!</v>
      </c>
      <c r="G86" t="e">
        <f>AND('Reg Types'!#REF!,"AAAAAH8/+QY=")</f>
        <v>#REF!</v>
      </c>
      <c r="H86" t="e">
        <f>AND('Reg Types'!#REF!,"AAAAAH8/+Qc=")</f>
        <v>#REF!</v>
      </c>
      <c r="I86" t="e">
        <f>AND('Reg Types'!#REF!,"AAAAAH8/+Qg=")</f>
        <v>#REF!</v>
      </c>
      <c r="J86" t="e">
        <f>AND('Reg Types'!#REF!,"AAAAAH8/+Qk=")</f>
        <v>#REF!</v>
      </c>
      <c r="K86" t="e">
        <f>AND('Reg Types'!#REF!,"AAAAAH8/+Qo=")</f>
        <v>#REF!</v>
      </c>
      <c r="L86" t="e">
        <f>IF('Reg Types'!#REF!,"AAAAAH8/+Qs=",0)</f>
        <v>#REF!</v>
      </c>
      <c r="M86" t="e">
        <f>AND('Reg Types'!#REF!,"AAAAAH8/+Qw=")</f>
        <v>#REF!</v>
      </c>
      <c r="N86" t="e">
        <f>AND('Reg Types'!#REF!,"AAAAAH8/+Q0=")</f>
        <v>#REF!</v>
      </c>
      <c r="O86" t="e">
        <f>AND('Reg Types'!#REF!,"AAAAAH8/+Q4=")</f>
        <v>#REF!</v>
      </c>
      <c r="P86" t="e">
        <f>AND('Reg Types'!#REF!,"AAAAAH8/+Q8=")</f>
        <v>#REF!</v>
      </c>
      <c r="Q86" t="e">
        <f>AND('Reg Types'!#REF!,"AAAAAH8/+RA=")</f>
        <v>#REF!</v>
      </c>
      <c r="R86" t="e">
        <f>AND('Reg Types'!#REF!,"AAAAAH8/+RE=")</f>
        <v>#REF!</v>
      </c>
      <c r="S86" t="e">
        <f>AND('Reg Types'!#REF!,"AAAAAH8/+RI=")</f>
        <v>#REF!</v>
      </c>
      <c r="T86" t="e">
        <f>AND('Reg Types'!#REF!,"AAAAAH8/+RM=")</f>
        <v>#REF!</v>
      </c>
      <c r="U86" t="e">
        <f>AND('Reg Types'!#REF!,"AAAAAH8/+RQ=")</f>
        <v>#REF!</v>
      </c>
      <c r="V86" t="e">
        <f>AND('Reg Types'!#REF!,"AAAAAH8/+RU=")</f>
        <v>#REF!</v>
      </c>
      <c r="W86" t="e">
        <f>AND('Reg Types'!#REF!,"AAAAAH8/+RY=")</f>
        <v>#REF!</v>
      </c>
      <c r="X86" t="e">
        <f>AND('Reg Types'!#REF!,"AAAAAH8/+Rc=")</f>
        <v>#REF!</v>
      </c>
      <c r="Y86" t="e">
        <f>AND('Reg Types'!#REF!,"AAAAAH8/+Rg=")</f>
        <v>#REF!</v>
      </c>
      <c r="Z86" t="e">
        <f>AND('Reg Types'!#REF!,"AAAAAH8/+Rk=")</f>
        <v>#REF!</v>
      </c>
      <c r="AA86" t="e">
        <f>AND('Reg Types'!#REF!,"AAAAAH8/+Ro=")</f>
        <v>#REF!</v>
      </c>
      <c r="AB86" t="e">
        <f>AND('Reg Types'!#REF!,"AAAAAH8/+Rs=")</f>
        <v>#REF!</v>
      </c>
      <c r="AC86" t="e">
        <f>AND('Reg Types'!#REF!,"AAAAAH8/+Rw=")</f>
        <v>#REF!</v>
      </c>
      <c r="AD86" t="e">
        <f>AND('Reg Types'!#REF!,"AAAAAH8/+R0=")</f>
        <v>#REF!</v>
      </c>
      <c r="AE86" t="e">
        <f>AND('Reg Types'!#REF!,"AAAAAH8/+R4=")</f>
        <v>#REF!</v>
      </c>
      <c r="AF86" t="e">
        <f>AND('Reg Types'!#REF!,"AAAAAH8/+R8=")</f>
        <v>#REF!</v>
      </c>
      <c r="AG86" t="e">
        <f>AND('Reg Types'!#REF!,"AAAAAH8/+SA=")</f>
        <v>#REF!</v>
      </c>
      <c r="AH86" t="e">
        <f>AND('Reg Types'!#REF!,"AAAAAH8/+SE=")</f>
        <v>#REF!</v>
      </c>
      <c r="AI86" t="e">
        <f>AND('Reg Types'!#REF!,"AAAAAH8/+SI=")</f>
        <v>#REF!</v>
      </c>
      <c r="AJ86" t="e">
        <f>IF('Reg Types'!#REF!,"AAAAAH8/+SM=",0)</f>
        <v>#REF!</v>
      </c>
      <c r="AK86" t="e">
        <f>AND('Reg Types'!#REF!,"AAAAAH8/+SQ=")</f>
        <v>#REF!</v>
      </c>
      <c r="AL86" t="e">
        <f>AND('Reg Types'!#REF!,"AAAAAH8/+SU=")</f>
        <v>#REF!</v>
      </c>
      <c r="AM86" t="e">
        <f>AND('Reg Types'!#REF!,"AAAAAH8/+SY=")</f>
        <v>#REF!</v>
      </c>
      <c r="AN86" t="e">
        <f>AND('Reg Types'!#REF!,"AAAAAH8/+Sc=")</f>
        <v>#REF!</v>
      </c>
      <c r="AO86" t="e">
        <f>AND('Reg Types'!#REF!,"AAAAAH8/+Sg=")</f>
        <v>#REF!</v>
      </c>
      <c r="AP86" t="e">
        <f>AND('Reg Types'!#REF!,"AAAAAH8/+Sk=")</f>
        <v>#REF!</v>
      </c>
      <c r="AQ86" t="e">
        <f>AND('Reg Types'!#REF!,"AAAAAH8/+So=")</f>
        <v>#REF!</v>
      </c>
      <c r="AR86" t="e">
        <f>AND('Reg Types'!#REF!,"AAAAAH8/+Ss=")</f>
        <v>#REF!</v>
      </c>
      <c r="AS86" t="e">
        <f>AND('Reg Types'!#REF!,"AAAAAH8/+Sw=")</f>
        <v>#REF!</v>
      </c>
      <c r="AT86" t="e">
        <f>AND('Reg Types'!#REF!,"AAAAAH8/+S0=")</f>
        <v>#REF!</v>
      </c>
      <c r="AU86" t="e">
        <f>AND('Reg Types'!#REF!,"AAAAAH8/+S4=")</f>
        <v>#REF!</v>
      </c>
      <c r="AV86" t="e">
        <f>AND('Reg Types'!#REF!,"AAAAAH8/+S8=")</f>
        <v>#REF!</v>
      </c>
      <c r="AW86" t="e">
        <f>AND('Reg Types'!#REF!,"AAAAAH8/+TA=")</f>
        <v>#REF!</v>
      </c>
      <c r="AX86" t="e">
        <f>AND('Reg Types'!#REF!,"AAAAAH8/+TE=")</f>
        <v>#REF!</v>
      </c>
      <c r="AY86" t="e">
        <f>AND('Reg Types'!#REF!,"AAAAAH8/+TI=")</f>
        <v>#REF!</v>
      </c>
      <c r="AZ86" t="e">
        <f>AND('Reg Types'!#REF!,"AAAAAH8/+TM=")</f>
        <v>#REF!</v>
      </c>
      <c r="BA86" t="e">
        <f>AND('Reg Types'!#REF!,"AAAAAH8/+TQ=")</f>
        <v>#REF!</v>
      </c>
      <c r="BB86" t="e">
        <f>AND('Reg Types'!#REF!,"AAAAAH8/+TU=")</f>
        <v>#REF!</v>
      </c>
      <c r="BC86" t="e">
        <f>AND('Reg Types'!#REF!,"AAAAAH8/+TY=")</f>
        <v>#REF!</v>
      </c>
      <c r="BD86" t="e">
        <f>AND('Reg Types'!#REF!,"AAAAAH8/+Tc=")</f>
        <v>#REF!</v>
      </c>
      <c r="BE86" t="e">
        <f>AND('Reg Types'!#REF!,"AAAAAH8/+Tg=")</f>
        <v>#REF!</v>
      </c>
      <c r="BF86" t="e">
        <f>AND('Reg Types'!#REF!,"AAAAAH8/+Tk=")</f>
        <v>#REF!</v>
      </c>
      <c r="BG86" t="e">
        <f>AND('Reg Types'!#REF!,"AAAAAH8/+To=")</f>
        <v>#REF!</v>
      </c>
      <c r="BH86" t="e">
        <f>IF('Reg Types'!#REF!,"AAAAAH8/+Ts=",0)</f>
        <v>#REF!</v>
      </c>
      <c r="BI86" t="e">
        <f>AND('Reg Types'!#REF!,"AAAAAH8/+Tw=")</f>
        <v>#REF!</v>
      </c>
      <c r="BJ86" t="e">
        <f>AND('Reg Types'!#REF!,"AAAAAH8/+T0=")</f>
        <v>#REF!</v>
      </c>
      <c r="BK86" t="e">
        <f>AND('Reg Types'!#REF!,"AAAAAH8/+T4=")</f>
        <v>#REF!</v>
      </c>
      <c r="BL86" t="e">
        <f>AND('Reg Types'!#REF!,"AAAAAH8/+T8=")</f>
        <v>#REF!</v>
      </c>
      <c r="BM86" t="e">
        <f>AND('Reg Types'!#REF!,"AAAAAH8/+UA=")</f>
        <v>#REF!</v>
      </c>
      <c r="BN86" t="e">
        <f>AND('Reg Types'!#REF!,"AAAAAH8/+UE=")</f>
        <v>#REF!</v>
      </c>
      <c r="BO86" t="e">
        <f>AND('Reg Types'!#REF!,"AAAAAH8/+UI=")</f>
        <v>#REF!</v>
      </c>
      <c r="BP86" t="e">
        <f>AND('Reg Types'!#REF!,"AAAAAH8/+UM=")</f>
        <v>#REF!</v>
      </c>
      <c r="BQ86" t="e">
        <f>AND('Reg Types'!#REF!,"AAAAAH8/+UQ=")</f>
        <v>#REF!</v>
      </c>
      <c r="BR86" t="e">
        <f>AND('Reg Types'!#REF!,"AAAAAH8/+UU=")</f>
        <v>#REF!</v>
      </c>
      <c r="BS86" t="e">
        <f>AND('Reg Types'!#REF!,"AAAAAH8/+UY=")</f>
        <v>#REF!</v>
      </c>
      <c r="BT86" t="e">
        <f>AND('Reg Types'!#REF!,"AAAAAH8/+Uc=")</f>
        <v>#REF!</v>
      </c>
      <c r="BU86" t="e">
        <f>AND('Reg Types'!#REF!,"AAAAAH8/+Ug=")</f>
        <v>#REF!</v>
      </c>
      <c r="BV86" t="e">
        <f>AND('Reg Types'!#REF!,"AAAAAH8/+Uk=")</f>
        <v>#REF!</v>
      </c>
      <c r="BW86" t="e">
        <f>AND('Reg Types'!#REF!,"AAAAAH8/+Uo=")</f>
        <v>#REF!</v>
      </c>
      <c r="BX86" t="e">
        <f>AND('Reg Types'!#REF!,"AAAAAH8/+Us=")</f>
        <v>#REF!</v>
      </c>
      <c r="BY86" t="e">
        <f>AND('Reg Types'!#REF!,"AAAAAH8/+Uw=")</f>
        <v>#REF!</v>
      </c>
      <c r="BZ86" t="e">
        <f>AND('Reg Types'!#REF!,"AAAAAH8/+U0=")</f>
        <v>#REF!</v>
      </c>
      <c r="CA86" t="e">
        <f>AND('Reg Types'!#REF!,"AAAAAH8/+U4=")</f>
        <v>#REF!</v>
      </c>
      <c r="CB86" t="e">
        <f>AND('Reg Types'!#REF!,"AAAAAH8/+U8=")</f>
        <v>#REF!</v>
      </c>
      <c r="CC86" t="e">
        <f>AND('Reg Types'!#REF!,"AAAAAH8/+VA=")</f>
        <v>#REF!</v>
      </c>
      <c r="CD86" t="e">
        <f>AND('Reg Types'!#REF!,"AAAAAH8/+VE=")</f>
        <v>#REF!</v>
      </c>
      <c r="CE86" t="e">
        <f>AND('Reg Types'!#REF!,"AAAAAH8/+VI=")</f>
        <v>#REF!</v>
      </c>
      <c r="CF86" t="e">
        <f>IF('Reg Types'!#REF!,"AAAAAH8/+VM=",0)</f>
        <v>#REF!</v>
      </c>
      <c r="CG86" t="e">
        <f>AND('Reg Types'!#REF!,"AAAAAH8/+VQ=")</f>
        <v>#REF!</v>
      </c>
      <c r="CH86" t="e">
        <f>AND('Reg Types'!#REF!,"AAAAAH8/+VU=")</f>
        <v>#REF!</v>
      </c>
      <c r="CI86" t="e">
        <f>AND('Reg Types'!#REF!,"AAAAAH8/+VY=")</f>
        <v>#REF!</v>
      </c>
      <c r="CJ86" t="e">
        <f>AND('Reg Types'!#REF!,"AAAAAH8/+Vc=")</f>
        <v>#REF!</v>
      </c>
      <c r="CK86" t="e">
        <f>AND('Reg Types'!#REF!,"AAAAAH8/+Vg=")</f>
        <v>#REF!</v>
      </c>
      <c r="CL86" t="e">
        <f>AND('Reg Types'!#REF!,"AAAAAH8/+Vk=")</f>
        <v>#REF!</v>
      </c>
      <c r="CM86" t="e">
        <f>AND('Reg Types'!#REF!,"AAAAAH8/+Vo=")</f>
        <v>#REF!</v>
      </c>
      <c r="CN86" t="e">
        <f>AND('Reg Types'!#REF!,"AAAAAH8/+Vs=")</f>
        <v>#REF!</v>
      </c>
      <c r="CO86" t="e">
        <f>AND('Reg Types'!#REF!,"AAAAAH8/+Vw=")</f>
        <v>#REF!</v>
      </c>
      <c r="CP86" t="e">
        <f>AND('Reg Types'!#REF!,"AAAAAH8/+V0=")</f>
        <v>#REF!</v>
      </c>
      <c r="CQ86" t="e">
        <f>AND('Reg Types'!#REF!,"AAAAAH8/+V4=")</f>
        <v>#REF!</v>
      </c>
      <c r="CR86" t="e">
        <f>AND('Reg Types'!#REF!,"AAAAAH8/+V8=")</f>
        <v>#REF!</v>
      </c>
      <c r="CS86" t="e">
        <f>AND('Reg Types'!#REF!,"AAAAAH8/+WA=")</f>
        <v>#REF!</v>
      </c>
      <c r="CT86" t="e">
        <f>AND('Reg Types'!#REF!,"AAAAAH8/+WE=")</f>
        <v>#REF!</v>
      </c>
      <c r="CU86" t="e">
        <f>AND('Reg Types'!#REF!,"AAAAAH8/+WI=")</f>
        <v>#REF!</v>
      </c>
      <c r="CV86" t="e">
        <f>AND('Reg Types'!#REF!,"AAAAAH8/+WM=")</f>
        <v>#REF!</v>
      </c>
      <c r="CW86" t="e">
        <f>AND('Reg Types'!#REF!,"AAAAAH8/+WQ=")</f>
        <v>#REF!</v>
      </c>
      <c r="CX86" t="e">
        <f>AND('Reg Types'!#REF!,"AAAAAH8/+WU=")</f>
        <v>#REF!</v>
      </c>
      <c r="CY86" t="e">
        <f>AND('Reg Types'!#REF!,"AAAAAH8/+WY=")</f>
        <v>#REF!</v>
      </c>
      <c r="CZ86" t="e">
        <f>AND('Reg Types'!#REF!,"AAAAAH8/+Wc=")</f>
        <v>#REF!</v>
      </c>
      <c r="DA86" t="e">
        <f>AND('Reg Types'!#REF!,"AAAAAH8/+Wg=")</f>
        <v>#REF!</v>
      </c>
      <c r="DB86" t="e">
        <f>AND('Reg Types'!#REF!,"AAAAAH8/+Wk=")</f>
        <v>#REF!</v>
      </c>
      <c r="DC86" t="e">
        <f>AND('Reg Types'!#REF!,"AAAAAH8/+Wo=")</f>
        <v>#REF!</v>
      </c>
      <c r="DD86" t="e">
        <f>IF('Reg Types'!#REF!,"AAAAAH8/+Ws=",0)</f>
        <v>#REF!</v>
      </c>
      <c r="DE86" t="e">
        <f>AND('Reg Types'!#REF!,"AAAAAH8/+Ww=")</f>
        <v>#REF!</v>
      </c>
      <c r="DF86" t="e">
        <f>AND('Reg Types'!#REF!,"AAAAAH8/+W0=")</f>
        <v>#REF!</v>
      </c>
      <c r="DG86" t="e">
        <f>AND('Reg Types'!#REF!,"AAAAAH8/+W4=")</f>
        <v>#REF!</v>
      </c>
      <c r="DH86" t="e">
        <f>AND('Reg Types'!#REF!,"AAAAAH8/+W8=")</f>
        <v>#REF!</v>
      </c>
      <c r="DI86" t="e">
        <f>AND('Reg Types'!#REF!,"AAAAAH8/+XA=")</f>
        <v>#REF!</v>
      </c>
      <c r="DJ86" t="e">
        <f>AND('Reg Types'!#REF!,"AAAAAH8/+XE=")</f>
        <v>#REF!</v>
      </c>
      <c r="DK86" t="e">
        <f>AND('Reg Types'!#REF!,"AAAAAH8/+XI=")</f>
        <v>#REF!</v>
      </c>
      <c r="DL86" t="e">
        <f>AND('Reg Types'!#REF!,"AAAAAH8/+XM=")</f>
        <v>#REF!</v>
      </c>
      <c r="DM86" t="e">
        <f>AND('Reg Types'!#REF!,"AAAAAH8/+XQ=")</f>
        <v>#REF!</v>
      </c>
      <c r="DN86" t="e">
        <f>AND('Reg Types'!#REF!,"AAAAAH8/+XU=")</f>
        <v>#REF!</v>
      </c>
      <c r="DO86" t="e">
        <f>AND('Reg Types'!#REF!,"AAAAAH8/+XY=")</f>
        <v>#REF!</v>
      </c>
      <c r="DP86" t="e">
        <f>AND('Reg Types'!#REF!,"AAAAAH8/+Xc=")</f>
        <v>#REF!</v>
      </c>
      <c r="DQ86" t="e">
        <f>AND('Reg Types'!#REF!,"AAAAAH8/+Xg=")</f>
        <v>#REF!</v>
      </c>
      <c r="DR86" t="e">
        <f>AND('Reg Types'!#REF!,"AAAAAH8/+Xk=")</f>
        <v>#REF!</v>
      </c>
      <c r="DS86" t="e">
        <f>AND('Reg Types'!#REF!,"AAAAAH8/+Xo=")</f>
        <v>#REF!</v>
      </c>
      <c r="DT86" t="e">
        <f>AND('Reg Types'!#REF!,"AAAAAH8/+Xs=")</f>
        <v>#REF!</v>
      </c>
      <c r="DU86" t="e">
        <f>AND('Reg Types'!#REF!,"AAAAAH8/+Xw=")</f>
        <v>#REF!</v>
      </c>
      <c r="DV86" t="e">
        <f>AND('Reg Types'!#REF!,"AAAAAH8/+X0=")</f>
        <v>#REF!</v>
      </c>
      <c r="DW86" t="e">
        <f>AND('Reg Types'!#REF!,"AAAAAH8/+X4=")</f>
        <v>#REF!</v>
      </c>
      <c r="DX86" t="e">
        <f>AND('Reg Types'!#REF!,"AAAAAH8/+X8=")</f>
        <v>#REF!</v>
      </c>
      <c r="DY86" t="e">
        <f>AND('Reg Types'!#REF!,"AAAAAH8/+YA=")</f>
        <v>#REF!</v>
      </c>
      <c r="DZ86" t="e">
        <f>AND('Reg Types'!#REF!,"AAAAAH8/+YE=")</f>
        <v>#REF!</v>
      </c>
      <c r="EA86" t="e">
        <f>AND('Reg Types'!#REF!,"AAAAAH8/+YI=")</f>
        <v>#REF!</v>
      </c>
      <c r="EB86" t="e">
        <f>IF('Reg Types'!#REF!,"AAAAAH8/+YM=",0)</f>
        <v>#REF!</v>
      </c>
      <c r="EC86" t="e">
        <f>AND('Reg Types'!#REF!,"AAAAAH8/+YQ=")</f>
        <v>#REF!</v>
      </c>
      <c r="ED86" t="e">
        <f>AND('Reg Types'!#REF!,"AAAAAH8/+YU=")</f>
        <v>#REF!</v>
      </c>
      <c r="EE86" t="e">
        <f>AND('Reg Types'!#REF!,"AAAAAH8/+YY=")</f>
        <v>#REF!</v>
      </c>
      <c r="EF86" t="e">
        <f>AND('Reg Types'!#REF!,"AAAAAH8/+Yc=")</f>
        <v>#REF!</v>
      </c>
      <c r="EG86" t="e">
        <f>AND('Reg Types'!#REF!,"AAAAAH8/+Yg=")</f>
        <v>#REF!</v>
      </c>
      <c r="EH86" t="e">
        <f>AND('Reg Types'!#REF!,"AAAAAH8/+Yk=")</f>
        <v>#REF!</v>
      </c>
      <c r="EI86" t="e">
        <f>AND('Reg Types'!#REF!,"AAAAAH8/+Yo=")</f>
        <v>#REF!</v>
      </c>
      <c r="EJ86" t="e">
        <f>AND('Reg Types'!#REF!,"AAAAAH8/+Ys=")</f>
        <v>#REF!</v>
      </c>
      <c r="EK86" t="e">
        <f>AND('Reg Types'!#REF!,"AAAAAH8/+Yw=")</f>
        <v>#REF!</v>
      </c>
      <c r="EL86" t="e">
        <f>AND('Reg Types'!#REF!,"AAAAAH8/+Y0=")</f>
        <v>#REF!</v>
      </c>
      <c r="EM86" t="e">
        <f>AND('Reg Types'!#REF!,"AAAAAH8/+Y4=")</f>
        <v>#REF!</v>
      </c>
      <c r="EN86" t="e">
        <f>AND('Reg Types'!#REF!,"AAAAAH8/+Y8=")</f>
        <v>#REF!</v>
      </c>
      <c r="EO86" t="e">
        <f>AND('Reg Types'!#REF!,"AAAAAH8/+ZA=")</f>
        <v>#REF!</v>
      </c>
      <c r="EP86" t="e">
        <f>AND('Reg Types'!#REF!,"AAAAAH8/+ZE=")</f>
        <v>#REF!</v>
      </c>
      <c r="EQ86" t="e">
        <f>AND('Reg Types'!#REF!,"AAAAAH8/+ZI=")</f>
        <v>#REF!</v>
      </c>
      <c r="ER86" t="e">
        <f>AND('Reg Types'!#REF!,"AAAAAH8/+ZM=")</f>
        <v>#REF!</v>
      </c>
      <c r="ES86" t="e">
        <f>AND('Reg Types'!#REF!,"AAAAAH8/+ZQ=")</f>
        <v>#REF!</v>
      </c>
      <c r="ET86" t="e">
        <f>AND('Reg Types'!#REF!,"AAAAAH8/+ZU=")</f>
        <v>#REF!</v>
      </c>
      <c r="EU86" t="e">
        <f>AND('Reg Types'!#REF!,"AAAAAH8/+ZY=")</f>
        <v>#REF!</v>
      </c>
      <c r="EV86" t="e">
        <f>AND('Reg Types'!#REF!,"AAAAAH8/+Zc=")</f>
        <v>#REF!</v>
      </c>
      <c r="EW86" t="e">
        <f>AND('Reg Types'!#REF!,"AAAAAH8/+Zg=")</f>
        <v>#REF!</v>
      </c>
      <c r="EX86" t="e">
        <f>AND('Reg Types'!#REF!,"AAAAAH8/+Zk=")</f>
        <v>#REF!</v>
      </c>
      <c r="EY86" t="e">
        <f>AND('Reg Types'!#REF!,"AAAAAH8/+Zo=")</f>
        <v>#REF!</v>
      </c>
      <c r="EZ86" t="e">
        <f>IF('Reg Types'!#REF!,"AAAAAH8/+Zs=",0)</f>
        <v>#REF!</v>
      </c>
      <c r="FA86" t="e">
        <f>AND('Reg Types'!#REF!,"AAAAAH8/+Zw=")</f>
        <v>#REF!</v>
      </c>
      <c r="FB86" t="e">
        <f>AND('Reg Types'!#REF!,"AAAAAH8/+Z0=")</f>
        <v>#REF!</v>
      </c>
      <c r="FC86" t="e">
        <f>AND('Reg Types'!#REF!,"AAAAAH8/+Z4=")</f>
        <v>#REF!</v>
      </c>
      <c r="FD86" t="e">
        <f>AND('Reg Types'!#REF!,"AAAAAH8/+Z8=")</f>
        <v>#REF!</v>
      </c>
      <c r="FE86" t="e">
        <f>AND('Reg Types'!#REF!,"AAAAAH8/+aA=")</f>
        <v>#REF!</v>
      </c>
      <c r="FF86" t="e">
        <f>AND('Reg Types'!#REF!,"AAAAAH8/+aE=")</f>
        <v>#REF!</v>
      </c>
      <c r="FG86" t="e">
        <f>AND('Reg Types'!#REF!,"AAAAAH8/+aI=")</f>
        <v>#REF!</v>
      </c>
      <c r="FH86" t="e">
        <f>AND('Reg Types'!#REF!,"AAAAAH8/+aM=")</f>
        <v>#REF!</v>
      </c>
      <c r="FI86" t="e">
        <f>AND('Reg Types'!#REF!,"AAAAAH8/+aQ=")</f>
        <v>#REF!</v>
      </c>
      <c r="FJ86" t="e">
        <f>AND('Reg Types'!#REF!,"AAAAAH8/+aU=")</f>
        <v>#REF!</v>
      </c>
      <c r="FK86" t="e">
        <f>AND('Reg Types'!#REF!,"AAAAAH8/+aY=")</f>
        <v>#REF!</v>
      </c>
      <c r="FL86" t="e">
        <f>AND('Reg Types'!#REF!,"AAAAAH8/+ac=")</f>
        <v>#REF!</v>
      </c>
      <c r="FM86" t="e">
        <f>AND('Reg Types'!#REF!,"AAAAAH8/+ag=")</f>
        <v>#REF!</v>
      </c>
      <c r="FN86" t="e">
        <f>AND('Reg Types'!#REF!,"AAAAAH8/+ak=")</f>
        <v>#REF!</v>
      </c>
      <c r="FO86" t="e">
        <f>AND('Reg Types'!#REF!,"AAAAAH8/+ao=")</f>
        <v>#REF!</v>
      </c>
      <c r="FP86" t="e">
        <f>AND('Reg Types'!#REF!,"AAAAAH8/+as=")</f>
        <v>#REF!</v>
      </c>
      <c r="FQ86" t="e">
        <f>AND('Reg Types'!#REF!,"AAAAAH8/+aw=")</f>
        <v>#REF!</v>
      </c>
      <c r="FR86" t="e">
        <f>AND('Reg Types'!#REF!,"AAAAAH8/+a0=")</f>
        <v>#REF!</v>
      </c>
      <c r="FS86" t="e">
        <f>AND('Reg Types'!#REF!,"AAAAAH8/+a4=")</f>
        <v>#REF!</v>
      </c>
      <c r="FT86" t="e">
        <f>AND('Reg Types'!#REF!,"AAAAAH8/+a8=")</f>
        <v>#REF!</v>
      </c>
      <c r="FU86" t="e">
        <f>AND('Reg Types'!#REF!,"AAAAAH8/+bA=")</f>
        <v>#REF!</v>
      </c>
      <c r="FV86" t="e">
        <f>AND('Reg Types'!#REF!,"AAAAAH8/+bE=")</f>
        <v>#REF!</v>
      </c>
      <c r="FW86" t="e">
        <f>AND('Reg Types'!#REF!,"AAAAAH8/+bI=")</f>
        <v>#REF!</v>
      </c>
      <c r="FX86" t="e">
        <f>IF('Reg Types'!#REF!,"AAAAAH8/+bM=",0)</f>
        <v>#REF!</v>
      </c>
      <c r="FY86" t="e">
        <f>AND('Reg Types'!#REF!,"AAAAAH8/+bQ=")</f>
        <v>#REF!</v>
      </c>
      <c r="FZ86" t="e">
        <f>AND('Reg Types'!#REF!,"AAAAAH8/+bU=")</f>
        <v>#REF!</v>
      </c>
      <c r="GA86" t="e">
        <f>AND('Reg Types'!#REF!,"AAAAAH8/+bY=")</f>
        <v>#REF!</v>
      </c>
      <c r="GB86" t="e">
        <f>AND('Reg Types'!#REF!,"AAAAAH8/+bc=")</f>
        <v>#REF!</v>
      </c>
      <c r="GC86" t="e">
        <f>AND('Reg Types'!#REF!,"AAAAAH8/+bg=")</f>
        <v>#REF!</v>
      </c>
      <c r="GD86" t="e">
        <f>AND('Reg Types'!#REF!,"AAAAAH8/+bk=")</f>
        <v>#REF!</v>
      </c>
      <c r="GE86" t="e">
        <f>AND('Reg Types'!#REF!,"AAAAAH8/+bo=")</f>
        <v>#REF!</v>
      </c>
      <c r="GF86" t="e">
        <f>AND('Reg Types'!#REF!,"AAAAAH8/+bs=")</f>
        <v>#REF!</v>
      </c>
      <c r="GG86" t="e">
        <f>AND('Reg Types'!#REF!,"AAAAAH8/+bw=")</f>
        <v>#REF!</v>
      </c>
      <c r="GH86" t="e">
        <f>AND('Reg Types'!#REF!,"AAAAAH8/+b0=")</f>
        <v>#REF!</v>
      </c>
      <c r="GI86" t="e">
        <f>AND('Reg Types'!#REF!,"AAAAAH8/+b4=")</f>
        <v>#REF!</v>
      </c>
      <c r="GJ86" t="e">
        <f>AND('Reg Types'!#REF!,"AAAAAH8/+b8=")</f>
        <v>#REF!</v>
      </c>
      <c r="GK86" t="e">
        <f>AND('Reg Types'!#REF!,"AAAAAH8/+cA=")</f>
        <v>#REF!</v>
      </c>
      <c r="GL86" t="e">
        <f>AND('Reg Types'!#REF!,"AAAAAH8/+cE=")</f>
        <v>#REF!</v>
      </c>
      <c r="GM86" t="e">
        <f>AND('Reg Types'!#REF!,"AAAAAH8/+cI=")</f>
        <v>#REF!</v>
      </c>
      <c r="GN86" t="e">
        <f>AND('Reg Types'!#REF!,"AAAAAH8/+cM=")</f>
        <v>#REF!</v>
      </c>
      <c r="GO86" t="e">
        <f>AND('Reg Types'!#REF!,"AAAAAH8/+cQ=")</f>
        <v>#REF!</v>
      </c>
      <c r="GP86" t="e">
        <f>AND('Reg Types'!#REF!,"AAAAAH8/+cU=")</f>
        <v>#REF!</v>
      </c>
      <c r="GQ86" t="e">
        <f>AND('Reg Types'!#REF!,"AAAAAH8/+cY=")</f>
        <v>#REF!</v>
      </c>
      <c r="GR86" t="e">
        <f>AND('Reg Types'!#REF!,"AAAAAH8/+cc=")</f>
        <v>#REF!</v>
      </c>
      <c r="GS86" t="e">
        <f>AND('Reg Types'!#REF!,"AAAAAH8/+cg=")</f>
        <v>#REF!</v>
      </c>
      <c r="GT86" t="e">
        <f>AND('Reg Types'!#REF!,"AAAAAH8/+ck=")</f>
        <v>#REF!</v>
      </c>
      <c r="GU86" t="e">
        <f>AND('Reg Types'!#REF!,"AAAAAH8/+co=")</f>
        <v>#REF!</v>
      </c>
      <c r="GV86" t="e">
        <f>IF('Reg Types'!#REF!,"AAAAAH8/+cs=",0)</f>
        <v>#REF!</v>
      </c>
      <c r="GW86" t="e">
        <f>AND('Reg Types'!#REF!,"AAAAAH8/+cw=")</f>
        <v>#REF!</v>
      </c>
      <c r="GX86" t="e">
        <f>AND('Reg Types'!#REF!,"AAAAAH8/+c0=")</f>
        <v>#REF!</v>
      </c>
      <c r="GY86" t="e">
        <f>AND('Reg Types'!#REF!,"AAAAAH8/+c4=")</f>
        <v>#REF!</v>
      </c>
      <c r="GZ86" t="e">
        <f>AND('Reg Types'!#REF!,"AAAAAH8/+c8=")</f>
        <v>#REF!</v>
      </c>
      <c r="HA86" t="e">
        <f>AND('Reg Types'!#REF!,"AAAAAH8/+dA=")</f>
        <v>#REF!</v>
      </c>
      <c r="HB86" t="e">
        <f>AND('Reg Types'!#REF!,"AAAAAH8/+dE=")</f>
        <v>#REF!</v>
      </c>
      <c r="HC86" t="e">
        <f>AND('Reg Types'!#REF!,"AAAAAH8/+dI=")</f>
        <v>#REF!</v>
      </c>
      <c r="HD86" t="e">
        <f>AND('Reg Types'!#REF!,"AAAAAH8/+dM=")</f>
        <v>#REF!</v>
      </c>
      <c r="HE86" t="e">
        <f>AND('Reg Types'!#REF!,"AAAAAH8/+dQ=")</f>
        <v>#REF!</v>
      </c>
      <c r="HF86" t="e">
        <f>AND('Reg Types'!#REF!,"AAAAAH8/+dU=")</f>
        <v>#REF!</v>
      </c>
      <c r="HG86" t="e">
        <f>AND('Reg Types'!#REF!,"AAAAAH8/+dY=")</f>
        <v>#REF!</v>
      </c>
      <c r="HH86" t="e">
        <f>AND('Reg Types'!#REF!,"AAAAAH8/+dc=")</f>
        <v>#REF!</v>
      </c>
      <c r="HI86" t="e">
        <f>AND('Reg Types'!#REF!,"AAAAAH8/+dg=")</f>
        <v>#REF!</v>
      </c>
      <c r="HJ86" t="e">
        <f>AND('Reg Types'!#REF!,"AAAAAH8/+dk=")</f>
        <v>#REF!</v>
      </c>
      <c r="HK86" t="e">
        <f>AND('Reg Types'!#REF!,"AAAAAH8/+do=")</f>
        <v>#REF!</v>
      </c>
      <c r="HL86" t="e">
        <f>AND('Reg Types'!#REF!,"AAAAAH8/+ds=")</f>
        <v>#REF!</v>
      </c>
      <c r="HM86" t="e">
        <f>AND('Reg Types'!#REF!,"AAAAAH8/+dw=")</f>
        <v>#REF!</v>
      </c>
      <c r="HN86" t="e">
        <f>AND('Reg Types'!#REF!,"AAAAAH8/+d0=")</f>
        <v>#REF!</v>
      </c>
      <c r="HO86" t="e">
        <f>AND('Reg Types'!#REF!,"AAAAAH8/+d4=")</f>
        <v>#REF!</v>
      </c>
      <c r="HP86" t="e">
        <f>AND('Reg Types'!#REF!,"AAAAAH8/+d8=")</f>
        <v>#REF!</v>
      </c>
      <c r="HQ86" t="e">
        <f>AND('Reg Types'!#REF!,"AAAAAH8/+eA=")</f>
        <v>#REF!</v>
      </c>
      <c r="HR86" t="e">
        <f>AND('Reg Types'!#REF!,"AAAAAH8/+eE=")</f>
        <v>#REF!</v>
      </c>
      <c r="HS86" t="e">
        <f>AND('Reg Types'!#REF!,"AAAAAH8/+eI=")</f>
        <v>#REF!</v>
      </c>
      <c r="HT86" t="e">
        <f>IF('Reg Types'!#REF!,"AAAAAH8/+eM=",0)</f>
        <v>#REF!</v>
      </c>
      <c r="HU86" t="e">
        <f>AND('Reg Types'!#REF!,"AAAAAH8/+eQ=")</f>
        <v>#REF!</v>
      </c>
      <c r="HV86" t="e">
        <f>AND('Reg Types'!#REF!,"AAAAAH8/+eU=")</f>
        <v>#REF!</v>
      </c>
      <c r="HW86" t="e">
        <f>AND('Reg Types'!#REF!,"AAAAAH8/+eY=")</f>
        <v>#REF!</v>
      </c>
      <c r="HX86" t="e">
        <f>AND('Reg Types'!#REF!,"AAAAAH8/+ec=")</f>
        <v>#REF!</v>
      </c>
      <c r="HY86" t="e">
        <f>AND('Reg Types'!#REF!,"AAAAAH8/+eg=")</f>
        <v>#REF!</v>
      </c>
      <c r="HZ86" t="e">
        <f>AND('Reg Types'!#REF!,"AAAAAH8/+ek=")</f>
        <v>#REF!</v>
      </c>
      <c r="IA86" t="e">
        <f>AND('Reg Types'!#REF!,"AAAAAH8/+eo=")</f>
        <v>#REF!</v>
      </c>
      <c r="IB86" t="e">
        <f>AND('Reg Types'!#REF!,"AAAAAH8/+es=")</f>
        <v>#REF!</v>
      </c>
      <c r="IC86" t="e">
        <f>AND('Reg Types'!#REF!,"AAAAAH8/+ew=")</f>
        <v>#REF!</v>
      </c>
      <c r="ID86" t="e">
        <f>AND('Reg Types'!#REF!,"AAAAAH8/+e0=")</f>
        <v>#REF!</v>
      </c>
      <c r="IE86" t="e">
        <f>AND('Reg Types'!#REF!,"AAAAAH8/+e4=")</f>
        <v>#REF!</v>
      </c>
      <c r="IF86" t="e">
        <f>AND('Reg Types'!#REF!,"AAAAAH8/+e8=")</f>
        <v>#REF!</v>
      </c>
      <c r="IG86" t="e">
        <f>AND('Reg Types'!#REF!,"AAAAAH8/+fA=")</f>
        <v>#REF!</v>
      </c>
      <c r="IH86" t="e">
        <f>AND('Reg Types'!#REF!,"AAAAAH8/+fE=")</f>
        <v>#REF!</v>
      </c>
      <c r="II86" t="e">
        <f>AND('Reg Types'!#REF!,"AAAAAH8/+fI=")</f>
        <v>#REF!</v>
      </c>
      <c r="IJ86" t="e">
        <f>AND('Reg Types'!#REF!,"AAAAAH8/+fM=")</f>
        <v>#REF!</v>
      </c>
      <c r="IK86" t="e">
        <f>AND('Reg Types'!#REF!,"AAAAAH8/+fQ=")</f>
        <v>#REF!</v>
      </c>
      <c r="IL86" t="e">
        <f>AND('Reg Types'!#REF!,"AAAAAH8/+fU=")</f>
        <v>#REF!</v>
      </c>
      <c r="IM86" t="e">
        <f>AND('Reg Types'!#REF!,"AAAAAH8/+fY=")</f>
        <v>#REF!</v>
      </c>
      <c r="IN86" t="e">
        <f>AND('Reg Types'!#REF!,"AAAAAH8/+fc=")</f>
        <v>#REF!</v>
      </c>
      <c r="IO86" t="e">
        <f>AND('Reg Types'!#REF!,"AAAAAH8/+fg=")</f>
        <v>#REF!</v>
      </c>
      <c r="IP86" t="e">
        <f>AND('Reg Types'!#REF!,"AAAAAH8/+fk=")</f>
        <v>#REF!</v>
      </c>
      <c r="IQ86" t="e">
        <f>AND('Reg Types'!#REF!,"AAAAAH8/+fo=")</f>
        <v>#REF!</v>
      </c>
      <c r="IR86" t="e">
        <f>IF('Reg Types'!#REF!,"AAAAAH8/+fs=",0)</f>
        <v>#REF!</v>
      </c>
      <c r="IS86" t="e">
        <f>AND('Reg Types'!#REF!,"AAAAAH8/+fw=")</f>
        <v>#REF!</v>
      </c>
      <c r="IT86" t="e">
        <f>AND('Reg Types'!#REF!,"AAAAAH8/+f0=")</f>
        <v>#REF!</v>
      </c>
      <c r="IU86" t="e">
        <f>AND('Reg Types'!#REF!,"AAAAAH8/+f4=")</f>
        <v>#REF!</v>
      </c>
      <c r="IV86" t="e">
        <f>AND('Reg Types'!#REF!,"AAAAAH8/+f8=")</f>
        <v>#REF!</v>
      </c>
    </row>
    <row r="87" spans="1:256" x14ac:dyDescent="0.2">
      <c r="A87" t="e">
        <f>AND('Reg Types'!#REF!,"AAAAAF93PwA=")</f>
        <v>#REF!</v>
      </c>
      <c r="B87" t="e">
        <f>AND('Reg Types'!#REF!,"AAAAAF93PwE=")</f>
        <v>#REF!</v>
      </c>
      <c r="C87" t="e">
        <f>AND('Reg Types'!#REF!,"AAAAAF93PwI=")</f>
        <v>#REF!</v>
      </c>
      <c r="D87" t="e">
        <f>AND('Reg Types'!#REF!,"AAAAAF93PwM=")</f>
        <v>#REF!</v>
      </c>
      <c r="E87" t="e">
        <f>AND('Reg Types'!#REF!,"AAAAAF93PwQ=")</f>
        <v>#REF!</v>
      </c>
      <c r="F87" t="e">
        <f>AND('Reg Types'!#REF!,"AAAAAF93PwU=")</f>
        <v>#REF!</v>
      </c>
      <c r="G87" t="e">
        <f>AND('Reg Types'!#REF!,"AAAAAF93PwY=")</f>
        <v>#REF!</v>
      </c>
      <c r="H87" t="e">
        <f>AND('Reg Types'!#REF!,"AAAAAF93Pwc=")</f>
        <v>#REF!</v>
      </c>
      <c r="I87" t="e">
        <f>AND('Reg Types'!#REF!,"AAAAAF93Pwg=")</f>
        <v>#REF!</v>
      </c>
      <c r="J87" t="e">
        <f>AND('Reg Types'!#REF!,"AAAAAF93Pwk=")</f>
        <v>#REF!</v>
      </c>
      <c r="K87" t="e">
        <f>AND('Reg Types'!#REF!,"AAAAAF93Pwo=")</f>
        <v>#REF!</v>
      </c>
      <c r="L87" t="e">
        <f>AND('Reg Types'!#REF!,"AAAAAF93Pws=")</f>
        <v>#REF!</v>
      </c>
      <c r="M87" t="e">
        <f>AND('Reg Types'!#REF!,"AAAAAF93Pww=")</f>
        <v>#REF!</v>
      </c>
      <c r="N87" t="e">
        <f>AND('Reg Types'!#REF!,"AAAAAF93Pw0=")</f>
        <v>#REF!</v>
      </c>
      <c r="O87" t="e">
        <f>AND('Reg Types'!#REF!,"AAAAAF93Pw4=")</f>
        <v>#REF!</v>
      </c>
      <c r="P87" t="e">
        <f>AND('Reg Types'!#REF!,"AAAAAF93Pw8=")</f>
        <v>#REF!</v>
      </c>
      <c r="Q87" t="e">
        <f>AND('Reg Types'!#REF!,"AAAAAF93PxA=")</f>
        <v>#REF!</v>
      </c>
      <c r="R87" t="e">
        <f>AND('Reg Types'!#REF!,"AAAAAF93PxE=")</f>
        <v>#REF!</v>
      </c>
      <c r="S87" t="e">
        <f>AND('Reg Types'!#REF!,"AAAAAF93PxI=")</f>
        <v>#REF!</v>
      </c>
      <c r="T87" t="e">
        <f>IF('Reg Types'!#REF!,"AAAAAF93PxM=",0)</f>
        <v>#REF!</v>
      </c>
      <c r="U87" t="e">
        <f>AND('Reg Types'!#REF!,"AAAAAF93PxQ=")</f>
        <v>#REF!</v>
      </c>
      <c r="V87" t="e">
        <f>AND('Reg Types'!#REF!,"AAAAAF93PxU=")</f>
        <v>#REF!</v>
      </c>
      <c r="W87" t="e">
        <f>AND('Reg Types'!#REF!,"AAAAAF93PxY=")</f>
        <v>#REF!</v>
      </c>
      <c r="X87" t="e">
        <f>AND('Reg Types'!#REF!,"AAAAAF93Pxc=")</f>
        <v>#REF!</v>
      </c>
      <c r="Y87" t="e">
        <f>AND('Reg Types'!#REF!,"AAAAAF93Pxg=")</f>
        <v>#REF!</v>
      </c>
      <c r="Z87" t="e">
        <f>AND('Reg Types'!#REF!,"AAAAAF93Pxk=")</f>
        <v>#REF!</v>
      </c>
      <c r="AA87" t="e">
        <f>AND('Reg Types'!#REF!,"AAAAAF93Pxo=")</f>
        <v>#REF!</v>
      </c>
      <c r="AB87" t="e">
        <f>AND('Reg Types'!#REF!,"AAAAAF93Pxs=")</f>
        <v>#REF!</v>
      </c>
      <c r="AC87" t="e">
        <f>AND('Reg Types'!#REF!,"AAAAAF93Pxw=")</f>
        <v>#REF!</v>
      </c>
      <c r="AD87" t="e">
        <f>AND('Reg Types'!#REF!,"AAAAAF93Px0=")</f>
        <v>#REF!</v>
      </c>
      <c r="AE87" t="e">
        <f>AND('Reg Types'!#REF!,"AAAAAF93Px4=")</f>
        <v>#REF!</v>
      </c>
      <c r="AF87" t="e">
        <f>AND('Reg Types'!#REF!,"AAAAAF93Px8=")</f>
        <v>#REF!</v>
      </c>
      <c r="AG87" t="e">
        <f>AND('Reg Types'!#REF!,"AAAAAF93PyA=")</f>
        <v>#REF!</v>
      </c>
      <c r="AH87" t="e">
        <f>AND('Reg Types'!#REF!,"AAAAAF93PyE=")</f>
        <v>#REF!</v>
      </c>
      <c r="AI87" t="e">
        <f>AND('Reg Types'!#REF!,"AAAAAF93PyI=")</f>
        <v>#REF!</v>
      </c>
      <c r="AJ87" t="e">
        <f>AND('Reg Types'!#REF!,"AAAAAF93PyM=")</f>
        <v>#REF!</v>
      </c>
      <c r="AK87" t="e">
        <f>AND('Reg Types'!#REF!,"AAAAAF93PyQ=")</f>
        <v>#REF!</v>
      </c>
      <c r="AL87" t="e">
        <f>AND('Reg Types'!#REF!,"AAAAAF93PyU=")</f>
        <v>#REF!</v>
      </c>
      <c r="AM87" t="e">
        <f>AND('Reg Types'!#REF!,"AAAAAF93PyY=")</f>
        <v>#REF!</v>
      </c>
      <c r="AN87" t="e">
        <f>AND('Reg Types'!#REF!,"AAAAAF93Pyc=")</f>
        <v>#REF!</v>
      </c>
      <c r="AO87" t="e">
        <f>AND('Reg Types'!#REF!,"AAAAAF93Pyg=")</f>
        <v>#REF!</v>
      </c>
      <c r="AP87" t="e">
        <f>AND('Reg Types'!#REF!,"AAAAAF93Pyk=")</f>
        <v>#REF!</v>
      </c>
      <c r="AQ87" t="e">
        <f>AND('Reg Types'!#REF!,"AAAAAF93Pyo=")</f>
        <v>#REF!</v>
      </c>
      <c r="AR87" t="e">
        <f>IF('Reg Types'!#REF!,"AAAAAF93Pys=",0)</f>
        <v>#REF!</v>
      </c>
      <c r="AS87" t="e">
        <f>AND('Reg Types'!#REF!,"AAAAAF93Pyw=")</f>
        <v>#REF!</v>
      </c>
      <c r="AT87" t="e">
        <f>AND('Reg Types'!#REF!,"AAAAAF93Py0=")</f>
        <v>#REF!</v>
      </c>
      <c r="AU87" t="e">
        <f>AND('Reg Types'!#REF!,"AAAAAF93Py4=")</f>
        <v>#REF!</v>
      </c>
      <c r="AV87" t="e">
        <f>AND('Reg Types'!#REF!,"AAAAAF93Py8=")</f>
        <v>#REF!</v>
      </c>
      <c r="AW87" t="e">
        <f>AND('Reg Types'!#REF!,"AAAAAF93PzA=")</f>
        <v>#REF!</v>
      </c>
      <c r="AX87" t="e">
        <f>AND('Reg Types'!#REF!,"AAAAAF93PzE=")</f>
        <v>#REF!</v>
      </c>
      <c r="AY87" t="e">
        <f>AND('Reg Types'!#REF!,"AAAAAF93PzI=")</f>
        <v>#REF!</v>
      </c>
      <c r="AZ87" t="e">
        <f>AND('Reg Types'!#REF!,"AAAAAF93PzM=")</f>
        <v>#REF!</v>
      </c>
      <c r="BA87" t="e">
        <f>AND('Reg Types'!#REF!,"AAAAAF93PzQ=")</f>
        <v>#REF!</v>
      </c>
      <c r="BB87" t="e">
        <f>AND('Reg Types'!#REF!,"AAAAAF93PzU=")</f>
        <v>#REF!</v>
      </c>
      <c r="BC87" t="e">
        <f>AND('Reg Types'!#REF!,"AAAAAF93PzY=")</f>
        <v>#REF!</v>
      </c>
      <c r="BD87" t="e">
        <f>AND('Reg Types'!#REF!,"AAAAAF93Pzc=")</f>
        <v>#REF!</v>
      </c>
      <c r="BE87" t="e">
        <f>AND('Reg Types'!#REF!,"AAAAAF93Pzg=")</f>
        <v>#REF!</v>
      </c>
      <c r="BF87" t="e">
        <f>AND('Reg Types'!#REF!,"AAAAAF93Pzk=")</f>
        <v>#REF!</v>
      </c>
      <c r="BG87" t="e">
        <f>AND('Reg Types'!#REF!,"AAAAAF93Pzo=")</f>
        <v>#REF!</v>
      </c>
      <c r="BH87" t="e">
        <f>AND('Reg Types'!#REF!,"AAAAAF93Pzs=")</f>
        <v>#REF!</v>
      </c>
      <c r="BI87" t="e">
        <f>AND('Reg Types'!#REF!,"AAAAAF93Pzw=")</f>
        <v>#REF!</v>
      </c>
      <c r="BJ87" t="e">
        <f>AND('Reg Types'!#REF!,"AAAAAF93Pz0=")</f>
        <v>#REF!</v>
      </c>
      <c r="BK87" t="e">
        <f>AND('Reg Types'!#REF!,"AAAAAF93Pz4=")</f>
        <v>#REF!</v>
      </c>
      <c r="BL87" t="e">
        <f>AND('Reg Types'!#REF!,"AAAAAF93Pz8=")</f>
        <v>#REF!</v>
      </c>
      <c r="BM87" t="e">
        <f>AND('Reg Types'!#REF!,"AAAAAF93P0A=")</f>
        <v>#REF!</v>
      </c>
      <c r="BN87" t="e">
        <f>AND('Reg Types'!#REF!,"AAAAAF93P0E=")</f>
        <v>#REF!</v>
      </c>
      <c r="BO87" t="e">
        <f>AND('Reg Types'!#REF!,"AAAAAF93P0I=")</f>
        <v>#REF!</v>
      </c>
      <c r="BP87" t="e">
        <f>IF('Reg Types'!#REF!,"AAAAAF93P0M=",0)</f>
        <v>#REF!</v>
      </c>
      <c r="BQ87" t="e">
        <f>AND('Reg Types'!#REF!,"AAAAAF93P0Q=")</f>
        <v>#REF!</v>
      </c>
      <c r="BR87" t="e">
        <f>AND('Reg Types'!#REF!,"AAAAAF93P0U=")</f>
        <v>#REF!</v>
      </c>
      <c r="BS87" t="e">
        <f>AND('Reg Types'!#REF!,"AAAAAF93P0Y=")</f>
        <v>#REF!</v>
      </c>
      <c r="BT87" t="e">
        <f>AND('Reg Types'!#REF!,"AAAAAF93P0c=")</f>
        <v>#REF!</v>
      </c>
      <c r="BU87" t="e">
        <f>AND('Reg Types'!#REF!,"AAAAAF93P0g=")</f>
        <v>#REF!</v>
      </c>
      <c r="BV87" t="e">
        <f>AND('Reg Types'!#REF!,"AAAAAF93P0k=")</f>
        <v>#REF!</v>
      </c>
      <c r="BW87" t="e">
        <f>AND('Reg Types'!#REF!,"AAAAAF93P0o=")</f>
        <v>#REF!</v>
      </c>
      <c r="BX87" t="e">
        <f>AND('Reg Types'!#REF!,"AAAAAF93P0s=")</f>
        <v>#REF!</v>
      </c>
      <c r="BY87" t="e">
        <f>AND('Reg Types'!#REF!,"AAAAAF93P0w=")</f>
        <v>#REF!</v>
      </c>
      <c r="BZ87" t="e">
        <f>AND('Reg Types'!#REF!,"AAAAAF93P00=")</f>
        <v>#REF!</v>
      </c>
      <c r="CA87" t="e">
        <f>AND('Reg Types'!#REF!,"AAAAAF93P04=")</f>
        <v>#REF!</v>
      </c>
      <c r="CB87" t="e">
        <f>AND('Reg Types'!#REF!,"AAAAAF93P08=")</f>
        <v>#REF!</v>
      </c>
      <c r="CC87" t="e">
        <f>AND('Reg Types'!#REF!,"AAAAAF93P1A=")</f>
        <v>#REF!</v>
      </c>
      <c r="CD87" t="e">
        <f>AND('Reg Types'!#REF!,"AAAAAF93P1E=")</f>
        <v>#REF!</v>
      </c>
      <c r="CE87" t="e">
        <f>AND('Reg Types'!#REF!,"AAAAAF93P1I=")</f>
        <v>#REF!</v>
      </c>
      <c r="CF87" t="e">
        <f>AND('Reg Types'!#REF!,"AAAAAF93P1M=")</f>
        <v>#REF!</v>
      </c>
      <c r="CG87" t="e">
        <f>AND('Reg Types'!#REF!,"AAAAAF93P1Q=")</f>
        <v>#REF!</v>
      </c>
      <c r="CH87" t="e">
        <f>AND('Reg Types'!#REF!,"AAAAAF93P1U=")</f>
        <v>#REF!</v>
      </c>
      <c r="CI87" t="e">
        <f>AND('Reg Types'!#REF!,"AAAAAF93P1Y=")</f>
        <v>#REF!</v>
      </c>
      <c r="CJ87" t="e">
        <f>AND('Reg Types'!#REF!,"AAAAAF93P1c=")</f>
        <v>#REF!</v>
      </c>
      <c r="CK87" t="e">
        <f>AND('Reg Types'!#REF!,"AAAAAF93P1g=")</f>
        <v>#REF!</v>
      </c>
      <c r="CL87" t="e">
        <f>AND('Reg Types'!#REF!,"AAAAAF93P1k=")</f>
        <v>#REF!</v>
      </c>
      <c r="CM87" t="e">
        <f>AND('Reg Types'!#REF!,"AAAAAF93P1o=")</f>
        <v>#REF!</v>
      </c>
      <c r="CN87" t="e">
        <f>IF('Reg Types'!#REF!,"AAAAAF93P1s=",0)</f>
        <v>#REF!</v>
      </c>
      <c r="CO87" t="e">
        <f>AND('Reg Types'!#REF!,"AAAAAF93P1w=")</f>
        <v>#REF!</v>
      </c>
      <c r="CP87" t="e">
        <f>AND('Reg Types'!#REF!,"AAAAAF93P10=")</f>
        <v>#REF!</v>
      </c>
      <c r="CQ87" t="e">
        <f>AND('Reg Types'!#REF!,"AAAAAF93P14=")</f>
        <v>#REF!</v>
      </c>
      <c r="CR87" t="e">
        <f>AND('Reg Types'!#REF!,"AAAAAF93P18=")</f>
        <v>#REF!</v>
      </c>
      <c r="CS87" t="e">
        <f>AND('Reg Types'!#REF!,"AAAAAF93P2A=")</f>
        <v>#REF!</v>
      </c>
      <c r="CT87" t="e">
        <f>AND('Reg Types'!#REF!,"AAAAAF93P2E=")</f>
        <v>#REF!</v>
      </c>
      <c r="CU87" t="e">
        <f>AND('Reg Types'!#REF!,"AAAAAF93P2I=")</f>
        <v>#REF!</v>
      </c>
      <c r="CV87" t="e">
        <f>AND('Reg Types'!#REF!,"AAAAAF93P2M=")</f>
        <v>#REF!</v>
      </c>
      <c r="CW87" t="e">
        <f>AND('Reg Types'!#REF!,"AAAAAF93P2Q=")</f>
        <v>#REF!</v>
      </c>
      <c r="CX87" t="e">
        <f>AND('Reg Types'!#REF!,"AAAAAF93P2U=")</f>
        <v>#REF!</v>
      </c>
      <c r="CY87" t="e">
        <f>AND('Reg Types'!#REF!,"AAAAAF93P2Y=")</f>
        <v>#REF!</v>
      </c>
      <c r="CZ87" t="e">
        <f>AND('Reg Types'!#REF!,"AAAAAF93P2c=")</f>
        <v>#REF!</v>
      </c>
      <c r="DA87" t="e">
        <f>AND('Reg Types'!#REF!,"AAAAAF93P2g=")</f>
        <v>#REF!</v>
      </c>
      <c r="DB87" t="e">
        <f>AND('Reg Types'!#REF!,"AAAAAF93P2k=")</f>
        <v>#REF!</v>
      </c>
      <c r="DC87" t="e">
        <f>AND('Reg Types'!#REF!,"AAAAAF93P2o=")</f>
        <v>#REF!</v>
      </c>
      <c r="DD87" t="e">
        <f>AND('Reg Types'!#REF!,"AAAAAF93P2s=")</f>
        <v>#REF!</v>
      </c>
      <c r="DE87" t="e">
        <f>AND('Reg Types'!#REF!,"AAAAAF93P2w=")</f>
        <v>#REF!</v>
      </c>
      <c r="DF87" t="e">
        <f>AND('Reg Types'!#REF!,"AAAAAF93P20=")</f>
        <v>#REF!</v>
      </c>
      <c r="DG87" t="e">
        <f>AND('Reg Types'!#REF!,"AAAAAF93P24=")</f>
        <v>#REF!</v>
      </c>
      <c r="DH87" t="e">
        <f>AND('Reg Types'!#REF!,"AAAAAF93P28=")</f>
        <v>#REF!</v>
      </c>
      <c r="DI87" t="e">
        <f>AND('Reg Types'!#REF!,"AAAAAF93P3A=")</f>
        <v>#REF!</v>
      </c>
      <c r="DJ87" t="e">
        <f>AND('Reg Types'!#REF!,"AAAAAF93P3E=")</f>
        <v>#REF!</v>
      </c>
      <c r="DK87" t="e">
        <f>AND('Reg Types'!#REF!,"AAAAAF93P3I=")</f>
        <v>#REF!</v>
      </c>
      <c r="DL87" t="e">
        <f>IF('Reg Types'!#REF!,"AAAAAF93P3M=",0)</f>
        <v>#REF!</v>
      </c>
      <c r="DM87" t="e">
        <f>AND('Reg Types'!#REF!,"AAAAAF93P3Q=")</f>
        <v>#REF!</v>
      </c>
      <c r="DN87" t="e">
        <f>AND('Reg Types'!#REF!,"AAAAAF93P3U=")</f>
        <v>#REF!</v>
      </c>
      <c r="DO87" t="e">
        <f>AND('Reg Types'!#REF!,"AAAAAF93P3Y=")</f>
        <v>#REF!</v>
      </c>
      <c r="DP87" t="e">
        <f>AND('Reg Types'!#REF!,"AAAAAF93P3c=")</f>
        <v>#REF!</v>
      </c>
      <c r="DQ87" t="e">
        <f>AND('Reg Types'!#REF!,"AAAAAF93P3g=")</f>
        <v>#REF!</v>
      </c>
      <c r="DR87" t="e">
        <f>AND('Reg Types'!#REF!,"AAAAAF93P3k=")</f>
        <v>#REF!</v>
      </c>
      <c r="DS87" t="e">
        <f>AND('Reg Types'!#REF!,"AAAAAF93P3o=")</f>
        <v>#REF!</v>
      </c>
      <c r="DT87" t="e">
        <f>AND('Reg Types'!#REF!,"AAAAAF93P3s=")</f>
        <v>#REF!</v>
      </c>
      <c r="DU87" t="e">
        <f>AND('Reg Types'!#REF!,"AAAAAF93P3w=")</f>
        <v>#REF!</v>
      </c>
      <c r="DV87" t="e">
        <f>AND('Reg Types'!#REF!,"AAAAAF93P30=")</f>
        <v>#REF!</v>
      </c>
      <c r="DW87" t="e">
        <f>AND('Reg Types'!#REF!,"AAAAAF93P34=")</f>
        <v>#REF!</v>
      </c>
      <c r="DX87" t="e">
        <f>AND('Reg Types'!#REF!,"AAAAAF93P38=")</f>
        <v>#REF!</v>
      </c>
      <c r="DY87" t="e">
        <f>AND('Reg Types'!#REF!,"AAAAAF93P4A=")</f>
        <v>#REF!</v>
      </c>
      <c r="DZ87" t="e">
        <f>AND('Reg Types'!#REF!,"AAAAAF93P4E=")</f>
        <v>#REF!</v>
      </c>
      <c r="EA87" t="e">
        <f>AND('Reg Types'!#REF!,"AAAAAF93P4I=")</f>
        <v>#REF!</v>
      </c>
      <c r="EB87" t="e">
        <f>AND('Reg Types'!#REF!,"AAAAAF93P4M=")</f>
        <v>#REF!</v>
      </c>
      <c r="EC87" t="e">
        <f>AND('Reg Types'!#REF!,"AAAAAF93P4Q=")</f>
        <v>#REF!</v>
      </c>
      <c r="ED87" t="e">
        <f>AND('Reg Types'!#REF!,"AAAAAF93P4U=")</f>
        <v>#REF!</v>
      </c>
      <c r="EE87" t="e">
        <f>AND('Reg Types'!#REF!,"AAAAAF93P4Y=")</f>
        <v>#REF!</v>
      </c>
      <c r="EF87" t="e">
        <f>AND('Reg Types'!#REF!,"AAAAAF93P4c=")</f>
        <v>#REF!</v>
      </c>
      <c r="EG87" t="e">
        <f>AND('Reg Types'!#REF!,"AAAAAF93P4g=")</f>
        <v>#REF!</v>
      </c>
      <c r="EH87" t="e">
        <f>AND('Reg Types'!#REF!,"AAAAAF93P4k=")</f>
        <v>#REF!</v>
      </c>
      <c r="EI87" t="e">
        <f>AND('Reg Types'!#REF!,"AAAAAF93P4o=")</f>
        <v>#REF!</v>
      </c>
      <c r="EJ87" t="e">
        <f>IF('Reg Types'!#REF!,"AAAAAF93P4s=",0)</f>
        <v>#REF!</v>
      </c>
      <c r="EK87" t="e">
        <f>AND('Reg Types'!#REF!,"AAAAAF93P4w=")</f>
        <v>#REF!</v>
      </c>
      <c r="EL87" t="e">
        <f>AND('Reg Types'!#REF!,"AAAAAF93P40=")</f>
        <v>#REF!</v>
      </c>
      <c r="EM87" t="e">
        <f>AND('Reg Types'!#REF!,"AAAAAF93P44=")</f>
        <v>#REF!</v>
      </c>
      <c r="EN87" t="e">
        <f>AND('Reg Types'!#REF!,"AAAAAF93P48=")</f>
        <v>#REF!</v>
      </c>
      <c r="EO87" t="e">
        <f>AND('Reg Types'!#REF!,"AAAAAF93P5A=")</f>
        <v>#REF!</v>
      </c>
      <c r="EP87" t="e">
        <f>AND('Reg Types'!#REF!,"AAAAAF93P5E=")</f>
        <v>#REF!</v>
      </c>
      <c r="EQ87" t="e">
        <f>AND('Reg Types'!#REF!,"AAAAAF93P5I=")</f>
        <v>#REF!</v>
      </c>
      <c r="ER87" t="e">
        <f>AND('Reg Types'!#REF!,"AAAAAF93P5M=")</f>
        <v>#REF!</v>
      </c>
      <c r="ES87" t="e">
        <f>AND('Reg Types'!#REF!,"AAAAAF93P5Q=")</f>
        <v>#REF!</v>
      </c>
      <c r="ET87" t="e">
        <f>AND('Reg Types'!#REF!,"AAAAAF93P5U=")</f>
        <v>#REF!</v>
      </c>
      <c r="EU87" t="e">
        <f>AND('Reg Types'!#REF!,"AAAAAF93P5Y=")</f>
        <v>#REF!</v>
      </c>
      <c r="EV87" t="e">
        <f>AND('Reg Types'!#REF!,"AAAAAF93P5c=")</f>
        <v>#REF!</v>
      </c>
      <c r="EW87" t="e">
        <f>AND('Reg Types'!#REF!,"AAAAAF93P5g=")</f>
        <v>#REF!</v>
      </c>
      <c r="EX87" t="e">
        <f>AND('Reg Types'!#REF!,"AAAAAF93P5k=")</f>
        <v>#REF!</v>
      </c>
      <c r="EY87" t="e">
        <f>AND('Reg Types'!#REF!,"AAAAAF93P5o=")</f>
        <v>#REF!</v>
      </c>
      <c r="EZ87" t="e">
        <f>AND('Reg Types'!#REF!,"AAAAAF93P5s=")</f>
        <v>#REF!</v>
      </c>
      <c r="FA87" t="e">
        <f>AND('Reg Types'!#REF!,"AAAAAF93P5w=")</f>
        <v>#REF!</v>
      </c>
      <c r="FB87" t="e">
        <f>AND('Reg Types'!#REF!,"AAAAAF93P50=")</f>
        <v>#REF!</v>
      </c>
      <c r="FC87" t="e">
        <f>AND('Reg Types'!#REF!,"AAAAAF93P54=")</f>
        <v>#REF!</v>
      </c>
      <c r="FD87" t="e">
        <f>AND('Reg Types'!#REF!,"AAAAAF93P58=")</f>
        <v>#REF!</v>
      </c>
      <c r="FE87" t="e">
        <f>AND('Reg Types'!#REF!,"AAAAAF93P6A=")</f>
        <v>#REF!</v>
      </c>
      <c r="FF87" t="e">
        <f>AND('Reg Types'!#REF!,"AAAAAF93P6E=")</f>
        <v>#REF!</v>
      </c>
      <c r="FG87" t="e">
        <f>AND('Reg Types'!#REF!,"AAAAAF93P6I=")</f>
        <v>#REF!</v>
      </c>
      <c r="FH87" t="e">
        <f>IF('Reg Types'!#REF!,"AAAAAF93P6M=",0)</f>
        <v>#REF!</v>
      </c>
      <c r="FI87" t="e">
        <f>AND('Reg Types'!#REF!,"AAAAAF93P6Q=")</f>
        <v>#REF!</v>
      </c>
      <c r="FJ87" t="e">
        <f>AND('Reg Types'!#REF!,"AAAAAF93P6U=")</f>
        <v>#REF!</v>
      </c>
      <c r="FK87" t="e">
        <f>AND('Reg Types'!#REF!,"AAAAAF93P6Y=")</f>
        <v>#REF!</v>
      </c>
      <c r="FL87" t="e">
        <f>AND('Reg Types'!#REF!,"AAAAAF93P6c=")</f>
        <v>#REF!</v>
      </c>
      <c r="FM87" t="e">
        <f>AND('Reg Types'!#REF!,"AAAAAF93P6g=")</f>
        <v>#REF!</v>
      </c>
      <c r="FN87" t="e">
        <f>AND('Reg Types'!#REF!,"AAAAAF93P6k=")</f>
        <v>#REF!</v>
      </c>
      <c r="FO87" t="e">
        <f>AND('Reg Types'!#REF!,"AAAAAF93P6o=")</f>
        <v>#REF!</v>
      </c>
      <c r="FP87" t="e">
        <f>AND('Reg Types'!#REF!,"AAAAAF93P6s=")</f>
        <v>#REF!</v>
      </c>
      <c r="FQ87" t="e">
        <f>AND('Reg Types'!#REF!,"AAAAAF93P6w=")</f>
        <v>#REF!</v>
      </c>
      <c r="FR87" t="e">
        <f>AND('Reg Types'!#REF!,"AAAAAF93P60=")</f>
        <v>#REF!</v>
      </c>
      <c r="FS87" t="e">
        <f>AND('Reg Types'!#REF!,"AAAAAF93P64=")</f>
        <v>#REF!</v>
      </c>
      <c r="FT87" t="e">
        <f>AND('Reg Types'!#REF!,"AAAAAF93P68=")</f>
        <v>#REF!</v>
      </c>
      <c r="FU87" t="e">
        <f>AND('Reg Types'!#REF!,"AAAAAF93P7A=")</f>
        <v>#REF!</v>
      </c>
      <c r="FV87" t="e">
        <f>AND('Reg Types'!#REF!,"AAAAAF93P7E=")</f>
        <v>#REF!</v>
      </c>
      <c r="FW87" t="e">
        <f>AND('Reg Types'!#REF!,"AAAAAF93P7I=")</f>
        <v>#REF!</v>
      </c>
      <c r="FX87" t="e">
        <f>AND('Reg Types'!#REF!,"AAAAAF93P7M=")</f>
        <v>#REF!</v>
      </c>
      <c r="FY87" t="e">
        <f>AND('Reg Types'!#REF!,"AAAAAF93P7Q=")</f>
        <v>#REF!</v>
      </c>
      <c r="FZ87" t="e">
        <f>AND('Reg Types'!#REF!,"AAAAAF93P7U=")</f>
        <v>#REF!</v>
      </c>
      <c r="GA87" t="e">
        <f>AND('Reg Types'!#REF!,"AAAAAF93P7Y=")</f>
        <v>#REF!</v>
      </c>
      <c r="GB87" t="e">
        <f>AND('Reg Types'!#REF!,"AAAAAF93P7c=")</f>
        <v>#REF!</v>
      </c>
      <c r="GC87" t="e">
        <f>AND('Reg Types'!#REF!,"AAAAAF93P7g=")</f>
        <v>#REF!</v>
      </c>
      <c r="GD87" t="e">
        <f>AND('Reg Types'!#REF!,"AAAAAF93P7k=")</f>
        <v>#REF!</v>
      </c>
      <c r="GE87" t="e">
        <f>AND('Reg Types'!#REF!,"AAAAAF93P7o=")</f>
        <v>#REF!</v>
      </c>
      <c r="GF87" t="e">
        <f>IF('Reg Types'!#REF!,"AAAAAF93P7s=",0)</f>
        <v>#REF!</v>
      </c>
      <c r="GG87" t="e">
        <f>AND('Reg Types'!#REF!,"AAAAAF93P7w=")</f>
        <v>#REF!</v>
      </c>
      <c r="GH87" t="e">
        <f>AND('Reg Types'!#REF!,"AAAAAF93P70=")</f>
        <v>#REF!</v>
      </c>
      <c r="GI87" t="e">
        <f>AND('Reg Types'!#REF!,"AAAAAF93P74=")</f>
        <v>#REF!</v>
      </c>
      <c r="GJ87" t="e">
        <f>AND('Reg Types'!#REF!,"AAAAAF93P78=")</f>
        <v>#REF!</v>
      </c>
      <c r="GK87" t="e">
        <f>AND('Reg Types'!#REF!,"AAAAAF93P8A=")</f>
        <v>#REF!</v>
      </c>
      <c r="GL87" t="e">
        <f>AND('Reg Types'!#REF!,"AAAAAF93P8E=")</f>
        <v>#REF!</v>
      </c>
      <c r="GM87" t="e">
        <f>AND('Reg Types'!#REF!,"AAAAAF93P8I=")</f>
        <v>#REF!</v>
      </c>
      <c r="GN87" t="e">
        <f>AND('Reg Types'!#REF!,"AAAAAF93P8M=")</f>
        <v>#REF!</v>
      </c>
      <c r="GO87" t="e">
        <f>AND('Reg Types'!#REF!,"AAAAAF93P8Q=")</f>
        <v>#REF!</v>
      </c>
      <c r="GP87" t="e">
        <f>AND('Reg Types'!#REF!,"AAAAAF93P8U=")</f>
        <v>#REF!</v>
      </c>
      <c r="GQ87" t="e">
        <f>AND('Reg Types'!#REF!,"AAAAAF93P8Y=")</f>
        <v>#REF!</v>
      </c>
      <c r="GR87" t="e">
        <f>AND('Reg Types'!#REF!,"AAAAAF93P8c=")</f>
        <v>#REF!</v>
      </c>
      <c r="GS87" t="e">
        <f>AND('Reg Types'!#REF!,"AAAAAF93P8g=")</f>
        <v>#REF!</v>
      </c>
      <c r="GT87" t="e">
        <f>AND('Reg Types'!#REF!,"AAAAAF93P8k=")</f>
        <v>#REF!</v>
      </c>
      <c r="GU87" t="e">
        <f>AND('Reg Types'!#REF!,"AAAAAF93P8o=")</f>
        <v>#REF!</v>
      </c>
      <c r="GV87" t="e">
        <f>AND('Reg Types'!#REF!,"AAAAAF93P8s=")</f>
        <v>#REF!</v>
      </c>
      <c r="GW87" t="e">
        <f>AND('Reg Types'!#REF!,"AAAAAF93P8w=")</f>
        <v>#REF!</v>
      </c>
      <c r="GX87" t="e">
        <f>AND('Reg Types'!#REF!,"AAAAAF93P80=")</f>
        <v>#REF!</v>
      </c>
      <c r="GY87" t="e">
        <f>AND('Reg Types'!#REF!,"AAAAAF93P84=")</f>
        <v>#REF!</v>
      </c>
      <c r="GZ87" t="e">
        <f>AND('Reg Types'!#REF!,"AAAAAF93P88=")</f>
        <v>#REF!</v>
      </c>
      <c r="HA87" t="e">
        <f>AND('Reg Types'!#REF!,"AAAAAF93P9A=")</f>
        <v>#REF!</v>
      </c>
      <c r="HB87" t="e">
        <f>AND('Reg Types'!#REF!,"AAAAAF93P9E=")</f>
        <v>#REF!</v>
      </c>
      <c r="HC87" t="e">
        <f>AND('Reg Types'!#REF!,"AAAAAF93P9I=")</f>
        <v>#REF!</v>
      </c>
      <c r="HD87" t="e">
        <f>IF('Reg Types'!#REF!,"AAAAAF93P9M=",0)</f>
        <v>#REF!</v>
      </c>
      <c r="HE87" t="e">
        <f>AND('Reg Types'!#REF!,"AAAAAF93P9Q=")</f>
        <v>#REF!</v>
      </c>
      <c r="HF87" t="e">
        <f>AND('Reg Types'!#REF!,"AAAAAF93P9U=")</f>
        <v>#REF!</v>
      </c>
      <c r="HG87" t="e">
        <f>AND('Reg Types'!#REF!,"AAAAAF93P9Y=")</f>
        <v>#REF!</v>
      </c>
      <c r="HH87" t="e">
        <f>AND('Reg Types'!#REF!,"AAAAAF93P9c=")</f>
        <v>#REF!</v>
      </c>
      <c r="HI87" t="e">
        <f>AND('Reg Types'!#REF!,"AAAAAF93P9g=")</f>
        <v>#REF!</v>
      </c>
      <c r="HJ87" t="e">
        <f>AND('Reg Types'!#REF!,"AAAAAF93P9k=")</f>
        <v>#REF!</v>
      </c>
      <c r="HK87" t="e">
        <f>AND('Reg Types'!#REF!,"AAAAAF93P9o=")</f>
        <v>#REF!</v>
      </c>
      <c r="HL87" t="e">
        <f>AND('Reg Types'!#REF!,"AAAAAF93P9s=")</f>
        <v>#REF!</v>
      </c>
      <c r="HM87" t="e">
        <f>AND('Reg Types'!#REF!,"AAAAAF93P9w=")</f>
        <v>#REF!</v>
      </c>
      <c r="HN87" t="e">
        <f>AND('Reg Types'!#REF!,"AAAAAF93P90=")</f>
        <v>#REF!</v>
      </c>
      <c r="HO87" t="e">
        <f>AND('Reg Types'!#REF!,"AAAAAF93P94=")</f>
        <v>#REF!</v>
      </c>
      <c r="HP87" t="e">
        <f>AND('Reg Types'!#REF!,"AAAAAF93P98=")</f>
        <v>#REF!</v>
      </c>
      <c r="HQ87" t="e">
        <f>AND('Reg Types'!#REF!,"AAAAAF93P+A=")</f>
        <v>#REF!</v>
      </c>
      <c r="HR87" t="e">
        <f>AND('Reg Types'!#REF!,"AAAAAF93P+E=")</f>
        <v>#REF!</v>
      </c>
      <c r="HS87" t="e">
        <f>AND('Reg Types'!#REF!,"AAAAAF93P+I=")</f>
        <v>#REF!</v>
      </c>
      <c r="HT87" t="e">
        <f>AND('Reg Types'!#REF!,"AAAAAF93P+M=")</f>
        <v>#REF!</v>
      </c>
      <c r="HU87" t="e">
        <f>AND('Reg Types'!#REF!,"AAAAAF93P+Q=")</f>
        <v>#REF!</v>
      </c>
      <c r="HV87" t="e">
        <f>AND('Reg Types'!#REF!,"AAAAAF93P+U=")</f>
        <v>#REF!</v>
      </c>
      <c r="HW87" t="e">
        <f>AND('Reg Types'!#REF!,"AAAAAF93P+Y=")</f>
        <v>#REF!</v>
      </c>
      <c r="HX87" t="e">
        <f>AND('Reg Types'!#REF!,"AAAAAF93P+c=")</f>
        <v>#REF!</v>
      </c>
      <c r="HY87" t="e">
        <f>AND('Reg Types'!#REF!,"AAAAAF93P+g=")</f>
        <v>#REF!</v>
      </c>
      <c r="HZ87" t="e">
        <f>AND('Reg Types'!#REF!,"AAAAAF93P+k=")</f>
        <v>#REF!</v>
      </c>
      <c r="IA87" t="e">
        <f>AND('Reg Types'!#REF!,"AAAAAF93P+o=")</f>
        <v>#REF!</v>
      </c>
      <c r="IB87" t="e">
        <f>IF('Reg Types'!#REF!,"AAAAAF93P+s=",0)</f>
        <v>#REF!</v>
      </c>
      <c r="IC87" t="e">
        <f>AND('Reg Types'!#REF!,"AAAAAF93P+w=")</f>
        <v>#REF!</v>
      </c>
      <c r="ID87" t="e">
        <f>AND('Reg Types'!#REF!,"AAAAAF93P+0=")</f>
        <v>#REF!</v>
      </c>
      <c r="IE87" t="e">
        <f>AND('Reg Types'!#REF!,"AAAAAF93P+4=")</f>
        <v>#REF!</v>
      </c>
      <c r="IF87" t="e">
        <f>AND('Reg Types'!#REF!,"AAAAAF93P+8=")</f>
        <v>#REF!</v>
      </c>
      <c r="IG87" t="e">
        <f>AND('Reg Types'!#REF!,"AAAAAF93P/A=")</f>
        <v>#REF!</v>
      </c>
      <c r="IH87" t="e">
        <f>AND('Reg Types'!#REF!,"AAAAAF93P/E=")</f>
        <v>#REF!</v>
      </c>
      <c r="II87" t="e">
        <f>AND('Reg Types'!#REF!,"AAAAAF93P/I=")</f>
        <v>#REF!</v>
      </c>
      <c r="IJ87" t="e">
        <f>AND('Reg Types'!#REF!,"AAAAAF93P/M=")</f>
        <v>#REF!</v>
      </c>
      <c r="IK87" t="e">
        <f>AND('Reg Types'!#REF!,"AAAAAF93P/Q=")</f>
        <v>#REF!</v>
      </c>
      <c r="IL87" t="e">
        <f>AND('Reg Types'!#REF!,"AAAAAF93P/U=")</f>
        <v>#REF!</v>
      </c>
      <c r="IM87" t="e">
        <f>AND('Reg Types'!#REF!,"AAAAAF93P/Y=")</f>
        <v>#REF!</v>
      </c>
      <c r="IN87" t="e">
        <f>AND('Reg Types'!#REF!,"AAAAAF93P/c=")</f>
        <v>#REF!</v>
      </c>
      <c r="IO87" t="e">
        <f>AND('Reg Types'!#REF!,"AAAAAF93P/g=")</f>
        <v>#REF!</v>
      </c>
      <c r="IP87" t="e">
        <f>AND('Reg Types'!#REF!,"AAAAAF93P/k=")</f>
        <v>#REF!</v>
      </c>
      <c r="IQ87" t="e">
        <f>AND('Reg Types'!#REF!,"AAAAAF93P/o=")</f>
        <v>#REF!</v>
      </c>
      <c r="IR87" t="e">
        <f>AND('Reg Types'!#REF!,"AAAAAF93P/s=")</f>
        <v>#REF!</v>
      </c>
      <c r="IS87" t="e">
        <f>AND('Reg Types'!#REF!,"AAAAAF93P/w=")</f>
        <v>#REF!</v>
      </c>
      <c r="IT87" t="e">
        <f>AND('Reg Types'!#REF!,"AAAAAF93P/0=")</f>
        <v>#REF!</v>
      </c>
      <c r="IU87" t="e">
        <f>AND('Reg Types'!#REF!,"AAAAAF93P/4=")</f>
        <v>#REF!</v>
      </c>
      <c r="IV87" t="e">
        <f>AND('Reg Types'!#REF!,"AAAAAF93P/8=")</f>
        <v>#REF!</v>
      </c>
    </row>
    <row r="88" spans="1:256" x14ac:dyDescent="0.2">
      <c r="A88" t="e">
        <f>AND('Reg Types'!#REF!,"AAAAAG7//wA=")</f>
        <v>#REF!</v>
      </c>
      <c r="B88" t="e">
        <f>AND('Reg Types'!#REF!,"AAAAAG7//wE=")</f>
        <v>#REF!</v>
      </c>
      <c r="C88" t="e">
        <f>AND('Reg Types'!#REF!,"AAAAAG7//wI=")</f>
        <v>#REF!</v>
      </c>
      <c r="D88" t="e">
        <f>IF('Reg Types'!#REF!,"AAAAAG7//wM=",0)</f>
        <v>#REF!</v>
      </c>
      <c r="E88" t="e">
        <f>AND('Reg Types'!#REF!,"AAAAAG7//wQ=")</f>
        <v>#REF!</v>
      </c>
      <c r="F88" t="e">
        <f>AND('Reg Types'!#REF!,"AAAAAG7//wU=")</f>
        <v>#REF!</v>
      </c>
      <c r="G88" t="e">
        <f>AND('Reg Types'!#REF!,"AAAAAG7//wY=")</f>
        <v>#REF!</v>
      </c>
      <c r="H88" t="e">
        <f>AND('Reg Types'!#REF!,"AAAAAG7//wc=")</f>
        <v>#REF!</v>
      </c>
      <c r="I88" t="e">
        <f>AND('Reg Types'!#REF!,"AAAAAG7//wg=")</f>
        <v>#REF!</v>
      </c>
      <c r="J88" t="e">
        <f>AND('Reg Types'!#REF!,"AAAAAG7//wk=")</f>
        <v>#REF!</v>
      </c>
      <c r="K88" t="e">
        <f>AND('Reg Types'!#REF!,"AAAAAG7//wo=")</f>
        <v>#REF!</v>
      </c>
      <c r="L88" t="e">
        <f>AND('Reg Types'!#REF!,"AAAAAG7//ws=")</f>
        <v>#REF!</v>
      </c>
      <c r="M88" t="e">
        <f>AND('Reg Types'!#REF!,"AAAAAG7//ww=")</f>
        <v>#REF!</v>
      </c>
      <c r="N88" t="e">
        <f>AND('Reg Types'!#REF!,"AAAAAG7//w0=")</f>
        <v>#REF!</v>
      </c>
      <c r="O88" t="e">
        <f>AND('Reg Types'!#REF!,"AAAAAG7//w4=")</f>
        <v>#REF!</v>
      </c>
      <c r="P88" t="e">
        <f>AND('Reg Types'!#REF!,"AAAAAG7//w8=")</f>
        <v>#REF!</v>
      </c>
      <c r="Q88" t="e">
        <f>AND('Reg Types'!#REF!,"AAAAAG7//xA=")</f>
        <v>#REF!</v>
      </c>
      <c r="R88" t="e">
        <f>AND('Reg Types'!#REF!,"AAAAAG7//xE=")</f>
        <v>#REF!</v>
      </c>
      <c r="S88" t="e">
        <f>AND('Reg Types'!#REF!,"AAAAAG7//xI=")</f>
        <v>#REF!</v>
      </c>
      <c r="T88" t="e">
        <f>AND('Reg Types'!#REF!,"AAAAAG7//xM=")</f>
        <v>#REF!</v>
      </c>
      <c r="U88" t="e">
        <f>AND('Reg Types'!#REF!,"AAAAAG7//xQ=")</f>
        <v>#REF!</v>
      </c>
      <c r="V88" t="e">
        <f>AND('Reg Types'!#REF!,"AAAAAG7//xU=")</f>
        <v>#REF!</v>
      </c>
      <c r="W88" t="e">
        <f>AND('Reg Types'!#REF!,"AAAAAG7//xY=")</f>
        <v>#REF!</v>
      </c>
      <c r="X88" t="e">
        <f>AND('Reg Types'!#REF!,"AAAAAG7//xc=")</f>
        <v>#REF!</v>
      </c>
      <c r="Y88" t="e">
        <f>AND('Reg Types'!#REF!,"AAAAAG7//xg=")</f>
        <v>#REF!</v>
      </c>
      <c r="Z88" t="e">
        <f>AND('Reg Types'!#REF!,"AAAAAG7//xk=")</f>
        <v>#REF!</v>
      </c>
      <c r="AA88" t="e">
        <f>AND('Reg Types'!#REF!,"AAAAAG7//xo=")</f>
        <v>#REF!</v>
      </c>
      <c r="AB88" t="e">
        <f>IF('Reg Types'!#REF!,"AAAAAG7//xs=",0)</f>
        <v>#REF!</v>
      </c>
      <c r="AC88" t="e">
        <f>AND('Reg Types'!#REF!,"AAAAAG7//xw=")</f>
        <v>#REF!</v>
      </c>
      <c r="AD88" t="e">
        <f>AND('Reg Types'!#REF!,"AAAAAG7//x0=")</f>
        <v>#REF!</v>
      </c>
      <c r="AE88" t="e">
        <f>AND('Reg Types'!#REF!,"AAAAAG7//x4=")</f>
        <v>#REF!</v>
      </c>
      <c r="AF88" t="e">
        <f>AND('Reg Types'!#REF!,"AAAAAG7//x8=")</f>
        <v>#REF!</v>
      </c>
      <c r="AG88" t="e">
        <f>AND('Reg Types'!#REF!,"AAAAAG7//yA=")</f>
        <v>#REF!</v>
      </c>
      <c r="AH88" t="e">
        <f>AND('Reg Types'!#REF!,"AAAAAG7//yE=")</f>
        <v>#REF!</v>
      </c>
      <c r="AI88" t="e">
        <f>AND('Reg Types'!#REF!,"AAAAAG7//yI=")</f>
        <v>#REF!</v>
      </c>
      <c r="AJ88" t="e">
        <f>AND('Reg Types'!#REF!,"AAAAAG7//yM=")</f>
        <v>#REF!</v>
      </c>
      <c r="AK88" t="e">
        <f>AND('Reg Types'!#REF!,"AAAAAG7//yQ=")</f>
        <v>#REF!</v>
      </c>
      <c r="AL88" t="e">
        <f>AND('Reg Types'!#REF!,"AAAAAG7//yU=")</f>
        <v>#REF!</v>
      </c>
      <c r="AM88" t="e">
        <f>AND('Reg Types'!#REF!,"AAAAAG7//yY=")</f>
        <v>#REF!</v>
      </c>
      <c r="AN88" t="e">
        <f>AND('Reg Types'!#REF!,"AAAAAG7//yc=")</f>
        <v>#REF!</v>
      </c>
      <c r="AO88" t="e">
        <f>AND('Reg Types'!#REF!,"AAAAAG7//yg=")</f>
        <v>#REF!</v>
      </c>
      <c r="AP88" t="e">
        <f>AND('Reg Types'!#REF!,"AAAAAG7//yk=")</f>
        <v>#REF!</v>
      </c>
      <c r="AQ88" t="e">
        <f>AND('Reg Types'!#REF!,"AAAAAG7//yo=")</f>
        <v>#REF!</v>
      </c>
      <c r="AR88" t="e">
        <f>AND('Reg Types'!#REF!,"AAAAAG7//ys=")</f>
        <v>#REF!</v>
      </c>
      <c r="AS88" t="e">
        <f>AND('Reg Types'!#REF!,"AAAAAG7//yw=")</f>
        <v>#REF!</v>
      </c>
      <c r="AT88" t="e">
        <f>AND('Reg Types'!#REF!,"AAAAAG7//y0=")</f>
        <v>#REF!</v>
      </c>
      <c r="AU88" t="e">
        <f>AND('Reg Types'!#REF!,"AAAAAG7//y4=")</f>
        <v>#REF!</v>
      </c>
      <c r="AV88" t="e">
        <f>AND('Reg Types'!#REF!,"AAAAAG7//y8=")</f>
        <v>#REF!</v>
      </c>
      <c r="AW88" t="e">
        <f>AND('Reg Types'!#REF!,"AAAAAG7//zA=")</f>
        <v>#REF!</v>
      </c>
      <c r="AX88" t="e">
        <f>AND('Reg Types'!#REF!,"AAAAAG7//zE=")</f>
        <v>#REF!</v>
      </c>
      <c r="AY88" t="e">
        <f>AND('Reg Types'!#REF!,"AAAAAG7//zI=")</f>
        <v>#REF!</v>
      </c>
      <c r="AZ88" t="e">
        <f>IF('Reg Types'!#REF!,"AAAAAG7//zM=",0)</f>
        <v>#REF!</v>
      </c>
      <c r="BA88" t="e">
        <f>AND('Reg Types'!#REF!,"AAAAAG7//zQ=")</f>
        <v>#REF!</v>
      </c>
      <c r="BB88" t="e">
        <f>AND('Reg Types'!#REF!,"AAAAAG7//zU=")</f>
        <v>#REF!</v>
      </c>
      <c r="BC88" t="e">
        <f>AND('Reg Types'!#REF!,"AAAAAG7//zY=")</f>
        <v>#REF!</v>
      </c>
      <c r="BD88" t="e">
        <f>AND('Reg Types'!#REF!,"AAAAAG7//zc=")</f>
        <v>#REF!</v>
      </c>
      <c r="BE88" t="e">
        <f>AND('Reg Types'!#REF!,"AAAAAG7//zg=")</f>
        <v>#REF!</v>
      </c>
      <c r="BF88" t="e">
        <f>AND('Reg Types'!#REF!,"AAAAAG7//zk=")</f>
        <v>#REF!</v>
      </c>
      <c r="BG88" t="e">
        <f>AND('Reg Types'!#REF!,"AAAAAG7//zo=")</f>
        <v>#REF!</v>
      </c>
      <c r="BH88" t="e">
        <f>AND('Reg Types'!#REF!,"AAAAAG7//zs=")</f>
        <v>#REF!</v>
      </c>
      <c r="BI88" t="e">
        <f>AND('Reg Types'!#REF!,"AAAAAG7//zw=")</f>
        <v>#REF!</v>
      </c>
      <c r="BJ88" t="e">
        <f>AND('Reg Types'!#REF!,"AAAAAG7//z0=")</f>
        <v>#REF!</v>
      </c>
      <c r="BK88" t="e">
        <f>AND('Reg Types'!#REF!,"AAAAAG7//z4=")</f>
        <v>#REF!</v>
      </c>
      <c r="BL88" t="e">
        <f>AND('Reg Types'!#REF!,"AAAAAG7//z8=")</f>
        <v>#REF!</v>
      </c>
      <c r="BM88" t="e">
        <f>AND('Reg Types'!#REF!,"AAAAAG7//0A=")</f>
        <v>#REF!</v>
      </c>
      <c r="BN88" t="e">
        <f>AND('Reg Types'!#REF!,"AAAAAG7//0E=")</f>
        <v>#REF!</v>
      </c>
      <c r="BO88" t="e">
        <f>AND('Reg Types'!#REF!,"AAAAAG7//0I=")</f>
        <v>#REF!</v>
      </c>
      <c r="BP88" t="e">
        <f>AND('Reg Types'!#REF!,"AAAAAG7//0M=")</f>
        <v>#REF!</v>
      </c>
      <c r="BQ88" t="e">
        <f>AND('Reg Types'!#REF!,"AAAAAG7//0Q=")</f>
        <v>#REF!</v>
      </c>
      <c r="BR88" t="e">
        <f>AND('Reg Types'!#REF!,"AAAAAG7//0U=")</f>
        <v>#REF!</v>
      </c>
      <c r="BS88" t="e">
        <f>AND('Reg Types'!#REF!,"AAAAAG7//0Y=")</f>
        <v>#REF!</v>
      </c>
      <c r="BT88" t="e">
        <f>AND('Reg Types'!#REF!,"AAAAAG7//0c=")</f>
        <v>#REF!</v>
      </c>
      <c r="BU88" t="e">
        <f>AND('Reg Types'!#REF!,"AAAAAG7//0g=")</f>
        <v>#REF!</v>
      </c>
      <c r="BV88" t="e">
        <f>AND('Reg Types'!#REF!,"AAAAAG7//0k=")</f>
        <v>#REF!</v>
      </c>
      <c r="BW88" t="e">
        <f>AND('Reg Types'!#REF!,"AAAAAG7//0o=")</f>
        <v>#REF!</v>
      </c>
      <c r="BX88" t="e">
        <f>IF('Reg Types'!#REF!,"AAAAAG7//0s=",0)</f>
        <v>#REF!</v>
      </c>
      <c r="BY88" t="e">
        <f>AND('Reg Types'!#REF!,"AAAAAG7//0w=")</f>
        <v>#REF!</v>
      </c>
      <c r="BZ88" t="e">
        <f>AND('Reg Types'!#REF!,"AAAAAG7//00=")</f>
        <v>#REF!</v>
      </c>
      <c r="CA88" t="e">
        <f>AND('Reg Types'!#REF!,"AAAAAG7//04=")</f>
        <v>#REF!</v>
      </c>
      <c r="CB88" t="e">
        <f>AND('Reg Types'!#REF!,"AAAAAG7//08=")</f>
        <v>#REF!</v>
      </c>
      <c r="CC88" t="e">
        <f>AND('Reg Types'!#REF!,"AAAAAG7//1A=")</f>
        <v>#REF!</v>
      </c>
      <c r="CD88" t="e">
        <f>AND('Reg Types'!#REF!,"AAAAAG7//1E=")</f>
        <v>#REF!</v>
      </c>
      <c r="CE88" t="e">
        <f>AND('Reg Types'!#REF!,"AAAAAG7//1I=")</f>
        <v>#REF!</v>
      </c>
      <c r="CF88" t="e">
        <f>AND('Reg Types'!#REF!,"AAAAAG7//1M=")</f>
        <v>#REF!</v>
      </c>
      <c r="CG88" t="e">
        <f>AND('Reg Types'!#REF!,"AAAAAG7//1Q=")</f>
        <v>#REF!</v>
      </c>
      <c r="CH88" t="e">
        <f>AND('Reg Types'!#REF!,"AAAAAG7//1U=")</f>
        <v>#REF!</v>
      </c>
      <c r="CI88" t="e">
        <f>AND('Reg Types'!#REF!,"AAAAAG7//1Y=")</f>
        <v>#REF!</v>
      </c>
      <c r="CJ88" t="e">
        <f>AND('Reg Types'!#REF!,"AAAAAG7//1c=")</f>
        <v>#REF!</v>
      </c>
      <c r="CK88" t="e">
        <f>AND('Reg Types'!#REF!,"AAAAAG7//1g=")</f>
        <v>#REF!</v>
      </c>
      <c r="CL88" t="e">
        <f>AND('Reg Types'!#REF!,"AAAAAG7//1k=")</f>
        <v>#REF!</v>
      </c>
      <c r="CM88" t="e">
        <f>AND('Reg Types'!#REF!,"AAAAAG7//1o=")</f>
        <v>#REF!</v>
      </c>
      <c r="CN88" t="e">
        <f>AND('Reg Types'!#REF!,"AAAAAG7//1s=")</f>
        <v>#REF!</v>
      </c>
      <c r="CO88" t="e">
        <f>AND('Reg Types'!#REF!,"AAAAAG7//1w=")</f>
        <v>#REF!</v>
      </c>
      <c r="CP88" t="e">
        <f>AND('Reg Types'!#REF!,"AAAAAG7//10=")</f>
        <v>#REF!</v>
      </c>
      <c r="CQ88" t="e">
        <f>AND('Reg Types'!#REF!,"AAAAAG7//14=")</f>
        <v>#REF!</v>
      </c>
      <c r="CR88" t="e">
        <f>AND('Reg Types'!#REF!,"AAAAAG7//18=")</f>
        <v>#REF!</v>
      </c>
      <c r="CS88" t="e">
        <f>AND('Reg Types'!#REF!,"AAAAAG7//2A=")</f>
        <v>#REF!</v>
      </c>
      <c r="CT88" t="e">
        <f>AND('Reg Types'!#REF!,"AAAAAG7//2E=")</f>
        <v>#REF!</v>
      </c>
      <c r="CU88" t="e">
        <f>AND('Reg Types'!#REF!,"AAAAAG7//2I=")</f>
        <v>#REF!</v>
      </c>
      <c r="CV88" t="e">
        <f>IF('Reg Types'!#REF!,"AAAAAG7//2M=",0)</f>
        <v>#REF!</v>
      </c>
      <c r="CW88" t="e">
        <f>AND('Reg Types'!#REF!,"AAAAAG7//2Q=")</f>
        <v>#REF!</v>
      </c>
      <c r="CX88" t="e">
        <f>AND('Reg Types'!#REF!,"AAAAAG7//2U=")</f>
        <v>#REF!</v>
      </c>
      <c r="CY88" t="e">
        <f>AND('Reg Types'!#REF!,"AAAAAG7//2Y=")</f>
        <v>#REF!</v>
      </c>
      <c r="CZ88" t="e">
        <f>AND('Reg Types'!#REF!,"AAAAAG7//2c=")</f>
        <v>#REF!</v>
      </c>
      <c r="DA88" t="e">
        <f>AND('Reg Types'!#REF!,"AAAAAG7//2g=")</f>
        <v>#REF!</v>
      </c>
      <c r="DB88" t="e">
        <f>AND('Reg Types'!#REF!,"AAAAAG7//2k=")</f>
        <v>#REF!</v>
      </c>
      <c r="DC88" t="e">
        <f>AND('Reg Types'!#REF!,"AAAAAG7//2o=")</f>
        <v>#REF!</v>
      </c>
      <c r="DD88" t="e">
        <f>AND('Reg Types'!#REF!,"AAAAAG7//2s=")</f>
        <v>#REF!</v>
      </c>
      <c r="DE88" t="e">
        <f>AND('Reg Types'!#REF!,"AAAAAG7//2w=")</f>
        <v>#REF!</v>
      </c>
      <c r="DF88" t="e">
        <f>AND('Reg Types'!#REF!,"AAAAAG7//20=")</f>
        <v>#REF!</v>
      </c>
      <c r="DG88" t="e">
        <f>AND('Reg Types'!#REF!,"AAAAAG7//24=")</f>
        <v>#REF!</v>
      </c>
      <c r="DH88" t="e">
        <f>AND('Reg Types'!#REF!,"AAAAAG7//28=")</f>
        <v>#REF!</v>
      </c>
      <c r="DI88" t="e">
        <f>AND('Reg Types'!#REF!,"AAAAAG7//3A=")</f>
        <v>#REF!</v>
      </c>
      <c r="DJ88" t="e">
        <f>AND('Reg Types'!#REF!,"AAAAAG7//3E=")</f>
        <v>#REF!</v>
      </c>
      <c r="DK88" t="e">
        <f>AND('Reg Types'!#REF!,"AAAAAG7//3I=")</f>
        <v>#REF!</v>
      </c>
      <c r="DL88" t="e">
        <f>AND('Reg Types'!#REF!,"AAAAAG7//3M=")</f>
        <v>#REF!</v>
      </c>
      <c r="DM88" t="e">
        <f>AND('Reg Types'!#REF!,"AAAAAG7//3Q=")</f>
        <v>#REF!</v>
      </c>
      <c r="DN88" t="e">
        <f>AND('Reg Types'!#REF!,"AAAAAG7//3U=")</f>
        <v>#REF!</v>
      </c>
      <c r="DO88" t="e">
        <f>AND('Reg Types'!#REF!,"AAAAAG7//3Y=")</f>
        <v>#REF!</v>
      </c>
      <c r="DP88" t="e">
        <f>AND('Reg Types'!#REF!,"AAAAAG7//3c=")</f>
        <v>#REF!</v>
      </c>
      <c r="DQ88" t="e">
        <f>AND('Reg Types'!#REF!,"AAAAAG7//3g=")</f>
        <v>#REF!</v>
      </c>
      <c r="DR88" t="e">
        <f>AND('Reg Types'!#REF!,"AAAAAG7//3k=")</f>
        <v>#REF!</v>
      </c>
      <c r="DS88" t="e">
        <f>AND('Reg Types'!#REF!,"AAAAAG7//3o=")</f>
        <v>#REF!</v>
      </c>
      <c r="DT88" t="e">
        <f>IF('Reg Types'!#REF!,"AAAAAG7//3s=",0)</f>
        <v>#REF!</v>
      </c>
      <c r="DU88" t="e">
        <f>AND('Reg Types'!#REF!,"AAAAAG7//3w=")</f>
        <v>#REF!</v>
      </c>
      <c r="DV88" t="e">
        <f>AND('Reg Types'!#REF!,"AAAAAG7//30=")</f>
        <v>#REF!</v>
      </c>
      <c r="DW88" t="e">
        <f>AND('Reg Types'!#REF!,"AAAAAG7//34=")</f>
        <v>#REF!</v>
      </c>
      <c r="DX88" t="e">
        <f>AND('Reg Types'!#REF!,"AAAAAG7//38=")</f>
        <v>#REF!</v>
      </c>
      <c r="DY88" t="e">
        <f>AND('Reg Types'!#REF!,"AAAAAG7//4A=")</f>
        <v>#REF!</v>
      </c>
      <c r="DZ88" t="e">
        <f>AND('Reg Types'!#REF!,"AAAAAG7//4E=")</f>
        <v>#REF!</v>
      </c>
      <c r="EA88" t="e">
        <f>AND('Reg Types'!#REF!,"AAAAAG7//4I=")</f>
        <v>#REF!</v>
      </c>
      <c r="EB88" t="e">
        <f>AND('Reg Types'!#REF!,"AAAAAG7//4M=")</f>
        <v>#REF!</v>
      </c>
      <c r="EC88" t="e">
        <f>AND('Reg Types'!#REF!,"AAAAAG7//4Q=")</f>
        <v>#REF!</v>
      </c>
      <c r="ED88" t="e">
        <f>AND('Reg Types'!#REF!,"AAAAAG7//4U=")</f>
        <v>#REF!</v>
      </c>
      <c r="EE88" t="e">
        <f>AND('Reg Types'!#REF!,"AAAAAG7//4Y=")</f>
        <v>#REF!</v>
      </c>
      <c r="EF88" t="e">
        <f>AND('Reg Types'!#REF!,"AAAAAG7//4c=")</f>
        <v>#REF!</v>
      </c>
      <c r="EG88" t="e">
        <f>AND('Reg Types'!#REF!,"AAAAAG7//4g=")</f>
        <v>#REF!</v>
      </c>
      <c r="EH88" t="e">
        <f>AND('Reg Types'!#REF!,"AAAAAG7//4k=")</f>
        <v>#REF!</v>
      </c>
      <c r="EI88" t="e">
        <f>AND('Reg Types'!#REF!,"AAAAAG7//4o=")</f>
        <v>#REF!</v>
      </c>
      <c r="EJ88" t="e">
        <f>AND('Reg Types'!#REF!,"AAAAAG7//4s=")</f>
        <v>#REF!</v>
      </c>
      <c r="EK88" t="e">
        <f>AND('Reg Types'!#REF!,"AAAAAG7//4w=")</f>
        <v>#REF!</v>
      </c>
      <c r="EL88" t="e">
        <f>AND('Reg Types'!#REF!,"AAAAAG7//40=")</f>
        <v>#REF!</v>
      </c>
      <c r="EM88" t="e">
        <f>AND('Reg Types'!#REF!,"AAAAAG7//44=")</f>
        <v>#REF!</v>
      </c>
      <c r="EN88" t="e">
        <f>AND('Reg Types'!#REF!,"AAAAAG7//48=")</f>
        <v>#REF!</v>
      </c>
      <c r="EO88" t="e">
        <f>AND('Reg Types'!#REF!,"AAAAAG7//5A=")</f>
        <v>#REF!</v>
      </c>
      <c r="EP88" t="e">
        <f>AND('Reg Types'!#REF!,"AAAAAG7//5E=")</f>
        <v>#REF!</v>
      </c>
      <c r="EQ88" t="e">
        <f>AND('Reg Types'!#REF!,"AAAAAG7//5I=")</f>
        <v>#REF!</v>
      </c>
      <c r="ER88" t="e">
        <f>IF('Reg Types'!#REF!,"AAAAAG7//5M=",0)</f>
        <v>#REF!</v>
      </c>
      <c r="ES88" t="e">
        <f>AND('Reg Types'!#REF!,"AAAAAG7//5Q=")</f>
        <v>#REF!</v>
      </c>
      <c r="ET88" t="e">
        <f>AND('Reg Types'!#REF!,"AAAAAG7//5U=")</f>
        <v>#REF!</v>
      </c>
      <c r="EU88" t="e">
        <f>AND('Reg Types'!#REF!,"AAAAAG7//5Y=")</f>
        <v>#REF!</v>
      </c>
      <c r="EV88" t="e">
        <f>AND('Reg Types'!#REF!,"AAAAAG7//5c=")</f>
        <v>#REF!</v>
      </c>
      <c r="EW88" t="e">
        <f>AND('Reg Types'!#REF!,"AAAAAG7//5g=")</f>
        <v>#REF!</v>
      </c>
      <c r="EX88" t="e">
        <f>AND('Reg Types'!#REF!,"AAAAAG7//5k=")</f>
        <v>#REF!</v>
      </c>
      <c r="EY88" t="e">
        <f>AND('Reg Types'!#REF!,"AAAAAG7//5o=")</f>
        <v>#REF!</v>
      </c>
      <c r="EZ88" t="e">
        <f>AND('Reg Types'!#REF!,"AAAAAG7//5s=")</f>
        <v>#REF!</v>
      </c>
      <c r="FA88" t="e">
        <f>AND('Reg Types'!#REF!,"AAAAAG7//5w=")</f>
        <v>#REF!</v>
      </c>
      <c r="FB88" t="e">
        <f>AND('Reg Types'!#REF!,"AAAAAG7//50=")</f>
        <v>#REF!</v>
      </c>
      <c r="FC88" t="e">
        <f>AND('Reg Types'!#REF!,"AAAAAG7//54=")</f>
        <v>#REF!</v>
      </c>
      <c r="FD88" t="e">
        <f>AND('Reg Types'!#REF!,"AAAAAG7//58=")</f>
        <v>#REF!</v>
      </c>
      <c r="FE88" t="e">
        <f>AND('Reg Types'!#REF!,"AAAAAG7//6A=")</f>
        <v>#REF!</v>
      </c>
      <c r="FF88" t="e">
        <f>AND('Reg Types'!#REF!,"AAAAAG7//6E=")</f>
        <v>#REF!</v>
      </c>
      <c r="FG88" t="e">
        <f>AND('Reg Types'!#REF!,"AAAAAG7//6I=")</f>
        <v>#REF!</v>
      </c>
      <c r="FH88" t="e">
        <f>AND('Reg Types'!#REF!,"AAAAAG7//6M=")</f>
        <v>#REF!</v>
      </c>
      <c r="FI88" t="e">
        <f>AND('Reg Types'!#REF!,"AAAAAG7//6Q=")</f>
        <v>#REF!</v>
      </c>
      <c r="FJ88" t="e">
        <f>AND('Reg Types'!#REF!,"AAAAAG7//6U=")</f>
        <v>#REF!</v>
      </c>
      <c r="FK88" t="e">
        <f>AND('Reg Types'!#REF!,"AAAAAG7//6Y=")</f>
        <v>#REF!</v>
      </c>
      <c r="FL88" t="e">
        <f>AND('Reg Types'!#REF!,"AAAAAG7//6c=")</f>
        <v>#REF!</v>
      </c>
      <c r="FM88" t="e">
        <f>AND('Reg Types'!#REF!,"AAAAAG7//6g=")</f>
        <v>#REF!</v>
      </c>
      <c r="FN88" t="e">
        <f>AND('Reg Types'!#REF!,"AAAAAG7//6k=")</f>
        <v>#REF!</v>
      </c>
      <c r="FO88" t="e">
        <f>AND('Reg Types'!#REF!,"AAAAAG7//6o=")</f>
        <v>#REF!</v>
      </c>
      <c r="FP88" t="e">
        <f>IF('Reg Types'!#REF!,"AAAAAG7//6s=",0)</f>
        <v>#REF!</v>
      </c>
      <c r="FQ88" t="e">
        <f>AND('Reg Types'!#REF!,"AAAAAG7//6w=")</f>
        <v>#REF!</v>
      </c>
      <c r="FR88" t="e">
        <f>AND('Reg Types'!#REF!,"AAAAAG7//60=")</f>
        <v>#REF!</v>
      </c>
      <c r="FS88" t="e">
        <f>AND('Reg Types'!#REF!,"AAAAAG7//64=")</f>
        <v>#REF!</v>
      </c>
      <c r="FT88" t="e">
        <f>AND('Reg Types'!#REF!,"AAAAAG7//68=")</f>
        <v>#REF!</v>
      </c>
      <c r="FU88" t="e">
        <f>AND('Reg Types'!#REF!,"AAAAAG7//7A=")</f>
        <v>#REF!</v>
      </c>
      <c r="FV88" t="e">
        <f>AND('Reg Types'!#REF!,"AAAAAG7//7E=")</f>
        <v>#REF!</v>
      </c>
      <c r="FW88" t="e">
        <f>AND('Reg Types'!#REF!,"AAAAAG7//7I=")</f>
        <v>#REF!</v>
      </c>
      <c r="FX88" t="e">
        <f>AND('Reg Types'!#REF!,"AAAAAG7//7M=")</f>
        <v>#REF!</v>
      </c>
      <c r="FY88" t="e">
        <f>AND('Reg Types'!#REF!,"AAAAAG7//7Q=")</f>
        <v>#REF!</v>
      </c>
      <c r="FZ88" t="e">
        <f>AND('Reg Types'!#REF!,"AAAAAG7//7U=")</f>
        <v>#REF!</v>
      </c>
      <c r="GA88" t="e">
        <f>AND('Reg Types'!#REF!,"AAAAAG7//7Y=")</f>
        <v>#REF!</v>
      </c>
      <c r="GB88" t="e">
        <f>AND('Reg Types'!#REF!,"AAAAAG7//7c=")</f>
        <v>#REF!</v>
      </c>
      <c r="GC88" t="e">
        <f>AND('Reg Types'!#REF!,"AAAAAG7//7g=")</f>
        <v>#REF!</v>
      </c>
      <c r="GD88" t="e">
        <f>AND('Reg Types'!#REF!,"AAAAAG7//7k=")</f>
        <v>#REF!</v>
      </c>
      <c r="GE88" t="e">
        <f>AND('Reg Types'!#REF!,"AAAAAG7//7o=")</f>
        <v>#REF!</v>
      </c>
      <c r="GF88" t="e">
        <f>AND('Reg Types'!#REF!,"AAAAAG7//7s=")</f>
        <v>#REF!</v>
      </c>
      <c r="GG88" t="e">
        <f>AND('Reg Types'!#REF!,"AAAAAG7//7w=")</f>
        <v>#REF!</v>
      </c>
      <c r="GH88" t="e">
        <f>AND('Reg Types'!#REF!,"AAAAAG7//70=")</f>
        <v>#REF!</v>
      </c>
      <c r="GI88" t="e">
        <f>AND('Reg Types'!#REF!,"AAAAAG7//74=")</f>
        <v>#REF!</v>
      </c>
      <c r="GJ88" t="e">
        <f>AND('Reg Types'!#REF!,"AAAAAG7//78=")</f>
        <v>#REF!</v>
      </c>
      <c r="GK88" t="e">
        <f>AND('Reg Types'!#REF!,"AAAAAG7//8A=")</f>
        <v>#REF!</v>
      </c>
      <c r="GL88" t="e">
        <f>AND('Reg Types'!#REF!,"AAAAAG7//8E=")</f>
        <v>#REF!</v>
      </c>
      <c r="GM88" t="e">
        <f>AND('Reg Types'!#REF!,"AAAAAG7//8I=")</f>
        <v>#REF!</v>
      </c>
      <c r="GN88" t="e">
        <f>IF('Reg Types'!#REF!,"AAAAAG7//8M=",0)</f>
        <v>#REF!</v>
      </c>
      <c r="GO88" t="e">
        <f>AND('Reg Types'!#REF!,"AAAAAG7//8Q=")</f>
        <v>#REF!</v>
      </c>
      <c r="GP88" t="e">
        <f>AND('Reg Types'!#REF!,"AAAAAG7//8U=")</f>
        <v>#REF!</v>
      </c>
      <c r="GQ88" t="e">
        <f>AND('Reg Types'!#REF!,"AAAAAG7//8Y=")</f>
        <v>#REF!</v>
      </c>
      <c r="GR88" t="e">
        <f>AND('Reg Types'!#REF!,"AAAAAG7//8c=")</f>
        <v>#REF!</v>
      </c>
      <c r="GS88" t="e">
        <f>AND('Reg Types'!#REF!,"AAAAAG7//8g=")</f>
        <v>#REF!</v>
      </c>
      <c r="GT88" t="e">
        <f>AND('Reg Types'!#REF!,"AAAAAG7//8k=")</f>
        <v>#REF!</v>
      </c>
      <c r="GU88" t="e">
        <f>AND('Reg Types'!#REF!,"AAAAAG7//8o=")</f>
        <v>#REF!</v>
      </c>
      <c r="GV88" t="e">
        <f>AND('Reg Types'!#REF!,"AAAAAG7//8s=")</f>
        <v>#REF!</v>
      </c>
      <c r="GW88" t="e">
        <f>AND('Reg Types'!#REF!,"AAAAAG7//8w=")</f>
        <v>#REF!</v>
      </c>
      <c r="GX88" t="e">
        <f>AND('Reg Types'!#REF!,"AAAAAG7//80=")</f>
        <v>#REF!</v>
      </c>
      <c r="GY88" t="e">
        <f>AND('Reg Types'!#REF!,"AAAAAG7//84=")</f>
        <v>#REF!</v>
      </c>
      <c r="GZ88" t="e">
        <f>AND('Reg Types'!#REF!,"AAAAAG7//88=")</f>
        <v>#REF!</v>
      </c>
      <c r="HA88" t="e">
        <f>AND('Reg Types'!#REF!,"AAAAAG7//9A=")</f>
        <v>#REF!</v>
      </c>
      <c r="HB88" t="e">
        <f>AND('Reg Types'!#REF!,"AAAAAG7//9E=")</f>
        <v>#REF!</v>
      </c>
      <c r="HC88" t="e">
        <f>AND('Reg Types'!#REF!,"AAAAAG7//9I=")</f>
        <v>#REF!</v>
      </c>
      <c r="HD88" t="e">
        <f>AND('Reg Types'!#REF!,"AAAAAG7//9M=")</f>
        <v>#REF!</v>
      </c>
      <c r="HE88" t="e">
        <f>AND('Reg Types'!#REF!,"AAAAAG7//9Q=")</f>
        <v>#REF!</v>
      </c>
      <c r="HF88" t="e">
        <f>AND('Reg Types'!#REF!,"AAAAAG7//9U=")</f>
        <v>#REF!</v>
      </c>
      <c r="HG88" t="e">
        <f>AND('Reg Types'!#REF!,"AAAAAG7//9Y=")</f>
        <v>#REF!</v>
      </c>
      <c r="HH88" t="e">
        <f>AND('Reg Types'!#REF!,"AAAAAG7//9c=")</f>
        <v>#REF!</v>
      </c>
      <c r="HI88" t="e">
        <f>AND('Reg Types'!#REF!,"AAAAAG7//9g=")</f>
        <v>#REF!</v>
      </c>
      <c r="HJ88" t="e">
        <f>AND('Reg Types'!#REF!,"AAAAAG7//9k=")</f>
        <v>#REF!</v>
      </c>
      <c r="HK88" t="e">
        <f>AND('Reg Types'!#REF!,"AAAAAG7//9o=")</f>
        <v>#REF!</v>
      </c>
      <c r="HL88" t="e">
        <f>IF('Reg Types'!#REF!,"AAAAAG7//9s=",0)</f>
        <v>#REF!</v>
      </c>
      <c r="HM88" t="e">
        <f>AND('Reg Types'!#REF!,"AAAAAG7//9w=")</f>
        <v>#REF!</v>
      </c>
      <c r="HN88" t="e">
        <f>AND('Reg Types'!#REF!,"AAAAAG7//90=")</f>
        <v>#REF!</v>
      </c>
      <c r="HO88" t="e">
        <f>AND('Reg Types'!#REF!,"AAAAAG7//94=")</f>
        <v>#REF!</v>
      </c>
      <c r="HP88" t="e">
        <f>AND('Reg Types'!#REF!,"AAAAAG7//98=")</f>
        <v>#REF!</v>
      </c>
      <c r="HQ88" t="e">
        <f>AND('Reg Types'!#REF!,"AAAAAG7//+A=")</f>
        <v>#REF!</v>
      </c>
      <c r="HR88" t="e">
        <f>AND('Reg Types'!#REF!,"AAAAAG7//+E=")</f>
        <v>#REF!</v>
      </c>
      <c r="HS88" t="e">
        <f>AND('Reg Types'!#REF!,"AAAAAG7//+I=")</f>
        <v>#REF!</v>
      </c>
      <c r="HT88" t="e">
        <f>AND('Reg Types'!#REF!,"AAAAAG7//+M=")</f>
        <v>#REF!</v>
      </c>
      <c r="HU88" t="e">
        <f>AND('Reg Types'!#REF!,"AAAAAG7//+Q=")</f>
        <v>#REF!</v>
      </c>
      <c r="HV88" t="e">
        <f>AND('Reg Types'!#REF!,"AAAAAG7//+U=")</f>
        <v>#REF!</v>
      </c>
      <c r="HW88" t="e">
        <f>AND('Reg Types'!#REF!,"AAAAAG7//+Y=")</f>
        <v>#REF!</v>
      </c>
      <c r="HX88" t="e">
        <f>AND('Reg Types'!#REF!,"AAAAAG7//+c=")</f>
        <v>#REF!</v>
      </c>
      <c r="HY88" t="e">
        <f>AND('Reg Types'!#REF!,"AAAAAG7//+g=")</f>
        <v>#REF!</v>
      </c>
      <c r="HZ88" t="e">
        <f>AND('Reg Types'!#REF!,"AAAAAG7//+k=")</f>
        <v>#REF!</v>
      </c>
      <c r="IA88" t="e">
        <f>AND('Reg Types'!#REF!,"AAAAAG7//+o=")</f>
        <v>#REF!</v>
      </c>
      <c r="IB88" t="e">
        <f>AND('Reg Types'!#REF!,"AAAAAG7//+s=")</f>
        <v>#REF!</v>
      </c>
      <c r="IC88" t="e">
        <f>AND('Reg Types'!#REF!,"AAAAAG7//+w=")</f>
        <v>#REF!</v>
      </c>
      <c r="ID88" t="e">
        <f>AND('Reg Types'!#REF!,"AAAAAG7//+0=")</f>
        <v>#REF!</v>
      </c>
      <c r="IE88" t="e">
        <f>AND('Reg Types'!#REF!,"AAAAAG7//+4=")</f>
        <v>#REF!</v>
      </c>
      <c r="IF88" t="e">
        <f>AND('Reg Types'!#REF!,"AAAAAG7//+8=")</f>
        <v>#REF!</v>
      </c>
      <c r="IG88" t="e">
        <f>AND('Reg Types'!#REF!,"AAAAAG7///A=")</f>
        <v>#REF!</v>
      </c>
      <c r="IH88" t="e">
        <f>AND('Reg Types'!#REF!,"AAAAAG7///E=")</f>
        <v>#REF!</v>
      </c>
      <c r="II88" t="e">
        <f>AND('Reg Types'!#REF!,"AAAAAG7///I=")</f>
        <v>#REF!</v>
      </c>
      <c r="IJ88" t="e">
        <f>IF('Reg Types'!#REF!,"AAAAAG7///M=",0)</f>
        <v>#REF!</v>
      </c>
      <c r="IK88" t="e">
        <f>AND('Reg Types'!#REF!,"AAAAAG7///Q=")</f>
        <v>#REF!</v>
      </c>
      <c r="IL88" t="e">
        <f>AND('Reg Types'!#REF!,"AAAAAG7///U=")</f>
        <v>#REF!</v>
      </c>
      <c r="IM88" t="e">
        <f>AND('Reg Types'!#REF!,"AAAAAG7///Y=")</f>
        <v>#REF!</v>
      </c>
      <c r="IN88" t="e">
        <f>AND('Reg Types'!#REF!,"AAAAAG7///c=")</f>
        <v>#REF!</v>
      </c>
      <c r="IO88" t="e">
        <f>AND('Reg Types'!#REF!,"AAAAAG7///g=")</f>
        <v>#REF!</v>
      </c>
      <c r="IP88" t="e">
        <f>AND('Reg Types'!#REF!,"AAAAAG7///k=")</f>
        <v>#REF!</v>
      </c>
      <c r="IQ88" t="e">
        <f>AND('Reg Types'!#REF!,"AAAAAG7///o=")</f>
        <v>#REF!</v>
      </c>
      <c r="IR88" t="e">
        <f>AND('Reg Types'!#REF!,"AAAAAG7///s=")</f>
        <v>#REF!</v>
      </c>
      <c r="IS88" t="e">
        <f>AND('Reg Types'!#REF!,"AAAAAG7///w=")</f>
        <v>#REF!</v>
      </c>
      <c r="IT88" t="e">
        <f>AND('Reg Types'!#REF!,"AAAAAG7///0=")</f>
        <v>#REF!</v>
      </c>
      <c r="IU88" t="e">
        <f>AND('Reg Types'!#REF!,"AAAAAG7///4=")</f>
        <v>#REF!</v>
      </c>
      <c r="IV88" t="e">
        <f>AND('Reg Types'!#REF!,"AAAAAG7///8=")</f>
        <v>#REF!</v>
      </c>
    </row>
    <row r="89" spans="1:256" x14ac:dyDescent="0.2">
      <c r="A89" t="e">
        <f>AND('Reg Types'!#REF!,"AAAAAH1+dwA=")</f>
        <v>#REF!</v>
      </c>
      <c r="B89" t="e">
        <f>AND('Reg Types'!#REF!,"AAAAAH1+dwE=")</f>
        <v>#REF!</v>
      </c>
      <c r="C89" t="e">
        <f>AND('Reg Types'!#REF!,"AAAAAH1+dwI=")</f>
        <v>#REF!</v>
      </c>
      <c r="D89" t="e">
        <f>AND('Reg Types'!#REF!,"AAAAAH1+dwM=")</f>
        <v>#REF!</v>
      </c>
      <c r="E89" t="e">
        <f>AND('Reg Types'!#REF!,"AAAAAH1+dwQ=")</f>
        <v>#REF!</v>
      </c>
      <c r="F89" t="e">
        <f>AND('Reg Types'!#REF!,"AAAAAH1+dwU=")</f>
        <v>#REF!</v>
      </c>
      <c r="G89" t="e">
        <f>AND('Reg Types'!#REF!,"AAAAAH1+dwY=")</f>
        <v>#REF!</v>
      </c>
      <c r="H89" t="e">
        <f>AND('Reg Types'!#REF!,"AAAAAH1+dwc=")</f>
        <v>#REF!</v>
      </c>
      <c r="I89" t="e">
        <f>AND('Reg Types'!#REF!,"AAAAAH1+dwg=")</f>
        <v>#REF!</v>
      </c>
      <c r="J89" t="e">
        <f>AND('Reg Types'!#REF!,"AAAAAH1+dwk=")</f>
        <v>#REF!</v>
      </c>
      <c r="K89" t="e">
        <f>AND('Reg Types'!#REF!,"AAAAAH1+dwo=")</f>
        <v>#REF!</v>
      </c>
      <c r="L89" t="e">
        <f>IF('Reg Types'!#REF!,"AAAAAH1+dws=",0)</f>
        <v>#REF!</v>
      </c>
      <c r="M89" t="e">
        <f>AND('Reg Types'!#REF!,"AAAAAH1+dww=")</f>
        <v>#REF!</v>
      </c>
      <c r="N89" t="e">
        <f>AND('Reg Types'!#REF!,"AAAAAH1+dw0=")</f>
        <v>#REF!</v>
      </c>
      <c r="O89" t="e">
        <f>AND('Reg Types'!#REF!,"AAAAAH1+dw4=")</f>
        <v>#REF!</v>
      </c>
      <c r="P89" t="e">
        <f>AND('Reg Types'!#REF!,"AAAAAH1+dw8=")</f>
        <v>#REF!</v>
      </c>
      <c r="Q89" t="e">
        <f>AND('Reg Types'!#REF!,"AAAAAH1+dxA=")</f>
        <v>#REF!</v>
      </c>
      <c r="R89" t="e">
        <f>AND('Reg Types'!#REF!,"AAAAAH1+dxE=")</f>
        <v>#REF!</v>
      </c>
      <c r="S89" t="e">
        <f>AND('Reg Types'!#REF!,"AAAAAH1+dxI=")</f>
        <v>#REF!</v>
      </c>
      <c r="T89" t="e">
        <f>AND('Reg Types'!#REF!,"AAAAAH1+dxM=")</f>
        <v>#REF!</v>
      </c>
      <c r="U89" t="e">
        <f>AND('Reg Types'!#REF!,"AAAAAH1+dxQ=")</f>
        <v>#REF!</v>
      </c>
      <c r="V89" t="e">
        <f>AND('Reg Types'!#REF!,"AAAAAH1+dxU=")</f>
        <v>#REF!</v>
      </c>
      <c r="W89" t="e">
        <f>AND('Reg Types'!#REF!,"AAAAAH1+dxY=")</f>
        <v>#REF!</v>
      </c>
      <c r="X89" t="e">
        <f>AND('Reg Types'!#REF!,"AAAAAH1+dxc=")</f>
        <v>#REF!</v>
      </c>
      <c r="Y89" t="e">
        <f>AND('Reg Types'!#REF!,"AAAAAH1+dxg=")</f>
        <v>#REF!</v>
      </c>
      <c r="Z89" t="e">
        <f>AND('Reg Types'!#REF!,"AAAAAH1+dxk=")</f>
        <v>#REF!</v>
      </c>
      <c r="AA89" t="e">
        <f>AND('Reg Types'!#REF!,"AAAAAH1+dxo=")</f>
        <v>#REF!</v>
      </c>
      <c r="AB89" t="e">
        <f>AND('Reg Types'!#REF!,"AAAAAH1+dxs=")</f>
        <v>#REF!</v>
      </c>
      <c r="AC89" t="e">
        <f>AND('Reg Types'!#REF!,"AAAAAH1+dxw=")</f>
        <v>#REF!</v>
      </c>
      <c r="AD89" t="e">
        <f>AND('Reg Types'!#REF!,"AAAAAH1+dx0=")</f>
        <v>#REF!</v>
      </c>
      <c r="AE89" t="e">
        <f>AND('Reg Types'!#REF!,"AAAAAH1+dx4=")</f>
        <v>#REF!</v>
      </c>
      <c r="AF89" t="e">
        <f>AND('Reg Types'!#REF!,"AAAAAH1+dx8=")</f>
        <v>#REF!</v>
      </c>
      <c r="AG89" t="e">
        <f>AND('Reg Types'!#REF!,"AAAAAH1+dyA=")</f>
        <v>#REF!</v>
      </c>
      <c r="AH89" t="e">
        <f>AND('Reg Types'!#REF!,"AAAAAH1+dyE=")</f>
        <v>#REF!</v>
      </c>
      <c r="AI89" t="e">
        <f>AND('Reg Types'!#REF!,"AAAAAH1+dyI=")</f>
        <v>#REF!</v>
      </c>
      <c r="AJ89" t="e">
        <f>IF('Reg Types'!#REF!,"AAAAAH1+dyM=",0)</f>
        <v>#REF!</v>
      </c>
      <c r="AK89" t="e">
        <f>AND('Reg Types'!#REF!,"AAAAAH1+dyQ=")</f>
        <v>#REF!</v>
      </c>
      <c r="AL89" t="e">
        <f>AND('Reg Types'!#REF!,"AAAAAH1+dyU=")</f>
        <v>#REF!</v>
      </c>
      <c r="AM89" t="e">
        <f>AND('Reg Types'!#REF!,"AAAAAH1+dyY=")</f>
        <v>#REF!</v>
      </c>
      <c r="AN89" t="e">
        <f>AND('Reg Types'!#REF!,"AAAAAH1+dyc=")</f>
        <v>#REF!</v>
      </c>
      <c r="AO89" t="e">
        <f>AND('Reg Types'!#REF!,"AAAAAH1+dyg=")</f>
        <v>#REF!</v>
      </c>
      <c r="AP89" t="e">
        <f>AND('Reg Types'!#REF!,"AAAAAH1+dyk=")</f>
        <v>#REF!</v>
      </c>
      <c r="AQ89" t="e">
        <f>AND('Reg Types'!#REF!,"AAAAAH1+dyo=")</f>
        <v>#REF!</v>
      </c>
      <c r="AR89" t="e">
        <f>AND('Reg Types'!#REF!,"AAAAAH1+dys=")</f>
        <v>#REF!</v>
      </c>
      <c r="AS89" t="e">
        <f>AND('Reg Types'!#REF!,"AAAAAH1+dyw=")</f>
        <v>#REF!</v>
      </c>
      <c r="AT89" t="e">
        <f>AND('Reg Types'!#REF!,"AAAAAH1+dy0=")</f>
        <v>#REF!</v>
      </c>
      <c r="AU89" t="e">
        <f>AND('Reg Types'!#REF!,"AAAAAH1+dy4=")</f>
        <v>#REF!</v>
      </c>
      <c r="AV89" t="e">
        <f>AND('Reg Types'!#REF!,"AAAAAH1+dy8=")</f>
        <v>#REF!</v>
      </c>
      <c r="AW89" t="e">
        <f>AND('Reg Types'!#REF!,"AAAAAH1+dzA=")</f>
        <v>#REF!</v>
      </c>
      <c r="AX89" t="e">
        <f>AND('Reg Types'!#REF!,"AAAAAH1+dzE=")</f>
        <v>#REF!</v>
      </c>
      <c r="AY89" t="e">
        <f>AND('Reg Types'!#REF!,"AAAAAH1+dzI=")</f>
        <v>#REF!</v>
      </c>
      <c r="AZ89" t="e">
        <f>AND('Reg Types'!#REF!,"AAAAAH1+dzM=")</f>
        <v>#REF!</v>
      </c>
      <c r="BA89" t="e">
        <f>AND('Reg Types'!#REF!,"AAAAAH1+dzQ=")</f>
        <v>#REF!</v>
      </c>
      <c r="BB89" t="e">
        <f>AND('Reg Types'!#REF!,"AAAAAH1+dzU=")</f>
        <v>#REF!</v>
      </c>
      <c r="BC89" t="e">
        <f>AND('Reg Types'!#REF!,"AAAAAH1+dzY=")</f>
        <v>#REF!</v>
      </c>
      <c r="BD89" t="e">
        <f>AND('Reg Types'!#REF!,"AAAAAH1+dzc=")</f>
        <v>#REF!</v>
      </c>
      <c r="BE89" t="e">
        <f>AND('Reg Types'!#REF!,"AAAAAH1+dzg=")</f>
        <v>#REF!</v>
      </c>
      <c r="BF89" t="e">
        <f>AND('Reg Types'!#REF!,"AAAAAH1+dzk=")</f>
        <v>#REF!</v>
      </c>
      <c r="BG89" t="e">
        <f>AND('Reg Types'!#REF!,"AAAAAH1+dzo=")</f>
        <v>#REF!</v>
      </c>
      <c r="BH89" t="e">
        <f>IF('Reg Types'!#REF!,"AAAAAH1+dzs=",0)</f>
        <v>#REF!</v>
      </c>
      <c r="BI89" t="e">
        <f>AND('Reg Types'!#REF!,"AAAAAH1+dzw=")</f>
        <v>#REF!</v>
      </c>
      <c r="BJ89" t="e">
        <f>AND('Reg Types'!#REF!,"AAAAAH1+dz0=")</f>
        <v>#REF!</v>
      </c>
      <c r="BK89" t="e">
        <f>AND('Reg Types'!#REF!,"AAAAAH1+dz4=")</f>
        <v>#REF!</v>
      </c>
      <c r="BL89" t="e">
        <f>AND('Reg Types'!#REF!,"AAAAAH1+dz8=")</f>
        <v>#REF!</v>
      </c>
      <c r="BM89" t="e">
        <f>AND('Reg Types'!#REF!,"AAAAAH1+d0A=")</f>
        <v>#REF!</v>
      </c>
      <c r="BN89" t="e">
        <f>AND('Reg Types'!#REF!,"AAAAAH1+d0E=")</f>
        <v>#REF!</v>
      </c>
      <c r="BO89" t="e">
        <f>AND('Reg Types'!#REF!,"AAAAAH1+d0I=")</f>
        <v>#REF!</v>
      </c>
      <c r="BP89" t="e">
        <f>AND('Reg Types'!#REF!,"AAAAAH1+d0M=")</f>
        <v>#REF!</v>
      </c>
      <c r="BQ89" t="e">
        <f>AND('Reg Types'!#REF!,"AAAAAH1+d0Q=")</f>
        <v>#REF!</v>
      </c>
      <c r="BR89" t="e">
        <f>AND('Reg Types'!#REF!,"AAAAAH1+d0U=")</f>
        <v>#REF!</v>
      </c>
      <c r="BS89" t="e">
        <f>AND('Reg Types'!#REF!,"AAAAAH1+d0Y=")</f>
        <v>#REF!</v>
      </c>
      <c r="BT89" t="e">
        <f>AND('Reg Types'!#REF!,"AAAAAH1+d0c=")</f>
        <v>#REF!</v>
      </c>
      <c r="BU89" t="e">
        <f>AND('Reg Types'!#REF!,"AAAAAH1+d0g=")</f>
        <v>#REF!</v>
      </c>
      <c r="BV89" t="e">
        <f>AND('Reg Types'!#REF!,"AAAAAH1+d0k=")</f>
        <v>#REF!</v>
      </c>
      <c r="BW89" t="e">
        <f>AND('Reg Types'!#REF!,"AAAAAH1+d0o=")</f>
        <v>#REF!</v>
      </c>
      <c r="BX89" t="e">
        <f>AND('Reg Types'!#REF!,"AAAAAH1+d0s=")</f>
        <v>#REF!</v>
      </c>
      <c r="BY89" t="e">
        <f>AND('Reg Types'!#REF!,"AAAAAH1+d0w=")</f>
        <v>#REF!</v>
      </c>
      <c r="BZ89" t="e">
        <f>AND('Reg Types'!#REF!,"AAAAAH1+d00=")</f>
        <v>#REF!</v>
      </c>
      <c r="CA89" t="e">
        <f>AND('Reg Types'!#REF!,"AAAAAH1+d04=")</f>
        <v>#REF!</v>
      </c>
      <c r="CB89" t="e">
        <f>AND('Reg Types'!#REF!,"AAAAAH1+d08=")</f>
        <v>#REF!</v>
      </c>
      <c r="CC89" t="e">
        <f>AND('Reg Types'!#REF!,"AAAAAH1+d1A=")</f>
        <v>#REF!</v>
      </c>
      <c r="CD89" t="e">
        <f>AND('Reg Types'!#REF!,"AAAAAH1+d1E=")</f>
        <v>#REF!</v>
      </c>
      <c r="CE89" t="e">
        <f>AND('Reg Types'!#REF!,"AAAAAH1+d1I=")</f>
        <v>#REF!</v>
      </c>
      <c r="CF89" t="e">
        <f>IF('Reg Types'!#REF!,"AAAAAH1+d1M=",0)</f>
        <v>#REF!</v>
      </c>
      <c r="CG89" t="e">
        <f>AND('Reg Types'!#REF!,"AAAAAH1+d1Q=")</f>
        <v>#REF!</v>
      </c>
      <c r="CH89" t="e">
        <f>AND('Reg Types'!#REF!,"AAAAAH1+d1U=")</f>
        <v>#REF!</v>
      </c>
      <c r="CI89" t="e">
        <f>AND('Reg Types'!#REF!,"AAAAAH1+d1Y=")</f>
        <v>#REF!</v>
      </c>
      <c r="CJ89" t="e">
        <f>AND('Reg Types'!#REF!,"AAAAAH1+d1c=")</f>
        <v>#REF!</v>
      </c>
      <c r="CK89" t="e">
        <f>AND('Reg Types'!#REF!,"AAAAAH1+d1g=")</f>
        <v>#REF!</v>
      </c>
      <c r="CL89" t="e">
        <f>AND('Reg Types'!#REF!,"AAAAAH1+d1k=")</f>
        <v>#REF!</v>
      </c>
      <c r="CM89" t="e">
        <f>AND('Reg Types'!#REF!,"AAAAAH1+d1o=")</f>
        <v>#REF!</v>
      </c>
      <c r="CN89" t="e">
        <f>AND('Reg Types'!#REF!,"AAAAAH1+d1s=")</f>
        <v>#REF!</v>
      </c>
      <c r="CO89" t="e">
        <f>AND('Reg Types'!#REF!,"AAAAAH1+d1w=")</f>
        <v>#REF!</v>
      </c>
      <c r="CP89" t="e">
        <f>AND('Reg Types'!#REF!,"AAAAAH1+d10=")</f>
        <v>#REF!</v>
      </c>
      <c r="CQ89" t="e">
        <f>AND('Reg Types'!#REF!,"AAAAAH1+d14=")</f>
        <v>#REF!</v>
      </c>
      <c r="CR89" t="e">
        <f>AND('Reg Types'!#REF!,"AAAAAH1+d18=")</f>
        <v>#REF!</v>
      </c>
      <c r="CS89" t="e">
        <f>AND('Reg Types'!#REF!,"AAAAAH1+d2A=")</f>
        <v>#REF!</v>
      </c>
      <c r="CT89" t="e">
        <f>AND('Reg Types'!#REF!,"AAAAAH1+d2E=")</f>
        <v>#REF!</v>
      </c>
      <c r="CU89" t="e">
        <f>AND('Reg Types'!#REF!,"AAAAAH1+d2I=")</f>
        <v>#REF!</v>
      </c>
      <c r="CV89" t="e">
        <f>AND('Reg Types'!#REF!,"AAAAAH1+d2M=")</f>
        <v>#REF!</v>
      </c>
      <c r="CW89" t="e">
        <f>AND('Reg Types'!#REF!,"AAAAAH1+d2Q=")</f>
        <v>#REF!</v>
      </c>
      <c r="CX89" t="e">
        <f>AND('Reg Types'!#REF!,"AAAAAH1+d2U=")</f>
        <v>#REF!</v>
      </c>
      <c r="CY89" t="e">
        <f>AND('Reg Types'!#REF!,"AAAAAH1+d2Y=")</f>
        <v>#REF!</v>
      </c>
      <c r="CZ89" t="e">
        <f>AND('Reg Types'!#REF!,"AAAAAH1+d2c=")</f>
        <v>#REF!</v>
      </c>
      <c r="DA89" t="e">
        <f>AND('Reg Types'!#REF!,"AAAAAH1+d2g=")</f>
        <v>#REF!</v>
      </c>
      <c r="DB89" t="e">
        <f>AND('Reg Types'!#REF!,"AAAAAH1+d2k=")</f>
        <v>#REF!</v>
      </c>
      <c r="DC89" t="e">
        <f>AND('Reg Types'!#REF!,"AAAAAH1+d2o=")</f>
        <v>#REF!</v>
      </c>
      <c r="DD89" t="e">
        <f>IF('Reg Types'!#REF!,"AAAAAH1+d2s=",0)</f>
        <v>#REF!</v>
      </c>
      <c r="DE89" t="e">
        <f>AND('Reg Types'!#REF!,"AAAAAH1+d2w=")</f>
        <v>#REF!</v>
      </c>
      <c r="DF89" t="e">
        <f>AND('Reg Types'!#REF!,"AAAAAH1+d20=")</f>
        <v>#REF!</v>
      </c>
      <c r="DG89" t="e">
        <f>AND('Reg Types'!#REF!,"AAAAAH1+d24=")</f>
        <v>#REF!</v>
      </c>
      <c r="DH89" t="e">
        <f>AND('Reg Types'!#REF!,"AAAAAH1+d28=")</f>
        <v>#REF!</v>
      </c>
      <c r="DI89" t="e">
        <f>AND('Reg Types'!#REF!,"AAAAAH1+d3A=")</f>
        <v>#REF!</v>
      </c>
      <c r="DJ89" t="e">
        <f>AND('Reg Types'!#REF!,"AAAAAH1+d3E=")</f>
        <v>#REF!</v>
      </c>
      <c r="DK89" t="e">
        <f>AND('Reg Types'!#REF!,"AAAAAH1+d3I=")</f>
        <v>#REF!</v>
      </c>
      <c r="DL89" t="e">
        <f>AND('Reg Types'!#REF!,"AAAAAH1+d3M=")</f>
        <v>#REF!</v>
      </c>
      <c r="DM89" t="e">
        <f>AND('Reg Types'!#REF!,"AAAAAH1+d3Q=")</f>
        <v>#REF!</v>
      </c>
      <c r="DN89" t="e">
        <f>AND('Reg Types'!#REF!,"AAAAAH1+d3U=")</f>
        <v>#REF!</v>
      </c>
      <c r="DO89" t="e">
        <f>AND('Reg Types'!#REF!,"AAAAAH1+d3Y=")</f>
        <v>#REF!</v>
      </c>
      <c r="DP89" t="e">
        <f>AND('Reg Types'!#REF!,"AAAAAH1+d3c=")</f>
        <v>#REF!</v>
      </c>
      <c r="DQ89" t="e">
        <f>AND('Reg Types'!#REF!,"AAAAAH1+d3g=")</f>
        <v>#REF!</v>
      </c>
      <c r="DR89" t="e">
        <f>AND('Reg Types'!#REF!,"AAAAAH1+d3k=")</f>
        <v>#REF!</v>
      </c>
      <c r="DS89" t="e">
        <f>AND('Reg Types'!#REF!,"AAAAAH1+d3o=")</f>
        <v>#REF!</v>
      </c>
      <c r="DT89" t="e">
        <f>AND('Reg Types'!#REF!,"AAAAAH1+d3s=")</f>
        <v>#REF!</v>
      </c>
      <c r="DU89" t="e">
        <f>AND('Reg Types'!#REF!,"AAAAAH1+d3w=")</f>
        <v>#REF!</v>
      </c>
      <c r="DV89" t="e">
        <f>AND('Reg Types'!#REF!,"AAAAAH1+d30=")</f>
        <v>#REF!</v>
      </c>
      <c r="DW89" t="e">
        <f>AND('Reg Types'!#REF!,"AAAAAH1+d34=")</f>
        <v>#REF!</v>
      </c>
      <c r="DX89" t="e">
        <f>AND('Reg Types'!#REF!,"AAAAAH1+d38=")</f>
        <v>#REF!</v>
      </c>
      <c r="DY89" t="e">
        <f>AND('Reg Types'!#REF!,"AAAAAH1+d4A=")</f>
        <v>#REF!</v>
      </c>
      <c r="DZ89" t="e">
        <f>AND('Reg Types'!#REF!,"AAAAAH1+d4E=")</f>
        <v>#REF!</v>
      </c>
      <c r="EA89" t="e">
        <f>AND('Reg Types'!#REF!,"AAAAAH1+d4I=")</f>
        <v>#REF!</v>
      </c>
      <c r="EB89" t="e">
        <f>IF('Reg Types'!#REF!,"AAAAAH1+d4M=",0)</f>
        <v>#REF!</v>
      </c>
      <c r="EC89" t="e">
        <f>AND('Reg Types'!#REF!,"AAAAAH1+d4Q=")</f>
        <v>#REF!</v>
      </c>
      <c r="ED89" t="e">
        <f>AND('Reg Types'!#REF!,"AAAAAH1+d4U=")</f>
        <v>#REF!</v>
      </c>
      <c r="EE89" t="e">
        <f>AND('Reg Types'!#REF!,"AAAAAH1+d4Y=")</f>
        <v>#REF!</v>
      </c>
      <c r="EF89" t="e">
        <f>AND('Reg Types'!#REF!,"AAAAAH1+d4c=")</f>
        <v>#REF!</v>
      </c>
      <c r="EG89" t="e">
        <f>AND('Reg Types'!#REF!,"AAAAAH1+d4g=")</f>
        <v>#REF!</v>
      </c>
      <c r="EH89" t="e">
        <f>AND('Reg Types'!#REF!,"AAAAAH1+d4k=")</f>
        <v>#REF!</v>
      </c>
      <c r="EI89" t="e">
        <f>AND('Reg Types'!#REF!,"AAAAAH1+d4o=")</f>
        <v>#REF!</v>
      </c>
      <c r="EJ89" t="e">
        <f>AND('Reg Types'!#REF!,"AAAAAH1+d4s=")</f>
        <v>#REF!</v>
      </c>
      <c r="EK89" t="e">
        <f>AND('Reg Types'!#REF!,"AAAAAH1+d4w=")</f>
        <v>#REF!</v>
      </c>
      <c r="EL89" t="e">
        <f>AND('Reg Types'!#REF!,"AAAAAH1+d40=")</f>
        <v>#REF!</v>
      </c>
      <c r="EM89" t="e">
        <f>AND('Reg Types'!#REF!,"AAAAAH1+d44=")</f>
        <v>#REF!</v>
      </c>
      <c r="EN89" t="e">
        <f>AND('Reg Types'!#REF!,"AAAAAH1+d48=")</f>
        <v>#REF!</v>
      </c>
      <c r="EO89" t="e">
        <f>AND('Reg Types'!#REF!,"AAAAAH1+d5A=")</f>
        <v>#REF!</v>
      </c>
      <c r="EP89" t="e">
        <f>AND('Reg Types'!#REF!,"AAAAAH1+d5E=")</f>
        <v>#REF!</v>
      </c>
      <c r="EQ89" t="e">
        <f>AND('Reg Types'!#REF!,"AAAAAH1+d5I=")</f>
        <v>#REF!</v>
      </c>
      <c r="ER89" t="e">
        <f>AND('Reg Types'!#REF!,"AAAAAH1+d5M=")</f>
        <v>#REF!</v>
      </c>
      <c r="ES89" t="e">
        <f>AND('Reg Types'!#REF!,"AAAAAH1+d5Q=")</f>
        <v>#REF!</v>
      </c>
      <c r="ET89" t="e">
        <f>AND('Reg Types'!#REF!,"AAAAAH1+d5U=")</f>
        <v>#REF!</v>
      </c>
      <c r="EU89" t="e">
        <f>AND('Reg Types'!#REF!,"AAAAAH1+d5Y=")</f>
        <v>#REF!</v>
      </c>
      <c r="EV89" t="e">
        <f>AND('Reg Types'!#REF!,"AAAAAH1+d5c=")</f>
        <v>#REF!</v>
      </c>
      <c r="EW89" t="e">
        <f>AND('Reg Types'!#REF!,"AAAAAH1+d5g=")</f>
        <v>#REF!</v>
      </c>
      <c r="EX89" t="e">
        <f>AND('Reg Types'!#REF!,"AAAAAH1+d5k=")</f>
        <v>#REF!</v>
      </c>
      <c r="EY89" t="e">
        <f>AND('Reg Types'!#REF!,"AAAAAH1+d5o=")</f>
        <v>#REF!</v>
      </c>
      <c r="EZ89" t="e">
        <f>IF('Reg Types'!#REF!,"AAAAAH1+d5s=",0)</f>
        <v>#REF!</v>
      </c>
      <c r="FA89" t="e">
        <f>AND('Reg Types'!#REF!,"AAAAAH1+d5w=")</f>
        <v>#REF!</v>
      </c>
      <c r="FB89" t="e">
        <f>AND('Reg Types'!#REF!,"AAAAAH1+d50=")</f>
        <v>#REF!</v>
      </c>
      <c r="FC89" t="e">
        <f>AND('Reg Types'!#REF!,"AAAAAH1+d54=")</f>
        <v>#REF!</v>
      </c>
      <c r="FD89" t="e">
        <f>AND('Reg Types'!#REF!,"AAAAAH1+d58=")</f>
        <v>#REF!</v>
      </c>
      <c r="FE89" t="e">
        <f>AND('Reg Types'!#REF!,"AAAAAH1+d6A=")</f>
        <v>#REF!</v>
      </c>
      <c r="FF89" t="e">
        <f>AND('Reg Types'!#REF!,"AAAAAH1+d6E=")</f>
        <v>#REF!</v>
      </c>
      <c r="FG89" t="e">
        <f>AND('Reg Types'!#REF!,"AAAAAH1+d6I=")</f>
        <v>#REF!</v>
      </c>
      <c r="FH89" t="e">
        <f>AND('Reg Types'!#REF!,"AAAAAH1+d6M=")</f>
        <v>#REF!</v>
      </c>
      <c r="FI89" t="e">
        <f>AND('Reg Types'!#REF!,"AAAAAH1+d6Q=")</f>
        <v>#REF!</v>
      </c>
      <c r="FJ89" t="e">
        <f>AND('Reg Types'!#REF!,"AAAAAH1+d6U=")</f>
        <v>#REF!</v>
      </c>
      <c r="FK89" t="e">
        <f>AND('Reg Types'!#REF!,"AAAAAH1+d6Y=")</f>
        <v>#REF!</v>
      </c>
      <c r="FL89" t="e">
        <f>AND('Reg Types'!#REF!,"AAAAAH1+d6c=")</f>
        <v>#REF!</v>
      </c>
      <c r="FM89" t="e">
        <f>AND('Reg Types'!#REF!,"AAAAAH1+d6g=")</f>
        <v>#REF!</v>
      </c>
      <c r="FN89" t="e">
        <f>AND('Reg Types'!#REF!,"AAAAAH1+d6k=")</f>
        <v>#REF!</v>
      </c>
      <c r="FO89" t="e">
        <f>AND('Reg Types'!#REF!,"AAAAAH1+d6o=")</f>
        <v>#REF!</v>
      </c>
      <c r="FP89" t="e">
        <f>AND('Reg Types'!#REF!,"AAAAAH1+d6s=")</f>
        <v>#REF!</v>
      </c>
      <c r="FQ89" t="e">
        <f>AND('Reg Types'!#REF!,"AAAAAH1+d6w=")</f>
        <v>#REF!</v>
      </c>
      <c r="FR89" t="e">
        <f>AND('Reg Types'!#REF!,"AAAAAH1+d60=")</f>
        <v>#REF!</v>
      </c>
      <c r="FS89" t="e">
        <f>AND('Reg Types'!#REF!,"AAAAAH1+d64=")</f>
        <v>#REF!</v>
      </c>
      <c r="FT89" t="e">
        <f>AND('Reg Types'!#REF!,"AAAAAH1+d68=")</f>
        <v>#REF!</v>
      </c>
      <c r="FU89" t="e">
        <f>AND('Reg Types'!#REF!,"AAAAAH1+d7A=")</f>
        <v>#REF!</v>
      </c>
      <c r="FV89" t="e">
        <f>AND('Reg Types'!#REF!,"AAAAAH1+d7E=")</f>
        <v>#REF!</v>
      </c>
      <c r="FW89" t="e">
        <f>AND('Reg Types'!#REF!,"AAAAAH1+d7I=")</f>
        <v>#REF!</v>
      </c>
      <c r="FX89" t="e">
        <f>IF('Reg Types'!#REF!,"AAAAAH1+d7M=",0)</f>
        <v>#REF!</v>
      </c>
      <c r="FY89" t="e">
        <f>AND('Reg Types'!#REF!,"AAAAAH1+d7Q=")</f>
        <v>#REF!</v>
      </c>
      <c r="FZ89" t="e">
        <f>AND('Reg Types'!#REF!,"AAAAAH1+d7U=")</f>
        <v>#REF!</v>
      </c>
      <c r="GA89" t="e">
        <f>AND('Reg Types'!#REF!,"AAAAAH1+d7Y=")</f>
        <v>#REF!</v>
      </c>
      <c r="GB89" t="e">
        <f>AND('Reg Types'!#REF!,"AAAAAH1+d7c=")</f>
        <v>#REF!</v>
      </c>
      <c r="GC89" t="e">
        <f>AND('Reg Types'!#REF!,"AAAAAH1+d7g=")</f>
        <v>#REF!</v>
      </c>
      <c r="GD89" t="e">
        <f>AND('Reg Types'!#REF!,"AAAAAH1+d7k=")</f>
        <v>#REF!</v>
      </c>
      <c r="GE89" t="e">
        <f>AND('Reg Types'!#REF!,"AAAAAH1+d7o=")</f>
        <v>#REF!</v>
      </c>
      <c r="GF89" t="e">
        <f>AND('Reg Types'!#REF!,"AAAAAH1+d7s=")</f>
        <v>#REF!</v>
      </c>
      <c r="GG89" t="e">
        <f>AND('Reg Types'!#REF!,"AAAAAH1+d7w=")</f>
        <v>#REF!</v>
      </c>
      <c r="GH89" t="e">
        <f>AND('Reg Types'!#REF!,"AAAAAH1+d70=")</f>
        <v>#REF!</v>
      </c>
      <c r="GI89" t="e">
        <f>AND('Reg Types'!#REF!,"AAAAAH1+d74=")</f>
        <v>#REF!</v>
      </c>
      <c r="GJ89" t="e">
        <f>AND('Reg Types'!#REF!,"AAAAAH1+d78=")</f>
        <v>#REF!</v>
      </c>
      <c r="GK89" t="e">
        <f>AND('Reg Types'!#REF!,"AAAAAH1+d8A=")</f>
        <v>#REF!</v>
      </c>
      <c r="GL89" t="e">
        <f>AND('Reg Types'!#REF!,"AAAAAH1+d8E=")</f>
        <v>#REF!</v>
      </c>
      <c r="GM89" t="e">
        <f>AND('Reg Types'!#REF!,"AAAAAH1+d8I=")</f>
        <v>#REF!</v>
      </c>
      <c r="GN89" t="e">
        <f>AND('Reg Types'!#REF!,"AAAAAH1+d8M=")</f>
        <v>#REF!</v>
      </c>
      <c r="GO89" t="e">
        <f>AND('Reg Types'!#REF!,"AAAAAH1+d8Q=")</f>
        <v>#REF!</v>
      </c>
      <c r="GP89" t="e">
        <f>AND('Reg Types'!#REF!,"AAAAAH1+d8U=")</f>
        <v>#REF!</v>
      </c>
      <c r="GQ89" t="e">
        <f>AND('Reg Types'!#REF!,"AAAAAH1+d8Y=")</f>
        <v>#REF!</v>
      </c>
      <c r="GR89" t="e">
        <f>AND('Reg Types'!#REF!,"AAAAAH1+d8c=")</f>
        <v>#REF!</v>
      </c>
      <c r="GS89" t="e">
        <f>AND('Reg Types'!#REF!,"AAAAAH1+d8g=")</f>
        <v>#REF!</v>
      </c>
      <c r="GT89" t="e">
        <f>AND('Reg Types'!#REF!,"AAAAAH1+d8k=")</f>
        <v>#REF!</v>
      </c>
      <c r="GU89" t="e">
        <f>AND('Reg Types'!#REF!,"AAAAAH1+d8o=")</f>
        <v>#REF!</v>
      </c>
      <c r="GV89" t="e">
        <f>IF('Reg Types'!#REF!,"AAAAAH1+d8s=",0)</f>
        <v>#REF!</v>
      </c>
      <c r="GW89" t="e">
        <f>AND('Reg Types'!#REF!,"AAAAAH1+d8w=")</f>
        <v>#REF!</v>
      </c>
      <c r="GX89" t="e">
        <f>AND('Reg Types'!#REF!,"AAAAAH1+d80=")</f>
        <v>#REF!</v>
      </c>
      <c r="GY89" t="e">
        <f>AND('Reg Types'!#REF!,"AAAAAH1+d84=")</f>
        <v>#REF!</v>
      </c>
      <c r="GZ89" t="e">
        <f>AND('Reg Types'!#REF!,"AAAAAH1+d88=")</f>
        <v>#REF!</v>
      </c>
      <c r="HA89" t="e">
        <f>AND('Reg Types'!#REF!,"AAAAAH1+d9A=")</f>
        <v>#REF!</v>
      </c>
      <c r="HB89" t="e">
        <f>AND('Reg Types'!#REF!,"AAAAAH1+d9E=")</f>
        <v>#REF!</v>
      </c>
      <c r="HC89" t="e">
        <f>AND('Reg Types'!#REF!,"AAAAAH1+d9I=")</f>
        <v>#REF!</v>
      </c>
      <c r="HD89" t="e">
        <f>AND('Reg Types'!#REF!,"AAAAAH1+d9M=")</f>
        <v>#REF!</v>
      </c>
      <c r="HE89" t="e">
        <f>AND('Reg Types'!#REF!,"AAAAAH1+d9Q=")</f>
        <v>#REF!</v>
      </c>
      <c r="HF89" t="e">
        <f>AND('Reg Types'!#REF!,"AAAAAH1+d9U=")</f>
        <v>#REF!</v>
      </c>
      <c r="HG89" t="e">
        <f>AND('Reg Types'!#REF!,"AAAAAH1+d9Y=")</f>
        <v>#REF!</v>
      </c>
      <c r="HH89" t="e">
        <f>AND('Reg Types'!#REF!,"AAAAAH1+d9c=")</f>
        <v>#REF!</v>
      </c>
      <c r="HI89" t="e">
        <f>AND('Reg Types'!#REF!,"AAAAAH1+d9g=")</f>
        <v>#REF!</v>
      </c>
      <c r="HJ89" t="e">
        <f>AND('Reg Types'!#REF!,"AAAAAH1+d9k=")</f>
        <v>#REF!</v>
      </c>
      <c r="HK89" t="e">
        <f>AND('Reg Types'!#REF!,"AAAAAH1+d9o=")</f>
        <v>#REF!</v>
      </c>
      <c r="HL89" t="e">
        <f>AND('Reg Types'!#REF!,"AAAAAH1+d9s=")</f>
        <v>#REF!</v>
      </c>
      <c r="HM89" t="e">
        <f>AND('Reg Types'!#REF!,"AAAAAH1+d9w=")</f>
        <v>#REF!</v>
      </c>
      <c r="HN89" t="e">
        <f>AND('Reg Types'!#REF!,"AAAAAH1+d90=")</f>
        <v>#REF!</v>
      </c>
      <c r="HO89" t="e">
        <f>AND('Reg Types'!#REF!,"AAAAAH1+d94=")</f>
        <v>#REF!</v>
      </c>
      <c r="HP89" t="e">
        <f>AND('Reg Types'!#REF!,"AAAAAH1+d98=")</f>
        <v>#REF!</v>
      </c>
      <c r="HQ89" t="e">
        <f>AND('Reg Types'!#REF!,"AAAAAH1+d+A=")</f>
        <v>#REF!</v>
      </c>
      <c r="HR89" t="e">
        <f>AND('Reg Types'!#REF!,"AAAAAH1+d+E=")</f>
        <v>#REF!</v>
      </c>
      <c r="HS89" t="e">
        <f>AND('Reg Types'!#REF!,"AAAAAH1+d+I=")</f>
        <v>#REF!</v>
      </c>
      <c r="HT89" t="e">
        <f>IF('Reg Types'!#REF!,"AAAAAH1+d+M=",0)</f>
        <v>#REF!</v>
      </c>
      <c r="HU89" t="e">
        <f>AND('Reg Types'!#REF!,"AAAAAH1+d+Q=")</f>
        <v>#REF!</v>
      </c>
      <c r="HV89" t="e">
        <f>AND('Reg Types'!#REF!,"AAAAAH1+d+U=")</f>
        <v>#REF!</v>
      </c>
      <c r="HW89" t="e">
        <f>AND('Reg Types'!#REF!,"AAAAAH1+d+Y=")</f>
        <v>#REF!</v>
      </c>
      <c r="HX89" t="e">
        <f>AND('Reg Types'!#REF!,"AAAAAH1+d+c=")</f>
        <v>#REF!</v>
      </c>
      <c r="HY89" t="e">
        <f>AND('Reg Types'!#REF!,"AAAAAH1+d+g=")</f>
        <v>#REF!</v>
      </c>
      <c r="HZ89" t="e">
        <f>AND('Reg Types'!#REF!,"AAAAAH1+d+k=")</f>
        <v>#REF!</v>
      </c>
      <c r="IA89" t="e">
        <f>AND('Reg Types'!#REF!,"AAAAAH1+d+o=")</f>
        <v>#REF!</v>
      </c>
      <c r="IB89" t="e">
        <f>AND('Reg Types'!#REF!,"AAAAAH1+d+s=")</f>
        <v>#REF!</v>
      </c>
      <c r="IC89" t="e">
        <f>AND('Reg Types'!#REF!,"AAAAAH1+d+w=")</f>
        <v>#REF!</v>
      </c>
      <c r="ID89" t="e">
        <f>AND('Reg Types'!#REF!,"AAAAAH1+d+0=")</f>
        <v>#REF!</v>
      </c>
      <c r="IE89" t="e">
        <f>AND('Reg Types'!#REF!,"AAAAAH1+d+4=")</f>
        <v>#REF!</v>
      </c>
      <c r="IF89" t="e">
        <f>AND('Reg Types'!#REF!,"AAAAAH1+d+8=")</f>
        <v>#REF!</v>
      </c>
      <c r="IG89" t="e">
        <f>AND('Reg Types'!#REF!,"AAAAAH1+d/A=")</f>
        <v>#REF!</v>
      </c>
      <c r="IH89" t="e">
        <f>AND('Reg Types'!#REF!,"AAAAAH1+d/E=")</f>
        <v>#REF!</v>
      </c>
      <c r="II89" t="e">
        <f>AND('Reg Types'!#REF!,"AAAAAH1+d/I=")</f>
        <v>#REF!</v>
      </c>
      <c r="IJ89" t="e">
        <f>AND('Reg Types'!#REF!,"AAAAAH1+d/M=")</f>
        <v>#REF!</v>
      </c>
      <c r="IK89" t="e">
        <f>AND('Reg Types'!#REF!,"AAAAAH1+d/Q=")</f>
        <v>#REF!</v>
      </c>
      <c r="IL89" t="e">
        <f>AND('Reg Types'!#REF!,"AAAAAH1+d/U=")</f>
        <v>#REF!</v>
      </c>
      <c r="IM89" t="e">
        <f>AND('Reg Types'!#REF!,"AAAAAH1+d/Y=")</f>
        <v>#REF!</v>
      </c>
      <c r="IN89" t="e">
        <f>AND('Reg Types'!#REF!,"AAAAAH1+d/c=")</f>
        <v>#REF!</v>
      </c>
      <c r="IO89" t="e">
        <f>AND('Reg Types'!#REF!,"AAAAAH1+d/g=")</f>
        <v>#REF!</v>
      </c>
      <c r="IP89" t="e">
        <f>AND('Reg Types'!#REF!,"AAAAAH1+d/k=")</f>
        <v>#REF!</v>
      </c>
      <c r="IQ89" t="e">
        <f>AND('Reg Types'!#REF!,"AAAAAH1+d/o=")</f>
        <v>#REF!</v>
      </c>
      <c r="IR89" t="e">
        <f>IF('Reg Types'!#REF!,"AAAAAH1+d/s=",0)</f>
        <v>#REF!</v>
      </c>
      <c r="IS89" t="e">
        <f>AND('Reg Types'!#REF!,"AAAAAH1+d/w=")</f>
        <v>#REF!</v>
      </c>
      <c r="IT89" t="e">
        <f>AND('Reg Types'!#REF!,"AAAAAH1+d/0=")</f>
        <v>#REF!</v>
      </c>
      <c r="IU89" t="e">
        <f>AND('Reg Types'!#REF!,"AAAAAH1+d/4=")</f>
        <v>#REF!</v>
      </c>
      <c r="IV89" t="e">
        <f>AND('Reg Types'!#REF!,"AAAAAH1+d/8=")</f>
        <v>#REF!</v>
      </c>
    </row>
    <row r="90" spans="1:256" x14ac:dyDescent="0.2">
      <c r="A90" t="e">
        <f>AND('Reg Types'!#REF!,"AAAAAHt/fwA=")</f>
        <v>#REF!</v>
      </c>
      <c r="B90" t="e">
        <f>AND('Reg Types'!#REF!,"AAAAAHt/fwE=")</f>
        <v>#REF!</v>
      </c>
      <c r="C90" t="e">
        <f>AND('Reg Types'!#REF!,"AAAAAHt/fwI=")</f>
        <v>#REF!</v>
      </c>
      <c r="D90" t="e">
        <f>AND('Reg Types'!#REF!,"AAAAAHt/fwM=")</f>
        <v>#REF!</v>
      </c>
      <c r="E90" t="e">
        <f>AND('Reg Types'!#REF!,"AAAAAHt/fwQ=")</f>
        <v>#REF!</v>
      </c>
      <c r="F90" t="e">
        <f>AND('Reg Types'!#REF!,"AAAAAHt/fwU=")</f>
        <v>#REF!</v>
      </c>
      <c r="G90" t="e">
        <f>AND('Reg Types'!#REF!,"AAAAAHt/fwY=")</f>
        <v>#REF!</v>
      </c>
      <c r="H90" t="e">
        <f>AND('Reg Types'!#REF!,"AAAAAHt/fwc=")</f>
        <v>#REF!</v>
      </c>
      <c r="I90" t="e">
        <f>AND('Reg Types'!#REF!,"AAAAAHt/fwg=")</f>
        <v>#REF!</v>
      </c>
      <c r="J90" t="e">
        <f>AND('Reg Types'!#REF!,"AAAAAHt/fwk=")</f>
        <v>#REF!</v>
      </c>
      <c r="K90" t="e">
        <f>AND('Reg Types'!#REF!,"AAAAAHt/fwo=")</f>
        <v>#REF!</v>
      </c>
      <c r="L90" t="e">
        <f>AND('Reg Types'!#REF!,"AAAAAHt/fws=")</f>
        <v>#REF!</v>
      </c>
      <c r="M90" t="e">
        <f>AND('Reg Types'!#REF!,"AAAAAHt/fww=")</f>
        <v>#REF!</v>
      </c>
      <c r="N90" t="e">
        <f>AND('Reg Types'!#REF!,"AAAAAHt/fw0=")</f>
        <v>#REF!</v>
      </c>
      <c r="O90" t="e">
        <f>AND('Reg Types'!#REF!,"AAAAAHt/fw4=")</f>
        <v>#REF!</v>
      </c>
      <c r="P90" t="e">
        <f>AND('Reg Types'!#REF!,"AAAAAHt/fw8=")</f>
        <v>#REF!</v>
      </c>
      <c r="Q90" t="e">
        <f>AND('Reg Types'!#REF!,"AAAAAHt/fxA=")</f>
        <v>#REF!</v>
      </c>
      <c r="R90" t="e">
        <f>AND('Reg Types'!#REF!,"AAAAAHt/fxE=")</f>
        <v>#REF!</v>
      </c>
      <c r="S90" t="e">
        <f>AND('Reg Types'!#REF!,"AAAAAHt/fxI=")</f>
        <v>#REF!</v>
      </c>
      <c r="T90" t="e">
        <f>IF('Reg Types'!#REF!,"AAAAAHt/fxM=",0)</f>
        <v>#REF!</v>
      </c>
      <c r="U90" t="e">
        <f>AND('Reg Types'!#REF!,"AAAAAHt/fxQ=")</f>
        <v>#REF!</v>
      </c>
      <c r="V90" t="e">
        <f>AND('Reg Types'!#REF!,"AAAAAHt/fxU=")</f>
        <v>#REF!</v>
      </c>
      <c r="W90" t="e">
        <f>AND('Reg Types'!#REF!,"AAAAAHt/fxY=")</f>
        <v>#REF!</v>
      </c>
      <c r="X90" t="e">
        <f>AND('Reg Types'!#REF!,"AAAAAHt/fxc=")</f>
        <v>#REF!</v>
      </c>
      <c r="Y90" t="e">
        <f>AND('Reg Types'!#REF!,"AAAAAHt/fxg=")</f>
        <v>#REF!</v>
      </c>
      <c r="Z90" t="e">
        <f>AND('Reg Types'!#REF!,"AAAAAHt/fxk=")</f>
        <v>#REF!</v>
      </c>
      <c r="AA90" t="e">
        <f>AND('Reg Types'!#REF!,"AAAAAHt/fxo=")</f>
        <v>#REF!</v>
      </c>
      <c r="AB90" t="e">
        <f>AND('Reg Types'!#REF!,"AAAAAHt/fxs=")</f>
        <v>#REF!</v>
      </c>
      <c r="AC90" t="e">
        <f>AND('Reg Types'!#REF!,"AAAAAHt/fxw=")</f>
        <v>#REF!</v>
      </c>
      <c r="AD90" t="e">
        <f>AND('Reg Types'!#REF!,"AAAAAHt/fx0=")</f>
        <v>#REF!</v>
      </c>
      <c r="AE90" t="e">
        <f>AND('Reg Types'!#REF!,"AAAAAHt/fx4=")</f>
        <v>#REF!</v>
      </c>
      <c r="AF90" t="e">
        <f>AND('Reg Types'!#REF!,"AAAAAHt/fx8=")</f>
        <v>#REF!</v>
      </c>
      <c r="AG90" t="e">
        <f>AND('Reg Types'!#REF!,"AAAAAHt/fyA=")</f>
        <v>#REF!</v>
      </c>
      <c r="AH90" t="e">
        <f>AND('Reg Types'!#REF!,"AAAAAHt/fyE=")</f>
        <v>#REF!</v>
      </c>
      <c r="AI90" t="e">
        <f>AND('Reg Types'!#REF!,"AAAAAHt/fyI=")</f>
        <v>#REF!</v>
      </c>
      <c r="AJ90" t="e">
        <f>AND('Reg Types'!#REF!,"AAAAAHt/fyM=")</f>
        <v>#REF!</v>
      </c>
      <c r="AK90" t="e">
        <f>AND('Reg Types'!#REF!,"AAAAAHt/fyQ=")</f>
        <v>#REF!</v>
      </c>
      <c r="AL90" t="e">
        <f>AND('Reg Types'!#REF!,"AAAAAHt/fyU=")</f>
        <v>#REF!</v>
      </c>
      <c r="AM90" t="e">
        <f>AND('Reg Types'!#REF!,"AAAAAHt/fyY=")</f>
        <v>#REF!</v>
      </c>
      <c r="AN90" t="e">
        <f>AND('Reg Types'!#REF!,"AAAAAHt/fyc=")</f>
        <v>#REF!</v>
      </c>
      <c r="AO90" t="e">
        <f>AND('Reg Types'!#REF!,"AAAAAHt/fyg=")</f>
        <v>#REF!</v>
      </c>
      <c r="AP90" t="e">
        <f>AND('Reg Types'!#REF!,"AAAAAHt/fyk=")</f>
        <v>#REF!</v>
      </c>
      <c r="AQ90" t="e">
        <f>AND('Reg Types'!#REF!,"AAAAAHt/fyo=")</f>
        <v>#REF!</v>
      </c>
      <c r="AR90" t="e">
        <f>IF('Reg Types'!#REF!,"AAAAAHt/fys=",0)</f>
        <v>#REF!</v>
      </c>
      <c r="AS90" t="e">
        <f>AND('Reg Types'!#REF!,"AAAAAHt/fyw=")</f>
        <v>#REF!</v>
      </c>
      <c r="AT90" t="e">
        <f>AND('Reg Types'!#REF!,"AAAAAHt/fy0=")</f>
        <v>#REF!</v>
      </c>
      <c r="AU90" t="e">
        <f>AND('Reg Types'!#REF!,"AAAAAHt/fy4=")</f>
        <v>#REF!</v>
      </c>
      <c r="AV90" t="e">
        <f>AND('Reg Types'!#REF!,"AAAAAHt/fy8=")</f>
        <v>#REF!</v>
      </c>
      <c r="AW90" t="e">
        <f>AND('Reg Types'!#REF!,"AAAAAHt/fzA=")</f>
        <v>#REF!</v>
      </c>
      <c r="AX90" t="e">
        <f>AND('Reg Types'!#REF!,"AAAAAHt/fzE=")</f>
        <v>#REF!</v>
      </c>
      <c r="AY90" t="e">
        <f>AND('Reg Types'!#REF!,"AAAAAHt/fzI=")</f>
        <v>#REF!</v>
      </c>
      <c r="AZ90" t="e">
        <f>AND('Reg Types'!#REF!,"AAAAAHt/fzM=")</f>
        <v>#REF!</v>
      </c>
      <c r="BA90" t="e">
        <f>AND('Reg Types'!#REF!,"AAAAAHt/fzQ=")</f>
        <v>#REF!</v>
      </c>
      <c r="BB90" t="e">
        <f>AND('Reg Types'!#REF!,"AAAAAHt/fzU=")</f>
        <v>#REF!</v>
      </c>
      <c r="BC90" t="e">
        <f>AND('Reg Types'!#REF!,"AAAAAHt/fzY=")</f>
        <v>#REF!</v>
      </c>
      <c r="BD90" t="e">
        <f>AND('Reg Types'!#REF!,"AAAAAHt/fzc=")</f>
        <v>#REF!</v>
      </c>
      <c r="BE90" t="e">
        <f>AND('Reg Types'!#REF!,"AAAAAHt/fzg=")</f>
        <v>#REF!</v>
      </c>
      <c r="BF90" t="e">
        <f>AND('Reg Types'!#REF!,"AAAAAHt/fzk=")</f>
        <v>#REF!</v>
      </c>
      <c r="BG90" t="e">
        <f>AND('Reg Types'!#REF!,"AAAAAHt/fzo=")</f>
        <v>#REF!</v>
      </c>
      <c r="BH90" t="e">
        <f>AND('Reg Types'!#REF!,"AAAAAHt/fzs=")</f>
        <v>#REF!</v>
      </c>
      <c r="BI90" t="e">
        <f>AND('Reg Types'!#REF!,"AAAAAHt/fzw=")</f>
        <v>#REF!</v>
      </c>
      <c r="BJ90" t="e">
        <f>AND('Reg Types'!#REF!,"AAAAAHt/fz0=")</f>
        <v>#REF!</v>
      </c>
      <c r="BK90" t="e">
        <f>AND('Reg Types'!#REF!,"AAAAAHt/fz4=")</f>
        <v>#REF!</v>
      </c>
      <c r="BL90" t="e">
        <f>AND('Reg Types'!#REF!,"AAAAAHt/fz8=")</f>
        <v>#REF!</v>
      </c>
      <c r="BM90" t="e">
        <f>AND('Reg Types'!#REF!,"AAAAAHt/f0A=")</f>
        <v>#REF!</v>
      </c>
      <c r="BN90" t="e">
        <f>AND('Reg Types'!#REF!,"AAAAAHt/f0E=")</f>
        <v>#REF!</v>
      </c>
      <c r="BO90" t="e">
        <f>AND('Reg Types'!#REF!,"AAAAAHt/f0I=")</f>
        <v>#REF!</v>
      </c>
      <c r="BP90" t="e">
        <f>IF('Reg Types'!#REF!,"AAAAAHt/f0M=",0)</f>
        <v>#REF!</v>
      </c>
      <c r="BQ90" t="e">
        <f>AND('Reg Types'!#REF!,"AAAAAHt/f0Q=")</f>
        <v>#REF!</v>
      </c>
      <c r="BR90" t="e">
        <f>AND('Reg Types'!#REF!,"AAAAAHt/f0U=")</f>
        <v>#REF!</v>
      </c>
      <c r="BS90" t="e">
        <f>AND('Reg Types'!#REF!,"AAAAAHt/f0Y=")</f>
        <v>#REF!</v>
      </c>
      <c r="BT90" t="e">
        <f>AND('Reg Types'!#REF!,"AAAAAHt/f0c=")</f>
        <v>#REF!</v>
      </c>
      <c r="BU90" t="e">
        <f>AND('Reg Types'!#REF!,"AAAAAHt/f0g=")</f>
        <v>#REF!</v>
      </c>
      <c r="BV90" t="e">
        <f>AND('Reg Types'!#REF!,"AAAAAHt/f0k=")</f>
        <v>#REF!</v>
      </c>
      <c r="BW90" t="e">
        <f>AND('Reg Types'!#REF!,"AAAAAHt/f0o=")</f>
        <v>#REF!</v>
      </c>
      <c r="BX90" t="e">
        <f>AND('Reg Types'!#REF!,"AAAAAHt/f0s=")</f>
        <v>#REF!</v>
      </c>
      <c r="BY90" t="e">
        <f>AND('Reg Types'!#REF!,"AAAAAHt/f0w=")</f>
        <v>#REF!</v>
      </c>
      <c r="BZ90" t="e">
        <f>AND('Reg Types'!#REF!,"AAAAAHt/f00=")</f>
        <v>#REF!</v>
      </c>
      <c r="CA90" t="e">
        <f>AND('Reg Types'!#REF!,"AAAAAHt/f04=")</f>
        <v>#REF!</v>
      </c>
      <c r="CB90" t="e">
        <f>AND('Reg Types'!#REF!,"AAAAAHt/f08=")</f>
        <v>#REF!</v>
      </c>
      <c r="CC90" t="e">
        <f>AND('Reg Types'!#REF!,"AAAAAHt/f1A=")</f>
        <v>#REF!</v>
      </c>
      <c r="CD90" t="e">
        <f>AND('Reg Types'!#REF!,"AAAAAHt/f1E=")</f>
        <v>#REF!</v>
      </c>
      <c r="CE90" t="e">
        <f>AND('Reg Types'!#REF!,"AAAAAHt/f1I=")</f>
        <v>#REF!</v>
      </c>
      <c r="CF90" t="e">
        <f>AND('Reg Types'!#REF!,"AAAAAHt/f1M=")</f>
        <v>#REF!</v>
      </c>
      <c r="CG90" t="e">
        <f>AND('Reg Types'!#REF!,"AAAAAHt/f1Q=")</f>
        <v>#REF!</v>
      </c>
      <c r="CH90" t="e">
        <f>AND('Reg Types'!#REF!,"AAAAAHt/f1U=")</f>
        <v>#REF!</v>
      </c>
      <c r="CI90" t="e">
        <f>AND('Reg Types'!#REF!,"AAAAAHt/f1Y=")</f>
        <v>#REF!</v>
      </c>
      <c r="CJ90" t="e">
        <f>AND('Reg Types'!#REF!,"AAAAAHt/f1c=")</f>
        <v>#REF!</v>
      </c>
      <c r="CK90" t="e">
        <f>AND('Reg Types'!#REF!,"AAAAAHt/f1g=")</f>
        <v>#REF!</v>
      </c>
      <c r="CL90" t="e">
        <f>AND('Reg Types'!#REF!,"AAAAAHt/f1k=")</f>
        <v>#REF!</v>
      </c>
      <c r="CM90" t="e">
        <f>AND('Reg Types'!#REF!,"AAAAAHt/f1o=")</f>
        <v>#REF!</v>
      </c>
      <c r="CN90" t="e">
        <f>IF('Reg Types'!#REF!,"AAAAAHt/f1s=",0)</f>
        <v>#REF!</v>
      </c>
      <c r="CO90" t="e">
        <f>AND('Reg Types'!#REF!,"AAAAAHt/f1w=")</f>
        <v>#REF!</v>
      </c>
      <c r="CP90" t="e">
        <f>AND('Reg Types'!#REF!,"AAAAAHt/f10=")</f>
        <v>#REF!</v>
      </c>
      <c r="CQ90" t="e">
        <f>AND('Reg Types'!#REF!,"AAAAAHt/f14=")</f>
        <v>#REF!</v>
      </c>
      <c r="CR90" t="e">
        <f>AND('Reg Types'!#REF!,"AAAAAHt/f18=")</f>
        <v>#REF!</v>
      </c>
      <c r="CS90" t="e">
        <f>AND('Reg Types'!#REF!,"AAAAAHt/f2A=")</f>
        <v>#REF!</v>
      </c>
      <c r="CT90" t="e">
        <f>AND('Reg Types'!#REF!,"AAAAAHt/f2E=")</f>
        <v>#REF!</v>
      </c>
      <c r="CU90" t="e">
        <f>AND('Reg Types'!#REF!,"AAAAAHt/f2I=")</f>
        <v>#REF!</v>
      </c>
      <c r="CV90" t="e">
        <f>AND('Reg Types'!#REF!,"AAAAAHt/f2M=")</f>
        <v>#REF!</v>
      </c>
      <c r="CW90" t="e">
        <f>AND('Reg Types'!#REF!,"AAAAAHt/f2Q=")</f>
        <v>#REF!</v>
      </c>
      <c r="CX90" t="e">
        <f>AND('Reg Types'!#REF!,"AAAAAHt/f2U=")</f>
        <v>#REF!</v>
      </c>
      <c r="CY90" t="e">
        <f>AND('Reg Types'!#REF!,"AAAAAHt/f2Y=")</f>
        <v>#REF!</v>
      </c>
      <c r="CZ90" t="e">
        <f>AND('Reg Types'!#REF!,"AAAAAHt/f2c=")</f>
        <v>#REF!</v>
      </c>
      <c r="DA90" t="e">
        <f>AND('Reg Types'!#REF!,"AAAAAHt/f2g=")</f>
        <v>#REF!</v>
      </c>
      <c r="DB90" t="e">
        <f>AND('Reg Types'!#REF!,"AAAAAHt/f2k=")</f>
        <v>#REF!</v>
      </c>
      <c r="DC90" t="e">
        <f>AND('Reg Types'!#REF!,"AAAAAHt/f2o=")</f>
        <v>#REF!</v>
      </c>
      <c r="DD90" t="e">
        <f>AND('Reg Types'!#REF!,"AAAAAHt/f2s=")</f>
        <v>#REF!</v>
      </c>
      <c r="DE90" t="e">
        <f>AND('Reg Types'!#REF!,"AAAAAHt/f2w=")</f>
        <v>#REF!</v>
      </c>
      <c r="DF90" t="e">
        <f>AND('Reg Types'!#REF!,"AAAAAHt/f20=")</f>
        <v>#REF!</v>
      </c>
      <c r="DG90" t="e">
        <f>AND('Reg Types'!#REF!,"AAAAAHt/f24=")</f>
        <v>#REF!</v>
      </c>
      <c r="DH90" t="e">
        <f>AND('Reg Types'!#REF!,"AAAAAHt/f28=")</f>
        <v>#REF!</v>
      </c>
      <c r="DI90" t="e">
        <f>AND('Reg Types'!#REF!,"AAAAAHt/f3A=")</f>
        <v>#REF!</v>
      </c>
      <c r="DJ90" t="e">
        <f>AND('Reg Types'!#REF!,"AAAAAHt/f3E=")</f>
        <v>#REF!</v>
      </c>
      <c r="DK90" t="e">
        <f>AND('Reg Types'!#REF!,"AAAAAHt/f3I=")</f>
        <v>#REF!</v>
      </c>
      <c r="DL90" t="e">
        <f>IF('Reg Types'!#REF!,"AAAAAHt/f3M=",0)</f>
        <v>#REF!</v>
      </c>
      <c r="DM90" t="e">
        <f>AND('Reg Types'!#REF!,"AAAAAHt/f3Q=")</f>
        <v>#REF!</v>
      </c>
      <c r="DN90" t="e">
        <f>AND('Reg Types'!#REF!,"AAAAAHt/f3U=")</f>
        <v>#REF!</v>
      </c>
      <c r="DO90" t="e">
        <f>AND('Reg Types'!#REF!,"AAAAAHt/f3Y=")</f>
        <v>#REF!</v>
      </c>
      <c r="DP90" t="e">
        <f>AND('Reg Types'!#REF!,"AAAAAHt/f3c=")</f>
        <v>#REF!</v>
      </c>
      <c r="DQ90" t="e">
        <f>AND('Reg Types'!#REF!,"AAAAAHt/f3g=")</f>
        <v>#REF!</v>
      </c>
      <c r="DR90" t="e">
        <f>AND('Reg Types'!#REF!,"AAAAAHt/f3k=")</f>
        <v>#REF!</v>
      </c>
      <c r="DS90" t="e">
        <f>AND('Reg Types'!#REF!,"AAAAAHt/f3o=")</f>
        <v>#REF!</v>
      </c>
      <c r="DT90" t="e">
        <f>AND('Reg Types'!#REF!,"AAAAAHt/f3s=")</f>
        <v>#REF!</v>
      </c>
      <c r="DU90" t="e">
        <f>AND('Reg Types'!#REF!,"AAAAAHt/f3w=")</f>
        <v>#REF!</v>
      </c>
      <c r="DV90" t="e">
        <f>AND('Reg Types'!#REF!,"AAAAAHt/f30=")</f>
        <v>#REF!</v>
      </c>
      <c r="DW90" t="e">
        <f>AND('Reg Types'!#REF!,"AAAAAHt/f34=")</f>
        <v>#REF!</v>
      </c>
      <c r="DX90" t="e">
        <f>AND('Reg Types'!#REF!,"AAAAAHt/f38=")</f>
        <v>#REF!</v>
      </c>
      <c r="DY90" t="e">
        <f>AND('Reg Types'!#REF!,"AAAAAHt/f4A=")</f>
        <v>#REF!</v>
      </c>
      <c r="DZ90" t="e">
        <f>AND('Reg Types'!#REF!,"AAAAAHt/f4E=")</f>
        <v>#REF!</v>
      </c>
      <c r="EA90" t="e">
        <f>AND('Reg Types'!#REF!,"AAAAAHt/f4I=")</f>
        <v>#REF!</v>
      </c>
      <c r="EB90" t="e">
        <f>AND('Reg Types'!#REF!,"AAAAAHt/f4M=")</f>
        <v>#REF!</v>
      </c>
      <c r="EC90" t="e">
        <f>AND('Reg Types'!#REF!,"AAAAAHt/f4Q=")</f>
        <v>#REF!</v>
      </c>
      <c r="ED90" t="e">
        <f>AND('Reg Types'!#REF!,"AAAAAHt/f4U=")</f>
        <v>#REF!</v>
      </c>
      <c r="EE90" t="e">
        <f>AND('Reg Types'!#REF!,"AAAAAHt/f4Y=")</f>
        <v>#REF!</v>
      </c>
      <c r="EF90" t="e">
        <f>AND('Reg Types'!#REF!,"AAAAAHt/f4c=")</f>
        <v>#REF!</v>
      </c>
      <c r="EG90" t="e">
        <f>AND('Reg Types'!#REF!,"AAAAAHt/f4g=")</f>
        <v>#REF!</v>
      </c>
      <c r="EH90" t="e">
        <f>AND('Reg Types'!#REF!,"AAAAAHt/f4k=")</f>
        <v>#REF!</v>
      </c>
      <c r="EI90" t="e">
        <f>AND('Reg Types'!#REF!,"AAAAAHt/f4o=")</f>
        <v>#REF!</v>
      </c>
      <c r="EJ90" t="e">
        <f>IF('Reg Types'!#REF!,"AAAAAHt/f4s=",0)</f>
        <v>#REF!</v>
      </c>
      <c r="EK90" t="e">
        <f>AND('Reg Types'!#REF!,"AAAAAHt/f4w=")</f>
        <v>#REF!</v>
      </c>
      <c r="EL90" t="e">
        <f>AND('Reg Types'!#REF!,"AAAAAHt/f40=")</f>
        <v>#REF!</v>
      </c>
      <c r="EM90" t="e">
        <f>AND('Reg Types'!#REF!,"AAAAAHt/f44=")</f>
        <v>#REF!</v>
      </c>
      <c r="EN90" t="e">
        <f>AND('Reg Types'!#REF!,"AAAAAHt/f48=")</f>
        <v>#REF!</v>
      </c>
      <c r="EO90" t="e">
        <f>AND('Reg Types'!#REF!,"AAAAAHt/f5A=")</f>
        <v>#REF!</v>
      </c>
      <c r="EP90" t="e">
        <f>AND('Reg Types'!#REF!,"AAAAAHt/f5E=")</f>
        <v>#REF!</v>
      </c>
      <c r="EQ90" t="e">
        <f>AND('Reg Types'!#REF!,"AAAAAHt/f5I=")</f>
        <v>#REF!</v>
      </c>
      <c r="ER90" t="e">
        <f>AND('Reg Types'!#REF!,"AAAAAHt/f5M=")</f>
        <v>#REF!</v>
      </c>
      <c r="ES90" t="e">
        <f>AND('Reg Types'!#REF!,"AAAAAHt/f5Q=")</f>
        <v>#REF!</v>
      </c>
      <c r="ET90" t="e">
        <f>AND('Reg Types'!#REF!,"AAAAAHt/f5U=")</f>
        <v>#REF!</v>
      </c>
      <c r="EU90" t="e">
        <f>AND('Reg Types'!#REF!,"AAAAAHt/f5Y=")</f>
        <v>#REF!</v>
      </c>
      <c r="EV90" t="e">
        <f>AND('Reg Types'!#REF!,"AAAAAHt/f5c=")</f>
        <v>#REF!</v>
      </c>
      <c r="EW90" t="e">
        <f>AND('Reg Types'!#REF!,"AAAAAHt/f5g=")</f>
        <v>#REF!</v>
      </c>
      <c r="EX90" t="e">
        <f>AND('Reg Types'!#REF!,"AAAAAHt/f5k=")</f>
        <v>#REF!</v>
      </c>
      <c r="EY90" t="e">
        <f>AND('Reg Types'!#REF!,"AAAAAHt/f5o=")</f>
        <v>#REF!</v>
      </c>
      <c r="EZ90" t="e">
        <f>AND('Reg Types'!#REF!,"AAAAAHt/f5s=")</f>
        <v>#REF!</v>
      </c>
      <c r="FA90" t="e">
        <f>AND('Reg Types'!#REF!,"AAAAAHt/f5w=")</f>
        <v>#REF!</v>
      </c>
      <c r="FB90" t="e">
        <f>AND('Reg Types'!#REF!,"AAAAAHt/f50=")</f>
        <v>#REF!</v>
      </c>
      <c r="FC90" t="e">
        <f>AND('Reg Types'!#REF!,"AAAAAHt/f54=")</f>
        <v>#REF!</v>
      </c>
      <c r="FD90" t="e">
        <f>AND('Reg Types'!#REF!,"AAAAAHt/f58=")</f>
        <v>#REF!</v>
      </c>
      <c r="FE90" t="e">
        <f>AND('Reg Types'!#REF!,"AAAAAHt/f6A=")</f>
        <v>#REF!</v>
      </c>
      <c r="FF90" t="e">
        <f>AND('Reg Types'!#REF!,"AAAAAHt/f6E=")</f>
        <v>#REF!</v>
      </c>
      <c r="FG90" t="e">
        <f>AND('Reg Types'!#REF!,"AAAAAHt/f6I=")</f>
        <v>#REF!</v>
      </c>
      <c r="FH90" t="e">
        <f>IF('Reg Types'!#REF!,"AAAAAHt/f6M=",0)</f>
        <v>#REF!</v>
      </c>
      <c r="FI90" t="e">
        <f>AND('Reg Types'!#REF!,"AAAAAHt/f6Q=")</f>
        <v>#REF!</v>
      </c>
      <c r="FJ90" t="e">
        <f>AND('Reg Types'!#REF!,"AAAAAHt/f6U=")</f>
        <v>#REF!</v>
      </c>
      <c r="FK90" t="e">
        <f>AND('Reg Types'!#REF!,"AAAAAHt/f6Y=")</f>
        <v>#REF!</v>
      </c>
      <c r="FL90" t="e">
        <f>AND('Reg Types'!#REF!,"AAAAAHt/f6c=")</f>
        <v>#REF!</v>
      </c>
      <c r="FM90" t="e">
        <f>AND('Reg Types'!#REF!,"AAAAAHt/f6g=")</f>
        <v>#REF!</v>
      </c>
      <c r="FN90" t="e">
        <f>AND('Reg Types'!#REF!,"AAAAAHt/f6k=")</f>
        <v>#REF!</v>
      </c>
      <c r="FO90" t="e">
        <f>AND('Reg Types'!#REF!,"AAAAAHt/f6o=")</f>
        <v>#REF!</v>
      </c>
      <c r="FP90" t="e">
        <f>AND('Reg Types'!#REF!,"AAAAAHt/f6s=")</f>
        <v>#REF!</v>
      </c>
      <c r="FQ90" t="e">
        <f>AND('Reg Types'!#REF!,"AAAAAHt/f6w=")</f>
        <v>#REF!</v>
      </c>
      <c r="FR90" t="e">
        <f>AND('Reg Types'!#REF!,"AAAAAHt/f60=")</f>
        <v>#REF!</v>
      </c>
      <c r="FS90" t="e">
        <f>AND('Reg Types'!#REF!,"AAAAAHt/f64=")</f>
        <v>#REF!</v>
      </c>
      <c r="FT90" t="e">
        <f>AND('Reg Types'!#REF!,"AAAAAHt/f68=")</f>
        <v>#REF!</v>
      </c>
      <c r="FU90" t="e">
        <f>AND('Reg Types'!#REF!,"AAAAAHt/f7A=")</f>
        <v>#REF!</v>
      </c>
      <c r="FV90" t="e">
        <f>AND('Reg Types'!#REF!,"AAAAAHt/f7E=")</f>
        <v>#REF!</v>
      </c>
      <c r="FW90" t="e">
        <f>AND('Reg Types'!#REF!,"AAAAAHt/f7I=")</f>
        <v>#REF!</v>
      </c>
      <c r="FX90" t="e">
        <f>AND('Reg Types'!#REF!,"AAAAAHt/f7M=")</f>
        <v>#REF!</v>
      </c>
      <c r="FY90" t="e">
        <f>AND('Reg Types'!#REF!,"AAAAAHt/f7Q=")</f>
        <v>#REF!</v>
      </c>
      <c r="FZ90" t="e">
        <f>AND('Reg Types'!#REF!,"AAAAAHt/f7U=")</f>
        <v>#REF!</v>
      </c>
      <c r="GA90" t="e">
        <f>AND('Reg Types'!#REF!,"AAAAAHt/f7Y=")</f>
        <v>#REF!</v>
      </c>
      <c r="GB90" t="e">
        <f>AND('Reg Types'!#REF!,"AAAAAHt/f7c=")</f>
        <v>#REF!</v>
      </c>
      <c r="GC90" t="e">
        <f>AND('Reg Types'!#REF!,"AAAAAHt/f7g=")</f>
        <v>#REF!</v>
      </c>
      <c r="GD90" t="e">
        <f>AND('Reg Types'!#REF!,"AAAAAHt/f7k=")</f>
        <v>#REF!</v>
      </c>
      <c r="GE90" t="e">
        <f>AND('Reg Types'!#REF!,"AAAAAHt/f7o=")</f>
        <v>#REF!</v>
      </c>
      <c r="GF90" t="e">
        <f>IF('Reg Types'!#REF!,"AAAAAHt/f7s=",0)</f>
        <v>#REF!</v>
      </c>
      <c r="GG90" t="e">
        <f>AND('Reg Types'!#REF!,"AAAAAHt/f7w=")</f>
        <v>#REF!</v>
      </c>
      <c r="GH90" t="e">
        <f>AND('Reg Types'!#REF!,"AAAAAHt/f70=")</f>
        <v>#REF!</v>
      </c>
      <c r="GI90" t="e">
        <f>AND('Reg Types'!#REF!,"AAAAAHt/f74=")</f>
        <v>#REF!</v>
      </c>
      <c r="GJ90" t="e">
        <f>AND('Reg Types'!#REF!,"AAAAAHt/f78=")</f>
        <v>#REF!</v>
      </c>
      <c r="GK90" t="e">
        <f>AND('Reg Types'!#REF!,"AAAAAHt/f8A=")</f>
        <v>#REF!</v>
      </c>
      <c r="GL90" t="e">
        <f>AND('Reg Types'!#REF!,"AAAAAHt/f8E=")</f>
        <v>#REF!</v>
      </c>
      <c r="GM90" t="e">
        <f>AND('Reg Types'!#REF!,"AAAAAHt/f8I=")</f>
        <v>#REF!</v>
      </c>
      <c r="GN90" t="e">
        <f>AND('Reg Types'!#REF!,"AAAAAHt/f8M=")</f>
        <v>#REF!</v>
      </c>
      <c r="GO90" t="e">
        <f>AND('Reg Types'!#REF!,"AAAAAHt/f8Q=")</f>
        <v>#REF!</v>
      </c>
      <c r="GP90" t="e">
        <f>AND('Reg Types'!#REF!,"AAAAAHt/f8U=")</f>
        <v>#REF!</v>
      </c>
      <c r="GQ90" t="e">
        <f>AND('Reg Types'!#REF!,"AAAAAHt/f8Y=")</f>
        <v>#REF!</v>
      </c>
      <c r="GR90" t="e">
        <f>AND('Reg Types'!#REF!,"AAAAAHt/f8c=")</f>
        <v>#REF!</v>
      </c>
      <c r="GS90" t="e">
        <f>AND('Reg Types'!#REF!,"AAAAAHt/f8g=")</f>
        <v>#REF!</v>
      </c>
      <c r="GT90" t="e">
        <f>AND('Reg Types'!#REF!,"AAAAAHt/f8k=")</f>
        <v>#REF!</v>
      </c>
      <c r="GU90" t="e">
        <f>AND('Reg Types'!#REF!,"AAAAAHt/f8o=")</f>
        <v>#REF!</v>
      </c>
      <c r="GV90" t="e">
        <f>AND('Reg Types'!#REF!,"AAAAAHt/f8s=")</f>
        <v>#REF!</v>
      </c>
      <c r="GW90" t="e">
        <f>AND('Reg Types'!#REF!,"AAAAAHt/f8w=")</f>
        <v>#REF!</v>
      </c>
      <c r="GX90" t="e">
        <f>AND('Reg Types'!#REF!,"AAAAAHt/f80=")</f>
        <v>#REF!</v>
      </c>
      <c r="GY90" t="e">
        <f>AND('Reg Types'!#REF!,"AAAAAHt/f84=")</f>
        <v>#REF!</v>
      </c>
      <c r="GZ90" t="e">
        <f>AND('Reg Types'!#REF!,"AAAAAHt/f88=")</f>
        <v>#REF!</v>
      </c>
      <c r="HA90" t="e">
        <f>AND('Reg Types'!#REF!,"AAAAAHt/f9A=")</f>
        <v>#REF!</v>
      </c>
      <c r="HB90" t="e">
        <f>AND('Reg Types'!#REF!,"AAAAAHt/f9E=")</f>
        <v>#REF!</v>
      </c>
      <c r="HC90" t="e">
        <f>AND('Reg Types'!#REF!,"AAAAAHt/f9I=")</f>
        <v>#REF!</v>
      </c>
      <c r="HD90" t="e">
        <f>IF('Reg Types'!#REF!,"AAAAAHt/f9M=",0)</f>
        <v>#REF!</v>
      </c>
      <c r="HE90" t="e">
        <f>AND('Reg Types'!#REF!,"AAAAAHt/f9Q=")</f>
        <v>#REF!</v>
      </c>
      <c r="HF90" t="e">
        <f>AND('Reg Types'!#REF!,"AAAAAHt/f9U=")</f>
        <v>#REF!</v>
      </c>
      <c r="HG90" t="e">
        <f>AND('Reg Types'!#REF!,"AAAAAHt/f9Y=")</f>
        <v>#REF!</v>
      </c>
      <c r="HH90" t="e">
        <f>AND('Reg Types'!#REF!,"AAAAAHt/f9c=")</f>
        <v>#REF!</v>
      </c>
      <c r="HI90" t="e">
        <f>AND('Reg Types'!#REF!,"AAAAAHt/f9g=")</f>
        <v>#REF!</v>
      </c>
      <c r="HJ90" t="e">
        <f>AND('Reg Types'!#REF!,"AAAAAHt/f9k=")</f>
        <v>#REF!</v>
      </c>
      <c r="HK90" t="e">
        <f>AND('Reg Types'!#REF!,"AAAAAHt/f9o=")</f>
        <v>#REF!</v>
      </c>
      <c r="HL90" t="e">
        <f>AND('Reg Types'!#REF!,"AAAAAHt/f9s=")</f>
        <v>#REF!</v>
      </c>
      <c r="HM90" t="e">
        <f>AND('Reg Types'!#REF!,"AAAAAHt/f9w=")</f>
        <v>#REF!</v>
      </c>
      <c r="HN90" t="e">
        <f>AND('Reg Types'!#REF!,"AAAAAHt/f90=")</f>
        <v>#REF!</v>
      </c>
      <c r="HO90" t="e">
        <f>AND('Reg Types'!#REF!,"AAAAAHt/f94=")</f>
        <v>#REF!</v>
      </c>
      <c r="HP90" t="e">
        <f>AND('Reg Types'!#REF!,"AAAAAHt/f98=")</f>
        <v>#REF!</v>
      </c>
      <c r="HQ90" t="e">
        <f>AND('Reg Types'!#REF!,"AAAAAHt/f+A=")</f>
        <v>#REF!</v>
      </c>
      <c r="HR90" t="e">
        <f>AND('Reg Types'!#REF!,"AAAAAHt/f+E=")</f>
        <v>#REF!</v>
      </c>
      <c r="HS90" t="e">
        <f>AND('Reg Types'!#REF!,"AAAAAHt/f+I=")</f>
        <v>#REF!</v>
      </c>
      <c r="HT90" t="e">
        <f>AND('Reg Types'!#REF!,"AAAAAHt/f+M=")</f>
        <v>#REF!</v>
      </c>
      <c r="HU90" t="e">
        <f>AND('Reg Types'!#REF!,"AAAAAHt/f+Q=")</f>
        <v>#REF!</v>
      </c>
      <c r="HV90" t="e">
        <f>AND('Reg Types'!#REF!,"AAAAAHt/f+U=")</f>
        <v>#REF!</v>
      </c>
      <c r="HW90" t="e">
        <f>AND('Reg Types'!#REF!,"AAAAAHt/f+Y=")</f>
        <v>#REF!</v>
      </c>
      <c r="HX90" t="e">
        <f>AND('Reg Types'!#REF!,"AAAAAHt/f+c=")</f>
        <v>#REF!</v>
      </c>
      <c r="HY90" t="e">
        <f>AND('Reg Types'!#REF!,"AAAAAHt/f+g=")</f>
        <v>#REF!</v>
      </c>
      <c r="HZ90" t="e">
        <f>AND('Reg Types'!#REF!,"AAAAAHt/f+k=")</f>
        <v>#REF!</v>
      </c>
      <c r="IA90" t="e">
        <f>AND('Reg Types'!#REF!,"AAAAAHt/f+o=")</f>
        <v>#REF!</v>
      </c>
      <c r="IB90" t="e">
        <f>IF('Reg Types'!#REF!,"AAAAAHt/f+s=",0)</f>
        <v>#REF!</v>
      </c>
      <c r="IC90" t="e">
        <f>AND('Reg Types'!#REF!,"AAAAAHt/f+w=")</f>
        <v>#REF!</v>
      </c>
      <c r="ID90" t="e">
        <f>AND('Reg Types'!#REF!,"AAAAAHt/f+0=")</f>
        <v>#REF!</v>
      </c>
      <c r="IE90" t="e">
        <f>AND('Reg Types'!#REF!,"AAAAAHt/f+4=")</f>
        <v>#REF!</v>
      </c>
      <c r="IF90" t="e">
        <f>AND('Reg Types'!#REF!,"AAAAAHt/f+8=")</f>
        <v>#REF!</v>
      </c>
      <c r="IG90" t="e">
        <f>AND('Reg Types'!#REF!,"AAAAAHt/f/A=")</f>
        <v>#REF!</v>
      </c>
      <c r="IH90" t="e">
        <f>AND('Reg Types'!#REF!,"AAAAAHt/f/E=")</f>
        <v>#REF!</v>
      </c>
      <c r="II90" t="e">
        <f>AND('Reg Types'!#REF!,"AAAAAHt/f/I=")</f>
        <v>#REF!</v>
      </c>
      <c r="IJ90" t="e">
        <f>AND('Reg Types'!#REF!,"AAAAAHt/f/M=")</f>
        <v>#REF!</v>
      </c>
      <c r="IK90" t="e">
        <f>AND('Reg Types'!#REF!,"AAAAAHt/f/Q=")</f>
        <v>#REF!</v>
      </c>
      <c r="IL90" t="e">
        <f>AND('Reg Types'!#REF!,"AAAAAHt/f/U=")</f>
        <v>#REF!</v>
      </c>
      <c r="IM90" t="e">
        <f>AND('Reg Types'!#REF!,"AAAAAHt/f/Y=")</f>
        <v>#REF!</v>
      </c>
      <c r="IN90" t="e">
        <f>AND('Reg Types'!#REF!,"AAAAAHt/f/c=")</f>
        <v>#REF!</v>
      </c>
      <c r="IO90" t="e">
        <f>AND('Reg Types'!#REF!,"AAAAAHt/f/g=")</f>
        <v>#REF!</v>
      </c>
      <c r="IP90" t="e">
        <f>AND('Reg Types'!#REF!,"AAAAAHt/f/k=")</f>
        <v>#REF!</v>
      </c>
      <c r="IQ90" t="e">
        <f>AND('Reg Types'!#REF!,"AAAAAHt/f/o=")</f>
        <v>#REF!</v>
      </c>
      <c r="IR90" t="e">
        <f>AND('Reg Types'!#REF!,"AAAAAHt/f/s=")</f>
        <v>#REF!</v>
      </c>
      <c r="IS90" t="e">
        <f>AND('Reg Types'!#REF!,"AAAAAHt/f/w=")</f>
        <v>#REF!</v>
      </c>
      <c r="IT90" t="e">
        <f>AND('Reg Types'!#REF!,"AAAAAHt/f/0=")</f>
        <v>#REF!</v>
      </c>
      <c r="IU90" t="e">
        <f>AND('Reg Types'!#REF!,"AAAAAHt/f/4=")</f>
        <v>#REF!</v>
      </c>
      <c r="IV90" t="e">
        <f>AND('Reg Types'!#REF!,"AAAAAHt/f/8=")</f>
        <v>#REF!</v>
      </c>
    </row>
    <row r="91" spans="1:256" x14ac:dyDescent="0.2">
      <c r="A91" t="e">
        <f>AND('Reg Types'!#REF!,"AAAAAHX+/wA=")</f>
        <v>#REF!</v>
      </c>
      <c r="B91" t="e">
        <f>AND('Reg Types'!#REF!,"AAAAAHX+/wE=")</f>
        <v>#REF!</v>
      </c>
      <c r="C91" t="e">
        <f>AND('Reg Types'!#REF!,"AAAAAHX+/wI=")</f>
        <v>#REF!</v>
      </c>
      <c r="D91" t="e">
        <f>IF('Reg Types'!#REF!,"AAAAAHX+/wM=",0)</f>
        <v>#REF!</v>
      </c>
      <c r="E91" t="e">
        <f>AND('Reg Types'!#REF!,"AAAAAHX+/wQ=")</f>
        <v>#REF!</v>
      </c>
      <c r="F91" t="e">
        <f>AND('Reg Types'!#REF!,"AAAAAHX+/wU=")</f>
        <v>#REF!</v>
      </c>
      <c r="G91" t="e">
        <f>AND('Reg Types'!#REF!,"AAAAAHX+/wY=")</f>
        <v>#REF!</v>
      </c>
      <c r="H91" t="e">
        <f>AND('Reg Types'!#REF!,"AAAAAHX+/wc=")</f>
        <v>#REF!</v>
      </c>
      <c r="I91" t="e">
        <f>AND('Reg Types'!#REF!,"AAAAAHX+/wg=")</f>
        <v>#REF!</v>
      </c>
      <c r="J91" t="e">
        <f>AND('Reg Types'!#REF!,"AAAAAHX+/wk=")</f>
        <v>#REF!</v>
      </c>
      <c r="K91" t="e">
        <f>AND('Reg Types'!#REF!,"AAAAAHX+/wo=")</f>
        <v>#REF!</v>
      </c>
      <c r="L91" t="e">
        <f>AND('Reg Types'!#REF!,"AAAAAHX+/ws=")</f>
        <v>#REF!</v>
      </c>
      <c r="M91" t="e">
        <f>AND('Reg Types'!#REF!,"AAAAAHX+/ww=")</f>
        <v>#REF!</v>
      </c>
      <c r="N91" t="e">
        <f>AND('Reg Types'!#REF!,"AAAAAHX+/w0=")</f>
        <v>#REF!</v>
      </c>
      <c r="O91" t="e">
        <f>AND('Reg Types'!#REF!,"AAAAAHX+/w4=")</f>
        <v>#REF!</v>
      </c>
      <c r="P91" t="e">
        <f>AND('Reg Types'!#REF!,"AAAAAHX+/w8=")</f>
        <v>#REF!</v>
      </c>
      <c r="Q91" t="e">
        <f>AND('Reg Types'!#REF!,"AAAAAHX+/xA=")</f>
        <v>#REF!</v>
      </c>
      <c r="R91" t="e">
        <f>AND('Reg Types'!#REF!,"AAAAAHX+/xE=")</f>
        <v>#REF!</v>
      </c>
      <c r="S91" t="e">
        <f>AND('Reg Types'!#REF!,"AAAAAHX+/xI=")</f>
        <v>#REF!</v>
      </c>
      <c r="T91" t="e">
        <f>AND('Reg Types'!#REF!,"AAAAAHX+/xM=")</f>
        <v>#REF!</v>
      </c>
      <c r="U91" t="e">
        <f>AND('Reg Types'!#REF!,"AAAAAHX+/xQ=")</f>
        <v>#REF!</v>
      </c>
      <c r="V91" t="e">
        <f>AND('Reg Types'!#REF!,"AAAAAHX+/xU=")</f>
        <v>#REF!</v>
      </c>
      <c r="W91" t="e">
        <f>AND('Reg Types'!#REF!,"AAAAAHX+/xY=")</f>
        <v>#REF!</v>
      </c>
      <c r="X91" t="e">
        <f>AND('Reg Types'!#REF!,"AAAAAHX+/xc=")</f>
        <v>#REF!</v>
      </c>
      <c r="Y91" t="e">
        <f>AND('Reg Types'!#REF!,"AAAAAHX+/xg=")</f>
        <v>#REF!</v>
      </c>
      <c r="Z91" t="e">
        <f>AND('Reg Types'!#REF!,"AAAAAHX+/xk=")</f>
        <v>#REF!</v>
      </c>
      <c r="AA91" t="e">
        <f>AND('Reg Types'!#REF!,"AAAAAHX+/xo=")</f>
        <v>#REF!</v>
      </c>
      <c r="AB91" t="e">
        <f>IF('Reg Types'!#REF!,"AAAAAHX+/xs=",0)</f>
        <v>#REF!</v>
      </c>
      <c r="AC91" t="e">
        <f>AND('Reg Types'!#REF!,"AAAAAHX+/xw=")</f>
        <v>#REF!</v>
      </c>
      <c r="AD91" t="e">
        <f>AND('Reg Types'!#REF!,"AAAAAHX+/x0=")</f>
        <v>#REF!</v>
      </c>
      <c r="AE91" t="e">
        <f>AND('Reg Types'!#REF!,"AAAAAHX+/x4=")</f>
        <v>#REF!</v>
      </c>
      <c r="AF91" t="e">
        <f>AND('Reg Types'!#REF!,"AAAAAHX+/x8=")</f>
        <v>#REF!</v>
      </c>
      <c r="AG91" t="e">
        <f>AND('Reg Types'!#REF!,"AAAAAHX+/yA=")</f>
        <v>#REF!</v>
      </c>
      <c r="AH91" t="e">
        <f>AND('Reg Types'!#REF!,"AAAAAHX+/yE=")</f>
        <v>#REF!</v>
      </c>
      <c r="AI91" t="e">
        <f>AND('Reg Types'!#REF!,"AAAAAHX+/yI=")</f>
        <v>#REF!</v>
      </c>
      <c r="AJ91" t="e">
        <f>AND('Reg Types'!#REF!,"AAAAAHX+/yM=")</f>
        <v>#REF!</v>
      </c>
      <c r="AK91" t="e">
        <f>AND('Reg Types'!#REF!,"AAAAAHX+/yQ=")</f>
        <v>#REF!</v>
      </c>
      <c r="AL91" t="e">
        <f>AND('Reg Types'!#REF!,"AAAAAHX+/yU=")</f>
        <v>#REF!</v>
      </c>
      <c r="AM91" t="e">
        <f>AND('Reg Types'!#REF!,"AAAAAHX+/yY=")</f>
        <v>#REF!</v>
      </c>
      <c r="AN91" t="e">
        <f>AND('Reg Types'!#REF!,"AAAAAHX+/yc=")</f>
        <v>#REF!</v>
      </c>
      <c r="AO91" t="e">
        <f>AND('Reg Types'!#REF!,"AAAAAHX+/yg=")</f>
        <v>#REF!</v>
      </c>
      <c r="AP91" t="e">
        <f>AND('Reg Types'!#REF!,"AAAAAHX+/yk=")</f>
        <v>#REF!</v>
      </c>
      <c r="AQ91" t="e">
        <f>AND('Reg Types'!#REF!,"AAAAAHX+/yo=")</f>
        <v>#REF!</v>
      </c>
      <c r="AR91" t="e">
        <f>AND('Reg Types'!#REF!,"AAAAAHX+/ys=")</f>
        <v>#REF!</v>
      </c>
      <c r="AS91" t="e">
        <f>AND('Reg Types'!#REF!,"AAAAAHX+/yw=")</f>
        <v>#REF!</v>
      </c>
      <c r="AT91" t="e">
        <f>AND('Reg Types'!#REF!,"AAAAAHX+/y0=")</f>
        <v>#REF!</v>
      </c>
      <c r="AU91" t="e">
        <f>AND('Reg Types'!#REF!,"AAAAAHX+/y4=")</f>
        <v>#REF!</v>
      </c>
      <c r="AV91" t="e">
        <f>AND('Reg Types'!#REF!,"AAAAAHX+/y8=")</f>
        <v>#REF!</v>
      </c>
      <c r="AW91" t="e">
        <f>AND('Reg Types'!#REF!,"AAAAAHX+/zA=")</f>
        <v>#REF!</v>
      </c>
      <c r="AX91" t="e">
        <f>AND('Reg Types'!#REF!,"AAAAAHX+/zE=")</f>
        <v>#REF!</v>
      </c>
      <c r="AY91" t="e">
        <f>AND('Reg Types'!#REF!,"AAAAAHX+/zI=")</f>
        <v>#REF!</v>
      </c>
      <c r="AZ91" t="e">
        <f>IF('Reg Types'!#REF!,"AAAAAHX+/zM=",0)</f>
        <v>#REF!</v>
      </c>
      <c r="BA91" t="e">
        <f>AND('Reg Types'!#REF!,"AAAAAHX+/zQ=")</f>
        <v>#REF!</v>
      </c>
      <c r="BB91" t="e">
        <f>AND('Reg Types'!#REF!,"AAAAAHX+/zU=")</f>
        <v>#REF!</v>
      </c>
      <c r="BC91" t="e">
        <f>AND('Reg Types'!#REF!,"AAAAAHX+/zY=")</f>
        <v>#REF!</v>
      </c>
      <c r="BD91" t="e">
        <f>AND('Reg Types'!#REF!,"AAAAAHX+/zc=")</f>
        <v>#REF!</v>
      </c>
      <c r="BE91" t="e">
        <f>AND('Reg Types'!#REF!,"AAAAAHX+/zg=")</f>
        <v>#REF!</v>
      </c>
      <c r="BF91" t="e">
        <f>AND('Reg Types'!#REF!,"AAAAAHX+/zk=")</f>
        <v>#REF!</v>
      </c>
      <c r="BG91" t="e">
        <f>AND('Reg Types'!#REF!,"AAAAAHX+/zo=")</f>
        <v>#REF!</v>
      </c>
      <c r="BH91" t="e">
        <f>AND('Reg Types'!#REF!,"AAAAAHX+/zs=")</f>
        <v>#REF!</v>
      </c>
      <c r="BI91" t="e">
        <f>AND('Reg Types'!#REF!,"AAAAAHX+/zw=")</f>
        <v>#REF!</v>
      </c>
      <c r="BJ91" t="e">
        <f>AND('Reg Types'!#REF!,"AAAAAHX+/z0=")</f>
        <v>#REF!</v>
      </c>
      <c r="BK91" t="e">
        <f>AND('Reg Types'!#REF!,"AAAAAHX+/z4=")</f>
        <v>#REF!</v>
      </c>
      <c r="BL91" t="e">
        <f>AND('Reg Types'!#REF!,"AAAAAHX+/z8=")</f>
        <v>#REF!</v>
      </c>
      <c r="BM91" t="e">
        <f>AND('Reg Types'!#REF!,"AAAAAHX+/0A=")</f>
        <v>#REF!</v>
      </c>
      <c r="BN91" t="e">
        <f>AND('Reg Types'!#REF!,"AAAAAHX+/0E=")</f>
        <v>#REF!</v>
      </c>
      <c r="BO91" t="e">
        <f>AND('Reg Types'!#REF!,"AAAAAHX+/0I=")</f>
        <v>#REF!</v>
      </c>
      <c r="BP91" t="e">
        <f>AND('Reg Types'!#REF!,"AAAAAHX+/0M=")</f>
        <v>#REF!</v>
      </c>
      <c r="BQ91" t="e">
        <f>AND('Reg Types'!#REF!,"AAAAAHX+/0Q=")</f>
        <v>#REF!</v>
      </c>
      <c r="BR91" t="e">
        <f>AND('Reg Types'!#REF!,"AAAAAHX+/0U=")</f>
        <v>#REF!</v>
      </c>
      <c r="BS91" t="e">
        <f>AND('Reg Types'!#REF!,"AAAAAHX+/0Y=")</f>
        <v>#REF!</v>
      </c>
      <c r="BT91" t="e">
        <f>AND('Reg Types'!#REF!,"AAAAAHX+/0c=")</f>
        <v>#REF!</v>
      </c>
      <c r="BU91" t="e">
        <f>AND('Reg Types'!#REF!,"AAAAAHX+/0g=")</f>
        <v>#REF!</v>
      </c>
      <c r="BV91" t="e">
        <f>AND('Reg Types'!#REF!,"AAAAAHX+/0k=")</f>
        <v>#REF!</v>
      </c>
      <c r="BW91" t="e">
        <f>AND('Reg Types'!#REF!,"AAAAAHX+/0o=")</f>
        <v>#REF!</v>
      </c>
      <c r="BX91" t="e">
        <f>IF('Reg Types'!#REF!,"AAAAAHX+/0s=",0)</f>
        <v>#REF!</v>
      </c>
      <c r="BY91" t="e">
        <f>AND('Reg Types'!#REF!,"AAAAAHX+/0w=")</f>
        <v>#REF!</v>
      </c>
      <c r="BZ91" t="e">
        <f>AND('Reg Types'!#REF!,"AAAAAHX+/00=")</f>
        <v>#REF!</v>
      </c>
      <c r="CA91" t="e">
        <f>AND('Reg Types'!#REF!,"AAAAAHX+/04=")</f>
        <v>#REF!</v>
      </c>
      <c r="CB91" t="e">
        <f>AND('Reg Types'!#REF!,"AAAAAHX+/08=")</f>
        <v>#REF!</v>
      </c>
      <c r="CC91" t="e">
        <f>AND('Reg Types'!#REF!,"AAAAAHX+/1A=")</f>
        <v>#REF!</v>
      </c>
      <c r="CD91" t="e">
        <f>AND('Reg Types'!#REF!,"AAAAAHX+/1E=")</f>
        <v>#REF!</v>
      </c>
      <c r="CE91" t="e">
        <f>AND('Reg Types'!#REF!,"AAAAAHX+/1I=")</f>
        <v>#REF!</v>
      </c>
      <c r="CF91" t="e">
        <f>AND('Reg Types'!#REF!,"AAAAAHX+/1M=")</f>
        <v>#REF!</v>
      </c>
      <c r="CG91" t="e">
        <f>AND('Reg Types'!#REF!,"AAAAAHX+/1Q=")</f>
        <v>#REF!</v>
      </c>
      <c r="CH91" t="e">
        <f>AND('Reg Types'!#REF!,"AAAAAHX+/1U=")</f>
        <v>#REF!</v>
      </c>
      <c r="CI91" t="e">
        <f>AND('Reg Types'!#REF!,"AAAAAHX+/1Y=")</f>
        <v>#REF!</v>
      </c>
      <c r="CJ91" t="e">
        <f>AND('Reg Types'!#REF!,"AAAAAHX+/1c=")</f>
        <v>#REF!</v>
      </c>
      <c r="CK91" t="e">
        <f>AND('Reg Types'!#REF!,"AAAAAHX+/1g=")</f>
        <v>#REF!</v>
      </c>
      <c r="CL91" t="e">
        <f>AND('Reg Types'!#REF!,"AAAAAHX+/1k=")</f>
        <v>#REF!</v>
      </c>
      <c r="CM91" t="e">
        <f>AND('Reg Types'!#REF!,"AAAAAHX+/1o=")</f>
        <v>#REF!</v>
      </c>
      <c r="CN91" t="e">
        <f>AND('Reg Types'!#REF!,"AAAAAHX+/1s=")</f>
        <v>#REF!</v>
      </c>
      <c r="CO91" t="e">
        <f>AND('Reg Types'!#REF!,"AAAAAHX+/1w=")</f>
        <v>#REF!</v>
      </c>
      <c r="CP91" t="e">
        <f>AND('Reg Types'!#REF!,"AAAAAHX+/10=")</f>
        <v>#REF!</v>
      </c>
      <c r="CQ91" t="e">
        <f>AND('Reg Types'!#REF!,"AAAAAHX+/14=")</f>
        <v>#REF!</v>
      </c>
      <c r="CR91" t="e">
        <f>AND('Reg Types'!#REF!,"AAAAAHX+/18=")</f>
        <v>#REF!</v>
      </c>
      <c r="CS91" t="e">
        <f>AND('Reg Types'!#REF!,"AAAAAHX+/2A=")</f>
        <v>#REF!</v>
      </c>
      <c r="CT91" t="e">
        <f>AND('Reg Types'!#REF!,"AAAAAHX+/2E=")</f>
        <v>#REF!</v>
      </c>
      <c r="CU91" t="e">
        <f>AND('Reg Types'!#REF!,"AAAAAHX+/2I=")</f>
        <v>#REF!</v>
      </c>
      <c r="CV91" t="e">
        <f>IF('Reg Types'!#REF!,"AAAAAHX+/2M=",0)</f>
        <v>#REF!</v>
      </c>
      <c r="CW91" t="e">
        <f>AND('Reg Types'!#REF!,"AAAAAHX+/2Q=")</f>
        <v>#REF!</v>
      </c>
      <c r="CX91" t="e">
        <f>AND('Reg Types'!#REF!,"AAAAAHX+/2U=")</f>
        <v>#REF!</v>
      </c>
      <c r="CY91" t="e">
        <f>AND('Reg Types'!#REF!,"AAAAAHX+/2Y=")</f>
        <v>#REF!</v>
      </c>
      <c r="CZ91" t="e">
        <f>AND('Reg Types'!#REF!,"AAAAAHX+/2c=")</f>
        <v>#REF!</v>
      </c>
      <c r="DA91" t="e">
        <f>AND('Reg Types'!#REF!,"AAAAAHX+/2g=")</f>
        <v>#REF!</v>
      </c>
      <c r="DB91" t="e">
        <f>AND('Reg Types'!#REF!,"AAAAAHX+/2k=")</f>
        <v>#REF!</v>
      </c>
      <c r="DC91" t="e">
        <f>AND('Reg Types'!#REF!,"AAAAAHX+/2o=")</f>
        <v>#REF!</v>
      </c>
      <c r="DD91" t="e">
        <f>AND('Reg Types'!#REF!,"AAAAAHX+/2s=")</f>
        <v>#REF!</v>
      </c>
      <c r="DE91" t="e">
        <f>AND('Reg Types'!#REF!,"AAAAAHX+/2w=")</f>
        <v>#REF!</v>
      </c>
      <c r="DF91" t="e">
        <f>AND('Reg Types'!#REF!,"AAAAAHX+/20=")</f>
        <v>#REF!</v>
      </c>
      <c r="DG91" t="e">
        <f>AND('Reg Types'!#REF!,"AAAAAHX+/24=")</f>
        <v>#REF!</v>
      </c>
      <c r="DH91" t="e">
        <f>AND('Reg Types'!#REF!,"AAAAAHX+/28=")</f>
        <v>#REF!</v>
      </c>
      <c r="DI91" t="e">
        <f>AND('Reg Types'!#REF!,"AAAAAHX+/3A=")</f>
        <v>#REF!</v>
      </c>
      <c r="DJ91" t="e">
        <f>AND('Reg Types'!#REF!,"AAAAAHX+/3E=")</f>
        <v>#REF!</v>
      </c>
      <c r="DK91" t="e">
        <f>AND('Reg Types'!#REF!,"AAAAAHX+/3I=")</f>
        <v>#REF!</v>
      </c>
      <c r="DL91" t="e">
        <f>AND('Reg Types'!#REF!,"AAAAAHX+/3M=")</f>
        <v>#REF!</v>
      </c>
      <c r="DM91" t="e">
        <f>AND('Reg Types'!#REF!,"AAAAAHX+/3Q=")</f>
        <v>#REF!</v>
      </c>
      <c r="DN91" t="e">
        <f>AND('Reg Types'!#REF!,"AAAAAHX+/3U=")</f>
        <v>#REF!</v>
      </c>
      <c r="DO91" t="e">
        <f>AND('Reg Types'!#REF!,"AAAAAHX+/3Y=")</f>
        <v>#REF!</v>
      </c>
      <c r="DP91" t="e">
        <f>AND('Reg Types'!#REF!,"AAAAAHX+/3c=")</f>
        <v>#REF!</v>
      </c>
      <c r="DQ91" t="e">
        <f>AND('Reg Types'!#REF!,"AAAAAHX+/3g=")</f>
        <v>#REF!</v>
      </c>
      <c r="DR91" t="e">
        <f>AND('Reg Types'!#REF!,"AAAAAHX+/3k=")</f>
        <v>#REF!</v>
      </c>
      <c r="DS91" t="e">
        <f>AND('Reg Types'!#REF!,"AAAAAHX+/3o=")</f>
        <v>#REF!</v>
      </c>
      <c r="DT91" t="e">
        <f>IF('Reg Types'!#REF!,"AAAAAHX+/3s=",0)</f>
        <v>#REF!</v>
      </c>
      <c r="DU91" t="e">
        <f>AND('Reg Types'!#REF!,"AAAAAHX+/3w=")</f>
        <v>#REF!</v>
      </c>
      <c r="DV91" t="e">
        <f>AND('Reg Types'!#REF!,"AAAAAHX+/30=")</f>
        <v>#REF!</v>
      </c>
      <c r="DW91" t="e">
        <f>AND('Reg Types'!#REF!,"AAAAAHX+/34=")</f>
        <v>#REF!</v>
      </c>
      <c r="DX91" t="e">
        <f>AND('Reg Types'!#REF!,"AAAAAHX+/38=")</f>
        <v>#REF!</v>
      </c>
      <c r="DY91" t="e">
        <f>AND('Reg Types'!#REF!,"AAAAAHX+/4A=")</f>
        <v>#REF!</v>
      </c>
      <c r="DZ91" t="e">
        <f>AND('Reg Types'!#REF!,"AAAAAHX+/4E=")</f>
        <v>#REF!</v>
      </c>
      <c r="EA91" t="e">
        <f>AND('Reg Types'!#REF!,"AAAAAHX+/4I=")</f>
        <v>#REF!</v>
      </c>
      <c r="EB91" t="e">
        <f>AND('Reg Types'!#REF!,"AAAAAHX+/4M=")</f>
        <v>#REF!</v>
      </c>
      <c r="EC91" t="e">
        <f>AND('Reg Types'!#REF!,"AAAAAHX+/4Q=")</f>
        <v>#REF!</v>
      </c>
      <c r="ED91" t="e">
        <f>AND('Reg Types'!#REF!,"AAAAAHX+/4U=")</f>
        <v>#REF!</v>
      </c>
      <c r="EE91" t="e">
        <f>AND('Reg Types'!#REF!,"AAAAAHX+/4Y=")</f>
        <v>#REF!</v>
      </c>
      <c r="EF91" t="e">
        <f>AND('Reg Types'!#REF!,"AAAAAHX+/4c=")</f>
        <v>#REF!</v>
      </c>
      <c r="EG91" t="e">
        <f>AND('Reg Types'!#REF!,"AAAAAHX+/4g=")</f>
        <v>#REF!</v>
      </c>
      <c r="EH91" t="e">
        <f>AND('Reg Types'!#REF!,"AAAAAHX+/4k=")</f>
        <v>#REF!</v>
      </c>
      <c r="EI91" t="e">
        <f>AND('Reg Types'!#REF!,"AAAAAHX+/4o=")</f>
        <v>#REF!</v>
      </c>
      <c r="EJ91" t="e">
        <f>AND('Reg Types'!#REF!,"AAAAAHX+/4s=")</f>
        <v>#REF!</v>
      </c>
      <c r="EK91" t="e">
        <f>AND('Reg Types'!#REF!,"AAAAAHX+/4w=")</f>
        <v>#REF!</v>
      </c>
      <c r="EL91" t="e">
        <f>AND('Reg Types'!#REF!,"AAAAAHX+/40=")</f>
        <v>#REF!</v>
      </c>
      <c r="EM91" t="e">
        <f>AND('Reg Types'!#REF!,"AAAAAHX+/44=")</f>
        <v>#REF!</v>
      </c>
      <c r="EN91" t="e">
        <f>AND('Reg Types'!#REF!,"AAAAAHX+/48=")</f>
        <v>#REF!</v>
      </c>
      <c r="EO91" t="e">
        <f>AND('Reg Types'!#REF!,"AAAAAHX+/5A=")</f>
        <v>#REF!</v>
      </c>
      <c r="EP91" t="e">
        <f>AND('Reg Types'!#REF!,"AAAAAHX+/5E=")</f>
        <v>#REF!</v>
      </c>
      <c r="EQ91" t="e">
        <f>AND('Reg Types'!#REF!,"AAAAAHX+/5I=")</f>
        <v>#REF!</v>
      </c>
      <c r="ER91" t="e">
        <f>IF('Reg Types'!#REF!,"AAAAAHX+/5M=",0)</f>
        <v>#REF!</v>
      </c>
      <c r="ES91" t="e">
        <f>AND('Reg Types'!#REF!,"AAAAAHX+/5Q=")</f>
        <v>#REF!</v>
      </c>
      <c r="ET91" t="e">
        <f>AND('Reg Types'!#REF!,"AAAAAHX+/5U=")</f>
        <v>#REF!</v>
      </c>
      <c r="EU91" t="e">
        <f>AND('Reg Types'!#REF!,"AAAAAHX+/5Y=")</f>
        <v>#REF!</v>
      </c>
      <c r="EV91" t="e">
        <f>AND('Reg Types'!#REF!,"AAAAAHX+/5c=")</f>
        <v>#REF!</v>
      </c>
      <c r="EW91" t="e">
        <f>AND('Reg Types'!#REF!,"AAAAAHX+/5g=")</f>
        <v>#REF!</v>
      </c>
      <c r="EX91" t="e">
        <f>AND('Reg Types'!#REF!,"AAAAAHX+/5k=")</f>
        <v>#REF!</v>
      </c>
      <c r="EY91" t="e">
        <f>AND('Reg Types'!#REF!,"AAAAAHX+/5o=")</f>
        <v>#REF!</v>
      </c>
      <c r="EZ91" t="e">
        <f>AND('Reg Types'!#REF!,"AAAAAHX+/5s=")</f>
        <v>#REF!</v>
      </c>
      <c r="FA91" t="e">
        <f>AND('Reg Types'!#REF!,"AAAAAHX+/5w=")</f>
        <v>#REF!</v>
      </c>
      <c r="FB91" t="e">
        <f>AND('Reg Types'!#REF!,"AAAAAHX+/50=")</f>
        <v>#REF!</v>
      </c>
      <c r="FC91" t="e">
        <f>AND('Reg Types'!#REF!,"AAAAAHX+/54=")</f>
        <v>#REF!</v>
      </c>
      <c r="FD91" t="e">
        <f>AND('Reg Types'!#REF!,"AAAAAHX+/58=")</f>
        <v>#REF!</v>
      </c>
      <c r="FE91" t="e">
        <f>AND('Reg Types'!#REF!,"AAAAAHX+/6A=")</f>
        <v>#REF!</v>
      </c>
      <c r="FF91" t="e">
        <f>AND('Reg Types'!#REF!,"AAAAAHX+/6E=")</f>
        <v>#REF!</v>
      </c>
      <c r="FG91" t="e">
        <f>AND('Reg Types'!#REF!,"AAAAAHX+/6I=")</f>
        <v>#REF!</v>
      </c>
      <c r="FH91" t="e">
        <f>AND('Reg Types'!#REF!,"AAAAAHX+/6M=")</f>
        <v>#REF!</v>
      </c>
      <c r="FI91" t="e">
        <f>AND('Reg Types'!#REF!,"AAAAAHX+/6Q=")</f>
        <v>#REF!</v>
      </c>
      <c r="FJ91" t="e">
        <f>AND('Reg Types'!#REF!,"AAAAAHX+/6U=")</f>
        <v>#REF!</v>
      </c>
      <c r="FK91" t="e">
        <f>AND('Reg Types'!#REF!,"AAAAAHX+/6Y=")</f>
        <v>#REF!</v>
      </c>
      <c r="FL91" t="e">
        <f>AND('Reg Types'!#REF!,"AAAAAHX+/6c=")</f>
        <v>#REF!</v>
      </c>
      <c r="FM91" t="e">
        <f>AND('Reg Types'!#REF!,"AAAAAHX+/6g=")</f>
        <v>#REF!</v>
      </c>
      <c r="FN91" t="e">
        <f>AND('Reg Types'!#REF!,"AAAAAHX+/6k=")</f>
        <v>#REF!</v>
      </c>
      <c r="FO91" t="e">
        <f>AND('Reg Types'!#REF!,"AAAAAHX+/6o=")</f>
        <v>#REF!</v>
      </c>
      <c r="FP91" t="e">
        <f>IF('Reg Types'!#REF!,"AAAAAHX+/6s=",0)</f>
        <v>#REF!</v>
      </c>
      <c r="FQ91" t="e">
        <f>AND('Reg Types'!#REF!,"AAAAAHX+/6w=")</f>
        <v>#REF!</v>
      </c>
      <c r="FR91" t="e">
        <f>AND('Reg Types'!#REF!,"AAAAAHX+/60=")</f>
        <v>#REF!</v>
      </c>
      <c r="FS91" t="e">
        <f>AND('Reg Types'!#REF!,"AAAAAHX+/64=")</f>
        <v>#REF!</v>
      </c>
      <c r="FT91" t="e">
        <f>AND('Reg Types'!#REF!,"AAAAAHX+/68=")</f>
        <v>#REF!</v>
      </c>
      <c r="FU91" t="e">
        <f>AND('Reg Types'!#REF!,"AAAAAHX+/7A=")</f>
        <v>#REF!</v>
      </c>
      <c r="FV91" t="e">
        <f>AND('Reg Types'!#REF!,"AAAAAHX+/7E=")</f>
        <v>#REF!</v>
      </c>
      <c r="FW91" t="e">
        <f>AND('Reg Types'!#REF!,"AAAAAHX+/7I=")</f>
        <v>#REF!</v>
      </c>
      <c r="FX91" t="e">
        <f>AND('Reg Types'!#REF!,"AAAAAHX+/7M=")</f>
        <v>#REF!</v>
      </c>
      <c r="FY91" t="e">
        <f>AND('Reg Types'!#REF!,"AAAAAHX+/7Q=")</f>
        <v>#REF!</v>
      </c>
      <c r="FZ91" t="e">
        <f>AND('Reg Types'!#REF!,"AAAAAHX+/7U=")</f>
        <v>#REF!</v>
      </c>
      <c r="GA91" t="e">
        <f>AND('Reg Types'!#REF!,"AAAAAHX+/7Y=")</f>
        <v>#REF!</v>
      </c>
      <c r="GB91" t="e">
        <f>AND('Reg Types'!#REF!,"AAAAAHX+/7c=")</f>
        <v>#REF!</v>
      </c>
      <c r="GC91" t="e">
        <f>AND('Reg Types'!#REF!,"AAAAAHX+/7g=")</f>
        <v>#REF!</v>
      </c>
      <c r="GD91" t="e">
        <f>AND('Reg Types'!#REF!,"AAAAAHX+/7k=")</f>
        <v>#REF!</v>
      </c>
      <c r="GE91" t="e">
        <f>AND('Reg Types'!#REF!,"AAAAAHX+/7o=")</f>
        <v>#REF!</v>
      </c>
      <c r="GF91" t="e">
        <f>AND('Reg Types'!#REF!,"AAAAAHX+/7s=")</f>
        <v>#REF!</v>
      </c>
      <c r="GG91" t="e">
        <f>AND('Reg Types'!#REF!,"AAAAAHX+/7w=")</f>
        <v>#REF!</v>
      </c>
      <c r="GH91" t="e">
        <f>AND('Reg Types'!#REF!,"AAAAAHX+/70=")</f>
        <v>#REF!</v>
      </c>
      <c r="GI91" t="e">
        <f>AND('Reg Types'!#REF!,"AAAAAHX+/74=")</f>
        <v>#REF!</v>
      </c>
      <c r="GJ91" t="e">
        <f>AND('Reg Types'!#REF!,"AAAAAHX+/78=")</f>
        <v>#REF!</v>
      </c>
      <c r="GK91" t="e">
        <f>AND('Reg Types'!#REF!,"AAAAAHX+/8A=")</f>
        <v>#REF!</v>
      </c>
      <c r="GL91" t="e">
        <f>AND('Reg Types'!#REF!,"AAAAAHX+/8E=")</f>
        <v>#REF!</v>
      </c>
      <c r="GM91" t="e">
        <f>AND('Reg Types'!#REF!,"AAAAAHX+/8I=")</f>
        <v>#REF!</v>
      </c>
      <c r="GN91" t="e">
        <f>IF('Reg Types'!#REF!,"AAAAAHX+/8M=",0)</f>
        <v>#REF!</v>
      </c>
      <c r="GO91" t="e">
        <f>AND('Reg Types'!#REF!,"AAAAAHX+/8Q=")</f>
        <v>#REF!</v>
      </c>
      <c r="GP91" t="e">
        <f>AND('Reg Types'!#REF!,"AAAAAHX+/8U=")</f>
        <v>#REF!</v>
      </c>
      <c r="GQ91" t="e">
        <f>AND('Reg Types'!#REF!,"AAAAAHX+/8Y=")</f>
        <v>#REF!</v>
      </c>
      <c r="GR91" t="e">
        <f>AND('Reg Types'!#REF!,"AAAAAHX+/8c=")</f>
        <v>#REF!</v>
      </c>
      <c r="GS91" t="e">
        <f>AND('Reg Types'!#REF!,"AAAAAHX+/8g=")</f>
        <v>#REF!</v>
      </c>
      <c r="GT91" t="e">
        <f>AND('Reg Types'!#REF!,"AAAAAHX+/8k=")</f>
        <v>#REF!</v>
      </c>
      <c r="GU91" t="e">
        <f>AND('Reg Types'!#REF!,"AAAAAHX+/8o=")</f>
        <v>#REF!</v>
      </c>
      <c r="GV91" t="e">
        <f>AND('Reg Types'!#REF!,"AAAAAHX+/8s=")</f>
        <v>#REF!</v>
      </c>
      <c r="GW91" t="e">
        <f>AND('Reg Types'!#REF!,"AAAAAHX+/8w=")</f>
        <v>#REF!</v>
      </c>
      <c r="GX91" t="e">
        <f>AND('Reg Types'!#REF!,"AAAAAHX+/80=")</f>
        <v>#REF!</v>
      </c>
      <c r="GY91" t="e">
        <f>AND('Reg Types'!#REF!,"AAAAAHX+/84=")</f>
        <v>#REF!</v>
      </c>
      <c r="GZ91" t="e">
        <f>AND('Reg Types'!#REF!,"AAAAAHX+/88=")</f>
        <v>#REF!</v>
      </c>
      <c r="HA91" t="e">
        <f>AND('Reg Types'!#REF!,"AAAAAHX+/9A=")</f>
        <v>#REF!</v>
      </c>
      <c r="HB91" t="e">
        <f>AND('Reg Types'!#REF!,"AAAAAHX+/9E=")</f>
        <v>#REF!</v>
      </c>
      <c r="HC91" t="e">
        <f>AND('Reg Types'!#REF!,"AAAAAHX+/9I=")</f>
        <v>#REF!</v>
      </c>
      <c r="HD91" t="e">
        <f>AND('Reg Types'!#REF!,"AAAAAHX+/9M=")</f>
        <v>#REF!</v>
      </c>
      <c r="HE91" t="e">
        <f>AND('Reg Types'!#REF!,"AAAAAHX+/9Q=")</f>
        <v>#REF!</v>
      </c>
      <c r="HF91" t="e">
        <f>AND('Reg Types'!#REF!,"AAAAAHX+/9U=")</f>
        <v>#REF!</v>
      </c>
      <c r="HG91" t="e">
        <f>AND('Reg Types'!#REF!,"AAAAAHX+/9Y=")</f>
        <v>#REF!</v>
      </c>
      <c r="HH91" t="e">
        <f>AND('Reg Types'!#REF!,"AAAAAHX+/9c=")</f>
        <v>#REF!</v>
      </c>
      <c r="HI91" t="e">
        <f>AND('Reg Types'!#REF!,"AAAAAHX+/9g=")</f>
        <v>#REF!</v>
      </c>
      <c r="HJ91" t="e">
        <f>AND('Reg Types'!#REF!,"AAAAAHX+/9k=")</f>
        <v>#REF!</v>
      </c>
      <c r="HK91" t="e">
        <f>AND('Reg Types'!#REF!,"AAAAAHX+/9o=")</f>
        <v>#REF!</v>
      </c>
      <c r="HL91" t="e">
        <f>IF('Reg Types'!#REF!,"AAAAAHX+/9s=",0)</f>
        <v>#REF!</v>
      </c>
      <c r="HM91" t="e">
        <f>AND('Reg Types'!#REF!,"AAAAAHX+/9w=")</f>
        <v>#REF!</v>
      </c>
      <c r="HN91" t="e">
        <f>AND('Reg Types'!#REF!,"AAAAAHX+/90=")</f>
        <v>#REF!</v>
      </c>
      <c r="HO91" t="e">
        <f>AND('Reg Types'!#REF!,"AAAAAHX+/94=")</f>
        <v>#REF!</v>
      </c>
      <c r="HP91" t="e">
        <f>AND('Reg Types'!#REF!,"AAAAAHX+/98=")</f>
        <v>#REF!</v>
      </c>
      <c r="HQ91" t="e">
        <f>AND('Reg Types'!#REF!,"AAAAAHX+/+A=")</f>
        <v>#REF!</v>
      </c>
      <c r="HR91" t="e">
        <f>AND('Reg Types'!#REF!,"AAAAAHX+/+E=")</f>
        <v>#REF!</v>
      </c>
      <c r="HS91" t="e">
        <f>AND('Reg Types'!#REF!,"AAAAAHX+/+I=")</f>
        <v>#REF!</v>
      </c>
      <c r="HT91" t="e">
        <f>AND('Reg Types'!#REF!,"AAAAAHX+/+M=")</f>
        <v>#REF!</v>
      </c>
      <c r="HU91" t="e">
        <f>AND('Reg Types'!#REF!,"AAAAAHX+/+Q=")</f>
        <v>#REF!</v>
      </c>
      <c r="HV91" t="e">
        <f>AND('Reg Types'!#REF!,"AAAAAHX+/+U=")</f>
        <v>#REF!</v>
      </c>
      <c r="HW91" t="e">
        <f>AND('Reg Types'!#REF!,"AAAAAHX+/+Y=")</f>
        <v>#REF!</v>
      </c>
      <c r="HX91" t="e">
        <f>AND('Reg Types'!#REF!,"AAAAAHX+/+c=")</f>
        <v>#REF!</v>
      </c>
      <c r="HY91" t="e">
        <f>AND('Reg Types'!#REF!,"AAAAAHX+/+g=")</f>
        <v>#REF!</v>
      </c>
      <c r="HZ91" t="e">
        <f>AND('Reg Types'!#REF!,"AAAAAHX+/+k=")</f>
        <v>#REF!</v>
      </c>
      <c r="IA91" t="e">
        <f>AND('Reg Types'!#REF!,"AAAAAHX+/+o=")</f>
        <v>#REF!</v>
      </c>
      <c r="IB91" t="e">
        <f>AND('Reg Types'!#REF!,"AAAAAHX+/+s=")</f>
        <v>#REF!</v>
      </c>
      <c r="IC91" t="e">
        <f>AND('Reg Types'!#REF!,"AAAAAHX+/+w=")</f>
        <v>#REF!</v>
      </c>
      <c r="ID91" t="e">
        <f>AND('Reg Types'!#REF!,"AAAAAHX+/+0=")</f>
        <v>#REF!</v>
      </c>
      <c r="IE91" t="e">
        <f>AND('Reg Types'!#REF!,"AAAAAHX+/+4=")</f>
        <v>#REF!</v>
      </c>
      <c r="IF91" t="e">
        <f>AND('Reg Types'!#REF!,"AAAAAHX+/+8=")</f>
        <v>#REF!</v>
      </c>
      <c r="IG91" t="e">
        <f>AND('Reg Types'!#REF!,"AAAAAHX+//A=")</f>
        <v>#REF!</v>
      </c>
      <c r="IH91" t="e">
        <f>AND('Reg Types'!#REF!,"AAAAAHX+//E=")</f>
        <v>#REF!</v>
      </c>
      <c r="II91" t="e">
        <f>AND('Reg Types'!#REF!,"AAAAAHX+//I=")</f>
        <v>#REF!</v>
      </c>
      <c r="IJ91" t="e">
        <f>IF('Reg Types'!#REF!,"AAAAAHX+//M=",0)</f>
        <v>#REF!</v>
      </c>
      <c r="IK91" t="e">
        <f>AND('Reg Types'!#REF!,"AAAAAHX+//Q=")</f>
        <v>#REF!</v>
      </c>
      <c r="IL91" t="e">
        <f>AND('Reg Types'!#REF!,"AAAAAHX+//U=")</f>
        <v>#REF!</v>
      </c>
      <c r="IM91" t="e">
        <f>AND('Reg Types'!#REF!,"AAAAAHX+//Y=")</f>
        <v>#REF!</v>
      </c>
      <c r="IN91" t="e">
        <f>AND('Reg Types'!#REF!,"AAAAAHX+//c=")</f>
        <v>#REF!</v>
      </c>
      <c r="IO91" t="e">
        <f>AND('Reg Types'!#REF!,"AAAAAHX+//g=")</f>
        <v>#REF!</v>
      </c>
      <c r="IP91" t="e">
        <f>AND('Reg Types'!#REF!,"AAAAAHX+//k=")</f>
        <v>#REF!</v>
      </c>
      <c r="IQ91" t="e">
        <f>AND('Reg Types'!#REF!,"AAAAAHX+//o=")</f>
        <v>#REF!</v>
      </c>
      <c r="IR91" t="e">
        <f>AND('Reg Types'!#REF!,"AAAAAHX+//s=")</f>
        <v>#REF!</v>
      </c>
      <c r="IS91" t="e">
        <f>AND('Reg Types'!#REF!,"AAAAAHX+//w=")</f>
        <v>#REF!</v>
      </c>
      <c r="IT91" t="e">
        <f>AND('Reg Types'!#REF!,"AAAAAHX+//0=")</f>
        <v>#REF!</v>
      </c>
      <c r="IU91" t="e">
        <f>AND('Reg Types'!#REF!,"AAAAAHX+//4=")</f>
        <v>#REF!</v>
      </c>
      <c r="IV91" t="e">
        <f>AND('Reg Types'!#REF!,"AAAAAHX+//8=")</f>
        <v>#REF!</v>
      </c>
    </row>
    <row r="92" spans="1:256" x14ac:dyDescent="0.2">
      <c r="A92" t="e">
        <f>AND('Reg Types'!#REF!,"AAAAAHffngA=")</f>
        <v>#REF!</v>
      </c>
      <c r="B92" t="e">
        <f>AND('Reg Types'!#REF!,"AAAAAHffngE=")</f>
        <v>#REF!</v>
      </c>
      <c r="C92" t="e">
        <f>AND('Reg Types'!#REF!,"AAAAAHffngI=")</f>
        <v>#REF!</v>
      </c>
      <c r="D92" t="e">
        <f>AND('Reg Types'!#REF!,"AAAAAHffngM=")</f>
        <v>#REF!</v>
      </c>
      <c r="E92" t="e">
        <f>AND('Reg Types'!#REF!,"AAAAAHffngQ=")</f>
        <v>#REF!</v>
      </c>
      <c r="F92" t="e">
        <f>AND('Reg Types'!#REF!,"AAAAAHffngU=")</f>
        <v>#REF!</v>
      </c>
      <c r="G92" t="e">
        <f>AND('Reg Types'!#REF!,"AAAAAHffngY=")</f>
        <v>#REF!</v>
      </c>
      <c r="H92" t="e">
        <f>AND('Reg Types'!#REF!,"AAAAAHffngc=")</f>
        <v>#REF!</v>
      </c>
      <c r="I92" t="e">
        <f>AND('Reg Types'!#REF!,"AAAAAHffngg=")</f>
        <v>#REF!</v>
      </c>
      <c r="J92" t="e">
        <f>AND('Reg Types'!#REF!,"AAAAAHffngk=")</f>
        <v>#REF!</v>
      </c>
      <c r="K92" t="e">
        <f>AND('Reg Types'!#REF!,"AAAAAHffngo=")</f>
        <v>#REF!</v>
      </c>
      <c r="L92" t="e">
        <f>IF('Reg Types'!#REF!,"AAAAAHffngs=",0)</f>
        <v>#REF!</v>
      </c>
      <c r="M92" t="e">
        <f>AND('Reg Types'!#REF!,"AAAAAHffngw=")</f>
        <v>#REF!</v>
      </c>
      <c r="N92" t="e">
        <f>AND('Reg Types'!#REF!,"AAAAAHffng0=")</f>
        <v>#REF!</v>
      </c>
      <c r="O92" t="e">
        <f>AND('Reg Types'!#REF!,"AAAAAHffng4=")</f>
        <v>#REF!</v>
      </c>
      <c r="P92" t="e">
        <f>AND('Reg Types'!#REF!,"AAAAAHffng8=")</f>
        <v>#REF!</v>
      </c>
      <c r="Q92" t="e">
        <f>AND('Reg Types'!#REF!,"AAAAAHffnhA=")</f>
        <v>#REF!</v>
      </c>
      <c r="R92" t="e">
        <f>AND('Reg Types'!#REF!,"AAAAAHffnhE=")</f>
        <v>#REF!</v>
      </c>
      <c r="S92" t="e">
        <f>AND('Reg Types'!#REF!,"AAAAAHffnhI=")</f>
        <v>#REF!</v>
      </c>
      <c r="T92" t="e">
        <f>AND('Reg Types'!#REF!,"AAAAAHffnhM=")</f>
        <v>#REF!</v>
      </c>
      <c r="U92" t="e">
        <f>AND('Reg Types'!#REF!,"AAAAAHffnhQ=")</f>
        <v>#REF!</v>
      </c>
      <c r="V92" t="e">
        <f>AND('Reg Types'!#REF!,"AAAAAHffnhU=")</f>
        <v>#REF!</v>
      </c>
      <c r="W92" t="e">
        <f>AND('Reg Types'!#REF!,"AAAAAHffnhY=")</f>
        <v>#REF!</v>
      </c>
      <c r="X92" t="e">
        <f>AND('Reg Types'!#REF!,"AAAAAHffnhc=")</f>
        <v>#REF!</v>
      </c>
      <c r="Y92" t="e">
        <f>AND('Reg Types'!#REF!,"AAAAAHffnhg=")</f>
        <v>#REF!</v>
      </c>
      <c r="Z92" t="e">
        <f>AND('Reg Types'!#REF!,"AAAAAHffnhk=")</f>
        <v>#REF!</v>
      </c>
      <c r="AA92" t="e">
        <f>AND('Reg Types'!#REF!,"AAAAAHffnho=")</f>
        <v>#REF!</v>
      </c>
      <c r="AB92" t="e">
        <f>AND('Reg Types'!#REF!,"AAAAAHffnhs=")</f>
        <v>#REF!</v>
      </c>
      <c r="AC92" t="e">
        <f>AND('Reg Types'!#REF!,"AAAAAHffnhw=")</f>
        <v>#REF!</v>
      </c>
      <c r="AD92" t="e">
        <f>AND('Reg Types'!#REF!,"AAAAAHffnh0=")</f>
        <v>#REF!</v>
      </c>
      <c r="AE92" t="e">
        <f>AND('Reg Types'!#REF!,"AAAAAHffnh4=")</f>
        <v>#REF!</v>
      </c>
      <c r="AF92" t="e">
        <f>AND('Reg Types'!#REF!,"AAAAAHffnh8=")</f>
        <v>#REF!</v>
      </c>
      <c r="AG92" t="e">
        <f>AND('Reg Types'!#REF!,"AAAAAHffniA=")</f>
        <v>#REF!</v>
      </c>
      <c r="AH92" t="e">
        <f>AND('Reg Types'!#REF!,"AAAAAHffniE=")</f>
        <v>#REF!</v>
      </c>
      <c r="AI92" t="e">
        <f>AND('Reg Types'!#REF!,"AAAAAHffniI=")</f>
        <v>#REF!</v>
      </c>
      <c r="AJ92" t="e">
        <f>IF('Reg Types'!#REF!,"AAAAAHffniM=",0)</f>
        <v>#REF!</v>
      </c>
      <c r="AK92" t="e">
        <f>AND('Reg Types'!#REF!,"AAAAAHffniQ=")</f>
        <v>#REF!</v>
      </c>
      <c r="AL92" t="e">
        <f>AND('Reg Types'!#REF!,"AAAAAHffniU=")</f>
        <v>#REF!</v>
      </c>
      <c r="AM92" t="e">
        <f>AND('Reg Types'!#REF!,"AAAAAHffniY=")</f>
        <v>#REF!</v>
      </c>
      <c r="AN92" t="e">
        <f>AND('Reg Types'!#REF!,"AAAAAHffnic=")</f>
        <v>#REF!</v>
      </c>
      <c r="AO92" t="e">
        <f>AND('Reg Types'!#REF!,"AAAAAHffnig=")</f>
        <v>#REF!</v>
      </c>
      <c r="AP92" t="e">
        <f>AND('Reg Types'!#REF!,"AAAAAHffnik=")</f>
        <v>#REF!</v>
      </c>
      <c r="AQ92" t="e">
        <f>AND('Reg Types'!#REF!,"AAAAAHffnio=")</f>
        <v>#REF!</v>
      </c>
      <c r="AR92" t="e">
        <f>AND('Reg Types'!#REF!,"AAAAAHffnis=")</f>
        <v>#REF!</v>
      </c>
      <c r="AS92" t="e">
        <f>AND('Reg Types'!#REF!,"AAAAAHffniw=")</f>
        <v>#REF!</v>
      </c>
      <c r="AT92" t="e">
        <f>AND('Reg Types'!#REF!,"AAAAAHffni0=")</f>
        <v>#REF!</v>
      </c>
      <c r="AU92" t="e">
        <f>AND('Reg Types'!#REF!,"AAAAAHffni4=")</f>
        <v>#REF!</v>
      </c>
      <c r="AV92" t="e">
        <f>AND('Reg Types'!#REF!,"AAAAAHffni8=")</f>
        <v>#REF!</v>
      </c>
      <c r="AW92" t="e">
        <f>AND('Reg Types'!#REF!,"AAAAAHffnjA=")</f>
        <v>#REF!</v>
      </c>
      <c r="AX92" t="e">
        <f>AND('Reg Types'!#REF!,"AAAAAHffnjE=")</f>
        <v>#REF!</v>
      </c>
      <c r="AY92" t="e">
        <f>AND('Reg Types'!#REF!,"AAAAAHffnjI=")</f>
        <v>#REF!</v>
      </c>
      <c r="AZ92" t="e">
        <f>AND('Reg Types'!#REF!,"AAAAAHffnjM=")</f>
        <v>#REF!</v>
      </c>
      <c r="BA92" t="e">
        <f>AND('Reg Types'!#REF!,"AAAAAHffnjQ=")</f>
        <v>#REF!</v>
      </c>
      <c r="BB92" t="e">
        <f>AND('Reg Types'!#REF!,"AAAAAHffnjU=")</f>
        <v>#REF!</v>
      </c>
      <c r="BC92" t="e">
        <f>AND('Reg Types'!#REF!,"AAAAAHffnjY=")</f>
        <v>#REF!</v>
      </c>
      <c r="BD92" t="e">
        <f>AND('Reg Types'!#REF!,"AAAAAHffnjc=")</f>
        <v>#REF!</v>
      </c>
      <c r="BE92" t="e">
        <f>AND('Reg Types'!#REF!,"AAAAAHffnjg=")</f>
        <v>#REF!</v>
      </c>
      <c r="BF92" t="e">
        <f>AND('Reg Types'!#REF!,"AAAAAHffnjk=")</f>
        <v>#REF!</v>
      </c>
      <c r="BG92" t="e">
        <f>AND('Reg Types'!#REF!,"AAAAAHffnjo=")</f>
        <v>#REF!</v>
      </c>
      <c r="BH92" t="e">
        <f>IF('Reg Types'!#REF!,"AAAAAHffnjs=",0)</f>
        <v>#REF!</v>
      </c>
      <c r="BI92" t="e">
        <f>AND('Reg Types'!#REF!,"AAAAAHffnjw=")</f>
        <v>#REF!</v>
      </c>
      <c r="BJ92" t="e">
        <f>AND('Reg Types'!#REF!,"AAAAAHffnj0=")</f>
        <v>#REF!</v>
      </c>
      <c r="BK92" t="e">
        <f>AND('Reg Types'!#REF!,"AAAAAHffnj4=")</f>
        <v>#REF!</v>
      </c>
      <c r="BL92" t="e">
        <f>AND('Reg Types'!#REF!,"AAAAAHffnj8=")</f>
        <v>#REF!</v>
      </c>
      <c r="BM92" t="e">
        <f>AND('Reg Types'!#REF!,"AAAAAHffnkA=")</f>
        <v>#REF!</v>
      </c>
      <c r="BN92" t="e">
        <f>AND('Reg Types'!#REF!,"AAAAAHffnkE=")</f>
        <v>#REF!</v>
      </c>
      <c r="BO92" t="e">
        <f>AND('Reg Types'!#REF!,"AAAAAHffnkI=")</f>
        <v>#REF!</v>
      </c>
      <c r="BP92" t="e">
        <f>AND('Reg Types'!#REF!,"AAAAAHffnkM=")</f>
        <v>#REF!</v>
      </c>
      <c r="BQ92" t="e">
        <f>AND('Reg Types'!#REF!,"AAAAAHffnkQ=")</f>
        <v>#REF!</v>
      </c>
      <c r="BR92" t="e">
        <f>AND('Reg Types'!#REF!,"AAAAAHffnkU=")</f>
        <v>#REF!</v>
      </c>
      <c r="BS92" t="e">
        <f>AND('Reg Types'!#REF!,"AAAAAHffnkY=")</f>
        <v>#REF!</v>
      </c>
      <c r="BT92" t="e">
        <f>AND('Reg Types'!#REF!,"AAAAAHffnkc=")</f>
        <v>#REF!</v>
      </c>
      <c r="BU92" t="e">
        <f>AND('Reg Types'!#REF!,"AAAAAHffnkg=")</f>
        <v>#REF!</v>
      </c>
      <c r="BV92" t="e">
        <f>AND('Reg Types'!#REF!,"AAAAAHffnkk=")</f>
        <v>#REF!</v>
      </c>
      <c r="BW92" t="e">
        <f>AND('Reg Types'!#REF!,"AAAAAHffnko=")</f>
        <v>#REF!</v>
      </c>
      <c r="BX92" t="e">
        <f>AND('Reg Types'!#REF!,"AAAAAHffnks=")</f>
        <v>#REF!</v>
      </c>
      <c r="BY92" t="e">
        <f>AND('Reg Types'!#REF!,"AAAAAHffnkw=")</f>
        <v>#REF!</v>
      </c>
      <c r="BZ92" t="e">
        <f>AND('Reg Types'!#REF!,"AAAAAHffnk0=")</f>
        <v>#REF!</v>
      </c>
      <c r="CA92" t="e">
        <f>AND('Reg Types'!#REF!,"AAAAAHffnk4=")</f>
        <v>#REF!</v>
      </c>
      <c r="CB92" t="e">
        <f>AND('Reg Types'!#REF!,"AAAAAHffnk8=")</f>
        <v>#REF!</v>
      </c>
      <c r="CC92" t="e">
        <f>AND('Reg Types'!#REF!,"AAAAAHffnlA=")</f>
        <v>#REF!</v>
      </c>
      <c r="CD92" t="e">
        <f>AND('Reg Types'!#REF!,"AAAAAHffnlE=")</f>
        <v>#REF!</v>
      </c>
      <c r="CE92" t="e">
        <f>AND('Reg Types'!#REF!,"AAAAAHffnlI=")</f>
        <v>#REF!</v>
      </c>
      <c r="CF92" t="e">
        <f>IF('Reg Types'!#REF!,"AAAAAHffnlM=",0)</f>
        <v>#REF!</v>
      </c>
      <c r="CG92" t="e">
        <f>AND('Reg Types'!#REF!,"AAAAAHffnlQ=")</f>
        <v>#REF!</v>
      </c>
      <c r="CH92" t="e">
        <f>AND('Reg Types'!#REF!,"AAAAAHffnlU=")</f>
        <v>#REF!</v>
      </c>
      <c r="CI92" t="e">
        <f>AND('Reg Types'!#REF!,"AAAAAHffnlY=")</f>
        <v>#REF!</v>
      </c>
      <c r="CJ92" t="e">
        <f>AND('Reg Types'!#REF!,"AAAAAHffnlc=")</f>
        <v>#REF!</v>
      </c>
      <c r="CK92" t="e">
        <f>AND('Reg Types'!#REF!,"AAAAAHffnlg=")</f>
        <v>#REF!</v>
      </c>
      <c r="CL92" t="e">
        <f>AND('Reg Types'!#REF!,"AAAAAHffnlk=")</f>
        <v>#REF!</v>
      </c>
      <c r="CM92" t="e">
        <f>AND('Reg Types'!#REF!,"AAAAAHffnlo=")</f>
        <v>#REF!</v>
      </c>
      <c r="CN92" t="e">
        <f>AND('Reg Types'!#REF!,"AAAAAHffnls=")</f>
        <v>#REF!</v>
      </c>
      <c r="CO92" t="e">
        <f>AND('Reg Types'!#REF!,"AAAAAHffnlw=")</f>
        <v>#REF!</v>
      </c>
      <c r="CP92" t="e">
        <f>AND('Reg Types'!#REF!,"AAAAAHffnl0=")</f>
        <v>#REF!</v>
      </c>
      <c r="CQ92" t="e">
        <f>AND('Reg Types'!#REF!,"AAAAAHffnl4=")</f>
        <v>#REF!</v>
      </c>
      <c r="CR92" t="e">
        <f>AND('Reg Types'!#REF!,"AAAAAHffnl8=")</f>
        <v>#REF!</v>
      </c>
      <c r="CS92" t="e">
        <f>AND('Reg Types'!#REF!,"AAAAAHffnmA=")</f>
        <v>#REF!</v>
      </c>
      <c r="CT92" t="e">
        <f>AND('Reg Types'!#REF!,"AAAAAHffnmE=")</f>
        <v>#REF!</v>
      </c>
      <c r="CU92" t="e">
        <f>AND('Reg Types'!#REF!,"AAAAAHffnmI=")</f>
        <v>#REF!</v>
      </c>
      <c r="CV92" t="e">
        <f>AND('Reg Types'!#REF!,"AAAAAHffnmM=")</f>
        <v>#REF!</v>
      </c>
      <c r="CW92" t="e">
        <f>AND('Reg Types'!#REF!,"AAAAAHffnmQ=")</f>
        <v>#REF!</v>
      </c>
      <c r="CX92" t="e">
        <f>AND('Reg Types'!#REF!,"AAAAAHffnmU=")</f>
        <v>#REF!</v>
      </c>
      <c r="CY92" t="e">
        <f>AND('Reg Types'!#REF!,"AAAAAHffnmY=")</f>
        <v>#REF!</v>
      </c>
      <c r="CZ92" t="e">
        <f>AND('Reg Types'!#REF!,"AAAAAHffnmc=")</f>
        <v>#REF!</v>
      </c>
      <c r="DA92" t="e">
        <f>AND('Reg Types'!#REF!,"AAAAAHffnmg=")</f>
        <v>#REF!</v>
      </c>
      <c r="DB92" t="e">
        <f>AND('Reg Types'!#REF!,"AAAAAHffnmk=")</f>
        <v>#REF!</v>
      </c>
      <c r="DC92" t="e">
        <f>AND('Reg Types'!#REF!,"AAAAAHffnmo=")</f>
        <v>#REF!</v>
      </c>
      <c r="DD92" t="e">
        <f>IF('Reg Types'!#REF!,"AAAAAHffnms=",0)</f>
        <v>#REF!</v>
      </c>
      <c r="DE92" t="e">
        <f>AND('Reg Types'!#REF!,"AAAAAHffnmw=")</f>
        <v>#REF!</v>
      </c>
      <c r="DF92" t="e">
        <f>AND('Reg Types'!#REF!,"AAAAAHffnm0=")</f>
        <v>#REF!</v>
      </c>
      <c r="DG92" t="e">
        <f>AND('Reg Types'!#REF!,"AAAAAHffnm4=")</f>
        <v>#REF!</v>
      </c>
      <c r="DH92" t="e">
        <f>AND('Reg Types'!#REF!,"AAAAAHffnm8=")</f>
        <v>#REF!</v>
      </c>
      <c r="DI92" t="e">
        <f>AND('Reg Types'!#REF!,"AAAAAHffnnA=")</f>
        <v>#REF!</v>
      </c>
      <c r="DJ92" t="e">
        <f>AND('Reg Types'!#REF!,"AAAAAHffnnE=")</f>
        <v>#REF!</v>
      </c>
      <c r="DK92" t="e">
        <f>AND('Reg Types'!#REF!,"AAAAAHffnnI=")</f>
        <v>#REF!</v>
      </c>
      <c r="DL92" t="e">
        <f>AND('Reg Types'!#REF!,"AAAAAHffnnM=")</f>
        <v>#REF!</v>
      </c>
      <c r="DM92" t="e">
        <f>AND('Reg Types'!#REF!,"AAAAAHffnnQ=")</f>
        <v>#REF!</v>
      </c>
      <c r="DN92" t="e">
        <f>AND('Reg Types'!#REF!,"AAAAAHffnnU=")</f>
        <v>#REF!</v>
      </c>
      <c r="DO92" t="e">
        <f>AND('Reg Types'!#REF!,"AAAAAHffnnY=")</f>
        <v>#REF!</v>
      </c>
      <c r="DP92" t="e">
        <f>AND('Reg Types'!#REF!,"AAAAAHffnnc=")</f>
        <v>#REF!</v>
      </c>
      <c r="DQ92" t="e">
        <f>AND('Reg Types'!#REF!,"AAAAAHffnng=")</f>
        <v>#REF!</v>
      </c>
      <c r="DR92" t="e">
        <f>AND('Reg Types'!#REF!,"AAAAAHffnnk=")</f>
        <v>#REF!</v>
      </c>
      <c r="DS92" t="e">
        <f>AND('Reg Types'!#REF!,"AAAAAHffnno=")</f>
        <v>#REF!</v>
      </c>
      <c r="DT92" t="e">
        <f>AND('Reg Types'!#REF!,"AAAAAHffnns=")</f>
        <v>#REF!</v>
      </c>
      <c r="DU92" t="e">
        <f>AND('Reg Types'!#REF!,"AAAAAHffnnw=")</f>
        <v>#REF!</v>
      </c>
      <c r="DV92" t="e">
        <f>AND('Reg Types'!#REF!,"AAAAAHffnn0=")</f>
        <v>#REF!</v>
      </c>
      <c r="DW92" t="e">
        <f>AND('Reg Types'!#REF!,"AAAAAHffnn4=")</f>
        <v>#REF!</v>
      </c>
      <c r="DX92" t="e">
        <f>AND('Reg Types'!#REF!,"AAAAAHffnn8=")</f>
        <v>#REF!</v>
      </c>
      <c r="DY92" t="e">
        <f>AND('Reg Types'!#REF!,"AAAAAHffnoA=")</f>
        <v>#REF!</v>
      </c>
      <c r="DZ92" t="e">
        <f>AND('Reg Types'!#REF!,"AAAAAHffnoE=")</f>
        <v>#REF!</v>
      </c>
      <c r="EA92" t="e">
        <f>AND('Reg Types'!#REF!,"AAAAAHffnoI=")</f>
        <v>#REF!</v>
      </c>
      <c r="EB92" t="e">
        <f>IF('Reg Types'!#REF!,"AAAAAHffnoM=",0)</f>
        <v>#REF!</v>
      </c>
      <c r="EC92" t="e">
        <f>AND('Reg Types'!#REF!,"AAAAAHffnoQ=")</f>
        <v>#REF!</v>
      </c>
      <c r="ED92" t="e">
        <f>AND('Reg Types'!#REF!,"AAAAAHffnoU=")</f>
        <v>#REF!</v>
      </c>
      <c r="EE92" t="e">
        <f>AND('Reg Types'!#REF!,"AAAAAHffnoY=")</f>
        <v>#REF!</v>
      </c>
      <c r="EF92" t="e">
        <f>AND('Reg Types'!#REF!,"AAAAAHffnoc=")</f>
        <v>#REF!</v>
      </c>
      <c r="EG92" t="e">
        <f>AND('Reg Types'!#REF!,"AAAAAHffnog=")</f>
        <v>#REF!</v>
      </c>
      <c r="EH92" t="e">
        <f>AND('Reg Types'!#REF!,"AAAAAHffnok=")</f>
        <v>#REF!</v>
      </c>
      <c r="EI92" t="e">
        <f>AND('Reg Types'!#REF!,"AAAAAHffnoo=")</f>
        <v>#REF!</v>
      </c>
      <c r="EJ92" t="e">
        <f>AND('Reg Types'!#REF!,"AAAAAHffnos=")</f>
        <v>#REF!</v>
      </c>
      <c r="EK92" t="e">
        <f>AND('Reg Types'!#REF!,"AAAAAHffnow=")</f>
        <v>#REF!</v>
      </c>
      <c r="EL92" t="e">
        <f>AND('Reg Types'!#REF!,"AAAAAHffno0=")</f>
        <v>#REF!</v>
      </c>
      <c r="EM92" t="e">
        <f>AND('Reg Types'!#REF!,"AAAAAHffno4=")</f>
        <v>#REF!</v>
      </c>
      <c r="EN92" t="e">
        <f>AND('Reg Types'!#REF!,"AAAAAHffno8=")</f>
        <v>#REF!</v>
      </c>
      <c r="EO92" t="e">
        <f>AND('Reg Types'!#REF!,"AAAAAHffnpA=")</f>
        <v>#REF!</v>
      </c>
      <c r="EP92" t="e">
        <f>AND('Reg Types'!#REF!,"AAAAAHffnpE=")</f>
        <v>#REF!</v>
      </c>
      <c r="EQ92" t="e">
        <f>AND('Reg Types'!#REF!,"AAAAAHffnpI=")</f>
        <v>#REF!</v>
      </c>
      <c r="ER92" t="e">
        <f>AND('Reg Types'!#REF!,"AAAAAHffnpM=")</f>
        <v>#REF!</v>
      </c>
      <c r="ES92" t="e">
        <f>AND('Reg Types'!#REF!,"AAAAAHffnpQ=")</f>
        <v>#REF!</v>
      </c>
      <c r="ET92" t="e">
        <f>AND('Reg Types'!#REF!,"AAAAAHffnpU=")</f>
        <v>#REF!</v>
      </c>
      <c r="EU92" t="e">
        <f>AND('Reg Types'!#REF!,"AAAAAHffnpY=")</f>
        <v>#REF!</v>
      </c>
      <c r="EV92" t="e">
        <f>AND('Reg Types'!#REF!,"AAAAAHffnpc=")</f>
        <v>#REF!</v>
      </c>
      <c r="EW92" t="e">
        <f>AND('Reg Types'!#REF!,"AAAAAHffnpg=")</f>
        <v>#REF!</v>
      </c>
      <c r="EX92" t="e">
        <f>AND('Reg Types'!#REF!,"AAAAAHffnpk=")</f>
        <v>#REF!</v>
      </c>
      <c r="EY92" t="e">
        <f>AND('Reg Types'!#REF!,"AAAAAHffnpo=")</f>
        <v>#REF!</v>
      </c>
      <c r="EZ92" t="e">
        <f>IF('Reg Types'!#REF!,"AAAAAHffnps=",0)</f>
        <v>#REF!</v>
      </c>
      <c r="FA92" t="e">
        <f>AND('Reg Types'!#REF!,"AAAAAHffnpw=")</f>
        <v>#REF!</v>
      </c>
      <c r="FB92" t="e">
        <f>AND('Reg Types'!#REF!,"AAAAAHffnp0=")</f>
        <v>#REF!</v>
      </c>
      <c r="FC92" t="e">
        <f>AND('Reg Types'!#REF!,"AAAAAHffnp4=")</f>
        <v>#REF!</v>
      </c>
      <c r="FD92" t="e">
        <f>AND('Reg Types'!#REF!,"AAAAAHffnp8=")</f>
        <v>#REF!</v>
      </c>
      <c r="FE92" t="e">
        <f>AND('Reg Types'!#REF!,"AAAAAHffnqA=")</f>
        <v>#REF!</v>
      </c>
      <c r="FF92" t="e">
        <f>AND('Reg Types'!#REF!,"AAAAAHffnqE=")</f>
        <v>#REF!</v>
      </c>
      <c r="FG92" t="e">
        <f>AND('Reg Types'!#REF!,"AAAAAHffnqI=")</f>
        <v>#REF!</v>
      </c>
      <c r="FH92" t="e">
        <f>AND('Reg Types'!#REF!,"AAAAAHffnqM=")</f>
        <v>#REF!</v>
      </c>
      <c r="FI92" t="e">
        <f>AND('Reg Types'!#REF!,"AAAAAHffnqQ=")</f>
        <v>#REF!</v>
      </c>
      <c r="FJ92" t="e">
        <f>AND('Reg Types'!#REF!,"AAAAAHffnqU=")</f>
        <v>#REF!</v>
      </c>
      <c r="FK92" t="e">
        <f>AND('Reg Types'!#REF!,"AAAAAHffnqY=")</f>
        <v>#REF!</v>
      </c>
      <c r="FL92" t="e">
        <f>AND('Reg Types'!#REF!,"AAAAAHffnqc=")</f>
        <v>#REF!</v>
      </c>
      <c r="FM92" t="e">
        <f>AND('Reg Types'!#REF!,"AAAAAHffnqg=")</f>
        <v>#REF!</v>
      </c>
      <c r="FN92" t="e">
        <f>AND('Reg Types'!#REF!,"AAAAAHffnqk=")</f>
        <v>#REF!</v>
      </c>
      <c r="FO92" t="e">
        <f>AND('Reg Types'!#REF!,"AAAAAHffnqo=")</f>
        <v>#REF!</v>
      </c>
      <c r="FP92" t="e">
        <f>AND('Reg Types'!#REF!,"AAAAAHffnqs=")</f>
        <v>#REF!</v>
      </c>
      <c r="FQ92" t="e">
        <f>AND('Reg Types'!#REF!,"AAAAAHffnqw=")</f>
        <v>#REF!</v>
      </c>
      <c r="FR92" t="e">
        <f>AND('Reg Types'!#REF!,"AAAAAHffnq0=")</f>
        <v>#REF!</v>
      </c>
      <c r="FS92" t="e">
        <f>AND('Reg Types'!#REF!,"AAAAAHffnq4=")</f>
        <v>#REF!</v>
      </c>
      <c r="FT92" t="e">
        <f>AND('Reg Types'!#REF!,"AAAAAHffnq8=")</f>
        <v>#REF!</v>
      </c>
      <c r="FU92" t="e">
        <f>AND('Reg Types'!#REF!,"AAAAAHffnrA=")</f>
        <v>#REF!</v>
      </c>
      <c r="FV92" t="e">
        <f>AND('Reg Types'!#REF!,"AAAAAHffnrE=")</f>
        <v>#REF!</v>
      </c>
      <c r="FW92" t="e">
        <f>AND('Reg Types'!#REF!,"AAAAAHffnrI=")</f>
        <v>#REF!</v>
      </c>
      <c r="FX92" t="e">
        <f>IF('Reg Types'!#REF!,"AAAAAHffnrM=",0)</f>
        <v>#REF!</v>
      </c>
      <c r="FY92" t="e">
        <f>AND('Reg Types'!#REF!,"AAAAAHffnrQ=")</f>
        <v>#REF!</v>
      </c>
      <c r="FZ92" t="e">
        <f>AND('Reg Types'!#REF!,"AAAAAHffnrU=")</f>
        <v>#REF!</v>
      </c>
      <c r="GA92" t="e">
        <f>AND('Reg Types'!#REF!,"AAAAAHffnrY=")</f>
        <v>#REF!</v>
      </c>
      <c r="GB92" t="e">
        <f>AND('Reg Types'!#REF!,"AAAAAHffnrc=")</f>
        <v>#REF!</v>
      </c>
      <c r="GC92" t="e">
        <f>AND('Reg Types'!#REF!,"AAAAAHffnrg=")</f>
        <v>#REF!</v>
      </c>
      <c r="GD92" t="e">
        <f>AND('Reg Types'!#REF!,"AAAAAHffnrk=")</f>
        <v>#REF!</v>
      </c>
      <c r="GE92" t="e">
        <f>AND('Reg Types'!#REF!,"AAAAAHffnro=")</f>
        <v>#REF!</v>
      </c>
      <c r="GF92" t="e">
        <f>AND('Reg Types'!#REF!,"AAAAAHffnrs=")</f>
        <v>#REF!</v>
      </c>
      <c r="GG92" t="e">
        <f>AND('Reg Types'!#REF!,"AAAAAHffnrw=")</f>
        <v>#REF!</v>
      </c>
      <c r="GH92" t="e">
        <f>AND('Reg Types'!#REF!,"AAAAAHffnr0=")</f>
        <v>#REF!</v>
      </c>
      <c r="GI92" t="e">
        <f>AND('Reg Types'!#REF!,"AAAAAHffnr4=")</f>
        <v>#REF!</v>
      </c>
      <c r="GJ92" t="e">
        <f>AND('Reg Types'!#REF!,"AAAAAHffnr8=")</f>
        <v>#REF!</v>
      </c>
      <c r="GK92" t="e">
        <f>AND('Reg Types'!#REF!,"AAAAAHffnsA=")</f>
        <v>#REF!</v>
      </c>
      <c r="GL92" t="e">
        <f>AND('Reg Types'!#REF!,"AAAAAHffnsE=")</f>
        <v>#REF!</v>
      </c>
      <c r="GM92" t="e">
        <f>AND('Reg Types'!#REF!,"AAAAAHffnsI=")</f>
        <v>#REF!</v>
      </c>
      <c r="GN92" t="e">
        <f>AND('Reg Types'!#REF!,"AAAAAHffnsM=")</f>
        <v>#REF!</v>
      </c>
      <c r="GO92" t="e">
        <f>AND('Reg Types'!#REF!,"AAAAAHffnsQ=")</f>
        <v>#REF!</v>
      </c>
      <c r="GP92" t="e">
        <f>AND('Reg Types'!#REF!,"AAAAAHffnsU=")</f>
        <v>#REF!</v>
      </c>
      <c r="GQ92" t="e">
        <f>AND('Reg Types'!#REF!,"AAAAAHffnsY=")</f>
        <v>#REF!</v>
      </c>
      <c r="GR92" t="e">
        <f>AND('Reg Types'!#REF!,"AAAAAHffnsc=")</f>
        <v>#REF!</v>
      </c>
      <c r="GS92" t="e">
        <f>AND('Reg Types'!#REF!,"AAAAAHffnsg=")</f>
        <v>#REF!</v>
      </c>
      <c r="GT92" t="e">
        <f>AND('Reg Types'!#REF!,"AAAAAHffnsk=")</f>
        <v>#REF!</v>
      </c>
      <c r="GU92" t="e">
        <f>AND('Reg Types'!#REF!,"AAAAAHffnso=")</f>
        <v>#REF!</v>
      </c>
      <c r="GV92" t="e">
        <f>IF('Reg Types'!#REF!,"AAAAAHffnss=",0)</f>
        <v>#REF!</v>
      </c>
      <c r="GW92" t="e">
        <f>AND('Reg Types'!#REF!,"AAAAAHffnsw=")</f>
        <v>#REF!</v>
      </c>
      <c r="GX92" t="e">
        <f>AND('Reg Types'!#REF!,"AAAAAHffns0=")</f>
        <v>#REF!</v>
      </c>
      <c r="GY92" t="e">
        <f>AND('Reg Types'!#REF!,"AAAAAHffns4=")</f>
        <v>#REF!</v>
      </c>
      <c r="GZ92" t="e">
        <f>AND('Reg Types'!#REF!,"AAAAAHffns8=")</f>
        <v>#REF!</v>
      </c>
      <c r="HA92" t="e">
        <f>AND('Reg Types'!#REF!,"AAAAAHffntA=")</f>
        <v>#REF!</v>
      </c>
      <c r="HB92" t="e">
        <f>AND('Reg Types'!#REF!,"AAAAAHffntE=")</f>
        <v>#REF!</v>
      </c>
      <c r="HC92" t="e">
        <f>AND('Reg Types'!#REF!,"AAAAAHffntI=")</f>
        <v>#REF!</v>
      </c>
      <c r="HD92" t="e">
        <f>AND('Reg Types'!#REF!,"AAAAAHffntM=")</f>
        <v>#REF!</v>
      </c>
      <c r="HE92" t="e">
        <f>AND('Reg Types'!#REF!,"AAAAAHffntQ=")</f>
        <v>#REF!</v>
      </c>
      <c r="HF92" t="e">
        <f>AND('Reg Types'!#REF!,"AAAAAHffntU=")</f>
        <v>#REF!</v>
      </c>
      <c r="HG92" t="e">
        <f>AND('Reg Types'!#REF!,"AAAAAHffntY=")</f>
        <v>#REF!</v>
      </c>
      <c r="HH92" t="e">
        <f>AND('Reg Types'!#REF!,"AAAAAHffntc=")</f>
        <v>#REF!</v>
      </c>
      <c r="HI92" t="e">
        <f>AND('Reg Types'!#REF!,"AAAAAHffntg=")</f>
        <v>#REF!</v>
      </c>
      <c r="HJ92" t="e">
        <f>AND('Reg Types'!#REF!,"AAAAAHffntk=")</f>
        <v>#REF!</v>
      </c>
      <c r="HK92" t="e">
        <f>AND('Reg Types'!#REF!,"AAAAAHffnto=")</f>
        <v>#REF!</v>
      </c>
      <c r="HL92" t="e">
        <f>AND('Reg Types'!#REF!,"AAAAAHffnts=")</f>
        <v>#REF!</v>
      </c>
      <c r="HM92" t="e">
        <f>AND('Reg Types'!#REF!,"AAAAAHffntw=")</f>
        <v>#REF!</v>
      </c>
      <c r="HN92" t="e">
        <f>AND('Reg Types'!#REF!,"AAAAAHffnt0=")</f>
        <v>#REF!</v>
      </c>
      <c r="HO92" t="e">
        <f>AND('Reg Types'!#REF!,"AAAAAHffnt4=")</f>
        <v>#REF!</v>
      </c>
      <c r="HP92" t="e">
        <f>AND('Reg Types'!#REF!,"AAAAAHffnt8=")</f>
        <v>#REF!</v>
      </c>
      <c r="HQ92" t="e">
        <f>AND('Reg Types'!#REF!,"AAAAAHffnuA=")</f>
        <v>#REF!</v>
      </c>
      <c r="HR92" t="e">
        <f>AND('Reg Types'!#REF!,"AAAAAHffnuE=")</f>
        <v>#REF!</v>
      </c>
      <c r="HS92" t="e">
        <f>AND('Reg Types'!#REF!,"AAAAAHffnuI=")</f>
        <v>#REF!</v>
      </c>
      <c r="HT92" t="e">
        <f>IF('Reg Types'!#REF!,"AAAAAHffnuM=",0)</f>
        <v>#REF!</v>
      </c>
      <c r="HU92" t="e">
        <f>AND('Reg Types'!#REF!,"AAAAAHffnuQ=")</f>
        <v>#REF!</v>
      </c>
      <c r="HV92" t="e">
        <f>AND('Reg Types'!#REF!,"AAAAAHffnuU=")</f>
        <v>#REF!</v>
      </c>
      <c r="HW92" t="e">
        <f>AND('Reg Types'!#REF!,"AAAAAHffnuY=")</f>
        <v>#REF!</v>
      </c>
      <c r="HX92" t="e">
        <f>AND('Reg Types'!#REF!,"AAAAAHffnuc=")</f>
        <v>#REF!</v>
      </c>
      <c r="HY92" t="e">
        <f>AND('Reg Types'!#REF!,"AAAAAHffnug=")</f>
        <v>#REF!</v>
      </c>
      <c r="HZ92" t="e">
        <f>AND('Reg Types'!#REF!,"AAAAAHffnuk=")</f>
        <v>#REF!</v>
      </c>
      <c r="IA92" t="e">
        <f>AND('Reg Types'!#REF!,"AAAAAHffnuo=")</f>
        <v>#REF!</v>
      </c>
      <c r="IB92" t="e">
        <f>AND('Reg Types'!#REF!,"AAAAAHffnus=")</f>
        <v>#REF!</v>
      </c>
      <c r="IC92" t="e">
        <f>AND('Reg Types'!#REF!,"AAAAAHffnuw=")</f>
        <v>#REF!</v>
      </c>
      <c r="ID92" t="e">
        <f>AND('Reg Types'!#REF!,"AAAAAHffnu0=")</f>
        <v>#REF!</v>
      </c>
      <c r="IE92" t="e">
        <f>AND('Reg Types'!#REF!,"AAAAAHffnu4=")</f>
        <v>#REF!</v>
      </c>
      <c r="IF92" t="e">
        <f>AND('Reg Types'!#REF!,"AAAAAHffnu8=")</f>
        <v>#REF!</v>
      </c>
      <c r="IG92" t="e">
        <f>AND('Reg Types'!#REF!,"AAAAAHffnvA=")</f>
        <v>#REF!</v>
      </c>
      <c r="IH92" t="e">
        <f>AND('Reg Types'!#REF!,"AAAAAHffnvE=")</f>
        <v>#REF!</v>
      </c>
      <c r="II92" t="e">
        <f>AND('Reg Types'!#REF!,"AAAAAHffnvI=")</f>
        <v>#REF!</v>
      </c>
      <c r="IJ92" t="e">
        <f>AND('Reg Types'!#REF!,"AAAAAHffnvM=")</f>
        <v>#REF!</v>
      </c>
      <c r="IK92" t="e">
        <f>AND('Reg Types'!#REF!,"AAAAAHffnvQ=")</f>
        <v>#REF!</v>
      </c>
      <c r="IL92" t="e">
        <f>AND('Reg Types'!#REF!,"AAAAAHffnvU=")</f>
        <v>#REF!</v>
      </c>
      <c r="IM92" t="e">
        <f>AND('Reg Types'!#REF!,"AAAAAHffnvY=")</f>
        <v>#REF!</v>
      </c>
      <c r="IN92" t="e">
        <f>AND('Reg Types'!#REF!,"AAAAAHffnvc=")</f>
        <v>#REF!</v>
      </c>
      <c r="IO92" t="e">
        <f>AND('Reg Types'!#REF!,"AAAAAHffnvg=")</f>
        <v>#REF!</v>
      </c>
      <c r="IP92" t="e">
        <f>AND('Reg Types'!#REF!,"AAAAAHffnvk=")</f>
        <v>#REF!</v>
      </c>
      <c r="IQ92" t="e">
        <f>AND('Reg Types'!#REF!,"AAAAAHffnvo=")</f>
        <v>#REF!</v>
      </c>
      <c r="IR92" t="e">
        <f>IF('Reg Types'!#REF!,"AAAAAHffnvs=",0)</f>
        <v>#REF!</v>
      </c>
      <c r="IS92" t="e">
        <f>AND('Reg Types'!#REF!,"AAAAAHffnvw=")</f>
        <v>#REF!</v>
      </c>
      <c r="IT92" t="e">
        <f>AND('Reg Types'!#REF!,"AAAAAHffnv0=")</f>
        <v>#REF!</v>
      </c>
      <c r="IU92" t="e">
        <f>AND('Reg Types'!#REF!,"AAAAAHffnv4=")</f>
        <v>#REF!</v>
      </c>
      <c r="IV92" t="e">
        <f>AND('Reg Types'!#REF!,"AAAAAHffnv8=")</f>
        <v>#REF!</v>
      </c>
    </row>
    <row r="93" spans="1:256" x14ac:dyDescent="0.2">
      <c r="A93" t="e">
        <f>AND('Reg Types'!#REF!,"AAAAAHXz3AA=")</f>
        <v>#REF!</v>
      </c>
      <c r="B93" t="e">
        <f>AND('Reg Types'!#REF!,"AAAAAHXz3AE=")</f>
        <v>#REF!</v>
      </c>
      <c r="C93" t="e">
        <f>AND('Reg Types'!#REF!,"AAAAAHXz3AI=")</f>
        <v>#REF!</v>
      </c>
      <c r="D93" t="e">
        <f>AND('Reg Types'!#REF!,"AAAAAHXz3AM=")</f>
        <v>#REF!</v>
      </c>
      <c r="E93" t="e">
        <f>AND('Reg Types'!#REF!,"AAAAAHXz3AQ=")</f>
        <v>#REF!</v>
      </c>
      <c r="F93" t="e">
        <f>AND('Reg Types'!#REF!,"AAAAAHXz3AU=")</f>
        <v>#REF!</v>
      </c>
      <c r="G93" t="e">
        <f>AND('Reg Types'!#REF!,"AAAAAHXz3AY=")</f>
        <v>#REF!</v>
      </c>
      <c r="H93" t="e">
        <f>AND('Reg Types'!#REF!,"AAAAAHXz3Ac=")</f>
        <v>#REF!</v>
      </c>
      <c r="I93" t="e">
        <f>AND('Reg Types'!#REF!,"AAAAAHXz3Ag=")</f>
        <v>#REF!</v>
      </c>
      <c r="J93" t="e">
        <f>AND('Reg Types'!#REF!,"AAAAAHXz3Ak=")</f>
        <v>#REF!</v>
      </c>
      <c r="K93" t="e">
        <f>AND('Reg Types'!#REF!,"AAAAAHXz3Ao=")</f>
        <v>#REF!</v>
      </c>
      <c r="L93" t="e">
        <f>AND('Reg Types'!#REF!,"AAAAAHXz3As=")</f>
        <v>#REF!</v>
      </c>
      <c r="M93" t="e">
        <f>AND('Reg Types'!#REF!,"AAAAAHXz3Aw=")</f>
        <v>#REF!</v>
      </c>
      <c r="N93" t="e">
        <f>AND('Reg Types'!#REF!,"AAAAAHXz3A0=")</f>
        <v>#REF!</v>
      </c>
      <c r="O93" t="e">
        <f>AND('Reg Types'!#REF!,"AAAAAHXz3A4=")</f>
        <v>#REF!</v>
      </c>
      <c r="P93" t="e">
        <f>AND('Reg Types'!#REF!,"AAAAAHXz3A8=")</f>
        <v>#REF!</v>
      </c>
      <c r="Q93" t="e">
        <f>AND('Reg Types'!#REF!,"AAAAAHXz3BA=")</f>
        <v>#REF!</v>
      </c>
      <c r="R93" t="e">
        <f>AND('Reg Types'!#REF!,"AAAAAHXz3BE=")</f>
        <v>#REF!</v>
      </c>
      <c r="S93" t="e">
        <f>AND('Reg Types'!#REF!,"AAAAAHXz3BI=")</f>
        <v>#REF!</v>
      </c>
      <c r="T93" t="e">
        <f>IF('Reg Types'!#REF!,"AAAAAHXz3BM=",0)</f>
        <v>#REF!</v>
      </c>
      <c r="U93" t="e">
        <f>AND('Reg Types'!#REF!,"AAAAAHXz3BQ=")</f>
        <v>#REF!</v>
      </c>
      <c r="V93" t="e">
        <f>AND('Reg Types'!#REF!,"AAAAAHXz3BU=")</f>
        <v>#REF!</v>
      </c>
      <c r="W93" t="e">
        <f>AND('Reg Types'!#REF!,"AAAAAHXz3BY=")</f>
        <v>#REF!</v>
      </c>
      <c r="X93" t="e">
        <f>AND('Reg Types'!#REF!,"AAAAAHXz3Bc=")</f>
        <v>#REF!</v>
      </c>
      <c r="Y93" t="e">
        <f>AND('Reg Types'!#REF!,"AAAAAHXz3Bg=")</f>
        <v>#REF!</v>
      </c>
      <c r="Z93" t="e">
        <f>AND('Reg Types'!#REF!,"AAAAAHXz3Bk=")</f>
        <v>#REF!</v>
      </c>
      <c r="AA93" t="e">
        <f>AND('Reg Types'!#REF!,"AAAAAHXz3Bo=")</f>
        <v>#REF!</v>
      </c>
      <c r="AB93" t="e">
        <f>AND('Reg Types'!#REF!,"AAAAAHXz3Bs=")</f>
        <v>#REF!</v>
      </c>
      <c r="AC93" t="e">
        <f>AND('Reg Types'!#REF!,"AAAAAHXz3Bw=")</f>
        <v>#REF!</v>
      </c>
      <c r="AD93" t="e">
        <f>AND('Reg Types'!#REF!,"AAAAAHXz3B0=")</f>
        <v>#REF!</v>
      </c>
      <c r="AE93" t="e">
        <f>AND('Reg Types'!#REF!,"AAAAAHXz3B4=")</f>
        <v>#REF!</v>
      </c>
      <c r="AF93" t="e">
        <f>AND('Reg Types'!#REF!,"AAAAAHXz3B8=")</f>
        <v>#REF!</v>
      </c>
      <c r="AG93" t="e">
        <f>AND('Reg Types'!#REF!,"AAAAAHXz3CA=")</f>
        <v>#REF!</v>
      </c>
      <c r="AH93" t="e">
        <f>AND('Reg Types'!#REF!,"AAAAAHXz3CE=")</f>
        <v>#REF!</v>
      </c>
      <c r="AI93" t="e">
        <f>AND('Reg Types'!#REF!,"AAAAAHXz3CI=")</f>
        <v>#REF!</v>
      </c>
      <c r="AJ93" t="e">
        <f>AND('Reg Types'!#REF!,"AAAAAHXz3CM=")</f>
        <v>#REF!</v>
      </c>
      <c r="AK93" t="e">
        <f>AND('Reg Types'!#REF!,"AAAAAHXz3CQ=")</f>
        <v>#REF!</v>
      </c>
      <c r="AL93" t="e">
        <f>AND('Reg Types'!#REF!,"AAAAAHXz3CU=")</f>
        <v>#REF!</v>
      </c>
      <c r="AM93" t="e">
        <f>AND('Reg Types'!#REF!,"AAAAAHXz3CY=")</f>
        <v>#REF!</v>
      </c>
      <c r="AN93" t="e">
        <f>AND('Reg Types'!#REF!,"AAAAAHXz3Cc=")</f>
        <v>#REF!</v>
      </c>
      <c r="AO93" t="e">
        <f>AND('Reg Types'!#REF!,"AAAAAHXz3Cg=")</f>
        <v>#REF!</v>
      </c>
      <c r="AP93" t="e">
        <f>AND('Reg Types'!#REF!,"AAAAAHXz3Ck=")</f>
        <v>#REF!</v>
      </c>
      <c r="AQ93" t="e">
        <f>AND('Reg Types'!#REF!,"AAAAAHXz3Co=")</f>
        <v>#REF!</v>
      </c>
      <c r="AR93" t="e">
        <f>IF('Reg Types'!#REF!,"AAAAAHXz3Cs=",0)</f>
        <v>#REF!</v>
      </c>
      <c r="AS93" t="e">
        <f>AND('Reg Types'!#REF!,"AAAAAHXz3Cw=")</f>
        <v>#REF!</v>
      </c>
      <c r="AT93" t="e">
        <f>AND('Reg Types'!#REF!,"AAAAAHXz3C0=")</f>
        <v>#REF!</v>
      </c>
      <c r="AU93" t="e">
        <f>AND('Reg Types'!#REF!,"AAAAAHXz3C4=")</f>
        <v>#REF!</v>
      </c>
      <c r="AV93" t="e">
        <f>AND('Reg Types'!#REF!,"AAAAAHXz3C8=")</f>
        <v>#REF!</v>
      </c>
      <c r="AW93" t="e">
        <f>AND('Reg Types'!#REF!,"AAAAAHXz3DA=")</f>
        <v>#REF!</v>
      </c>
      <c r="AX93" t="e">
        <f>AND('Reg Types'!#REF!,"AAAAAHXz3DE=")</f>
        <v>#REF!</v>
      </c>
      <c r="AY93" t="e">
        <f>AND('Reg Types'!#REF!,"AAAAAHXz3DI=")</f>
        <v>#REF!</v>
      </c>
      <c r="AZ93" t="e">
        <f>AND('Reg Types'!#REF!,"AAAAAHXz3DM=")</f>
        <v>#REF!</v>
      </c>
      <c r="BA93" t="e">
        <f>AND('Reg Types'!#REF!,"AAAAAHXz3DQ=")</f>
        <v>#REF!</v>
      </c>
      <c r="BB93" t="e">
        <f>AND('Reg Types'!#REF!,"AAAAAHXz3DU=")</f>
        <v>#REF!</v>
      </c>
      <c r="BC93" t="e">
        <f>AND('Reg Types'!#REF!,"AAAAAHXz3DY=")</f>
        <v>#REF!</v>
      </c>
      <c r="BD93" t="e">
        <f>AND('Reg Types'!#REF!,"AAAAAHXz3Dc=")</f>
        <v>#REF!</v>
      </c>
      <c r="BE93" t="e">
        <f>AND('Reg Types'!#REF!,"AAAAAHXz3Dg=")</f>
        <v>#REF!</v>
      </c>
      <c r="BF93" t="e">
        <f>AND('Reg Types'!#REF!,"AAAAAHXz3Dk=")</f>
        <v>#REF!</v>
      </c>
      <c r="BG93" t="e">
        <f>AND('Reg Types'!#REF!,"AAAAAHXz3Do=")</f>
        <v>#REF!</v>
      </c>
      <c r="BH93" t="e">
        <f>AND('Reg Types'!#REF!,"AAAAAHXz3Ds=")</f>
        <v>#REF!</v>
      </c>
      <c r="BI93" t="e">
        <f>AND('Reg Types'!#REF!,"AAAAAHXz3Dw=")</f>
        <v>#REF!</v>
      </c>
      <c r="BJ93" t="e">
        <f>AND('Reg Types'!#REF!,"AAAAAHXz3D0=")</f>
        <v>#REF!</v>
      </c>
      <c r="BK93" t="e">
        <f>AND('Reg Types'!#REF!,"AAAAAHXz3D4=")</f>
        <v>#REF!</v>
      </c>
      <c r="BL93" t="e">
        <f>AND('Reg Types'!#REF!,"AAAAAHXz3D8=")</f>
        <v>#REF!</v>
      </c>
      <c r="BM93" t="e">
        <f>AND('Reg Types'!#REF!,"AAAAAHXz3EA=")</f>
        <v>#REF!</v>
      </c>
      <c r="BN93" t="e">
        <f>AND('Reg Types'!#REF!,"AAAAAHXz3EE=")</f>
        <v>#REF!</v>
      </c>
      <c r="BO93" t="e">
        <f>AND('Reg Types'!#REF!,"AAAAAHXz3EI=")</f>
        <v>#REF!</v>
      </c>
      <c r="BP93" t="e">
        <f>IF('Reg Types'!#REF!,"AAAAAHXz3EM=",0)</f>
        <v>#REF!</v>
      </c>
      <c r="BQ93" t="e">
        <f>AND('Reg Types'!#REF!,"AAAAAHXz3EQ=")</f>
        <v>#REF!</v>
      </c>
      <c r="BR93" t="e">
        <f>AND('Reg Types'!#REF!,"AAAAAHXz3EU=")</f>
        <v>#REF!</v>
      </c>
      <c r="BS93" t="e">
        <f>AND('Reg Types'!#REF!,"AAAAAHXz3EY=")</f>
        <v>#REF!</v>
      </c>
      <c r="BT93" t="e">
        <f>AND('Reg Types'!#REF!,"AAAAAHXz3Ec=")</f>
        <v>#REF!</v>
      </c>
      <c r="BU93" t="e">
        <f>AND('Reg Types'!#REF!,"AAAAAHXz3Eg=")</f>
        <v>#REF!</v>
      </c>
      <c r="BV93" t="e">
        <f>AND('Reg Types'!#REF!,"AAAAAHXz3Ek=")</f>
        <v>#REF!</v>
      </c>
      <c r="BW93" t="e">
        <f>AND('Reg Types'!#REF!,"AAAAAHXz3Eo=")</f>
        <v>#REF!</v>
      </c>
      <c r="BX93" t="e">
        <f>AND('Reg Types'!#REF!,"AAAAAHXz3Es=")</f>
        <v>#REF!</v>
      </c>
      <c r="BY93" t="e">
        <f>AND('Reg Types'!#REF!,"AAAAAHXz3Ew=")</f>
        <v>#REF!</v>
      </c>
      <c r="BZ93" t="e">
        <f>AND('Reg Types'!#REF!,"AAAAAHXz3E0=")</f>
        <v>#REF!</v>
      </c>
      <c r="CA93" t="e">
        <f>AND('Reg Types'!#REF!,"AAAAAHXz3E4=")</f>
        <v>#REF!</v>
      </c>
      <c r="CB93" t="e">
        <f>AND('Reg Types'!#REF!,"AAAAAHXz3E8=")</f>
        <v>#REF!</v>
      </c>
      <c r="CC93" t="e">
        <f>AND('Reg Types'!#REF!,"AAAAAHXz3FA=")</f>
        <v>#REF!</v>
      </c>
      <c r="CD93" t="e">
        <f>AND('Reg Types'!#REF!,"AAAAAHXz3FE=")</f>
        <v>#REF!</v>
      </c>
      <c r="CE93" t="e">
        <f>AND('Reg Types'!#REF!,"AAAAAHXz3FI=")</f>
        <v>#REF!</v>
      </c>
      <c r="CF93" t="e">
        <f>AND('Reg Types'!#REF!,"AAAAAHXz3FM=")</f>
        <v>#REF!</v>
      </c>
      <c r="CG93" t="e">
        <f>AND('Reg Types'!#REF!,"AAAAAHXz3FQ=")</f>
        <v>#REF!</v>
      </c>
      <c r="CH93" t="e">
        <f>AND('Reg Types'!#REF!,"AAAAAHXz3FU=")</f>
        <v>#REF!</v>
      </c>
      <c r="CI93" t="e">
        <f>AND('Reg Types'!#REF!,"AAAAAHXz3FY=")</f>
        <v>#REF!</v>
      </c>
      <c r="CJ93" t="e">
        <f>AND('Reg Types'!#REF!,"AAAAAHXz3Fc=")</f>
        <v>#REF!</v>
      </c>
      <c r="CK93" t="e">
        <f>AND('Reg Types'!#REF!,"AAAAAHXz3Fg=")</f>
        <v>#REF!</v>
      </c>
      <c r="CL93" t="e">
        <f>AND('Reg Types'!#REF!,"AAAAAHXz3Fk=")</f>
        <v>#REF!</v>
      </c>
      <c r="CM93" t="e">
        <f>AND('Reg Types'!#REF!,"AAAAAHXz3Fo=")</f>
        <v>#REF!</v>
      </c>
      <c r="CN93" t="e">
        <f>IF('Reg Types'!#REF!,"AAAAAHXz3Fs=",0)</f>
        <v>#REF!</v>
      </c>
      <c r="CO93" t="e">
        <f>AND('Reg Types'!#REF!,"AAAAAHXz3Fw=")</f>
        <v>#REF!</v>
      </c>
      <c r="CP93" t="e">
        <f>AND('Reg Types'!#REF!,"AAAAAHXz3F0=")</f>
        <v>#REF!</v>
      </c>
      <c r="CQ93" t="e">
        <f>AND('Reg Types'!#REF!,"AAAAAHXz3F4=")</f>
        <v>#REF!</v>
      </c>
      <c r="CR93" t="e">
        <f>AND('Reg Types'!#REF!,"AAAAAHXz3F8=")</f>
        <v>#REF!</v>
      </c>
      <c r="CS93" t="e">
        <f>AND('Reg Types'!#REF!,"AAAAAHXz3GA=")</f>
        <v>#REF!</v>
      </c>
      <c r="CT93" t="e">
        <f>AND('Reg Types'!#REF!,"AAAAAHXz3GE=")</f>
        <v>#REF!</v>
      </c>
      <c r="CU93" t="e">
        <f>AND('Reg Types'!#REF!,"AAAAAHXz3GI=")</f>
        <v>#REF!</v>
      </c>
      <c r="CV93" t="e">
        <f>AND('Reg Types'!#REF!,"AAAAAHXz3GM=")</f>
        <v>#REF!</v>
      </c>
      <c r="CW93" t="e">
        <f>AND('Reg Types'!#REF!,"AAAAAHXz3GQ=")</f>
        <v>#REF!</v>
      </c>
      <c r="CX93" t="e">
        <f>AND('Reg Types'!#REF!,"AAAAAHXz3GU=")</f>
        <v>#REF!</v>
      </c>
      <c r="CY93" t="e">
        <f>AND('Reg Types'!#REF!,"AAAAAHXz3GY=")</f>
        <v>#REF!</v>
      </c>
      <c r="CZ93" t="e">
        <f>AND('Reg Types'!#REF!,"AAAAAHXz3Gc=")</f>
        <v>#REF!</v>
      </c>
      <c r="DA93" t="e">
        <f>AND('Reg Types'!#REF!,"AAAAAHXz3Gg=")</f>
        <v>#REF!</v>
      </c>
      <c r="DB93" t="e">
        <f>AND('Reg Types'!#REF!,"AAAAAHXz3Gk=")</f>
        <v>#REF!</v>
      </c>
      <c r="DC93" t="e">
        <f>AND('Reg Types'!#REF!,"AAAAAHXz3Go=")</f>
        <v>#REF!</v>
      </c>
      <c r="DD93" t="e">
        <f>AND('Reg Types'!#REF!,"AAAAAHXz3Gs=")</f>
        <v>#REF!</v>
      </c>
      <c r="DE93" t="e">
        <f>AND('Reg Types'!#REF!,"AAAAAHXz3Gw=")</f>
        <v>#REF!</v>
      </c>
      <c r="DF93" t="e">
        <f>AND('Reg Types'!#REF!,"AAAAAHXz3G0=")</f>
        <v>#REF!</v>
      </c>
      <c r="DG93" t="e">
        <f>AND('Reg Types'!#REF!,"AAAAAHXz3G4=")</f>
        <v>#REF!</v>
      </c>
      <c r="DH93" t="e">
        <f>AND('Reg Types'!#REF!,"AAAAAHXz3G8=")</f>
        <v>#REF!</v>
      </c>
      <c r="DI93" t="e">
        <f>AND('Reg Types'!#REF!,"AAAAAHXz3HA=")</f>
        <v>#REF!</v>
      </c>
      <c r="DJ93" t="e">
        <f>AND('Reg Types'!#REF!,"AAAAAHXz3HE=")</f>
        <v>#REF!</v>
      </c>
      <c r="DK93" t="e">
        <f>AND('Reg Types'!#REF!,"AAAAAHXz3HI=")</f>
        <v>#REF!</v>
      </c>
      <c r="DL93" t="e">
        <f>IF('Reg Types'!#REF!,"AAAAAHXz3HM=",0)</f>
        <v>#REF!</v>
      </c>
      <c r="DM93" t="e">
        <f>AND('Reg Types'!#REF!,"AAAAAHXz3HQ=")</f>
        <v>#REF!</v>
      </c>
      <c r="DN93" t="e">
        <f>AND('Reg Types'!#REF!,"AAAAAHXz3HU=")</f>
        <v>#REF!</v>
      </c>
      <c r="DO93" t="e">
        <f>AND('Reg Types'!#REF!,"AAAAAHXz3HY=")</f>
        <v>#REF!</v>
      </c>
      <c r="DP93" t="e">
        <f>AND('Reg Types'!#REF!,"AAAAAHXz3Hc=")</f>
        <v>#REF!</v>
      </c>
      <c r="DQ93" t="e">
        <f>AND('Reg Types'!#REF!,"AAAAAHXz3Hg=")</f>
        <v>#REF!</v>
      </c>
      <c r="DR93" t="e">
        <f>AND('Reg Types'!#REF!,"AAAAAHXz3Hk=")</f>
        <v>#REF!</v>
      </c>
      <c r="DS93" t="e">
        <f>AND('Reg Types'!#REF!,"AAAAAHXz3Ho=")</f>
        <v>#REF!</v>
      </c>
      <c r="DT93" t="e">
        <f>AND('Reg Types'!#REF!,"AAAAAHXz3Hs=")</f>
        <v>#REF!</v>
      </c>
      <c r="DU93" t="e">
        <f>AND('Reg Types'!#REF!,"AAAAAHXz3Hw=")</f>
        <v>#REF!</v>
      </c>
      <c r="DV93" t="e">
        <f>AND('Reg Types'!#REF!,"AAAAAHXz3H0=")</f>
        <v>#REF!</v>
      </c>
      <c r="DW93" t="e">
        <f>AND('Reg Types'!#REF!,"AAAAAHXz3H4=")</f>
        <v>#REF!</v>
      </c>
      <c r="DX93" t="e">
        <f>AND('Reg Types'!#REF!,"AAAAAHXz3H8=")</f>
        <v>#REF!</v>
      </c>
      <c r="DY93" t="e">
        <f>AND('Reg Types'!#REF!,"AAAAAHXz3IA=")</f>
        <v>#REF!</v>
      </c>
      <c r="DZ93" t="e">
        <f>AND('Reg Types'!#REF!,"AAAAAHXz3IE=")</f>
        <v>#REF!</v>
      </c>
      <c r="EA93" t="e">
        <f>AND('Reg Types'!#REF!,"AAAAAHXz3II=")</f>
        <v>#REF!</v>
      </c>
      <c r="EB93" t="e">
        <f>AND('Reg Types'!#REF!,"AAAAAHXz3IM=")</f>
        <v>#REF!</v>
      </c>
      <c r="EC93" t="e">
        <f>AND('Reg Types'!#REF!,"AAAAAHXz3IQ=")</f>
        <v>#REF!</v>
      </c>
      <c r="ED93" t="e">
        <f>AND('Reg Types'!#REF!,"AAAAAHXz3IU=")</f>
        <v>#REF!</v>
      </c>
      <c r="EE93" t="e">
        <f>AND('Reg Types'!#REF!,"AAAAAHXz3IY=")</f>
        <v>#REF!</v>
      </c>
      <c r="EF93" t="e">
        <f>AND('Reg Types'!#REF!,"AAAAAHXz3Ic=")</f>
        <v>#REF!</v>
      </c>
      <c r="EG93" t="e">
        <f>AND('Reg Types'!#REF!,"AAAAAHXz3Ig=")</f>
        <v>#REF!</v>
      </c>
      <c r="EH93" t="e">
        <f>AND('Reg Types'!#REF!,"AAAAAHXz3Ik=")</f>
        <v>#REF!</v>
      </c>
      <c r="EI93" t="e">
        <f>AND('Reg Types'!#REF!,"AAAAAHXz3Io=")</f>
        <v>#REF!</v>
      </c>
      <c r="EJ93" t="e">
        <f>IF('Reg Types'!#REF!,"AAAAAHXz3Is=",0)</f>
        <v>#REF!</v>
      </c>
      <c r="EK93" t="e">
        <f>AND('Reg Types'!#REF!,"AAAAAHXz3Iw=")</f>
        <v>#REF!</v>
      </c>
      <c r="EL93" t="e">
        <f>AND('Reg Types'!#REF!,"AAAAAHXz3I0=")</f>
        <v>#REF!</v>
      </c>
      <c r="EM93" t="e">
        <f>AND('Reg Types'!#REF!,"AAAAAHXz3I4=")</f>
        <v>#REF!</v>
      </c>
      <c r="EN93" t="e">
        <f>AND('Reg Types'!#REF!,"AAAAAHXz3I8=")</f>
        <v>#REF!</v>
      </c>
      <c r="EO93" t="e">
        <f>AND('Reg Types'!#REF!,"AAAAAHXz3JA=")</f>
        <v>#REF!</v>
      </c>
      <c r="EP93" t="e">
        <f>AND('Reg Types'!#REF!,"AAAAAHXz3JE=")</f>
        <v>#REF!</v>
      </c>
      <c r="EQ93" t="e">
        <f>AND('Reg Types'!#REF!,"AAAAAHXz3JI=")</f>
        <v>#REF!</v>
      </c>
      <c r="ER93" t="e">
        <f>AND('Reg Types'!#REF!,"AAAAAHXz3JM=")</f>
        <v>#REF!</v>
      </c>
      <c r="ES93" t="e">
        <f>AND('Reg Types'!#REF!,"AAAAAHXz3JQ=")</f>
        <v>#REF!</v>
      </c>
      <c r="ET93" t="e">
        <f>AND('Reg Types'!#REF!,"AAAAAHXz3JU=")</f>
        <v>#REF!</v>
      </c>
      <c r="EU93" t="e">
        <f>AND('Reg Types'!#REF!,"AAAAAHXz3JY=")</f>
        <v>#REF!</v>
      </c>
      <c r="EV93" t="e">
        <f>AND('Reg Types'!#REF!,"AAAAAHXz3Jc=")</f>
        <v>#REF!</v>
      </c>
      <c r="EW93" t="e">
        <f>AND('Reg Types'!#REF!,"AAAAAHXz3Jg=")</f>
        <v>#REF!</v>
      </c>
      <c r="EX93" t="e">
        <f>AND('Reg Types'!#REF!,"AAAAAHXz3Jk=")</f>
        <v>#REF!</v>
      </c>
      <c r="EY93" t="e">
        <f>AND('Reg Types'!#REF!,"AAAAAHXz3Jo=")</f>
        <v>#REF!</v>
      </c>
      <c r="EZ93" t="e">
        <f>AND('Reg Types'!#REF!,"AAAAAHXz3Js=")</f>
        <v>#REF!</v>
      </c>
      <c r="FA93" t="e">
        <f>AND('Reg Types'!#REF!,"AAAAAHXz3Jw=")</f>
        <v>#REF!</v>
      </c>
      <c r="FB93" t="e">
        <f>AND('Reg Types'!#REF!,"AAAAAHXz3J0=")</f>
        <v>#REF!</v>
      </c>
      <c r="FC93" t="e">
        <f>AND('Reg Types'!#REF!,"AAAAAHXz3J4=")</f>
        <v>#REF!</v>
      </c>
      <c r="FD93" t="e">
        <f>AND('Reg Types'!#REF!,"AAAAAHXz3J8=")</f>
        <v>#REF!</v>
      </c>
      <c r="FE93" t="e">
        <f>AND('Reg Types'!#REF!,"AAAAAHXz3KA=")</f>
        <v>#REF!</v>
      </c>
      <c r="FF93" t="e">
        <f>AND('Reg Types'!#REF!,"AAAAAHXz3KE=")</f>
        <v>#REF!</v>
      </c>
      <c r="FG93" t="e">
        <f>AND('Reg Types'!#REF!,"AAAAAHXz3KI=")</f>
        <v>#REF!</v>
      </c>
      <c r="FH93" t="e">
        <f>IF('Reg Types'!#REF!,"AAAAAHXz3KM=",0)</f>
        <v>#REF!</v>
      </c>
      <c r="FI93" t="e">
        <f>AND('Reg Types'!#REF!,"AAAAAHXz3KQ=")</f>
        <v>#REF!</v>
      </c>
      <c r="FJ93" t="e">
        <f>AND('Reg Types'!#REF!,"AAAAAHXz3KU=")</f>
        <v>#REF!</v>
      </c>
      <c r="FK93" t="e">
        <f>AND('Reg Types'!#REF!,"AAAAAHXz3KY=")</f>
        <v>#REF!</v>
      </c>
      <c r="FL93" t="e">
        <f>AND('Reg Types'!#REF!,"AAAAAHXz3Kc=")</f>
        <v>#REF!</v>
      </c>
      <c r="FM93" t="e">
        <f>AND('Reg Types'!#REF!,"AAAAAHXz3Kg=")</f>
        <v>#REF!</v>
      </c>
      <c r="FN93" t="e">
        <f>AND('Reg Types'!#REF!,"AAAAAHXz3Kk=")</f>
        <v>#REF!</v>
      </c>
      <c r="FO93" t="e">
        <f>AND('Reg Types'!#REF!,"AAAAAHXz3Ko=")</f>
        <v>#REF!</v>
      </c>
      <c r="FP93" t="e">
        <f>AND('Reg Types'!#REF!,"AAAAAHXz3Ks=")</f>
        <v>#REF!</v>
      </c>
      <c r="FQ93" t="e">
        <f>AND('Reg Types'!#REF!,"AAAAAHXz3Kw=")</f>
        <v>#REF!</v>
      </c>
      <c r="FR93" t="e">
        <f>AND('Reg Types'!#REF!,"AAAAAHXz3K0=")</f>
        <v>#REF!</v>
      </c>
      <c r="FS93" t="e">
        <f>AND('Reg Types'!#REF!,"AAAAAHXz3K4=")</f>
        <v>#REF!</v>
      </c>
      <c r="FT93" t="e">
        <f>AND('Reg Types'!#REF!,"AAAAAHXz3K8=")</f>
        <v>#REF!</v>
      </c>
      <c r="FU93" t="e">
        <f>AND('Reg Types'!#REF!,"AAAAAHXz3LA=")</f>
        <v>#REF!</v>
      </c>
      <c r="FV93" t="e">
        <f>AND('Reg Types'!#REF!,"AAAAAHXz3LE=")</f>
        <v>#REF!</v>
      </c>
      <c r="FW93" t="e">
        <f>AND('Reg Types'!#REF!,"AAAAAHXz3LI=")</f>
        <v>#REF!</v>
      </c>
      <c r="FX93" t="e">
        <f>AND('Reg Types'!#REF!,"AAAAAHXz3LM=")</f>
        <v>#REF!</v>
      </c>
      <c r="FY93" t="e">
        <f>AND('Reg Types'!#REF!,"AAAAAHXz3LQ=")</f>
        <v>#REF!</v>
      </c>
      <c r="FZ93" t="e">
        <f>AND('Reg Types'!#REF!,"AAAAAHXz3LU=")</f>
        <v>#REF!</v>
      </c>
      <c r="GA93" t="e">
        <f>AND('Reg Types'!#REF!,"AAAAAHXz3LY=")</f>
        <v>#REF!</v>
      </c>
      <c r="GB93" t="e">
        <f>AND('Reg Types'!#REF!,"AAAAAHXz3Lc=")</f>
        <v>#REF!</v>
      </c>
      <c r="GC93" t="e">
        <f>AND('Reg Types'!#REF!,"AAAAAHXz3Lg=")</f>
        <v>#REF!</v>
      </c>
      <c r="GD93" t="e">
        <f>AND('Reg Types'!#REF!,"AAAAAHXz3Lk=")</f>
        <v>#REF!</v>
      </c>
      <c r="GE93" t="e">
        <f>AND('Reg Types'!#REF!,"AAAAAHXz3Lo=")</f>
        <v>#REF!</v>
      </c>
      <c r="GF93" t="e">
        <f>IF('Reg Types'!#REF!,"AAAAAHXz3Ls=",0)</f>
        <v>#REF!</v>
      </c>
      <c r="GG93" t="e">
        <f>AND('Reg Types'!#REF!,"AAAAAHXz3Lw=")</f>
        <v>#REF!</v>
      </c>
      <c r="GH93" t="e">
        <f>AND('Reg Types'!#REF!,"AAAAAHXz3L0=")</f>
        <v>#REF!</v>
      </c>
      <c r="GI93" t="e">
        <f>AND('Reg Types'!#REF!,"AAAAAHXz3L4=")</f>
        <v>#REF!</v>
      </c>
      <c r="GJ93" t="e">
        <f>AND('Reg Types'!#REF!,"AAAAAHXz3L8=")</f>
        <v>#REF!</v>
      </c>
      <c r="GK93" t="e">
        <f>AND('Reg Types'!#REF!,"AAAAAHXz3MA=")</f>
        <v>#REF!</v>
      </c>
      <c r="GL93" t="e">
        <f>AND('Reg Types'!#REF!,"AAAAAHXz3ME=")</f>
        <v>#REF!</v>
      </c>
      <c r="GM93" t="e">
        <f>AND('Reg Types'!#REF!,"AAAAAHXz3MI=")</f>
        <v>#REF!</v>
      </c>
      <c r="GN93" t="e">
        <f>AND('Reg Types'!#REF!,"AAAAAHXz3MM=")</f>
        <v>#REF!</v>
      </c>
      <c r="GO93" t="e">
        <f>AND('Reg Types'!#REF!,"AAAAAHXz3MQ=")</f>
        <v>#REF!</v>
      </c>
      <c r="GP93" t="e">
        <f>AND('Reg Types'!#REF!,"AAAAAHXz3MU=")</f>
        <v>#REF!</v>
      </c>
      <c r="GQ93" t="e">
        <f>AND('Reg Types'!#REF!,"AAAAAHXz3MY=")</f>
        <v>#REF!</v>
      </c>
      <c r="GR93" t="e">
        <f>AND('Reg Types'!#REF!,"AAAAAHXz3Mc=")</f>
        <v>#REF!</v>
      </c>
      <c r="GS93" t="e">
        <f>AND('Reg Types'!#REF!,"AAAAAHXz3Mg=")</f>
        <v>#REF!</v>
      </c>
      <c r="GT93" t="e">
        <f>AND('Reg Types'!#REF!,"AAAAAHXz3Mk=")</f>
        <v>#REF!</v>
      </c>
      <c r="GU93" t="e">
        <f>AND('Reg Types'!#REF!,"AAAAAHXz3Mo=")</f>
        <v>#REF!</v>
      </c>
      <c r="GV93" t="e">
        <f>AND('Reg Types'!#REF!,"AAAAAHXz3Ms=")</f>
        <v>#REF!</v>
      </c>
      <c r="GW93" t="e">
        <f>AND('Reg Types'!#REF!,"AAAAAHXz3Mw=")</f>
        <v>#REF!</v>
      </c>
      <c r="GX93" t="e">
        <f>AND('Reg Types'!#REF!,"AAAAAHXz3M0=")</f>
        <v>#REF!</v>
      </c>
      <c r="GY93" t="e">
        <f>AND('Reg Types'!#REF!,"AAAAAHXz3M4=")</f>
        <v>#REF!</v>
      </c>
      <c r="GZ93" t="e">
        <f>AND('Reg Types'!#REF!,"AAAAAHXz3M8=")</f>
        <v>#REF!</v>
      </c>
      <c r="HA93" t="e">
        <f>AND('Reg Types'!#REF!,"AAAAAHXz3NA=")</f>
        <v>#REF!</v>
      </c>
      <c r="HB93" t="e">
        <f>AND('Reg Types'!#REF!,"AAAAAHXz3NE=")</f>
        <v>#REF!</v>
      </c>
      <c r="HC93" t="e">
        <f>AND('Reg Types'!#REF!,"AAAAAHXz3NI=")</f>
        <v>#REF!</v>
      </c>
      <c r="HD93" t="e">
        <f>IF('Reg Types'!#REF!,"AAAAAHXz3NM=",0)</f>
        <v>#REF!</v>
      </c>
      <c r="HE93" t="e">
        <f>AND('Reg Types'!#REF!,"AAAAAHXz3NQ=")</f>
        <v>#REF!</v>
      </c>
      <c r="HF93" t="e">
        <f>AND('Reg Types'!#REF!,"AAAAAHXz3NU=")</f>
        <v>#REF!</v>
      </c>
      <c r="HG93" t="e">
        <f>AND('Reg Types'!#REF!,"AAAAAHXz3NY=")</f>
        <v>#REF!</v>
      </c>
      <c r="HH93" t="e">
        <f>AND('Reg Types'!#REF!,"AAAAAHXz3Nc=")</f>
        <v>#REF!</v>
      </c>
      <c r="HI93" t="e">
        <f>AND('Reg Types'!#REF!,"AAAAAHXz3Ng=")</f>
        <v>#REF!</v>
      </c>
      <c r="HJ93" t="e">
        <f>AND('Reg Types'!#REF!,"AAAAAHXz3Nk=")</f>
        <v>#REF!</v>
      </c>
      <c r="HK93" t="e">
        <f>AND('Reg Types'!#REF!,"AAAAAHXz3No=")</f>
        <v>#REF!</v>
      </c>
      <c r="HL93" t="e">
        <f>AND('Reg Types'!#REF!,"AAAAAHXz3Ns=")</f>
        <v>#REF!</v>
      </c>
      <c r="HM93" t="e">
        <f>AND('Reg Types'!#REF!,"AAAAAHXz3Nw=")</f>
        <v>#REF!</v>
      </c>
      <c r="HN93" t="e">
        <f>AND('Reg Types'!#REF!,"AAAAAHXz3N0=")</f>
        <v>#REF!</v>
      </c>
      <c r="HO93" t="e">
        <f>AND('Reg Types'!#REF!,"AAAAAHXz3N4=")</f>
        <v>#REF!</v>
      </c>
      <c r="HP93" t="e">
        <f>AND('Reg Types'!#REF!,"AAAAAHXz3N8=")</f>
        <v>#REF!</v>
      </c>
      <c r="HQ93" t="e">
        <f>AND('Reg Types'!#REF!,"AAAAAHXz3OA=")</f>
        <v>#REF!</v>
      </c>
      <c r="HR93" t="e">
        <f>AND('Reg Types'!#REF!,"AAAAAHXz3OE=")</f>
        <v>#REF!</v>
      </c>
      <c r="HS93" t="e">
        <f>AND('Reg Types'!#REF!,"AAAAAHXz3OI=")</f>
        <v>#REF!</v>
      </c>
      <c r="HT93" t="e">
        <f>AND('Reg Types'!#REF!,"AAAAAHXz3OM=")</f>
        <v>#REF!</v>
      </c>
      <c r="HU93" t="e">
        <f>AND('Reg Types'!#REF!,"AAAAAHXz3OQ=")</f>
        <v>#REF!</v>
      </c>
      <c r="HV93" t="e">
        <f>AND('Reg Types'!#REF!,"AAAAAHXz3OU=")</f>
        <v>#REF!</v>
      </c>
      <c r="HW93" t="e">
        <f>AND('Reg Types'!#REF!,"AAAAAHXz3OY=")</f>
        <v>#REF!</v>
      </c>
      <c r="HX93" t="e">
        <f>AND('Reg Types'!#REF!,"AAAAAHXz3Oc=")</f>
        <v>#REF!</v>
      </c>
      <c r="HY93" t="e">
        <f>AND('Reg Types'!#REF!,"AAAAAHXz3Og=")</f>
        <v>#REF!</v>
      </c>
      <c r="HZ93" t="e">
        <f>AND('Reg Types'!#REF!,"AAAAAHXz3Ok=")</f>
        <v>#REF!</v>
      </c>
      <c r="IA93" t="e">
        <f>AND('Reg Types'!#REF!,"AAAAAHXz3Oo=")</f>
        <v>#REF!</v>
      </c>
      <c r="IB93" t="e">
        <f>IF('Reg Types'!#REF!,"AAAAAHXz3Os=",0)</f>
        <v>#REF!</v>
      </c>
      <c r="IC93" t="e">
        <f>AND('Reg Types'!#REF!,"AAAAAHXz3Ow=")</f>
        <v>#REF!</v>
      </c>
      <c r="ID93" t="e">
        <f>AND('Reg Types'!#REF!,"AAAAAHXz3O0=")</f>
        <v>#REF!</v>
      </c>
      <c r="IE93" t="e">
        <f>AND('Reg Types'!#REF!,"AAAAAHXz3O4=")</f>
        <v>#REF!</v>
      </c>
      <c r="IF93" t="e">
        <f>AND('Reg Types'!#REF!,"AAAAAHXz3O8=")</f>
        <v>#REF!</v>
      </c>
      <c r="IG93" t="e">
        <f>AND('Reg Types'!#REF!,"AAAAAHXz3PA=")</f>
        <v>#REF!</v>
      </c>
      <c r="IH93" t="e">
        <f>AND('Reg Types'!#REF!,"AAAAAHXz3PE=")</f>
        <v>#REF!</v>
      </c>
      <c r="II93" t="e">
        <f>AND('Reg Types'!#REF!,"AAAAAHXz3PI=")</f>
        <v>#REF!</v>
      </c>
      <c r="IJ93" t="e">
        <f>AND('Reg Types'!#REF!,"AAAAAHXz3PM=")</f>
        <v>#REF!</v>
      </c>
      <c r="IK93" t="e">
        <f>AND('Reg Types'!#REF!,"AAAAAHXz3PQ=")</f>
        <v>#REF!</v>
      </c>
      <c r="IL93" t="e">
        <f>AND('Reg Types'!#REF!,"AAAAAHXz3PU=")</f>
        <v>#REF!</v>
      </c>
      <c r="IM93" t="e">
        <f>AND('Reg Types'!#REF!,"AAAAAHXz3PY=")</f>
        <v>#REF!</v>
      </c>
      <c r="IN93" t="e">
        <f>AND('Reg Types'!#REF!,"AAAAAHXz3Pc=")</f>
        <v>#REF!</v>
      </c>
      <c r="IO93" t="e">
        <f>AND('Reg Types'!#REF!,"AAAAAHXz3Pg=")</f>
        <v>#REF!</v>
      </c>
      <c r="IP93" t="e">
        <f>AND('Reg Types'!#REF!,"AAAAAHXz3Pk=")</f>
        <v>#REF!</v>
      </c>
      <c r="IQ93" t="e">
        <f>AND('Reg Types'!#REF!,"AAAAAHXz3Po=")</f>
        <v>#REF!</v>
      </c>
      <c r="IR93" t="e">
        <f>AND('Reg Types'!#REF!,"AAAAAHXz3Ps=")</f>
        <v>#REF!</v>
      </c>
      <c r="IS93" t="e">
        <f>AND('Reg Types'!#REF!,"AAAAAHXz3Pw=")</f>
        <v>#REF!</v>
      </c>
      <c r="IT93" t="e">
        <f>AND('Reg Types'!#REF!,"AAAAAHXz3P0=")</f>
        <v>#REF!</v>
      </c>
      <c r="IU93" t="e">
        <f>AND('Reg Types'!#REF!,"AAAAAHXz3P4=")</f>
        <v>#REF!</v>
      </c>
      <c r="IV93" t="e">
        <f>AND('Reg Types'!#REF!,"AAAAAHXz3P8=")</f>
        <v>#REF!</v>
      </c>
    </row>
    <row r="94" spans="1:256" x14ac:dyDescent="0.2">
      <c r="A94" t="e">
        <f>AND('Reg Types'!#REF!,"AAAAAH++dgA=")</f>
        <v>#REF!</v>
      </c>
      <c r="B94" t="e">
        <f>AND('Reg Types'!#REF!,"AAAAAH++dgE=")</f>
        <v>#REF!</v>
      </c>
      <c r="C94" t="e">
        <f>AND('Reg Types'!#REF!,"AAAAAH++dgI=")</f>
        <v>#REF!</v>
      </c>
      <c r="D94" t="e">
        <f>IF('Reg Types'!#REF!,"AAAAAH++dgM=",0)</f>
        <v>#REF!</v>
      </c>
      <c r="E94" t="e">
        <f>AND('Reg Types'!#REF!,"AAAAAH++dgQ=")</f>
        <v>#REF!</v>
      </c>
      <c r="F94" t="e">
        <f>AND('Reg Types'!#REF!,"AAAAAH++dgU=")</f>
        <v>#REF!</v>
      </c>
      <c r="G94" t="e">
        <f>AND('Reg Types'!#REF!,"AAAAAH++dgY=")</f>
        <v>#REF!</v>
      </c>
      <c r="H94" t="e">
        <f>AND('Reg Types'!#REF!,"AAAAAH++dgc=")</f>
        <v>#REF!</v>
      </c>
      <c r="I94" t="e">
        <f>AND('Reg Types'!#REF!,"AAAAAH++dgg=")</f>
        <v>#REF!</v>
      </c>
      <c r="J94" t="e">
        <f>AND('Reg Types'!#REF!,"AAAAAH++dgk=")</f>
        <v>#REF!</v>
      </c>
      <c r="K94" t="e">
        <f>AND('Reg Types'!#REF!,"AAAAAH++dgo=")</f>
        <v>#REF!</v>
      </c>
      <c r="L94" t="e">
        <f>AND('Reg Types'!#REF!,"AAAAAH++dgs=")</f>
        <v>#REF!</v>
      </c>
      <c r="M94" t="e">
        <f>AND('Reg Types'!#REF!,"AAAAAH++dgw=")</f>
        <v>#REF!</v>
      </c>
      <c r="N94" t="e">
        <f>AND('Reg Types'!#REF!,"AAAAAH++dg0=")</f>
        <v>#REF!</v>
      </c>
      <c r="O94" t="e">
        <f>AND('Reg Types'!#REF!,"AAAAAH++dg4=")</f>
        <v>#REF!</v>
      </c>
      <c r="P94" t="e">
        <f>AND('Reg Types'!#REF!,"AAAAAH++dg8=")</f>
        <v>#REF!</v>
      </c>
      <c r="Q94" t="e">
        <f>AND('Reg Types'!#REF!,"AAAAAH++dhA=")</f>
        <v>#REF!</v>
      </c>
      <c r="R94" t="e">
        <f>AND('Reg Types'!#REF!,"AAAAAH++dhE=")</f>
        <v>#REF!</v>
      </c>
      <c r="S94" t="e">
        <f>AND('Reg Types'!#REF!,"AAAAAH++dhI=")</f>
        <v>#REF!</v>
      </c>
      <c r="T94" t="e">
        <f>AND('Reg Types'!#REF!,"AAAAAH++dhM=")</f>
        <v>#REF!</v>
      </c>
      <c r="U94" t="e">
        <f>AND('Reg Types'!#REF!,"AAAAAH++dhQ=")</f>
        <v>#REF!</v>
      </c>
      <c r="V94" t="e">
        <f>AND('Reg Types'!#REF!,"AAAAAH++dhU=")</f>
        <v>#REF!</v>
      </c>
      <c r="W94" t="e">
        <f>AND('Reg Types'!#REF!,"AAAAAH++dhY=")</f>
        <v>#REF!</v>
      </c>
      <c r="X94" t="e">
        <f>AND('Reg Types'!#REF!,"AAAAAH++dhc=")</f>
        <v>#REF!</v>
      </c>
      <c r="Y94" t="e">
        <f>AND('Reg Types'!#REF!,"AAAAAH++dhg=")</f>
        <v>#REF!</v>
      </c>
      <c r="Z94" t="e">
        <f>AND('Reg Types'!#REF!,"AAAAAH++dhk=")</f>
        <v>#REF!</v>
      </c>
      <c r="AA94" t="e">
        <f>AND('Reg Types'!#REF!,"AAAAAH++dho=")</f>
        <v>#REF!</v>
      </c>
      <c r="AB94" t="e">
        <f>IF('Reg Types'!#REF!,"AAAAAH++dhs=",0)</f>
        <v>#REF!</v>
      </c>
      <c r="AC94" t="e">
        <f>AND('Reg Types'!#REF!,"AAAAAH++dhw=")</f>
        <v>#REF!</v>
      </c>
      <c r="AD94" t="e">
        <f>AND('Reg Types'!#REF!,"AAAAAH++dh0=")</f>
        <v>#REF!</v>
      </c>
      <c r="AE94" t="e">
        <f>AND('Reg Types'!#REF!,"AAAAAH++dh4=")</f>
        <v>#REF!</v>
      </c>
      <c r="AF94" t="e">
        <f>AND('Reg Types'!#REF!,"AAAAAH++dh8=")</f>
        <v>#REF!</v>
      </c>
      <c r="AG94" t="e">
        <f>AND('Reg Types'!#REF!,"AAAAAH++diA=")</f>
        <v>#REF!</v>
      </c>
      <c r="AH94" t="e">
        <f>AND('Reg Types'!#REF!,"AAAAAH++diE=")</f>
        <v>#REF!</v>
      </c>
      <c r="AI94" t="e">
        <f>AND('Reg Types'!#REF!,"AAAAAH++diI=")</f>
        <v>#REF!</v>
      </c>
      <c r="AJ94" t="e">
        <f>AND('Reg Types'!#REF!,"AAAAAH++diM=")</f>
        <v>#REF!</v>
      </c>
      <c r="AK94" t="e">
        <f>AND('Reg Types'!#REF!,"AAAAAH++diQ=")</f>
        <v>#REF!</v>
      </c>
      <c r="AL94" t="e">
        <f>AND('Reg Types'!#REF!,"AAAAAH++diU=")</f>
        <v>#REF!</v>
      </c>
      <c r="AM94" t="e">
        <f>AND('Reg Types'!#REF!,"AAAAAH++diY=")</f>
        <v>#REF!</v>
      </c>
      <c r="AN94" t="e">
        <f>AND('Reg Types'!#REF!,"AAAAAH++dic=")</f>
        <v>#REF!</v>
      </c>
      <c r="AO94" t="e">
        <f>AND('Reg Types'!#REF!,"AAAAAH++dig=")</f>
        <v>#REF!</v>
      </c>
      <c r="AP94" t="e">
        <f>AND('Reg Types'!#REF!,"AAAAAH++dik=")</f>
        <v>#REF!</v>
      </c>
      <c r="AQ94" t="e">
        <f>AND('Reg Types'!#REF!,"AAAAAH++dio=")</f>
        <v>#REF!</v>
      </c>
      <c r="AR94" t="e">
        <f>AND('Reg Types'!#REF!,"AAAAAH++dis=")</f>
        <v>#REF!</v>
      </c>
      <c r="AS94" t="e">
        <f>AND('Reg Types'!#REF!,"AAAAAH++diw=")</f>
        <v>#REF!</v>
      </c>
      <c r="AT94" t="e">
        <f>AND('Reg Types'!#REF!,"AAAAAH++di0=")</f>
        <v>#REF!</v>
      </c>
      <c r="AU94" t="e">
        <f>AND('Reg Types'!#REF!,"AAAAAH++di4=")</f>
        <v>#REF!</v>
      </c>
      <c r="AV94" t="e">
        <f>AND('Reg Types'!#REF!,"AAAAAH++di8=")</f>
        <v>#REF!</v>
      </c>
      <c r="AW94" t="e">
        <f>AND('Reg Types'!#REF!,"AAAAAH++djA=")</f>
        <v>#REF!</v>
      </c>
      <c r="AX94" t="e">
        <f>AND('Reg Types'!#REF!,"AAAAAH++djE=")</f>
        <v>#REF!</v>
      </c>
      <c r="AY94" t="e">
        <f>AND('Reg Types'!#REF!,"AAAAAH++djI=")</f>
        <v>#REF!</v>
      </c>
      <c r="AZ94" t="e">
        <f>IF('Reg Types'!#REF!,"AAAAAH++djM=",0)</f>
        <v>#REF!</v>
      </c>
      <c r="BA94" t="e">
        <f>AND('Reg Types'!#REF!,"AAAAAH++djQ=")</f>
        <v>#REF!</v>
      </c>
      <c r="BB94" t="e">
        <f>AND('Reg Types'!#REF!,"AAAAAH++djU=")</f>
        <v>#REF!</v>
      </c>
      <c r="BC94" t="e">
        <f>AND('Reg Types'!#REF!,"AAAAAH++djY=")</f>
        <v>#REF!</v>
      </c>
      <c r="BD94" t="e">
        <f>AND('Reg Types'!#REF!,"AAAAAH++djc=")</f>
        <v>#REF!</v>
      </c>
      <c r="BE94" t="e">
        <f>AND('Reg Types'!#REF!,"AAAAAH++djg=")</f>
        <v>#REF!</v>
      </c>
      <c r="BF94" t="e">
        <f>AND('Reg Types'!#REF!,"AAAAAH++djk=")</f>
        <v>#REF!</v>
      </c>
      <c r="BG94" t="e">
        <f>AND('Reg Types'!#REF!,"AAAAAH++djo=")</f>
        <v>#REF!</v>
      </c>
      <c r="BH94" t="e">
        <f>AND('Reg Types'!#REF!,"AAAAAH++djs=")</f>
        <v>#REF!</v>
      </c>
      <c r="BI94" t="e">
        <f>AND('Reg Types'!#REF!,"AAAAAH++djw=")</f>
        <v>#REF!</v>
      </c>
      <c r="BJ94" t="e">
        <f>AND('Reg Types'!#REF!,"AAAAAH++dj0=")</f>
        <v>#REF!</v>
      </c>
      <c r="BK94" t="e">
        <f>AND('Reg Types'!#REF!,"AAAAAH++dj4=")</f>
        <v>#REF!</v>
      </c>
      <c r="BL94" t="e">
        <f>AND('Reg Types'!#REF!,"AAAAAH++dj8=")</f>
        <v>#REF!</v>
      </c>
      <c r="BM94" t="e">
        <f>AND('Reg Types'!#REF!,"AAAAAH++dkA=")</f>
        <v>#REF!</v>
      </c>
      <c r="BN94" t="e">
        <f>AND('Reg Types'!#REF!,"AAAAAH++dkE=")</f>
        <v>#REF!</v>
      </c>
      <c r="BO94" t="e">
        <f>AND('Reg Types'!#REF!,"AAAAAH++dkI=")</f>
        <v>#REF!</v>
      </c>
      <c r="BP94" t="e">
        <f>AND('Reg Types'!#REF!,"AAAAAH++dkM=")</f>
        <v>#REF!</v>
      </c>
      <c r="BQ94" t="e">
        <f>AND('Reg Types'!#REF!,"AAAAAH++dkQ=")</f>
        <v>#REF!</v>
      </c>
      <c r="BR94" t="e">
        <f>AND('Reg Types'!#REF!,"AAAAAH++dkU=")</f>
        <v>#REF!</v>
      </c>
      <c r="BS94" t="e">
        <f>AND('Reg Types'!#REF!,"AAAAAH++dkY=")</f>
        <v>#REF!</v>
      </c>
      <c r="BT94" t="e">
        <f>AND('Reg Types'!#REF!,"AAAAAH++dkc=")</f>
        <v>#REF!</v>
      </c>
      <c r="BU94" t="e">
        <f>AND('Reg Types'!#REF!,"AAAAAH++dkg=")</f>
        <v>#REF!</v>
      </c>
      <c r="BV94" t="e">
        <f>AND('Reg Types'!#REF!,"AAAAAH++dkk=")</f>
        <v>#REF!</v>
      </c>
      <c r="BW94" t="e">
        <f>AND('Reg Types'!#REF!,"AAAAAH++dko=")</f>
        <v>#REF!</v>
      </c>
      <c r="BX94" t="e">
        <f>IF('Reg Types'!#REF!,"AAAAAH++dks=",0)</f>
        <v>#REF!</v>
      </c>
      <c r="BY94" t="e">
        <f>AND('Reg Types'!#REF!,"AAAAAH++dkw=")</f>
        <v>#REF!</v>
      </c>
      <c r="BZ94" t="e">
        <f>AND('Reg Types'!#REF!,"AAAAAH++dk0=")</f>
        <v>#REF!</v>
      </c>
      <c r="CA94" t="e">
        <f>AND('Reg Types'!#REF!,"AAAAAH++dk4=")</f>
        <v>#REF!</v>
      </c>
      <c r="CB94" t="e">
        <f>AND('Reg Types'!#REF!,"AAAAAH++dk8=")</f>
        <v>#REF!</v>
      </c>
      <c r="CC94" t="e">
        <f>AND('Reg Types'!#REF!,"AAAAAH++dlA=")</f>
        <v>#REF!</v>
      </c>
      <c r="CD94" t="e">
        <f>AND('Reg Types'!#REF!,"AAAAAH++dlE=")</f>
        <v>#REF!</v>
      </c>
      <c r="CE94" t="e">
        <f>AND('Reg Types'!#REF!,"AAAAAH++dlI=")</f>
        <v>#REF!</v>
      </c>
      <c r="CF94" t="e">
        <f>AND('Reg Types'!#REF!,"AAAAAH++dlM=")</f>
        <v>#REF!</v>
      </c>
      <c r="CG94" t="e">
        <f>AND('Reg Types'!#REF!,"AAAAAH++dlQ=")</f>
        <v>#REF!</v>
      </c>
      <c r="CH94" t="e">
        <f>AND('Reg Types'!#REF!,"AAAAAH++dlU=")</f>
        <v>#REF!</v>
      </c>
      <c r="CI94" t="e">
        <f>AND('Reg Types'!#REF!,"AAAAAH++dlY=")</f>
        <v>#REF!</v>
      </c>
      <c r="CJ94" t="e">
        <f>AND('Reg Types'!#REF!,"AAAAAH++dlc=")</f>
        <v>#REF!</v>
      </c>
      <c r="CK94" t="e">
        <f>AND('Reg Types'!#REF!,"AAAAAH++dlg=")</f>
        <v>#REF!</v>
      </c>
      <c r="CL94" t="e">
        <f>AND('Reg Types'!#REF!,"AAAAAH++dlk=")</f>
        <v>#REF!</v>
      </c>
      <c r="CM94" t="e">
        <f>AND('Reg Types'!#REF!,"AAAAAH++dlo=")</f>
        <v>#REF!</v>
      </c>
      <c r="CN94" t="e">
        <f>AND('Reg Types'!#REF!,"AAAAAH++dls=")</f>
        <v>#REF!</v>
      </c>
      <c r="CO94" t="e">
        <f>AND('Reg Types'!#REF!,"AAAAAH++dlw=")</f>
        <v>#REF!</v>
      </c>
      <c r="CP94" t="e">
        <f>AND('Reg Types'!#REF!,"AAAAAH++dl0=")</f>
        <v>#REF!</v>
      </c>
      <c r="CQ94" t="e">
        <f>AND('Reg Types'!#REF!,"AAAAAH++dl4=")</f>
        <v>#REF!</v>
      </c>
      <c r="CR94" t="e">
        <f>AND('Reg Types'!#REF!,"AAAAAH++dl8=")</f>
        <v>#REF!</v>
      </c>
      <c r="CS94" t="e">
        <f>AND('Reg Types'!#REF!,"AAAAAH++dmA=")</f>
        <v>#REF!</v>
      </c>
      <c r="CT94" t="e">
        <f>AND('Reg Types'!#REF!,"AAAAAH++dmE=")</f>
        <v>#REF!</v>
      </c>
      <c r="CU94" t="e">
        <f>AND('Reg Types'!#REF!,"AAAAAH++dmI=")</f>
        <v>#REF!</v>
      </c>
      <c r="CV94" t="e">
        <f>IF('Reg Types'!#REF!,"AAAAAH++dmM=",0)</f>
        <v>#REF!</v>
      </c>
      <c r="CW94" t="e">
        <f>AND('Reg Types'!#REF!,"AAAAAH++dmQ=")</f>
        <v>#REF!</v>
      </c>
      <c r="CX94" t="e">
        <f>AND('Reg Types'!#REF!,"AAAAAH++dmU=")</f>
        <v>#REF!</v>
      </c>
      <c r="CY94" t="e">
        <f>AND('Reg Types'!#REF!,"AAAAAH++dmY=")</f>
        <v>#REF!</v>
      </c>
      <c r="CZ94" t="e">
        <f>AND('Reg Types'!#REF!,"AAAAAH++dmc=")</f>
        <v>#REF!</v>
      </c>
      <c r="DA94" t="e">
        <f>AND('Reg Types'!#REF!,"AAAAAH++dmg=")</f>
        <v>#REF!</v>
      </c>
      <c r="DB94" t="e">
        <f>AND('Reg Types'!#REF!,"AAAAAH++dmk=")</f>
        <v>#REF!</v>
      </c>
      <c r="DC94" t="e">
        <f>AND('Reg Types'!#REF!,"AAAAAH++dmo=")</f>
        <v>#REF!</v>
      </c>
      <c r="DD94" t="e">
        <f>AND('Reg Types'!#REF!,"AAAAAH++dms=")</f>
        <v>#REF!</v>
      </c>
      <c r="DE94" t="e">
        <f>AND('Reg Types'!#REF!,"AAAAAH++dmw=")</f>
        <v>#REF!</v>
      </c>
      <c r="DF94" t="e">
        <f>AND('Reg Types'!#REF!,"AAAAAH++dm0=")</f>
        <v>#REF!</v>
      </c>
      <c r="DG94" t="e">
        <f>AND('Reg Types'!#REF!,"AAAAAH++dm4=")</f>
        <v>#REF!</v>
      </c>
      <c r="DH94" t="e">
        <f>AND('Reg Types'!#REF!,"AAAAAH++dm8=")</f>
        <v>#REF!</v>
      </c>
      <c r="DI94" t="e">
        <f>AND('Reg Types'!#REF!,"AAAAAH++dnA=")</f>
        <v>#REF!</v>
      </c>
      <c r="DJ94" t="e">
        <f>AND('Reg Types'!#REF!,"AAAAAH++dnE=")</f>
        <v>#REF!</v>
      </c>
      <c r="DK94" t="e">
        <f>AND('Reg Types'!#REF!,"AAAAAH++dnI=")</f>
        <v>#REF!</v>
      </c>
      <c r="DL94" t="e">
        <f>AND('Reg Types'!#REF!,"AAAAAH++dnM=")</f>
        <v>#REF!</v>
      </c>
      <c r="DM94" t="e">
        <f>AND('Reg Types'!#REF!,"AAAAAH++dnQ=")</f>
        <v>#REF!</v>
      </c>
      <c r="DN94" t="e">
        <f>AND('Reg Types'!#REF!,"AAAAAH++dnU=")</f>
        <v>#REF!</v>
      </c>
      <c r="DO94" t="e">
        <f>AND('Reg Types'!#REF!,"AAAAAH++dnY=")</f>
        <v>#REF!</v>
      </c>
      <c r="DP94" t="e">
        <f>AND('Reg Types'!#REF!,"AAAAAH++dnc=")</f>
        <v>#REF!</v>
      </c>
      <c r="DQ94" t="e">
        <f>AND('Reg Types'!#REF!,"AAAAAH++dng=")</f>
        <v>#REF!</v>
      </c>
      <c r="DR94" t="e">
        <f>AND('Reg Types'!#REF!,"AAAAAH++dnk=")</f>
        <v>#REF!</v>
      </c>
      <c r="DS94" t="e">
        <f>AND('Reg Types'!#REF!,"AAAAAH++dno=")</f>
        <v>#REF!</v>
      </c>
      <c r="DT94" t="e">
        <f>IF('Reg Types'!#REF!,"AAAAAH++dns=",0)</f>
        <v>#REF!</v>
      </c>
      <c r="DU94" t="e">
        <f>AND('Reg Types'!#REF!,"AAAAAH++dnw=")</f>
        <v>#REF!</v>
      </c>
      <c r="DV94" t="e">
        <f>AND('Reg Types'!#REF!,"AAAAAH++dn0=")</f>
        <v>#REF!</v>
      </c>
      <c r="DW94" t="e">
        <f>AND('Reg Types'!#REF!,"AAAAAH++dn4=")</f>
        <v>#REF!</v>
      </c>
      <c r="DX94" t="e">
        <f>AND('Reg Types'!#REF!,"AAAAAH++dn8=")</f>
        <v>#REF!</v>
      </c>
      <c r="DY94" t="e">
        <f>AND('Reg Types'!#REF!,"AAAAAH++doA=")</f>
        <v>#REF!</v>
      </c>
      <c r="DZ94" t="e">
        <f>AND('Reg Types'!#REF!,"AAAAAH++doE=")</f>
        <v>#REF!</v>
      </c>
      <c r="EA94" t="e">
        <f>AND('Reg Types'!#REF!,"AAAAAH++doI=")</f>
        <v>#REF!</v>
      </c>
      <c r="EB94" t="e">
        <f>AND('Reg Types'!#REF!,"AAAAAH++doM=")</f>
        <v>#REF!</v>
      </c>
      <c r="EC94" t="e">
        <f>AND('Reg Types'!#REF!,"AAAAAH++doQ=")</f>
        <v>#REF!</v>
      </c>
      <c r="ED94" t="e">
        <f>AND('Reg Types'!#REF!,"AAAAAH++doU=")</f>
        <v>#REF!</v>
      </c>
      <c r="EE94" t="e">
        <f>AND('Reg Types'!#REF!,"AAAAAH++doY=")</f>
        <v>#REF!</v>
      </c>
      <c r="EF94" t="e">
        <f>AND('Reg Types'!#REF!,"AAAAAH++doc=")</f>
        <v>#REF!</v>
      </c>
      <c r="EG94" t="e">
        <f>AND('Reg Types'!#REF!,"AAAAAH++dog=")</f>
        <v>#REF!</v>
      </c>
      <c r="EH94" t="e">
        <f>AND('Reg Types'!#REF!,"AAAAAH++dok=")</f>
        <v>#REF!</v>
      </c>
      <c r="EI94" t="e">
        <f>AND('Reg Types'!#REF!,"AAAAAH++doo=")</f>
        <v>#REF!</v>
      </c>
      <c r="EJ94" t="e">
        <f>AND('Reg Types'!#REF!,"AAAAAH++dos=")</f>
        <v>#REF!</v>
      </c>
      <c r="EK94" t="e">
        <f>AND('Reg Types'!#REF!,"AAAAAH++dow=")</f>
        <v>#REF!</v>
      </c>
      <c r="EL94" t="e">
        <f>AND('Reg Types'!#REF!,"AAAAAH++do0=")</f>
        <v>#REF!</v>
      </c>
      <c r="EM94" t="e">
        <f>AND('Reg Types'!#REF!,"AAAAAH++do4=")</f>
        <v>#REF!</v>
      </c>
      <c r="EN94" t="e">
        <f>AND('Reg Types'!#REF!,"AAAAAH++do8=")</f>
        <v>#REF!</v>
      </c>
      <c r="EO94" t="e">
        <f>AND('Reg Types'!#REF!,"AAAAAH++dpA=")</f>
        <v>#REF!</v>
      </c>
      <c r="EP94" t="e">
        <f>AND('Reg Types'!#REF!,"AAAAAH++dpE=")</f>
        <v>#REF!</v>
      </c>
      <c r="EQ94" t="e">
        <f>AND('Reg Types'!#REF!,"AAAAAH++dpI=")</f>
        <v>#REF!</v>
      </c>
      <c r="ER94" t="e">
        <f>IF('Reg Types'!#REF!,"AAAAAH++dpM=",0)</f>
        <v>#REF!</v>
      </c>
      <c r="ES94" t="e">
        <f>AND('Reg Types'!#REF!,"AAAAAH++dpQ=")</f>
        <v>#REF!</v>
      </c>
      <c r="ET94" t="e">
        <f>AND('Reg Types'!#REF!,"AAAAAH++dpU=")</f>
        <v>#REF!</v>
      </c>
      <c r="EU94" t="e">
        <f>AND('Reg Types'!#REF!,"AAAAAH++dpY=")</f>
        <v>#REF!</v>
      </c>
      <c r="EV94" t="e">
        <f>AND('Reg Types'!#REF!,"AAAAAH++dpc=")</f>
        <v>#REF!</v>
      </c>
      <c r="EW94" t="e">
        <f>AND('Reg Types'!#REF!,"AAAAAH++dpg=")</f>
        <v>#REF!</v>
      </c>
      <c r="EX94" t="e">
        <f>AND('Reg Types'!#REF!,"AAAAAH++dpk=")</f>
        <v>#REF!</v>
      </c>
      <c r="EY94" t="e">
        <f>AND('Reg Types'!#REF!,"AAAAAH++dpo=")</f>
        <v>#REF!</v>
      </c>
      <c r="EZ94" t="e">
        <f>AND('Reg Types'!#REF!,"AAAAAH++dps=")</f>
        <v>#REF!</v>
      </c>
      <c r="FA94" t="e">
        <f>AND('Reg Types'!#REF!,"AAAAAH++dpw=")</f>
        <v>#REF!</v>
      </c>
      <c r="FB94" t="e">
        <f>AND('Reg Types'!#REF!,"AAAAAH++dp0=")</f>
        <v>#REF!</v>
      </c>
      <c r="FC94" t="e">
        <f>AND('Reg Types'!#REF!,"AAAAAH++dp4=")</f>
        <v>#REF!</v>
      </c>
      <c r="FD94" t="e">
        <f>AND('Reg Types'!#REF!,"AAAAAH++dp8=")</f>
        <v>#REF!</v>
      </c>
      <c r="FE94" t="e">
        <f>AND('Reg Types'!#REF!,"AAAAAH++dqA=")</f>
        <v>#REF!</v>
      </c>
      <c r="FF94" t="e">
        <f>AND('Reg Types'!#REF!,"AAAAAH++dqE=")</f>
        <v>#REF!</v>
      </c>
      <c r="FG94" t="e">
        <f>AND('Reg Types'!#REF!,"AAAAAH++dqI=")</f>
        <v>#REF!</v>
      </c>
      <c r="FH94" t="e">
        <f>AND('Reg Types'!#REF!,"AAAAAH++dqM=")</f>
        <v>#REF!</v>
      </c>
      <c r="FI94" t="e">
        <f>AND('Reg Types'!#REF!,"AAAAAH++dqQ=")</f>
        <v>#REF!</v>
      </c>
      <c r="FJ94" t="e">
        <f>AND('Reg Types'!#REF!,"AAAAAH++dqU=")</f>
        <v>#REF!</v>
      </c>
      <c r="FK94" t="e">
        <f>AND('Reg Types'!#REF!,"AAAAAH++dqY=")</f>
        <v>#REF!</v>
      </c>
      <c r="FL94" t="e">
        <f>AND('Reg Types'!#REF!,"AAAAAH++dqc=")</f>
        <v>#REF!</v>
      </c>
      <c r="FM94" t="e">
        <f>AND('Reg Types'!#REF!,"AAAAAH++dqg=")</f>
        <v>#REF!</v>
      </c>
      <c r="FN94" t="e">
        <f>AND('Reg Types'!#REF!,"AAAAAH++dqk=")</f>
        <v>#REF!</v>
      </c>
      <c r="FO94" t="e">
        <f>AND('Reg Types'!#REF!,"AAAAAH++dqo=")</f>
        <v>#REF!</v>
      </c>
      <c r="FP94" t="e">
        <f>IF('Reg Types'!#REF!,"AAAAAH++dqs=",0)</f>
        <v>#REF!</v>
      </c>
      <c r="FQ94" t="e">
        <f>AND('Reg Types'!#REF!,"AAAAAH++dqw=")</f>
        <v>#REF!</v>
      </c>
      <c r="FR94" t="e">
        <f>AND('Reg Types'!#REF!,"AAAAAH++dq0=")</f>
        <v>#REF!</v>
      </c>
      <c r="FS94" t="e">
        <f>AND('Reg Types'!#REF!,"AAAAAH++dq4=")</f>
        <v>#REF!</v>
      </c>
      <c r="FT94" t="e">
        <f>AND('Reg Types'!#REF!,"AAAAAH++dq8=")</f>
        <v>#REF!</v>
      </c>
      <c r="FU94" t="e">
        <f>AND('Reg Types'!#REF!,"AAAAAH++drA=")</f>
        <v>#REF!</v>
      </c>
      <c r="FV94" t="e">
        <f>AND('Reg Types'!#REF!,"AAAAAH++drE=")</f>
        <v>#REF!</v>
      </c>
      <c r="FW94" t="e">
        <f>AND('Reg Types'!#REF!,"AAAAAH++drI=")</f>
        <v>#REF!</v>
      </c>
      <c r="FX94" t="e">
        <f>AND('Reg Types'!#REF!,"AAAAAH++drM=")</f>
        <v>#REF!</v>
      </c>
      <c r="FY94" t="e">
        <f>AND('Reg Types'!#REF!,"AAAAAH++drQ=")</f>
        <v>#REF!</v>
      </c>
      <c r="FZ94" t="e">
        <f>AND('Reg Types'!#REF!,"AAAAAH++drU=")</f>
        <v>#REF!</v>
      </c>
      <c r="GA94" t="e">
        <f>AND('Reg Types'!#REF!,"AAAAAH++drY=")</f>
        <v>#REF!</v>
      </c>
      <c r="GB94" t="e">
        <f>AND('Reg Types'!#REF!,"AAAAAH++drc=")</f>
        <v>#REF!</v>
      </c>
      <c r="GC94" t="e">
        <f>AND('Reg Types'!#REF!,"AAAAAH++drg=")</f>
        <v>#REF!</v>
      </c>
      <c r="GD94" t="e">
        <f>AND('Reg Types'!#REF!,"AAAAAH++drk=")</f>
        <v>#REF!</v>
      </c>
      <c r="GE94" t="e">
        <f>AND('Reg Types'!#REF!,"AAAAAH++dro=")</f>
        <v>#REF!</v>
      </c>
      <c r="GF94" t="e">
        <f>AND('Reg Types'!#REF!,"AAAAAH++drs=")</f>
        <v>#REF!</v>
      </c>
      <c r="GG94" t="e">
        <f>AND('Reg Types'!#REF!,"AAAAAH++drw=")</f>
        <v>#REF!</v>
      </c>
      <c r="GH94" t="e">
        <f>AND('Reg Types'!#REF!,"AAAAAH++dr0=")</f>
        <v>#REF!</v>
      </c>
      <c r="GI94" t="e">
        <f>AND('Reg Types'!#REF!,"AAAAAH++dr4=")</f>
        <v>#REF!</v>
      </c>
      <c r="GJ94" t="e">
        <f>AND('Reg Types'!#REF!,"AAAAAH++dr8=")</f>
        <v>#REF!</v>
      </c>
      <c r="GK94" t="e">
        <f>AND('Reg Types'!#REF!,"AAAAAH++dsA=")</f>
        <v>#REF!</v>
      </c>
      <c r="GL94" t="e">
        <f>AND('Reg Types'!#REF!,"AAAAAH++dsE=")</f>
        <v>#REF!</v>
      </c>
      <c r="GM94" t="e">
        <f>AND('Reg Types'!#REF!,"AAAAAH++dsI=")</f>
        <v>#REF!</v>
      </c>
      <c r="GN94" t="e">
        <f>IF('Reg Types'!#REF!,"AAAAAH++dsM=",0)</f>
        <v>#REF!</v>
      </c>
      <c r="GO94" t="e">
        <f>AND('Reg Types'!#REF!,"AAAAAH++dsQ=")</f>
        <v>#REF!</v>
      </c>
      <c r="GP94" t="e">
        <f>AND('Reg Types'!#REF!,"AAAAAH++dsU=")</f>
        <v>#REF!</v>
      </c>
      <c r="GQ94" t="e">
        <f>AND('Reg Types'!#REF!,"AAAAAH++dsY=")</f>
        <v>#REF!</v>
      </c>
      <c r="GR94" t="e">
        <f>AND('Reg Types'!#REF!,"AAAAAH++dsc=")</f>
        <v>#REF!</v>
      </c>
      <c r="GS94" t="e">
        <f>AND('Reg Types'!#REF!,"AAAAAH++dsg=")</f>
        <v>#REF!</v>
      </c>
      <c r="GT94" t="e">
        <f>AND('Reg Types'!#REF!,"AAAAAH++dsk=")</f>
        <v>#REF!</v>
      </c>
      <c r="GU94" t="e">
        <f>AND('Reg Types'!#REF!,"AAAAAH++dso=")</f>
        <v>#REF!</v>
      </c>
      <c r="GV94" t="e">
        <f>AND('Reg Types'!#REF!,"AAAAAH++dss=")</f>
        <v>#REF!</v>
      </c>
      <c r="GW94" t="e">
        <f>AND('Reg Types'!#REF!,"AAAAAH++dsw=")</f>
        <v>#REF!</v>
      </c>
      <c r="GX94" t="e">
        <f>AND('Reg Types'!#REF!,"AAAAAH++ds0=")</f>
        <v>#REF!</v>
      </c>
      <c r="GY94" t="e">
        <f>AND('Reg Types'!#REF!,"AAAAAH++ds4=")</f>
        <v>#REF!</v>
      </c>
      <c r="GZ94" t="e">
        <f>AND('Reg Types'!#REF!,"AAAAAH++ds8=")</f>
        <v>#REF!</v>
      </c>
      <c r="HA94" t="e">
        <f>AND('Reg Types'!#REF!,"AAAAAH++dtA=")</f>
        <v>#REF!</v>
      </c>
      <c r="HB94" t="e">
        <f>AND('Reg Types'!#REF!,"AAAAAH++dtE=")</f>
        <v>#REF!</v>
      </c>
      <c r="HC94" t="e">
        <f>AND('Reg Types'!#REF!,"AAAAAH++dtI=")</f>
        <v>#REF!</v>
      </c>
      <c r="HD94" t="e">
        <f>AND('Reg Types'!#REF!,"AAAAAH++dtM=")</f>
        <v>#REF!</v>
      </c>
      <c r="HE94" t="e">
        <f>AND('Reg Types'!#REF!,"AAAAAH++dtQ=")</f>
        <v>#REF!</v>
      </c>
      <c r="HF94" t="e">
        <f>AND('Reg Types'!#REF!,"AAAAAH++dtU=")</f>
        <v>#REF!</v>
      </c>
      <c r="HG94" t="e">
        <f>AND('Reg Types'!#REF!,"AAAAAH++dtY=")</f>
        <v>#REF!</v>
      </c>
      <c r="HH94" t="e">
        <f>AND('Reg Types'!#REF!,"AAAAAH++dtc=")</f>
        <v>#REF!</v>
      </c>
      <c r="HI94" t="e">
        <f>AND('Reg Types'!#REF!,"AAAAAH++dtg=")</f>
        <v>#REF!</v>
      </c>
      <c r="HJ94" t="e">
        <f>AND('Reg Types'!#REF!,"AAAAAH++dtk=")</f>
        <v>#REF!</v>
      </c>
      <c r="HK94" t="e">
        <f>AND('Reg Types'!#REF!,"AAAAAH++dto=")</f>
        <v>#REF!</v>
      </c>
      <c r="HL94" t="e">
        <f>IF('Reg Types'!#REF!,"AAAAAH++dts=",0)</f>
        <v>#REF!</v>
      </c>
      <c r="HM94" t="e">
        <f>AND('Reg Types'!#REF!,"AAAAAH++dtw=")</f>
        <v>#REF!</v>
      </c>
      <c r="HN94" t="e">
        <f>AND('Reg Types'!#REF!,"AAAAAH++dt0=")</f>
        <v>#REF!</v>
      </c>
      <c r="HO94" t="e">
        <f>AND('Reg Types'!#REF!,"AAAAAH++dt4=")</f>
        <v>#REF!</v>
      </c>
      <c r="HP94" t="e">
        <f>AND('Reg Types'!#REF!,"AAAAAH++dt8=")</f>
        <v>#REF!</v>
      </c>
      <c r="HQ94" t="e">
        <f>AND('Reg Types'!#REF!,"AAAAAH++duA=")</f>
        <v>#REF!</v>
      </c>
      <c r="HR94" t="e">
        <f>AND('Reg Types'!#REF!,"AAAAAH++duE=")</f>
        <v>#REF!</v>
      </c>
      <c r="HS94" t="e">
        <f>AND('Reg Types'!#REF!,"AAAAAH++duI=")</f>
        <v>#REF!</v>
      </c>
      <c r="HT94" t="e">
        <f>AND('Reg Types'!#REF!,"AAAAAH++duM=")</f>
        <v>#REF!</v>
      </c>
      <c r="HU94" t="e">
        <f>AND('Reg Types'!#REF!,"AAAAAH++duQ=")</f>
        <v>#REF!</v>
      </c>
      <c r="HV94" t="e">
        <f>AND('Reg Types'!#REF!,"AAAAAH++duU=")</f>
        <v>#REF!</v>
      </c>
      <c r="HW94" t="e">
        <f>AND('Reg Types'!#REF!,"AAAAAH++duY=")</f>
        <v>#REF!</v>
      </c>
      <c r="HX94" t="e">
        <f>AND('Reg Types'!#REF!,"AAAAAH++duc=")</f>
        <v>#REF!</v>
      </c>
      <c r="HY94" t="e">
        <f>AND('Reg Types'!#REF!,"AAAAAH++dug=")</f>
        <v>#REF!</v>
      </c>
      <c r="HZ94" t="e">
        <f>AND('Reg Types'!#REF!,"AAAAAH++duk=")</f>
        <v>#REF!</v>
      </c>
      <c r="IA94" t="e">
        <f>AND('Reg Types'!#REF!,"AAAAAH++duo=")</f>
        <v>#REF!</v>
      </c>
      <c r="IB94" t="e">
        <f>AND('Reg Types'!#REF!,"AAAAAH++dus=")</f>
        <v>#REF!</v>
      </c>
      <c r="IC94" t="e">
        <f>AND('Reg Types'!#REF!,"AAAAAH++duw=")</f>
        <v>#REF!</v>
      </c>
      <c r="ID94" t="e">
        <f>AND('Reg Types'!#REF!,"AAAAAH++du0=")</f>
        <v>#REF!</v>
      </c>
      <c r="IE94" t="e">
        <f>AND('Reg Types'!#REF!,"AAAAAH++du4=")</f>
        <v>#REF!</v>
      </c>
      <c r="IF94" t="e">
        <f>AND('Reg Types'!#REF!,"AAAAAH++du8=")</f>
        <v>#REF!</v>
      </c>
      <c r="IG94" t="e">
        <f>AND('Reg Types'!#REF!,"AAAAAH++dvA=")</f>
        <v>#REF!</v>
      </c>
      <c r="IH94" t="e">
        <f>AND('Reg Types'!#REF!,"AAAAAH++dvE=")</f>
        <v>#REF!</v>
      </c>
      <c r="II94" t="e">
        <f>AND('Reg Types'!#REF!,"AAAAAH++dvI=")</f>
        <v>#REF!</v>
      </c>
      <c r="IJ94" t="e">
        <f>IF('Reg Types'!#REF!,"AAAAAH++dvM=",0)</f>
        <v>#REF!</v>
      </c>
      <c r="IK94" t="e">
        <f>AND('Reg Types'!#REF!,"AAAAAH++dvQ=")</f>
        <v>#REF!</v>
      </c>
      <c r="IL94" t="e">
        <f>AND('Reg Types'!#REF!,"AAAAAH++dvU=")</f>
        <v>#REF!</v>
      </c>
      <c r="IM94" t="e">
        <f>AND('Reg Types'!#REF!,"AAAAAH++dvY=")</f>
        <v>#REF!</v>
      </c>
      <c r="IN94" t="e">
        <f>AND('Reg Types'!#REF!,"AAAAAH++dvc=")</f>
        <v>#REF!</v>
      </c>
      <c r="IO94" t="e">
        <f>AND('Reg Types'!#REF!,"AAAAAH++dvg=")</f>
        <v>#REF!</v>
      </c>
      <c r="IP94" t="e">
        <f>AND('Reg Types'!#REF!,"AAAAAH++dvk=")</f>
        <v>#REF!</v>
      </c>
      <c r="IQ94" t="e">
        <f>AND('Reg Types'!#REF!,"AAAAAH++dvo=")</f>
        <v>#REF!</v>
      </c>
      <c r="IR94" t="e">
        <f>AND('Reg Types'!#REF!,"AAAAAH++dvs=")</f>
        <v>#REF!</v>
      </c>
      <c r="IS94" t="e">
        <f>AND('Reg Types'!#REF!,"AAAAAH++dvw=")</f>
        <v>#REF!</v>
      </c>
      <c r="IT94" t="e">
        <f>AND('Reg Types'!#REF!,"AAAAAH++dv0=")</f>
        <v>#REF!</v>
      </c>
      <c r="IU94" t="e">
        <f>AND('Reg Types'!#REF!,"AAAAAH++dv4=")</f>
        <v>#REF!</v>
      </c>
      <c r="IV94" t="e">
        <f>AND('Reg Types'!#REF!,"AAAAAH++dv8=")</f>
        <v>#REF!</v>
      </c>
    </row>
    <row r="95" spans="1:256" x14ac:dyDescent="0.2">
      <c r="A95" t="e">
        <f>AND('Reg Types'!#REF!,"AAAAAHfe3wA=")</f>
        <v>#REF!</v>
      </c>
      <c r="B95" t="e">
        <f>AND('Reg Types'!#REF!,"AAAAAHfe3wE=")</f>
        <v>#REF!</v>
      </c>
      <c r="C95" t="e">
        <f>AND('Reg Types'!#REF!,"AAAAAHfe3wI=")</f>
        <v>#REF!</v>
      </c>
      <c r="D95" t="e">
        <f>AND('Reg Types'!#REF!,"AAAAAHfe3wM=")</f>
        <v>#REF!</v>
      </c>
      <c r="E95" t="e">
        <f>AND('Reg Types'!#REF!,"AAAAAHfe3wQ=")</f>
        <v>#REF!</v>
      </c>
      <c r="F95" t="e">
        <f>AND('Reg Types'!#REF!,"AAAAAHfe3wU=")</f>
        <v>#REF!</v>
      </c>
      <c r="G95" t="e">
        <f>AND('Reg Types'!#REF!,"AAAAAHfe3wY=")</f>
        <v>#REF!</v>
      </c>
      <c r="H95" t="e">
        <f>AND('Reg Types'!#REF!,"AAAAAHfe3wc=")</f>
        <v>#REF!</v>
      </c>
      <c r="I95" t="e">
        <f>AND('Reg Types'!#REF!,"AAAAAHfe3wg=")</f>
        <v>#REF!</v>
      </c>
      <c r="J95" t="e">
        <f>AND('Reg Types'!#REF!,"AAAAAHfe3wk=")</f>
        <v>#REF!</v>
      </c>
      <c r="K95" t="e">
        <f>AND('Reg Types'!#REF!,"AAAAAHfe3wo=")</f>
        <v>#REF!</v>
      </c>
      <c r="L95" t="e">
        <f>IF('Reg Types'!#REF!,"AAAAAHfe3ws=",0)</f>
        <v>#REF!</v>
      </c>
      <c r="M95" t="e">
        <f>AND('Reg Types'!#REF!,"AAAAAHfe3ww=")</f>
        <v>#REF!</v>
      </c>
      <c r="N95" t="e">
        <f>AND('Reg Types'!#REF!,"AAAAAHfe3w0=")</f>
        <v>#REF!</v>
      </c>
      <c r="O95" t="e">
        <f>AND('Reg Types'!#REF!,"AAAAAHfe3w4=")</f>
        <v>#REF!</v>
      </c>
      <c r="P95" t="e">
        <f>AND('Reg Types'!#REF!,"AAAAAHfe3w8=")</f>
        <v>#REF!</v>
      </c>
      <c r="Q95" t="e">
        <f>AND('Reg Types'!#REF!,"AAAAAHfe3xA=")</f>
        <v>#REF!</v>
      </c>
      <c r="R95" t="e">
        <f>AND('Reg Types'!#REF!,"AAAAAHfe3xE=")</f>
        <v>#REF!</v>
      </c>
      <c r="S95" t="e">
        <f>AND('Reg Types'!#REF!,"AAAAAHfe3xI=")</f>
        <v>#REF!</v>
      </c>
      <c r="T95" t="e">
        <f>AND('Reg Types'!#REF!,"AAAAAHfe3xM=")</f>
        <v>#REF!</v>
      </c>
      <c r="U95" t="e">
        <f>AND('Reg Types'!#REF!,"AAAAAHfe3xQ=")</f>
        <v>#REF!</v>
      </c>
      <c r="V95" t="e">
        <f>AND('Reg Types'!#REF!,"AAAAAHfe3xU=")</f>
        <v>#REF!</v>
      </c>
      <c r="W95" t="e">
        <f>AND('Reg Types'!#REF!,"AAAAAHfe3xY=")</f>
        <v>#REF!</v>
      </c>
      <c r="X95" t="e">
        <f>AND('Reg Types'!#REF!,"AAAAAHfe3xc=")</f>
        <v>#REF!</v>
      </c>
      <c r="Y95" t="e">
        <f>AND('Reg Types'!#REF!,"AAAAAHfe3xg=")</f>
        <v>#REF!</v>
      </c>
      <c r="Z95" t="e">
        <f>AND('Reg Types'!#REF!,"AAAAAHfe3xk=")</f>
        <v>#REF!</v>
      </c>
      <c r="AA95" t="e">
        <f>AND('Reg Types'!#REF!,"AAAAAHfe3xo=")</f>
        <v>#REF!</v>
      </c>
      <c r="AB95" t="e">
        <f>AND('Reg Types'!#REF!,"AAAAAHfe3xs=")</f>
        <v>#REF!</v>
      </c>
      <c r="AC95" t="e">
        <f>AND('Reg Types'!#REF!,"AAAAAHfe3xw=")</f>
        <v>#REF!</v>
      </c>
      <c r="AD95" t="e">
        <f>AND('Reg Types'!#REF!,"AAAAAHfe3x0=")</f>
        <v>#REF!</v>
      </c>
      <c r="AE95" t="e">
        <f>AND('Reg Types'!#REF!,"AAAAAHfe3x4=")</f>
        <v>#REF!</v>
      </c>
      <c r="AF95" t="e">
        <f>AND('Reg Types'!#REF!,"AAAAAHfe3x8=")</f>
        <v>#REF!</v>
      </c>
      <c r="AG95" t="e">
        <f>AND('Reg Types'!#REF!,"AAAAAHfe3yA=")</f>
        <v>#REF!</v>
      </c>
      <c r="AH95" t="e">
        <f>AND('Reg Types'!#REF!,"AAAAAHfe3yE=")</f>
        <v>#REF!</v>
      </c>
      <c r="AI95" t="e">
        <f>AND('Reg Types'!#REF!,"AAAAAHfe3yI=")</f>
        <v>#REF!</v>
      </c>
      <c r="AJ95" t="e">
        <f>IF('Reg Types'!#REF!,"AAAAAHfe3yM=",0)</f>
        <v>#REF!</v>
      </c>
      <c r="AK95" t="e">
        <f>AND('Reg Types'!#REF!,"AAAAAHfe3yQ=")</f>
        <v>#REF!</v>
      </c>
      <c r="AL95" t="e">
        <f>AND('Reg Types'!#REF!,"AAAAAHfe3yU=")</f>
        <v>#REF!</v>
      </c>
      <c r="AM95" t="e">
        <f>AND('Reg Types'!#REF!,"AAAAAHfe3yY=")</f>
        <v>#REF!</v>
      </c>
      <c r="AN95" t="e">
        <f>AND('Reg Types'!#REF!,"AAAAAHfe3yc=")</f>
        <v>#REF!</v>
      </c>
      <c r="AO95" t="e">
        <f>AND('Reg Types'!#REF!,"AAAAAHfe3yg=")</f>
        <v>#REF!</v>
      </c>
      <c r="AP95" t="e">
        <f>AND('Reg Types'!#REF!,"AAAAAHfe3yk=")</f>
        <v>#REF!</v>
      </c>
      <c r="AQ95" t="e">
        <f>AND('Reg Types'!#REF!,"AAAAAHfe3yo=")</f>
        <v>#REF!</v>
      </c>
      <c r="AR95" t="e">
        <f>AND('Reg Types'!#REF!,"AAAAAHfe3ys=")</f>
        <v>#REF!</v>
      </c>
      <c r="AS95" t="e">
        <f>AND('Reg Types'!#REF!,"AAAAAHfe3yw=")</f>
        <v>#REF!</v>
      </c>
      <c r="AT95" t="e">
        <f>AND('Reg Types'!#REF!,"AAAAAHfe3y0=")</f>
        <v>#REF!</v>
      </c>
      <c r="AU95" t="e">
        <f>AND('Reg Types'!#REF!,"AAAAAHfe3y4=")</f>
        <v>#REF!</v>
      </c>
      <c r="AV95" t="e">
        <f>AND('Reg Types'!#REF!,"AAAAAHfe3y8=")</f>
        <v>#REF!</v>
      </c>
      <c r="AW95" t="e">
        <f>AND('Reg Types'!#REF!,"AAAAAHfe3zA=")</f>
        <v>#REF!</v>
      </c>
      <c r="AX95" t="e">
        <f>AND('Reg Types'!#REF!,"AAAAAHfe3zE=")</f>
        <v>#REF!</v>
      </c>
      <c r="AY95" t="e">
        <f>AND('Reg Types'!#REF!,"AAAAAHfe3zI=")</f>
        <v>#REF!</v>
      </c>
      <c r="AZ95" t="e">
        <f>AND('Reg Types'!#REF!,"AAAAAHfe3zM=")</f>
        <v>#REF!</v>
      </c>
      <c r="BA95" t="e">
        <f>AND('Reg Types'!#REF!,"AAAAAHfe3zQ=")</f>
        <v>#REF!</v>
      </c>
      <c r="BB95" t="e">
        <f>AND('Reg Types'!#REF!,"AAAAAHfe3zU=")</f>
        <v>#REF!</v>
      </c>
      <c r="BC95" t="e">
        <f>AND('Reg Types'!#REF!,"AAAAAHfe3zY=")</f>
        <v>#REF!</v>
      </c>
      <c r="BD95" t="e">
        <f>AND('Reg Types'!#REF!,"AAAAAHfe3zc=")</f>
        <v>#REF!</v>
      </c>
      <c r="BE95" t="e">
        <f>AND('Reg Types'!#REF!,"AAAAAHfe3zg=")</f>
        <v>#REF!</v>
      </c>
      <c r="BF95" t="e">
        <f>AND('Reg Types'!#REF!,"AAAAAHfe3zk=")</f>
        <v>#REF!</v>
      </c>
      <c r="BG95" t="e">
        <f>AND('Reg Types'!#REF!,"AAAAAHfe3zo=")</f>
        <v>#REF!</v>
      </c>
      <c r="BH95" t="e">
        <f>IF('Reg Types'!#REF!,"AAAAAHfe3zs=",0)</f>
        <v>#REF!</v>
      </c>
      <c r="BI95" t="e">
        <f>AND('Reg Types'!#REF!,"AAAAAHfe3zw=")</f>
        <v>#REF!</v>
      </c>
      <c r="BJ95" t="e">
        <f>AND('Reg Types'!#REF!,"AAAAAHfe3z0=")</f>
        <v>#REF!</v>
      </c>
      <c r="BK95" t="e">
        <f>AND('Reg Types'!#REF!,"AAAAAHfe3z4=")</f>
        <v>#REF!</v>
      </c>
      <c r="BL95" t="e">
        <f>AND('Reg Types'!#REF!,"AAAAAHfe3z8=")</f>
        <v>#REF!</v>
      </c>
      <c r="BM95" t="e">
        <f>AND('Reg Types'!#REF!,"AAAAAHfe30A=")</f>
        <v>#REF!</v>
      </c>
      <c r="BN95" t="e">
        <f>AND('Reg Types'!#REF!,"AAAAAHfe30E=")</f>
        <v>#REF!</v>
      </c>
      <c r="BO95" t="e">
        <f>AND('Reg Types'!#REF!,"AAAAAHfe30I=")</f>
        <v>#REF!</v>
      </c>
      <c r="BP95" t="e">
        <f>AND('Reg Types'!#REF!,"AAAAAHfe30M=")</f>
        <v>#REF!</v>
      </c>
      <c r="BQ95" t="e">
        <f>AND('Reg Types'!#REF!,"AAAAAHfe30Q=")</f>
        <v>#REF!</v>
      </c>
      <c r="BR95" t="e">
        <f>AND('Reg Types'!#REF!,"AAAAAHfe30U=")</f>
        <v>#REF!</v>
      </c>
      <c r="BS95" t="e">
        <f>AND('Reg Types'!#REF!,"AAAAAHfe30Y=")</f>
        <v>#REF!</v>
      </c>
      <c r="BT95" t="e">
        <f>AND('Reg Types'!#REF!,"AAAAAHfe30c=")</f>
        <v>#REF!</v>
      </c>
      <c r="BU95" t="e">
        <f>AND('Reg Types'!#REF!,"AAAAAHfe30g=")</f>
        <v>#REF!</v>
      </c>
      <c r="BV95" t="e">
        <f>AND('Reg Types'!#REF!,"AAAAAHfe30k=")</f>
        <v>#REF!</v>
      </c>
      <c r="BW95" t="e">
        <f>AND('Reg Types'!#REF!,"AAAAAHfe30o=")</f>
        <v>#REF!</v>
      </c>
      <c r="BX95" t="e">
        <f>AND('Reg Types'!#REF!,"AAAAAHfe30s=")</f>
        <v>#REF!</v>
      </c>
      <c r="BY95" t="e">
        <f>AND('Reg Types'!#REF!,"AAAAAHfe30w=")</f>
        <v>#REF!</v>
      </c>
      <c r="BZ95" t="e">
        <f>AND('Reg Types'!#REF!,"AAAAAHfe300=")</f>
        <v>#REF!</v>
      </c>
      <c r="CA95" t="e">
        <f>AND('Reg Types'!#REF!,"AAAAAHfe304=")</f>
        <v>#REF!</v>
      </c>
      <c r="CB95" t="e">
        <f>AND('Reg Types'!#REF!,"AAAAAHfe308=")</f>
        <v>#REF!</v>
      </c>
      <c r="CC95" t="e">
        <f>AND('Reg Types'!#REF!,"AAAAAHfe31A=")</f>
        <v>#REF!</v>
      </c>
      <c r="CD95" t="e">
        <f>AND('Reg Types'!#REF!,"AAAAAHfe31E=")</f>
        <v>#REF!</v>
      </c>
      <c r="CE95" t="e">
        <f>AND('Reg Types'!#REF!,"AAAAAHfe31I=")</f>
        <v>#REF!</v>
      </c>
      <c r="CF95" t="e">
        <f>IF('Reg Types'!#REF!,"AAAAAHfe31M=",0)</f>
        <v>#REF!</v>
      </c>
      <c r="CG95" t="e">
        <f>AND('Reg Types'!#REF!,"AAAAAHfe31Q=")</f>
        <v>#REF!</v>
      </c>
      <c r="CH95" t="e">
        <f>AND('Reg Types'!#REF!,"AAAAAHfe31U=")</f>
        <v>#REF!</v>
      </c>
      <c r="CI95" t="e">
        <f>AND('Reg Types'!#REF!,"AAAAAHfe31Y=")</f>
        <v>#REF!</v>
      </c>
      <c r="CJ95" t="e">
        <f>AND('Reg Types'!#REF!,"AAAAAHfe31c=")</f>
        <v>#REF!</v>
      </c>
      <c r="CK95" t="e">
        <f>AND('Reg Types'!#REF!,"AAAAAHfe31g=")</f>
        <v>#REF!</v>
      </c>
      <c r="CL95" t="e">
        <f>AND('Reg Types'!#REF!,"AAAAAHfe31k=")</f>
        <v>#REF!</v>
      </c>
      <c r="CM95" t="e">
        <f>AND('Reg Types'!#REF!,"AAAAAHfe31o=")</f>
        <v>#REF!</v>
      </c>
      <c r="CN95" t="e">
        <f>AND('Reg Types'!#REF!,"AAAAAHfe31s=")</f>
        <v>#REF!</v>
      </c>
      <c r="CO95" t="e">
        <f>AND('Reg Types'!#REF!,"AAAAAHfe31w=")</f>
        <v>#REF!</v>
      </c>
      <c r="CP95" t="e">
        <f>AND('Reg Types'!#REF!,"AAAAAHfe310=")</f>
        <v>#REF!</v>
      </c>
      <c r="CQ95" t="e">
        <f>AND('Reg Types'!#REF!,"AAAAAHfe314=")</f>
        <v>#REF!</v>
      </c>
      <c r="CR95" t="e">
        <f>AND('Reg Types'!#REF!,"AAAAAHfe318=")</f>
        <v>#REF!</v>
      </c>
      <c r="CS95" t="e">
        <f>AND('Reg Types'!#REF!,"AAAAAHfe32A=")</f>
        <v>#REF!</v>
      </c>
      <c r="CT95" t="e">
        <f>AND('Reg Types'!#REF!,"AAAAAHfe32E=")</f>
        <v>#REF!</v>
      </c>
      <c r="CU95" t="e">
        <f>AND('Reg Types'!#REF!,"AAAAAHfe32I=")</f>
        <v>#REF!</v>
      </c>
      <c r="CV95" t="e">
        <f>AND('Reg Types'!#REF!,"AAAAAHfe32M=")</f>
        <v>#REF!</v>
      </c>
      <c r="CW95" t="e">
        <f>AND('Reg Types'!#REF!,"AAAAAHfe32Q=")</f>
        <v>#REF!</v>
      </c>
      <c r="CX95" t="e">
        <f>AND('Reg Types'!#REF!,"AAAAAHfe32U=")</f>
        <v>#REF!</v>
      </c>
      <c r="CY95" t="e">
        <f>AND('Reg Types'!#REF!,"AAAAAHfe32Y=")</f>
        <v>#REF!</v>
      </c>
      <c r="CZ95" t="e">
        <f>AND('Reg Types'!#REF!,"AAAAAHfe32c=")</f>
        <v>#REF!</v>
      </c>
      <c r="DA95" t="e">
        <f>AND('Reg Types'!#REF!,"AAAAAHfe32g=")</f>
        <v>#REF!</v>
      </c>
      <c r="DB95" t="e">
        <f>AND('Reg Types'!#REF!,"AAAAAHfe32k=")</f>
        <v>#REF!</v>
      </c>
      <c r="DC95" t="e">
        <f>AND('Reg Types'!#REF!,"AAAAAHfe32o=")</f>
        <v>#REF!</v>
      </c>
      <c r="DD95" t="e">
        <f>IF('Reg Types'!#REF!,"AAAAAHfe32s=",0)</f>
        <v>#REF!</v>
      </c>
      <c r="DE95" t="e">
        <f>AND('Reg Types'!#REF!,"AAAAAHfe32w=")</f>
        <v>#REF!</v>
      </c>
      <c r="DF95" t="e">
        <f>AND('Reg Types'!#REF!,"AAAAAHfe320=")</f>
        <v>#REF!</v>
      </c>
      <c r="DG95" t="e">
        <f>AND('Reg Types'!#REF!,"AAAAAHfe324=")</f>
        <v>#REF!</v>
      </c>
      <c r="DH95" t="e">
        <f>AND('Reg Types'!#REF!,"AAAAAHfe328=")</f>
        <v>#REF!</v>
      </c>
      <c r="DI95" t="e">
        <f>AND('Reg Types'!#REF!,"AAAAAHfe33A=")</f>
        <v>#REF!</v>
      </c>
      <c r="DJ95" t="e">
        <f>AND('Reg Types'!#REF!,"AAAAAHfe33E=")</f>
        <v>#REF!</v>
      </c>
      <c r="DK95" t="e">
        <f>AND('Reg Types'!#REF!,"AAAAAHfe33I=")</f>
        <v>#REF!</v>
      </c>
      <c r="DL95" t="e">
        <f>AND('Reg Types'!#REF!,"AAAAAHfe33M=")</f>
        <v>#REF!</v>
      </c>
      <c r="DM95" t="e">
        <f>AND('Reg Types'!#REF!,"AAAAAHfe33Q=")</f>
        <v>#REF!</v>
      </c>
      <c r="DN95" t="e">
        <f>AND('Reg Types'!#REF!,"AAAAAHfe33U=")</f>
        <v>#REF!</v>
      </c>
      <c r="DO95" t="e">
        <f>AND('Reg Types'!#REF!,"AAAAAHfe33Y=")</f>
        <v>#REF!</v>
      </c>
      <c r="DP95" t="e">
        <f>AND('Reg Types'!#REF!,"AAAAAHfe33c=")</f>
        <v>#REF!</v>
      </c>
      <c r="DQ95" t="e">
        <f>AND('Reg Types'!#REF!,"AAAAAHfe33g=")</f>
        <v>#REF!</v>
      </c>
      <c r="DR95" t="e">
        <f>AND('Reg Types'!#REF!,"AAAAAHfe33k=")</f>
        <v>#REF!</v>
      </c>
      <c r="DS95" t="e">
        <f>AND('Reg Types'!#REF!,"AAAAAHfe33o=")</f>
        <v>#REF!</v>
      </c>
      <c r="DT95" t="e">
        <f>AND('Reg Types'!#REF!,"AAAAAHfe33s=")</f>
        <v>#REF!</v>
      </c>
      <c r="DU95" t="e">
        <f>AND('Reg Types'!#REF!,"AAAAAHfe33w=")</f>
        <v>#REF!</v>
      </c>
      <c r="DV95" t="e">
        <f>AND('Reg Types'!#REF!,"AAAAAHfe330=")</f>
        <v>#REF!</v>
      </c>
      <c r="DW95" t="e">
        <f>AND('Reg Types'!#REF!,"AAAAAHfe334=")</f>
        <v>#REF!</v>
      </c>
      <c r="DX95" t="e">
        <f>AND('Reg Types'!#REF!,"AAAAAHfe338=")</f>
        <v>#REF!</v>
      </c>
      <c r="DY95" t="e">
        <f>AND('Reg Types'!#REF!,"AAAAAHfe34A=")</f>
        <v>#REF!</v>
      </c>
      <c r="DZ95" t="e">
        <f>AND('Reg Types'!#REF!,"AAAAAHfe34E=")</f>
        <v>#REF!</v>
      </c>
      <c r="EA95" t="e">
        <f>AND('Reg Types'!#REF!,"AAAAAHfe34I=")</f>
        <v>#REF!</v>
      </c>
      <c r="EB95" t="e">
        <f>IF('Reg Types'!#REF!,"AAAAAHfe34M=",0)</f>
        <v>#REF!</v>
      </c>
      <c r="EC95" t="e">
        <f>AND('Reg Types'!#REF!,"AAAAAHfe34Q=")</f>
        <v>#REF!</v>
      </c>
      <c r="ED95" t="e">
        <f>AND('Reg Types'!#REF!,"AAAAAHfe34U=")</f>
        <v>#REF!</v>
      </c>
      <c r="EE95" t="e">
        <f>AND('Reg Types'!#REF!,"AAAAAHfe34Y=")</f>
        <v>#REF!</v>
      </c>
      <c r="EF95" t="e">
        <f>AND('Reg Types'!#REF!,"AAAAAHfe34c=")</f>
        <v>#REF!</v>
      </c>
      <c r="EG95" t="e">
        <f>AND('Reg Types'!#REF!,"AAAAAHfe34g=")</f>
        <v>#REF!</v>
      </c>
      <c r="EH95" t="e">
        <f>AND('Reg Types'!#REF!,"AAAAAHfe34k=")</f>
        <v>#REF!</v>
      </c>
      <c r="EI95" t="e">
        <f>AND('Reg Types'!#REF!,"AAAAAHfe34o=")</f>
        <v>#REF!</v>
      </c>
      <c r="EJ95" t="e">
        <f>AND('Reg Types'!#REF!,"AAAAAHfe34s=")</f>
        <v>#REF!</v>
      </c>
      <c r="EK95" t="e">
        <f>AND('Reg Types'!#REF!,"AAAAAHfe34w=")</f>
        <v>#REF!</v>
      </c>
      <c r="EL95" t="e">
        <f>AND('Reg Types'!#REF!,"AAAAAHfe340=")</f>
        <v>#REF!</v>
      </c>
      <c r="EM95" t="e">
        <f>AND('Reg Types'!#REF!,"AAAAAHfe344=")</f>
        <v>#REF!</v>
      </c>
      <c r="EN95" t="e">
        <f>AND('Reg Types'!#REF!,"AAAAAHfe348=")</f>
        <v>#REF!</v>
      </c>
      <c r="EO95" t="e">
        <f>AND('Reg Types'!#REF!,"AAAAAHfe35A=")</f>
        <v>#REF!</v>
      </c>
      <c r="EP95" t="e">
        <f>AND('Reg Types'!#REF!,"AAAAAHfe35E=")</f>
        <v>#REF!</v>
      </c>
      <c r="EQ95" t="e">
        <f>AND('Reg Types'!#REF!,"AAAAAHfe35I=")</f>
        <v>#REF!</v>
      </c>
      <c r="ER95" t="e">
        <f>AND('Reg Types'!#REF!,"AAAAAHfe35M=")</f>
        <v>#REF!</v>
      </c>
      <c r="ES95" t="e">
        <f>AND('Reg Types'!#REF!,"AAAAAHfe35Q=")</f>
        <v>#REF!</v>
      </c>
      <c r="ET95" t="e">
        <f>AND('Reg Types'!#REF!,"AAAAAHfe35U=")</f>
        <v>#REF!</v>
      </c>
      <c r="EU95" t="e">
        <f>AND('Reg Types'!#REF!,"AAAAAHfe35Y=")</f>
        <v>#REF!</v>
      </c>
      <c r="EV95" t="e">
        <f>AND('Reg Types'!#REF!,"AAAAAHfe35c=")</f>
        <v>#REF!</v>
      </c>
      <c r="EW95" t="e">
        <f>AND('Reg Types'!#REF!,"AAAAAHfe35g=")</f>
        <v>#REF!</v>
      </c>
      <c r="EX95" t="e">
        <f>AND('Reg Types'!#REF!,"AAAAAHfe35k=")</f>
        <v>#REF!</v>
      </c>
      <c r="EY95" t="e">
        <f>AND('Reg Types'!#REF!,"AAAAAHfe35o=")</f>
        <v>#REF!</v>
      </c>
      <c r="EZ95" t="e">
        <f>IF('Reg Types'!#REF!,"AAAAAHfe35s=",0)</f>
        <v>#REF!</v>
      </c>
      <c r="FA95" t="e">
        <f>AND('Reg Types'!#REF!,"AAAAAHfe35w=")</f>
        <v>#REF!</v>
      </c>
      <c r="FB95" t="e">
        <f>AND('Reg Types'!#REF!,"AAAAAHfe350=")</f>
        <v>#REF!</v>
      </c>
      <c r="FC95" t="e">
        <f>AND('Reg Types'!#REF!,"AAAAAHfe354=")</f>
        <v>#REF!</v>
      </c>
      <c r="FD95" t="e">
        <f>AND('Reg Types'!#REF!,"AAAAAHfe358=")</f>
        <v>#REF!</v>
      </c>
      <c r="FE95" t="e">
        <f>AND('Reg Types'!#REF!,"AAAAAHfe36A=")</f>
        <v>#REF!</v>
      </c>
      <c r="FF95" t="e">
        <f>AND('Reg Types'!#REF!,"AAAAAHfe36E=")</f>
        <v>#REF!</v>
      </c>
      <c r="FG95" t="e">
        <f>AND('Reg Types'!#REF!,"AAAAAHfe36I=")</f>
        <v>#REF!</v>
      </c>
      <c r="FH95" t="e">
        <f>AND('Reg Types'!#REF!,"AAAAAHfe36M=")</f>
        <v>#REF!</v>
      </c>
      <c r="FI95" t="e">
        <f>AND('Reg Types'!#REF!,"AAAAAHfe36Q=")</f>
        <v>#REF!</v>
      </c>
      <c r="FJ95" t="e">
        <f>AND('Reg Types'!#REF!,"AAAAAHfe36U=")</f>
        <v>#REF!</v>
      </c>
      <c r="FK95" t="e">
        <f>AND('Reg Types'!#REF!,"AAAAAHfe36Y=")</f>
        <v>#REF!</v>
      </c>
      <c r="FL95" t="e">
        <f>AND('Reg Types'!#REF!,"AAAAAHfe36c=")</f>
        <v>#REF!</v>
      </c>
      <c r="FM95" t="e">
        <f>AND('Reg Types'!#REF!,"AAAAAHfe36g=")</f>
        <v>#REF!</v>
      </c>
      <c r="FN95" t="e">
        <f>AND('Reg Types'!#REF!,"AAAAAHfe36k=")</f>
        <v>#REF!</v>
      </c>
      <c r="FO95" t="e">
        <f>AND('Reg Types'!#REF!,"AAAAAHfe36o=")</f>
        <v>#REF!</v>
      </c>
      <c r="FP95" t="e">
        <f>AND('Reg Types'!#REF!,"AAAAAHfe36s=")</f>
        <v>#REF!</v>
      </c>
      <c r="FQ95" t="e">
        <f>AND('Reg Types'!#REF!,"AAAAAHfe36w=")</f>
        <v>#REF!</v>
      </c>
      <c r="FR95" t="e">
        <f>AND('Reg Types'!#REF!,"AAAAAHfe360=")</f>
        <v>#REF!</v>
      </c>
      <c r="FS95" t="e">
        <f>AND('Reg Types'!#REF!,"AAAAAHfe364=")</f>
        <v>#REF!</v>
      </c>
      <c r="FT95" t="e">
        <f>AND('Reg Types'!#REF!,"AAAAAHfe368=")</f>
        <v>#REF!</v>
      </c>
      <c r="FU95" t="e">
        <f>AND('Reg Types'!#REF!,"AAAAAHfe37A=")</f>
        <v>#REF!</v>
      </c>
      <c r="FV95" t="e">
        <f>AND('Reg Types'!#REF!,"AAAAAHfe37E=")</f>
        <v>#REF!</v>
      </c>
      <c r="FW95" t="e">
        <f>AND('Reg Types'!#REF!,"AAAAAHfe37I=")</f>
        <v>#REF!</v>
      </c>
      <c r="FX95" t="e">
        <f>IF('Reg Types'!#REF!,"AAAAAHfe37M=",0)</f>
        <v>#REF!</v>
      </c>
      <c r="FY95" t="e">
        <f>AND('Reg Types'!#REF!,"AAAAAHfe37Q=")</f>
        <v>#REF!</v>
      </c>
      <c r="FZ95" t="e">
        <f>AND('Reg Types'!#REF!,"AAAAAHfe37U=")</f>
        <v>#REF!</v>
      </c>
      <c r="GA95" t="e">
        <f>AND('Reg Types'!#REF!,"AAAAAHfe37Y=")</f>
        <v>#REF!</v>
      </c>
      <c r="GB95" t="e">
        <f>AND('Reg Types'!#REF!,"AAAAAHfe37c=")</f>
        <v>#REF!</v>
      </c>
      <c r="GC95" t="e">
        <f>AND('Reg Types'!#REF!,"AAAAAHfe37g=")</f>
        <v>#REF!</v>
      </c>
      <c r="GD95" t="e">
        <f>AND('Reg Types'!#REF!,"AAAAAHfe37k=")</f>
        <v>#REF!</v>
      </c>
      <c r="GE95" t="e">
        <f>AND('Reg Types'!#REF!,"AAAAAHfe37o=")</f>
        <v>#REF!</v>
      </c>
      <c r="GF95" t="e">
        <f>AND('Reg Types'!#REF!,"AAAAAHfe37s=")</f>
        <v>#REF!</v>
      </c>
      <c r="GG95" t="e">
        <f>AND('Reg Types'!#REF!,"AAAAAHfe37w=")</f>
        <v>#REF!</v>
      </c>
      <c r="GH95" t="e">
        <f>AND('Reg Types'!#REF!,"AAAAAHfe370=")</f>
        <v>#REF!</v>
      </c>
      <c r="GI95" t="e">
        <f>AND('Reg Types'!#REF!,"AAAAAHfe374=")</f>
        <v>#REF!</v>
      </c>
      <c r="GJ95" t="e">
        <f>AND('Reg Types'!#REF!,"AAAAAHfe378=")</f>
        <v>#REF!</v>
      </c>
      <c r="GK95" t="e">
        <f>AND('Reg Types'!#REF!,"AAAAAHfe38A=")</f>
        <v>#REF!</v>
      </c>
      <c r="GL95" t="e">
        <f>AND('Reg Types'!#REF!,"AAAAAHfe38E=")</f>
        <v>#REF!</v>
      </c>
      <c r="GM95" t="e">
        <f>AND('Reg Types'!#REF!,"AAAAAHfe38I=")</f>
        <v>#REF!</v>
      </c>
      <c r="GN95" t="e">
        <f>AND('Reg Types'!#REF!,"AAAAAHfe38M=")</f>
        <v>#REF!</v>
      </c>
      <c r="GO95" t="e">
        <f>AND('Reg Types'!#REF!,"AAAAAHfe38Q=")</f>
        <v>#REF!</v>
      </c>
      <c r="GP95" t="e">
        <f>AND('Reg Types'!#REF!,"AAAAAHfe38U=")</f>
        <v>#REF!</v>
      </c>
      <c r="GQ95" t="e">
        <f>AND('Reg Types'!#REF!,"AAAAAHfe38Y=")</f>
        <v>#REF!</v>
      </c>
      <c r="GR95" t="e">
        <f>AND('Reg Types'!#REF!,"AAAAAHfe38c=")</f>
        <v>#REF!</v>
      </c>
      <c r="GS95" t="e">
        <f>AND('Reg Types'!#REF!,"AAAAAHfe38g=")</f>
        <v>#REF!</v>
      </c>
      <c r="GT95" t="e">
        <f>AND('Reg Types'!#REF!,"AAAAAHfe38k=")</f>
        <v>#REF!</v>
      </c>
      <c r="GU95" t="e">
        <f>AND('Reg Types'!#REF!,"AAAAAHfe38o=")</f>
        <v>#REF!</v>
      </c>
      <c r="GV95" t="e">
        <f>IF('Reg Types'!#REF!,"AAAAAHfe38s=",0)</f>
        <v>#REF!</v>
      </c>
      <c r="GW95" t="e">
        <f>AND('Reg Types'!#REF!,"AAAAAHfe38w=")</f>
        <v>#REF!</v>
      </c>
      <c r="GX95" t="e">
        <f>AND('Reg Types'!#REF!,"AAAAAHfe380=")</f>
        <v>#REF!</v>
      </c>
      <c r="GY95" t="e">
        <f>AND('Reg Types'!#REF!,"AAAAAHfe384=")</f>
        <v>#REF!</v>
      </c>
      <c r="GZ95" t="e">
        <f>AND('Reg Types'!#REF!,"AAAAAHfe388=")</f>
        <v>#REF!</v>
      </c>
      <c r="HA95" t="e">
        <f>AND('Reg Types'!#REF!,"AAAAAHfe39A=")</f>
        <v>#REF!</v>
      </c>
      <c r="HB95" t="e">
        <f>AND('Reg Types'!#REF!,"AAAAAHfe39E=")</f>
        <v>#REF!</v>
      </c>
      <c r="HC95" t="e">
        <f>AND('Reg Types'!#REF!,"AAAAAHfe39I=")</f>
        <v>#REF!</v>
      </c>
      <c r="HD95" t="e">
        <f>AND('Reg Types'!#REF!,"AAAAAHfe39M=")</f>
        <v>#REF!</v>
      </c>
      <c r="HE95" t="e">
        <f>AND('Reg Types'!#REF!,"AAAAAHfe39Q=")</f>
        <v>#REF!</v>
      </c>
      <c r="HF95" t="e">
        <f>AND('Reg Types'!#REF!,"AAAAAHfe39U=")</f>
        <v>#REF!</v>
      </c>
      <c r="HG95" t="e">
        <f>AND('Reg Types'!#REF!,"AAAAAHfe39Y=")</f>
        <v>#REF!</v>
      </c>
      <c r="HH95" t="e">
        <f>AND('Reg Types'!#REF!,"AAAAAHfe39c=")</f>
        <v>#REF!</v>
      </c>
      <c r="HI95" t="e">
        <f>AND('Reg Types'!#REF!,"AAAAAHfe39g=")</f>
        <v>#REF!</v>
      </c>
      <c r="HJ95" t="e">
        <f>AND('Reg Types'!#REF!,"AAAAAHfe39k=")</f>
        <v>#REF!</v>
      </c>
      <c r="HK95" t="e">
        <f>AND('Reg Types'!#REF!,"AAAAAHfe39o=")</f>
        <v>#REF!</v>
      </c>
      <c r="HL95" t="e">
        <f>AND('Reg Types'!#REF!,"AAAAAHfe39s=")</f>
        <v>#REF!</v>
      </c>
      <c r="HM95" t="e">
        <f>AND('Reg Types'!#REF!,"AAAAAHfe39w=")</f>
        <v>#REF!</v>
      </c>
      <c r="HN95" t="e">
        <f>AND('Reg Types'!#REF!,"AAAAAHfe390=")</f>
        <v>#REF!</v>
      </c>
      <c r="HO95" t="e">
        <f>AND('Reg Types'!#REF!,"AAAAAHfe394=")</f>
        <v>#REF!</v>
      </c>
      <c r="HP95" t="e">
        <f>AND('Reg Types'!#REF!,"AAAAAHfe398=")</f>
        <v>#REF!</v>
      </c>
      <c r="HQ95" t="e">
        <f>AND('Reg Types'!#REF!,"AAAAAHfe3+A=")</f>
        <v>#REF!</v>
      </c>
      <c r="HR95" t="e">
        <f>AND('Reg Types'!#REF!,"AAAAAHfe3+E=")</f>
        <v>#REF!</v>
      </c>
      <c r="HS95" t="e">
        <f>AND('Reg Types'!#REF!,"AAAAAHfe3+I=")</f>
        <v>#REF!</v>
      </c>
      <c r="HT95" t="e">
        <f>IF('Reg Types'!#REF!,"AAAAAHfe3+M=",0)</f>
        <v>#REF!</v>
      </c>
      <c r="HU95" t="e">
        <f>AND('Reg Types'!#REF!,"AAAAAHfe3+Q=")</f>
        <v>#REF!</v>
      </c>
      <c r="HV95" t="e">
        <f>AND('Reg Types'!#REF!,"AAAAAHfe3+U=")</f>
        <v>#REF!</v>
      </c>
      <c r="HW95" t="e">
        <f>AND('Reg Types'!#REF!,"AAAAAHfe3+Y=")</f>
        <v>#REF!</v>
      </c>
      <c r="HX95" t="e">
        <f>AND('Reg Types'!#REF!,"AAAAAHfe3+c=")</f>
        <v>#REF!</v>
      </c>
      <c r="HY95" t="e">
        <f>AND('Reg Types'!#REF!,"AAAAAHfe3+g=")</f>
        <v>#REF!</v>
      </c>
      <c r="HZ95" t="e">
        <f>AND('Reg Types'!#REF!,"AAAAAHfe3+k=")</f>
        <v>#REF!</v>
      </c>
      <c r="IA95" t="e">
        <f>AND('Reg Types'!#REF!,"AAAAAHfe3+o=")</f>
        <v>#REF!</v>
      </c>
      <c r="IB95" t="e">
        <f>AND('Reg Types'!#REF!,"AAAAAHfe3+s=")</f>
        <v>#REF!</v>
      </c>
      <c r="IC95" t="e">
        <f>AND('Reg Types'!#REF!,"AAAAAHfe3+w=")</f>
        <v>#REF!</v>
      </c>
      <c r="ID95" t="e">
        <f>AND('Reg Types'!#REF!,"AAAAAHfe3+0=")</f>
        <v>#REF!</v>
      </c>
      <c r="IE95" t="e">
        <f>AND('Reg Types'!#REF!,"AAAAAHfe3+4=")</f>
        <v>#REF!</v>
      </c>
      <c r="IF95" t="e">
        <f>AND('Reg Types'!#REF!,"AAAAAHfe3+8=")</f>
        <v>#REF!</v>
      </c>
      <c r="IG95" t="e">
        <f>AND('Reg Types'!#REF!,"AAAAAHfe3/A=")</f>
        <v>#REF!</v>
      </c>
      <c r="IH95" t="e">
        <f>AND('Reg Types'!#REF!,"AAAAAHfe3/E=")</f>
        <v>#REF!</v>
      </c>
      <c r="II95" t="e">
        <f>AND('Reg Types'!#REF!,"AAAAAHfe3/I=")</f>
        <v>#REF!</v>
      </c>
      <c r="IJ95" t="e">
        <f>AND('Reg Types'!#REF!,"AAAAAHfe3/M=")</f>
        <v>#REF!</v>
      </c>
      <c r="IK95" t="e">
        <f>AND('Reg Types'!#REF!,"AAAAAHfe3/Q=")</f>
        <v>#REF!</v>
      </c>
      <c r="IL95" t="e">
        <f>AND('Reg Types'!#REF!,"AAAAAHfe3/U=")</f>
        <v>#REF!</v>
      </c>
      <c r="IM95" t="e">
        <f>AND('Reg Types'!#REF!,"AAAAAHfe3/Y=")</f>
        <v>#REF!</v>
      </c>
      <c r="IN95" t="e">
        <f>AND('Reg Types'!#REF!,"AAAAAHfe3/c=")</f>
        <v>#REF!</v>
      </c>
      <c r="IO95" t="e">
        <f>AND('Reg Types'!#REF!,"AAAAAHfe3/g=")</f>
        <v>#REF!</v>
      </c>
      <c r="IP95" t="e">
        <f>AND('Reg Types'!#REF!,"AAAAAHfe3/k=")</f>
        <v>#REF!</v>
      </c>
      <c r="IQ95" t="e">
        <f>AND('Reg Types'!#REF!,"AAAAAHfe3/o=")</f>
        <v>#REF!</v>
      </c>
      <c r="IR95">
        <f>IF('Reg Types'!A:A,"AAAAAHfe3/s=",0)</f>
        <v>0</v>
      </c>
      <c r="IS95">
        <f>IF('Reg Types'!B:B,"AAAAAHfe3/w=",0)</f>
        <v>0</v>
      </c>
      <c r="IT95">
        <f>IF('Reg Types'!C:C,"AAAAAHfe3/0=",0)</f>
        <v>0</v>
      </c>
      <c r="IU95">
        <f>IF('Reg Types'!D:D,"AAAAAHfe3/4=",0)</f>
        <v>0</v>
      </c>
      <c r="IV95">
        <f>IF('Reg Types'!G:G,"AAAAAHfe3/8=",0)</f>
        <v>0</v>
      </c>
    </row>
    <row r="96" spans="1:256" x14ac:dyDescent="0.2">
      <c r="A96" t="e">
        <f>IF('Reg Types'!#REF!,"AAAAAF7++QA=",0)</f>
        <v>#REF!</v>
      </c>
      <c r="B96" t="e">
        <f>IF('Reg Types'!#REF!,"AAAAAF7++QE=",0)</f>
        <v>#REF!</v>
      </c>
      <c r="C96" t="e">
        <f>IF('Reg Types'!#REF!,"AAAAAF7++QI=",0)</f>
        <v>#REF!</v>
      </c>
      <c r="D96" t="e">
        <f>IF('Reg Types'!#REF!,"AAAAAF7++QM=",0)</f>
        <v>#REF!</v>
      </c>
      <c r="E96" t="e">
        <f>IF('Reg Types'!#REF!,"AAAAAF7++QQ=",0)</f>
        <v>#REF!</v>
      </c>
      <c r="F96">
        <f>IF('Reg Types'!I:I,"AAAAAF7++QU=",0)</f>
        <v>0</v>
      </c>
      <c r="G96">
        <f>IF('Reg Types'!J:J,"AAAAAF7++QY=",0)</f>
        <v>0</v>
      </c>
      <c r="H96">
        <f>IF('Reg Types'!K:K,"AAAAAF7++Qc=",0)</f>
        <v>0</v>
      </c>
      <c r="I96">
        <f>IF('Reg Types'!L:L,"AAAAAF7++Qg=",0)</f>
        <v>0</v>
      </c>
      <c r="J96">
        <f>IF('Reg Types'!M:M,"AAAAAF7++Qk=",0)</f>
        <v>0</v>
      </c>
      <c r="K96" t="e">
        <f>IF('Reg Types'!#REF!,"AAAAAF7++Qo=",0)</f>
        <v>#REF!</v>
      </c>
      <c r="L96">
        <f>IF('Reg Types'!O:O,"AAAAAF7++Qs=",0)</f>
        <v>0</v>
      </c>
      <c r="M96">
        <f>IF('Reg Types'!P:P,"AAAAAF7++Qw=",0)</f>
        <v>0</v>
      </c>
      <c r="N96">
        <f>IF('Reg Types'!R:R,"AAAAAF7++Q0=",0)</f>
        <v>0</v>
      </c>
      <c r="O96" t="e">
        <f>IF('Reg Types'!#REF!,"AAAAAF7++Q4=",0)</f>
        <v>#REF!</v>
      </c>
      <c r="P96">
        <f>IF('Reg Types'!S:S,"AAAAAF7++Q8=",0)</f>
        <v>0</v>
      </c>
      <c r="Q96" t="e">
        <f>IF('Reg Types'!#REF!,"AAAAAF7++RA=",0)</f>
        <v>#REF!</v>
      </c>
      <c r="R96" t="e">
        <f>IF('Reg Types'!#REF!,"AAAAAF7++RE=",0)</f>
        <v>#REF!</v>
      </c>
      <c r="S96">
        <f>IF(Membership!1:1,"AAAAAF7++RI=",0)</f>
        <v>0</v>
      </c>
      <c r="T96" t="e">
        <f>AND(Membership!#REF!,"AAAAAF7++RM=")</f>
        <v>#REF!</v>
      </c>
      <c r="U96" t="e">
        <f>AND(Membership!A1,"AAAAAF7++RQ=")</f>
        <v>#VALUE!</v>
      </c>
      <c r="V96" t="e">
        <f>AND(Membership!B1,"AAAAAF7++RU=")</f>
        <v>#VALUE!</v>
      </c>
      <c r="W96" t="e">
        <f>AND(Membership!C1,"AAAAAF7++RY=")</f>
        <v>#VALUE!</v>
      </c>
      <c r="X96" t="e">
        <f>AND(Membership!D1,"AAAAAF7++Rc=")</f>
        <v>#VALUE!</v>
      </c>
      <c r="Y96" t="e">
        <f>AND(Membership!E1,"AAAAAF7++Rg=")</f>
        <v>#VALUE!</v>
      </c>
      <c r="Z96" t="e">
        <f>AND(Membership!F1,"AAAAAF7++Rk=")</f>
        <v>#VALUE!</v>
      </c>
      <c r="AA96" t="e">
        <f>AND(Membership!#REF!,"AAAAAF7++Ro=")</f>
        <v>#REF!</v>
      </c>
      <c r="AB96" t="e">
        <f>AND(Membership!#REF!,"AAAAAF7++Rs=")</f>
        <v>#REF!</v>
      </c>
      <c r="AC96" t="e">
        <f>AND(Membership!#REF!,"AAAAAF7++Rw=")</f>
        <v>#REF!</v>
      </c>
      <c r="AD96" t="e">
        <f>AND(Membership!#REF!,"AAAAAF7++R0=")</f>
        <v>#REF!</v>
      </c>
      <c r="AE96" t="e">
        <f>AND(Membership!#REF!,"AAAAAF7++R4=")</f>
        <v>#REF!</v>
      </c>
      <c r="AF96" t="e">
        <f>AND(Membership!#REF!,"AAAAAF7++R8=")</f>
        <v>#REF!</v>
      </c>
      <c r="AG96">
        <f>IF(Membership!2:2,"AAAAAF7++SA=",0)</f>
        <v>0</v>
      </c>
      <c r="AH96" t="e">
        <f>AND(Membership!A2,"AAAAAF7++SE=")</f>
        <v>#VALUE!</v>
      </c>
      <c r="AI96" t="e">
        <f>AND(Membership!#REF!,"AAAAAF7++SI=")</f>
        <v>#REF!</v>
      </c>
      <c r="AJ96" t="e">
        <f>AND(Membership!B2,"AAAAAF7++SM=")</f>
        <v>#VALUE!</v>
      </c>
      <c r="AK96" t="e">
        <f>AND(Membership!C2,"AAAAAF7++SQ=")</f>
        <v>#VALUE!</v>
      </c>
      <c r="AL96" t="e">
        <f>AND(Membership!D2,"AAAAAF7++SU=")</f>
        <v>#VALUE!</v>
      </c>
      <c r="AM96" t="e">
        <f>AND(Membership!E2,"AAAAAF7++SY=")</f>
        <v>#VALUE!</v>
      </c>
      <c r="AN96" t="e">
        <f>AND(Membership!F2,"AAAAAF7++Sc=")</f>
        <v>#VALUE!</v>
      </c>
      <c r="AO96" t="e">
        <f>AND(Membership!#REF!,"AAAAAF7++Sg=")</f>
        <v>#REF!</v>
      </c>
      <c r="AP96" t="e">
        <f>AND(Membership!#REF!,"AAAAAF7++Sk=")</f>
        <v>#REF!</v>
      </c>
      <c r="AQ96" t="e">
        <f>AND(Membership!#REF!,"AAAAAF7++So=")</f>
        <v>#REF!</v>
      </c>
      <c r="AR96" t="e">
        <f>AND(Membership!#REF!,"AAAAAF7++Ss=")</f>
        <v>#REF!</v>
      </c>
      <c r="AS96" t="e">
        <f>AND(Membership!#REF!,"AAAAAF7++Sw=")</f>
        <v>#REF!</v>
      </c>
      <c r="AT96" t="e">
        <f>AND(Membership!#REF!,"AAAAAF7++S0=")</f>
        <v>#REF!</v>
      </c>
      <c r="AU96">
        <f>IF(Membership!3:3,"AAAAAF7++S4=",0)</f>
        <v>0</v>
      </c>
      <c r="AV96" t="e">
        <f>AND(Membership!#REF!,"AAAAAF7++S8=")</f>
        <v>#REF!</v>
      </c>
      <c r="AW96" t="e">
        <f>AND(Membership!A3,"AAAAAF7++TA=")</f>
        <v>#VALUE!</v>
      </c>
      <c r="AX96" t="e">
        <f>AND(Membership!B3,"AAAAAF7++TE=")</f>
        <v>#VALUE!</v>
      </c>
      <c r="AY96" t="e">
        <f>AND(Membership!C3,"AAAAAF7++TI=")</f>
        <v>#VALUE!</v>
      </c>
      <c r="AZ96" t="e">
        <f>AND(Membership!D3,"AAAAAF7++TM=")</f>
        <v>#VALUE!</v>
      </c>
      <c r="BA96" t="e">
        <f>AND(Membership!E3,"AAAAAF7++TQ=")</f>
        <v>#VALUE!</v>
      </c>
      <c r="BB96" t="e">
        <f>AND(Membership!F3,"AAAAAF7++TU=")</f>
        <v>#VALUE!</v>
      </c>
      <c r="BC96" t="e">
        <f>AND(Membership!#REF!,"AAAAAF7++TY=")</f>
        <v>#REF!</v>
      </c>
      <c r="BD96" t="e">
        <f>AND(Membership!#REF!,"AAAAAF7++Tc=")</f>
        <v>#REF!</v>
      </c>
      <c r="BE96" t="e">
        <f>AND(Membership!#REF!,"AAAAAF7++Tg=")</f>
        <v>#REF!</v>
      </c>
      <c r="BF96" t="e">
        <f>AND(Membership!#REF!,"AAAAAF7++Tk=")</f>
        <v>#REF!</v>
      </c>
      <c r="BG96" t="e">
        <f>AND(Membership!#REF!,"AAAAAF7++To=")</f>
        <v>#REF!</v>
      </c>
      <c r="BH96" t="e">
        <f>AND(Membership!#REF!,"AAAAAF7++Ts=")</f>
        <v>#REF!</v>
      </c>
      <c r="BI96" t="e">
        <f>IF(Membership!#REF!,"AAAAAF7++Tw=",0)</f>
        <v>#REF!</v>
      </c>
      <c r="BJ96" t="e">
        <f>AND(Membership!#REF!,"AAAAAF7++T0=")</f>
        <v>#REF!</v>
      </c>
      <c r="BK96" t="e">
        <f>AND(Membership!#REF!,"AAAAAF7++T4=")</f>
        <v>#REF!</v>
      </c>
      <c r="BL96" t="e">
        <f>AND(Membership!#REF!,"AAAAAF7++T8=")</f>
        <v>#REF!</v>
      </c>
      <c r="BM96" t="e">
        <f>AND(Membership!#REF!,"AAAAAF7++UA=")</f>
        <v>#REF!</v>
      </c>
      <c r="BN96" t="e">
        <f>AND(Membership!#REF!,"AAAAAF7++UE=")</f>
        <v>#REF!</v>
      </c>
      <c r="BO96" t="e">
        <f>AND(Membership!#REF!,"AAAAAF7++UI=")</f>
        <v>#REF!</v>
      </c>
      <c r="BP96" t="e">
        <f>AND(Membership!#REF!,"AAAAAF7++UM=")</f>
        <v>#REF!</v>
      </c>
      <c r="BQ96" t="e">
        <f>AND(Membership!#REF!,"AAAAAF7++UQ=")</f>
        <v>#REF!</v>
      </c>
      <c r="BR96" t="e">
        <f>AND(Membership!#REF!,"AAAAAF7++UU=")</f>
        <v>#REF!</v>
      </c>
      <c r="BS96" t="e">
        <f>AND(Membership!#REF!,"AAAAAF7++UY=")</f>
        <v>#REF!</v>
      </c>
      <c r="BT96" t="e">
        <f>AND(Membership!#REF!,"AAAAAF7++Uc=")</f>
        <v>#REF!</v>
      </c>
      <c r="BU96" t="e">
        <f>AND(Membership!#REF!,"AAAAAF7++Ug=")</f>
        <v>#REF!</v>
      </c>
      <c r="BV96" t="e">
        <f>AND(Membership!#REF!,"AAAAAF7++Uk=")</f>
        <v>#REF!</v>
      </c>
      <c r="BW96" t="e">
        <f>IF(Membership!#REF!,"AAAAAF7++Uo=",0)</f>
        <v>#REF!</v>
      </c>
      <c r="BX96" t="e">
        <f>AND(Membership!#REF!,"AAAAAF7++Us=")</f>
        <v>#REF!</v>
      </c>
      <c r="BY96" t="e">
        <f>AND(Membership!#REF!,"AAAAAF7++Uw=")</f>
        <v>#REF!</v>
      </c>
      <c r="BZ96" t="e">
        <f>AND(Membership!#REF!,"AAAAAF7++U0=")</f>
        <v>#REF!</v>
      </c>
      <c r="CA96" t="e">
        <f>AND(Membership!#REF!,"AAAAAF7++U4=")</f>
        <v>#REF!</v>
      </c>
      <c r="CB96" t="e">
        <f>AND(Membership!#REF!,"AAAAAF7++U8=")</f>
        <v>#REF!</v>
      </c>
      <c r="CC96" t="e">
        <f>AND(Membership!#REF!,"AAAAAF7++VA=")</f>
        <v>#REF!</v>
      </c>
      <c r="CD96" t="e">
        <f>AND(Membership!#REF!,"AAAAAF7++VE=")</f>
        <v>#REF!</v>
      </c>
      <c r="CE96" t="e">
        <f>AND(Membership!#REF!,"AAAAAF7++VI=")</f>
        <v>#REF!</v>
      </c>
      <c r="CF96" t="e">
        <f>AND(Membership!#REF!,"AAAAAF7++VM=")</f>
        <v>#REF!</v>
      </c>
      <c r="CG96" t="e">
        <f>AND(Membership!#REF!,"AAAAAF7++VQ=")</f>
        <v>#REF!</v>
      </c>
      <c r="CH96" t="e">
        <f>AND(Membership!#REF!,"AAAAAF7++VU=")</f>
        <v>#REF!</v>
      </c>
      <c r="CI96" t="e">
        <f>AND(Membership!#REF!,"AAAAAF7++VY=")</f>
        <v>#REF!</v>
      </c>
      <c r="CJ96" t="e">
        <f>AND(Membership!#REF!,"AAAAAF7++Vc=")</f>
        <v>#REF!</v>
      </c>
      <c r="CK96">
        <f>IF(Membership!4:4,"AAAAAF7++Vg=",0)</f>
        <v>0</v>
      </c>
      <c r="CL96" t="e">
        <f>AND(Membership!#REF!,"AAAAAF7++Vk=")</f>
        <v>#REF!</v>
      </c>
      <c r="CM96" t="e">
        <f>AND(Membership!A4,"AAAAAF7++Vo=")</f>
        <v>#VALUE!</v>
      </c>
      <c r="CN96" t="e">
        <f>AND(Membership!B4,"AAAAAF7++Vs=")</f>
        <v>#VALUE!</v>
      </c>
      <c r="CO96" t="e">
        <f>AND(Membership!C4,"AAAAAF7++Vw=")</f>
        <v>#VALUE!</v>
      </c>
      <c r="CP96" t="e">
        <f>AND(Membership!D4,"AAAAAF7++V0=")</f>
        <v>#VALUE!</v>
      </c>
      <c r="CQ96" t="e">
        <f>AND(Membership!E4,"AAAAAF7++V4=")</f>
        <v>#VALUE!</v>
      </c>
      <c r="CR96" t="e">
        <f>AND(Membership!F4,"AAAAAF7++V8=")</f>
        <v>#VALUE!</v>
      </c>
      <c r="CS96" t="e">
        <f>AND(Membership!#REF!,"AAAAAF7++WA=")</f>
        <v>#REF!</v>
      </c>
      <c r="CT96" t="e">
        <f>AND(Membership!#REF!,"AAAAAF7++WE=")</f>
        <v>#REF!</v>
      </c>
      <c r="CU96" t="e">
        <f>AND(Membership!#REF!,"AAAAAF7++WI=")</f>
        <v>#REF!</v>
      </c>
      <c r="CV96" t="e">
        <f>AND(Membership!#REF!,"AAAAAF7++WM=")</f>
        <v>#REF!</v>
      </c>
      <c r="CW96" t="e">
        <f>AND(Membership!#REF!,"AAAAAF7++WQ=")</f>
        <v>#REF!</v>
      </c>
      <c r="CX96" t="e">
        <f>AND(Membership!#REF!,"AAAAAF7++WU=")</f>
        <v>#REF!</v>
      </c>
      <c r="CY96">
        <f>IF(Membership!6:6,"AAAAAF7++WY=",0)</f>
        <v>0</v>
      </c>
      <c r="CZ96" t="e">
        <f>AND(Membership!#REF!,"AAAAAF7++Wc=")</f>
        <v>#REF!</v>
      </c>
      <c r="DA96" t="e">
        <f>AND(Membership!A6,"AAAAAF7++Wg=")</f>
        <v>#VALUE!</v>
      </c>
      <c r="DB96" t="e">
        <f>AND(Membership!B6,"AAAAAF7++Wk=")</f>
        <v>#VALUE!</v>
      </c>
      <c r="DC96" t="e">
        <f>AND(Membership!C6,"AAAAAF7++Wo=")</f>
        <v>#VALUE!</v>
      </c>
      <c r="DD96" t="e">
        <f>AND(Membership!D6,"AAAAAF7++Ws=")</f>
        <v>#VALUE!</v>
      </c>
      <c r="DE96" t="e">
        <f>AND(Membership!E6,"AAAAAF7++Ww=")</f>
        <v>#VALUE!</v>
      </c>
      <c r="DF96" t="e">
        <f>AND(Membership!F6,"AAAAAF7++W0=")</f>
        <v>#VALUE!</v>
      </c>
      <c r="DG96" t="e">
        <f>AND(Membership!#REF!,"AAAAAF7++W4=")</f>
        <v>#REF!</v>
      </c>
      <c r="DH96" t="e">
        <f>AND(Membership!#REF!,"AAAAAF7++W8=")</f>
        <v>#REF!</v>
      </c>
      <c r="DI96" t="e">
        <f>AND(Membership!#REF!,"AAAAAF7++XA=")</f>
        <v>#REF!</v>
      </c>
      <c r="DJ96" t="e">
        <f>AND(Membership!#REF!,"AAAAAF7++XE=")</f>
        <v>#REF!</v>
      </c>
      <c r="DK96" t="e">
        <f>AND(Membership!#REF!,"AAAAAF7++XI=")</f>
        <v>#REF!</v>
      </c>
      <c r="DL96" t="e">
        <f>AND(Membership!#REF!,"AAAAAF7++XM=")</f>
        <v>#REF!</v>
      </c>
      <c r="DM96" t="e">
        <f>IF(Membership!#REF!,"AAAAAF7++XQ=",0)</f>
        <v>#REF!</v>
      </c>
      <c r="DN96" t="e">
        <f>AND(Membership!#REF!,"AAAAAF7++XU=")</f>
        <v>#REF!</v>
      </c>
      <c r="DO96" t="e">
        <f>AND(Membership!#REF!,"AAAAAF7++XY=")</f>
        <v>#REF!</v>
      </c>
      <c r="DP96" t="e">
        <f>AND(Membership!#REF!,"AAAAAF7++Xc=")</f>
        <v>#REF!</v>
      </c>
      <c r="DQ96" t="e">
        <f>AND(Membership!#REF!,"AAAAAF7++Xg=")</f>
        <v>#REF!</v>
      </c>
      <c r="DR96" t="e">
        <f>AND(Membership!#REF!,"AAAAAF7++Xk=")</f>
        <v>#REF!</v>
      </c>
      <c r="DS96" t="e">
        <f>AND(Membership!#REF!,"AAAAAF7++Xo=")</f>
        <v>#REF!</v>
      </c>
      <c r="DT96" t="e">
        <f>AND(Membership!#REF!,"AAAAAF7++Xs=")</f>
        <v>#REF!</v>
      </c>
      <c r="DU96" t="e">
        <f>AND(Membership!#REF!,"AAAAAF7++Xw=")</f>
        <v>#REF!</v>
      </c>
      <c r="DV96" t="e">
        <f>AND(Membership!#REF!,"AAAAAF7++X0=")</f>
        <v>#REF!</v>
      </c>
      <c r="DW96" t="e">
        <f>AND(Membership!#REF!,"AAAAAF7++X4=")</f>
        <v>#REF!</v>
      </c>
      <c r="DX96" t="e">
        <f>AND(Membership!#REF!,"AAAAAF7++X8=")</f>
        <v>#REF!</v>
      </c>
      <c r="DY96" t="e">
        <f>AND(Membership!#REF!,"AAAAAF7++YA=")</f>
        <v>#REF!</v>
      </c>
      <c r="DZ96" t="e">
        <f>AND(Membership!#REF!,"AAAAAF7++YE=")</f>
        <v>#REF!</v>
      </c>
      <c r="EA96" t="e">
        <f>IF(Membership!#REF!,"AAAAAF7++YI=",0)</f>
        <v>#REF!</v>
      </c>
      <c r="EB96" t="e">
        <f>AND(Membership!#REF!,"AAAAAF7++YM=")</f>
        <v>#REF!</v>
      </c>
      <c r="EC96" t="e">
        <f>AND(Membership!#REF!,"AAAAAF7++YQ=")</f>
        <v>#REF!</v>
      </c>
      <c r="ED96" t="e">
        <f>AND(Membership!#REF!,"AAAAAF7++YU=")</f>
        <v>#REF!</v>
      </c>
      <c r="EE96" t="e">
        <f>AND(Membership!#REF!,"AAAAAF7++YY=")</f>
        <v>#REF!</v>
      </c>
      <c r="EF96" t="e">
        <f>AND(Membership!#REF!,"AAAAAF7++Yc=")</f>
        <v>#REF!</v>
      </c>
      <c r="EG96" t="e">
        <f>AND(Membership!#REF!,"AAAAAF7++Yg=")</f>
        <v>#REF!</v>
      </c>
      <c r="EH96" t="e">
        <f>AND(Membership!#REF!,"AAAAAF7++Yk=")</f>
        <v>#REF!</v>
      </c>
      <c r="EI96" t="e">
        <f>AND(Membership!#REF!,"AAAAAF7++Yo=")</f>
        <v>#REF!</v>
      </c>
      <c r="EJ96" t="e">
        <f>AND(Membership!#REF!,"AAAAAF7++Ys=")</f>
        <v>#REF!</v>
      </c>
      <c r="EK96" t="e">
        <f>AND(Membership!#REF!,"AAAAAF7++Yw=")</f>
        <v>#REF!</v>
      </c>
      <c r="EL96" t="e">
        <f>AND(Membership!#REF!,"AAAAAF7++Y0=")</f>
        <v>#REF!</v>
      </c>
      <c r="EM96" t="e">
        <f>AND(Membership!#REF!,"AAAAAF7++Y4=")</f>
        <v>#REF!</v>
      </c>
      <c r="EN96" t="e">
        <f>AND(Membership!#REF!,"AAAAAF7++Y8=")</f>
        <v>#REF!</v>
      </c>
      <c r="EO96" t="e">
        <f>IF(Membership!#REF!,"AAAAAF7++ZA=",0)</f>
        <v>#REF!</v>
      </c>
      <c r="EP96" t="e">
        <f>AND(Membership!#REF!,"AAAAAF7++ZE=")</f>
        <v>#REF!</v>
      </c>
      <c r="EQ96" t="e">
        <f>AND(Membership!#REF!,"AAAAAF7++ZI=")</f>
        <v>#REF!</v>
      </c>
      <c r="ER96" t="e">
        <f>AND(Membership!#REF!,"AAAAAF7++ZM=")</f>
        <v>#REF!</v>
      </c>
      <c r="ES96" t="e">
        <f>AND(Membership!#REF!,"AAAAAF7++ZQ=")</f>
        <v>#REF!</v>
      </c>
      <c r="ET96" t="e">
        <f>AND(Membership!#REF!,"AAAAAF7++ZU=")</f>
        <v>#REF!</v>
      </c>
      <c r="EU96" t="e">
        <f>AND(Membership!#REF!,"AAAAAF7++ZY=")</f>
        <v>#REF!</v>
      </c>
      <c r="EV96" t="e">
        <f>AND(Membership!#REF!,"AAAAAF7++Zc=")</f>
        <v>#REF!</v>
      </c>
      <c r="EW96" t="e">
        <f>AND(Membership!#REF!,"AAAAAF7++Zg=")</f>
        <v>#REF!</v>
      </c>
      <c r="EX96" t="e">
        <f>AND(Membership!#REF!,"AAAAAF7++Zk=")</f>
        <v>#REF!</v>
      </c>
      <c r="EY96" t="e">
        <f>AND(Membership!#REF!,"AAAAAF7++Zo=")</f>
        <v>#REF!</v>
      </c>
      <c r="EZ96" t="e">
        <f>AND(Membership!#REF!,"AAAAAF7++Zs=")</f>
        <v>#REF!</v>
      </c>
      <c r="FA96" t="e">
        <f>AND(Membership!#REF!,"AAAAAF7++Zw=")</f>
        <v>#REF!</v>
      </c>
      <c r="FB96" t="e">
        <f>AND(Membership!#REF!,"AAAAAF7++Z0=")</f>
        <v>#REF!</v>
      </c>
      <c r="FC96" t="e">
        <f>IF(Membership!#REF!,"AAAAAF7++Z4=",0)</f>
        <v>#REF!</v>
      </c>
      <c r="FD96" t="e">
        <f>AND(Membership!#REF!,"AAAAAF7++Z8=")</f>
        <v>#REF!</v>
      </c>
      <c r="FE96" t="e">
        <f>AND(Membership!#REF!,"AAAAAF7++aA=")</f>
        <v>#REF!</v>
      </c>
      <c r="FF96" t="e">
        <f>AND(Membership!#REF!,"AAAAAF7++aE=")</f>
        <v>#REF!</v>
      </c>
      <c r="FG96" t="e">
        <f>AND(Membership!#REF!,"AAAAAF7++aI=")</f>
        <v>#REF!</v>
      </c>
      <c r="FH96" t="e">
        <f>AND(Membership!#REF!,"AAAAAF7++aM=")</f>
        <v>#REF!</v>
      </c>
      <c r="FI96" t="e">
        <f>AND(Membership!#REF!,"AAAAAF7++aQ=")</f>
        <v>#REF!</v>
      </c>
      <c r="FJ96" t="e">
        <f>AND(Membership!#REF!,"AAAAAF7++aU=")</f>
        <v>#REF!</v>
      </c>
      <c r="FK96" t="e">
        <f>AND(Membership!#REF!,"AAAAAF7++aY=")</f>
        <v>#REF!</v>
      </c>
      <c r="FL96" t="e">
        <f>AND(Membership!#REF!,"AAAAAF7++ac=")</f>
        <v>#REF!</v>
      </c>
      <c r="FM96" t="e">
        <f>AND(Membership!#REF!,"AAAAAF7++ag=")</f>
        <v>#REF!</v>
      </c>
      <c r="FN96" t="e">
        <f>AND(Membership!#REF!,"AAAAAF7++ak=")</f>
        <v>#REF!</v>
      </c>
      <c r="FO96" t="e">
        <f>AND(Membership!#REF!,"AAAAAF7++ao=")</f>
        <v>#REF!</v>
      </c>
      <c r="FP96" t="e">
        <f>AND(Membership!#REF!,"AAAAAF7++as=")</f>
        <v>#REF!</v>
      </c>
      <c r="FQ96" t="e">
        <f>IF(Membership!#REF!,"AAAAAF7++aw=",0)</f>
        <v>#REF!</v>
      </c>
      <c r="FR96" t="e">
        <f>AND(Membership!#REF!,"AAAAAF7++a0=")</f>
        <v>#REF!</v>
      </c>
      <c r="FS96" t="e">
        <f>AND(Membership!#REF!,"AAAAAF7++a4=")</f>
        <v>#REF!</v>
      </c>
      <c r="FT96" t="e">
        <f>AND(Membership!#REF!,"AAAAAF7++a8=")</f>
        <v>#REF!</v>
      </c>
      <c r="FU96" t="e">
        <f>AND(Membership!#REF!,"AAAAAF7++bA=")</f>
        <v>#REF!</v>
      </c>
      <c r="FV96" t="e">
        <f>AND(Membership!#REF!,"AAAAAF7++bE=")</f>
        <v>#REF!</v>
      </c>
      <c r="FW96" t="e">
        <f>AND(Membership!#REF!,"AAAAAF7++bI=")</f>
        <v>#REF!</v>
      </c>
      <c r="FX96" t="e">
        <f>AND(Membership!#REF!,"AAAAAF7++bM=")</f>
        <v>#REF!</v>
      </c>
      <c r="FY96" t="e">
        <f>AND(Membership!#REF!,"AAAAAF7++bQ=")</f>
        <v>#REF!</v>
      </c>
      <c r="FZ96" t="e">
        <f>AND(Membership!#REF!,"AAAAAF7++bU=")</f>
        <v>#REF!</v>
      </c>
      <c r="GA96" t="e">
        <f>AND(Membership!#REF!,"AAAAAF7++bY=")</f>
        <v>#REF!</v>
      </c>
      <c r="GB96" t="e">
        <f>AND(Membership!#REF!,"AAAAAF7++bc=")</f>
        <v>#REF!</v>
      </c>
      <c r="GC96" t="e">
        <f>AND(Membership!#REF!,"AAAAAF7++bg=")</f>
        <v>#REF!</v>
      </c>
      <c r="GD96" t="e">
        <f>AND(Membership!#REF!,"AAAAAF7++bk=")</f>
        <v>#REF!</v>
      </c>
      <c r="GE96">
        <f>IF(Membership!45:45,"AAAAAF7++bo=",0)</f>
        <v>0</v>
      </c>
      <c r="GF96" t="e">
        <f>AND(Membership!#REF!,"AAAAAF7++bs=")</f>
        <v>#REF!</v>
      </c>
      <c r="GG96" t="e">
        <f>AND(Membership!A45,"AAAAAF7++bw=")</f>
        <v>#VALUE!</v>
      </c>
      <c r="GH96" t="e">
        <f>AND(Membership!B45,"AAAAAF7++b0=")</f>
        <v>#VALUE!</v>
      </c>
      <c r="GI96" t="e">
        <f>AND(Membership!C45,"AAAAAF7++b4=")</f>
        <v>#VALUE!</v>
      </c>
      <c r="GJ96" t="e">
        <f>AND(Membership!D45,"AAAAAF7++b8=")</f>
        <v>#VALUE!</v>
      </c>
      <c r="GK96" t="e">
        <f>AND(Membership!E45,"AAAAAF7++cA=")</f>
        <v>#VALUE!</v>
      </c>
      <c r="GL96" t="e">
        <f>AND(Membership!F45,"AAAAAF7++cE=")</f>
        <v>#VALUE!</v>
      </c>
      <c r="GM96" t="e">
        <f>AND(Membership!#REF!,"AAAAAF7++cI=")</f>
        <v>#REF!</v>
      </c>
      <c r="GN96" t="e">
        <f>AND(Membership!#REF!,"AAAAAF7++cM=")</f>
        <v>#REF!</v>
      </c>
      <c r="GO96" t="e">
        <f>AND(Membership!#REF!,"AAAAAF7++cQ=")</f>
        <v>#REF!</v>
      </c>
      <c r="GP96" t="e">
        <f>AND(Membership!#REF!,"AAAAAF7++cU=")</f>
        <v>#REF!</v>
      </c>
      <c r="GQ96" t="e">
        <f>AND(Membership!#REF!,"AAAAAF7++cY=")</f>
        <v>#REF!</v>
      </c>
      <c r="GR96" t="e">
        <f>AND(Membership!#REF!,"AAAAAF7++cc=")</f>
        <v>#REF!</v>
      </c>
      <c r="GS96">
        <f>IF(Membership!46:46,"AAAAAF7++cg=",0)</f>
        <v>0</v>
      </c>
      <c r="GT96" t="e">
        <f>AND(Membership!#REF!,"AAAAAF7++ck=")</f>
        <v>#REF!</v>
      </c>
      <c r="GU96" t="e">
        <f>AND(Membership!A46,"AAAAAF7++co=")</f>
        <v>#VALUE!</v>
      </c>
      <c r="GV96" t="e">
        <f>AND(Membership!B46,"AAAAAF7++cs=")</f>
        <v>#VALUE!</v>
      </c>
      <c r="GW96" t="e">
        <f>AND(Membership!C46,"AAAAAF7++cw=")</f>
        <v>#VALUE!</v>
      </c>
      <c r="GX96" t="e">
        <f>AND(Membership!D46,"AAAAAF7++c0=")</f>
        <v>#VALUE!</v>
      </c>
      <c r="GY96" t="e">
        <f>AND(Membership!E46,"AAAAAF7++c4=")</f>
        <v>#VALUE!</v>
      </c>
      <c r="GZ96" t="e">
        <f>AND(Membership!F46,"AAAAAF7++c8=")</f>
        <v>#VALUE!</v>
      </c>
      <c r="HA96" t="e">
        <f>AND(Membership!#REF!,"AAAAAF7++dA=")</f>
        <v>#REF!</v>
      </c>
      <c r="HB96" t="e">
        <f>AND(Membership!#REF!,"AAAAAF7++dE=")</f>
        <v>#REF!</v>
      </c>
      <c r="HC96" t="e">
        <f>AND(Membership!#REF!,"AAAAAF7++dI=")</f>
        <v>#REF!</v>
      </c>
      <c r="HD96" t="e">
        <f>AND(Membership!#REF!,"AAAAAF7++dM=")</f>
        <v>#REF!</v>
      </c>
      <c r="HE96" t="e">
        <f>AND(Membership!#REF!,"AAAAAF7++dQ=")</f>
        <v>#REF!</v>
      </c>
      <c r="HF96" t="e">
        <f>AND(Membership!#REF!,"AAAAAF7++dU=")</f>
        <v>#REF!</v>
      </c>
      <c r="HG96">
        <f>IF(Membership!47:47,"AAAAAF7++dY=",0)</f>
        <v>0</v>
      </c>
      <c r="HH96" t="e">
        <f>AND(Membership!#REF!,"AAAAAF7++dc=")</f>
        <v>#REF!</v>
      </c>
      <c r="HI96" t="e">
        <f>AND(Membership!A47,"AAAAAF7++dg=")</f>
        <v>#VALUE!</v>
      </c>
      <c r="HJ96" t="e">
        <f>AND(Membership!B47,"AAAAAF7++dk=")</f>
        <v>#VALUE!</v>
      </c>
      <c r="HK96" t="e">
        <f>AND(Membership!C47,"AAAAAF7++do=")</f>
        <v>#VALUE!</v>
      </c>
      <c r="HL96" t="e">
        <f>AND(Membership!#REF!,"AAAAAF7++ds=")</f>
        <v>#REF!</v>
      </c>
      <c r="HM96" t="e">
        <f>AND(Membership!E47,"AAAAAF7++dw=")</f>
        <v>#VALUE!</v>
      </c>
      <c r="HN96" t="e">
        <f>AND(Membership!D47,"AAAAAF7++d0=")</f>
        <v>#VALUE!</v>
      </c>
      <c r="HO96" t="e">
        <f>AND(Membership!#REF!,"AAAAAF7++d4=")</f>
        <v>#REF!</v>
      </c>
      <c r="HP96" t="e">
        <f>AND(Membership!#REF!,"AAAAAF7++d8=")</f>
        <v>#REF!</v>
      </c>
      <c r="HQ96" t="e">
        <f>AND(Membership!F47,"AAAAAF7++eA=")</f>
        <v>#VALUE!</v>
      </c>
      <c r="HR96" t="e">
        <f>AND(Membership!#REF!,"AAAAAF7++eE=")</f>
        <v>#REF!</v>
      </c>
      <c r="HS96" t="e">
        <f>AND(Membership!#REF!,"AAAAAF7++eI=")</f>
        <v>#REF!</v>
      </c>
      <c r="HT96" t="e">
        <f>AND(Membership!#REF!,"AAAAAF7++eM=")</f>
        <v>#REF!</v>
      </c>
      <c r="HU96" t="e">
        <f>IF(Membership!#REF!,"AAAAAF7++eQ=",0)</f>
        <v>#REF!</v>
      </c>
      <c r="HV96" t="e">
        <f>AND(Membership!#REF!,"AAAAAF7++eU=")</f>
        <v>#REF!</v>
      </c>
      <c r="HW96" t="e">
        <f>AND(Membership!#REF!,"AAAAAF7++eY=")</f>
        <v>#REF!</v>
      </c>
      <c r="HX96" t="e">
        <f>AND(Membership!#REF!,"AAAAAF7++ec=")</f>
        <v>#REF!</v>
      </c>
      <c r="HY96" t="e">
        <f>AND(Membership!#REF!,"AAAAAF7++eg=")</f>
        <v>#REF!</v>
      </c>
      <c r="HZ96" t="e">
        <f>AND(Membership!#REF!,"AAAAAF7++ek=")</f>
        <v>#REF!</v>
      </c>
      <c r="IA96" t="e">
        <f>AND(Membership!#REF!,"AAAAAF7++eo=")</f>
        <v>#REF!</v>
      </c>
      <c r="IB96" t="e">
        <f>AND(Membership!#REF!,"AAAAAF7++es=")</f>
        <v>#REF!</v>
      </c>
      <c r="IC96" t="e">
        <f>AND(Membership!#REF!,"AAAAAF7++ew=")</f>
        <v>#REF!</v>
      </c>
      <c r="ID96" t="e">
        <f>AND(Membership!#REF!,"AAAAAF7++e0=")</f>
        <v>#REF!</v>
      </c>
      <c r="IE96" t="e">
        <f>AND(Membership!#REF!,"AAAAAF7++e4=")</f>
        <v>#REF!</v>
      </c>
      <c r="IF96" t="e">
        <f>AND(Membership!#REF!,"AAAAAF7++e8=")</f>
        <v>#REF!</v>
      </c>
      <c r="IG96" t="e">
        <f>AND(Membership!#REF!,"AAAAAF7++fA=")</f>
        <v>#REF!</v>
      </c>
      <c r="IH96" t="e">
        <f>AND(Membership!#REF!,"AAAAAF7++fE=")</f>
        <v>#REF!</v>
      </c>
      <c r="II96">
        <f>IF(Membership!48:48,"AAAAAF7++fI=",0)</f>
        <v>0</v>
      </c>
      <c r="IJ96" t="e">
        <f>AND(Membership!#REF!,"AAAAAF7++fM=")</f>
        <v>#REF!</v>
      </c>
      <c r="IK96" t="e">
        <f>AND(Membership!A48,"AAAAAF7++fQ=")</f>
        <v>#VALUE!</v>
      </c>
      <c r="IL96" t="e">
        <f>AND(Membership!B48,"AAAAAF7++fU=")</f>
        <v>#VALUE!</v>
      </c>
      <c r="IM96" t="e">
        <f>AND(Membership!C48,"AAAAAF7++fY=")</f>
        <v>#VALUE!</v>
      </c>
      <c r="IN96" t="e">
        <f>AND(Membership!#REF!,"AAAAAF7++fc=")</f>
        <v>#REF!</v>
      </c>
      <c r="IO96" t="e">
        <f>AND(Membership!E48,"AAAAAF7++fg=")</f>
        <v>#VALUE!</v>
      </c>
      <c r="IP96" t="e">
        <f>AND(Membership!D48,"AAAAAF7++fk=")</f>
        <v>#VALUE!</v>
      </c>
      <c r="IQ96" t="e">
        <f>AND(Membership!#REF!,"AAAAAF7++fo=")</f>
        <v>#REF!</v>
      </c>
      <c r="IR96" t="e">
        <f>AND(Membership!#REF!,"AAAAAF7++fs=")</f>
        <v>#REF!</v>
      </c>
      <c r="IS96" t="e">
        <f>AND(Membership!F48,"AAAAAF7++fw=")</f>
        <v>#VALUE!</v>
      </c>
      <c r="IT96" t="e">
        <f>AND(Membership!#REF!,"AAAAAF7++f0=")</f>
        <v>#REF!</v>
      </c>
      <c r="IU96" t="e">
        <f>AND(Membership!#REF!,"AAAAAF7++f4=")</f>
        <v>#REF!</v>
      </c>
      <c r="IV96" t="e">
        <f>AND(Membership!#REF!,"AAAAAF7++f8=")</f>
        <v>#REF!</v>
      </c>
    </row>
    <row r="97" spans="1:256" x14ac:dyDescent="0.2">
      <c r="A97" t="e">
        <f>IF(Membership!#REF!,"AAAAAHt7bgA=",0)</f>
        <v>#REF!</v>
      </c>
      <c r="B97" t="e">
        <f>AND(Membership!#REF!,"AAAAAHt7bgE=")</f>
        <v>#REF!</v>
      </c>
      <c r="C97" t="e">
        <f>AND(Membership!#REF!,"AAAAAHt7bgI=")</f>
        <v>#REF!</v>
      </c>
      <c r="D97" t="e">
        <f>AND(Membership!#REF!,"AAAAAHt7bgM=")</f>
        <v>#REF!</v>
      </c>
      <c r="E97" t="e">
        <f>AND(Membership!#REF!,"AAAAAHt7bgQ=")</f>
        <v>#REF!</v>
      </c>
      <c r="F97" t="e">
        <f>AND(Membership!#REF!,"AAAAAHt7bgU=")</f>
        <v>#REF!</v>
      </c>
      <c r="G97" t="e">
        <f>AND(Membership!#REF!,"AAAAAHt7bgY=")</f>
        <v>#REF!</v>
      </c>
      <c r="H97" t="e">
        <f>AND(Membership!#REF!,"AAAAAHt7bgc=")</f>
        <v>#REF!</v>
      </c>
      <c r="I97" t="e">
        <f>AND(Membership!#REF!,"AAAAAHt7bgg=")</f>
        <v>#REF!</v>
      </c>
      <c r="J97" t="e">
        <f>AND(Membership!#REF!,"AAAAAHt7bgk=")</f>
        <v>#REF!</v>
      </c>
      <c r="K97" t="e">
        <f>AND(Membership!#REF!,"AAAAAHt7bgo=")</f>
        <v>#REF!</v>
      </c>
      <c r="L97" t="e">
        <f>AND(Membership!#REF!,"AAAAAHt7bgs=")</f>
        <v>#REF!</v>
      </c>
      <c r="M97" t="e">
        <f>AND(Membership!#REF!,"AAAAAHt7bgw=")</f>
        <v>#REF!</v>
      </c>
      <c r="N97" t="e">
        <f>AND(Membership!#REF!,"AAAAAHt7bg0=")</f>
        <v>#REF!</v>
      </c>
      <c r="O97" t="e">
        <f>IF(Membership!#REF!,"AAAAAHt7bg4=",0)</f>
        <v>#REF!</v>
      </c>
      <c r="P97" t="e">
        <f>AND(Membership!#REF!,"AAAAAHt7bg8=")</f>
        <v>#REF!</v>
      </c>
      <c r="Q97" t="e">
        <f>AND(Membership!#REF!,"AAAAAHt7bhA=")</f>
        <v>#REF!</v>
      </c>
      <c r="R97" t="e">
        <f>AND(Membership!#REF!,"AAAAAHt7bhE=")</f>
        <v>#REF!</v>
      </c>
      <c r="S97" t="e">
        <f>AND(Membership!#REF!,"AAAAAHt7bhI=")</f>
        <v>#REF!</v>
      </c>
      <c r="T97" t="e">
        <f>AND(Membership!#REF!,"AAAAAHt7bhM=")</f>
        <v>#REF!</v>
      </c>
      <c r="U97" t="e">
        <f>AND(Membership!#REF!,"AAAAAHt7bhQ=")</f>
        <v>#REF!</v>
      </c>
      <c r="V97" t="e">
        <f>AND(Membership!#REF!,"AAAAAHt7bhU=")</f>
        <v>#REF!</v>
      </c>
      <c r="W97" t="e">
        <f>AND(Membership!#REF!,"AAAAAHt7bhY=")</f>
        <v>#REF!</v>
      </c>
      <c r="X97" t="e">
        <f>AND(Membership!#REF!,"AAAAAHt7bhc=")</f>
        <v>#REF!</v>
      </c>
      <c r="Y97" t="e">
        <f>AND(Membership!#REF!,"AAAAAHt7bhg=")</f>
        <v>#REF!</v>
      </c>
      <c r="Z97" t="e">
        <f>AND(Membership!#REF!,"AAAAAHt7bhk=")</f>
        <v>#REF!</v>
      </c>
      <c r="AA97" t="e">
        <f>AND(Membership!#REF!,"AAAAAHt7bho=")</f>
        <v>#REF!</v>
      </c>
      <c r="AB97" t="e">
        <f>AND(Membership!#REF!,"AAAAAHt7bhs=")</f>
        <v>#REF!</v>
      </c>
      <c r="AC97">
        <f>IF(Membership!89:89,"AAAAAHt7bhw=",0)</f>
        <v>0</v>
      </c>
      <c r="AD97" t="e">
        <f>AND(Membership!#REF!,"AAAAAHt7bh0=")</f>
        <v>#REF!</v>
      </c>
      <c r="AE97" t="e">
        <f>AND(Membership!A89,"AAAAAHt7bh4=")</f>
        <v>#VALUE!</v>
      </c>
      <c r="AF97" t="e">
        <f>AND(Membership!B89,"AAAAAHt7bh8=")</f>
        <v>#VALUE!</v>
      </c>
      <c r="AG97" t="e">
        <f>AND(Membership!C89,"AAAAAHt7biA=")</f>
        <v>#VALUE!</v>
      </c>
      <c r="AH97" t="e">
        <f>AND(Membership!#REF!,"AAAAAHt7biE=")</f>
        <v>#REF!</v>
      </c>
      <c r="AI97" t="e">
        <f>AND(Membership!E89,"AAAAAHt7biI=")</f>
        <v>#VALUE!</v>
      </c>
      <c r="AJ97" t="e">
        <f>AND(Membership!D89,"AAAAAHt7biM=")</f>
        <v>#VALUE!</v>
      </c>
      <c r="AK97" t="e">
        <f>AND(Membership!#REF!,"AAAAAHt7biQ=")</f>
        <v>#REF!</v>
      </c>
      <c r="AL97" t="e">
        <f>AND(Membership!#REF!,"AAAAAHt7biU=")</f>
        <v>#REF!</v>
      </c>
      <c r="AM97" t="e">
        <f>AND(Membership!F89,"AAAAAHt7biY=")</f>
        <v>#VALUE!</v>
      </c>
      <c r="AN97" t="e">
        <f>AND(Membership!#REF!,"AAAAAHt7bic=")</f>
        <v>#REF!</v>
      </c>
      <c r="AO97" t="e">
        <f>AND(Membership!#REF!,"AAAAAHt7big=")</f>
        <v>#REF!</v>
      </c>
      <c r="AP97" t="e">
        <f>AND(Membership!#REF!,"AAAAAHt7bik=")</f>
        <v>#REF!</v>
      </c>
      <c r="AQ97">
        <f>IF(Membership!51:51,"AAAAAHt7bio=",0)</f>
        <v>0</v>
      </c>
      <c r="AR97" t="e">
        <f>AND(Membership!#REF!,"AAAAAHt7bis=")</f>
        <v>#REF!</v>
      </c>
      <c r="AS97" t="e">
        <f>AND(Membership!A51,"AAAAAHt7biw=")</f>
        <v>#VALUE!</v>
      </c>
      <c r="AT97" t="e">
        <f>AND(Membership!B51,"AAAAAHt7bi0=")</f>
        <v>#VALUE!</v>
      </c>
      <c r="AU97" t="e">
        <f>AND(Membership!C51,"AAAAAHt7bi4=")</f>
        <v>#VALUE!</v>
      </c>
      <c r="AV97" t="e">
        <f>AND(Membership!#REF!,"AAAAAHt7bi8=")</f>
        <v>#REF!</v>
      </c>
      <c r="AW97" t="e">
        <f>AND(Membership!E51,"AAAAAHt7bjA=")</f>
        <v>#VALUE!</v>
      </c>
      <c r="AX97" t="e">
        <f>AND(Membership!D51,"AAAAAHt7bjE=")</f>
        <v>#VALUE!</v>
      </c>
      <c r="AY97" t="e">
        <f>AND(Membership!#REF!,"AAAAAHt7bjI=")</f>
        <v>#REF!</v>
      </c>
      <c r="AZ97" t="e">
        <f>AND(Membership!#REF!,"AAAAAHt7bjM=")</f>
        <v>#REF!</v>
      </c>
      <c r="BA97" t="e">
        <f>AND(Membership!F51,"AAAAAHt7bjQ=")</f>
        <v>#VALUE!</v>
      </c>
      <c r="BB97" t="e">
        <f>AND(Membership!#REF!,"AAAAAHt7bjU=")</f>
        <v>#REF!</v>
      </c>
      <c r="BC97" t="e">
        <f>AND(Membership!#REF!,"AAAAAHt7bjY=")</f>
        <v>#REF!</v>
      </c>
      <c r="BD97" t="e">
        <f>AND(Membership!#REF!,"AAAAAHt7bjc=")</f>
        <v>#REF!</v>
      </c>
      <c r="BE97">
        <f>IF(Membership!52:52,"AAAAAHt7bjg=",0)</f>
        <v>0</v>
      </c>
      <c r="BF97" t="e">
        <f>AND(Membership!#REF!,"AAAAAHt7bjk=")</f>
        <v>#REF!</v>
      </c>
      <c r="BG97" t="e">
        <f>AND(Membership!A52,"AAAAAHt7bjo=")</f>
        <v>#VALUE!</v>
      </c>
      <c r="BH97" t="e">
        <f>AND(Membership!B52,"AAAAAHt7bjs=")</f>
        <v>#VALUE!</v>
      </c>
      <c r="BI97" t="e">
        <f>AND(Membership!C52,"AAAAAHt7bjw=")</f>
        <v>#VALUE!</v>
      </c>
      <c r="BJ97" t="e">
        <f>AND(Membership!#REF!,"AAAAAHt7bj0=")</f>
        <v>#REF!</v>
      </c>
      <c r="BK97" t="e">
        <f>AND(Membership!E52,"AAAAAHt7bj4=")</f>
        <v>#VALUE!</v>
      </c>
      <c r="BL97" t="e">
        <f>AND(Membership!D52,"AAAAAHt7bj8=")</f>
        <v>#VALUE!</v>
      </c>
      <c r="BM97" t="e">
        <f>AND(Membership!#REF!,"AAAAAHt7bkA=")</f>
        <v>#REF!</v>
      </c>
      <c r="BN97" t="e">
        <f>AND(Membership!#REF!,"AAAAAHt7bkE=")</f>
        <v>#REF!</v>
      </c>
      <c r="BO97" t="e">
        <f>AND(Membership!F52,"AAAAAHt7bkI=")</f>
        <v>#VALUE!</v>
      </c>
      <c r="BP97" t="e">
        <f>AND(Membership!#REF!,"AAAAAHt7bkM=")</f>
        <v>#REF!</v>
      </c>
      <c r="BQ97" t="e">
        <f>AND(Membership!#REF!,"AAAAAHt7bkQ=")</f>
        <v>#REF!</v>
      </c>
      <c r="BR97" t="e">
        <f>AND(Membership!#REF!,"AAAAAHt7bkU=")</f>
        <v>#REF!</v>
      </c>
      <c r="BS97">
        <f>IF(Membership!53:53,"AAAAAHt7bkY=",0)</f>
        <v>0</v>
      </c>
      <c r="BT97" t="e">
        <f>AND(Membership!#REF!,"AAAAAHt7bkc=")</f>
        <v>#REF!</v>
      </c>
      <c r="BU97" t="e">
        <f>AND(Membership!A53,"AAAAAHt7bkg=")</f>
        <v>#VALUE!</v>
      </c>
      <c r="BV97" t="e">
        <f>AND(Membership!B53,"AAAAAHt7bkk=")</f>
        <v>#VALUE!</v>
      </c>
      <c r="BW97" t="e">
        <f>AND(Membership!C53,"AAAAAHt7bko=")</f>
        <v>#VALUE!</v>
      </c>
      <c r="BX97" t="e">
        <f>AND(Membership!#REF!,"AAAAAHt7bks=")</f>
        <v>#REF!</v>
      </c>
      <c r="BY97" t="e">
        <f>AND(Membership!E53,"AAAAAHt7bkw=")</f>
        <v>#VALUE!</v>
      </c>
      <c r="BZ97" t="e">
        <f>AND(Membership!D53,"AAAAAHt7bk0=")</f>
        <v>#VALUE!</v>
      </c>
      <c r="CA97" t="e">
        <f>AND(Membership!#REF!,"AAAAAHt7bk4=")</f>
        <v>#REF!</v>
      </c>
      <c r="CB97" t="e">
        <f>AND(Membership!#REF!,"AAAAAHt7bk8=")</f>
        <v>#REF!</v>
      </c>
      <c r="CC97" t="e">
        <f>AND(Membership!F53,"AAAAAHt7blA=")</f>
        <v>#VALUE!</v>
      </c>
      <c r="CD97" t="e">
        <f>AND(Membership!#REF!,"AAAAAHt7blE=")</f>
        <v>#REF!</v>
      </c>
      <c r="CE97" t="e">
        <f>AND(Membership!#REF!,"AAAAAHt7blI=")</f>
        <v>#REF!</v>
      </c>
      <c r="CF97" t="e">
        <f>AND(Membership!#REF!,"AAAAAHt7blM=")</f>
        <v>#REF!</v>
      </c>
      <c r="CG97">
        <f>IF(Membership!93:93,"AAAAAHt7blQ=",0)</f>
        <v>0</v>
      </c>
      <c r="CH97" t="e">
        <f>AND(Membership!#REF!,"AAAAAHt7blU=")</f>
        <v>#REF!</v>
      </c>
      <c r="CI97" t="e">
        <f>AND(Membership!A93,"AAAAAHt7blY=")</f>
        <v>#VALUE!</v>
      </c>
      <c r="CJ97" t="e">
        <f>AND(Membership!B93,"AAAAAHt7blc=")</f>
        <v>#VALUE!</v>
      </c>
      <c r="CK97" t="e">
        <f>AND(Membership!C93,"AAAAAHt7blg=")</f>
        <v>#VALUE!</v>
      </c>
      <c r="CL97" t="e">
        <f>AND(Membership!#REF!,"AAAAAHt7blk=")</f>
        <v>#REF!</v>
      </c>
      <c r="CM97" t="e">
        <f>AND(Membership!E93,"AAAAAHt7blo=")</f>
        <v>#VALUE!</v>
      </c>
      <c r="CN97" t="e">
        <f>AND(Membership!D93,"AAAAAHt7bls=")</f>
        <v>#VALUE!</v>
      </c>
      <c r="CO97" t="e">
        <f>AND(Membership!#REF!,"AAAAAHt7blw=")</f>
        <v>#REF!</v>
      </c>
      <c r="CP97" t="e">
        <f>AND(Membership!#REF!,"AAAAAHt7bl0=")</f>
        <v>#REF!</v>
      </c>
      <c r="CQ97" t="e">
        <f>AND(Membership!F93,"AAAAAHt7bl4=")</f>
        <v>#VALUE!</v>
      </c>
      <c r="CR97" t="e">
        <f>AND(Membership!#REF!,"AAAAAHt7bl8=")</f>
        <v>#REF!</v>
      </c>
      <c r="CS97" t="e">
        <f>AND(Membership!#REF!,"AAAAAHt7bmA=")</f>
        <v>#REF!</v>
      </c>
      <c r="CT97" t="e">
        <f>AND(Membership!#REF!,"AAAAAHt7bmE=")</f>
        <v>#REF!</v>
      </c>
      <c r="CU97">
        <f>IF(Membership!55:55,"AAAAAHt7bmI=",0)</f>
        <v>0</v>
      </c>
      <c r="CV97" t="e">
        <f>AND(Membership!#REF!,"AAAAAHt7bmM=")</f>
        <v>#REF!</v>
      </c>
      <c r="CW97" t="e">
        <f>AND(Membership!A55,"AAAAAHt7bmQ=")</f>
        <v>#VALUE!</v>
      </c>
      <c r="CX97" t="e">
        <f>AND(Membership!B55,"AAAAAHt7bmU=")</f>
        <v>#VALUE!</v>
      </c>
      <c r="CY97" t="e">
        <f>AND(Membership!C55,"AAAAAHt7bmY=")</f>
        <v>#VALUE!</v>
      </c>
      <c r="CZ97" t="e">
        <f>AND(Membership!#REF!,"AAAAAHt7bmc=")</f>
        <v>#REF!</v>
      </c>
      <c r="DA97" t="e">
        <f>AND(Membership!E55,"AAAAAHt7bmg=")</f>
        <v>#VALUE!</v>
      </c>
      <c r="DB97" t="e">
        <f>AND(Membership!D55,"AAAAAHt7bmk=")</f>
        <v>#VALUE!</v>
      </c>
      <c r="DC97" t="e">
        <f>AND(Membership!#REF!,"AAAAAHt7bmo=")</f>
        <v>#REF!</v>
      </c>
      <c r="DD97" t="e">
        <f>AND(Membership!#REF!,"AAAAAHt7bms=")</f>
        <v>#REF!</v>
      </c>
      <c r="DE97" t="e">
        <f>AND(Membership!F55,"AAAAAHt7bmw=")</f>
        <v>#VALUE!</v>
      </c>
      <c r="DF97" t="e">
        <f>AND(Membership!#REF!,"AAAAAHt7bm0=")</f>
        <v>#REF!</v>
      </c>
      <c r="DG97" t="e">
        <f>AND(Membership!#REF!,"AAAAAHt7bm4=")</f>
        <v>#REF!</v>
      </c>
      <c r="DH97" t="e">
        <f>AND(Membership!#REF!,"AAAAAHt7bm8=")</f>
        <v>#REF!</v>
      </c>
      <c r="DI97">
        <f>IF(Membership!56:56,"AAAAAHt7bnA=",0)</f>
        <v>0</v>
      </c>
      <c r="DJ97" t="e">
        <f>AND(Membership!#REF!,"AAAAAHt7bnE=")</f>
        <v>#REF!</v>
      </c>
      <c r="DK97" t="e">
        <f>AND(Membership!A56,"AAAAAHt7bnI=")</f>
        <v>#VALUE!</v>
      </c>
      <c r="DL97" t="e">
        <f>AND(Membership!B56,"AAAAAHt7bnM=")</f>
        <v>#VALUE!</v>
      </c>
      <c r="DM97" t="e">
        <f>AND(Membership!C56,"AAAAAHt7bnQ=")</f>
        <v>#VALUE!</v>
      </c>
      <c r="DN97" t="e">
        <f>AND(Membership!#REF!,"AAAAAHt7bnU=")</f>
        <v>#REF!</v>
      </c>
      <c r="DO97" t="e">
        <f>AND(Membership!E56,"AAAAAHt7bnY=")</f>
        <v>#VALUE!</v>
      </c>
      <c r="DP97" t="e">
        <f>AND(Membership!D56,"AAAAAHt7bnc=")</f>
        <v>#VALUE!</v>
      </c>
      <c r="DQ97" t="e">
        <f>AND(Membership!#REF!,"AAAAAHt7bng=")</f>
        <v>#REF!</v>
      </c>
      <c r="DR97" t="e">
        <f>AND(Membership!#REF!,"AAAAAHt7bnk=")</f>
        <v>#REF!</v>
      </c>
      <c r="DS97" t="e">
        <f>AND(Membership!F56,"AAAAAHt7bno=")</f>
        <v>#VALUE!</v>
      </c>
      <c r="DT97" t="e">
        <f>AND(Membership!#REF!,"AAAAAHt7bns=")</f>
        <v>#REF!</v>
      </c>
      <c r="DU97" t="e">
        <f>AND(Membership!#REF!,"AAAAAHt7bnw=")</f>
        <v>#REF!</v>
      </c>
      <c r="DV97" t="e">
        <f>AND(Membership!#REF!,"AAAAAHt7bn0=")</f>
        <v>#REF!</v>
      </c>
      <c r="DW97">
        <f>IF(Membership!60:60,"AAAAAHt7bn4=",0)</f>
        <v>0</v>
      </c>
      <c r="DX97" t="e">
        <f>AND(Membership!#REF!,"AAAAAHt7bn8=")</f>
        <v>#REF!</v>
      </c>
      <c r="DY97" t="e">
        <f>AND(Membership!A60,"AAAAAHt7boA=")</f>
        <v>#VALUE!</v>
      </c>
      <c r="DZ97" t="e">
        <f>AND(Membership!B60,"AAAAAHt7boE=")</f>
        <v>#VALUE!</v>
      </c>
      <c r="EA97" t="e">
        <f>AND(Membership!C60,"AAAAAHt7boI=")</f>
        <v>#VALUE!</v>
      </c>
      <c r="EB97" t="e">
        <f>AND(Membership!#REF!,"AAAAAHt7boM=")</f>
        <v>#REF!</v>
      </c>
      <c r="EC97" t="e">
        <f>AND(Membership!E60,"AAAAAHt7boQ=")</f>
        <v>#VALUE!</v>
      </c>
      <c r="ED97" t="e">
        <f>AND(Membership!D60,"AAAAAHt7boU=")</f>
        <v>#VALUE!</v>
      </c>
      <c r="EE97" t="e">
        <f>AND(Membership!#REF!,"AAAAAHt7boY=")</f>
        <v>#REF!</v>
      </c>
      <c r="EF97" t="e">
        <f>AND(Membership!#REF!,"AAAAAHt7boc=")</f>
        <v>#REF!</v>
      </c>
      <c r="EG97" t="e">
        <f>AND(Membership!F60,"AAAAAHt7bog=")</f>
        <v>#VALUE!</v>
      </c>
      <c r="EH97" t="e">
        <f>AND(Membership!#REF!,"AAAAAHt7bok=")</f>
        <v>#REF!</v>
      </c>
      <c r="EI97" t="e">
        <f>AND(Membership!#REF!,"AAAAAHt7boo=")</f>
        <v>#REF!</v>
      </c>
      <c r="EJ97" t="e">
        <f>AND(Membership!#REF!,"AAAAAHt7bos=")</f>
        <v>#REF!</v>
      </c>
      <c r="EK97">
        <f>IF(Membership!61:61,"AAAAAHt7bow=",0)</f>
        <v>0</v>
      </c>
      <c r="EL97" t="e">
        <f>AND(Membership!#REF!,"AAAAAHt7bo0=")</f>
        <v>#REF!</v>
      </c>
      <c r="EM97" t="e">
        <f>AND(Membership!A61,"AAAAAHt7bo4=")</f>
        <v>#VALUE!</v>
      </c>
      <c r="EN97" t="e">
        <f>AND(Membership!B61,"AAAAAHt7bo8=")</f>
        <v>#VALUE!</v>
      </c>
      <c r="EO97" t="e">
        <f>AND(Membership!C61,"AAAAAHt7bpA=")</f>
        <v>#VALUE!</v>
      </c>
      <c r="EP97" t="e">
        <f>AND(Membership!#REF!,"AAAAAHt7bpE=")</f>
        <v>#REF!</v>
      </c>
      <c r="EQ97" t="e">
        <f>AND(Membership!E61,"AAAAAHt7bpI=")</f>
        <v>#VALUE!</v>
      </c>
      <c r="ER97" t="e">
        <f>AND(Membership!D61,"AAAAAHt7bpM=")</f>
        <v>#VALUE!</v>
      </c>
      <c r="ES97" t="e">
        <f>AND(Membership!#REF!,"AAAAAHt7bpQ=")</f>
        <v>#REF!</v>
      </c>
      <c r="ET97" t="e">
        <f>AND(Membership!#REF!,"AAAAAHt7bpU=")</f>
        <v>#REF!</v>
      </c>
      <c r="EU97" t="e">
        <f>AND(Membership!F61,"AAAAAHt7bpY=")</f>
        <v>#VALUE!</v>
      </c>
      <c r="EV97" t="e">
        <f>AND(Membership!#REF!,"AAAAAHt7bpc=")</f>
        <v>#REF!</v>
      </c>
      <c r="EW97" t="e">
        <f>AND(Membership!#REF!,"AAAAAHt7bpg=")</f>
        <v>#REF!</v>
      </c>
      <c r="EX97" t="e">
        <f>AND(Membership!#REF!,"AAAAAHt7bpk=")</f>
        <v>#REF!</v>
      </c>
      <c r="EY97">
        <f>IF(Membership!63:63,"AAAAAHt7bpo=",0)</f>
        <v>0</v>
      </c>
      <c r="EZ97" t="e">
        <f>AND(Membership!#REF!,"AAAAAHt7bps=")</f>
        <v>#REF!</v>
      </c>
      <c r="FA97" t="e">
        <f>AND(Membership!A63,"AAAAAHt7bpw=")</f>
        <v>#VALUE!</v>
      </c>
      <c r="FB97" t="e">
        <f>AND(Membership!B63,"AAAAAHt7bp0=")</f>
        <v>#VALUE!</v>
      </c>
      <c r="FC97" t="e">
        <f>AND(Membership!C63,"AAAAAHt7bp4=")</f>
        <v>#VALUE!</v>
      </c>
      <c r="FD97" t="e">
        <f>AND(Membership!#REF!,"AAAAAHt7bp8=")</f>
        <v>#REF!</v>
      </c>
      <c r="FE97" t="e">
        <f>AND(Membership!E63,"AAAAAHt7bqA=")</f>
        <v>#VALUE!</v>
      </c>
      <c r="FF97" t="e">
        <f>AND(Membership!D63,"AAAAAHt7bqE=")</f>
        <v>#VALUE!</v>
      </c>
      <c r="FG97" t="e">
        <f>AND(Membership!#REF!,"AAAAAHt7bqI=")</f>
        <v>#REF!</v>
      </c>
      <c r="FH97" t="e">
        <f>AND(Membership!#REF!,"AAAAAHt7bqM=")</f>
        <v>#REF!</v>
      </c>
      <c r="FI97" t="e">
        <f>AND(Membership!F63,"AAAAAHt7bqQ=")</f>
        <v>#VALUE!</v>
      </c>
      <c r="FJ97" t="e">
        <f>AND(Membership!#REF!,"AAAAAHt7bqU=")</f>
        <v>#REF!</v>
      </c>
      <c r="FK97" t="e">
        <f>AND(Membership!#REF!,"AAAAAHt7bqY=")</f>
        <v>#REF!</v>
      </c>
      <c r="FL97" t="e">
        <f>AND(Membership!#REF!,"AAAAAHt7bqc=")</f>
        <v>#REF!</v>
      </c>
      <c r="FM97">
        <f>IF(Membership!64:64,"AAAAAHt7bqg=",0)</f>
        <v>0</v>
      </c>
      <c r="FN97" t="e">
        <f>AND(Membership!#REF!,"AAAAAHt7bqk=")</f>
        <v>#REF!</v>
      </c>
      <c r="FO97" t="e">
        <f>AND(Membership!A64,"AAAAAHt7bqo=")</f>
        <v>#VALUE!</v>
      </c>
      <c r="FP97" t="e">
        <f>AND(Membership!B64,"AAAAAHt7bqs=")</f>
        <v>#VALUE!</v>
      </c>
      <c r="FQ97" t="e">
        <f>AND(Membership!C64,"AAAAAHt7bqw=")</f>
        <v>#VALUE!</v>
      </c>
      <c r="FR97" t="e">
        <f>AND(Membership!#REF!,"AAAAAHt7bq0=")</f>
        <v>#REF!</v>
      </c>
      <c r="FS97" t="e">
        <f>AND(Membership!E64,"AAAAAHt7bq4=")</f>
        <v>#VALUE!</v>
      </c>
      <c r="FT97" t="e">
        <f>AND(Membership!D64,"AAAAAHt7bq8=")</f>
        <v>#VALUE!</v>
      </c>
      <c r="FU97" t="e">
        <f>AND(Membership!#REF!,"AAAAAHt7brA=")</f>
        <v>#REF!</v>
      </c>
      <c r="FV97" t="e">
        <f>AND(Membership!#REF!,"AAAAAHt7brE=")</f>
        <v>#REF!</v>
      </c>
      <c r="FW97" t="e">
        <f>AND(Membership!F64,"AAAAAHt7brI=")</f>
        <v>#VALUE!</v>
      </c>
      <c r="FX97" t="e">
        <f>AND(Membership!#REF!,"AAAAAHt7brM=")</f>
        <v>#REF!</v>
      </c>
      <c r="FY97" t="e">
        <f>AND(Membership!#REF!,"AAAAAHt7brQ=")</f>
        <v>#REF!</v>
      </c>
      <c r="FZ97" t="e">
        <f>AND(Membership!#REF!,"AAAAAHt7brU=")</f>
        <v>#REF!</v>
      </c>
      <c r="GA97">
        <f>IF(Membership!65:65,"AAAAAHt7brY=",0)</f>
        <v>0</v>
      </c>
      <c r="GB97" t="e">
        <f>AND(Membership!#REF!,"AAAAAHt7brc=")</f>
        <v>#REF!</v>
      </c>
      <c r="GC97" t="e">
        <f>AND(Membership!A65,"AAAAAHt7brg=")</f>
        <v>#VALUE!</v>
      </c>
      <c r="GD97" t="e">
        <f>AND(Membership!B65,"AAAAAHt7brk=")</f>
        <v>#VALUE!</v>
      </c>
      <c r="GE97" t="e">
        <f>AND(Membership!C65,"AAAAAHt7bro=")</f>
        <v>#VALUE!</v>
      </c>
      <c r="GF97" t="e">
        <f>AND(Membership!#REF!,"AAAAAHt7brs=")</f>
        <v>#REF!</v>
      </c>
      <c r="GG97" t="e">
        <f>AND(Membership!E65,"AAAAAHt7brw=")</f>
        <v>#VALUE!</v>
      </c>
      <c r="GH97" t="e">
        <f>AND(Membership!D65,"AAAAAHt7br0=")</f>
        <v>#VALUE!</v>
      </c>
      <c r="GI97" t="e">
        <f>AND(Membership!#REF!,"AAAAAHt7br4=")</f>
        <v>#REF!</v>
      </c>
      <c r="GJ97" t="e">
        <f>AND(Membership!#REF!,"AAAAAHt7br8=")</f>
        <v>#REF!</v>
      </c>
      <c r="GK97" t="e">
        <f>AND(Membership!F65,"AAAAAHt7bsA=")</f>
        <v>#VALUE!</v>
      </c>
      <c r="GL97" t="e">
        <f>AND(Membership!#REF!,"AAAAAHt7bsE=")</f>
        <v>#REF!</v>
      </c>
      <c r="GM97" t="e">
        <f>AND(Membership!#REF!,"AAAAAHt7bsI=")</f>
        <v>#REF!</v>
      </c>
      <c r="GN97" t="e">
        <f>AND(Membership!#REF!,"AAAAAHt7bsM=")</f>
        <v>#REF!</v>
      </c>
      <c r="GO97" t="e">
        <f>IF(Membership!#REF!,"AAAAAHt7bsQ=",0)</f>
        <v>#REF!</v>
      </c>
      <c r="GP97" t="e">
        <f>AND(Membership!#REF!,"AAAAAHt7bsU=")</f>
        <v>#REF!</v>
      </c>
      <c r="GQ97" t="e">
        <f>AND(Membership!#REF!,"AAAAAHt7bsY=")</f>
        <v>#REF!</v>
      </c>
      <c r="GR97" t="e">
        <f>AND(Membership!#REF!,"AAAAAHt7bsc=")</f>
        <v>#REF!</v>
      </c>
      <c r="GS97" t="e">
        <f>AND(Membership!#REF!,"AAAAAHt7bsg=")</f>
        <v>#REF!</v>
      </c>
      <c r="GT97" t="e">
        <f>AND(Membership!#REF!,"AAAAAHt7bsk=")</f>
        <v>#REF!</v>
      </c>
      <c r="GU97" t="e">
        <f>AND(Membership!#REF!,"AAAAAHt7bso=")</f>
        <v>#REF!</v>
      </c>
      <c r="GV97" t="e">
        <f>AND(Membership!#REF!,"AAAAAHt7bss=")</f>
        <v>#REF!</v>
      </c>
      <c r="GW97" t="e">
        <f>AND(Membership!#REF!,"AAAAAHt7bsw=")</f>
        <v>#REF!</v>
      </c>
      <c r="GX97" t="e">
        <f>AND(Membership!#REF!,"AAAAAHt7bs0=")</f>
        <v>#REF!</v>
      </c>
      <c r="GY97" t="e">
        <f>AND(Membership!#REF!,"AAAAAHt7bs4=")</f>
        <v>#REF!</v>
      </c>
      <c r="GZ97" t="e">
        <f>AND(Membership!#REF!,"AAAAAHt7bs8=")</f>
        <v>#REF!</v>
      </c>
      <c r="HA97" t="e">
        <f>AND(Membership!#REF!,"AAAAAHt7btA=")</f>
        <v>#REF!</v>
      </c>
      <c r="HB97" t="e">
        <f>AND(Membership!#REF!,"AAAAAHt7btE=")</f>
        <v>#REF!</v>
      </c>
      <c r="HC97">
        <f>IF(Membership!66:66,"AAAAAHt7btI=",0)</f>
        <v>0</v>
      </c>
      <c r="HD97" t="e">
        <f>AND(Membership!#REF!,"AAAAAHt7btM=")</f>
        <v>#REF!</v>
      </c>
      <c r="HE97" t="e">
        <f>AND(Membership!A66,"AAAAAHt7btQ=")</f>
        <v>#VALUE!</v>
      </c>
      <c r="HF97" t="e">
        <f>AND(Membership!B66,"AAAAAHt7btU=")</f>
        <v>#VALUE!</v>
      </c>
      <c r="HG97" t="e">
        <f>AND(Membership!C66,"AAAAAHt7btY=")</f>
        <v>#VALUE!</v>
      </c>
      <c r="HH97" t="e">
        <f>AND(Membership!#REF!,"AAAAAHt7btc=")</f>
        <v>#REF!</v>
      </c>
      <c r="HI97" t="e">
        <f>AND(Membership!E66,"AAAAAHt7btg=")</f>
        <v>#VALUE!</v>
      </c>
      <c r="HJ97" t="e">
        <f>AND(Membership!D66,"AAAAAHt7btk=")</f>
        <v>#VALUE!</v>
      </c>
      <c r="HK97" t="e">
        <f>AND(Membership!#REF!,"AAAAAHt7bto=")</f>
        <v>#REF!</v>
      </c>
      <c r="HL97" t="e">
        <f>AND(Membership!#REF!,"AAAAAHt7bts=")</f>
        <v>#REF!</v>
      </c>
      <c r="HM97" t="e">
        <f>AND(Membership!F66,"AAAAAHt7btw=")</f>
        <v>#VALUE!</v>
      </c>
      <c r="HN97" t="e">
        <f>AND(Membership!#REF!,"AAAAAHt7bt0=")</f>
        <v>#REF!</v>
      </c>
      <c r="HO97" t="e">
        <f>AND(Membership!#REF!,"AAAAAHt7bt4=")</f>
        <v>#REF!</v>
      </c>
      <c r="HP97" t="e">
        <f>AND(Membership!#REF!,"AAAAAHt7bt8=")</f>
        <v>#REF!</v>
      </c>
      <c r="HQ97">
        <f>IF(Membership!92:92,"AAAAAHt7buA=",0)</f>
        <v>0</v>
      </c>
      <c r="HR97" t="e">
        <f>AND(Membership!#REF!,"AAAAAHt7buE=")</f>
        <v>#REF!</v>
      </c>
      <c r="HS97" t="e">
        <f>AND(Membership!A92,"AAAAAHt7buI=")</f>
        <v>#VALUE!</v>
      </c>
      <c r="HT97" t="e">
        <f>AND(Membership!B92,"AAAAAHt7buM=")</f>
        <v>#VALUE!</v>
      </c>
      <c r="HU97" t="e">
        <f>AND(Membership!C92,"AAAAAHt7buQ=")</f>
        <v>#VALUE!</v>
      </c>
      <c r="HV97" t="e">
        <f>AND(Membership!#REF!,"AAAAAHt7buU=")</f>
        <v>#REF!</v>
      </c>
      <c r="HW97" t="e">
        <f>AND(Membership!E92,"AAAAAHt7buY=")</f>
        <v>#VALUE!</v>
      </c>
      <c r="HX97" t="e">
        <f>AND(Membership!D92,"AAAAAHt7buc=")</f>
        <v>#VALUE!</v>
      </c>
      <c r="HY97" t="e">
        <f>AND(Membership!#REF!,"AAAAAHt7bug=")</f>
        <v>#REF!</v>
      </c>
      <c r="HZ97" t="e">
        <f>AND(Membership!#REF!,"AAAAAHt7buk=")</f>
        <v>#REF!</v>
      </c>
      <c r="IA97" t="e">
        <f>AND(Membership!F92,"AAAAAHt7buo=")</f>
        <v>#VALUE!</v>
      </c>
      <c r="IB97" t="e">
        <f>AND(Membership!#REF!,"AAAAAHt7bus=")</f>
        <v>#REF!</v>
      </c>
      <c r="IC97" t="e">
        <f>AND(Membership!#REF!,"AAAAAHt7buw=")</f>
        <v>#REF!</v>
      </c>
      <c r="ID97" t="e">
        <f>AND(Membership!#REF!,"AAAAAHt7bu0=")</f>
        <v>#REF!</v>
      </c>
      <c r="IE97">
        <f>IF(Membership!50:50,"AAAAAHt7bu4=",0)</f>
        <v>0</v>
      </c>
      <c r="IF97" t="e">
        <f>AND(Membership!#REF!,"AAAAAHt7bu8=")</f>
        <v>#REF!</v>
      </c>
      <c r="IG97" t="e">
        <f>AND(Membership!A50,"AAAAAHt7bvA=")</f>
        <v>#VALUE!</v>
      </c>
      <c r="IH97" t="e">
        <f>AND(Membership!B50,"AAAAAHt7bvE=")</f>
        <v>#VALUE!</v>
      </c>
      <c r="II97" t="e">
        <f>AND(Membership!C50,"AAAAAHt7bvI=")</f>
        <v>#VALUE!</v>
      </c>
      <c r="IJ97" t="e">
        <f>AND(Membership!#REF!,"AAAAAHt7bvM=")</f>
        <v>#REF!</v>
      </c>
      <c r="IK97" t="e">
        <f>AND(Membership!E50,"AAAAAHt7bvQ=")</f>
        <v>#VALUE!</v>
      </c>
      <c r="IL97" t="e">
        <f>AND(Membership!D50,"AAAAAHt7bvU=")</f>
        <v>#VALUE!</v>
      </c>
      <c r="IM97" t="e">
        <f>AND(Membership!#REF!,"AAAAAHt7bvY=")</f>
        <v>#REF!</v>
      </c>
      <c r="IN97" t="e">
        <f>AND(Membership!#REF!,"AAAAAHt7bvc=")</f>
        <v>#REF!</v>
      </c>
      <c r="IO97" t="e">
        <f>AND(Membership!F50,"AAAAAHt7bvg=")</f>
        <v>#VALUE!</v>
      </c>
      <c r="IP97" t="e">
        <f>AND(Membership!#REF!,"AAAAAHt7bvk=")</f>
        <v>#REF!</v>
      </c>
      <c r="IQ97" t="e">
        <f>AND(Membership!#REF!,"AAAAAHt7bvo=")</f>
        <v>#REF!</v>
      </c>
      <c r="IR97" t="e">
        <f>AND(Membership!#REF!,"AAAAAHt7bvs=")</f>
        <v>#REF!</v>
      </c>
      <c r="IS97">
        <f>IF(Membership!68:68,"AAAAAHt7bvw=",0)</f>
        <v>0</v>
      </c>
      <c r="IT97" t="e">
        <f>AND(Membership!#REF!,"AAAAAHt7bv0=")</f>
        <v>#REF!</v>
      </c>
      <c r="IU97" t="e">
        <f>AND(Membership!A68,"AAAAAHt7bv4=")</f>
        <v>#VALUE!</v>
      </c>
      <c r="IV97" t="e">
        <f>AND(Membership!B68,"AAAAAHt7bv8=")</f>
        <v>#VALUE!</v>
      </c>
    </row>
    <row r="98" spans="1:256" x14ac:dyDescent="0.2">
      <c r="A98" t="e">
        <f>AND(Membership!C68,"AAAAAC39PgA=")</f>
        <v>#VALUE!</v>
      </c>
      <c r="B98" t="e">
        <f>AND(Membership!#REF!,"AAAAAC39PgE=")</f>
        <v>#REF!</v>
      </c>
      <c r="C98" t="e">
        <f>AND(Membership!E68,"AAAAAC39PgI=")</f>
        <v>#VALUE!</v>
      </c>
      <c r="D98" t="e">
        <f>AND(Membership!D68,"AAAAAC39PgM=")</f>
        <v>#VALUE!</v>
      </c>
      <c r="E98" t="e">
        <f>AND(Membership!#REF!,"AAAAAC39PgQ=")</f>
        <v>#REF!</v>
      </c>
      <c r="F98" t="e">
        <f>AND(Membership!#REF!,"AAAAAC39PgU=")</f>
        <v>#REF!</v>
      </c>
      <c r="G98" t="e">
        <f>AND(Membership!F68,"AAAAAC39PgY=")</f>
        <v>#VALUE!</v>
      </c>
      <c r="H98" t="e">
        <f>AND(Membership!#REF!,"AAAAAC39Pgc=")</f>
        <v>#REF!</v>
      </c>
      <c r="I98" t="e">
        <f>AND(Membership!#REF!,"AAAAAC39Pgg=")</f>
        <v>#REF!</v>
      </c>
      <c r="J98" t="e">
        <f>AND(Membership!#REF!,"AAAAAC39Pgk=")</f>
        <v>#REF!</v>
      </c>
      <c r="K98" t="e">
        <f>IF(Membership!#REF!,"AAAAAC39Pgo=",0)</f>
        <v>#REF!</v>
      </c>
      <c r="L98" t="e">
        <f>AND(Membership!#REF!,"AAAAAC39Pgs=")</f>
        <v>#REF!</v>
      </c>
      <c r="M98" t="e">
        <f>AND(Membership!#REF!,"AAAAAC39Pgw=")</f>
        <v>#REF!</v>
      </c>
      <c r="N98" t="e">
        <f>AND(Membership!#REF!,"AAAAAC39Pg0=")</f>
        <v>#REF!</v>
      </c>
      <c r="O98" t="e">
        <f>AND(Membership!#REF!,"AAAAAC39Pg4=")</f>
        <v>#REF!</v>
      </c>
      <c r="P98" t="e">
        <f>AND(Membership!#REF!,"AAAAAC39Pg8=")</f>
        <v>#REF!</v>
      </c>
      <c r="Q98" t="e">
        <f>AND(Membership!#REF!,"AAAAAC39PhA=")</f>
        <v>#REF!</v>
      </c>
      <c r="R98" t="e">
        <f>AND(Membership!#REF!,"AAAAAC39PhE=")</f>
        <v>#REF!</v>
      </c>
      <c r="S98" t="e">
        <f>AND(Membership!#REF!,"AAAAAC39PhI=")</f>
        <v>#REF!</v>
      </c>
      <c r="T98" t="e">
        <f>AND(Membership!#REF!,"AAAAAC39PhM=")</f>
        <v>#REF!</v>
      </c>
      <c r="U98" t="e">
        <f>AND(Membership!#REF!,"AAAAAC39PhQ=")</f>
        <v>#REF!</v>
      </c>
      <c r="V98" t="e">
        <f>AND(Membership!#REF!,"AAAAAC39PhU=")</f>
        <v>#REF!</v>
      </c>
      <c r="W98" t="e">
        <f>AND(Membership!#REF!,"AAAAAC39PhY=")</f>
        <v>#REF!</v>
      </c>
      <c r="X98" t="e">
        <f>AND(Membership!#REF!,"AAAAAC39Phc=")</f>
        <v>#REF!</v>
      </c>
      <c r="Y98" t="e">
        <f>IF(Membership!#REF!,"AAAAAC39Phg=",0)</f>
        <v>#REF!</v>
      </c>
      <c r="Z98" t="e">
        <f>AND(Membership!#REF!,"AAAAAC39Phk=")</f>
        <v>#REF!</v>
      </c>
      <c r="AA98" t="e">
        <f>AND(Membership!#REF!,"AAAAAC39Pho=")</f>
        <v>#REF!</v>
      </c>
      <c r="AB98" t="e">
        <f>AND(Membership!#REF!,"AAAAAC39Phs=")</f>
        <v>#REF!</v>
      </c>
      <c r="AC98" t="e">
        <f>AND(Membership!#REF!,"AAAAAC39Phw=")</f>
        <v>#REF!</v>
      </c>
      <c r="AD98" t="e">
        <f>AND(Membership!#REF!,"AAAAAC39Ph0=")</f>
        <v>#REF!</v>
      </c>
      <c r="AE98" t="e">
        <f>AND(Membership!#REF!,"AAAAAC39Ph4=")</f>
        <v>#REF!</v>
      </c>
      <c r="AF98" t="e">
        <f>AND(Membership!#REF!,"AAAAAC39Ph8=")</f>
        <v>#REF!</v>
      </c>
      <c r="AG98" t="e">
        <f>AND(Membership!#REF!,"AAAAAC39PiA=")</f>
        <v>#REF!</v>
      </c>
      <c r="AH98" t="e">
        <f>AND(Membership!#REF!,"AAAAAC39PiE=")</f>
        <v>#REF!</v>
      </c>
      <c r="AI98" t="e">
        <f>AND(Membership!#REF!,"AAAAAC39PiI=")</f>
        <v>#REF!</v>
      </c>
      <c r="AJ98" t="e">
        <f>AND(Membership!#REF!,"AAAAAC39PiM=")</f>
        <v>#REF!</v>
      </c>
      <c r="AK98" t="e">
        <f>AND(Membership!#REF!,"AAAAAC39PiQ=")</f>
        <v>#REF!</v>
      </c>
      <c r="AL98" t="e">
        <f>AND(Membership!#REF!,"AAAAAC39PiU=")</f>
        <v>#REF!</v>
      </c>
      <c r="AM98" t="e">
        <f>IF(Membership!#REF!,"AAAAAC39PiY=",0)</f>
        <v>#REF!</v>
      </c>
      <c r="AN98" t="e">
        <f>AND(Membership!#REF!,"AAAAAC39Pic=")</f>
        <v>#REF!</v>
      </c>
      <c r="AO98" t="e">
        <f>AND(Membership!#REF!,"AAAAAC39Pig=")</f>
        <v>#REF!</v>
      </c>
      <c r="AP98" t="e">
        <f>AND(Membership!#REF!,"AAAAAC39Pik=")</f>
        <v>#REF!</v>
      </c>
      <c r="AQ98" t="e">
        <f>AND(Membership!#REF!,"AAAAAC39Pio=")</f>
        <v>#REF!</v>
      </c>
      <c r="AR98" t="e">
        <f>AND(Membership!#REF!,"AAAAAC39Pis=")</f>
        <v>#REF!</v>
      </c>
      <c r="AS98" t="e">
        <f>AND(Membership!#REF!,"AAAAAC39Piw=")</f>
        <v>#REF!</v>
      </c>
      <c r="AT98" t="e">
        <f>AND(Membership!#REF!,"AAAAAC39Pi0=")</f>
        <v>#REF!</v>
      </c>
      <c r="AU98" t="e">
        <f>AND(Membership!#REF!,"AAAAAC39Pi4=")</f>
        <v>#REF!</v>
      </c>
      <c r="AV98" t="e">
        <f>AND(Membership!#REF!,"AAAAAC39Pi8=")</f>
        <v>#REF!</v>
      </c>
      <c r="AW98" t="e">
        <f>AND(Membership!#REF!,"AAAAAC39PjA=")</f>
        <v>#REF!</v>
      </c>
      <c r="AX98" t="e">
        <f>AND(Membership!#REF!,"AAAAAC39PjE=")</f>
        <v>#REF!</v>
      </c>
      <c r="AY98" t="e">
        <f>AND(Membership!#REF!,"AAAAAC39PjI=")</f>
        <v>#REF!</v>
      </c>
      <c r="AZ98" t="e">
        <f>AND(Membership!#REF!,"AAAAAC39PjM=")</f>
        <v>#REF!</v>
      </c>
      <c r="BA98" t="e">
        <f>IF(Membership!#REF!,"AAAAAC39PjQ=",0)</f>
        <v>#REF!</v>
      </c>
      <c r="BB98" t="e">
        <f>AND(Membership!#REF!,"AAAAAC39PjU=")</f>
        <v>#REF!</v>
      </c>
      <c r="BC98" t="e">
        <f>AND(Membership!#REF!,"AAAAAC39PjY=")</f>
        <v>#REF!</v>
      </c>
      <c r="BD98" t="e">
        <f>AND(Membership!#REF!,"AAAAAC39Pjc=")</f>
        <v>#REF!</v>
      </c>
      <c r="BE98" t="e">
        <f>AND(Membership!#REF!,"AAAAAC39Pjg=")</f>
        <v>#REF!</v>
      </c>
      <c r="BF98" t="e">
        <f>AND(Membership!#REF!,"AAAAAC39Pjk=")</f>
        <v>#REF!</v>
      </c>
      <c r="BG98" t="e">
        <f>AND(Membership!#REF!,"AAAAAC39Pjo=")</f>
        <v>#REF!</v>
      </c>
      <c r="BH98" t="e">
        <f>AND(Membership!#REF!,"AAAAAC39Pjs=")</f>
        <v>#REF!</v>
      </c>
      <c r="BI98" t="e">
        <f>AND(Membership!#REF!,"AAAAAC39Pjw=")</f>
        <v>#REF!</v>
      </c>
      <c r="BJ98" t="e">
        <f>AND(Membership!#REF!,"AAAAAC39Pj0=")</f>
        <v>#REF!</v>
      </c>
      <c r="BK98" t="e">
        <f>AND(Membership!#REF!,"AAAAAC39Pj4=")</f>
        <v>#REF!</v>
      </c>
      <c r="BL98" t="e">
        <f>AND(Membership!#REF!,"AAAAAC39Pj8=")</f>
        <v>#REF!</v>
      </c>
      <c r="BM98" t="e">
        <f>AND(Membership!#REF!,"AAAAAC39PkA=")</f>
        <v>#REF!</v>
      </c>
      <c r="BN98" t="e">
        <f>AND(Membership!#REF!,"AAAAAC39PkE=")</f>
        <v>#REF!</v>
      </c>
      <c r="BO98" t="e">
        <f>IF(Membership!#REF!,"AAAAAC39PkI=",0)</f>
        <v>#REF!</v>
      </c>
      <c r="BP98" t="e">
        <f>AND(Membership!#REF!,"AAAAAC39PkM=")</f>
        <v>#REF!</v>
      </c>
      <c r="BQ98" t="e">
        <f>AND(Membership!#REF!,"AAAAAC39PkQ=")</f>
        <v>#REF!</v>
      </c>
      <c r="BR98" t="e">
        <f>AND(Membership!#REF!,"AAAAAC39PkU=")</f>
        <v>#REF!</v>
      </c>
      <c r="BS98" t="e">
        <f>AND(Membership!#REF!,"AAAAAC39PkY=")</f>
        <v>#REF!</v>
      </c>
      <c r="BT98" t="e">
        <f>AND(Membership!#REF!,"AAAAAC39Pkc=")</f>
        <v>#REF!</v>
      </c>
      <c r="BU98" t="e">
        <f>AND(Membership!#REF!,"AAAAAC39Pkg=")</f>
        <v>#REF!</v>
      </c>
      <c r="BV98" t="e">
        <f>AND(Membership!#REF!,"AAAAAC39Pkk=")</f>
        <v>#REF!</v>
      </c>
      <c r="BW98" t="e">
        <f>AND(Membership!#REF!,"AAAAAC39Pko=")</f>
        <v>#REF!</v>
      </c>
      <c r="BX98" t="e">
        <f>AND(Membership!#REF!,"AAAAAC39Pks=")</f>
        <v>#REF!</v>
      </c>
      <c r="BY98" t="e">
        <f>AND(Membership!#REF!,"AAAAAC39Pkw=")</f>
        <v>#REF!</v>
      </c>
      <c r="BZ98" t="e">
        <f>AND(Membership!#REF!,"AAAAAC39Pk0=")</f>
        <v>#REF!</v>
      </c>
      <c r="CA98" t="e">
        <f>AND(Membership!#REF!,"AAAAAC39Pk4=")</f>
        <v>#REF!</v>
      </c>
      <c r="CB98" t="e">
        <f>AND(Membership!#REF!,"AAAAAC39Pk8=")</f>
        <v>#REF!</v>
      </c>
      <c r="CC98" t="e">
        <f>IF(Membership!#REF!,"AAAAAC39PlA=",0)</f>
        <v>#REF!</v>
      </c>
      <c r="CD98" t="e">
        <f>AND(Membership!#REF!,"AAAAAC39PlE=")</f>
        <v>#REF!</v>
      </c>
      <c r="CE98" t="e">
        <f>AND(Membership!#REF!,"AAAAAC39PlI=")</f>
        <v>#REF!</v>
      </c>
      <c r="CF98" t="e">
        <f>AND(Membership!#REF!,"AAAAAC39PlM=")</f>
        <v>#REF!</v>
      </c>
      <c r="CG98" t="e">
        <f>AND(Membership!#REF!,"AAAAAC39PlQ=")</f>
        <v>#REF!</v>
      </c>
      <c r="CH98" t="e">
        <f>AND(Membership!#REF!,"AAAAAC39PlU=")</f>
        <v>#REF!</v>
      </c>
      <c r="CI98" t="e">
        <f>AND(Membership!#REF!,"AAAAAC39PlY=")</f>
        <v>#REF!</v>
      </c>
      <c r="CJ98" t="e">
        <f>AND(Membership!#REF!,"AAAAAC39Plc=")</f>
        <v>#REF!</v>
      </c>
      <c r="CK98" t="e">
        <f>AND(Membership!#REF!,"AAAAAC39Plg=")</f>
        <v>#REF!</v>
      </c>
      <c r="CL98" t="e">
        <f>AND(Membership!#REF!,"AAAAAC39Plk=")</f>
        <v>#REF!</v>
      </c>
      <c r="CM98" t="e">
        <f>AND(Membership!#REF!,"AAAAAC39Plo=")</f>
        <v>#REF!</v>
      </c>
      <c r="CN98" t="e">
        <f>AND(Membership!#REF!,"AAAAAC39Pls=")</f>
        <v>#REF!</v>
      </c>
      <c r="CO98" t="e">
        <f>AND(Membership!#REF!,"AAAAAC39Plw=")</f>
        <v>#REF!</v>
      </c>
      <c r="CP98" t="e">
        <f>AND(Membership!#REF!,"AAAAAC39Pl0=")</f>
        <v>#REF!</v>
      </c>
      <c r="CQ98" t="e">
        <f>IF(Membership!#REF!,"AAAAAC39Pl4=",0)</f>
        <v>#REF!</v>
      </c>
      <c r="CR98" t="e">
        <f>AND(Membership!#REF!,"AAAAAC39Pl8=")</f>
        <v>#REF!</v>
      </c>
      <c r="CS98" t="e">
        <f>AND(Membership!#REF!,"AAAAAC39PmA=")</f>
        <v>#REF!</v>
      </c>
      <c r="CT98" t="e">
        <f>AND(Membership!#REF!,"AAAAAC39PmE=")</f>
        <v>#REF!</v>
      </c>
      <c r="CU98" t="e">
        <f>AND(Membership!#REF!,"AAAAAC39PmI=")</f>
        <v>#REF!</v>
      </c>
      <c r="CV98" t="e">
        <f>AND(Membership!#REF!,"AAAAAC39PmM=")</f>
        <v>#REF!</v>
      </c>
      <c r="CW98" t="e">
        <f>AND(Membership!#REF!,"AAAAAC39PmQ=")</f>
        <v>#REF!</v>
      </c>
      <c r="CX98" t="e">
        <f>AND(Membership!#REF!,"AAAAAC39PmU=")</f>
        <v>#REF!</v>
      </c>
      <c r="CY98" t="e">
        <f>AND(Membership!#REF!,"AAAAAC39PmY=")</f>
        <v>#REF!</v>
      </c>
      <c r="CZ98" t="e">
        <f>AND(Membership!#REF!,"AAAAAC39Pmc=")</f>
        <v>#REF!</v>
      </c>
      <c r="DA98" t="e">
        <f>AND(Membership!#REF!,"AAAAAC39Pmg=")</f>
        <v>#REF!</v>
      </c>
      <c r="DB98" t="e">
        <f>AND(Membership!#REF!,"AAAAAC39Pmk=")</f>
        <v>#REF!</v>
      </c>
      <c r="DC98" t="e">
        <f>AND(Membership!#REF!,"AAAAAC39Pmo=")</f>
        <v>#REF!</v>
      </c>
      <c r="DD98" t="e">
        <f>AND(Membership!#REF!,"AAAAAC39Pms=")</f>
        <v>#REF!</v>
      </c>
      <c r="DE98" t="e">
        <f>IF(Membership!#REF!,"AAAAAC39Pmw=",0)</f>
        <v>#REF!</v>
      </c>
      <c r="DF98" t="e">
        <f>AND(Membership!#REF!,"AAAAAC39Pm0=")</f>
        <v>#REF!</v>
      </c>
      <c r="DG98" t="e">
        <f>AND(Membership!#REF!,"AAAAAC39Pm4=")</f>
        <v>#REF!</v>
      </c>
      <c r="DH98" t="e">
        <f>AND(Membership!#REF!,"AAAAAC39Pm8=")</f>
        <v>#REF!</v>
      </c>
      <c r="DI98" t="e">
        <f>AND(Membership!#REF!,"AAAAAC39PnA=")</f>
        <v>#REF!</v>
      </c>
      <c r="DJ98" t="e">
        <f>AND(Membership!#REF!,"AAAAAC39PnE=")</f>
        <v>#REF!</v>
      </c>
      <c r="DK98" t="e">
        <f>AND(Membership!#REF!,"AAAAAC39PnI=")</f>
        <v>#REF!</v>
      </c>
      <c r="DL98" t="e">
        <f>AND(Membership!#REF!,"AAAAAC39PnM=")</f>
        <v>#REF!</v>
      </c>
      <c r="DM98" t="e">
        <f>AND(Membership!#REF!,"AAAAAC39PnQ=")</f>
        <v>#REF!</v>
      </c>
      <c r="DN98" t="e">
        <f>AND(Membership!#REF!,"AAAAAC39PnU=")</f>
        <v>#REF!</v>
      </c>
      <c r="DO98" t="e">
        <f>AND(Membership!#REF!,"AAAAAC39PnY=")</f>
        <v>#REF!</v>
      </c>
      <c r="DP98" t="e">
        <f>AND(Membership!#REF!,"AAAAAC39Pnc=")</f>
        <v>#REF!</v>
      </c>
      <c r="DQ98" t="e">
        <f>AND(Membership!#REF!,"AAAAAC39Png=")</f>
        <v>#REF!</v>
      </c>
      <c r="DR98" t="e">
        <f>AND(Membership!#REF!,"AAAAAC39Pnk=")</f>
        <v>#REF!</v>
      </c>
      <c r="DS98" t="e">
        <f>IF(Membership!#REF!,"AAAAAC39Pno=",0)</f>
        <v>#REF!</v>
      </c>
      <c r="DT98" t="e">
        <f>AND(Membership!#REF!,"AAAAAC39Pns=")</f>
        <v>#REF!</v>
      </c>
      <c r="DU98" t="e">
        <f>AND(Membership!#REF!,"AAAAAC39Pnw=")</f>
        <v>#REF!</v>
      </c>
      <c r="DV98" t="e">
        <f>AND(Membership!#REF!,"AAAAAC39Pn0=")</f>
        <v>#REF!</v>
      </c>
      <c r="DW98" t="e">
        <f>AND(Membership!#REF!,"AAAAAC39Pn4=")</f>
        <v>#REF!</v>
      </c>
      <c r="DX98" t="e">
        <f>AND(Membership!#REF!,"AAAAAC39Pn8=")</f>
        <v>#REF!</v>
      </c>
      <c r="DY98" t="e">
        <f>AND(Membership!#REF!,"AAAAAC39PoA=")</f>
        <v>#REF!</v>
      </c>
      <c r="DZ98" t="e">
        <f>AND(Membership!#REF!,"AAAAAC39PoE=")</f>
        <v>#REF!</v>
      </c>
      <c r="EA98" t="e">
        <f>AND(Membership!#REF!,"AAAAAC39PoI=")</f>
        <v>#REF!</v>
      </c>
      <c r="EB98" t="e">
        <f>AND(Membership!#REF!,"AAAAAC39PoM=")</f>
        <v>#REF!</v>
      </c>
      <c r="EC98" t="e">
        <f>AND(Membership!#REF!,"AAAAAC39PoQ=")</f>
        <v>#REF!</v>
      </c>
      <c r="ED98" t="e">
        <f>AND(Membership!#REF!,"AAAAAC39PoU=")</f>
        <v>#REF!</v>
      </c>
      <c r="EE98" t="e">
        <f>AND(Membership!#REF!,"AAAAAC39PoY=")</f>
        <v>#REF!</v>
      </c>
      <c r="EF98" t="e">
        <f>AND(Membership!#REF!,"AAAAAC39Poc=")</f>
        <v>#REF!</v>
      </c>
      <c r="EG98">
        <f>IF(Membership!13:13,"AAAAAC39Pog=",0)</f>
        <v>0</v>
      </c>
      <c r="EH98" t="e">
        <f>AND(Membership!#REF!,"AAAAAC39Pok=")</f>
        <v>#REF!</v>
      </c>
      <c r="EI98" t="e">
        <f>AND(Membership!A13,"AAAAAC39Poo=")</f>
        <v>#VALUE!</v>
      </c>
      <c r="EJ98" t="e">
        <f>AND(Membership!B13,"AAAAAC39Pos=")</f>
        <v>#VALUE!</v>
      </c>
      <c r="EK98" t="e">
        <f>AND(Membership!C13,"AAAAAC39Pow=")</f>
        <v>#VALUE!</v>
      </c>
      <c r="EL98" t="e">
        <f>AND(Membership!D13,"AAAAAC39Po0=")</f>
        <v>#VALUE!</v>
      </c>
      <c r="EM98" t="e">
        <f>AND(Membership!E13,"AAAAAC39Po4=")</f>
        <v>#VALUE!</v>
      </c>
      <c r="EN98" t="e">
        <f>AND(Membership!F13,"AAAAAC39Po8=")</f>
        <v>#VALUE!</v>
      </c>
      <c r="EO98" t="e">
        <f>AND(Membership!#REF!,"AAAAAC39PpA=")</f>
        <v>#REF!</v>
      </c>
      <c r="EP98" t="e">
        <f>AND(Membership!#REF!,"AAAAAC39PpE=")</f>
        <v>#REF!</v>
      </c>
      <c r="EQ98" t="e">
        <f>AND(Membership!#REF!,"AAAAAC39PpI=")</f>
        <v>#REF!</v>
      </c>
      <c r="ER98" t="e">
        <f>AND(Membership!#REF!,"AAAAAC39PpM=")</f>
        <v>#REF!</v>
      </c>
      <c r="ES98" t="e">
        <f>AND(Membership!#REF!,"AAAAAC39PpQ=")</f>
        <v>#REF!</v>
      </c>
      <c r="ET98" t="e">
        <f>AND(Membership!#REF!,"AAAAAC39PpU=")</f>
        <v>#REF!</v>
      </c>
      <c r="EU98">
        <f>IF(Membership!14:14,"AAAAAC39PpY=",0)</f>
        <v>0</v>
      </c>
      <c r="EV98" t="e">
        <f>AND(Membership!#REF!,"AAAAAC39Ppc=")</f>
        <v>#REF!</v>
      </c>
      <c r="EW98" t="e">
        <f>AND(Membership!A14,"AAAAAC39Ppg=")</f>
        <v>#VALUE!</v>
      </c>
      <c r="EX98" t="e">
        <f>AND(Membership!B14,"AAAAAC39Ppk=")</f>
        <v>#VALUE!</v>
      </c>
      <c r="EY98" t="e">
        <f>AND(Membership!C14,"AAAAAC39Ppo=")</f>
        <v>#VALUE!</v>
      </c>
      <c r="EZ98" t="e">
        <f>AND(Membership!D14,"AAAAAC39Pps=")</f>
        <v>#VALUE!</v>
      </c>
      <c r="FA98" t="e">
        <f>AND(Membership!E14,"AAAAAC39Ppw=")</f>
        <v>#VALUE!</v>
      </c>
      <c r="FB98" t="e">
        <f>AND(Membership!F14,"AAAAAC39Pp0=")</f>
        <v>#VALUE!</v>
      </c>
      <c r="FC98" t="e">
        <f>AND(Membership!#REF!,"AAAAAC39Pp4=")</f>
        <v>#REF!</v>
      </c>
      <c r="FD98" t="e">
        <f>AND(Membership!#REF!,"AAAAAC39Pp8=")</f>
        <v>#REF!</v>
      </c>
      <c r="FE98" t="e">
        <f>AND(Membership!#REF!,"AAAAAC39PqA=")</f>
        <v>#REF!</v>
      </c>
      <c r="FF98" t="e">
        <f>AND(Membership!#REF!,"AAAAAC39PqE=")</f>
        <v>#REF!</v>
      </c>
      <c r="FG98" t="e">
        <f>AND(Membership!#REF!,"AAAAAC39PqI=")</f>
        <v>#REF!</v>
      </c>
      <c r="FH98" t="e">
        <f>AND(Membership!#REF!,"AAAAAC39PqM=")</f>
        <v>#REF!</v>
      </c>
      <c r="FI98">
        <f>IF(Membership!15:15,"AAAAAC39PqQ=",0)</f>
        <v>0</v>
      </c>
      <c r="FJ98" t="e">
        <f>AND(Membership!#REF!,"AAAAAC39PqU=")</f>
        <v>#REF!</v>
      </c>
      <c r="FK98" t="e">
        <f>AND(Membership!A15,"AAAAAC39PqY=")</f>
        <v>#VALUE!</v>
      </c>
      <c r="FL98" t="e">
        <f>AND(Membership!B15,"AAAAAC39Pqc=")</f>
        <v>#VALUE!</v>
      </c>
      <c r="FM98" t="e">
        <f>AND(Membership!C15,"AAAAAC39Pqg=")</f>
        <v>#VALUE!</v>
      </c>
      <c r="FN98" t="e">
        <f>AND(Membership!D15,"AAAAAC39Pqk=")</f>
        <v>#VALUE!</v>
      </c>
      <c r="FO98" t="e">
        <f>AND(Membership!E15,"AAAAAC39Pqo=")</f>
        <v>#VALUE!</v>
      </c>
      <c r="FP98" t="e">
        <f>AND(Membership!F15,"AAAAAC39Pqs=")</f>
        <v>#VALUE!</v>
      </c>
      <c r="FQ98" t="e">
        <f>AND(Membership!#REF!,"AAAAAC39Pqw=")</f>
        <v>#REF!</v>
      </c>
      <c r="FR98" t="e">
        <f>AND(Membership!#REF!,"AAAAAC39Pq0=")</f>
        <v>#REF!</v>
      </c>
      <c r="FS98" t="e">
        <f>AND(Membership!#REF!,"AAAAAC39Pq4=")</f>
        <v>#REF!</v>
      </c>
      <c r="FT98" t="e">
        <f>AND(Membership!#REF!,"AAAAAC39Pq8=")</f>
        <v>#REF!</v>
      </c>
      <c r="FU98" t="e">
        <f>AND(Membership!#REF!,"AAAAAC39PrA=")</f>
        <v>#REF!</v>
      </c>
      <c r="FV98" t="e">
        <f>AND(Membership!#REF!,"AAAAAC39PrE=")</f>
        <v>#REF!</v>
      </c>
      <c r="FW98">
        <f>IF(Membership!16:16,"AAAAAC39PrI=",0)</f>
        <v>0</v>
      </c>
      <c r="FX98" t="e">
        <f>AND(Membership!#REF!,"AAAAAC39PrM=")</f>
        <v>#REF!</v>
      </c>
      <c r="FY98" t="e">
        <f>AND(Membership!A16,"AAAAAC39PrQ=")</f>
        <v>#VALUE!</v>
      </c>
      <c r="FZ98" t="e">
        <f>AND(Membership!B16,"AAAAAC39PrU=")</f>
        <v>#VALUE!</v>
      </c>
      <c r="GA98" t="e">
        <f>AND(Membership!C16,"AAAAAC39PrY=")</f>
        <v>#VALUE!</v>
      </c>
      <c r="GB98" t="e">
        <f>AND(Membership!D16,"AAAAAC39Prc=")</f>
        <v>#VALUE!</v>
      </c>
      <c r="GC98" t="e">
        <f>AND(Membership!E16,"AAAAAC39Prg=")</f>
        <v>#VALUE!</v>
      </c>
      <c r="GD98" t="e">
        <f>AND(Membership!F16,"AAAAAC39Prk=")</f>
        <v>#VALUE!</v>
      </c>
      <c r="GE98" t="e">
        <f>AND(Membership!#REF!,"AAAAAC39Pro=")</f>
        <v>#REF!</v>
      </c>
      <c r="GF98" t="e">
        <f>AND(Membership!#REF!,"AAAAAC39Prs=")</f>
        <v>#REF!</v>
      </c>
      <c r="GG98" t="e">
        <f>AND(Membership!#REF!,"AAAAAC39Prw=")</f>
        <v>#REF!</v>
      </c>
      <c r="GH98" t="e">
        <f>AND(Membership!#REF!,"AAAAAC39Pr0=")</f>
        <v>#REF!</v>
      </c>
      <c r="GI98" t="e">
        <f>AND(Membership!#REF!,"AAAAAC39Pr4=")</f>
        <v>#REF!</v>
      </c>
      <c r="GJ98" t="e">
        <f>AND(Membership!#REF!,"AAAAAC39Pr8=")</f>
        <v>#REF!</v>
      </c>
      <c r="GK98">
        <f>IF(Membership!17:17,"AAAAAC39PsA=",0)</f>
        <v>0</v>
      </c>
      <c r="GL98" t="e">
        <f>AND(Membership!#REF!,"AAAAAC39PsE=")</f>
        <v>#REF!</v>
      </c>
      <c r="GM98" t="e">
        <f>AND(Membership!A17,"AAAAAC39PsI=")</f>
        <v>#VALUE!</v>
      </c>
      <c r="GN98" t="e">
        <f>AND(Membership!B17,"AAAAAC39PsM=")</f>
        <v>#VALUE!</v>
      </c>
      <c r="GO98" t="e">
        <f>AND(Membership!C17,"AAAAAC39PsQ=")</f>
        <v>#VALUE!</v>
      </c>
      <c r="GP98" t="e">
        <f>AND(Membership!D17,"AAAAAC39PsU=")</f>
        <v>#VALUE!</v>
      </c>
      <c r="GQ98" t="e">
        <f>AND(Membership!E17,"AAAAAC39PsY=")</f>
        <v>#VALUE!</v>
      </c>
      <c r="GR98" t="e">
        <f>AND(Membership!F17,"AAAAAC39Psc=")</f>
        <v>#VALUE!</v>
      </c>
      <c r="GS98" t="e">
        <f>AND(Membership!#REF!,"AAAAAC39Psg=")</f>
        <v>#REF!</v>
      </c>
      <c r="GT98" t="e">
        <f>AND(Membership!#REF!,"AAAAAC39Psk=")</f>
        <v>#REF!</v>
      </c>
      <c r="GU98" t="e">
        <f>AND(Membership!#REF!,"AAAAAC39Pso=")</f>
        <v>#REF!</v>
      </c>
      <c r="GV98" t="e">
        <f>AND(Membership!#REF!,"AAAAAC39Pss=")</f>
        <v>#REF!</v>
      </c>
      <c r="GW98" t="e">
        <f>AND(Membership!#REF!,"AAAAAC39Psw=")</f>
        <v>#REF!</v>
      </c>
      <c r="GX98" t="e">
        <f>AND(Membership!#REF!,"AAAAAC39Ps0=")</f>
        <v>#REF!</v>
      </c>
      <c r="GY98">
        <f>IF(Membership!18:18,"AAAAAC39Ps4=",0)</f>
        <v>0</v>
      </c>
      <c r="GZ98" t="e">
        <f>AND(Membership!#REF!,"AAAAAC39Ps8=")</f>
        <v>#REF!</v>
      </c>
      <c r="HA98" t="e">
        <f>AND(Membership!A18,"AAAAAC39PtA=")</f>
        <v>#VALUE!</v>
      </c>
      <c r="HB98" t="e">
        <f>AND(Membership!B18,"AAAAAC39PtE=")</f>
        <v>#VALUE!</v>
      </c>
      <c r="HC98" t="e">
        <f>AND(Membership!C18,"AAAAAC39PtI=")</f>
        <v>#VALUE!</v>
      </c>
      <c r="HD98" t="e">
        <f>AND(Membership!D18,"AAAAAC39PtM=")</f>
        <v>#VALUE!</v>
      </c>
      <c r="HE98" t="e">
        <f>AND(Membership!E18,"AAAAAC39PtQ=")</f>
        <v>#VALUE!</v>
      </c>
      <c r="HF98" t="e">
        <f>AND(Membership!F18,"AAAAAC39PtU=")</f>
        <v>#VALUE!</v>
      </c>
      <c r="HG98" t="e">
        <f>AND(Membership!#REF!,"AAAAAC39PtY=")</f>
        <v>#REF!</v>
      </c>
      <c r="HH98" t="e">
        <f>AND(Membership!#REF!,"AAAAAC39Ptc=")</f>
        <v>#REF!</v>
      </c>
      <c r="HI98" t="e">
        <f>AND(Membership!#REF!,"AAAAAC39Ptg=")</f>
        <v>#REF!</v>
      </c>
      <c r="HJ98" t="e">
        <f>AND(Membership!#REF!,"AAAAAC39Ptk=")</f>
        <v>#REF!</v>
      </c>
      <c r="HK98" t="e">
        <f>AND(Membership!#REF!,"AAAAAC39Pto=")</f>
        <v>#REF!</v>
      </c>
      <c r="HL98" t="e">
        <f>AND(Membership!#REF!,"AAAAAC39Pts=")</f>
        <v>#REF!</v>
      </c>
      <c r="HM98">
        <f>IF(Membership!19:19,"AAAAAC39Ptw=",0)</f>
        <v>0</v>
      </c>
      <c r="HN98" t="e">
        <f>AND(Membership!#REF!,"AAAAAC39Pt0=")</f>
        <v>#REF!</v>
      </c>
      <c r="HO98" t="e">
        <f>AND(Membership!A19,"AAAAAC39Pt4=")</f>
        <v>#VALUE!</v>
      </c>
      <c r="HP98" t="e">
        <f>AND(Membership!B19,"AAAAAC39Pt8=")</f>
        <v>#VALUE!</v>
      </c>
      <c r="HQ98" t="e">
        <f>AND(Membership!C19,"AAAAAC39PuA=")</f>
        <v>#VALUE!</v>
      </c>
      <c r="HR98" t="e">
        <f>AND(Membership!D19,"AAAAAC39PuE=")</f>
        <v>#VALUE!</v>
      </c>
      <c r="HS98" t="e">
        <f>AND(Membership!E19,"AAAAAC39PuI=")</f>
        <v>#VALUE!</v>
      </c>
      <c r="HT98" t="e">
        <f>AND(Membership!F19,"AAAAAC39PuM=")</f>
        <v>#VALUE!</v>
      </c>
      <c r="HU98" t="e">
        <f>AND(Membership!#REF!,"AAAAAC39PuQ=")</f>
        <v>#REF!</v>
      </c>
      <c r="HV98" t="e">
        <f>AND(Membership!#REF!,"AAAAAC39PuU=")</f>
        <v>#REF!</v>
      </c>
      <c r="HW98" t="e">
        <f>AND(Membership!#REF!,"AAAAAC39PuY=")</f>
        <v>#REF!</v>
      </c>
      <c r="HX98" t="e">
        <f>AND(Membership!#REF!,"AAAAAC39Puc=")</f>
        <v>#REF!</v>
      </c>
      <c r="HY98" t="e">
        <f>AND(Membership!#REF!,"AAAAAC39Pug=")</f>
        <v>#REF!</v>
      </c>
      <c r="HZ98" t="e">
        <f>AND(Membership!#REF!,"AAAAAC39Puk=")</f>
        <v>#REF!</v>
      </c>
      <c r="IA98">
        <f>IF(Membership!20:20,"AAAAAC39Puo=",0)</f>
        <v>0</v>
      </c>
      <c r="IB98" t="e">
        <f>AND(Membership!#REF!,"AAAAAC39Pus=")</f>
        <v>#REF!</v>
      </c>
      <c r="IC98" t="e">
        <f>AND(Membership!A20,"AAAAAC39Puw=")</f>
        <v>#VALUE!</v>
      </c>
      <c r="ID98" t="e">
        <f>AND(Membership!B20,"AAAAAC39Pu0=")</f>
        <v>#VALUE!</v>
      </c>
      <c r="IE98" t="e">
        <f>AND(Membership!C20,"AAAAAC39Pu4=")</f>
        <v>#VALUE!</v>
      </c>
      <c r="IF98" t="e">
        <f>AND(Membership!D20,"AAAAAC39Pu8=")</f>
        <v>#VALUE!</v>
      </c>
      <c r="IG98" t="e">
        <f>AND(Membership!E20,"AAAAAC39PvA=")</f>
        <v>#VALUE!</v>
      </c>
      <c r="IH98" t="e">
        <f>AND(Membership!F20,"AAAAAC39PvE=")</f>
        <v>#VALUE!</v>
      </c>
      <c r="II98" t="e">
        <f>AND(Membership!#REF!,"AAAAAC39PvI=")</f>
        <v>#REF!</v>
      </c>
      <c r="IJ98" t="e">
        <f>AND(Membership!#REF!,"AAAAAC39PvM=")</f>
        <v>#REF!</v>
      </c>
      <c r="IK98" t="e">
        <f>AND(Membership!#REF!,"AAAAAC39PvQ=")</f>
        <v>#REF!</v>
      </c>
      <c r="IL98" t="e">
        <f>AND(Membership!#REF!,"AAAAAC39PvU=")</f>
        <v>#REF!</v>
      </c>
      <c r="IM98" t="e">
        <f>AND(Membership!#REF!,"AAAAAC39PvY=")</f>
        <v>#REF!</v>
      </c>
      <c r="IN98" t="e">
        <f>AND(Membership!#REF!,"AAAAAC39Pvc=")</f>
        <v>#REF!</v>
      </c>
      <c r="IO98" t="e">
        <f>IF(Membership!#REF!,"AAAAAC39Pvg=",0)</f>
        <v>#REF!</v>
      </c>
      <c r="IP98" t="e">
        <f>AND(Membership!#REF!,"AAAAAC39Pvk=")</f>
        <v>#REF!</v>
      </c>
      <c r="IQ98" t="e">
        <f>AND(Membership!#REF!,"AAAAAC39Pvo=")</f>
        <v>#REF!</v>
      </c>
      <c r="IR98" t="e">
        <f>AND(Membership!#REF!,"AAAAAC39Pvs=")</f>
        <v>#REF!</v>
      </c>
      <c r="IS98" t="e">
        <f>AND(Membership!#REF!,"AAAAAC39Pvw=")</f>
        <v>#REF!</v>
      </c>
      <c r="IT98" t="e">
        <f>AND(Membership!#REF!,"AAAAAC39Pv0=")</f>
        <v>#REF!</v>
      </c>
      <c r="IU98" t="e">
        <f>AND(Membership!#REF!,"AAAAAC39Pv4=")</f>
        <v>#REF!</v>
      </c>
      <c r="IV98" t="e">
        <f>AND(Membership!#REF!,"AAAAAC39Pv8=")</f>
        <v>#REF!</v>
      </c>
    </row>
    <row r="99" spans="1:256" x14ac:dyDescent="0.2">
      <c r="A99" t="e">
        <f>AND(Membership!#REF!,"AAAAAGft1wA=")</f>
        <v>#REF!</v>
      </c>
      <c r="B99" t="e">
        <f>AND(Membership!#REF!,"AAAAAGft1wE=")</f>
        <v>#REF!</v>
      </c>
      <c r="C99" t="e">
        <f>AND(Membership!#REF!,"AAAAAGft1wI=")</f>
        <v>#REF!</v>
      </c>
      <c r="D99" t="e">
        <f>AND(Membership!#REF!,"AAAAAGft1wM=")</f>
        <v>#REF!</v>
      </c>
      <c r="E99" t="e">
        <f>AND(Membership!#REF!,"AAAAAGft1wQ=")</f>
        <v>#REF!</v>
      </c>
      <c r="F99" t="e">
        <f>AND(Membership!#REF!,"AAAAAGft1wU=")</f>
        <v>#REF!</v>
      </c>
      <c r="G99" t="e">
        <f>IF(Membership!#REF!,"AAAAAGft1wY=",0)</f>
        <v>#REF!</v>
      </c>
      <c r="H99" t="e">
        <f>AND(Membership!#REF!,"AAAAAGft1wc=")</f>
        <v>#REF!</v>
      </c>
      <c r="I99" t="e">
        <f>AND(Membership!#REF!,"AAAAAGft1wg=")</f>
        <v>#REF!</v>
      </c>
      <c r="J99" t="e">
        <f>AND(Membership!#REF!,"AAAAAGft1wk=")</f>
        <v>#REF!</v>
      </c>
      <c r="K99" t="e">
        <f>AND(Membership!#REF!,"AAAAAGft1wo=")</f>
        <v>#REF!</v>
      </c>
      <c r="L99" t="e">
        <f>AND(Membership!#REF!,"AAAAAGft1ws=")</f>
        <v>#REF!</v>
      </c>
      <c r="M99" t="e">
        <f>AND(Membership!#REF!,"AAAAAGft1ww=")</f>
        <v>#REF!</v>
      </c>
      <c r="N99" t="e">
        <f>AND(Membership!#REF!,"AAAAAGft1w0=")</f>
        <v>#REF!</v>
      </c>
      <c r="O99" t="e">
        <f>AND(Membership!#REF!,"AAAAAGft1w4=")</f>
        <v>#REF!</v>
      </c>
      <c r="P99" t="e">
        <f>AND(Membership!#REF!,"AAAAAGft1w8=")</f>
        <v>#REF!</v>
      </c>
      <c r="Q99" t="e">
        <f>AND(Membership!#REF!,"AAAAAGft1xA=")</f>
        <v>#REF!</v>
      </c>
      <c r="R99" t="e">
        <f>AND(Membership!#REF!,"AAAAAGft1xE=")</f>
        <v>#REF!</v>
      </c>
      <c r="S99" t="e">
        <f>AND(Membership!#REF!,"AAAAAGft1xI=")</f>
        <v>#REF!</v>
      </c>
      <c r="T99" t="e">
        <f>AND(Membership!#REF!,"AAAAAGft1xM=")</f>
        <v>#REF!</v>
      </c>
      <c r="U99" t="e">
        <f>IF(Membership!#REF!,"AAAAAGft1xQ=",0)</f>
        <v>#REF!</v>
      </c>
      <c r="V99" t="e">
        <f>AND(Membership!#REF!,"AAAAAGft1xU=")</f>
        <v>#REF!</v>
      </c>
      <c r="W99" t="e">
        <f>AND(Membership!#REF!,"AAAAAGft1xY=")</f>
        <v>#REF!</v>
      </c>
      <c r="X99" t="e">
        <f>AND(Membership!#REF!,"AAAAAGft1xc=")</f>
        <v>#REF!</v>
      </c>
      <c r="Y99" t="e">
        <f>AND(Membership!#REF!,"AAAAAGft1xg=")</f>
        <v>#REF!</v>
      </c>
      <c r="Z99" t="e">
        <f>AND(Membership!#REF!,"AAAAAGft1xk=")</f>
        <v>#REF!</v>
      </c>
      <c r="AA99" t="e">
        <f>AND(Membership!#REF!,"AAAAAGft1xo=")</f>
        <v>#REF!</v>
      </c>
      <c r="AB99" t="e">
        <f>AND(Membership!#REF!,"AAAAAGft1xs=")</f>
        <v>#REF!</v>
      </c>
      <c r="AC99" t="e">
        <f>AND(Membership!#REF!,"AAAAAGft1xw=")</f>
        <v>#REF!</v>
      </c>
      <c r="AD99" t="e">
        <f>AND(Membership!#REF!,"AAAAAGft1x0=")</f>
        <v>#REF!</v>
      </c>
      <c r="AE99" t="e">
        <f>AND(Membership!#REF!,"AAAAAGft1x4=")</f>
        <v>#REF!</v>
      </c>
      <c r="AF99" t="e">
        <f>AND(Membership!#REF!,"AAAAAGft1x8=")</f>
        <v>#REF!</v>
      </c>
      <c r="AG99" t="e">
        <f>AND(Membership!#REF!,"AAAAAGft1yA=")</f>
        <v>#REF!</v>
      </c>
      <c r="AH99" t="e">
        <f>AND(Membership!#REF!,"AAAAAGft1yE=")</f>
        <v>#REF!</v>
      </c>
      <c r="AI99" t="e">
        <f>IF(Membership!#REF!,"AAAAAGft1yI=",0)</f>
        <v>#REF!</v>
      </c>
      <c r="AJ99" t="e">
        <f>AND(Membership!#REF!,"AAAAAGft1yM=")</f>
        <v>#REF!</v>
      </c>
      <c r="AK99" t="e">
        <f>AND(Membership!#REF!,"AAAAAGft1yQ=")</f>
        <v>#REF!</v>
      </c>
      <c r="AL99" t="e">
        <f>AND(Membership!#REF!,"AAAAAGft1yU=")</f>
        <v>#REF!</v>
      </c>
      <c r="AM99" t="e">
        <f>AND(Membership!#REF!,"AAAAAGft1yY=")</f>
        <v>#REF!</v>
      </c>
      <c r="AN99" t="e">
        <f>AND(Membership!#REF!,"AAAAAGft1yc=")</f>
        <v>#REF!</v>
      </c>
      <c r="AO99" t="e">
        <f>AND(Membership!#REF!,"AAAAAGft1yg=")</f>
        <v>#REF!</v>
      </c>
      <c r="AP99" t="e">
        <f>AND(Membership!#REF!,"AAAAAGft1yk=")</f>
        <v>#REF!</v>
      </c>
      <c r="AQ99" t="e">
        <f>AND(Membership!#REF!,"AAAAAGft1yo=")</f>
        <v>#REF!</v>
      </c>
      <c r="AR99" t="e">
        <f>AND(Membership!#REF!,"AAAAAGft1ys=")</f>
        <v>#REF!</v>
      </c>
      <c r="AS99" t="e">
        <f>AND(Membership!#REF!,"AAAAAGft1yw=")</f>
        <v>#REF!</v>
      </c>
      <c r="AT99" t="e">
        <f>AND(Membership!#REF!,"AAAAAGft1y0=")</f>
        <v>#REF!</v>
      </c>
      <c r="AU99" t="e">
        <f>AND(Membership!#REF!,"AAAAAGft1y4=")</f>
        <v>#REF!</v>
      </c>
      <c r="AV99" t="e">
        <f>AND(Membership!#REF!,"AAAAAGft1y8=")</f>
        <v>#REF!</v>
      </c>
      <c r="AW99" t="e">
        <f>IF(Membership!#REF!,"AAAAAGft1zA=",0)</f>
        <v>#REF!</v>
      </c>
      <c r="AX99" t="e">
        <f>AND(Membership!#REF!,"AAAAAGft1zE=")</f>
        <v>#REF!</v>
      </c>
      <c r="AY99" t="e">
        <f>AND(Membership!#REF!,"AAAAAGft1zI=")</f>
        <v>#REF!</v>
      </c>
      <c r="AZ99" t="e">
        <f>AND(Membership!#REF!,"AAAAAGft1zM=")</f>
        <v>#REF!</v>
      </c>
      <c r="BA99" t="e">
        <f>AND(Membership!#REF!,"AAAAAGft1zQ=")</f>
        <v>#REF!</v>
      </c>
      <c r="BB99" t="e">
        <f>AND(Membership!#REF!,"AAAAAGft1zU=")</f>
        <v>#REF!</v>
      </c>
      <c r="BC99" t="e">
        <f>AND(Membership!#REF!,"AAAAAGft1zY=")</f>
        <v>#REF!</v>
      </c>
      <c r="BD99" t="e">
        <f>AND(Membership!#REF!,"AAAAAGft1zc=")</f>
        <v>#REF!</v>
      </c>
      <c r="BE99" t="e">
        <f>AND(Membership!#REF!,"AAAAAGft1zg=")</f>
        <v>#REF!</v>
      </c>
      <c r="BF99" t="e">
        <f>AND(Membership!#REF!,"AAAAAGft1zk=")</f>
        <v>#REF!</v>
      </c>
      <c r="BG99" t="e">
        <f>AND(Membership!#REF!,"AAAAAGft1zo=")</f>
        <v>#REF!</v>
      </c>
      <c r="BH99" t="e">
        <f>AND(Membership!#REF!,"AAAAAGft1zs=")</f>
        <v>#REF!</v>
      </c>
      <c r="BI99" t="e">
        <f>AND(Membership!#REF!,"AAAAAGft1zw=")</f>
        <v>#REF!</v>
      </c>
      <c r="BJ99" t="e">
        <f>AND(Membership!#REF!,"AAAAAGft1z0=")</f>
        <v>#REF!</v>
      </c>
      <c r="BK99" t="e">
        <f>IF(Membership!#REF!,"AAAAAGft1z4=",0)</f>
        <v>#REF!</v>
      </c>
      <c r="BL99" t="e">
        <f>AND(Membership!#REF!,"AAAAAGft1z8=")</f>
        <v>#REF!</v>
      </c>
      <c r="BM99" t="e">
        <f>AND(Membership!#REF!,"AAAAAGft10A=")</f>
        <v>#REF!</v>
      </c>
      <c r="BN99" t="e">
        <f>AND(Membership!#REF!,"AAAAAGft10E=")</f>
        <v>#REF!</v>
      </c>
      <c r="BO99" t="e">
        <f>AND(Membership!#REF!,"AAAAAGft10I=")</f>
        <v>#REF!</v>
      </c>
      <c r="BP99" t="e">
        <f>AND(Membership!#REF!,"AAAAAGft10M=")</f>
        <v>#REF!</v>
      </c>
      <c r="BQ99" t="e">
        <f>AND(Membership!#REF!,"AAAAAGft10Q=")</f>
        <v>#REF!</v>
      </c>
      <c r="BR99" t="e">
        <f>AND(Membership!#REF!,"AAAAAGft10U=")</f>
        <v>#REF!</v>
      </c>
      <c r="BS99" t="e">
        <f>AND(Membership!#REF!,"AAAAAGft10Y=")</f>
        <v>#REF!</v>
      </c>
      <c r="BT99" t="e">
        <f>AND(Membership!#REF!,"AAAAAGft10c=")</f>
        <v>#REF!</v>
      </c>
      <c r="BU99" t="e">
        <f>AND(Membership!#REF!,"AAAAAGft10g=")</f>
        <v>#REF!</v>
      </c>
      <c r="BV99" t="e">
        <f>AND(Membership!#REF!,"AAAAAGft10k=")</f>
        <v>#REF!</v>
      </c>
      <c r="BW99" t="e">
        <f>AND(Membership!#REF!,"AAAAAGft10o=")</f>
        <v>#REF!</v>
      </c>
      <c r="BX99" t="e">
        <f>AND(Membership!#REF!,"AAAAAGft10s=")</f>
        <v>#REF!</v>
      </c>
      <c r="BY99" t="e">
        <f>IF(Membership!#REF!,"AAAAAGft10w=",0)</f>
        <v>#REF!</v>
      </c>
      <c r="BZ99" t="e">
        <f>AND(Membership!#REF!,"AAAAAGft100=")</f>
        <v>#REF!</v>
      </c>
      <c r="CA99" t="e">
        <f>AND(Membership!#REF!,"AAAAAGft104=")</f>
        <v>#REF!</v>
      </c>
      <c r="CB99" t="e">
        <f>AND(Membership!#REF!,"AAAAAGft108=")</f>
        <v>#REF!</v>
      </c>
      <c r="CC99" t="e">
        <f>AND(Membership!#REF!,"AAAAAGft11A=")</f>
        <v>#REF!</v>
      </c>
      <c r="CD99" t="e">
        <f>AND(Membership!#REF!,"AAAAAGft11E=")</f>
        <v>#REF!</v>
      </c>
      <c r="CE99" t="e">
        <f>AND(Membership!#REF!,"AAAAAGft11I=")</f>
        <v>#REF!</v>
      </c>
      <c r="CF99" t="e">
        <f>AND(Membership!#REF!,"AAAAAGft11M=")</f>
        <v>#REF!</v>
      </c>
      <c r="CG99" t="e">
        <f>AND(Membership!#REF!,"AAAAAGft11Q=")</f>
        <v>#REF!</v>
      </c>
      <c r="CH99" t="e">
        <f>AND(Membership!#REF!,"AAAAAGft11U=")</f>
        <v>#REF!</v>
      </c>
      <c r="CI99" t="e">
        <f>AND(Membership!#REF!,"AAAAAGft11Y=")</f>
        <v>#REF!</v>
      </c>
      <c r="CJ99" t="e">
        <f>AND(Membership!#REF!,"AAAAAGft11c=")</f>
        <v>#REF!</v>
      </c>
      <c r="CK99" t="e">
        <f>AND(Membership!#REF!,"AAAAAGft11g=")</f>
        <v>#REF!</v>
      </c>
      <c r="CL99" t="e">
        <f>AND(Membership!#REF!,"AAAAAGft11k=")</f>
        <v>#REF!</v>
      </c>
      <c r="CM99" t="e">
        <f>IF(Membership!#REF!,"AAAAAGft11o=",0)</f>
        <v>#REF!</v>
      </c>
      <c r="CN99" t="e">
        <f>AND(Membership!#REF!,"AAAAAGft11s=")</f>
        <v>#REF!</v>
      </c>
      <c r="CO99" t="e">
        <f>AND(Membership!#REF!,"AAAAAGft11w=")</f>
        <v>#REF!</v>
      </c>
      <c r="CP99" t="e">
        <f>AND(Membership!#REF!,"AAAAAGft110=")</f>
        <v>#REF!</v>
      </c>
      <c r="CQ99" t="e">
        <f>AND(Membership!#REF!,"AAAAAGft114=")</f>
        <v>#REF!</v>
      </c>
      <c r="CR99" t="e">
        <f>AND(Membership!#REF!,"AAAAAGft118=")</f>
        <v>#REF!</v>
      </c>
      <c r="CS99" t="e">
        <f>AND(Membership!#REF!,"AAAAAGft12A=")</f>
        <v>#REF!</v>
      </c>
      <c r="CT99" t="e">
        <f>AND(Membership!#REF!,"AAAAAGft12E=")</f>
        <v>#REF!</v>
      </c>
      <c r="CU99" t="e">
        <f>AND(Membership!#REF!,"AAAAAGft12I=")</f>
        <v>#REF!</v>
      </c>
      <c r="CV99" t="e">
        <f>AND(Membership!#REF!,"AAAAAGft12M=")</f>
        <v>#REF!</v>
      </c>
      <c r="CW99" t="e">
        <f>AND(Membership!#REF!,"AAAAAGft12Q=")</f>
        <v>#REF!</v>
      </c>
      <c r="CX99" t="e">
        <f>AND(Membership!#REF!,"AAAAAGft12U=")</f>
        <v>#REF!</v>
      </c>
      <c r="CY99" t="e">
        <f>AND(Membership!#REF!,"AAAAAGft12Y=")</f>
        <v>#REF!</v>
      </c>
      <c r="CZ99" t="e">
        <f>AND(Membership!#REF!,"AAAAAGft12c=")</f>
        <v>#REF!</v>
      </c>
      <c r="DA99" t="e">
        <f>IF(Membership!#REF!,"AAAAAGft12g=",0)</f>
        <v>#REF!</v>
      </c>
      <c r="DB99" t="e">
        <f>AND(Membership!#REF!,"AAAAAGft12k=")</f>
        <v>#REF!</v>
      </c>
      <c r="DC99" t="e">
        <f>AND(Membership!#REF!,"AAAAAGft12o=")</f>
        <v>#REF!</v>
      </c>
      <c r="DD99" t="e">
        <f>AND(Membership!#REF!,"AAAAAGft12s=")</f>
        <v>#REF!</v>
      </c>
      <c r="DE99" t="e">
        <f>AND(Membership!#REF!,"AAAAAGft12w=")</f>
        <v>#REF!</v>
      </c>
      <c r="DF99" t="e">
        <f>AND(Membership!#REF!,"AAAAAGft120=")</f>
        <v>#REF!</v>
      </c>
      <c r="DG99" t="e">
        <f>AND(Membership!#REF!,"AAAAAGft124=")</f>
        <v>#REF!</v>
      </c>
      <c r="DH99" t="e">
        <f>AND(Membership!#REF!,"AAAAAGft128=")</f>
        <v>#REF!</v>
      </c>
      <c r="DI99" t="e">
        <f>AND(Membership!#REF!,"AAAAAGft13A=")</f>
        <v>#REF!</v>
      </c>
      <c r="DJ99" t="e">
        <f>AND(Membership!#REF!,"AAAAAGft13E=")</f>
        <v>#REF!</v>
      </c>
      <c r="DK99" t="e">
        <f>AND(Membership!#REF!,"AAAAAGft13I=")</f>
        <v>#REF!</v>
      </c>
      <c r="DL99" t="e">
        <f>AND(Membership!#REF!,"AAAAAGft13M=")</f>
        <v>#REF!</v>
      </c>
      <c r="DM99" t="e">
        <f>AND(Membership!#REF!,"AAAAAGft13Q=")</f>
        <v>#REF!</v>
      </c>
      <c r="DN99" t="e">
        <f>AND(Membership!#REF!,"AAAAAGft13U=")</f>
        <v>#REF!</v>
      </c>
      <c r="DO99" t="e">
        <f>IF(Membership!#REF!,"AAAAAGft13Y=",0)</f>
        <v>#REF!</v>
      </c>
      <c r="DP99" t="e">
        <f>AND(Membership!#REF!,"AAAAAGft13c=")</f>
        <v>#REF!</v>
      </c>
      <c r="DQ99" t="e">
        <f>AND(Membership!#REF!,"AAAAAGft13g=")</f>
        <v>#REF!</v>
      </c>
      <c r="DR99" t="e">
        <f>AND(Membership!#REF!,"AAAAAGft13k=")</f>
        <v>#REF!</v>
      </c>
      <c r="DS99" t="e">
        <f>AND(Membership!#REF!,"AAAAAGft13o=")</f>
        <v>#REF!</v>
      </c>
      <c r="DT99" t="e">
        <f>AND(Membership!#REF!,"AAAAAGft13s=")</f>
        <v>#REF!</v>
      </c>
      <c r="DU99" t="e">
        <f>AND(Membership!#REF!,"AAAAAGft13w=")</f>
        <v>#REF!</v>
      </c>
      <c r="DV99" t="e">
        <f>AND(Membership!#REF!,"AAAAAGft130=")</f>
        <v>#REF!</v>
      </c>
      <c r="DW99" t="e">
        <f>AND(Membership!#REF!,"AAAAAGft134=")</f>
        <v>#REF!</v>
      </c>
      <c r="DX99" t="e">
        <f>AND(Membership!#REF!,"AAAAAGft138=")</f>
        <v>#REF!</v>
      </c>
      <c r="DY99" t="e">
        <f>AND(Membership!#REF!,"AAAAAGft14A=")</f>
        <v>#REF!</v>
      </c>
      <c r="DZ99" t="e">
        <f>AND(Membership!#REF!,"AAAAAGft14E=")</f>
        <v>#REF!</v>
      </c>
      <c r="EA99" t="e">
        <f>AND(Membership!#REF!,"AAAAAGft14I=")</f>
        <v>#REF!</v>
      </c>
      <c r="EB99" t="e">
        <f>AND(Membership!#REF!,"AAAAAGft14M=")</f>
        <v>#REF!</v>
      </c>
      <c r="EC99" t="e">
        <f>IF(Membership!#REF!,"AAAAAGft14Q=",0)</f>
        <v>#REF!</v>
      </c>
      <c r="ED99" t="e">
        <f>AND(Membership!#REF!,"AAAAAGft14U=")</f>
        <v>#REF!</v>
      </c>
      <c r="EE99" t="e">
        <f>AND(Membership!#REF!,"AAAAAGft14Y=")</f>
        <v>#REF!</v>
      </c>
      <c r="EF99" t="e">
        <f>AND(Membership!#REF!,"AAAAAGft14c=")</f>
        <v>#REF!</v>
      </c>
      <c r="EG99" t="e">
        <f>AND(Membership!#REF!,"AAAAAGft14g=")</f>
        <v>#REF!</v>
      </c>
      <c r="EH99" t="e">
        <f>AND(Membership!#REF!,"AAAAAGft14k=")</f>
        <v>#REF!</v>
      </c>
      <c r="EI99" t="e">
        <f>AND(Membership!#REF!,"AAAAAGft14o=")</f>
        <v>#REF!</v>
      </c>
      <c r="EJ99" t="e">
        <f>AND(Membership!#REF!,"AAAAAGft14s=")</f>
        <v>#REF!</v>
      </c>
      <c r="EK99" t="e">
        <f>AND(Membership!#REF!,"AAAAAGft14w=")</f>
        <v>#REF!</v>
      </c>
      <c r="EL99" t="e">
        <f>AND(Membership!#REF!,"AAAAAGft140=")</f>
        <v>#REF!</v>
      </c>
      <c r="EM99" t="e">
        <f>AND(Membership!#REF!,"AAAAAGft144=")</f>
        <v>#REF!</v>
      </c>
      <c r="EN99" t="e">
        <f>AND(Membership!#REF!,"AAAAAGft148=")</f>
        <v>#REF!</v>
      </c>
      <c r="EO99" t="e">
        <f>AND(Membership!#REF!,"AAAAAGft15A=")</f>
        <v>#REF!</v>
      </c>
      <c r="EP99" t="e">
        <f>AND(Membership!#REF!,"AAAAAGft15E=")</f>
        <v>#REF!</v>
      </c>
      <c r="EQ99" t="e">
        <f>IF(Membership!#REF!,"AAAAAGft15I=",0)</f>
        <v>#REF!</v>
      </c>
      <c r="ER99" t="e">
        <f>AND(Membership!#REF!,"AAAAAGft15M=")</f>
        <v>#REF!</v>
      </c>
      <c r="ES99" t="e">
        <f>AND(Membership!#REF!,"AAAAAGft15Q=")</f>
        <v>#REF!</v>
      </c>
      <c r="ET99" t="e">
        <f>AND(Membership!#REF!,"AAAAAGft15U=")</f>
        <v>#REF!</v>
      </c>
      <c r="EU99" t="e">
        <f>AND(Membership!#REF!,"AAAAAGft15Y=")</f>
        <v>#REF!</v>
      </c>
      <c r="EV99" t="e">
        <f>AND(Membership!#REF!,"AAAAAGft15c=")</f>
        <v>#REF!</v>
      </c>
      <c r="EW99" t="e">
        <f>AND(Membership!#REF!,"AAAAAGft15g=")</f>
        <v>#REF!</v>
      </c>
      <c r="EX99" t="e">
        <f>AND(Membership!#REF!,"AAAAAGft15k=")</f>
        <v>#REF!</v>
      </c>
      <c r="EY99" t="e">
        <f>AND(Membership!#REF!,"AAAAAGft15o=")</f>
        <v>#REF!</v>
      </c>
      <c r="EZ99" t="e">
        <f>AND(Membership!#REF!,"AAAAAGft15s=")</f>
        <v>#REF!</v>
      </c>
      <c r="FA99" t="e">
        <f>AND(Membership!#REF!,"AAAAAGft15w=")</f>
        <v>#REF!</v>
      </c>
      <c r="FB99" t="e">
        <f>AND(Membership!#REF!,"AAAAAGft150=")</f>
        <v>#REF!</v>
      </c>
      <c r="FC99" t="e">
        <f>AND(Membership!#REF!,"AAAAAGft154=")</f>
        <v>#REF!</v>
      </c>
      <c r="FD99" t="e">
        <f>AND(Membership!#REF!,"AAAAAGft158=")</f>
        <v>#REF!</v>
      </c>
      <c r="FE99" t="e">
        <f>IF(Membership!#REF!,"AAAAAGft16A=",0)</f>
        <v>#REF!</v>
      </c>
      <c r="FF99" t="e">
        <f>AND(Membership!#REF!,"AAAAAGft16E=")</f>
        <v>#REF!</v>
      </c>
      <c r="FG99" t="e">
        <f>AND(Membership!#REF!,"AAAAAGft16I=")</f>
        <v>#REF!</v>
      </c>
      <c r="FH99" t="e">
        <f>AND(Membership!#REF!,"AAAAAGft16M=")</f>
        <v>#REF!</v>
      </c>
      <c r="FI99" t="e">
        <f>AND(Membership!#REF!,"AAAAAGft16Q=")</f>
        <v>#REF!</v>
      </c>
      <c r="FJ99" t="e">
        <f>AND(Membership!#REF!,"AAAAAGft16U=")</f>
        <v>#REF!</v>
      </c>
      <c r="FK99" t="e">
        <f>AND(Membership!#REF!,"AAAAAGft16Y=")</f>
        <v>#REF!</v>
      </c>
      <c r="FL99" t="e">
        <f>AND(Membership!#REF!,"AAAAAGft16c=")</f>
        <v>#REF!</v>
      </c>
      <c r="FM99" t="e">
        <f>AND(Membership!#REF!,"AAAAAGft16g=")</f>
        <v>#REF!</v>
      </c>
      <c r="FN99" t="e">
        <f>AND(Membership!#REF!,"AAAAAGft16k=")</f>
        <v>#REF!</v>
      </c>
      <c r="FO99" t="e">
        <f>AND(Membership!#REF!,"AAAAAGft16o=")</f>
        <v>#REF!</v>
      </c>
      <c r="FP99" t="e">
        <f>AND(Membership!#REF!,"AAAAAGft16s=")</f>
        <v>#REF!</v>
      </c>
      <c r="FQ99" t="e">
        <f>AND(Membership!#REF!,"AAAAAGft16w=")</f>
        <v>#REF!</v>
      </c>
      <c r="FR99" t="e">
        <f>AND(Membership!#REF!,"AAAAAGft160=")</f>
        <v>#REF!</v>
      </c>
      <c r="FS99" t="e">
        <f>IF(Membership!#REF!,"AAAAAGft164=",0)</f>
        <v>#REF!</v>
      </c>
      <c r="FT99" t="e">
        <f>AND(Membership!#REF!,"AAAAAGft168=")</f>
        <v>#REF!</v>
      </c>
      <c r="FU99" t="e">
        <f>AND(Membership!#REF!,"AAAAAGft17A=")</f>
        <v>#REF!</v>
      </c>
      <c r="FV99" t="e">
        <f>AND(Membership!#REF!,"AAAAAGft17E=")</f>
        <v>#REF!</v>
      </c>
      <c r="FW99" t="e">
        <f>AND(Membership!#REF!,"AAAAAGft17I=")</f>
        <v>#REF!</v>
      </c>
      <c r="FX99" t="e">
        <f>AND(Membership!#REF!,"AAAAAGft17M=")</f>
        <v>#REF!</v>
      </c>
      <c r="FY99" t="e">
        <f>AND(Membership!#REF!,"AAAAAGft17Q=")</f>
        <v>#REF!</v>
      </c>
      <c r="FZ99" t="e">
        <f>AND(Membership!#REF!,"AAAAAGft17U=")</f>
        <v>#REF!</v>
      </c>
      <c r="GA99" t="e">
        <f>AND(Membership!#REF!,"AAAAAGft17Y=")</f>
        <v>#REF!</v>
      </c>
      <c r="GB99" t="e">
        <f>AND(Membership!#REF!,"AAAAAGft17c=")</f>
        <v>#REF!</v>
      </c>
      <c r="GC99" t="e">
        <f>AND(Membership!#REF!,"AAAAAGft17g=")</f>
        <v>#REF!</v>
      </c>
      <c r="GD99" t="e">
        <f>AND(Membership!#REF!,"AAAAAGft17k=")</f>
        <v>#REF!</v>
      </c>
      <c r="GE99" t="e">
        <f>AND(Membership!#REF!,"AAAAAGft17o=")</f>
        <v>#REF!</v>
      </c>
      <c r="GF99" t="e">
        <f>AND(Membership!#REF!,"AAAAAGft17s=")</f>
        <v>#REF!</v>
      </c>
      <c r="GG99" t="e">
        <f>IF(Membership!#REF!,"AAAAAGft17w=",0)</f>
        <v>#REF!</v>
      </c>
      <c r="GH99" t="e">
        <f>AND(Membership!#REF!,"AAAAAGft170=")</f>
        <v>#REF!</v>
      </c>
      <c r="GI99" t="e">
        <f>AND(Membership!#REF!,"AAAAAGft174=")</f>
        <v>#REF!</v>
      </c>
      <c r="GJ99" t="e">
        <f>AND(Membership!#REF!,"AAAAAGft178=")</f>
        <v>#REF!</v>
      </c>
      <c r="GK99" t="e">
        <f>AND(Membership!#REF!,"AAAAAGft18A=")</f>
        <v>#REF!</v>
      </c>
      <c r="GL99" t="e">
        <f>AND(Membership!#REF!,"AAAAAGft18E=")</f>
        <v>#REF!</v>
      </c>
      <c r="GM99" t="e">
        <f>AND(Membership!#REF!,"AAAAAGft18I=")</f>
        <v>#REF!</v>
      </c>
      <c r="GN99" t="e">
        <f>AND(Membership!#REF!,"AAAAAGft18M=")</f>
        <v>#REF!</v>
      </c>
      <c r="GO99" t="e">
        <f>AND(Membership!#REF!,"AAAAAGft18Q=")</f>
        <v>#REF!</v>
      </c>
      <c r="GP99" t="e">
        <f>AND(Membership!#REF!,"AAAAAGft18U=")</f>
        <v>#REF!</v>
      </c>
      <c r="GQ99" t="e">
        <f>AND(Membership!#REF!,"AAAAAGft18Y=")</f>
        <v>#REF!</v>
      </c>
      <c r="GR99" t="e">
        <f>AND(Membership!#REF!,"AAAAAGft18c=")</f>
        <v>#REF!</v>
      </c>
      <c r="GS99" t="e">
        <f>AND(Membership!#REF!,"AAAAAGft18g=")</f>
        <v>#REF!</v>
      </c>
      <c r="GT99" t="e">
        <f>AND(Membership!#REF!,"AAAAAGft18k=")</f>
        <v>#REF!</v>
      </c>
      <c r="GU99" t="e">
        <f>IF(Membership!#REF!,"AAAAAGft18o=",0)</f>
        <v>#REF!</v>
      </c>
      <c r="GV99" t="e">
        <f>AND(Membership!#REF!,"AAAAAGft18s=")</f>
        <v>#REF!</v>
      </c>
      <c r="GW99" t="e">
        <f>AND(Membership!#REF!,"AAAAAGft18w=")</f>
        <v>#REF!</v>
      </c>
      <c r="GX99" t="e">
        <f>AND(Membership!#REF!,"AAAAAGft180=")</f>
        <v>#REF!</v>
      </c>
      <c r="GY99" t="e">
        <f>AND(Membership!#REF!,"AAAAAGft184=")</f>
        <v>#REF!</v>
      </c>
      <c r="GZ99" t="e">
        <f>AND(Membership!#REF!,"AAAAAGft188=")</f>
        <v>#REF!</v>
      </c>
      <c r="HA99" t="e">
        <f>AND(Membership!#REF!,"AAAAAGft19A=")</f>
        <v>#REF!</v>
      </c>
      <c r="HB99" t="e">
        <f>AND(Membership!#REF!,"AAAAAGft19E=")</f>
        <v>#REF!</v>
      </c>
      <c r="HC99" t="e">
        <f>AND(Membership!#REF!,"AAAAAGft19I=")</f>
        <v>#REF!</v>
      </c>
      <c r="HD99" t="e">
        <f>AND(Membership!#REF!,"AAAAAGft19M=")</f>
        <v>#REF!</v>
      </c>
      <c r="HE99" t="e">
        <f>AND(Membership!#REF!,"AAAAAGft19Q=")</f>
        <v>#REF!</v>
      </c>
      <c r="HF99" t="e">
        <f>AND(Membership!#REF!,"AAAAAGft19U=")</f>
        <v>#REF!</v>
      </c>
      <c r="HG99" t="e">
        <f>AND(Membership!#REF!,"AAAAAGft19Y=")</f>
        <v>#REF!</v>
      </c>
      <c r="HH99" t="e">
        <f>AND(Membership!#REF!,"AAAAAGft19c=")</f>
        <v>#REF!</v>
      </c>
      <c r="HI99" t="e">
        <f>IF(Membership!#REF!,"AAAAAGft19g=",0)</f>
        <v>#REF!</v>
      </c>
      <c r="HJ99" t="e">
        <f>AND(Membership!#REF!,"AAAAAGft19k=")</f>
        <v>#REF!</v>
      </c>
      <c r="HK99" t="e">
        <f>AND(Membership!#REF!,"AAAAAGft19o=")</f>
        <v>#REF!</v>
      </c>
      <c r="HL99" t="e">
        <f>AND(Membership!#REF!,"AAAAAGft19s=")</f>
        <v>#REF!</v>
      </c>
      <c r="HM99" t="e">
        <f>AND(Membership!#REF!,"AAAAAGft19w=")</f>
        <v>#REF!</v>
      </c>
      <c r="HN99" t="e">
        <f>AND(Membership!#REF!,"AAAAAGft190=")</f>
        <v>#REF!</v>
      </c>
      <c r="HO99" t="e">
        <f>AND(Membership!#REF!,"AAAAAGft194=")</f>
        <v>#REF!</v>
      </c>
      <c r="HP99" t="e">
        <f>AND(Membership!#REF!,"AAAAAGft198=")</f>
        <v>#REF!</v>
      </c>
      <c r="HQ99" t="e">
        <f>AND(Membership!#REF!,"AAAAAGft1+A=")</f>
        <v>#REF!</v>
      </c>
      <c r="HR99" t="e">
        <f>AND(Membership!#REF!,"AAAAAGft1+E=")</f>
        <v>#REF!</v>
      </c>
      <c r="HS99" t="e">
        <f>AND(Membership!#REF!,"AAAAAGft1+I=")</f>
        <v>#REF!</v>
      </c>
      <c r="HT99" t="e">
        <f>AND(Membership!#REF!,"AAAAAGft1+M=")</f>
        <v>#REF!</v>
      </c>
      <c r="HU99" t="e">
        <f>AND(Membership!#REF!,"AAAAAGft1+Q=")</f>
        <v>#REF!</v>
      </c>
      <c r="HV99" t="e">
        <f>AND(Membership!#REF!,"AAAAAGft1+U=")</f>
        <v>#REF!</v>
      </c>
      <c r="HW99" t="e">
        <f>IF(Membership!#REF!,"AAAAAGft1+Y=",0)</f>
        <v>#REF!</v>
      </c>
      <c r="HX99" t="e">
        <f>AND(Membership!#REF!,"AAAAAGft1+c=")</f>
        <v>#REF!</v>
      </c>
      <c r="HY99" t="e">
        <f>AND(Membership!#REF!,"AAAAAGft1+g=")</f>
        <v>#REF!</v>
      </c>
      <c r="HZ99" t="e">
        <f>AND(Membership!#REF!,"AAAAAGft1+k=")</f>
        <v>#REF!</v>
      </c>
      <c r="IA99" t="e">
        <f>AND(Membership!#REF!,"AAAAAGft1+o=")</f>
        <v>#REF!</v>
      </c>
      <c r="IB99" t="e">
        <f>AND(Membership!#REF!,"AAAAAGft1+s=")</f>
        <v>#REF!</v>
      </c>
      <c r="IC99" t="e">
        <f>AND(Membership!#REF!,"AAAAAGft1+w=")</f>
        <v>#REF!</v>
      </c>
      <c r="ID99" t="e">
        <f>AND(Membership!#REF!,"AAAAAGft1+0=")</f>
        <v>#REF!</v>
      </c>
      <c r="IE99" t="e">
        <f>AND(Membership!#REF!,"AAAAAGft1+4=")</f>
        <v>#REF!</v>
      </c>
      <c r="IF99" t="e">
        <f>AND(Membership!#REF!,"AAAAAGft1+8=")</f>
        <v>#REF!</v>
      </c>
      <c r="IG99" t="e">
        <f>AND(Membership!#REF!,"AAAAAGft1/A=")</f>
        <v>#REF!</v>
      </c>
      <c r="IH99" t="e">
        <f>AND(Membership!#REF!,"AAAAAGft1/E=")</f>
        <v>#REF!</v>
      </c>
      <c r="II99" t="e">
        <f>AND(Membership!#REF!,"AAAAAGft1/I=")</f>
        <v>#REF!</v>
      </c>
      <c r="IJ99" t="e">
        <f>AND(Membership!#REF!,"AAAAAGft1/M=")</f>
        <v>#REF!</v>
      </c>
      <c r="IK99" t="e">
        <f>IF(Membership!#REF!,"AAAAAGft1/Q=",0)</f>
        <v>#REF!</v>
      </c>
      <c r="IL99" t="e">
        <f>AND(Membership!#REF!,"AAAAAGft1/U=")</f>
        <v>#REF!</v>
      </c>
      <c r="IM99" t="e">
        <f>AND(Membership!#REF!,"AAAAAGft1/Y=")</f>
        <v>#REF!</v>
      </c>
      <c r="IN99" t="e">
        <f>AND(Membership!#REF!,"AAAAAGft1/c=")</f>
        <v>#REF!</v>
      </c>
      <c r="IO99" t="e">
        <f>AND(Membership!#REF!,"AAAAAGft1/g=")</f>
        <v>#REF!</v>
      </c>
      <c r="IP99" t="e">
        <f>AND(Membership!#REF!,"AAAAAGft1/k=")</f>
        <v>#REF!</v>
      </c>
      <c r="IQ99" t="e">
        <f>AND(Membership!#REF!,"AAAAAGft1/o=")</f>
        <v>#REF!</v>
      </c>
      <c r="IR99" t="e">
        <f>AND(Membership!#REF!,"AAAAAGft1/s=")</f>
        <v>#REF!</v>
      </c>
      <c r="IS99" t="e">
        <f>AND(Membership!#REF!,"AAAAAGft1/w=")</f>
        <v>#REF!</v>
      </c>
      <c r="IT99" t="e">
        <f>AND(Membership!#REF!,"AAAAAGft1/0=")</f>
        <v>#REF!</v>
      </c>
      <c r="IU99" t="e">
        <f>AND(Membership!#REF!,"AAAAAGft1/4=")</f>
        <v>#REF!</v>
      </c>
      <c r="IV99" t="e">
        <f>AND(Membership!#REF!,"AAAAAGft1/8=")</f>
        <v>#REF!</v>
      </c>
    </row>
    <row r="100" spans="1:256" x14ac:dyDescent="0.2">
      <c r="A100" t="e">
        <f>AND(Membership!#REF!,"AAAAAH54zQA=")</f>
        <v>#REF!</v>
      </c>
      <c r="B100" t="e">
        <f>AND(Membership!#REF!,"AAAAAH54zQE=")</f>
        <v>#REF!</v>
      </c>
      <c r="C100" t="e">
        <f>IF(Membership!#REF!,"AAAAAH54zQI=",0)</f>
        <v>#REF!</v>
      </c>
      <c r="D100" t="e">
        <f>AND(Membership!#REF!,"AAAAAH54zQM=")</f>
        <v>#REF!</v>
      </c>
      <c r="E100" t="e">
        <f>AND(Membership!#REF!,"AAAAAH54zQQ=")</f>
        <v>#REF!</v>
      </c>
      <c r="F100" t="e">
        <f>AND(Membership!#REF!,"AAAAAH54zQU=")</f>
        <v>#REF!</v>
      </c>
      <c r="G100" t="e">
        <f>AND(Membership!#REF!,"AAAAAH54zQY=")</f>
        <v>#REF!</v>
      </c>
      <c r="H100" t="e">
        <f>AND(Membership!#REF!,"AAAAAH54zQc=")</f>
        <v>#REF!</v>
      </c>
      <c r="I100" t="e">
        <f>AND(Membership!#REF!,"AAAAAH54zQg=")</f>
        <v>#REF!</v>
      </c>
      <c r="J100" t="e">
        <f>AND(Membership!#REF!,"AAAAAH54zQk=")</f>
        <v>#REF!</v>
      </c>
      <c r="K100" t="e">
        <f>AND(Membership!#REF!,"AAAAAH54zQo=")</f>
        <v>#REF!</v>
      </c>
      <c r="L100" t="e">
        <f>AND(Membership!#REF!,"AAAAAH54zQs=")</f>
        <v>#REF!</v>
      </c>
      <c r="M100" t="e">
        <f>AND(Membership!#REF!,"AAAAAH54zQw=")</f>
        <v>#REF!</v>
      </c>
      <c r="N100" t="e">
        <f>AND(Membership!#REF!,"AAAAAH54zQ0=")</f>
        <v>#REF!</v>
      </c>
      <c r="O100" t="e">
        <f>AND(Membership!#REF!,"AAAAAH54zQ4=")</f>
        <v>#REF!</v>
      </c>
      <c r="P100" t="e">
        <f>AND(Membership!#REF!,"AAAAAH54zQ8=")</f>
        <v>#REF!</v>
      </c>
      <c r="Q100" t="e">
        <f>IF(Membership!#REF!,"AAAAAH54zRA=",0)</f>
        <v>#REF!</v>
      </c>
      <c r="R100" t="e">
        <f>AND(Membership!#REF!,"AAAAAH54zRE=")</f>
        <v>#REF!</v>
      </c>
      <c r="S100" t="e">
        <f>AND(Membership!#REF!,"AAAAAH54zRI=")</f>
        <v>#REF!</v>
      </c>
      <c r="T100" t="e">
        <f>AND(Membership!#REF!,"AAAAAH54zRM=")</f>
        <v>#REF!</v>
      </c>
      <c r="U100" t="e">
        <f>AND(Membership!#REF!,"AAAAAH54zRQ=")</f>
        <v>#REF!</v>
      </c>
      <c r="V100" t="e">
        <f>AND(Membership!#REF!,"AAAAAH54zRU=")</f>
        <v>#REF!</v>
      </c>
      <c r="W100" t="e">
        <f>AND(Membership!#REF!,"AAAAAH54zRY=")</f>
        <v>#REF!</v>
      </c>
      <c r="X100" t="e">
        <f>AND(Membership!#REF!,"AAAAAH54zRc=")</f>
        <v>#REF!</v>
      </c>
      <c r="Y100" t="e">
        <f>AND(Membership!#REF!,"AAAAAH54zRg=")</f>
        <v>#REF!</v>
      </c>
      <c r="Z100" t="e">
        <f>AND(Membership!#REF!,"AAAAAH54zRk=")</f>
        <v>#REF!</v>
      </c>
      <c r="AA100" t="e">
        <f>AND(Membership!#REF!,"AAAAAH54zRo=")</f>
        <v>#REF!</v>
      </c>
      <c r="AB100" t="e">
        <f>AND(Membership!#REF!,"AAAAAH54zRs=")</f>
        <v>#REF!</v>
      </c>
      <c r="AC100" t="e">
        <f>AND(Membership!#REF!,"AAAAAH54zRw=")</f>
        <v>#REF!</v>
      </c>
      <c r="AD100" t="e">
        <f>AND(Membership!#REF!,"AAAAAH54zR0=")</f>
        <v>#REF!</v>
      </c>
      <c r="AE100" t="e">
        <f>IF(Membership!#REF!,"AAAAAH54zR4=",0)</f>
        <v>#REF!</v>
      </c>
      <c r="AF100" t="e">
        <f>AND(Membership!#REF!,"AAAAAH54zR8=")</f>
        <v>#REF!</v>
      </c>
      <c r="AG100" t="e">
        <f>AND(Membership!#REF!,"AAAAAH54zSA=")</f>
        <v>#REF!</v>
      </c>
      <c r="AH100" t="e">
        <f>AND(Membership!#REF!,"AAAAAH54zSE=")</f>
        <v>#REF!</v>
      </c>
      <c r="AI100" t="e">
        <f>AND(Membership!#REF!,"AAAAAH54zSI=")</f>
        <v>#REF!</v>
      </c>
      <c r="AJ100" t="e">
        <f>AND(Membership!#REF!,"AAAAAH54zSM=")</f>
        <v>#REF!</v>
      </c>
      <c r="AK100" t="e">
        <f>AND(Membership!#REF!,"AAAAAH54zSQ=")</f>
        <v>#REF!</v>
      </c>
      <c r="AL100" t="e">
        <f>AND(Membership!#REF!,"AAAAAH54zSU=")</f>
        <v>#REF!</v>
      </c>
      <c r="AM100" t="e">
        <f>AND(Membership!#REF!,"AAAAAH54zSY=")</f>
        <v>#REF!</v>
      </c>
      <c r="AN100" t="e">
        <f>AND(Membership!#REF!,"AAAAAH54zSc=")</f>
        <v>#REF!</v>
      </c>
      <c r="AO100" t="e">
        <f>AND(Membership!#REF!,"AAAAAH54zSg=")</f>
        <v>#REF!</v>
      </c>
      <c r="AP100" t="e">
        <f>AND(Membership!#REF!,"AAAAAH54zSk=")</f>
        <v>#REF!</v>
      </c>
      <c r="AQ100" t="e">
        <f>AND(Membership!#REF!,"AAAAAH54zSo=")</f>
        <v>#REF!</v>
      </c>
      <c r="AR100" t="e">
        <f>AND(Membership!#REF!,"AAAAAH54zSs=")</f>
        <v>#REF!</v>
      </c>
      <c r="AS100" t="e">
        <f>IF(Membership!#REF!,"AAAAAH54zSw=",0)</f>
        <v>#REF!</v>
      </c>
      <c r="AT100" t="e">
        <f>AND(Membership!#REF!,"AAAAAH54zS0=")</f>
        <v>#REF!</v>
      </c>
      <c r="AU100" t="e">
        <f>AND(Membership!#REF!,"AAAAAH54zS4=")</f>
        <v>#REF!</v>
      </c>
      <c r="AV100" t="e">
        <f>AND(Membership!#REF!,"AAAAAH54zS8=")</f>
        <v>#REF!</v>
      </c>
      <c r="AW100" t="e">
        <f>AND(Membership!#REF!,"AAAAAH54zTA=")</f>
        <v>#REF!</v>
      </c>
      <c r="AX100" t="e">
        <f>AND(Membership!#REF!,"AAAAAH54zTE=")</f>
        <v>#REF!</v>
      </c>
      <c r="AY100" t="e">
        <f>AND(Membership!#REF!,"AAAAAH54zTI=")</f>
        <v>#REF!</v>
      </c>
      <c r="AZ100" t="e">
        <f>AND(Membership!#REF!,"AAAAAH54zTM=")</f>
        <v>#REF!</v>
      </c>
      <c r="BA100" t="e">
        <f>AND(Membership!#REF!,"AAAAAH54zTQ=")</f>
        <v>#REF!</v>
      </c>
      <c r="BB100" t="e">
        <f>AND(Membership!#REF!,"AAAAAH54zTU=")</f>
        <v>#REF!</v>
      </c>
      <c r="BC100" t="e">
        <f>AND(Membership!#REF!,"AAAAAH54zTY=")</f>
        <v>#REF!</v>
      </c>
      <c r="BD100" t="e">
        <f>AND(Membership!#REF!,"AAAAAH54zTc=")</f>
        <v>#REF!</v>
      </c>
      <c r="BE100" t="e">
        <f>AND(Membership!#REF!,"AAAAAH54zTg=")</f>
        <v>#REF!</v>
      </c>
      <c r="BF100" t="e">
        <f>AND(Membership!#REF!,"AAAAAH54zTk=")</f>
        <v>#REF!</v>
      </c>
      <c r="BG100" t="e">
        <f>IF(Membership!#REF!,"AAAAAH54zTo=",0)</f>
        <v>#REF!</v>
      </c>
      <c r="BH100" t="e">
        <f>AND(Membership!#REF!,"AAAAAH54zTs=")</f>
        <v>#REF!</v>
      </c>
      <c r="BI100" t="e">
        <f>AND(Membership!#REF!,"AAAAAH54zTw=")</f>
        <v>#REF!</v>
      </c>
      <c r="BJ100" t="e">
        <f>AND(Membership!#REF!,"AAAAAH54zT0=")</f>
        <v>#REF!</v>
      </c>
      <c r="BK100" t="e">
        <f>AND(Membership!#REF!,"AAAAAH54zT4=")</f>
        <v>#REF!</v>
      </c>
      <c r="BL100" t="e">
        <f>AND(Membership!#REF!,"AAAAAH54zT8=")</f>
        <v>#REF!</v>
      </c>
      <c r="BM100" t="e">
        <f>AND(Membership!#REF!,"AAAAAH54zUA=")</f>
        <v>#REF!</v>
      </c>
      <c r="BN100" t="e">
        <f>AND(Membership!#REF!,"AAAAAH54zUE=")</f>
        <v>#REF!</v>
      </c>
      <c r="BO100" t="e">
        <f>AND(Membership!#REF!,"AAAAAH54zUI=")</f>
        <v>#REF!</v>
      </c>
      <c r="BP100" t="e">
        <f>AND(Membership!#REF!,"AAAAAH54zUM=")</f>
        <v>#REF!</v>
      </c>
      <c r="BQ100" t="e">
        <f>AND(Membership!#REF!,"AAAAAH54zUQ=")</f>
        <v>#REF!</v>
      </c>
      <c r="BR100" t="e">
        <f>AND(Membership!#REF!,"AAAAAH54zUU=")</f>
        <v>#REF!</v>
      </c>
      <c r="BS100" t="e">
        <f>AND(Membership!#REF!,"AAAAAH54zUY=")</f>
        <v>#REF!</v>
      </c>
      <c r="BT100" t="e">
        <f>AND(Membership!#REF!,"AAAAAH54zUc=")</f>
        <v>#REF!</v>
      </c>
      <c r="BU100" t="e">
        <f>IF(Membership!#REF!,"AAAAAH54zUg=",0)</f>
        <v>#REF!</v>
      </c>
      <c r="BV100" t="e">
        <f>AND(Membership!#REF!,"AAAAAH54zUk=")</f>
        <v>#REF!</v>
      </c>
      <c r="BW100" t="e">
        <f>AND(Membership!#REF!,"AAAAAH54zUo=")</f>
        <v>#REF!</v>
      </c>
      <c r="BX100" t="e">
        <f>AND(Membership!#REF!,"AAAAAH54zUs=")</f>
        <v>#REF!</v>
      </c>
      <c r="BY100" t="e">
        <f>AND(Membership!#REF!,"AAAAAH54zUw=")</f>
        <v>#REF!</v>
      </c>
      <c r="BZ100" t="e">
        <f>AND(Membership!#REF!,"AAAAAH54zU0=")</f>
        <v>#REF!</v>
      </c>
      <c r="CA100" t="e">
        <f>AND(Membership!#REF!,"AAAAAH54zU4=")</f>
        <v>#REF!</v>
      </c>
      <c r="CB100" t="e">
        <f>AND(Membership!#REF!,"AAAAAH54zU8=")</f>
        <v>#REF!</v>
      </c>
      <c r="CC100" t="e">
        <f>AND(Membership!#REF!,"AAAAAH54zVA=")</f>
        <v>#REF!</v>
      </c>
      <c r="CD100" t="e">
        <f>AND(Membership!#REF!,"AAAAAH54zVE=")</f>
        <v>#REF!</v>
      </c>
      <c r="CE100" t="e">
        <f>AND(Membership!#REF!,"AAAAAH54zVI=")</f>
        <v>#REF!</v>
      </c>
      <c r="CF100" t="e">
        <f>AND(Membership!#REF!,"AAAAAH54zVM=")</f>
        <v>#REF!</v>
      </c>
      <c r="CG100" t="e">
        <f>AND(Membership!#REF!,"AAAAAH54zVQ=")</f>
        <v>#REF!</v>
      </c>
      <c r="CH100" t="e">
        <f>AND(Membership!#REF!,"AAAAAH54zVU=")</f>
        <v>#REF!</v>
      </c>
      <c r="CI100">
        <f>IF(Membership!35:35,"AAAAAH54zVY=",0)</f>
        <v>0</v>
      </c>
      <c r="CJ100" t="e">
        <f>AND(Membership!#REF!,"AAAAAH54zVc=")</f>
        <v>#REF!</v>
      </c>
      <c r="CK100" t="e">
        <f>AND(Membership!A35,"AAAAAH54zVg=")</f>
        <v>#VALUE!</v>
      </c>
      <c r="CL100" t="e">
        <f>AND(Membership!B35,"AAAAAH54zVk=")</f>
        <v>#VALUE!</v>
      </c>
      <c r="CM100" t="e">
        <f>AND(Membership!C35,"AAAAAH54zVo=")</f>
        <v>#VALUE!</v>
      </c>
      <c r="CN100" t="e">
        <f>AND(Membership!D35,"AAAAAH54zVs=")</f>
        <v>#VALUE!</v>
      </c>
      <c r="CO100" t="e">
        <f>AND(Membership!E35,"AAAAAH54zVw=")</f>
        <v>#VALUE!</v>
      </c>
      <c r="CP100" t="e">
        <f>AND(Membership!F35,"AAAAAH54zV0=")</f>
        <v>#VALUE!</v>
      </c>
      <c r="CQ100" t="e">
        <f>AND(Membership!#REF!,"AAAAAH54zV4=")</f>
        <v>#REF!</v>
      </c>
      <c r="CR100" t="e">
        <f>AND(Membership!#REF!,"AAAAAH54zV8=")</f>
        <v>#REF!</v>
      </c>
      <c r="CS100" t="e">
        <f>AND(Membership!#REF!,"AAAAAH54zWA=")</f>
        <v>#REF!</v>
      </c>
      <c r="CT100" t="e">
        <f>AND(Membership!#REF!,"AAAAAH54zWE=")</f>
        <v>#REF!</v>
      </c>
      <c r="CU100" t="e">
        <f>AND(Membership!#REF!,"AAAAAH54zWI=")</f>
        <v>#REF!</v>
      </c>
      <c r="CV100" t="e">
        <f>AND(Membership!#REF!,"AAAAAH54zWM=")</f>
        <v>#REF!</v>
      </c>
      <c r="CW100" t="e">
        <f>IF(Membership!#REF!,"AAAAAH54zWQ=",0)</f>
        <v>#REF!</v>
      </c>
      <c r="CX100" t="e">
        <f>AND(Membership!#REF!,"AAAAAH54zWU=")</f>
        <v>#REF!</v>
      </c>
      <c r="CY100" t="e">
        <f>AND(Membership!#REF!,"AAAAAH54zWY=")</f>
        <v>#REF!</v>
      </c>
      <c r="CZ100" t="e">
        <f>AND(Membership!#REF!,"AAAAAH54zWc=")</f>
        <v>#REF!</v>
      </c>
      <c r="DA100" t="e">
        <f>AND(Membership!#REF!,"AAAAAH54zWg=")</f>
        <v>#REF!</v>
      </c>
      <c r="DB100" t="e">
        <f>AND(Membership!#REF!,"AAAAAH54zWk=")</f>
        <v>#REF!</v>
      </c>
      <c r="DC100" t="e">
        <f>AND(Membership!#REF!,"AAAAAH54zWo=")</f>
        <v>#REF!</v>
      </c>
      <c r="DD100" t="e">
        <f>AND(Membership!#REF!,"AAAAAH54zWs=")</f>
        <v>#REF!</v>
      </c>
      <c r="DE100" t="e">
        <f>AND(Membership!#REF!,"AAAAAH54zWw=")</f>
        <v>#REF!</v>
      </c>
      <c r="DF100" t="e">
        <f>AND(Membership!#REF!,"AAAAAH54zW0=")</f>
        <v>#REF!</v>
      </c>
      <c r="DG100" t="e">
        <f>AND(Membership!#REF!,"AAAAAH54zW4=")</f>
        <v>#REF!</v>
      </c>
      <c r="DH100" t="e">
        <f>AND(Membership!#REF!,"AAAAAH54zW8=")</f>
        <v>#REF!</v>
      </c>
      <c r="DI100" t="e">
        <f>AND(Membership!#REF!,"AAAAAH54zXA=")</f>
        <v>#REF!</v>
      </c>
      <c r="DJ100" t="e">
        <f>AND(Membership!#REF!,"AAAAAH54zXE=")</f>
        <v>#REF!</v>
      </c>
      <c r="DK100" t="e">
        <f>IF(Membership!#REF!,"AAAAAH54zXI=",0)</f>
        <v>#REF!</v>
      </c>
      <c r="DL100" t="e">
        <f>AND(Membership!#REF!,"AAAAAH54zXM=")</f>
        <v>#REF!</v>
      </c>
      <c r="DM100" t="e">
        <f>AND(Membership!#REF!,"AAAAAH54zXQ=")</f>
        <v>#REF!</v>
      </c>
      <c r="DN100" t="e">
        <f>AND(Membership!#REF!,"AAAAAH54zXU=")</f>
        <v>#REF!</v>
      </c>
      <c r="DO100" t="e">
        <f>AND(Membership!#REF!,"AAAAAH54zXY=")</f>
        <v>#REF!</v>
      </c>
      <c r="DP100" t="e">
        <f>AND(Membership!#REF!,"AAAAAH54zXc=")</f>
        <v>#REF!</v>
      </c>
      <c r="DQ100" t="e">
        <f>AND(Membership!#REF!,"AAAAAH54zXg=")</f>
        <v>#REF!</v>
      </c>
      <c r="DR100" t="e">
        <f>AND(Membership!#REF!,"AAAAAH54zXk=")</f>
        <v>#REF!</v>
      </c>
      <c r="DS100" t="e">
        <f>AND(Membership!#REF!,"AAAAAH54zXo=")</f>
        <v>#REF!</v>
      </c>
      <c r="DT100" t="e">
        <f>AND(Membership!#REF!,"AAAAAH54zXs=")</f>
        <v>#REF!</v>
      </c>
      <c r="DU100" t="e">
        <f>AND(Membership!#REF!,"AAAAAH54zXw=")</f>
        <v>#REF!</v>
      </c>
      <c r="DV100" t="e">
        <f>AND(Membership!#REF!,"AAAAAH54zX0=")</f>
        <v>#REF!</v>
      </c>
      <c r="DW100" t="e">
        <f>AND(Membership!#REF!,"AAAAAH54zX4=")</f>
        <v>#REF!</v>
      </c>
      <c r="DX100" t="e">
        <f>AND(Membership!#REF!,"AAAAAH54zX8=")</f>
        <v>#REF!</v>
      </c>
      <c r="DY100" t="e">
        <f>IF(Membership!#REF!,"AAAAAH54zYA=",0)</f>
        <v>#REF!</v>
      </c>
      <c r="DZ100">
        <f>IF(Membership!A:A,"AAAAAH54zYE=",0)</f>
        <v>0</v>
      </c>
      <c r="EA100">
        <f>IF(Membership!B:B,"AAAAAH54zYI=",0)</f>
        <v>0</v>
      </c>
      <c r="EB100">
        <f>IF(Membership!C:C,"AAAAAH54zYM=",0)</f>
        <v>0</v>
      </c>
      <c r="EC100">
        <f>IF(Membership!D:D,"AAAAAH54zYQ=",0)</f>
        <v>0</v>
      </c>
      <c r="ED100">
        <f>IF(Membership!E:E,"AAAAAH54zYU=",0)</f>
        <v>0</v>
      </c>
      <c r="EE100">
        <f>IF(Membership!F:F,"AAAAAH54zYY=",0)</f>
        <v>0</v>
      </c>
      <c r="EF100" t="e">
        <f>IF(Membership!#REF!,"AAAAAH54zYc=",0)</f>
        <v>#REF!</v>
      </c>
      <c r="EG100" t="e">
        <f>IF(Membership!#REF!,"AAAAAH54zYg=",0)</f>
        <v>#REF!</v>
      </c>
      <c r="EH100" t="e">
        <f>IF(Membership!#REF!,"AAAAAH54zYk=",0)</f>
        <v>#REF!</v>
      </c>
      <c r="EI100" t="e">
        <f>IF(Membership!#REF!,"AAAAAH54zYo=",0)</f>
        <v>#REF!</v>
      </c>
      <c r="EJ100" t="e">
        <f>IF(Membership!#REF!,"AAAAAH54zYs=",0)</f>
        <v>#REF!</v>
      </c>
      <c r="EK100" t="e">
        <f>IF(Membership!#REF!,"AAAAAH54zYw=",0)</f>
        <v>#REF!</v>
      </c>
      <c r="EL100" t="e">
        <f>IF(Options!#REF!,"AAAAAH54zY0=",0)</f>
        <v>#REF!</v>
      </c>
      <c r="EM100" t="e">
        <f>AND(Options!#REF!,"AAAAAH54zY4=")</f>
        <v>#REF!</v>
      </c>
      <c r="EN100" t="e">
        <f>AND(Options!#REF!,"AAAAAH54zY8=")</f>
        <v>#REF!</v>
      </c>
      <c r="EO100" t="e">
        <f>AND(Options!#REF!,"AAAAAH54zZA=")</f>
        <v>#REF!</v>
      </c>
      <c r="EP100" t="e">
        <f>AND(Options!#REF!,"AAAAAH54zZE=")</f>
        <v>#REF!</v>
      </c>
      <c r="EQ100" t="e">
        <f>AND(Options!#REF!,"AAAAAH54zZI=")</f>
        <v>#REF!</v>
      </c>
      <c r="ER100" t="e">
        <f>AND(Options!#REF!,"AAAAAH54zZM=")</f>
        <v>#REF!</v>
      </c>
      <c r="ES100" t="e">
        <f>AND(Options!#REF!,"AAAAAH54zZQ=")</f>
        <v>#REF!</v>
      </c>
      <c r="ET100" t="e">
        <f>AND(Options!#REF!,"AAAAAH54zZU=")</f>
        <v>#REF!</v>
      </c>
      <c r="EU100" t="e">
        <f>AND(Options!#REF!,"AAAAAH54zZY=")</f>
        <v>#REF!</v>
      </c>
      <c r="EV100" t="e">
        <f>AND(Options!#REF!,"AAAAAH54zZc=")</f>
        <v>#REF!</v>
      </c>
      <c r="EW100" t="e">
        <f>AND(Options!#REF!,"AAAAAH54zZg=")</f>
        <v>#REF!</v>
      </c>
      <c r="EX100" t="e">
        <f>AND(Options!#REF!,"AAAAAH54zZk=")</f>
        <v>#REF!</v>
      </c>
      <c r="EY100" t="e">
        <f>AND(Options!#REF!,"AAAAAH54zZo=")</f>
        <v>#REF!</v>
      </c>
      <c r="EZ100" t="e">
        <f>AND(Options!#REF!,"AAAAAH54zZs=")</f>
        <v>#REF!</v>
      </c>
      <c r="FA100" t="e">
        <f>AND(Options!#REF!,"AAAAAH54zZw=")</f>
        <v>#REF!</v>
      </c>
      <c r="FB100" t="e">
        <f>AND(Options!#REF!,"AAAAAH54zZ0=")</f>
        <v>#REF!</v>
      </c>
      <c r="FC100" t="e">
        <f>AND(Options!#REF!,"AAAAAH54zZ4=")</f>
        <v>#REF!</v>
      </c>
      <c r="FD100" t="e">
        <f>AND(Options!#REF!,"AAAAAH54zZ8=")</f>
        <v>#REF!</v>
      </c>
      <c r="FE100" t="e">
        <f>AND(Options!#REF!,"AAAAAH54zaA=")</f>
        <v>#REF!</v>
      </c>
      <c r="FF100" t="e">
        <f>AND(Options!#REF!,"AAAAAH54zaE=")</f>
        <v>#REF!</v>
      </c>
      <c r="FG100" t="e">
        <f>AND(Options!#REF!,"AAAAAH54zaI=")</f>
        <v>#REF!</v>
      </c>
      <c r="FH100" t="e">
        <f>AND(Options!#REF!,"AAAAAH54zaM=")</f>
        <v>#REF!</v>
      </c>
      <c r="FI100" t="e">
        <f>AND(Options!#REF!,"AAAAAH54zaQ=")</f>
        <v>#REF!</v>
      </c>
      <c r="FJ100" t="e">
        <f>AND(Options!#REF!,"AAAAAH54zaU=")</f>
        <v>#REF!</v>
      </c>
      <c r="FK100" t="e">
        <f>AND(Options!#REF!,"AAAAAH54zaY=")</f>
        <v>#REF!</v>
      </c>
      <c r="FL100" t="e">
        <f>AND(Options!#REF!,"AAAAAH54zac=")</f>
        <v>#REF!</v>
      </c>
      <c r="FM100" t="e">
        <f>AND(Options!#REF!,"AAAAAH54zag=")</f>
        <v>#REF!</v>
      </c>
      <c r="FN100" t="e">
        <f>AND(Options!#REF!,"AAAAAH54zak=")</f>
        <v>#REF!</v>
      </c>
      <c r="FO100" t="e">
        <f>AND(Options!#REF!,"AAAAAH54zao=")</f>
        <v>#REF!</v>
      </c>
      <c r="FP100" t="e">
        <f>IF(Options!#REF!,"AAAAAH54zas=",0)</f>
        <v>#REF!</v>
      </c>
      <c r="FQ100" t="e">
        <f>AND(Options!#REF!,"AAAAAH54zaw=")</f>
        <v>#REF!</v>
      </c>
      <c r="FR100" t="e">
        <f>AND(Options!#REF!,"AAAAAH54za0=")</f>
        <v>#REF!</v>
      </c>
      <c r="FS100" t="e">
        <f>AND(Options!#REF!,"AAAAAH54za4=")</f>
        <v>#REF!</v>
      </c>
      <c r="FT100" t="e">
        <f>AND(Options!#REF!,"AAAAAH54za8=")</f>
        <v>#REF!</v>
      </c>
      <c r="FU100" t="e">
        <f>AND(Options!#REF!,"AAAAAH54zbA=")</f>
        <v>#REF!</v>
      </c>
      <c r="FV100" t="e">
        <f>AND(Options!#REF!,"AAAAAH54zbE=")</f>
        <v>#REF!</v>
      </c>
      <c r="FW100" t="e">
        <f>AND(Options!#REF!,"AAAAAH54zbI=")</f>
        <v>#REF!</v>
      </c>
      <c r="FX100" t="e">
        <f>AND(Options!#REF!,"AAAAAH54zbM=")</f>
        <v>#REF!</v>
      </c>
      <c r="FY100" t="e">
        <f>AND(Options!#REF!,"AAAAAH54zbQ=")</f>
        <v>#REF!</v>
      </c>
      <c r="FZ100" t="e">
        <f>AND(Options!#REF!,"AAAAAH54zbU=")</f>
        <v>#REF!</v>
      </c>
      <c r="GA100" t="e">
        <f>AND(Options!#REF!,"AAAAAH54zbY=")</f>
        <v>#REF!</v>
      </c>
      <c r="GB100" t="e">
        <f>AND(Options!#REF!,"AAAAAH54zbc=")</f>
        <v>#REF!</v>
      </c>
      <c r="GC100" t="e">
        <f>AND(Options!#REF!,"AAAAAH54zbg=")</f>
        <v>#REF!</v>
      </c>
      <c r="GD100" t="e">
        <f>AND(Options!#REF!,"AAAAAH54zbk=")</f>
        <v>#REF!</v>
      </c>
      <c r="GE100" t="e">
        <f>AND(Options!#REF!,"AAAAAH54zbo=")</f>
        <v>#REF!</v>
      </c>
      <c r="GF100" t="e">
        <f>AND(Options!#REF!,"AAAAAH54zbs=")</f>
        <v>#REF!</v>
      </c>
      <c r="GG100" t="e">
        <f>AND(Options!#REF!,"AAAAAH54zbw=")</f>
        <v>#REF!</v>
      </c>
      <c r="GH100" t="e">
        <f>AND(Options!#REF!,"AAAAAH54zb0=")</f>
        <v>#REF!</v>
      </c>
      <c r="GI100" t="e">
        <f>AND(Options!#REF!,"AAAAAH54zb4=")</f>
        <v>#REF!</v>
      </c>
      <c r="GJ100" t="e">
        <f>AND(Options!#REF!,"AAAAAH54zb8=")</f>
        <v>#REF!</v>
      </c>
      <c r="GK100" t="e">
        <f>AND(Options!#REF!,"AAAAAH54zcA=")</f>
        <v>#REF!</v>
      </c>
      <c r="GL100" t="e">
        <f>AND(Options!#REF!,"AAAAAH54zcE=")</f>
        <v>#REF!</v>
      </c>
      <c r="GM100" t="e">
        <f>AND(Options!#REF!,"AAAAAH54zcI=")</f>
        <v>#REF!</v>
      </c>
      <c r="GN100" t="e">
        <f>AND(Options!#REF!,"AAAAAH54zcM=")</f>
        <v>#REF!</v>
      </c>
      <c r="GO100" t="e">
        <f>AND(Options!#REF!,"AAAAAH54zcQ=")</f>
        <v>#REF!</v>
      </c>
      <c r="GP100" t="e">
        <f>AND(Options!#REF!,"AAAAAH54zcU=")</f>
        <v>#REF!</v>
      </c>
      <c r="GQ100" t="e">
        <f>AND(Options!#REF!,"AAAAAH54zcY=")</f>
        <v>#REF!</v>
      </c>
      <c r="GR100" t="e">
        <f>AND(Options!#REF!,"AAAAAH54zcc=")</f>
        <v>#REF!</v>
      </c>
      <c r="GS100" t="e">
        <f>AND(Options!#REF!,"AAAAAH54zcg=")</f>
        <v>#REF!</v>
      </c>
      <c r="GT100" t="e">
        <f>IF(Options!#REF!,"AAAAAH54zck=",0)</f>
        <v>#REF!</v>
      </c>
      <c r="GU100" t="e">
        <f>AND(Options!#REF!,"AAAAAH54zco=")</f>
        <v>#REF!</v>
      </c>
      <c r="GV100" t="e">
        <f>AND(Options!#REF!,"AAAAAH54zcs=")</f>
        <v>#REF!</v>
      </c>
      <c r="GW100" t="e">
        <f>AND(Options!#REF!,"AAAAAH54zcw=")</f>
        <v>#REF!</v>
      </c>
      <c r="GX100" t="e">
        <f>AND(Options!#REF!,"AAAAAH54zc0=")</f>
        <v>#REF!</v>
      </c>
      <c r="GY100" t="e">
        <f>AND(Options!#REF!,"AAAAAH54zc4=")</f>
        <v>#REF!</v>
      </c>
      <c r="GZ100" t="e">
        <f>AND(Options!#REF!,"AAAAAH54zc8=")</f>
        <v>#REF!</v>
      </c>
      <c r="HA100" t="e">
        <f>AND(Options!#REF!,"AAAAAH54zdA=")</f>
        <v>#REF!</v>
      </c>
      <c r="HB100" t="e">
        <f>AND(Options!#REF!,"AAAAAH54zdE=")</f>
        <v>#REF!</v>
      </c>
      <c r="HC100" t="e">
        <f>AND(Options!#REF!,"AAAAAH54zdI=")</f>
        <v>#REF!</v>
      </c>
      <c r="HD100" t="e">
        <f>AND(Options!#REF!,"AAAAAH54zdM=")</f>
        <v>#REF!</v>
      </c>
      <c r="HE100" t="e">
        <f>AND(Options!#REF!,"AAAAAH54zdQ=")</f>
        <v>#REF!</v>
      </c>
      <c r="HF100" t="e">
        <f>AND(Options!#REF!,"AAAAAH54zdU=")</f>
        <v>#REF!</v>
      </c>
      <c r="HG100" t="e">
        <f>AND(Options!#REF!,"AAAAAH54zdY=")</f>
        <v>#REF!</v>
      </c>
      <c r="HH100" t="e">
        <f>AND(Options!#REF!,"AAAAAH54zdc=")</f>
        <v>#REF!</v>
      </c>
      <c r="HI100" t="e">
        <f>AND(Options!#REF!,"AAAAAH54zdg=")</f>
        <v>#REF!</v>
      </c>
      <c r="HJ100" t="e">
        <f>AND(Options!#REF!,"AAAAAH54zdk=")</f>
        <v>#REF!</v>
      </c>
      <c r="HK100" t="e">
        <f>AND(Options!#REF!,"AAAAAH54zdo=")</f>
        <v>#REF!</v>
      </c>
      <c r="HL100" t="e">
        <f>AND(Options!#REF!,"AAAAAH54zds=")</f>
        <v>#REF!</v>
      </c>
      <c r="HM100" t="e">
        <f>AND(Options!#REF!,"AAAAAH54zdw=")</f>
        <v>#REF!</v>
      </c>
      <c r="HN100" t="e">
        <f>AND(Options!#REF!,"AAAAAH54zd0=")</f>
        <v>#REF!</v>
      </c>
      <c r="HO100" t="e">
        <f>AND(Options!#REF!,"AAAAAH54zd4=")</f>
        <v>#REF!</v>
      </c>
      <c r="HP100" t="e">
        <f>AND(Options!#REF!,"AAAAAH54zd8=")</f>
        <v>#REF!</v>
      </c>
      <c r="HQ100" t="e">
        <f>AND(Options!#REF!,"AAAAAH54zeA=")</f>
        <v>#REF!</v>
      </c>
      <c r="HR100" t="e">
        <f>AND(Options!#REF!,"AAAAAH54zeE=")</f>
        <v>#REF!</v>
      </c>
      <c r="HS100" t="e">
        <f>AND(Options!#REF!,"AAAAAH54zeI=")</f>
        <v>#REF!</v>
      </c>
      <c r="HT100" t="e">
        <f>AND(Options!#REF!,"AAAAAH54zeM=")</f>
        <v>#REF!</v>
      </c>
      <c r="HU100" t="e">
        <f>AND(Options!#REF!,"AAAAAH54zeQ=")</f>
        <v>#REF!</v>
      </c>
      <c r="HV100" t="e">
        <f>AND(Options!#REF!,"AAAAAH54zeU=")</f>
        <v>#REF!</v>
      </c>
      <c r="HW100" t="e">
        <f>AND(Options!#REF!,"AAAAAH54zeY=")</f>
        <v>#REF!</v>
      </c>
      <c r="HX100" t="e">
        <f>IF(Options!#REF!,"AAAAAH54zec=",0)</f>
        <v>#REF!</v>
      </c>
      <c r="HY100" t="e">
        <f>AND(Options!#REF!,"AAAAAH54zeg=")</f>
        <v>#REF!</v>
      </c>
      <c r="HZ100" t="e">
        <f>AND(Options!#REF!,"AAAAAH54zek=")</f>
        <v>#REF!</v>
      </c>
      <c r="IA100" t="e">
        <f>AND(Options!#REF!,"AAAAAH54zeo=")</f>
        <v>#REF!</v>
      </c>
      <c r="IB100" t="e">
        <f>AND(Options!#REF!,"AAAAAH54zes=")</f>
        <v>#REF!</v>
      </c>
      <c r="IC100" t="e">
        <f>AND(Options!#REF!,"AAAAAH54zew=")</f>
        <v>#REF!</v>
      </c>
      <c r="ID100" t="e">
        <f>AND(Options!#REF!,"AAAAAH54ze0=")</f>
        <v>#REF!</v>
      </c>
      <c r="IE100" t="e">
        <f>AND(Options!#REF!,"AAAAAH54ze4=")</f>
        <v>#REF!</v>
      </c>
      <c r="IF100" t="e">
        <f>AND(Options!#REF!,"AAAAAH54ze8=")</f>
        <v>#REF!</v>
      </c>
      <c r="IG100" t="e">
        <f>AND(Options!#REF!,"AAAAAH54zfA=")</f>
        <v>#REF!</v>
      </c>
      <c r="IH100" t="e">
        <f>AND(Options!#REF!,"AAAAAH54zfE=")</f>
        <v>#REF!</v>
      </c>
      <c r="II100" t="e">
        <f>AND(Options!#REF!,"AAAAAH54zfI=")</f>
        <v>#REF!</v>
      </c>
      <c r="IJ100" t="e">
        <f>AND(Options!#REF!,"AAAAAH54zfM=")</f>
        <v>#REF!</v>
      </c>
      <c r="IK100" t="e">
        <f>AND(Options!#REF!,"AAAAAH54zfQ=")</f>
        <v>#REF!</v>
      </c>
      <c r="IL100" t="e">
        <f>AND(Options!#REF!,"AAAAAH54zfU=")</f>
        <v>#REF!</v>
      </c>
      <c r="IM100" t="e">
        <f>AND(Options!#REF!,"AAAAAH54zfY=")</f>
        <v>#REF!</v>
      </c>
      <c r="IN100" t="e">
        <f>AND(Options!#REF!,"AAAAAH54zfc=")</f>
        <v>#REF!</v>
      </c>
      <c r="IO100" t="e">
        <f>AND(Options!#REF!,"AAAAAH54zfg=")</f>
        <v>#REF!</v>
      </c>
      <c r="IP100" t="e">
        <f>AND(Options!#REF!,"AAAAAH54zfk=")</f>
        <v>#REF!</v>
      </c>
      <c r="IQ100" t="e">
        <f>AND(Options!#REF!,"AAAAAH54zfo=")</f>
        <v>#REF!</v>
      </c>
      <c r="IR100" t="e">
        <f>AND(Options!#REF!,"AAAAAH54zfs=")</f>
        <v>#REF!</v>
      </c>
      <c r="IS100" t="e">
        <f>AND(Options!#REF!,"AAAAAH54zfw=")</f>
        <v>#REF!</v>
      </c>
      <c r="IT100" t="e">
        <f>AND(Options!#REF!,"AAAAAH54zf0=")</f>
        <v>#REF!</v>
      </c>
      <c r="IU100" t="e">
        <f>AND(Options!#REF!,"AAAAAH54zf4=")</f>
        <v>#REF!</v>
      </c>
      <c r="IV100" t="e">
        <f>AND(Options!#REF!,"AAAAAH54zf8=")</f>
        <v>#REF!</v>
      </c>
    </row>
    <row r="101" spans="1:256" x14ac:dyDescent="0.2">
      <c r="A101" t="e">
        <f>AND(Options!#REF!,"AAAAAHPy+gA=")</f>
        <v>#REF!</v>
      </c>
      <c r="B101" t="e">
        <f>AND(Options!#REF!,"AAAAAHPy+gE=")</f>
        <v>#REF!</v>
      </c>
      <c r="C101" t="e">
        <f>AND(Options!#REF!,"AAAAAHPy+gI=")</f>
        <v>#REF!</v>
      </c>
      <c r="D101" t="e">
        <f>AND(Options!#REF!,"AAAAAHPy+gM=")</f>
        <v>#REF!</v>
      </c>
      <c r="E101" t="e">
        <f>AND(Options!#REF!,"AAAAAHPy+gQ=")</f>
        <v>#REF!</v>
      </c>
      <c r="F101" t="e">
        <f>IF(Options!1:1,"AAAAAHPy+gU=",0)</f>
        <v>#VALUE!</v>
      </c>
      <c r="G101" t="e">
        <f>AND(Options!A1,"AAAAAHPy+gY=")</f>
        <v>#VALUE!</v>
      </c>
      <c r="H101" t="e">
        <f>AND(Options!C1,"AAAAAHPy+gc=")</f>
        <v>#VALUE!</v>
      </c>
      <c r="I101" t="e">
        <f>AND(Options!D1,"AAAAAHPy+gg=")</f>
        <v>#VALUE!</v>
      </c>
      <c r="J101" t="e">
        <f>AND(Options!E1,"AAAAAHPy+gk=")</f>
        <v>#VALUE!</v>
      </c>
      <c r="K101" t="e">
        <f>AND(Options!#REF!,"AAAAAHPy+go=")</f>
        <v>#REF!</v>
      </c>
      <c r="L101" t="e">
        <f>AND(Options!#REF!,"AAAAAHPy+gs=")</f>
        <v>#REF!</v>
      </c>
      <c r="M101" t="e">
        <f>AND(Options!F1,"AAAAAHPy+gw=")</f>
        <v>#VALUE!</v>
      </c>
      <c r="N101" t="e">
        <f>AND(Options!G1,"AAAAAHPy+g0=")</f>
        <v>#VALUE!</v>
      </c>
      <c r="O101" t="e">
        <f>AND(Options!H1,"AAAAAHPy+g4=")</f>
        <v>#VALUE!</v>
      </c>
      <c r="P101" t="e">
        <f>AND(Options!I1,"AAAAAHPy+g8=")</f>
        <v>#VALUE!</v>
      </c>
      <c r="Q101" t="e">
        <f>AND(Options!J1,"AAAAAHPy+hA=")</f>
        <v>#VALUE!</v>
      </c>
      <c r="R101" t="e">
        <f>AND(Options!#REF!,"AAAAAHPy+hE=")</f>
        <v>#REF!</v>
      </c>
      <c r="S101" t="e">
        <f>AND(Options!#REF!,"AAAAAHPy+hI=")</f>
        <v>#REF!</v>
      </c>
      <c r="T101" t="e">
        <f>AND(Options!O1,"AAAAAHPy+hM=")</f>
        <v>#VALUE!</v>
      </c>
      <c r="U101" t="e">
        <f>AND(Options!P1,"AAAAAHPy+hQ=")</f>
        <v>#VALUE!</v>
      </c>
      <c r="V101" t="e">
        <f>AND(Options!Q1,"AAAAAHPy+hU=")</f>
        <v>#VALUE!</v>
      </c>
      <c r="W101" t="e">
        <f>AND(Options!R1,"AAAAAHPy+hY=")</f>
        <v>#VALUE!</v>
      </c>
      <c r="X101" t="e">
        <f>AND(Options!S1,"AAAAAHPy+hc=")</f>
        <v>#VALUE!</v>
      </c>
      <c r="Y101" t="e">
        <f>AND(Options!T1,"AAAAAHPy+hg=")</f>
        <v>#VALUE!</v>
      </c>
      <c r="Z101" t="e">
        <f>AND(Options!M1,"AAAAAHPy+hk=")</f>
        <v>#VALUE!</v>
      </c>
      <c r="AA101" t="e">
        <f>AND(Options!N1,"AAAAAHPy+ho=")</f>
        <v>#VALUE!</v>
      </c>
      <c r="AB101" t="e">
        <f>AND(Options!X1,"AAAAAHPy+hs=")</f>
        <v>#VALUE!</v>
      </c>
      <c r="AC101" t="e">
        <f>AND(Options!#REF!,"AAAAAHPy+hw=")</f>
        <v>#REF!</v>
      </c>
      <c r="AD101" t="e">
        <f>AND(Options!#REF!,"AAAAAHPy+h0=")</f>
        <v>#REF!</v>
      </c>
      <c r="AE101" t="e">
        <f>AND(Options!#REF!,"AAAAAHPy+h4=")</f>
        <v>#REF!</v>
      </c>
      <c r="AF101" t="e">
        <f>AND(Options!#REF!,"AAAAAHPy+h8=")</f>
        <v>#REF!</v>
      </c>
      <c r="AG101" t="e">
        <f>AND(Options!#REF!,"AAAAAHPy+iA=")</f>
        <v>#REF!</v>
      </c>
      <c r="AH101" t="e">
        <f>AND(Options!#REF!,"AAAAAHPy+iE=")</f>
        <v>#REF!</v>
      </c>
      <c r="AI101" t="e">
        <f>AND(Options!#REF!,"AAAAAHPy+iI=")</f>
        <v>#REF!</v>
      </c>
      <c r="AJ101" t="e">
        <f>IF(Options!#REF!,"AAAAAHPy+iM=",0)</f>
        <v>#REF!</v>
      </c>
      <c r="AK101" t="e">
        <f>IF(Options!#REF!,"AAAAAHPy+iQ=",0)</f>
        <v>#REF!</v>
      </c>
      <c r="AL101" t="e">
        <f>IF(Options!#REF!,"AAAAAHPy+iU=",0)</f>
        <v>#REF!</v>
      </c>
      <c r="AM101" t="e">
        <f>IF(Options!#REF!,"AAAAAHPy+iY=",0)</f>
        <v>#REF!</v>
      </c>
      <c r="AN101" t="e">
        <f>IF(Options!#REF!,"AAAAAHPy+ic=",0)</f>
        <v>#REF!</v>
      </c>
      <c r="AO101" t="e">
        <f>IF(Options!#REF!,"AAAAAHPy+ig=",0)</f>
        <v>#REF!</v>
      </c>
      <c r="AP101" t="e">
        <f>IF(Options!#REF!,"AAAAAHPy+ik=",0)</f>
        <v>#REF!</v>
      </c>
      <c r="AQ101" t="e">
        <f>IF(Options!#REF!,"AAAAAHPy+io=",0)</f>
        <v>#REF!</v>
      </c>
      <c r="AR101" t="e">
        <f>IF(Options!#REF!,"AAAAAHPy+is=",0)</f>
        <v>#REF!</v>
      </c>
      <c r="AS101" t="e">
        <f>IF(Options!#REF!,"AAAAAHPy+iw=",0)</f>
        <v>#REF!</v>
      </c>
      <c r="AT101" t="e">
        <f>IF(Options!#REF!,"AAAAAHPy+i0=",0)</f>
        <v>#REF!</v>
      </c>
      <c r="AU101" t="e">
        <f>IF(Options!#REF!,"AAAAAHPy+i4=",0)</f>
        <v>#REF!</v>
      </c>
      <c r="AV101" t="e">
        <f>IF(Options!#REF!,"AAAAAHPy+i8=",0)</f>
        <v>#REF!</v>
      </c>
      <c r="AW101" t="e">
        <f>IF(Options!#REF!,"AAAAAHPy+jA=",0)</f>
        <v>#REF!</v>
      </c>
      <c r="AX101" t="e">
        <f>IF(Options!#REF!,"AAAAAHPy+jE=",0)</f>
        <v>#REF!</v>
      </c>
      <c r="AY101" t="e">
        <f>IF(Options!#REF!,"AAAAAHPy+jI=",0)</f>
        <v>#REF!</v>
      </c>
      <c r="AZ101" t="e">
        <f>IF(Options!#REF!,"AAAAAHPy+jM=",0)</f>
        <v>#REF!</v>
      </c>
      <c r="BA101" t="e">
        <f>IF(Options!#REF!,"AAAAAHPy+jQ=",0)</f>
        <v>#REF!</v>
      </c>
      <c r="BB101" t="e">
        <f>IF(Options!#REF!,"AAAAAHPy+jU=",0)</f>
        <v>#REF!</v>
      </c>
      <c r="BC101" t="e">
        <f>IF(Options!#REF!,"AAAAAHPy+jY=",0)</f>
        <v>#REF!</v>
      </c>
      <c r="BD101" t="e">
        <f>IF(Options!#REF!,"AAAAAHPy+jc=",0)</f>
        <v>#REF!</v>
      </c>
      <c r="BE101" t="e">
        <f>IF(Options!#REF!,"AAAAAHPy+jg=",0)</f>
        <v>#REF!</v>
      </c>
      <c r="BF101" t="e">
        <f>IF(Options!#REF!,"AAAAAHPy+jk=",0)</f>
        <v>#REF!</v>
      </c>
      <c r="BG101" t="e">
        <f>IF(Options!#REF!,"AAAAAHPy+jo=",0)</f>
        <v>#REF!</v>
      </c>
      <c r="BH101" t="e">
        <f>IF(Options!#REF!,"AAAAAHPy+js=",0)</f>
        <v>#REF!</v>
      </c>
      <c r="BI101" t="e">
        <f>IF(Options!#REF!,"AAAAAHPy+jw=",0)</f>
        <v>#REF!</v>
      </c>
      <c r="BJ101" t="e">
        <f>IF(Options!#REF!,"AAAAAHPy+j0=",0)</f>
        <v>#REF!</v>
      </c>
      <c r="BK101" t="e">
        <f>IF(Options!#REF!,"AAAAAHPy+j4=",0)</f>
        <v>#REF!</v>
      </c>
      <c r="BL101" t="e">
        <f>IF(Options!#REF!,"AAAAAHPy+j8=",0)</f>
        <v>#REF!</v>
      </c>
      <c r="BM101" t="e">
        <f>IF(Options!#REF!,"AAAAAHPy+kA=",0)</f>
        <v>#REF!</v>
      </c>
      <c r="BN101" t="e">
        <f>IF(Options!#REF!,"AAAAAHPy+kE=",0)</f>
        <v>#REF!</v>
      </c>
      <c r="BO101" t="e">
        <f>IF(Options!#REF!,"AAAAAHPy+kI=",0)</f>
        <v>#REF!</v>
      </c>
      <c r="BP101" t="e">
        <f>IF(Options!#REF!,"AAAAAHPy+kM=",0)</f>
        <v>#REF!</v>
      </c>
      <c r="BQ101" t="e">
        <f>IF(Options!#REF!,"AAAAAHPy+kQ=",0)</f>
        <v>#REF!</v>
      </c>
      <c r="BR101" t="e">
        <f>IF(Options!#REF!,"AAAAAHPy+kU=",0)</f>
        <v>#REF!</v>
      </c>
      <c r="BS101" t="e">
        <f>IF(Options!#REF!,"AAAAAHPy+kY=",0)</f>
        <v>#REF!</v>
      </c>
      <c r="BT101" t="e">
        <f>IF(Options!#REF!,"AAAAAHPy+kc=",0)</f>
        <v>#REF!</v>
      </c>
      <c r="BU101" t="e">
        <f>IF(Options!#REF!,"AAAAAHPy+kg=",0)</f>
        <v>#REF!</v>
      </c>
      <c r="BV101" t="e">
        <f>IF(Options!#REF!,"AAAAAHPy+kk=",0)</f>
        <v>#REF!</v>
      </c>
      <c r="BW101" t="e">
        <f>IF(Options!#REF!,"AAAAAHPy+ko=",0)</f>
        <v>#REF!</v>
      </c>
      <c r="BX101" t="e">
        <f>IF(Options!#REF!,"AAAAAHPy+ks=",0)</f>
        <v>#REF!</v>
      </c>
      <c r="BY101" t="e">
        <f>IF(Options!#REF!,"AAAAAHPy+kw=",0)</f>
        <v>#REF!</v>
      </c>
      <c r="BZ101" t="e">
        <f>IF(Options!#REF!,"AAAAAHPy+k0=",0)</f>
        <v>#REF!</v>
      </c>
      <c r="CA101" t="e">
        <f>IF(Options!#REF!,"AAAAAHPy+k4=",0)</f>
        <v>#REF!</v>
      </c>
      <c r="CB101" t="e">
        <f>IF(Options!#REF!,"AAAAAHPy+k8=",0)</f>
        <v>#REF!</v>
      </c>
      <c r="CC101" t="e">
        <f>IF(Options!#REF!,"AAAAAHPy+lA=",0)</f>
        <v>#REF!</v>
      </c>
      <c r="CD101" t="e">
        <f>IF(Options!#REF!,"AAAAAHPy+lE=",0)</f>
        <v>#REF!</v>
      </c>
      <c r="CE101" t="e">
        <f>IF(Options!#REF!,"AAAAAHPy+lI=",0)</f>
        <v>#REF!</v>
      </c>
      <c r="CF101" t="e">
        <f>IF(Options!#REF!,"AAAAAHPy+lM=",0)</f>
        <v>#REF!</v>
      </c>
      <c r="CG101" t="e">
        <f>IF(Options!#REF!,"AAAAAHPy+lQ=",0)</f>
        <v>#REF!</v>
      </c>
      <c r="CH101" t="e">
        <f>IF(Options!#REF!,"AAAAAHPy+lU=",0)</f>
        <v>#REF!</v>
      </c>
      <c r="CI101" t="e">
        <f>IF(Options!#REF!,"AAAAAHPy+lY=",0)</f>
        <v>#REF!</v>
      </c>
      <c r="CJ101" t="e">
        <f>IF(Options!#REF!,"AAAAAHPy+lc=",0)</f>
        <v>#REF!</v>
      </c>
      <c r="CK101" t="e">
        <f>IF(Options!#REF!,"AAAAAHPy+lg=",0)</f>
        <v>#REF!</v>
      </c>
      <c r="CL101" t="e">
        <f>IF(Options!#REF!,"AAAAAHPy+lk=",0)</f>
        <v>#REF!</v>
      </c>
      <c r="CM101" t="e">
        <f>IF(Options!#REF!,"AAAAAHPy+lo=",0)</f>
        <v>#REF!</v>
      </c>
      <c r="CN101" t="e">
        <f>IF(Options!#REF!,"AAAAAHPy+ls=",0)</f>
        <v>#REF!</v>
      </c>
      <c r="CO101" t="e">
        <f>IF(Options!#REF!,"AAAAAHPy+lw=",0)</f>
        <v>#REF!</v>
      </c>
      <c r="CP101" t="e">
        <f>IF(Options!#REF!,"AAAAAHPy+l0=",0)</f>
        <v>#REF!</v>
      </c>
      <c r="CQ101" t="e">
        <f>IF(Options!#REF!,"AAAAAHPy+l4=",0)</f>
        <v>#REF!</v>
      </c>
      <c r="CR101" t="e">
        <f>IF(Options!#REF!,"AAAAAHPy+l8=",0)</f>
        <v>#REF!</v>
      </c>
      <c r="CS101" t="e">
        <f>IF(Options!#REF!,"AAAAAHPy+mA=",0)</f>
        <v>#REF!</v>
      </c>
      <c r="CT101" t="e">
        <f>IF(Options!#REF!,"AAAAAHPy+mE=",0)</f>
        <v>#REF!</v>
      </c>
      <c r="CU101" t="e">
        <f>IF(Options!#REF!,"AAAAAHPy+mI=",0)</f>
        <v>#REF!</v>
      </c>
      <c r="CV101" t="e">
        <f>IF(Options!#REF!,"AAAAAHPy+mM=",0)</f>
        <v>#REF!</v>
      </c>
      <c r="CW101" t="e">
        <f>IF(Options!#REF!,"AAAAAHPy+mQ=",0)</f>
        <v>#REF!</v>
      </c>
      <c r="CX101" t="e">
        <f>IF(Options!#REF!,"AAAAAHPy+mU=",0)</f>
        <v>#REF!</v>
      </c>
      <c r="CY101" t="e">
        <f>IF(Options!#REF!,"AAAAAHPy+mY=",0)</f>
        <v>#REF!</v>
      </c>
      <c r="CZ101" t="e">
        <f>IF(Options!#REF!,"AAAAAHPy+mc=",0)</f>
        <v>#REF!</v>
      </c>
      <c r="DA101" t="e">
        <f>IF(Options!#REF!,"AAAAAHPy+mg=",0)</f>
        <v>#REF!</v>
      </c>
      <c r="DB101" t="e">
        <f>IF(Options!#REF!,"AAAAAHPy+mk=",0)</f>
        <v>#REF!</v>
      </c>
      <c r="DC101" t="e">
        <f>IF(Options!#REF!,"AAAAAHPy+mo=",0)</f>
        <v>#REF!</v>
      </c>
      <c r="DD101" t="e">
        <f>IF(Options!#REF!,"AAAAAHPy+ms=",0)</f>
        <v>#REF!</v>
      </c>
      <c r="DE101" t="e">
        <f>IF(Options!#REF!,"AAAAAHPy+mw=",0)</f>
        <v>#REF!</v>
      </c>
      <c r="DF101" t="e">
        <f>IF(Options!#REF!,"AAAAAHPy+m0=",0)</f>
        <v>#REF!</v>
      </c>
      <c r="DG101" t="e">
        <f>IF(Options!#REF!,"AAAAAHPy+m4=",0)</f>
        <v>#REF!</v>
      </c>
      <c r="DH101" t="e">
        <f>IF(Options!#REF!,"AAAAAHPy+m8=",0)</f>
        <v>#REF!</v>
      </c>
      <c r="DI101" t="e">
        <f>IF(Options!#REF!,"AAAAAHPy+nA=",0)</f>
        <v>#REF!</v>
      </c>
      <c r="DJ101" t="e">
        <f>IF(Options!#REF!,"AAAAAHPy+nE=",0)</f>
        <v>#REF!</v>
      </c>
      <c r="DK101" t="e">
        <f>IF(Options!#REF!,"AAAAAHPy+nI=",0)</f>
        <v>#REF!</v>
      </c>
      <c r="DL101" t="e">
        <f>IF(Options!#REF!,"AAAAAHPy+nM=",0)</f>
        <v>#REF!</v>
      </c>
      <c r="DM101" t="e">
        <f>IF(Options!#REF!,"AAAAAHPy+nQ=",0)</f>
        <v>#REF!</v>
      </c>
      <c r="DN101" t="e">
        <f>IF(Options!#REF!,"AAAAAHPy+nU=",0)</f>
        <v>#REF!</v>
      </c>
      <c r="DO101" t="e">
        <f>IF(Options!#REF!,"AAAAAHPy+nY=",0)</f>
        <v>#REF!</v>
      </c>
      <c r="DP101" t="e">
        <f>IF(Options!#REF!,"AAAAAHPy+nc=",0)</f>
        <v>#REF!</v>
      </c>
      <c r="DQ101" t="e">
        <f>IF(Options!#REF!,"AAAAAHPy+ng=",0)</f>
        <v>#REF!</v>
      </c>
      <c r="DR101" t="e">
        <f>IF(Options!#REF!,"AAAAAHPy+nk=",0)</f>
        <v>#REF!</v>
      </c>
      <c r="DS101" t="e">
        <f>IF(Options!#REF!,"AAAAAHPy+no=",0)</f>
        <v>#REF!</v>
      </c>
      <c r="DT101" t="e">
        <f>IF(Options!#REF!,"AAAAAHPy+ns=",0)</f>
        <v>#REF!</v>
      </c>
      <c r="DU101" t="e">
        <f>IF(Options!#REF!,"AAAAAHPy+nw=",0)</f>
        <v>#REF!</v>
      </c>
      <c r="DV101" t="e">
        <f>IF(Options!#REF!,"AAAAAHPy+n0=",0)</f>
        <v>#REF!</v>
      </c>
      <c r="DW101" t="e">
        <f>IF(Options!#REF!,"AAAAAHPy+n4=",0)</f>
        <v>#REF!</v>
      </c>
      <c r="DX101" t="e">
        <f>IF(Options!#REF!,"AAAAAHPy+n8=",0)</f>
        <v>#REF!</v>
      </c>
      <c r="DY101" t="e">
        <f>IF(Options!#REF!,"AAAAAHPy+oA=",0)</f>
        <v>#REF!</v>
      </c>
      <c r="DZ101" t="e">
        <f>IF(Options!#REF!,"AAAAAHPy+oE=",0)</f>
        <v>#REF!</v>
      </c>
      <c r="EA101" t="e">
        <f>IF(Options!#REF!,"AAAAAHPy+oI=",0)</f>
        <v>#REF!</v>
      </c>
      <c r="EB101">
        <f>IF(Options!53:53,"AAAAAHPy+oM=",0)</f>
        <v>0</v>
      </c>
      <c r="EC101">
        <f>IF(Options!54:54,"AAAAAHPy+oQ=",0)</f>
        <v>0</v>
      </c>
      <c r="ED101">
        <f>IF(Options!55:55,"AAAAAHPy+oU=",0)</f>
        <v>0</v>
      </c>
      <c r="EE101">
        <f>IF(Options!56:56,"AAAAAHPy+oY=",0)</f>
        <v>0</v>
      </c>
      <c r="EF101">
        <f>IF(Options!57:57,"AAAAAHPy+oc=",0)</f>
        <v>0</v>
      </c>
      <c r="EG101">
        <f>IF(Options!58:58,"AAAAAHPy+og=",0)</f>
        <v>0</v>
      </c>
      <c r="EH101">
        <f>IF(Options!59:59,"AAAAAHPy+ok=",0)</f>
        <v>0</v>
      </c>
      <c r="EI101">
        <f>IF(Options!60:60,"AAAAAHPy+oo=",0)</f>
        <v>0</v>
      </c>
      <c r="EJ101">
        <f>IF(Options!61:61,"AAAAAHPy+os=",0)</f>
        <v>0</v>
      </c>
      <c r="EK101">
        <f>IF(Options!62:62,"AAAAAHPy+ow=",0)</f>
        <v>0</v>
      </c>
      <c r="EL101">
        <f>IF(Options!63:63,"AAAAAHPy+o0=",0)</f>
        <v>0</v>
      </c>
      <c r="EM101">
        <f>IF(Options!64:64,"AAAAAHPy+o4=",0)</f>
        <v>0</v>
      </c>
      <c r="EN101">
        <f>IF(Options!65:65,"AAAAAHPy+o8=",0)</f>
        <v>0</v>
      </c>
      <c r="EO101">
        <f>IF(Options!66:66,"AAAAAHPy+pA=",0)</f>
        <v>0</v>
      </c>
      <c r="EP101">
        <f>IF(Options!67:67,"AAAAAHPy+pE=",0)</f>
        <v>0</v>
      </c>
      <c r="EQ101">
        <f>IF(Options!68:68,"AAAAAHPy+pI=",0)</f>
        <v>0</v>
      </c>
      <c r="ER101">
        <f>IF(Options!69:69,"AAAAAHPy+pM=",0)</f>
        <v>0</v>
      </c>
      <c r="ES101">
        <f>IF(Options!70:70,"AAAAAHPy+pQ=",0)</f>
        <v>0</v>
      </c>
      <c r="ET101">
        <f>IF(Options!71:71,"AAAAAHPy+pU=",0)</f>
        <v>0</v>
      </c>
      <c r="EU101">
        <f>IF(Options!72:72,"AAAAAHPy+pY=",0)</f>
        <v>0</v>
      </c>
      <c r="EV101">
        <f>IF(Options!73:73,"AAAAAHPy+pc=",0)</f>
        <v>0</v>
      </c>
      <c r="EW101">
        <f>IF(Options!74:74,"AAAAAHPy+pg=",0)</f>
        <v>0</v>
      </c>
      <c r="EX101">
        <f>IF(Options!75:75,"AAAAAHPy+pk=",0)</f>
        <v>0</v>
      </c>
      <c r="EY101">
        <f>IF(Options!76:76,"AAAAAHPy+po=",0)</f>
        <v>0</v>
      </c>
      <c r="EZ101">
        <f>IF(Options!A:A,"AAAAAHPy+ps=",0)</f>
        <v>0</v>
      </c>
      <c r="FA101">
        <f>IF(Options!C:C,"AAAAAHPy+pw=",0)</f>
        <v>0</v>
      </c>
      <c r="FB101">
        <f>IF(Options!D:D,"AAAAAHPy+p0=",0)</f>
        <v>0</v>
      </c>
      <c r="FC101">
        <f>IF(Options!E:E,"AAAAAHPy+p4=",0)</f>
        <v>0</v>
      </c>
      <c r="FD101" t="e">
        <f>IF(Options!#REF!,"AAAAAHPy+p8=",0)</f>
        <v>#REF!</v>
      </c>
      <c r="FE101" t="e">
        <f>IF(Options!#REF!,"AAAAAHPy+qA=",0)</f>
        <v>#REF!</v>
      </c>
      <c r="FF101">
        <f>IF(Options!F:F,"AAAAAHPy+qE=",0)</f>
        <v>0</v>
      </c>
      <c r="FG101">
        <f>IF(Options!G:G,"AAAAAHPy+qI=",0)</f>
        <v>0</v>
      </c>
      <c r="FH101">
        <f>IF(Options!H:H,"AAAAAHPy+qM=",0)</f>
        <v>0</v>
      </c>
      <c r="FI101">
        <f>IF(Options!I:I,"AAAAAHPy+qQ=",0)</f>
        <v>0</v>
      </c>
      <c r="FJ101">
        <f>IF(Options!J:J,"AAAAAHPy+qU=",0)</f>
        <v>0</v>
      </c>
      <c r="FK101" t="e">
        <f>IF(Options!#REF!,"AAAAAHPy+qY=",0)</f>
        <v>#REF!</v>
      </c>
      <c r="FL101" t="e">
        <f>IF(Options!#REF!,"AAAAAHPy+qc=",0)</f>
        <v>#REF!</v>
      </c>
      <c r="FM101">
        <f>IF(Options!O:O,"AAAAAHPy+qg=",0)</f>
        <v>0</v>
      </c>
      <c r="FN101">
        <f>IF(Options!P:P,"AAAAAHPy+qk=",0)</f>
        <v>0</v>
      </c>
      <c r="FO101">
        <f>IF(Options!Q:Q,"AAAAAHPy+qo=",0)</f>
        <v>0</v>
      </c>
      <c r="FP101">
        <f>IF(Options!R:R,"AAAAAHPy+qs=",0)</f>
        <v>0</v>
      </c>
      <c r="FQ101">
        <f>IF(Options!S:S,"AAAAAHPy+qw=",0)</f>
        <v>0</v>
      </c>
      <c r="FR101">
        <f>IF(Options!T:T,"AAAAAHPy+q0=",0)</f>
        <v>0</v>
      </c>
      <c r="FS101">
        <f>IF(Options!M:M,"AAAAAHPy+q4=",0)</f>
        <v>0</v>
      </c>
      <c r="FT101">
        <f>IF(Options!N:N,"AAAAAHPy+q8=",0)</f>
        <v>0</v>
      </c>
      <c r="FU101">
        <f>IF(Options!X:X,"AAAAAHPy+rA=",0)</f>
        <v>0</v>
      </c>
      <c r="FV101" t="e">
        <f>IF(Options!#REF!,"AAAAAHPy+rE=",0)</f>
        <v>#REF!</v>
      </c>
      <c r="FW101" t="e">
        <f>IF(Options!#REF!,"AAAAAHPy+rI=",0)</f>
        <v>#REF!</v>
      </c>
      <c r="FX101" t="e">
        <f>IF(Options!#REF!,"AAAAAHPy+rM=",0)</f>
        <v>#REF!</v>
      </c>
      <c r="FY101" t="e">
        <f>IF(Options!#REF!,"AAAAAHPy+rQ=",0)</f>
        <v>#REF!</v>
      </c>
      <c r="FZ101" t="e">
        <f>IF(Options!#REF!,"AAAAAHPy+rU=",0)</f>
        <v>#REF!</v>
      </c>
      <c r="GA101" t="e">
        <f>IF(Options!#REF!,"AAAAAHPy+rY=",0)</f>
        <v>#REF!</v>
      </c>
      <c r="GB101" t="e">
        <f>IF(Options!#REF!,"AAAAAHPy+rc=",0)</f>
        <v>#REF!</v>
      </c>
      <c r="GC101">
        <f>IF('Customer Service'!1:1,"AAAAAHPy+rg=",0)</f>
        <v>0</v>
      </c>
      <c r="GD101" t="e">
        <f>AND('Customer Service'!#REF!,"AAAAAHPy+rk=")</f>
        <v>#REF!</v>
      </c>
      <c r="GE101" t="e">
        <f>AND('Customer Service'!A1,"AAAAAHPy+ro=")</f>
        <v>#VALUE!</v>
      </c>
      <c r="GF101" t="e">
        <f>AND('Customer Service'!C1,"AAAAAHPy+rs=")</f>
        <v>#VALUE!</v>
      </c>
      <c r="GG101" t="e">
        <f>AND('Customer Service'!D1,"AAAAAHPy+rw=")</f>
        <v>#VALUE!</v>
      </c>
      <c r="GH101" t="e">
        <f>AND('Customer Service'!E1,"AAAAAHPy+r0=")</f>
        <v>#VALUE!</v>
      </c>
      <c r="GI101" t="e">
        <f>AND('Customer Service'!F1,"AAAAAHPy+r4=")</f>
        <v>#VALUE!</v>
      </c>
      <c r="GJ101" t="e">
        <f>AND('Customer Service'!G1,"AAAAAHPy+r8=")</f>
        <v>#VALUE!</v>
      </c>
      <c r="GK101" t="e">
        <f>AND('Customer Service'!H1,"AAAAAHPy+sA=")</f>
        <v>#VALUE!</v>
      </c>
      <c r="GL101" t="e">
        <f>AND('Customer Service'!I1,"AAAAAHPy+sE=")</f>
        <v>#VALUE!</v>
      </c>
      <c r="GM101" t="e">
        <f>AND('Customer Service'!J1,"AAAAAHPy+sI=")</f>
        <v>#VALUE!</v>
      </c>
      <c r="GN101" t="e">
        <f>AND('Customer Service'!K1,"AAAAAHPy+sM=")</f>
        <v>#VALUE!</v>
      </c>
      <c r="GO101" t="e">
        <f>AND('Customer Service'!L1,"AAAAAHPy+sQ=")</f>
        <v>#VALUE!</v>
      </c>
      <c r="GP101" t="e">
        <f>AND('Customer Service'!M1,"AAAAAHPy+sU=")</f>
        <v>#VALUE!</v>
      </c>
      <c r="GQ101" t="e">
        <f>AND('Customer Service'!N1,"AAAAAHPy+sY=")</f>
        <v>#VALUE!</v>
      </c>
      <c r="GR101" t="e">
        <f>AND('Customer Service'!O1,"AAAAAHPy+sc=")</f>
        <v>#VALUE!</v>
      </c>
      <c r="GS101" t="e">
        <f>AND('Customer Service'!P1,"AAAAAHPy+sg=")</f>
        <v>#VALUE!</v>
      </c>
      <c r="GT101" t="e">
        <f>AND('Customer Service'!Q1,"AAAAAHPy+sk=")</f>
        <v>#VALUE!</v>
      </c>
      <c r="GU101" t="e">
        <f>AND('Customer Service'!#REF!,"AAAAAHPy+so=")</f>
        <v>#REF!</v>
      </c>
      <c r="GV101" t="e">
        <f>AND('Customer Service'!#REF!,"AAAAAHPy+ss=")</f>
        <v>#REF!</v>
      </c>
      <c r="GW101" t="e">
        <f>AND('Customer Service'!#REF!,"AAAAAHPy+sw=")</f>
        <v>#REF!</v>
      </c>
      <c r="GX101" t="e">
        <f>AND('Customer Service'!R1,"AAAAAHPy+s0=")</f>
        <v>#VALUE!</v>
      </c>
      <c r="GY101">
        <f>IF('Customer Service'!2:2,"AAAAAHPy+s4=",0)</f>
        <v>0</v>
      </c>
      <c r="GZ101" t="e">
        <f>AND('Customer Service'!A2,"AAAAAHPy+s8=")</f>
        <v>#VALUE!</v>
      </c>
      <c r="HA101" t="e">
        <f>AND('Customer Service'!B2,"AAAAAHPy+tA=")</f>
        <v>#VALUE!</v>
      </c>
      <c r="HB101" t="e">
        <f>AND('Customer Service'!C2,"AAAAAHPy+tE=")</f>
        <v>#VALUE!</v>
      </c>
      <c r="HC101" t="e">
        <f>AND('Customer Service'!D2,"AAAAAHPy+tI=")</f>
        <v>#VALUE!</v>
      </c>
      <c r="HD101" t="e">
        <f>AND('Customer Service'!E2,"AAAAAHPy+tM=")</f>
        <v>#VALUE!</v>
      </c>
      <c r="HE101" t="e">
        <f>AND('Customer Service'!F2,"AAAAAHPy+tQ=")</f>
        <v>#VALUE!</v>
      </c>
      <c r="HF101" t="e">
        <f>AND('Customer Service'!G2,"AAAAAHPy+tU=")</f>
        <v>#VALUE!</v>
      </c>
      <c r="HG101" t="e">
        <f>AND('Customer Service'!H2,"AAAAAHPy+tY=")</f>
        <v>#VALUE!</v>
      </c>
      <c r="HH101" t="e">
        <f>AND('Customer Service'!I2,"AAAAAHPy+tc=")</f>
        <v>#VALUE!</v>
      </c>
      <c r="HI101" t="e">
        <f>AND('Customer Service'!J2,"AAAAAHPy+tg=")</f>
        <v>#VALUE!</v>
      </c>
      <c r="HJ101" t="e">
        <f>AND('Customer Service'!K2,"AAAAAHPy+tk=")</f>
        <v>#VALUE!</v>
      </c>
      <c r="HK101" t="e">
        <f>AND('Customer Service'!L2,"AAAAAHPy+to=")</f>
        <v>#VALUE!</v>
      </c>
      <c r="HL101" t="e">
        <f>AND('Customer Service'!M2,"AAAAAHPy+ts=")</f>
        <v>#VALUE!</v>
      </c>
      <c r="HM101" t="e">
        <f>AND('Customer Service'!N2,"AAAAAHPy+tw=")</f>
        <v>#VALUE!</v>
      </c>
      <c r="HN101" t="e">
        <f>AND('Customer Service'!O2,"AAAAAHPy+t0=")</f>
        <v>#VALUE!</v>
      </c>
      <c r="HO101" t="e">
        <f>AND('Customer Service'!P2,"AAAAAHPy+t4=")</f>
        <v>#VALUE!</v>
      </c>
      <c r="HP101" t="e">
        <f>AND('Customer Service'!Q2,"AAAAAHPy+t8=")</f>
        <v>#VALUE!</v>
      </c>
      <c r="HQ101" t="e">
        <f>AND('Customer Service'!#REF!,"AAAAAHPy+uA=")</f>
        <v>#REF!</v>
      </c>
      <c r="HR101" t="e">
        <f>AND('Customer Service'!#REF!,"AAAAAHPy+uE=")</f>
        <v>#REF!</v>
      </c>
      <c r="HS101" t="e">
        <f>AND('Customer Service'!#REF!,"AAAAAHPy+uI=")</f>
        <v>#REF!</v>
      </c>
      <c r="HT101" t="e">
        <f>AND('Customer Service'!R2,"AAAAAHPy+uM=")</f>
        <v>#VALUE!</v>
      </c>
      <c r="HU101">
        <f>IF('Customer Service'!3:3,"AAAAAHPy+uQ=",0)</f>
        <v>0</v>
      </c>
      <c r="HV101" t="e">
        <f>AND('Customer Service'!A3,"AAAAAHPy+uU=")</f>
        <v>#VALUE!</v>
      </c>
      <c r="HW101" t="e">
        <f>AND('Customer Service'!B3,"AAAAAHPy+uY=")</f>
        <v>#VALUE!</v>
      </c>
      <c r="HX101" t="e">
        <f>AND('Customer Service'!C3,"AAAAAHPy+uc=")</f>
        <v>#VALUE!</v>
      </c>
      <c r="HY101" t="e">
        <f>AND('Customer Service'!D3,"AAAAAHPy+ug=")</f>
        <v>#VALUE!</v>
      </c>
      <c r="HZ101" t="e">
        <f>AND('Customer Service'!E3,"AAAAAHPy+uk=")</f>
        <v>#VALUE!</v>
      </c>
      <c r="IA101" t="e">
        <f>AND('Customer Service'!F3,"AAAAAHPy+uo=")</f>
        <v>#VALUE!</v>
      </c>
      <c r="IB101" t="e">
        <f>AND('Customer Service'!G3,"AAAAAHPy+us=")</f>
        <v>#VALUE!</v>
      </c>
      <c r="IC101" t="e">
        <f>AND('Customer Service'!H3,"AAAAAHPy+uw=")</f>
        <v>#VALUE!</v>
      </c>
      <c r="ID101" t="e">
        <f>AND('Customer Service'!I3,"AAAAAHPy+u0=")</f>
        <v>#VALUE!</v>
      </c>
      <c r="IE101" t="e">
        <f>AND('Customer Service'!J3,"AAAAAHPy+u4=")</f>
        <v>#VALUE!</v>
      </c>
      <c r="IF101" t="e">
        <f>AND('Customer Service'!K3,"AAAAAHPy+u8=")</f>
        <v>#VALUE!</v>
      </c>
      <c r="IG101" t="e">
        <f>AND('Customer Service'!L3,"AAAAAHPy+vA=")</f>
        <v>#VALUE!</v>
      </c>
      <c r="IH101" t="e">
        <f>AND('Customer Service'!M3,"AAAAAHPy+vE=")</f>
        <v>#VALUE!</v>
      </c>
      <c r="II101" t="e">
        <f>AND('Customer Service'!N3,"AAAAAHPy+vI=")</f>
        <v>#VALUE!</v>
      </c>
      <c r="IJ101" t="e">
        <f>AND('Customer Service'!O3,"AAAAAHPy+vM=")</f>
        <v>#VALUE!</v>
      </c>
      <c r="IK101" t="e">
        <f>AND('Customer Service'!P3,"AAAAAHPy+vQ=")</f>
        <v>#VALUE!</v>
      </c>
      <c r="IL101" t="e">
        <f>AND('Customer Service'!Q3,"AAAAAHPy+vU=")</f>
        <v>#VALUE!</v>
      </c>
      <c r="IM101" t="e">
        <f>AND('Customer Service'!#REF!,"AAAAAHPy+vY=")</f>
        <v>#REF!</v>
      </c>
      <c r="IN101" t="e">
        <f>AND('Customer Service'!#REF!,"AAAAAHPy+vc=")</f>
        <v>#REF!</v>
      </c>
      <c r="IO101" t="e">
        <f>AND('Customer Service'!#REF!,"AAAAAHPy+vg=")</f>
        <v>#REF!</v>
      </c>
      <c r="IP101" t="e">
        <f>AND('Customer Service'!R3,"AAAAAHPy+vk=")</f>
        <v>#VALUE!</v>
      </c>
      <c r="IQ101" t="e">
        <f>IF('Customer Service'!#REF!,"AAAAAHPy+vo=",0)</f>
        <v>#REF!</v>
      </c>
      <c r="IR101" t="e">
        <f>AND('Customer Service'!#REF!,"AAAAAHPy+vs=")</f>
        <v>#REF!</v>
      </c>
      <c r="IS101" t="e">
        <f>AND('Customer Service'!#REF!,"AAAAAHPy+vw=")</f>
        <v>#REF!</v>
      </c>
      <c r="IT101" t="e">
        <f>AND('Customer Service'!#REF!,"AAAAAHPy+v0=")</f>
        <v>#REF!</v>
      </c>
      <c r="IU101" t="e">
        <f>AND('Customer Service'!#REF!,"AAAAAHPy+v4=")</f>
        <v>#REF!</v>
      </c>
      <c r="IV101" t="e">
        <f>AND('Customer Service'!#REF!,"AAAAAHPy+v8=")</f>
        <v>#REF!</v>
      </c>
    </row>
    <row r="102" spans="1:256" x14ac:dyDescent="0.2">
      <c r="A102" t="e">
        <f>AND('Customer Service'!#REF!,"AAAAAAt5ewA=")</f>
        <v>#REF!</v>
      </c>
      <c r="B102" t="e">
        <f>AND('Customer Service'!#REF!,"AAAAAAt5ewE=")</f>
        <v>#REF!</v>
      </c>
      <c r="C102" t="e">
        <f>AND('Customer Service'!#REF!,"AAAAAAt5ewI=")</f>
        <v>#REF!</v>
      </c>
      <c r="D102" t="e">
        <f>AND('Customer Service'!#REF!,"AAAAAAt5ewM=")</f>
        <v>#REF!</v>
      </c>
      <c r="E102" t="e">
        <f>AND('Customer Service'!#REF!,"AAAAAAt5ewQ=")</f>
        <v>#REF!</v>
      </c>
      <c r="F102" t="e">
        <f>AND('Customer Service'!#REF!,"AAAAAAt5ewU=")</f>
        <v>#REF!</v>
      </c>
      <c r="G102" t="e">
        <f>AND('Customer Service'!#REF!,"AAAAAAt5ewY=")</f>
        <v>#REF!</v>
      </c>
      <c r="H102" t="e">
        <f>AND('Customer Service'!#REF!,"AAAAAAt5ewc=")</f>
        <v>#REF!</v>
      </c>
      <c r="I102" t="e">
        <f>AND('Customer Service'!#REF!,"AAAAAAt5ewg=")</f>
        <v>#REF!</v>
      </c>
      <c r="J102" t="e">
        <f>AND('Customer Service'!#REF!,"AAAAAAt5ewk=")</f>
        <v>#REF!</v>
      </c>
      <c r="K102" t="e">
        <f>AND('Customer Service'!#REF!,"AAAAAAt5ewo=")</f>
        <v>#REF!</v>
      </c>
      <c r="L102" t="e">
        <f>AND('Customer Service'!#REF!,"AAAAAAt5ews=")</f>
        <v>#REF!</v>
      </c>
      <c r="M102" t="e">
        <f>AND('Customer Service'!#REF!,"AAAAAAt5eww=")</f>
        <v>#REF!</v>
      </c>
      <c r="N102" t="e">
        <f>AND('Customer Service'!#REF!,"AAAAAAt5ew0=")</f>
        <v>#REF!</v>
      </c>
      <c r="O102" t="e">
        <f>AND('Customer Service'!#REF!,"AAAAAAt5ew4=")</f>
        <v>#REF!</v>
      </c>
      <c r="P102" t="e">
        <f>AND('Customer Service'!#REF!,"AAAAAAt5ew8=")</f>
        <v>#REF!</v>
      </c>
      <c r="Q102" t="e">
        <f>IF('Customer Service'!#REF!,"AAAAAAt5exA=",0)</f>
        <v>#REF!</v>
      </c>
      <c r="R102" t="e">
        <f>AND('Customer Service'!#REF!,"AAAAAAt5exE=")</f>
        <v>#REF!</v>
      </c>
      <c r="S102" t="e">
        <f>AND('Customer Service'!#REF!,"AAAAAAt5exI=")</f>
        <v>#REF!</v>
      </c>
      <c r="T102" t="e">
        <f>AND('Customer Service'!#REF!,"AAAAAAt5exM=")</f>
        <v>#REF!</v>
      </c>
      <c r="U102" t="e">
        <f>AND('Customer Service'!#REF!,"AAAAAAt5exQ=")</f>
        <v>#REF!</v>
      </c>
      <c r="V102" t="e">
        <f>AND('Customer Service'!#REF!,"AAAAAAt5exU=")</f>
        <v>#REF!</v>
      </c>
      <c r="W102" t="e">
        <f>AND('Customer Service'!#REF!,"AAAAAAt5exY=")</f>
        <v>#REF!</v>
      </c>
      <c r="X102" t="e">
        <f>AND('Customer Service'!#REF!,"AAAAAAt5exc=")</f>
        <v>#REF!</v>
      </c>
      <c r="Y102" t="e">
        <f>AND('Customer Service'!#REF!,"AAAAAAt5exg=")</f>
        <v>#REF!</v>
      </c>
      <c r="Z102" t="e">
        <f>AND('Customer Service'!#REF!,"AAAAAAt5exk=")</f>
        <v>#REF!</v>
      </c>
      <c r="AA102" t="e">
        <f>AND('Customer Service'!#REF!,"AAAAAAt5exo=")</f>
        <v>#REF!</v>
      </c>
      <c r="AB102" t="e">
        <f>AND('Customer Service'!#REF!,"AAAAAAt5exs=")</f>
        <v>#REF!</v>
      </c>
      <c r="AC102" t="e">
        <f>AND('Customer Service'!#REF!,"AAAAAAt5exw=")</f>
        <v>#REF!</v>
      </c>
      <c r="AD102" t="e">
        <f>AND('Customer Service'!#REF!,"AAAAAAt5ex0=")</f>
        <v>#REF!</v>
      </c>
      <c r="AE102" t="e">
        <f>AND('Customer Service'!#REF!,"AAAAAAt5ex4=")</f>
        <v>#REF!</v>
      </c>
      <c r="AF102" t="e">
        <f>AND('Customer Service'!#REF!,"AAAAAAt5ex8=")</f>
        <v>#REF!</v>
      </c>
      <c r="AG102" t="e">
        <f>AND('Customer Service'!#REF!,"AAAAAAt5eyA=")</f>
        <v>#REF!</v>
      </c>
      <c r="AH102" t="e">
        <f>AND('Customer Service'!#REF!,"AAAAAAt5eyE=")</f>
        <v>#REF!</v>
      </c>
      <c r="AI102" t="e">
        <f>AND('Customer Service'!#REF!,"AAAAAAt5eyI=")</f>
        <v>#REF!</v>
      </c>
      <c r="AJ102" t="e">
        <f>AND('Customer Service'!#REF!,"AAAAAAt5eyM=")</f>
        <v>#REF!</v>
      </c>
      <c r="AK102" t="e">
        <f>AND('Customer Service'!#REF!,"AAAAAAt5eyQ=")</f>
        <v>#REF!</v>
      </c>
      <c r="AL102" t="e">
        <f>AND('Customer Service'!#REF!,"AAAAAAt5eyU=")</f>
        <v>#REF!</v>
      </c>
      <c r="AM102" t="e">
        <f>IF('Customer Service'!#REF!,"AAAAAAt5eyY=",0)</f>
        <v>#REF!</v>
      </c>
      <c r="AN102" t="e">
        <f>AND('Customer Service'!#REF!,"AAAAAAt5eyc=")</f>
        <v>#REF!</v>
      </c>
      <c r="AO102" t="e">
        <f>AND('Customer Service'!#REF!,"AAAAAAt5eyg=")</f>
        <v>#REF!</v>
      </c>
      <c r="AP102" t="e">
        <f>AND('Customer Service'!#REF!,"AAAAAAt5eyk=")</f>
        <v>#REF!</v>
      </c>
      <c r="AQ102" t="e">
        <f>AND('Customer Service'!#REF!,"AAAAAAt5eyo=")</f>
        <v>#REF!</v>
      </c>
      <c r="AR102" t="e">
        <f>AND('Customer Service'!#REF!,"AAAAAAt5eys=")</f>
        <v>#REF!</v>
      </c>
      <c r="AS102" t="e">
        <f>AND('Customer Service'!#REF!,"AAAAAAt5eyw=")</f>
        <v>#REF!</v>
      </c>
      <c r="AT102" t="e">
        <f>AND('Customer Service'!#REF!,"AAAAAAt5ey0=")</f>
        <v>#REF!</v>
      </c>
      <c r="AU102" t="e">
        <f>AND('Customer Service'!#REF!,"AAAAAAt5ey4=")</f>
        <v>#REF!</v>
      </c>
      <c r="AV102" t="e">
        <f>AND('Customer Service'!#REF!,"AAAAAAt5ey8=")</f>
        <v>#REF!</v>
      </c>
      <c r="AW102" t="e">
        <f>AND('Customer Service'!#REF!,"AAAAAAt5ezA=")</f>
        <v>#REF!</v>
      </c>
      <c r="AX102" t="e">
        <f>AND('Customer Service'!#REF!,"AAAAAAt5ezE=")</f>
        <v>#REF!</v>
      </c>
      <c r="AY102" t="e">
        <f>AND('Customer Service'!#REF!,"AAAAAAt5ezI=")</f>
        <v>#REF!</v>
      </c>
      <c r="AZ102" t="e">
        <f>AND('Customer Service'!#REF!,"AAAAAAt5ezM=")</f>
        <v>#REF!</v>
      </c>
      <c r="BA102" t="e">
        <f>AND('Customer Service'!#REF!,"AAAAAAt5ezQ=")</f>
        <v>#REF!</v>
      </c>
      <c r="BB102" t="e">
        <f>AND('Customer Service'!#REF!,"AAAAAAt5ezU=")</f>
        <v>#REF!</v>
      </c>
      <c r="BC102" t="e">
        <f>AND('Customer Service'!#REF!,"AAAAAAt5ezY=")</f>
        <v>#REF!</v>
      </c>
      <c r="BD102" t="e">
        <f>AND('Customer Service'!#REF!,"AAAAAAt5ezc=")</f>
        <v>#REF!</v>
      </c>
      <c r="BE102" t="e">
        <f>AND('Customer Service'!#REF!,"AAAAAAt5ezg=")</f>
        <v>#REF!</v>
      </c>
      <c r="BF102" t="e">
        <f>AND('Customer Service'!#REF!,"AAAAAAt5ezk=")</f>
        <v>#REF!</v>
      </c>
      <c r="BG102" t="e">
        <f>AND('Customer Service'!#REF!,"AAAAAAt5ezo=")</f>
        <v>#REF!</v>
      </c>
      <c r="BH102" t="e">
        <f>AND('Customer Service'!#REF!,"AAAAAAt5ezs=")</f>
        <v>#REF!</v>
      </c>
      <c r="BI102" t="e">
        <f>IF('Customer Service'!#REF!,"AAAAAAt5ezw=",0)</f>
        <v>#REF!</v>
      </c>
      <c r="BJ102" t="e">
        <f>AND('Customer Service'!#REF!,"AAAAAAt5ez0=")</f>
        <v>#REF!</v>
      </c>
      <c r="BK102" t="e">
        <f>AND('Customer Service'!#REF!,"AAAAAAt5ez4=")</f>
        <v>#REF!</v>
      </c>
      <c r="BL102" t="e">
        <f>AND('Customer Service'!#REF!,"AAAAAAt5ez8=")</f>
        <v>#REF!</v>
      </c>
      <c r="BM102" t="e">
        <f>AND('Customer Service'!#REF!,"AAAAAAt5e0A=")</f>
        <v>#REF!</v>
      </c>
      <c r="BN102" t="e">
        <f>AND('Customer Service'!#REF!,"AAAAAAt5e0E=")</f>
        <v>#REF!</v>
      </c>
      <c r="BO102" t="e">
        <f>AND('Customer Service'!#REF!,"AAAAAAt5e0I=")</f>
        <v>#REF!</v>
      </c>
      <c r="BP102" t="e">
        <f>AND('Customer Service'!#REF!,"AAAAAAt5e0M=")</f>
        <v>#REF!</v>
      </c>
      <c r="BQ102" t="e">
        <f>AND('Customer Service'!#REF!,"AAAAAAt5e0Q=")</f>
        <v>#REF!</v>
      </c>
      <c r="BR102" t="e">
        <f>AND('Customer Service'!#REF!,"AAAAAAt5e0U=")</f>
        <v>#REF!</v>
      </c>
      <c r="BS102" t="e">
        <f>AND('Customer Service'!#REF!,"AAAAAAt5e0Y=")</f>
        <v>#REF!</v>
      </c>
      <c r="BT102" t="e">
        <f>AND('Customer Service'!#REF!,"AAAAAAt5e0c=")</f>
        <v>#REF!</v>
      </c>
      <c r="BU102" t="e">
        <f>AND('Customer Service'!#REF!,"AAAAAAt5e0g=")</f>
        <v>#REF!</v>
      </c>
      <c r="BV102" t="e">
        <f>AND('Customer Service'!#REF!,"AAAAAAt5e0k=")</f>
        <v>#REF!</v>
      </c>
      <c r="BW102" t="e">
        <f>AND('Customer Service'!#REF!,"AAAAAAt5e0o=")</f>
        <v>#REF!</v>
      </c>
      <c r="BX102" t="e">
        <f>AND('Customer Service'!#REF!,"AAAAAAt5e0s=")</f>
        <v>#REF!</v>
      </c>
      <c r="BY102" t="e">
        <f>AND('Customer Service'!#REF!,"AAAAAAt5e0w=")</f>
        <v>#REF!</v>
      </c>
      <c r="BZ102" t="e">
        <f>AND('Customer Service'!#REF!,"AAAAAAt5e00=")</f>
        <v>#REF!</v>
      </c>
      <c r="CA102" t="e">
        <f>AND('Customer Service'!#REF!,"AAAAAAt5e04=")</f>
        <v>#REF!</v>
      </c>
      <c r="CB102" t="e">
        <f>AND('Customer Service'!#REF!,"AAAAAAt5e08=")</f>
        <v>#REF!</v>
      </c>
      <c r="CC102" t="e">
        <f>AND('Customer Service'!#REF!,"AAAAAAt5e1A=")</f>
        <v>#REF!</v>
      </c>
      <c r="CD102" t="e">
        <f>AND('Customer Service'!#REF!,"AAAAAAt5e1E=")</f>
        <v>#REF!</v>
      </c>
      <c r="CE102" t="e">
        <f>IF('Customer Service'!#REF!,"AAAAAAt5e1I=",0)</f>
        <v>#REF!</v>
      </c>
      <c r="CF102" t="e">
        <f>AND('Customer Service'!#REF!,"AAAAAAt5e1M=")</f>
        <v>#REF!</v>
      </c>
      <c r="CG102" t="e">
        <f>AND('Customer Service'!#REF!,"AAAAAAt5e1Q=")</f>
        <v>#REF!</v>
      </c>
      <c r="CH102" t="e">
        <f>AND('Customer Service'!#REF!,"AAAAAAt5e1U=")</f>
        <v>#REF!</v>
      </c>
      <c r="CI102" t="e">
        <f>AND('Customer Service'!#REF!,"AAAAAAt5e1Y=")</f>
        <v>#REF!</v>
      </c>
      <c r="CJ102" t="e">
        <f>AND('Customer Service'!#REF!,"AAAAAAt5e1c=")</f>
        <v>#REF!</v>
      </c>
      <c r="CK102" t="e">
        <f>AND('Customer Service'!#REF!,"AAAAAAt5e1g=")</f>
        <v>#REF!</v>
      </c>
      <c r="CL102" t="e">
        <f>AND('Customer Service'!#REF!,"AAAAAAt5e1k=")</f>
        <v>#REF!</v>
      </c>
      <c r="CM102" t="e">
        <f>AND('Customer Service'!#REF!,"AAAAAAt5e1o=")</f>
        <v>#REF!</v>
      </c>
      <c r="CN102" t="e">
        <f>AND('Customer Service'!#REF!,"AAAAAAt5e1s=")</f>
        <v>#REF!</v>
      </c>
      <c r="CO102" t="e">
        <f>AND('Customer Service'!#REF!,"AAAAAAt5e1w=")</f>
        <v>#REF!</v>
      </c>
      <c r="CP102" t="e">
        <f>AND('Customer Service'!#REF!,"AAAAAAt5e10=")</f>
        <v>#REF!</v>
      </c>
      <c r="CQ102" t="e">
        <f>AND('Customer Service'!#REF!,"AAAAAAt5e14=")</f>
        <v>#REF!</v>
      </c>
      <c r="CR102" t="e">
        <f>AND('Customer Service'!#REF!,"AAAAAAt5e18=")</f>
        <v>#REF!</v>
      </c>
      <c r="CS102" t="e">
        <f>AND('Customer Service'!#REF!,"AAAAAAt5e2A=")</f>
        <v>#REF!</v>
      </c>
      <c r="CT102" t="e">
        <f>AND('Customer Service'!#REF!,"AAAAAAt5e2E=")</f>
        <v>#REF!</v>
      </c>
      <c r="CU102" t="e">
        <f>AND('Customer Service'!#REF!,"AAAAAAt5e2I=")</f>
        <v>#REF!</v>
      </c>
      <c r="CV102" t="e">
        <f>AND('Customer Service'!#REF!,"AAAAAAt5e2M=")</f>
        <v>#REF!</v>
      </c>
      <c r="CW102" t="e">
        <f>AND('Customer Service'!#REF!,"AAAAAAt5e2Q=")</f>
        <v>#REF!</v>
      </c>
      <c r="CX102" t="e">
        <f>AND('Customer Service'!#REF!,"AAAAAAt5e2U=")</f>
        <v>#REF!</v>
      </c>
      <c r="CY102" t="e">
        <f>AND('Customer Service'!#REF!,"AAAAAAt5e2Y=")</f>
        <v>#REF!</v>
      </c>
      <c r="CZ102" t="e">
        <f>AND('Customer Service'!#REF!,"AAAAAAt5e2c=")</f>
        <v>#REF!</v>
      </c>
      <c r="DA102" t="e">
        <f>IF('Customer Service'!#REF!,"AAAAAAt5e2g=",0)</f>
        <v>#REF!</v>
      </c>
      <c r="DB102" t="e">
        <f>AND('Customer Service'!#REF!,"AAAAAAt5e2k=")</f>
        <v>#REF!</v>
      </c>
      <c r="DC102" t="e">
        <f>AND('Customer Service'!#REF!,"AAAAAAt5e2o=")</f>
        <v>#REF!</v>
      </c>
      <c r="DD102" t="e">
        <f>AND('Customer Service'!#REF!,"AAAAAAt5e2s=")</f>
        <v>#REF!</v>
      </c>
      <c r="DE102" t="e">
        <f>AND('Customer Service'!#REF!,"AAAAAAt5e2w=")</f>
        <v>#REF!</v>
      </c>
      <c r="DF102" t="e">
        <f>AND('Customer Service'!#REF!,"AAAAAAt5e20=")</f>
        <v>#REF!</v>
      </c>
      <c r="DG102" t="e">
        <f>AND('Customer Service'!#REF!,"AAAAAAt5e24=")</f>
        <v>#REF!</v>
      </c>
      <c r="DH102" t="e">
        <f>AND('Customer Service'!#REF!,"AAAAAAt5e28=")</f>
        <v>#REF!</v>
      </c>
      <c r="DI102" t="e">
        <f>AND('Customer Service'!#REF!,"AAAAAAt5e3A=")</f>
        <v>#REF!</v>
      </c>
      <c r="DJ102" t="e">
        <f>AND('Customer Service'!#REF!,"AAAAAAt5e3E=")</f>
        <v>#REF!</v>
      </c>
      <c r="DK102" t="e">
        <f>AND('Customer Service'!#REF!,"AAAAAAt5e3I=")</f>
        <v>#REF!</v>
      </c>
      <c r="DL102" t="e">
        <f>AND('Customer Service'!#REF!,"AAAAAAt5e3M=")</f>
        <v>#REF!</v>
      </c>
      <c r="DM102" t="e">
        <f>AND('Customer Service'!#REF!,"AAAAAAt5e3Q=")</f>
        <v>#REF!</v>
      </c>
      <c r="DN102" t="e">
        <f>AND('Customer Service'!#REF!,"AAAAAAt5e3U=")</f>
        <v>#REF!</v>
      </c>
      <c r="DO102" t="e">
        <f>AND('Customer Service'!#REF!,"AAAAAAt5e3Y=")</f>
        <v>#REF!</v>
      </c>
      <c r="DP102" t="e">
        <f>AND('Customer Service'!#REF!,"AAAAAAt5e3c=")</f>
        <v>#REF!</v>
      </c>
      <c r="DQ102" t="e">
        <f>AND('Customer Service'!#REF!,"AAAAAAt5e3g=")</f>
        <v>#REF!</v>
      </c>
      <c r="DR102" t="e">
        <f>AND('Customer Service'!#REF!,"AAAAAAt5e3k=")</f>
        <v>#REF!</v>
      </c>
      <c r="DS102" t="e">
        <f>AND('Customer Service'!#REF!,"AAAAAAt5e3o=")</f>
        <v>#REF!</v>
      </c>
      <c r="DT102" t="e">
        <f>AND('Customer Service'!#REF!,"AAAAAAt5e3s=")</f>
        <v>#REF!</v>
      </c>
      <c r="DU102" t="e">
        <f>AND('Customer Service'!#REF!,"AAAAAAt5e3w=")</f>
        <v>#REF!</v>
      </c>
      <c r="DV102" t="e">
        <f>AND('Customer Service'!#REF!,"AAAAAAt5e30=")</f>
        <v>#REF!</v>
      </c>
      <c r="DW102" t="e">
        <f>IF('Customer Service'!#REF!,"AAAAAAt5e34=",0)</f>
        <v>#REF!</v>
      </c>
      <c r="DX102" t="e">
        <f>AND('Customer Service'!#REF!,"AAAAAAt5e38=")</f>
        <v>#REF!</v>
      </c>
      <c r="DY102" t="e">
        <f>AND('Customer Service'!#REF!,"AAAAAAt5e4A=")</f>
        <v>#REF!</v>
      </c>
      <c r="DZ102" t="e">
        <f>AND('Customer Service'!#REF!,"AAAAAAt5e4E=")</f>
        <v>#REF!</v>
      </c>
      <c r="EA102" t="e">
        <f>AND('Customer Service'!#REF!,"AAAAAAt5e4I=")</f>
        <v>#REF!</v>
      </c>
      <c r="EB102" t="e">
        <f>AND('Customer Service'!#REF!,"AAAAAAt5e4M=")</f>
        <v>#REF!</v>
      </c>
      <c r="EC102" t="e">
        <f>AND('Customer Service'!#REF!,"AAAAAAt5e4Q=")</f>
        <v>#REF!</v>
      </c>
      <c r="ED102" t="e">
        <f>AND('Customer Service'!#REF!,"AAAAAAt5e4U=")</f>
        <v>#REF!</v>
      </c>
      <c r="EE102" t="e">
        <f>AND('Customer Service'!#REF!,"AAAAAAt5e4Y=")</f>
        <v>#REF!</v>
      </c>
      <c r="EF102" t="e">
        <f>AND('Customer Service'!#REF!,"AAAAAAt5e4c=")</f>
        <v>#REF!</v>
      </c>
      <c r="EG102" t="e">
        <f>AND('Customer Service'!#REF!,"AAAAAAt5e4g=")</f>
        <v>#REF!</v>
      </c>
      <c r="EH102" t="e">
        <f>AND('Customer Service'!#REF!,"AAAAAAt5e4k=")</f>
        <v>#REF!</v>
      </c>
      <c r="EI102" t="e">
        <f>AND('Customer Service'!#REF!,"AAAAAAt5e4o=")</f>
        <v>#REF!</v>
      </c>
      <c r="EJ102" t="e">
        <f>AND('Customer Service'!#REF!,"AAAAAAt5e4s=")</f>
        <v>#REF!</v>
      </c>
      <c r="EK102" t="e">
        <f>AND('Customer Service'!#REF!,"AAAAAAt5e4w=")</f>
        <v>#REF!</v>
      </c>
      <c r="EL102" t="e">
        <f>AND('Customer Service'!#REF!,"AAAAAAt5e40=")</f>
        <v>#REF!</v>
      </c>
      <c r="EM102" t="e">
        <f>AND('Customer Service'!#REF!,"AAAAAAt5e44=")</f>
        <v>#REF!</v>
      </c>
      <c r="EN102" t="e">
        <f>AND('Customer Service'!#REF!,"AAAAAAt5e48=")</f>
        <v>#REF!</v>
      </c>
      <c r="EO102" t="e">
        <f>AND('Customer Service'!#REF!,"AAAAAAt5e5A=")</f>
        <v>#REF!</v>
      </c>
      <c r="EP102" t="e">
        <f>AND('Customer Service'!#REF!,"AAAAAAt5e5E=")</f>
        <v>#REF!</v>
      </c>
      <c r="EQ102" t="e">
        <f>AND('Customer Service'!#REF!,"AAAAAAt5e5I=")</f>
        <v>#REF!</v>
      </c>
      <c r="ER102" t="e">
        <f>AND('Customer Service'!#REF!,"AAAAAAt5e5M=")</f>
        <v>#REF!</v>
      </c>
      <c r="ES102" t="e">
        <f>IF('Customer Service'!#REF!,"AAAAAAt5e5Q=",0)</f>
        <v>#REF!</v>
      </c>
      <c r="ET102" t="e">
        <f>AND('Customer Service'!#REF!,"AAAAAAt5e5U=")</f>
        <v>#REF!</v>
      </c>
      <c r="EU102" t="e">
        <f>AND('Customer Service'!#REF!,"AAAAAAt5e5Y=")</f>
        <v>#REF!</v>
      </c>
      <c r="EV102" t="e">
        <f>AND('Customer Service'!#REF!,"AAAAAAt5e5c=")</f>
        <v>#REF!</v>
      </c>
      <c r="EW102" t="e">
        <f>AND('Customer Service'!#REF!,"AAAAAAt5e5g=")</f>
        <v>#REF!</v>
      </c>
      <c r="EX102" t="e">
        <f>AND('Customer Service'!#REF!,"AAAAAAt5e5k=")</f>
        <v>#REF!</v>
      </c>
      <c r="EY102" t="e">
        <f>AND('Customer Service'!#REF!,"AAAAAAt5e5o=")</f>
        <v>#REF!</v>
      </c>
      <c r="EZ102" t="e">
        <f>AND('Customer Service'!#REF!,"AAAAAAt5e5s=")</f>
        <v>#REF!</v>
      </c>
      <c r="FA102" t="e">
        <f>AND('Customer Service'!#REF!,"AAAAAAt5e5w=")</f>
        <v>#REF!</v>
      </c>
      <c r="FB102" t="e">
        <f>AND('Customer Service'!#REF!,"AAAAAAt5e50=")</f>
        <v>#REF!</v>
      </c>
      <c r="FC102" t="e">
        <f>AND('Customer Service'!#REF!,"AAAAAAt5e54=")</f>
        <v>#REF!</v>
      </c>
      <c r="FD102" t="e">
        <f>AND('Customer Service'!#REF!,"AAAAAAt5e58=")</f>
        <v>#REF!</v>
      </c>
      <c r="FE102" t="e">
        <f>AND('Customer Service'!#REF!,"AAAAAAt5e6A=")</f>
        <v>#REF!</v>
      </c>
      <c r="FF102" t="e">
        <f>AND('Customer Service'!#REF!,"AAAAAAt5e6E=")</f>
        <v>#REF!</v>
      </c>
      <c r="FG102" t="e">
        <f>AND('Customer Service'!#REF!,"AAAAAAt5e6I=")</f>
        <v>#REF!</v>
      </c>
      <c r="FH102" t="e">
        <f>AND('Customer Service'!#REF!,"AAAAAAt5e6M=")</f>
        <v>#REF!</v>
      </c>
      <c r="FI102" t="e">
        <f>AND('Customer Service'!#REF!,"AAAAAAt5e6Q=")</f>
        <v>#REF!</v>
      </c>
      <c r="FJ102" t="e">
        <f>AND('Customer Service'!#REF!,"AAAAAAt5e6U=")</f>
        <v>#REF!</v>
      </c>
      <c r="FK102" t="e">
        <f>AND('Customer Service'!#REF!,"AAAAAAt5e6Y=")</f>
        <v>#REF!</v>
      </c>
      <c r="FL102" t="e">
        <f>AND('Customer Service'!#REF!,"AAAAAAt5e6c=")</f>
        <v>#REF!</v>
      </c>
      <c r="FM102" t="e">
        <f>AND('Customer Service'!#REF!,"AAAAAAt5e6g=")</f>
        <v>#REF!</v>
      </c>
      <c r="FN102" t="e">
        <f>AND('Customer Service'!#REF!,"AAAAAAt5e6k=")</f>
        <v>#REF!</v>
      </c>
      <c r="FO102" t="e">
        <f>IF('Customer Service'!#REF!,"AAAAAAt5e6o=",0)</f>
        <v>#REF!</v>
      </c>
      <c r="FP102" t="e">
        <f>AND('Customer Service'!#REF!,"AAAAAAt5e6s=")</f>
        <v>#REF!</v>
      </c>
      <c r="FQ102" t="e">
        <f>AND('Customer Service'!#REF!,"AAAAAAt5e6w=")</f>
        <v>#REF!</v>
      </c>
      <c r="FR102" t="e">
        <f>AND('Customer Service'!#REF!,"AAAAAAt5e60=")</f>
        <v>#REF!</v>
      </c>
      <c r="FS102" t="e">
        <f>AND('Customer Service'!#REF!,"AAAAAAt5e64=")</f>
        <v>#REF!</v>
      </c>
      <c r="FT102" t="e">
        <f>AND('Customer Service'!#REF!,"AAAAAAt5e68=")</f>
        <v>#REF!</v>
      </c>
      <c r="FU102" t="e">
        <f>AND('Customer Service'!#REF!,"AAAAAAt5e7A=")</f>
        <v>#REF!</v>
      </c>
      <c r="FV102" t="e">
        <f>AND('Customer Service'!#REF!,"AAAAAAt5e7E=")</f>
        <v>#REF!</v>
      </c>
      <c r="FW102" t="e">
        <f>AND('Customer Service'!#REF!,"AAAAAAt5e7I=")</f>
        <v>#REF!</v>
      </c>
      <c r="FX102" t="e">
        <f>AND('Customer Service'!#REF!,"AAAAAAt5e7M=")</f>
        <v>#REF!</v>
      </c>
      <c r="FY102" t="e">
        <f>AND('Customer Service'!#REF!,"AAAAAAt5e7Q=")</f>
        <v>#REF!</v>
      </c>
      <c r="FZ102" t="e">
        <f>AND('Customer Service'!#REF!,"AAAAAAt5e7U=")</f>
        <v>#REF!</v>
      </c>
      <c r="GA102" t="e">
        <f>AND('Customer Service'!#REF!,"AAAAAAt5e7Y=")</f>
        <v>#REF!</v>
      </c>
      <c r="GB102" t="e">
        <f>AND('Customer Service'!#REF!,"AAAAAAt5e7c=")</f>
        <v>#REF!</v>
      </c>
      <c r="GC102" t="e">
        <f>AND('Customer Service'!#REF!,"AAAAAAt5e7g=")</f>
        <v>#REF!</v>
      </c>
      <c r="GD102" t="e">
        <f>AND('Customer Service'!#REF!,"AAAAAAt5e7k=")</f>
        <v>#REF!</v>
      </c>
      <c r="GE102" t="e">
        <f>AND('Customer Service'!#REF!,"AAAAAAt5e7o=")</f>
        <v>#REF!</v>
      </c>
      <c r="GF102" t="e">
        <f>AND('Customer Service'!#REF!,"AAAAAAt5e7s=")</f>
        <v>#REF!</v>
      </c>
      <c r="GG102" t="e">
        <f>AND('Customer Service'!#REF!,"AAAAAAt5e7w=")</f>
        <v>#REF!</v>
      </c>
      <c r="GH102" t="e">
        <f>AND('Customer Service'!#REF!,"AAAAAAt5e70=")</f>
        <v>#REF!</v>
      </c>
      <c r="GI102" t="e">
        <f>AND('Customer Service'!#REF!,"AAAAAAt5e74=")</f>
        <v>#REF!</v>
      </c>
      <c r="GJ102" t="e">
        <f>AND('Customer Service'!#REF!,"AAAAAAt5e78=")</f>
        <v>#REF!</v>
      </c>
      <c r="GK102" t="e">
        <f>IF('Customer Service'!#REF!,"AAAAAAt5e8A=",0)</f>
        <v>#REF!</v>
      </c>
      <c r="GL102" t="e">
        <f>AND('Customer Service'!#REF!,"AAAAAAt5e8E=")</f>
        <v>#REF!</v>
      </c>
      <c r="GM102" t="e">
        <f>AND('Customer Service'!#REF!,"AAAAAAt5e8I=")</f>
        <v>#REF!</v>
      </c>
      <c r="GN102" t="e">
        <f>AND('Customer Service'!#REF!,"AAAAAAt5e8M=")</f>
        <v>#REF!</v>
      </c>
      <c r="GO102" t="e">
        <f>AND('Customer Service'!#REF!,"AAAAAAt5e8Q=")</f>
        <v>#REF!</v>
      </c>
      <c r="GP102" t="e">
        <f>AND('Customer Service'!#REF!,"AAAAAAt5e8U=")</f>
        <v>#REF!</v>
      </c>
      <c r="GQ102" t="e">
        <f>AND('Customer Service'!#REF!,"AAAAAAt5e8Y=")</f>
        <v>#REF!</v>
      </c>
      <c r="GR102" t="e">
        <f>AND('Customer Service'!#REF!,"AAAAAAt5e8c=")</f>
        <v>#REF!</v>
      </c>
      <c r="GS102" t="e">
        <f>AND('Customer Service'!#REF!,"AAAAAAt5e8g=")</f>
        <v>#REF!</v>
      </c>
      <c r="GT102" t="e">
        <f>AND('Customer Service'!#REF!,"AAAAAAt5e8k=")</f>
        <v>#REF!</v>
      </c>
      <c r="GU102" t="e">
        <f>AND('Customer Service'!#REF!,"AAAAAAt5e8o=")</f>
        <v>#REF!</v>
      </c>
      <c r="GV102" t="e">
        <f>AND('Customer Service'!#REF!,"AAAAAAt5e8s=")</f>
        <v>#REF!</v>
      </c>
      <c r="GW102" t="e">
        <f>AND('Customer Service'!#REF!,"AAAAAAt5e8w=")</f>
        <v>#REF!</v>
      </c>
      <c r="GX102" t="e">
        <f>AND('Customer Service'!#REF!,"AAAAAAt5e80=")</f>
        <v>#REF!</v>
      </c>
      <c r="GY102" t="e">
        <f>AND('Customer Service'!#REF!,"AAAAAAt5e84=")</f>
        <v>#REF!</v>
      </c>
      <c r="GZ102" t="e">
        <f>AND('Customer Service'!#REF!,"AAAAAAt5e88=")</f>
        <v>#REF!</v>
      </c>
      <c r="HA102" t="e">
        <f>AND('Customer Service'!#REF!,"AAAAAAt5e9A=")</f>
        <v>#REF!</v>
      </c>
      <c r="HB102" t="e">
        <f>AND('Customer Service'!#REF!,"AAAAAAt5e9E=")</f>
        <v>#REF!</v>
      </c>
      <c r="HC102" t="e">
        <f>AND('Customer Service'!#REF!,"AAAAAAt5e9I=")</f>
        <v>#REF!</v>
      </c>
      <c r="HD102" t="e">
        <f>AND('Customer Service'!#REF!,"AAAAAAt5e9M=")</f>
        <v>#REF!</v>
      </c>
      <c r="HE102" t="e">
        <f>AND('Customer Service'!#REF!,"AAAAAAt5e9Q=")</f>
        <v>#REF!</v>
      </c>
      <c r="HF102" t="e">
        <f>AND('Customer Service'!#REF!,"AAAAAAt5e9U=")</f>
        <v>#REF!</v>
      </c>
      <c r="HG102">
        <f>IF('Customer Service'!A:A,"AAAAAAt5e9Y=",0)</f>
        <v>0</v>
      </c>
      <c r="HH102">
        <f>IF('Customer Service'!B:B,"AAAAAAt5e9c=",0)</f>
        <v>0</v>
      </c>
      <c r="HI102">
        <f>IF('Customer Service'!C:C,"AAAAAAt5e9g=",0)</f>
        <v>0</v>
      </c>
      <c r="HJ102">
        <f>IF('Customer Service'!D:D,"AAAAAAt5e9k=",0)</f>
        <v>0</v>
      </c>
      <c r="HK102">
        <f>IF('Customer Service'!E:E,"AAAAAAt5e9o=",0)</f>
        <v>0</v>
      </c>
      <c r="HL102">
        <f>IF('Customer Service'!F:F,"AAAAAAt5e9s=",0)</f>
        <v>0</v>
      </c>
      <c r="HM102">
        <f>IF('Customer Service'!G:G,"AAAAAAt5e9w=",0)</f>
        <v>0</v>
      </c>
      <c r="HN102">
        <f>IF('Customer Service'!H:H,"AAAAAAt5e90=",0)</f>
        <v>0</v>
      </c>
      <c r="HO102">
        <f>IF('Customer Service'!I:I,"AAAAAAt5e94=",0)</f>
        <v>0</v>
      </c>
      <c r="HP102">
        <f>IF('Customer Service'!J:J,"AAAAAAt5e98=",0)</f>
        <v>0</v>
      </c>
      <c r="HQ102">
        <f>IF('Customer Service'!K:K,"AAAAAAt5e+A=",0)</f>
        <v>0</v>
      </c>
      <c r="HR102">
        <f>IF('Customer Service'!L:L,"AAAAAAt5e+E=",0)</f>
        <v>0</v>
      </c>
      <c r="HS102">
        <f>IF('Customer Service'!M:M,"AAAAAAt5e+I=",0)</f>
        <v>0</v>
      </c>
      <c r="HT102">
        <f>IF('Customer Service'!N:N,"AAAAAAt5e+M=",0)</f>
        <v>0</v>
      </c>
      <c r="HU102">
        <f>IF('Customer Service'!O:O,"AAAAAAt5e+Q=",0)</f>
        <v>0</v>
      </c>
      <c r="HV102">
        <f>IF('Customer Service'!P:P,"AAAAAAt5e+U=",0)</f>
        <v>0</v>
      </c>
      <c r="HW102">
        <f>IF('Customer Service'!Q:Q,"AAAAAAt5e+Y=",0)</f>
        <v>0</v>
      </c>
      <c r="HX102" t="e">
        <f>IF('Customer Service'!#REF!,"AAAAAAt5e+c=",0)</f>
        <v>#REF!</v>
      </c>
      <c r="HY102" t="e">
        <f>IF('Customer Service'!#REF!,"AAAAAAt5e+g=",0)</f>
        <v>#REF!</v>
      </c>
      <c r="HZ102" t="e">
        <f>IF('Customer Service'!#REF!,"AAAAAAt5e+k=",0)</f>
        <v>#REF!</v>
      </c>
      <c r="IA102">
        <f>IF('Customer Service'!R:R,"AAAAAAt5e+o=",0)</f>
        <v>0</v>
      </c>
      <c r="IB102">
        <f>IF('Data Control'!1:1,"AAAAAAt5e+s=",0)</f>
        <v>0</v>
      </c>
      <c r="IC102" t="e">
        <f>AND('Data Control'!#REF!,"AAAAAAt5e+w=")</f>
        <v>#REF!</v>
      </c>
      <c r="ID102" t="e">
        <f>AND('Data Control'!A1,"AAAAAAt5e+0=")</f>
        <v>#VALUE!</v>
      </c>
      <c r="IE102" t="e">
        <f>AND('Data Control'!B1,"AAAAAAt5e+4=")</f>
        <v>#VALUE!</v>
      </c>
      <c r="IF102" t="e">
        <f>AND('Data Control'!C1,"AAAAAAt5e+8=")</f>
        <v>#VALUE!</v>
      </c>
      <c r="IG102" t="e">
        <f>AND('Data Control'!D1,"AAAAAAt5e/A=")</f>
        <v>#VALUE!</v>
      </c>
      <c r="IH102" t="e">
        <f>AND('Data Control'!E1,"AAAAAAt5e/E=")</f>
        <v>#VALUE!</v>
      </c>
      <c r="II102" t="e">
        <f>AND('Data Control'!F1,"AAAAAAt5e/I=")</f>
        <v>#VALUE!</v>
      </c>
      <c r="IJ102" t="e">
        <f>AND('Data Control'!G1,"AAAAAAt5e/M=")</f>
        <v>#VALUE!</v>
      </c>
      <c r="IK102" t="e">
        <f>AND('Data Control'!H1,"AAAAAAt5e/Q=")</f>
        <v>#VALUE!</v>
      </c>
      <c r="IL102" t="e">
        <f>AND('Data Control'!I1,"AAAAAAt5e/U=")</f>
        <v>#VALUE!</v>
      </c>
      <c r="IM102" t="e">
        <f>AND('Data Control'!J1,"AAAAAAt5e/Y=")</f>
        <v>#VALUE!</v>
      </c>
      <c r="IN102" t="e">
        <f>AND('Data Control'!K1,"AAAAAAt5e/c=")</f>
        <v>#VALUE!</v>
      </c>
      <c r="IO102" t="e">
        <f>AND('Data Control'!L1,"AAAAAAt5e/g=")</f>
        <v>#VALUE!</v>
      </c>
      <c r="IP102">
        <f>IF('Data Control'!2:2,"AAAAAAt5e/k=",0)</f>
        <v>0</v>
      </c>
      <c r="IQ102" t="e">
        <f>AND('Data Control'!A2,"AAAAAAt5e/o=")</f>
        <v>#VALUE!</v>
      </c>
      <c r="IR102" t="e">
        <f>AND('Data Control'!B2,"AAAAAAt5e/s=")</f>
        <v>#VALUE!</v>
      </c>
      <c r="IS102" t="e">
        <f>AND('Data Control'!C2,"AAAAAAt5e/w=")</f>
        <v>#VALUE!</v>
      </c>
      <c r="IT102" t="e">
        <f>AND('Data Control'!D2,"AAAAAAt5e/0=")</f>
        <v>#VALUE!</v>
      </c>
      <c r="IU102" t="e">
        <f>AND('Data Control'!E2,"AAAAAAt5e/4=")</f>
        <v>#VALUE!</v>
      </c>
      <c r="IV102" t="e">
        <f>AND('Data Control'!F2,"AAAAAAt5e/8=")</f>
        <v>#VALUE!</v>
      </c>
    </row>
    <row r="103" spans="1:256" x14ac:dyDescent="0.2">
      <c r="A103" t="e">
        <f>AND('Data Control'!G2,"AAAAAHtPdwA=")</f>
        <v>#VALUE!</v>
      </c>
      <c r="B103" t="e">
        <f>AND('Data Control'!H2,"AAAAAHtPdwE=")</f>
        <v>#VALUE!</v>
      </c>
      <c r="C103" t="e">
        <f>AND('Data Control'!I2,"AAAAAHtPdwI=")</f>
        <v>#VALUE!</v>
      </c>
      <c r="D103" t="e">
        <f>AND('Data Control'!J2,"AAAAAHtPdwM=")</f>
        <v>#VALUE!</v>
      </c>
      <c r="E103" t="e">
        <f>AND('Data Control'!K2,"AAAAAHtPdwQ=")</f>
        <v>#VALUE!</v>
      </c>
      <c r="F103" t="e">
        <f>AND('Data Control'!L2,"AAAAAHtPdwU=")</f>
        <v>#VALUE!</v>
      </c>
      <c r="G103" t="e">
        <f>AND('Data Control'!M2,"AAAAAHtPdwY=")</f>
        <v>#VALUE!</v>
      </c>
      <c r="H103">
        <f>IF('Data Control'!3:3,"AAAAAHtPdwc=",0)</f>
        <v>0</v>
      </c>
      <c r="I103" t="e">
        <f>AND('Data Control'!A3,"AAAAAHtPdwg=")</f>
        <v>#VALUE!</v>
      </c>
      <c r="J103" t="e">
        <f>AND('Data Control'!B3,"AAAAAHtPdwk=")</f>
        <v>#VALUE!</v>
      </c>
      <c r="K103" t="e">
        <f>AND('Data Control'!C3,"AAAAAHtPdwo=")</f>
        <v>#VALUE!</v>
      </c>
      <c r="L103" t="e">
        <f>AND('Data Control'!D3,"AAAAAHtPdws=")</f>
        <v>#VALUE!</v>
      </c>
      <c r="M103" t="e">
        <f>AND('Data Control'!E3,"AAAAAHtPdww=")</f>
        <v>#VALUE!</v>
      </c>
      <c r="N103" t="e">
        <f>AND('Data Control'!F3,"AAAAAHtPdw0=")</f>
        <v>#VALUE!</v>
      </c>
      <c r="O103" t="e">
        <f>AND('Data Control'!G3,"AAAAAHtPdw4=")</f>
        <v>#VALUE!</v>
      </c>
      <c r="P103" t="e">
        <f>AND('Data Control'!H3,"AAAAAHtPdw8=")</f>
        <v>#VALUE!</v>
      </c>
      <c r="Q103" t="e">
        <f>AND('Data Control'!I3,"AAAAAHtPdxA=")</f>
        <v>#VALUE!</v>
      </c>
      <c r="R103" t="e">
        <f>AND('Data Control'!J3,"AAAAAHtPdxE=")</f>
        <v>#VALUE!</v>
      </c>
      <c r="S103" t="e">
        <f>AND('Data Control'!K3,"AAAAAHtPdxI=")</f>
        <v>#VALUE!</v>
      </c>
      <c r="T103" t="e">
        <f>AND('Data Control'!L3,"AAAAAHtPdxM=")</f>
        <v>#VALUE!</v>
      </c>
      <c r="U103" t="e">
        <f>AND('Data Control'!M3,"AAAAAHtPdxQ=")</f>
        <v>#VALUE!</v>
      </c>
      <c r="V103">
        <f>IF('Data Control'!6:6,"AAAAAHtPdxU=",0)</f>
        <v>0</v>
      </c>
      <c r="W103" t="e">
        <f>AND('Data Control'!A6,"AAAAAHtPdxY=")</f>
        <v>#VALUE!</v>
      </c>
      <c r="X103" t="e">
        <f>AND('Data Control'!B6,"AAAAAHtPdxc=")</f>
        <v>#VALUE!</v>
      </c>
      <c r="Y103" t="e">
        <f>AND('Data Control'!C6,"AAAAAHtPdxg=")</f>
        <v>#VALUE!</v>
      </c>
      <c r="Z103" t="e">
        <f>AND('Data Control'!D6,"AAAAAHtPdxk=")</f>
        <v>#VALUE!</v>
      </c>
      <c r="AA103" t="e">
        <f>AND('Data Control'!E6,"AAAAAHtPdxo=")</f>
        <v>#VALUE!</v>
      </c>
      <c r="AB103" t="e">
        <f>AND('Data Control'!F6,"AAAAAHtPdxs=")</f>
        <v>#VALUE!</v>
      </c>
      <c r="AC103" t="e">
        <f>AND('Data Control'!G6,"AAAAAHtPdxw=")</f>
        <v>#VALUE!</v>
      </c>
      <c r="AD103" t="e">
        <f>AND('Data Control'!H6,"AAAAAHtPdx0=")</f>
        <v>#VALUE!</v>
      </c>
      <c r="AE103" t="e">
        <f>AND('Data Control'!I6,"AAAAAHtPdx4=")</f>
        <v>#VALUE!</v>
      </c>
      <c r="AF103" t="e">
        <f>AND('Data Control'!J6,"AAAAAHtPdx8=")</f>
        <v>#VALUE!</v>
      </c>
      <c r="AG103" t="e">
        <f>AND('Data Control'!K6,"AAAAAHtPdyA=")</f>
        <v>#VALUE!</v>
      </c>
      <c r="AH103" t="e">
        <f>AND('Data Control'!L6,"AAAAAHtPdyE=")</f>
        <v>#VALUE!</v>
      </c>
      <c r="AI103" t="e">
        <f>AND('Data Control'!M6,"AAAAAHtPdyI=")</f>
        <v>#VALUE!</v>
      </c>
      <c r="AJ103">
        <f>IF('Data Control'!7:7,"AAAAAHtPdyM=",0)</f>
        <v>0</v>
      </c>
      <c r="AK103" t="e">
        <f>AND('Data Control'!#REF!,"AAAAAHtPdyQ=")</f>
        <v>#REF!</v>
      </c>
      <c r="AL103" t="e">
        <f>AND('Data Control'!A7,"AAAAAHtPdyU=")</f>
        <v>#VALUE!</v>
      </c>
      <c r="AM103" t="e">
        <f>AND('Data Control'!B7,"AAAAAHtPdyY=")</f>
        <v>#VALUE!</v>
      </c>
      <c r="AN103" t="e">
        <f>AND('Data Control'!C7,"AAAAAHtPdyc=")</f>
        <v>#VALUE!</v>
      </c>
      <c r="AO103" t="e">
        <f>AND('Data Control'!D7,"AAAAAHtPdyg=")</f>
        <v>#VALUE!</v>
      </c>
      <c r="AP103" t="e">
        <f>AND('Data Control'!F7,"AAAAAHtPdyk=")</f>
        <v>#VALUE!</v>
      </c>
      <c r="AQ103" t="e">
        <f>AND('Data Control'!G7,"AAAAAHtPdyo=")</f>
        <v>#VALUE!</v>
      </c>
      <c r="AR103" t="e">
        <f>AND('Data Control'!H7,"AAAAAHtPdys=")</f>
        <v>#VALUE!</v>
      </c>
      <c r="AS103" t="e">
        <f>AND('Data Control'!I7,"AAAAAHtPdyw=")</f>
        <v>#VALUE!</v>
      </c>
      <c r="AT103" t="e">
        <f>AND('Data Control'!J7,"AAAAAHtPdy0=")</f>
        <v>#VALUE!</v>
      </c>
      <c r="AU103" t="e">
        <f>AND('Data Control'!K7,"AAAAAHtPdy4=")</f>
        <v>#VALUE!</v>
      </c>
      <c r="AV103" t="e">
        <f>AND('Data Control'!L7,"AAAAAHtPdy8=")</f>
        <v>#VALUE!</v>
      </c>
      <c r="AW103" t="e">
        <f>AND('Data Control'!M7,"AAAAAHtPdzA=")</f>
        <v>#VALUE!</v>
      </c>
      <c r="AX103" t="e">
        <f>IF('Data Control'!#REF!,"AAAAAHtPdzE=",0)</f>
        <v>#REF!</v>
      </c>
      <c r="AY103" t="e">
        <f>AND('Data Control'!#REF!,"AAAAAHtPdzI=")</f>
        <v>#REF!</v>
      </c>
      <c r="AZ103" t="e">
        <f>AND('Data Control'!#REF!,"AAAAAHtPdzM=")</f>
        <v>#REF!</v>
      </c>
      <c r="BA103" t="e">
        <f>AND('Data Control'!#REF!,"AAAAAHtPdzQ=")</f>
        <v>#REF!</v>
      </c>
      <c r="BB103" t="e">
        <f>AND('Data Control'!#REF!,"AAAAAHtPdzU=")</f>
        <v>#REF!</v>
      </c>
      <c r="BC103" t="e">
        <f>AND('Data Control'!#REF!,"AAAAAHtPdzY=")</f>
        <v>#REF!</v>
      </c>
      <c r="BD103" t="e">
        <f>AND('Data Control'!#REF!,"AAAAAHtPdzc=")</f>
        <v>#REF!</v>
      </c>
      <c r="BE103" t="e">
        <f>AND('Data Control'!#REF!,"AAAAAHtPdzg=")</f>
        <v>#REF!</v>
      </c>
      <c r="BF103" t="e">
        <f>AND('Data Control'!#REF!,"AAAAAHtPdzk=")</f>
        <v>#REF!</v>
      </c>
      <c r="BG103" t="e">
        <f>AND('Data Control'!#REF!,"AAAAAHtPdzo=")</f>
        <v>#REF!</v>
      </c>
      <c r="BH103" t="e">
        <f>AND('Data Control'!#REF!,"AAAAAHtPdzs=")</f>
        <v>#REF!</v>
      </c>
      <c r="BI103" t="e">
        <f>AND('Data Control'!#REF!,"AAAAAHtPdzw=")</f>
        <v>#REF!</v>
      </c>
      <c r="BJ103" t="e">
        <f>AND('Data Control'!#REF!,"AAAAAHtPdz0=")</f>
        <v>#REF!</v>
      </c>
      <c r="BK103" t="e">
        <f>AND('Data Control'!#REF!,"AAAAAHtPdz4=")</f>
        <v>#REF!</v>
      </c>
      <c r="BL103">
        <f>IF('Data Control'!8:8,"AAAAAHtPdz8=",0)</f>
        <v>0</v>
      </c>
      <c r="BM103" t="e">
        <f>AND('Data Control'!#REF!,"AAAAAHtPd0A=")</f>
        <v>#REF!</v>
      </c>
      <c r="BN103" t="e">
        <f>AND('Data Control'!A8,"AAAAAHtPd0E=")</f>
        <v>#VALUE!</v>
      </c>
      <c r="BO103" t="e">
        <f>AND('Data Control'!B8,"AAAAAHtPd0I=")</f>
        <v>#VALUE!</v>
      </c>
      <c r="BP103" t="e">
        <f>AND('Data Control'!C8,"AAAAAHtPd0M=")</f>
        <v>#VALUE!</v>
      </c>
      <c r="BQ103" t="e">
        <f>AND('Data Control'!D8,"AAAAAHtPd0Q=")</f>
        <v>#VALUE!</v>
      </c>
      <c r="BR103" t="e">
        <f>AND('Data Control'!F8,"AAAAAHtPd0U=")</f>
        <v>#VALUE!</v>
      </c>
      <c r="BS103" t="e">
        <f>AND('Data Control'!G8,"AAAAAHtPd0Y=")</f>
        <v>#VALUE!</v>
      </c>
      <c r="BT103" t="e">
        <f>AND('Data Control'!H8,"AAAAAHtPd0c=")</f>
        <v>#VALUE!</v>
      </c>
      <c r="BU103" t="e">
        <f>AND('Data Control'!I8,"AAAAAHtPd0g=")</f>
        <v>#VALUE!</v>
      </c>
      <c r="BV103" t="e">
        <f>AND('Data Control'!J8,"AAAAAHtPd0k=")</f>
        <v>#VALUE!</v>
      </c>
      <c r="BW103" t="e">
        <f>AND('Data Control'!K8,"AAAAAHtPd0o=")</f>
        <v>#VALUE!</v>
      </c>
      <c r="BX103" t="e">
        <f>AND('Data Control'!L8,"AAAAAHtPd0s=")</f>
        <v>#VALUE!</v>
      </c>
      <c r="BY103" t="e">
        <f>AND('Data Control'!M8,"AAAAAHtPd0w=")</f>
        <v>#VALUE!</v>
      </c>
      <c r="BZ103">
        <f>IF('Data Control'!9:9,"AAAAAHtPd00=",0)</f>
        <v>0</v>
      </c>
      <c r="CA103" t="e">
        <f>AND('Data Control'!#REF!,"AAAAAHtPd04=")</f>
        <v>#REF!</v>
      </c>
      <c r="CB103" t="e">
        <f>AND('Data Control'!A9,"AAAAAHtPd08=")</f>
        <v>#VALUE!</v>
      </c>
      <c r="CC103" t="e">
        <f>AND('Data Control'!B9,"AAAAAHtPd1A=")</f>
        <v>#VALUE!</v>
      </c>
      <c r="CD103" t="e">
        <f>AND('Data Control'!C9,"AAAAAHtPd1E=")</f>
        <v>#VALUE!</v>
      </c>
      <c r="CE103" t="e">
        <f>AND('Data Control'!D9,"AAAAAHtPd1I=")</f>
        <v>#VALUE!</v>
      </c>
      <c r="CF103" t="e">
        <f>AND('Data Control'!F9,"AAAAAHtPd1M=")</f>
        <v>#VALUE!</v>
      </c>
      <c r="CG103" t="e">
        <f>AND('Data Control'!G9,"AAAAAHtPd1Q=")</f>
        <v>#VALUE!</v>
      </c>
      <c r="CH103" t="e">
        <f>AND('Data Control'!H9,"AAAAAHtPd1U=")</f>
        <v>#VALUE!</v>
      </c>
      <c r="CI103" t="e">
        <f>AND('Data Control'!I9,"AAAAAHtPd1Y=")</f>
        <v>#VALUE!</v>
      </c>
      <c r="CJ103" t="e">
        <f>AND('Data Control'!J9,"AAAAAHtPd1c=")</f>
        <v>#VALUE!</v>
      </c>
      <c r="CK103" t="e">
        <f>AND('Data Control'!K9,"AAAAAHtPd1g=")</f>
        <v>#VALUE!</v>
      </c>
      <c r="CL103" t="e">
        <f>AND('Data Control'!L9,"AAAAAHtPd1k=")</f>
        <v>#VALUE!</v>
      </c>
      <c r="CM103" t="e">
        <f>AND('Data Control'!M9,"AAAAAHtPd1o=")</f>
        <v>#VALUE!</v>
      </c>
      <c r="CN103">
        <f>IF('Data Control'!10:10,"AAAAAHtPd1s=",0)</f>
        <v>0</v>
      </c>
      <c r="CO103" t="e">
        <f>AND('Data Control'!#REF!,"AAAAAHtPd1w=")</f>
        <v>#REF!</v>
      </c>
      <c r="CP103" t="e">
        <f>AND('Data Control'!A10,"AAAAAHtPd10=")</f>
        <v>#VALUE!</v>
      </c>
      <c r="CQ103" t="e">
        <f>AND('Data Control'!B10,"AAAAAHtPd14=")</f>
        <v>#VALUE!</v>
      </c>
      <c r="CR103" t="e">
        <f>AND('Data Control'!C10,"AAAAAHtPd18=")</f>
        <v>#VALUE!</v>
      </c>
      <c r="CS103" t="e">
        <f>AND('Data Control'!D10,"AAAAAHtPd2A=")</f>
        <v>#VALUE!</v>
      </c>
      <c r="CT103" t="e">
        <f>AND('Data Control'!F10,"AAAAAHtPd2E=")</f>
        <v>#VALUE!</v>
      </c>
      <c r="CU103" t="e">
        <f>AND('Data Control'!G10,"AAAAAHtPd2I=")</f>
        <v>#VALUE!</v>
      </c>
      <c r="CV103" t="e">
        <f>AND('Data Control'!H10,"AAAAAHtPd2M=")</f>
        <v>#VALUE!</v>
      </c>
      <c r="CW103" t="e">
        <f>AND('Data Control'!I10,"AAAAAHtPd2Q=")</f>
        <v>#VALUE!</v>
      </c>
      <c r="CX103" t="e">
        <f>AND('Data Control'!J10,"AAAAAHtPd2U=")</f>
        <v>#VALUE!</v>
      </c>
      <c r="CY103" t="e">
        <f>AND('Data Control'!K10,"AAAAAHtPd2Y=")</f>
        <v>#VALUE!</v>
      </c>
      <c r="CZ103" t="e">
        <f>AND('Data Control'!L10,"AAAAAHtPd2c=")</f>
        <v>#VALUE!</v>
      </c>
      <c r="DA103" t="e">
        <f>AND('Data Control'!M10,"AAAAAHtPd2g=")</f>
        <v>#VALUE!</v>
      </c>
      <c r="DB103">
        <f>IF('Data Control'!11:11,"AAAAAHtPd2k=",0)</f>
        <v>0</v>
      </c>
      <c r="DC103" t="e">
        <f>AND('Data Control'!#REF!,"AAAAAHtPd2o=")</f>
        <v>#REF!</v>
      </c>
      <c r="DD103" t="e">
        <f>AND('Data Control'!A11,"AAAAAHtPd2s=")</f>
        <v>#VALUE!</v>
      </c>
      <c r="DE103" t="e">
        <f>AND('Data Control'!B11,"AAAAAHtPd2w=")</f>
        <v>#VALUE!</v>
      </c>
      <c r="DF103" t="e">
        <f>AND('Data Control'!C11,"AAAAAHtPd20=")</f>
        <v>#VALUE!</v>
      </c>
      <c r="DG103" t="e">
        <f>AND('Data Control'!D11,"AAAAAHtPd24=")</f>
        <v>#VALUE!</v>
      </c>
      <c r="DH103" t="e">
        <f>AND('Data Control'!F11,"AAAAAHtPd28=")</f>
        <v>#VALUE!</v>
      </c>
      <c r="DI103" t="e">
        <f>AND('Data Control'!G11,"AAAAAHtPd3A=")</f>
        <v>#VALUE!</v>
      </c>
      <c r="DJ103" t="e">
        <f>AND('Data Control'!H11,"AAAAAHtPd3E=")</f>
        <v>#VALUE!</v>
      </c>
      <c r="DK103" t="e">
        <f>AND('Data Control'!I11,"AAAAAHtPd3I=")</f>
        <v>#VALUE!</v>
      </c>
      <c r="DL103" t="e">
        <f>AND('Data Control'!J11,"AAAAAHtPd3M=")</f>
        <v>#VALUE!</v>
      </c>
      <c r="DM103" t="e">
        <f>AND('Data Control'!K11,"AAAAAHtPd3Q=")</f>
        <v>#VALUE!</v>
      </c>
      <c r="DN103" t="e">
        <f>AND('Data Control'!L11,"AAAAAHtPd3U=")</f>
        <v>#VALUE!</v>
      </c>
      <c r="DO103" t="e">
        <f>AND('Data Control'!M11,"AAAAAHtPd3Y=")</f>
        <v>#VALUE!</v>
      </c>
      <c r="DP103" t="e">
        <f>IF('Data Control'!#REF!,"AAAAAHtPd3c=",0)</f>
        <v>#REF!</v>
      </c>
      <c r="DQ103" t="e">
        <f>AND('Data Control'!#REF!,"AAAAAHtPd3g=")</f>
        <v>#REF!</v>
      </c>
      <c r="DR103" t="e">
        <f>AND('Data Control'!#REF!,"AAAAAHtPd3k=")</f>
        <v>#REF!</v>
      </c>
      <c r="DS103" t="e">
        <f>AND('Data Control'!#REF!,"AAAAAHtPd3o=")</f>
        <v>#REF!</v>
      </c>
      <c r="DT103" t="e">
        <f>AND('Data Control'!#REF!,"AAAAAHtPd3s=")</f>
        <v>#REF!</v>
      </c>
      <c r="DU103" t="e">
        <f>AND('Data Control'!#REF!,"AAAAAHtPd3w=")</f>
        <v>#REF!</v>
      </c>
      <c r="DV103" t="e">
        <f>AND('Data Control'!#REF!,"AAAAAHtPd30=")</f>
        <v>#REF!</v>
      </c>
      <c r="DW103" t="e">
        <f>AND('Data Control'!#REF!,"AAAAAHtPd34=")</f>
        <v>#REF!</v>
      </c>
      <c r="DX103" t="e">
        <f>AND('Data Control'!#REF!,"AAAAAHtPd38=")</f>
        <v>#REF!</v>
      </c>
      <c r="DY103" t="e">
        <f>AND('Data Control'!#REF!,"AAAAAHtPd4A=")</f>
        <v>#REF!</v>
      </c>
      <c r="DZ103" t="e">
        <f>AND('Data Control'!#REF!,"AAAAAHtPd4E=")</f>
        <v>#REF!</v>
      </c>
      <c r="EA103" t="e">
        <f>AND('Data Control'!#REF!,"AAAAAHtPd4I=")</f>
        <v>#REF!</v>
      </c>
      <c r="EB103" t="e">
        <f>AND('Data Control'!#REF!,"AAAAAHtPd4M=")</f>
        <v>#REF!</v>
      </c>
      <c r="EC103" t="e">
        <f>AND('Data Control'!#REF!,"AAAAAHtPd4Q=")</f>
        <v>#REF!</v>
      </c>
      <c r="ED103" t="e">
        <f>IF('Data Control'!#REF!,"AAAAAHtPd4U=",0)</f>
        <v>#REF!</v>
      </c>
      <c r="EE103" t="e">
        <f>AND('Data Control'!#REF!,"AAAAAHtPd4Y=")</f>
        <v>#REF!</v>
      </c>
      <c r="EF103" t="e">
        <f>AND('Data Control'!#REF!,"AAAAAHtPd4c=")</f>
        <v>#REF!</v>
      </c>
      <c r="EG103" t="e">
        <f>AND('Data Control'!#REF!,"AAAAAHtPd4g=")</f>
        <v>#REF!</v>
      </c>
      <c r="EH103" t="e">
        <f>AND('Data Control'!#REF!,"AAAAAHtPd4k=")</f>
        <v>#REF!</v>
      </c>
      <c r="EI103" t="e">
        <f>AND('Data Control'!#REF!,"AAAAAHtPd4o=")</f>
        <v>#REF!</v>
      </c>
      <c r="EJ103" t="e">
        <f>AND('Data Control'!#REF!,"AAAAAHtPd4s=")</f>
        <v>#REF!</v>
      </c>
      <c r="EK103" t="e">
        <f>AND('Data Control'!#REF!,"AAAAAHtPd4w=")</f>
        <v>#REF!</v>
      </c>
      <c r="EL103" t="e">
        <f>AND('Data Control'!#REF!,"AAAAAHtPd40=")</f>
        <v>#REF!</v>
      </c>
      <c r="EM103" t="e">
        <f>AND('Data Control'!#REF!,"AAAAAHtPd44=")</f>
        <v>#REF!</v>
      </c>
      <c r="EN103" t="e">
        <f>AND('Data Control'!#REF!,"AAAAAHtPd48=")</f>
        <v>#REF!</v>
      </c>
      <c r="EO103" t="e">
        <f>AND('Data Control'!#REF!,"AAAAAHtPd5A=")</f>
        <v>#REF!</v>
      </c>
      <c r="EP103" t="e">
        <f>AND('Data Control'!#REF!,"AAAAAHtPd5E=")</f>
        <v>#REF!</v>
      </c>
      <c r="EQ103" t="e">
        <f>AND('Data Control'!#REF!,"AAAAAHtPd5I=")</f>
        <v>#REF!</v>
      </c>
      <c r="ER103">
        <f>IF('Data Control'!12:12,"AAAAAHtPd5M=",0)</f>
        <v>0</v>
      </c>
      <c r="ES103" t="e">
        <f>AND('Data Control'!#REF!,"AAAAAHtPd5Q=")</f>
        <v>#REF!</v>
      </c>
      <c r="ET103" t="e">
        <f>AND('Data Control'!A12,"AAAAAHtPd5U=")</f>
        <v>#VALUE!</v>
      </c>
      <c r="EU103" t="e">
        <f>AND('Data Control'!B12,"AAAAAHtPd5Y=")</f>
        <v>#VALUE!</v>
      </c>
      <c r="EV103" t="e">
        <f>AND('Data Control'!C12,"AAAAAHtPd5c=")</f>
        <v>#VALUE!</v>
      </c>
      <c r="EW103" t="e">
        <f>AND('Data Control'!D12,"AAAAAHtPd5g=")</f>
        <v>#VALUE!</v>
      </c>
      <c r="EX103" t="e">
        <f>AND('Data Control'!F12,"AAAAAHtPd5k=")</f>
        <v>#VALUE!</v>
      </c>
      <c r="EY103" t="e">
        <f>AND('Data Control'!G12,"AAAAAHtPd5o=")</f>
        <v>#VALUE!</v>
      </c>
      <c r="EZ103" t="e">
        <f>AND('Data Control'!H12,"AAAAAHtPd5s=")</f>
        <v>#VALUE!</v>
      </c>
      <c r="FA103" t="e">
        <f>AND('Data Control'!I12,"AAAAAHtPd5w=")</f>
        <v>#VALUE!</v>
      </c>
      <c r="FB103" t="e">
        <f>AND('Data Control'!J12,"AAAAAHtPd50=")</f>
        <v>#VALUE!</v>
      </c>
      <c r="FC103" t="e">
        <f>AND('Data Control'!K12,"AAAAAHtPd54=")</f>
        <v>#VALUE!</v>
      </c>
      <c r="FD103" t="e">
        <f>AND('Data Control'!L12,"AAAAAHtPd58=")</f>
        <v>#VALUE!</v>
      </c>
      <c r="FE103" t="e">
        <f>AND('Data Control'!M12,"AAAAAHtPd6A=")</f>
        <v>#VALUE!</v>
      </c>
      <c r="FF103">
        <f>IF('Data Control'!13:13,"AAAAAHtPd6E=",0)</f>
        <v>0</v>
      </c>
      <c r="FG103" t="e">
        <f>AND('Data Control'!#REF!,"AAAAAHtPd6I=")</f>
        <v>#REF!</v>
      </c>
      <c r="FH103" t="e">
        <f>AND('Data Control'!A13,"AAAAAHtPd6M=")</f>
        <v>#VALUE!</v>
      </c>
      <c r="FI103" t="e">
        <f>AND('Data Control'!B13,"AAAAAHtPd6Q=")</f>
        <v>#VALUE!</v>
      </c>
      <c r="FJ103" t="e">
        <f>AND('Data Control'!C13,"AAAAAHtPd6U=")</f>
        <v>#VALUE!</v>
      </c>
      <c r="FK103" t="e">
        <f>AND('Data Control'!D13,"AAAAAHtPd6Y=")</f>
        <v>#VALUE!</v>
      </c>
      <c r="FL103" t="e">
        <f>AND('Data Control'!F13,"AAAAAHtPd6c=")</f>
        <v>#VALUE!</v>
      </c>
      <c r="FM103" t="e">
        <f>AND('Data Control'!G13,"AAAAAHtPd6g=")</f>
        <v>#VALUE!</v>
      </c>
      <c r="FN103" t="e">
        <f>AND('Data Control'!H13,"AAAAAHtPd6k=")</f>
        <v>#VALUE!</v>
      </c>
      <c r="FO103" t="e">
        <f>AND('Data Control'!I13,"AAAAAHtPd6o=")</f>
        <v>#VALUE!</v>
      </c>
      <c r="FP103" t="e">
        <f>AND('Data Control'!J13,"AAAAAHtPd6s=")</f>
        <v>#VALUE!</v>
      </c>
      <c r="FQ103" t="e">
        <f>AND('Data Control'!K13,"AAAAAHtPd6w=")</f>
        <v>#VALUE!</v>
      </c>
      <c r="FR103" t="e">
        <f>AND('Data Control'!L13,"AAAAAHtPd60=")</f>
        <v>#VALUE!</v>
      </c>
      <c r="FS103" t="e">
        <f>AND('Data Control'!M13,"AAAAAHtPd64=")</f>
        <v>#VALUE!</v>
      </c>
      <c r="FT103">
        <f>IF('Data Control'!14:14,"AAAAAHtPd68=",0)</f>
        <v>0</v>
      </c>
      <c r="FU103" t="e">
        <f>AND('Data Control'!#REF!,"AAAAAHtPd7A=")</f>
        <v>#REF!</v>
      </c>
      <c r="FV103" t="e">
        <f>AND('Data Control'!A14,"AAAAAHtPd7E=")</f>
        <v>#VALUE!</v>
      </c>
      <c r="FW103" t="e">
        <f>AND('Data Control'!B14,"AAAAAHtPd7I=")</f>
        <v>#VALUE!</v>
      </c>
      <c r="FX103" t="e">
        <f>AND('Data Control'!C14,"AAAAAHtPd7M=")</f>
        <v>#VALUE!</v>
      </c>
      <c r="FY103" t="e">
        <f>AND('Data Control'!D14,"AAAAAHtPd7Q=")</f>
        <v>#VALUE!</v>
      </c>
      <c r="FZ103" t="e">
        <f>AND('Data Control'!F14,"AAAAAHtPd7U=")</f>
        <v>#VALUE!</v>
      </c>
      <c r="GA103" t="e">
        <f>AND('Data Control'!G14,"AAAAAHtPd7Y=")</f>
        <v>#VALUE!</v>
      </c>
      <c r="GB103" t="e">
        <f>AND('Data Control'!H14,"AAAAAHtPd7c=")</f>
        <v>#VALUE!</v>
      </c>
      <c r="GC103" t="e">
        <f>AND('Data Control'!I14,"AAAAAHtPd7g=")</f>
        <v>#VALUE!</v>
      </c>
      <c r="GD103" t="e">
        <f>AND('Data Control'!J14,"AAAAAHtPd7k=")</f>
        <v>#VALUE!</v>
      </c>
      <c r="GE103" t="e">
        <f>AND('Data Control'!K14,"AAAAAHtPd7o=")</f>
        <v>#VALUE!</v>
      </c>
      <c r="GF103" t="e">
        <f>AND('Data Control'!L14,"AAAAAHtPd7s=")</f>
        <v>#VALUE!</v>
      </c>
      <c r="GG103" t="e">
        <f>AND('Data Control'!M14,"AAAAAHtPd7w=")</f>
        <v>#VALUE!</v>
      </c>
      <c r="GH103">
        <f>IF('Data Control'!15:15,"AAAAAHtPd70=",0)</f>
        <v>0</v>
      </c>
      <c r="GI103" t="e">
        <f>AND('Data Control'!#REF!,"AAAAAHtPd74=")</f>
        <v>#REF!</v>
      </c>
      <c r="GJ103" t="e">
        <f>AND('Data Control'!A15,"AAAAAHtPd78=")</f>
        <v>#VALUE!</v>
      </c>
      <c r="GK103" t="e">
        <f>AND('Data Control'!B15,"AAAAAHtPd8A=")</f>
        <v>#VALUE!</v>
      </c>
      <c r="GL103" t="e">
        <f>AND('Data Control'!C15,"AAAAAHtPd8E=")</f>
        <v>#VALUE!</v>
      </c>
      <c r="GM103" t="e">
        <f>AND('Data Control'!D15,"AAAAAHtPd8I=")</f>
        <v>#VALUE!</v>
      </c>
      <c r="GN103" t="e">
        <f>AND('Data Control'!F15,"AAAAAHtPd8M=")</f>
        <v>#VALUE!</v>
      </c>
      <c r="GO103" t="e">
        <f>AND('Data Control'!G15,"AAAAAHtPd8Q=")</f>
        <v>#VALUE!</v>
      </c>
      <c r="GP103" t="e">
        <f>AND('Data Control'!H15,"AAAAAHtPd8U=")</f>
        <v>#VALUE!</v>
      </c>
      <c r="GQ103" t="e">
        <f>AND('Data Control'!I15,"AAAAAHtPd8Y=")</f>
        <v>#VALUE!</v>
      </c>
      <c r="GR103" t="e">
        <f>AND('Data Control'!J15,"AAAAAHtPd8c=")</f>
        <v>#VALUE!</v>
      </c>
      <c r="GS103" t="e">
        <f>AND('Data Control'!K15,"AAAAAHtPd8g=")</f>
        <v>#VALUE!</v>
      </c>
      <c r="GT103" t="e">
        <f>AND('Data Control'!L15,"AAAAAHtPd8k=")</f>
        <v>#VALUE!</v>
      </c>
      <c r="GU103" t="e">
        <f>AND('Data Control'!M15,"AAAAAHtPd8o=")</f>
        <v>#VALUE!</v>
      </c>
      <c r="GV103">
        <f>IF('Data Control'!16:16,"AAAAAHtPd8s=",0)</f>
        <v>0</v>
      </c>
      <c r="GW103" t="e">
        <f>AND('Data Control'!#REF!,"AAAAAHtPd8w=")</f>
        <v>#REF!</v>
      </c>
      <c r="GX103" t="e">
        <f>AND('Data Control'!A16,"AAAAAHtPd80=")</f>
        <v>#VALUE!</v>
      </c>
      <c r="GY103" t="e">
        <f>AND('Data Control'!B16,"AAAAAHtPd84=")</f>
        <v>#VALUE!</v>
      </c>
      <c r="GZ103" t="e">
        <f>AND('Data Control'!C16,"AAAAAHtPd88=")</f>
        <v>#VALUE!</v>
      </c>
      <c r="HA103" t="e">
        <f>AND('Data Control'!D16,"AAAAAHtPd9A=")</f>
        <v>#VALUE!</v>
      </c>
      <c r="HB103" t="e">
        <f>AND('Data Control'!F16,"AAAAAHtPd9E=")</f>
        <v>#VALUE!</v>
      </c>
      <c r="HC103" t="e">
        <f>AND('Data Control'!G16,"AAAAAHtPd9I=")</f>
        <v>#VALUE!</v>
      </c>
      <c r="HD103" t="e">
        <f>AND('Data Control'!H16,"AAAAAHtPd9M=")</f>
        <v>#VALUE!</v>
      </c>
      <c r="HE103" t="e">
        <f>AND('Data Control'!I16,"AAAAAHtPd9Q=")</f>
        <v>#VALUE!</v>
      </c>
      <c r="HF103" t="e">
        <f>AND('Data Control'!J16,"AAAAAHtPd9U=")</f>
        <v>#VALUE!</v>
      </c>
      <c r="HG103" t="e">
        <f>AND('Data Control'!K16,"AAAAAHtPd9Y=")</f>
        <v>#VALUE!</v>
      </c>
      <c r="HH103" t="e">
        <f>AND('Data Control'!L16,"AAAAAHtPd9c=")</f>
        <v>#VALUE!</v>
      </c>
      <c r="HI103" t="e">
        <f>AND('Data Control'!M16,"AAAAAHtPd9g=")</f>
        <v>#VALUE!</v>
      </c>
      <c r="HJ103">
        <f>IF('Data Control'!17:17,"AAAAAHtPd9k=",0)</f>
        <v>0</v>
      </c>
      <c r="HK103" t="e">
        <f>AND('Data Control'!#REF!,"AAAAAHtPd9o=")</f>
        <v>#REF!</v>
      </c>
      <c r="HL103" t="e">
        <f>AND('Data Control'!A17,"AAAAAHtPd9s=")</f>
        <v>#VALUE!</v>
      </c>
      <c r="HM103" t="e">
        <f>AND('Data Control'!B17,"AAAAAHtPd9w=")</f>
        <v>#VALUE!</v>
      </c>
      <c r="HN103" t="e">
        <f>AND('Data Control'!C17,"AAAAAHtPd90=")</f>
        <v>#VALUE!</v>
      </c>
      <c r="HO103" t="e">
        <f>AND('Data Control'!D17,"AAAAAHtPd94=")</f>
        <v>#VALUE!</v>
      </c>
      <c r="HP103" t="e">
        <f>AND('Data Control'!F17,"AAAAAHtPd98=")</f>
        <v>#VALUE!</v>
      </c>
      <c r="HQ103" t="e">
        <f>AND('Data Control'!G17,"AAAAAHtPd+A=")</f>
        <v>#VALUE!</v>
      </c>
      <c r="HR103" t="e">
        <f>AND('Data Control'!H17,"AAAAAHtPd+E=")</f>
        <v>#VALUE!</v>
      </c>
      <c r="HS103" t="e">
        <f>AND('Data Control'!I17,"AAAAAHtPd+I=")</f>
        <v>#VALUE!</v>
      </c>
      <c r="HT103" t="e">
        <f>AND('Data Control'!J17,"AAAAAHtPd+M=")</f>
        <v>#VALUE!</v>
      </c>
      <c r="HU103" t="e">
        <f>AND('Data Control'!K17,"AAAAAHtPd+Q=")</f>
        <v>#VALUE!</v>
      </c>
      <c r="HV103" t="e">
        <f>AND('Data Control'!L17,"AAAAAHtPd+U=")</f>
        <v>#VALUE!</v>
      </c>
      <c r="HW103" t="e">
        <f>AND('Data Control'!M17,"AAAAAHtPd+Y=")</f>
        <v>#VALUE!</v>
      </c>
      <c r="HX103">
        <f>IF('Data Control'!18:18,"AAAAAHtPd+c=",0)</f>
        <v>0</v>
      </c>
      <c r="HY103" t="e">
        <f>AND('Data Control'!A18,"AAAAAHtPd+g=")</f>
        <v>#VALUE!</v>
      </c>
      <c r="HZ103" t="e">
        <f>AND('Data Control'!B18,"AAAAAHtPd+k=")</f>
        <v>#VALUE!</v>
      </c>
      <c r="IA103" t="e">
        <f>AND('Data Control'!C18,"AAAAAHtPd+o=")</f>
        <v>#VALUE!</v>
      </c>
      <c r="IB103" t="e">
        <f>AND('Data Control'!D18,"AAAAAHtPd+s=")</f>
        <v>#VALUE!</v>
      </c>
      <c r="IC103" t="e">
        <f>AND('Data Control'!E18,"AAAAAHtPd+w=")</f>
        <v>#VALUE!</v>
      </c>
      <c r="ID103" t="e">
        <f>AND('Data Control'!F18,"AAAAAHtPd+0=")</f>
        <v>#VALUE!</v>
      </c>
      <c r="IE103" t="e">
        <f>AND('Data Control'!G18,"AAAAAHtPd+4=")</f>
        <v>#VALUE!</v>
      </c>
      <c r="IF103" t="e">
        <f>AND('Data Control'!H18,"AAAAAHtPd+8=")</f>
        <v>#VALUE!</v>
      </c>
      <c r="IG103" t="e">
        <f>AND('Data Control'!I18,"AAAAAHtPd/A=")</f>
        <v>#VALUE!</v>
      </c>
      <c r="IH103" t="e">
        <f>AND('Data Control'!J18,"AAAAAHtPd/E=")</f>
        <v>#VALUE!</v>
      </c>
      <c r="II103" t="e">
        <f>AND('Data Control'!K18,"AAAAAHtPd/I=")</f>
        <v>#VALUE!</v>
      </c>
      <c r="IJ103" t="e">
        <f>AND('Data Control'!L18,"AAAAAHtPd/M=")</f>
        <v>#VALUE!</v>
      </c>
      <c r="IK103" t="e">
        <f>AND('Data Control'!M18,"AAAAAHtPd/Q=")</f>
        <v>#VALUE!</v>
      </c>
      <c r="IL103" t="e">
        <f>IF('Data Control'!#REF!,"AAAAAHtPd/U=",0)</f>
        <v>#REF!</v>
      </c>
      <c r="IM103" t="e">
        <f>AND('Data Control'!#REF!,"AAAAAHtPd/Y=")</f>
        <v>#REF!</v>
      </c>
      <c r="IN103" t="e">
        <f>AND('Data Control'!#REF!,"AAAAAHtPd/c=")</f>
        <v>#REF!</v>
      </c>
      <c r="IO103" t="e">
        <f>AND('Data Control'!#REF!,"AAAAAHtPd/g=")</f>
        <v>#REF!</v>
      </c>
      <c r="IP103" t="e">
        <f>AND('Data Control'!#REF!,"AAAAAHtPd/k=")</f>
        <v>#REF!</v>
      </c>
      <c r="IQ103" t="e">
        <f>AND('Data Control'!#REF!,"AAAAAHtPd/o=")</f>
        <v>#REF!</v>
      </c>
      <c r="IR103" t="e">
        <f>AND('Data Control'!#REF!,"AAAAAHtPd/s=")</f>
        <v>#REF!</v>
      </c>
      <c r="IS103" t="e">
        <f>AND('Data Control'!#REF!,"AAAAAHtPd/w=")</f>
        <v>#REF!</v>
      </c>
      <c r="IT103" t="e">
        <f>AND('Data Control'!#REF!,"AAAAAHtPd/0=")</f>
        <v>#REF!</v>
      </c>
      <c r="IU103" t="e">
        <f>AND('Data Control'!#REF!,"AAAAAHtPd/4=")</f>
        <v>#REF!</v>
      </c>
      <c r="IV103" t="e">
        <f>AND('Data Control'!#REF!,"AAAAAHtPd/8=")</f>
        <v>#REF!</v>
      </c>
    </row>
    <row r="104" spans="1:256" x14ac:dyDescent="0.2">
      <c r="A104" t="e">
        <f>AND('Data Control'!#REF!,"AAAAAFz+PwA=")</f>
        <v>#REF!</v>
      </c>
      <c r="B104" t="e">
        <f>AND('Data Control'!#REF!,"AAAAAFz+PwE=")</f>
        <v>#REF!</v>
      </c>
      <c r="C104" t="e">
        <f>AND('Data Control'!#REF!,"AAAAAFz+PwI=")</f>
        <v>#REF!</v>
      </c>
      <c r="D104" t="e">
        <f>IF('Data Control'!#REF!,"AAAAAFz+PwM=",0)</f>
        <v>#REF!</v>
      </c>
      <c r="E104" t="e">
        <f>AND('Data Control'!#REF!,"AAAAAFz+PwQ=")</f>
        <v>#REF!</v>
      </c>
      <c r="F104" t="e">
        <f>AND('Data Control'!#REF!,"AAAAAFz+PwU=")</f>
        <v>#REF!</v>
      </c>
      <c r="G104" t="e">
        <f>AND('Data Control'!#REF!,"AAAAAFz+PwY=")</f>
        <v>#REF!</v>
      </c>
      <c r="H104" t="e">
        <f>AND('Data Control'!#REF!,"AAAAAFz+Pwc=")</f>
        <v>#REF!</v>
      </c>
      <c r="I104" t="e">
        <f>AND('Data Control'!#REF!,"AAAAAFz+Pwg=")</f>
        <v>#REF!</v>
      </c>
      <c r="J104" t="e">
        <f>AND('Data Control'!#REF!,"AAAAAFz+Pwk=")</f>
        <v>#REF!</v>
      </c>
      <c r="K104" t="e">
        <f>AND('Data Control'!#REF!,"AAAAAFz+Pwo=")</f>
        <v>#REF!</v>
      </c>
      <c r="L104" t="e">
        <f>AND('Data Control'!#REF!,"AAAAAFz+Pws=")</f>
        <v>#REF!</v>
      </c>
      <c r="M104" t="e">
        <f>AND('Data Control'!#REF!,"AAAAAFz+Pww=")</f>
        <v>#REF!</v>
      </c>
      <c r="N104" t="e">
        <f>AND('Data Control'!#REF!,"AAAAAFz+Pw0=")</f>
        <v>#REF!</v>
      </c>
      <c r="O104" t="e">
        <f>AND('Data Control'!#REF!,"AAAAAFz+Pw4=")</f>
        <v>#REF!</v>
      </c>
      <c r="P104" t="e">
        <f>AND('Data Control'!#REF!,"AAAAAFz+Pw8=")</f>
        <v>#REF!</v>
      </c>
      <c r="Q104" t="e">
        <f>AND('Data Control'!#REF!,"AAAAAFz+PxA=")</f>
        <v>#REF!</v>
      </c>
      <c r="R104" t="e">
        <f>IF('Data Control'!#REF!,"AAAAAFz+PxE=",0)</f>
        <v>#REF!</v>
      </c>
      <c r="S104" t="e">
        <f>AND('Data Control'!#REF!,"AAAAAFz+PxI=")</f>
        <v>#REF!</v>
      </c>
      <c r="T104" t="e">
        <f>AND('Data Control'!#REF!,"AAAAAFz+PxM=")</f>
        <v>#REF!</v>
      </c>
      <c r="U104" t="e">
        <f>AND('Data Control'!#REF!,"AAAAAFz+PxQ=")</f>
        <v>#REF!</v>
      </c>
      <c r="V104" t="e">
        <f>AND('Data Control'!#REF!,"AAAAAFz+PxU=")</f>
        <v>#REF!</v>
      </c>
      <c r="W104" t="e">
        <f>AND('Data Control'!#REF!,"AAAAAFz+PxY=")</f>
        <v>#REF!</v>
      </c>
      <c r="X104" t="e">
        <f>AND('Data Control'!#REF!,"AAAAAFz+Pxc=")</f>
        <v>#REF!</v>
      </c>
      <c r="Y104" t="e">
        <f>AND('Data Control'!#REF!,"AAAAAFz+Pxg=")</f>
        <v>#REF!</v>
      </c>
      <c r="Z104" t="e">
        <f>AND('Data Control'!#REF!,"AAAAAFz+Pxk=")</f>
        <v>#REF!</v>
      </c>
      <c r="AA104" t="e">
        <f>AND('Data Control'!#REF!,"AAAAAFz+Pxo=")</f>
        <v>#REF!</v>
      </c>
      <c r="AB104" t="e">
        <f>AND('Data Control'!#REF!,"AAAAAFz+Pxs=")</f>
        <v>#REF!</v>
      </c>
      <c r="AC104" t="e">
        <f>AND('Data Control'!#REF!,"AAAAAFz+Pxw=")</f>
        <v>#REF!</v>
      </c>
      <c r="AD104" t="e">
        <f>AND('Data Control'!#REF!,"AAAAAFz+Px0=")</f>
        <v>#REF!</v>
      </c>
      <c r="AE104" t="e">
        <f>AND('Data Control'!#REF!,"AAAAAFz+Px4=")</f>
        <v>#REF!</v>
      </c>
      <c r="AF104" t="e">
        <f>IF('Data Control'!#REF!,"AAAAAFz+Px8=",0)</f>
        <v>#REF!</v>
      </c>
      <c r="AG104" t="e">
        <f>AND('Data Control'!#REF!,"AAAAAFz+PyA=")</f>
        <v>#REF!</v>
      </c>
      <c r="AH104" t="e">
        <f>AND('Data Control'!#REF!,"AAAAAFz+PyE=")</f>
        <v>#REF!</v>
      </c>
      <c r="AI104" t="e">
        <f>AND('Data Control'!#REF!,"AAAAAFz+PyI=")</f>
        <v>#REF!</v>
      </c>
      <c r="AJ104" t="e">
        <f>AND('Data Control'!#REF!,"AAAAAFz+PyM=")</f>
        <v>#REF!</v>
      </c>
      <c r="AK104" t="e">
        <f>AND('Data Control'!#REF!,"AAAAAFz+PyQ=")</f>
        <v>#REF!</v>
      </c>
      <c r="AL104" t="e">
        <f>AND('Data Control'!#REF!,"AAAAAFz+PyU=")</f>
        <v>#REF!</v>
      </c>
      <c r="AM104" t="e">
        <f>AND('Data Control'!#REF!,"AAAAAFz+PyY=")</f>
        <v>#REF!</v>
      </c>
      <c r="AN104" t="e">
        <f>AND('Data Control'!#REF!,"AAAAAFz+Pyc=")</f>
        <v>#REF!</v>
      </c>
      <c r="AO104" t="e">
        <f>AND('Data Control'!#REF!,"AAAAAFz+Pyg=")</f>
        <v>#REF!</v>
      </c>
      <c r="AP104" t="e">
        <f>AND('Data Control'!#REF!,"AAAAAFz+Pyk=")</f>
        <v>#REF!</v>
      </c>
      <c r="AQ104" t="e">
        <f>AND('Data Control'!#REF!,"AAAAAFz+Pyo=")</f>
        <v>#REF!</v>
      </c>
      <c r="AR104" t="e">
        <f>AND('Data Control'!#REF!,"AAAAAFz+Pys=")</f>
        <v>#REF!</v>
      </c>
      <c r="AS104" t="e">
        <f>AND('Data Control'!#REF!,"AAAAAFz+Pyw=")</f>
        <v>#REF!</v>
      </c>
      <c r="AT104" t="e">
        <f>IF('Data Control'!#REF!,"AAAAAFz+Py0=",0)</f>
        <v>#REF!</v>
      </c>
      <c r="AU104" t="e">
        <f>AND('Data Control'!#REF!,"AAAAAFz+Py4=")</f>
        <v>#REF!</v>
      </c>
      <c r="AV104" t="e">
        <f>AND('Data Control'!#REF!,"AAAAAFz+Py8=")</f>
        <v>#REF!</v>
      </c>
      <c r="AW104" t="e">
        <f>AND('Data Control'!#REF!,"AAAAAFz+PzA=")</f>
        <v>#REF!</v>
      </c>
      <c r="AX104" t="e">
        <f>AND('Data Control'!#REF!,"AAAAAFz+PzE=")</f>
        <v>#REF!</v>
      </c>
      <c r="AY104" t="e">
        <f>AND('Data Control'!#REF!,"AAAAAFz+PzI=")</f>
        <v>#REF!</v>
      </c>
      <c r="AZ104" t="e">
        <f>AND('Data Control'!#REF!,"AAAAAFz+PzM=")</f>
        <v>#REF!</v>
      </c>
      <c r="BA104" t="e">
        <f>AND('Data Control'!#REF!,"AAAAAFz+PzQ=")</f>
        <v>#REF!</v>
      </c>
      <c r="BB104" t="e">
        <f>AND('Data Control'!#REF!,"AAAAAFz+PzU=")</f>
        <v>#REF!</v>
      </c>
      <c r="BC104" t="e">
        <f>AND('Data Control'!#REF!,"AAAAAFz+PzY=")</f>
        <v>#REF!</v>
      </c>
      <c r="BD104" t="e">
        <f>AND('Data Control'!#REF!,"AAAAAFz+Pzc=")</f>
        <v>#REF!</v>
      </c>
      <c r="BE104" t="e">
        <f>AND('Data Control'!#REF!,"AAAAAFz+Pzg=")</f>
        <v>#REF!</v>
      </c>
      <c r="BF104" t="e">
        <f>AND('Data Control'!#REF!,"AAAAAFz+Pzk=")</f>
        <v>#REF!</v>
      </c>
      <c r="BG104" t="e">
        <f>AND('Data Control'!#REF!,"AAAAAFz+Pzo=")</f>
        <v>#REF!</v>
      </c>
      <c r="BH104" t="e">
        <f>IF('Data Control'!#REF!,"AAAAAFz+Pzs=",0)</f>
        <v>#REF!</v>
      </c>
      <c r="BI104" t="e">
        <f>AND('Data Control'!#REF!,"AAAAAFz+Pzw=")</f>
        <v>#REF!</v>
      </c>
      <c r="BJ104" t="e">
        <f>AND('Data Control'!#REF!,"AAAAAFz+Pz0=")</f>
        <v>#REF!</v>
      </c>
      <c r="BK104" t="e">
        <f>AND('Data Control'!#REF!,"AAAAAFz+Pz4=")</f>
        <v>#REF!</v>
      </c>
      <c r="BL104" t="e">
        <f>AND('Data Control'!#REF!,"AAAAAFz+Pz8=")</f>
        <v>#REF!</v>
      </c>
      <c r="BM104" t="e">
        <f>AND('Data Control'!#REF!,"AAAAAFz+P0A=")</f>
        <v>#REF!</v>
      </c>
      <c r="BN104" t="e">
        <f>AND('Data Control'!#REF!,"AAAAAFz+P0E=")</f>
        <v>#REF!</v>
      </c>
      <c r="BO104" t="e">
        <f>AND('Data Control'!#REF!,"AAAAAFz+P0I=")</f>
        <v>#REF!</v>
      </c>
      <c r="BP104" t="e">
        <f>AND('Data Control'!#REF!,"AAAAAFz+P0M=")</f>
        <v>#REF!</v>
      </c>
      <c r="BQ104" t="e">
        <f>AND('Data Control'!#REF!,"AAAAAFz+P0Q=")</f>
        <v>#REF!</v>
      </c>
      <c r="BR104" t="e">
        <f>AND('Data Control'!#REF!,"AAAAAFz+P0U=")</f>
        <v>#REF!</v>
      </c>
      <c r="BS104" t="e">
        <f>AND('Data Control'!#REF!,"AAAAAFz+P0Y=")</f>
        <v>#REF!</v>
      </c>
      <c r="BT104" t="e">
        <f>AND('Data Control'!#REF!,"AAAAAFz+P0c=")</f>
        <v>#REF!</v>
      </c>
      <c r="BU104" t="e">
        <f>AND('Data Control'!#REF!,"AAAAAFz+P0g=")</f>
        <v>#REF!</v>
      </c>
      <c r="BV104" t="e">
        <f>IF('Data Control'!#REF!,"AAAAAFz+P0k=",0)</f>
        <v>#REF!</v>
      </c>
      <c r="BW104" t="e">
        <f>AND('Data Control'!#REF!,"AAAAAFz+P0o=")</f>
        <v>#REF!</v>
      </c>
      <c r="BX104" t="e">
        <f>AND('Data Control'!#REF!,"AAAAAFz+P0s=")</f>
        <v>#REF!</v>
      </c>
      <c r="BY104" t="e">
        <f>AND('Data Control'!#REF!,"AAAAAFz+P0w=")</f>
        <v>#REF!</v>
      </c>
      <c r="BZ104" t="e">
        <f>AND('Data Control'!#REF!,"AAAAAFz+P00=")</f>
        <v>#REF!</v>
      </c>
      <c r="CA104" t="e">
        <f>AND('Data Control'!#REF!,"AAAAAFz+P04=")</f>
        <v>#REF!</v>
      </c>
      <c r="CB104" t="e">
        <f>AND('Data Control'!#REF!,"AAAAAFz+P08=")</f>
        <v>#REF!</v>
      </c>
      <c r="CC104" t="e">
        <f>AND('Data Control'!#REF!,"AAAAAFz+P1A=")</f>
        <v>#REF!</v>
      </c>
      <c r="CD104" t="e">
        <f>AND('Data Control'!#REF!,"AAAAAFz+P1E=")</f>
        <v>#REF!</v>
      </c>
      <c r="CE104" t="e">
        <f>AND('Data Control'!#REF!,"AAAAAFz+P1I=")</f>
        <v>#REF!</v>
      </c>
      <c r="CF104" t="e">
        <f>AND('Data Control'!#REF!,"AAAAAFz+P1M=")</f>
        <v>#REF!</v>
      </c>
      <c r="CG104" t="e">
        <f>AND('Data Control'!#REF!,"AAAAAFz+P1Q=")</f>
        <v>#REF!</v>
      </c>
      <c r="CH104" t="e">
        <f>AND('Data Control'!#REF!,"AAAAAFz+P1U=")</f>
        <v>#REF!</v>
      </c>
      <c r="CI104" t="e">
        <f>AND('Data Control'!#REF!,"AAAAAFz+P1Y=")</f>
        <v>#REF!</v>
      </c>
      <c r="CJ104" t="e">
        <f>IF('Data Control'!#REF!,"AAAAAFz+P1c=",0)</f>
        <v>#REF!</v>
      </c>
      <c r="CK104" t="e">
        <f>AND('Data Control'!#REF!,"AAAAAFz+P1g=")</f>
        <v>#REF!</v>
      </c>
      <c r="CL104" t="e">
        <f>AND('Data Control'!#REF!,"AAAAAFz+P1k=")</f>
        <v>#REF!</v>
      </c>
      <c r="CM104" t="e">
        <f>AND('Data Control'!#REF!,"AAAAAFz+P1o=")</f>
        <v>#REF!</v>
      </c>
      <c r="CN104" t="e">
        <f>AND('Data Control'!#REF!,"AAAAAFz+P1s=")</f>
        <v>#REF!</v>
      </c>
      <c r="CO104" t="e">
        <f>AND('Data Control'!#REF!,"AAAAAFz+P1w=")</f>
        <v>#REF!</v>
      </c>
      <c r="CP104" t="e">
        <f>AND('Data Control'!#REF!,"AAAAAFz+P10=")</f>
        <v>#REF!</v>
      </c>
      <c r="CQ104" t="e">
        <f>AND('Data Control'!#REF!,"AAAAAFz+P14=")</f>
        <v>#REF!</v>
      </c>
      <c r="CR104" t="e">
        <f>AND('Data Control'!#REF!,"AAAAAFz+P18=")</f>
        <v>#REF!</v>
      </c>
      <c r="CS104" t="e">
        <f>AND('Data Control'!#REF!,"AAAAAFz+P2A=")</f>
        <v>#REF!</v>
      </c>
      <c r="CT104" t="e">
        <f>AND('Data Control'!#REF!,"AAAAAFz+P2E=")</f>
        <v>#REF!</v>
      </c>
      <c r="CU104" t="e">
        <f>AND('Data Control'!#REF!,"AAAAAFz+P2I=")</f>
        <v>#REF!</v>
      </c>
      <c r="CV104" t="e">
        <f>AND('Data Control'!#REF!,"AAAAAFz+P2M=")</f>
        <v>#REF!</v>
      </c>
      <c r="CW104" t="e">
        <f>AND('Data Control'!#REF!,"AAAAAFz+P2Q=")</f>
        <v>#REF!</v>
      </c>
      <c r="CX104" t="e">
        <f>IF('Data Control'!#REF!,"AAAAAFz+P2U=",0)</f>
        <v>#REF!</v>
      </c>
      <c r="CY104" t="e">
        <f>AND('Data Control'!#REF!,"AAAAAFz+P2Y=")</f>
        <v>#REF!</v>
      </c>
      <c r="CZ104" t="e">
        <f>AND('Data Control'!#REF!,"AAAAAFz+P2c=")</f>
        <v>#REF!</v>
      </c>
      <c r="DA104" t="e">
        <f>AND('Data Control'!#REF!,"AAAAAFz+P2g=")</f>
        <v>#REF!</v>
      </c>
      <c r="DB104" t="e">
        <f>AND('Data Control'!#REF!,"AAAAAFz+P2k=")</f>
        <v>#REF!</v>
      </c>
      <c r="DC104" t="e">
        <f>AND('Data Control'!#REF!,"AAAAAFz+P2o=")</f>
        <v>#REF!</v>
      </c>
      <c r="DD104" t="e">
        <f>AND('Data Control'!#REF!,"AAAAAFz+P2s=")</f>
        <v>#REF!</v>
      </c>
      <c r="DE104" t="e">
        <f>AND('Data Control'!#REF!,"AAAAAFz+P2w=")</f>
        <v>#REF!</v>
      </c>
      <c r="DF104" t="e">
        <f>AND('Data Control'!#REF!,"AAAAAFz+P20=")</f>
        <v>#REF!</v>
      </c>
      <c r="DG104" t="e">
        <f>AND('Data Control'!#REF!,"AAAAAFz+P24=")</f>
        <v>#REF!</v>
      </c>
      <c r="DH104" t="e">
        <f>AND('Data Control'!#REF!,"AAAAAFz+P28=")</f>
        <v>#REF!</v>
      </c>
      <c r="DI104" t="e">
        <f>AND('Data Control'!#REF!,"AAAAAFz+P3A=")</f>
        <v>#REF!</v>
      </c>
      <c r="DJ104" t="e">
        <f>AND('Data Control'!#REF!,"AAAAAFz+P3E=")</f>
        <v>#REF!</v>
      </c>
      <c r="DK104" t="e">
        <f>AND('Data Control'!#REF!,"AAAAAFz+P3I=")</f>
        <v>#REF!</v>
      </c>
      <c r="DL104" t="e">
        <f>IF('Data Control'!#REF!,"AAAAAFz+P3M=",0)</f>
        <v>#REF!</v>
      </c>
      <c r="DM104" t="e">
        <f>AND('Data Control'!#REF!,"AAAAAFz+P3Q=")</f>
        <v>#REF!</v>
      </c>
      <c r="DN104" t="e">
        <f>AND('Data Control'!#REF!,"AAAAAFz+P3U=")</f>
        <v>#REF!</v>
      </c>
      <c r="DO104" t="e">
        <f>AND('Data Control'!#REF!,"AAAAAFz+P3Y=")</f>
        <v>#REF!</v>
      </c>
      <c r="DP104" t="e">
        <f>AND('Data Control'!#REF!,"AAAAAFz+P3c=")</f>
        <v>#REF!</v>
      </c>
      <c r="DQ104" t="e">
        <f>AND('Data Control'!#REF!,"AAAAAFz+P3g=")</f>
        <v>#REF!</v>
      </c>
      <c r="DR104" t="e">
        <f>AND('Data Control'!#REF!,"AAAAAFz+P3k=")</f>
        <v>#REF!</v>
      </c>
      <c r="DS104" t="e">
        <f>AND('Data Control'!#REF!,"AAAAAFz+P3o=")</f>
        <v>#REF!</v>
      </c>
      <c r="DT104" t="e">
        <f>AND('Data Control'!#REF!,"AAAAAFz+P3s=")</f>
        <v>#REF!</v>
      </c>
      <c r="DU104" t="e">
        <f>AND('Data Control'!#REF!,"AAAAAFz+P3w=")</f>
        <v>#REF!</v>
      </c>
      <c r="DV104" t="e">
        <f>AND('Data Control'!#REF!,"AAAAAFz+P30=")</f>
        <v>#REF!</v>
      </c>
      <c r="DW104" t="e">
        <f>AND('Data Control'!#REF!,"AAAAAFz+P34=")</f>
        <v>#REF!</v>
      </c>
      <c r="DX104" t="e">
        <f>AND('Data Control'!#REF!,"AAAAAFz+P38=")</f>
        <v>#REF!</v>
      </c>
      <c r="DY104" t="e">
        <f>AND('Data Control'!#REF!,"AAAAAFz+P4A=")</f>
        <v>#REF!</v>
      </c>
      <c r="DZ104" t="e">
        <f>IF('Data Control'!#REF!,"AAAAAFz+P4E=",0)</f>
        <v>#REF!</v>
      </c>
      <c r="EA104" t="e">
        <f>AND('Data Control'!#REF!,"AAAAAFz+P4I=")</f>
        <v>#REF!</v>
      </c>
      <c r="EB104" t="e">
        <f>AND('Data Control'!#REF!,"AAAAAFz+P4M=")</f>
        <v>#REF!</v>
      </c>
      <c r="EC104" t="e">
        <f>AND('Data Control'!#REF!,"AAAAAFz+P4Q=")</f>
        <v>#REF!</v>
      </c>
      <c r="ED104" t="e">
        <f>AND('Data Control'!#REF!,"AAAAAFz+P4U=")</f>
        <v>#REF!</v>
      </c>
      <c r="EE104" t="e">
        <f>AND('Data Control'!#REF!,"AAAAAFz+P4Y=")</f>
        <v>#REF!</v>
      </c>
      <c r="EF104" t="e">
        <f>AND('Data Control'!#REF!,"AAAAAFz+P4c=")</f>
        <v>#REF!</v>
      </c>
      <c r="EG104" t="e">
        <f>AND('Data Control'!#REF!,"AAAAAFz+P4g=")</f>
        <v>#REF!</v>
      </c>
      <c r="EH104" t="e">
        <f>AND('Data Control'!#REF!,"AAAAAFz+P4k=")</f>
        <v>#REF!</v>
      </c>
      <c r="EI104" t="e">
        <f>AND('Data Control'!#REF!,"AAAAAFz+P4o=")</f>
        <v>#REF!</v>
      </c>
      <c r="EJ104" t="e">
        <f>AND('Data Control'!#REF!,"AAAAAFz+P4s=")</f>
        <v>#REF!</v>
      </c>
      <c r="EK104" t="e">
        <f>AND('Data Control'!#REF!,"AAAAAFz+P4w=")</f>
        <v>#REF!</v>
      </c>
      <c r="EL104" t="e">
        <f>AND('Data Control'!#REF!,"AAAAAFz+P40=")</f>
        <v>#REF!</v>
      </c>
      <c r="EM104" t="e">
        <f>AND('Data Control'!#REF!,"AAAAAFz+P44=")</f>
        <v>#REF!</v>
      </c>
      <c r="EN104" t="e">
        <f>IF('Data Control'!#REF!,"AAAAAFz+P48=",0)</f>
        <v>#REF!</v>
      </c>
      <c r="EO104" t="e">
        <f>AND('Data Control'!#REF!,"AAAAAFz+P5A=")</f>
        <v>#REF!</v>
      </c>
      <c r="EP104" t="e">
        <f>AND('Data Control'!#REF!,"AAAAAFz+P5E=")</f>
        <v>#REF!</v>
      </c>
      <c r="EQ104" t="e">
        <f>AND('Data Control'!#REF!,"AAAAAFz+P5I=")</f>
        <v>#REF!</v>
      </c>
      <c r="ER104" t="e">
        <f>AND('Data Control'!#REF!,"AAAAAFz+P5M=")</f>
        <v>#REF!</v>
      </c>
      <c r="ES104" t="e">
        <f>AND('Data Control'!#REF!,"AAAAAFz+P5Q=")</f>
        <v>#REF!</v>
      </c>
      <c r="ET104" t="e">
        <f>AND('Data Control'!#REF!,"AAAAAFz+P5U=")</f>
        <v>#REF!</v>
      </c>
      <c r="EU104" t="e">
        <f>AND('Data Control'!#REF!,"AAAAAFz+P5Y=")</f>
        <v>#REF!</v>
      </c>
      <c r="EV104" t="e">
        <f>AND('Data Control'!#REF!,"AAAAAFz+P5c=")</f>
        <v>#REF!</v>
      </c>
      <c r="EW104" t="e">
        <f>AND('Data Control'!#REF!,"AAAAAFz+P5g=")</f>
        <v>#REF!</v>
      </c>
      <c r="EX104" t="e">
        <f>AND('Data Control'!#REF!,"AAAAAFz+P5k=")</f>
        <v>#REF!</v>
      </c>
      <c r="EY104" t="e">
        <f>AND('Data Control'!#REF!,"AAAAAFz+P5o=")</f>
        <v>#REF!</v>
      </c>
      <c r="EZ104" t="e">
        <f>AND('Data Control'!#REF!,"AAAAAFz+P5s=")</f>
        <v>#REF!</v>
      </c>
      <c r="FA104" t="e">
        <f>AND('Data Control'!#REF!,"AAAAAFz+P5w=")</f>
        <v>#REF!</v>
      </c>
      <c r="FB104" t="e">
        <f>IF('Data Control'!#REF!,"AAAAAFz+P50=",0)</f>
        <v>#REF!</v>
      </c>
      <c r="FC104" t="e">
        <f>AND('Data Control'!#REF!,"AAAAAFz+P54=")</f>
        <v>#REF!</v>
      </c>
      <c r="FD104" t="e">
        <f>AND('Data Control'!#REF!,"AAAAAFz+P58=")</f>
        <v>#REF!</v>
      </c>
      <c r="FE104" t="e">
        <f>AND('Data Control'!#REF!,"AAAAAFz+P6A=")</f>
        <v>#REF!</v>
      </c>
      <c r="FF104" t="e">
        <f>AND('Data Control'!#REF!,"AAAAAFz+P6E=")</f>
        <v>#REF!</v>
      </c>
      <c r="FG104" t="e">
        <f>AND('Data Control'!#REF!,"AAAAAFz+P6I=")</f>
        <v>#REF!</v>
      </c>
      <c r="FH104" t="e">
        <f>AND('Data Control'!#REF!,"AAAAAFz+P6M=")</f>
        <v>#REF!</v>
      </c>
      <c r="FI104" t="e">
        <f>AND('Data Control'!#REF!,"AAAAAFz+P6Q=")</f>
        <v>#REF!</v>
      </c>
      <c r="FJ104" t="e">
        <f>AND('Data Control'!#REF!,"AAAAAFz+P6U=")</f>
        <v>#REF!</v>
      </c>
      <c r="FK104" t="e">
        <f>AND('Data Control'!#REF!,"AAAAAFz+P6Y=")</f>
        <v>#REF!</v>
      </c>
      <c r="FL104" t="e">
        <f>AND('Data Control'!#REF!,"AAAAAFz+P6c=")</f>
        <v>#REF!</v>
      </c>
      <c r="FM104" t="e">
        <f>AND('Data Control'!#REF!,"AAAAAFz+P6g=")</f>
        <v>#REF!</v>
      </c>
      <c r="FN104" t="e">
        <f>AND('Data Control'!#REF!,"AAAAAFz+P6k=")</f>
        <v>#REF!</v>
      </c>
      <c r="FO104" t="e">
        <f>AND('Data Control'!#REF!,"AAAAAFz+P6o=")</f>
        <v>#REF!</v>
      </c>
      <c r="FP104" t="e">
        <f>IF('Data Control'!#REF!,"AAAAAFz+P6s=",0)</f>
        <v>#REF!</v>
      </c>
      <c r="FQ104" t="e">
        <f>AND('Data Control'!#REF!,"AAAAAFz+P6w=")</f>
        <v>#REF!</v>
      </c>
      <c r="FR104" t="e">
        <f>AND('Data Control'!#REF!,"AAAAAFz+P60=")</f>
        <v>#REF!</v>
      </c>
      <c r="FS104" t="e">
        <f>AND('Data Control'!#REF!,"AAAAAFz+P64=")</f>
        <v>#REF!</v>
      </c>
      <c r="FT104" t="e">
        <f>AND('Data Control'!#REF!,"AAAAAFz+P68=")</f>
        <v>#REF!</v>
      </c>
      <c r="FU104" t="e">
        <f>AND('Data Control'!#REF!,"AAAAAFz+P7A=")</f>
        <v>#REF!</v>
      </c>
      <c r="FV104" t="e">
        <f>AND('Data Control'!#REF!,"AAAAAFz+P7E=")</f>
        <v>#REF!</v>
      </c>
      <c r="FW104" t="e">
        <f>AND('Data Control'!#REF!,"AAAAAFz+P7I=")</f>
        <v>#REF!</v>
      </c>
      <c r="FX104" t="e">
        <f>AND('Data Control'!#REF!,"AAAAAFz+P7M=")</f>
        <v>#REF!</v>
      </c>
      <c r="FY104" t="e">
        <f>AND('Data Control'!#REF!,"AAAAAFz+P7Q=")</f>
        <v>#REF!</v>
      </c>
      <c r="FZ104" t="e">
        <f>AND('Data Control'!#REF!,"AAAAAFz+P7U=")</f>
        <v>#REF!</v>
      </c>
      <c r="GA104" t="e">
        <f>AND('Data Control'!#REF!,"AAAAAFz+P7Y=")</f>
        <v>#REF!</v>
      </c>
      <c r="GB104" t="e">
        <f>AND('Data Control'!#REF!,"AAAAAFz+P7c=")</f>
        <v>#REF!</v>
      </c>
      <c r="GC104" t="e">
        <f>AND('Data Control'!#REF!,"AAAAAFz+P7g=")</f>
        <v>#REF!</v>
      </c>
      <c r="GD104" t="e">
        <f>IF('Data Control'!#REF!,"AAAAAFz+P7k=",0)</f>
        <v>#REF!</v>
      </c>
      <c r="GE104" t="e">
        <f>AND('Data Control'!#REF!,"AAAAAFz+P7o=")</f>
        <v>#REF!</v>
      </c>
      <c r="GF104" t="e">
        <f>AND('Data Control'!#REF!,"AAAAAFz+P7s=")</f>
        <v>#REF!</v>
      </c>
      <c r="GG104" t="e">
        <f>AND('Data Control'!#REF!,"AAAAAFz+P7w=")</f>
        <v>#REF!</v>
      </c>
      <c r="GH104" t="e">
        <f>AND('Data Control'!#REF!,"AAAAAFz+P70=")</f>
        <v>#REF!</v>
      </c>
      <c r="GI104" t="e">
        <f>AND('Data Control'!#REF!,"AAAAAFz+P74=")</f>
        <v>#REF!</v>
      </c>
      <c r="GJ104" t="e">
        <f>AND('Data Control'!#REF!,"AAAAAFz+P78=")</f>
        <v>#REF!</v>
      </c>
      <c r="GK104" t="e">
        <f>AND('Data Control'!#REF!,"AAAAAFz+P8A=")</f>
        <v>#REF!</v>
      </c>
      <c r="GL104" t="e">
        <f>AND('Data Control'!#REF!,"AAAAAFz+P8E=")</f>
        <v>#REF!</v>
      </c>
      <c r="GM104" t="e">
        <f>AND('Data Control'!#REF!,"AAAAAFz+P8I=")</f>
        <v>#REF!</v>
      </c>
      <c r="GN104" t="e">
        <f>AND('Data Control'!#REF!,"AAAAAFz+P8M=")</f>
        <v>#REF!</v>
      </c>
      <c r="GO104" t="e">
        <f>AND('Data Control'!#REF!,"AAAAAFz+P8Q=")</f>
        <v>#REF!</v>
      </c>
      <c r="GP104" t="e">
        <f>AND('Data Control'!#REF!,"AAAAAFz+P8U=")</f>
        <v>#REF!</v>
      </c>
      <c r="GQ104" t="e">
        <f>AND('Data Control'!#REF!,"AAAAAFz+P8Y=")</f>
        <v>#REF!</v>
      </c>
      <c r="GR104" t="e">
        <f>IF('Data Control'!#REF!,"AAAAAFz+P8c=",0)</f>
        <v>#REF!</v>
      </c>
      <c r="GS104" t="e">
        <f>AND('Data Control'!#REF!,"AAAAAFz+P8g=")</f>
        <v>#REF!</v>
      </c>
      <c r="GT104" t="e">
        <f>AND('Data Control'!#REF!,"AAAAAFz+P8k=")</f>
        <v>#REF!</v>
      </c>
      <c r="GU104" t="e">
        <f>AND('Data Control'!#REF!,"AAAAAFz+P8o=")</f>
        <v>#REF!</v>
      </c>
      <c r="GV104" t="e">
        <f>AND('Data Control'!#REF!,"AAAAAFz+P8s=")</f>
        <v>#REF!</v>
      </c>
      <c r="GW104" t="e">
        <f>AND('Data Control'!#REF!,"AAAAAFz+P8w=")</f>
        <v>#REF!</v>
      </c>
      <c r="GX104" t="e">
        <f>AND('Data Control'!#REF!,"AAAAAFz+P80=")</f>
        <v>#REF!</v>
      </c>
      <c r="GY104" t="e">
        <f>AND('Data Control'!#REF!,"AAAAAFz+P84=")</f>
        <v>#REF!</v>
      </c>
      <c r="GZ104" t="e">
        <f>AND('Data Control'!#REF!,"AAAAAFz+P88=")</f>
        <v>#REF!</v>
      </c>
      <c r="HA104" t="e">
        <f>AND('Data Control'!#REF!,"AAAAAFz+P9A=")</f>
        <v>#REF!</v>
      </c>
      <c r="HB104" t="e">
        <f>AND('Data Control'!#REF!,"AAAAAFz+P9E=")</f>
        <v>#REF!</v>
      </c>
      <c r="HC104" t="e">
        <f>AND('Data Control'!#REF!,"AAAAAFz+P9I=")</f>
        <v>#REF!</v>
      </c>
      <c r="HD104" t="e">
        <f>AND('Data Control'!#REF!,"AAAAAFz+P9M=")</f>
        <v>#REF!</v>
      </c>
      <c r="HE104" t="e">
        <f>AND('Data Control'!#REF!,"AAAAAFz+P9Q=")</f>
        <v>#REF!</v>
      </c>
      <c r="HF104" t="e">
        <f>IF('Data Control'!#REF!,"AAAAAFz+P9U=",0)</f>
        <v>#REF!</v>
      </c>
      <c r="HG104" t="e">
        <f>AND('Data Control'!#REF!,"AAAAAFz+P9Y=")</f>
        <v>#REF!</v>
      </c>
      <c r="HH104" t="e">
        <f>AND('Data Control'!#REF!,"AAAAAFz+P9c=")</f>
        <v>#REF!</v>
      </c>
      <c r="HI104" t="e">
        <f>AND('Data Control'!#REF!,"AAAAAFz+P9g=")</f>
        <v>#REF!</v>
      </c>
      <c r="HJ104" t="e">
        <f>AND('Data Control'!#REF!,"AAAAAFz+P9k=")</f>
        <v>#REF!</v>
      </c>
      <c r="HK104" t="e">
        <f>AND('Data Control'!#REF!,"AAAAAFz+P9o=")</f>
        <v>#REF!</v>
      </c>
      <c r="HL104" t="e">
        <f>AND('Data Control'!#REF!,"AAAAAFz+P9s=")</f>
        <v>#REF!</v>
      </c>
      <c r="HM104" t="e">
        <f>AND('Data Control'!#REF!,"AAAAAFz+P9w=")</f>
        <v>#REF!</v>
      </c>
      <c r="HN104" t="e">
        <f>AND('Data Control'!#REF!,"AAAAAFz+P90=")</f>
        <v>#REF!</v>
      </c>
      <c r="HO104" t="e">
        <f>AND('Data Control'!#REF!,"AAAAAFz+P94=")</f>
        <v>#REF!</v>
      </c>
      <c r="HP104" t="e">
        <f>AND('Data Control'!#REF!,"AAAAAFz+P98=")</f>
        <v>#REF!</v>
      </c>
      <c r="HQ104" t="e">
        <f>AND('Data Control'!#REF!,"AAAAAFz+P+A=")</f>
        <v>#REF!</v>
      </c>
      <c r="HR104" t="e">
        <f>AND('Data Control'!#REF!,"AAAAAFz+P+E=")</f>
        <v>#REF!</v>
      </c>
      <c r="HS104" t="e">
        <f>AND('Data Control'!#REF!,"AAAAAFz+P+I=")</f>
        <v>#REF!</v>
      </c>
      <c r="HT104" t="e">
        <f>IF('Data Control'!#REF!,"AAAAAFz+P+M=",0)</f>
        <v>#REF!</v>
      </c>
      <c r="HU104" t="e">
        <f>AND('Data Control'!#REF!,"AAAAAFz+P+Q=")</f>
        <v>#REF!</v>
      </c>
      <c r="HV104" t="e">
        <f>AND('Data Control'!#REF!,"AAAAAFz+P+U=")</f>
        <v>#REF!</v>
      </c>
      <c r="HW104" t="e">
        <f>AND('Data Control'!#REF!,"AAAAAFz+P+Y=")</f>
        <v>#REF!</v>
      </c>
      <c r="HX104" t="e">
        <f>AND('Data Control'!#REF!,"AAAAAFz+P+c=")</f>
        <v>#REF!</v>
      </c>
      <c r="HY104" t="e">
        <f>AND('Data Control'!#REF!,"AAAAAFz+P+g=")</f>
        <v>#REF!</v>
      </c>
      <c r="HZ104" t="e">
        <f>AND('Data Control'!#REF!,"AAAAAFz+P+k=")</f>
        <v>#REF!</v>
      </c>
      <c r="IA104" t="e">
        <f>AND('Data Control'!#REF!,"AAAAAFz+P+o=")</f>
        <v>#REF!</v>
      </c>
      <c r="IB104" t="e">
        <f>AND('Data Control'!#REF!,"AAAAAFz+P+s=")</f>
        <v>#REF!</v>
      </c>
      <c r="IC104" t="e">
        <f>AND('Data Control'!#REF!,"AAAAAFz+P+w=")</f>
        <v>#REF!</v>
      </c>
      <c r="ID104" t="e">
        <f>AND('Data Control'!#REF!,"AAAAAFz+P+0=")</f>
        <v>#REF!</v>
      </c>
      <c r="IE104" t="e">
        <f>AND('Data Control'!#REF!,"AAAAAFz+P+4=")</f>
        <v>#REF!</v>
      </c>
      <c r="IF104" t="e">
        <f>AND('Data Control'!#REF!,"AAAAAFz+P+8=")</f>
        <v>#REF!</v>
      </c>
      <c r="IG104" t="e">
        <f>AND('Data Control'!#REF!,"AAAAAFz+P/A=")</f>
        <v>#REF!</v>
      </c>
      <c r="IH104" t="e">
        <f>IF('Data Control'!#REF!,"AAAAAFz+P/E=",0)</f>
        <v>#REF!</v>
      </c>
      <c r="II104" t="e">
        <f>AND('Data Control'!#REF!,"AAAAAFz+P/I=")</f>
        <v>#REF!</v>
      </c>
      <c r="IJ104" t="e">
        <f>AND('Data Control'!#REF!,"AAAAAFz+P/M=")</f>
        <v>#REF!</v>
      </c>
      <c r="IK104" t="e">
        <f>AND('Data Control'!#REF!,"AAAAAFz+P/Q=")</f>
        <v>#REF!</v>
      </c>
      <c r="IL104" t="e">
        <f>AND('Data Control'!#REF!,"AAAAAFz+P/U=")</f>
        <v>#REF!</v>
      </c>
      <c r="IM104" t="e">
        <f>AND('Data Control'!#REF!,"AAAAAFz+P/Y=")</f>
        <v>#REF!</v>
      </c>
      <c r="IN104" t="e">
        <f>AND('Data Control'!#REF!,"AAAAAFz+P/c=")</f>
        <v>#REF!</v>
      </c>
      <c r="IO104" t="e">
        <f>AND('Data Control'!#REF!,"AAAAAFz+P/g=")</f>
        <v>#REF!</v>
      </c>
      <c r="IP104" t="e">
        <f>AND('Data Control'!#REF!,"AAAAAFz+P/k=")</f>
        <v>#REF!</v>
      </c>
      <c r="IQ104" t="e">
        <f>AND('Data Control'!#REF!,"AAAAAFz+P/o=")</f>
        <v>#REF!</v>
      </c>
      <c r="IR104" t="e">
        <f>AND('Data Control'!#REF!,"AAAAAFz+P/s=")</f>
        <v>#REF!</v>
      </c>
      <c r="IS104" t="e">
        <f>AND('Data Control'!#REF!,"AAAAAFz+P/w=")</f>
        <v>#REF!</v>
      </c>
      <c r="IT104" t="e">
        <f>AND('Data Control'!#REF!,"AAAAAFz+P/0=")</f>
        <v>#REF!</v>
      </c>
      <c r="IU104" t="e">
        <f>AND('Data Control'!#REF!,"AAAAAFz+P/4=")</f>
        <v>#REF!</v>
      </c>
      <c r="IV104" t="e">
        <f>IF('Data Control'!#REF!,"AAAAAFz+P/8=",0)</f>
        <v>#REF!</v>
      </c>
    </row>
    <row r="105" spans="1:256" x14ac:dyDescent="0.2">
      <c r="A105" t="e">
        <f>AND('Data Control'!#REF!,"AAAAAFzvHQA=")</f>
        <v>#REF!</v>
      </c>
      <c r="B105" t="e">
        <f>AND('Data Control'!#REF!,"AAAAAFzvHQE=")</f>
        <v>#REF!</v>
      </c>
      <c r="C105" t="e">
        <f>AND('Data Control'!#REF!,"AAAAAFzvHQI=")</f>
        <v>#REF!</v>
      </c>
      <c r="D105" t="e">
        <f>AND('Data Control'!#REF!,"AAAAAFzvHQM=")</f>
        <v>#REF!</v>
      </c>
      <c r="E105" t="e">
        <f>AND('Data Control'!#REF!,"AAAAAFzvHQQ=")</f>
        <v>#REF!</v>
      </c>
      <c r="F105" t="e">
        <f>AND('Data Control'!#REF!,"AAAAAFzvHQU=")</f>
        <v>#REF!</v>
      </c>
      <c r="G105" t="e">
        <f>AND('Data Control'!#REF!,"AAAAAFzvHQY=")</f>
        <v>#REF!</v>
      </c>
      <c r="H105" t="e">
        <f>AND('Data Control'!#REF!,"AAAAAFzvHQc=")</f>
        <v>#REF!</v>
      </c>
      <c r="I105" t="e">
        <f>AND('Data Control'!#REF!,"AAAAAFzvHQg=")</f>
        <v>#REF!</v>
      </c>
      <c r="J105" t="e">
        <f>AND('Data Control'!#REF!,"AAAAAFzvHQk=")</f>
        <v>#REF!</v>
      </c>
      <c r="K105" t="e">
        <f>AND('Data Control'!#REF!,"AAAAAFzvHQo=")</f>
        <v>#REF!</v>
      </c>
      <c r="L105" t="e">
        <f>AND('Data Control'!#REF!,"AAAAAFzvHQs=")</f>
        <v>#REF!</v>
      </c>
      <c r="M105" t="e">
        <f>AND('Data Control'!#REF!,"AAAAAFzvHQw=")</f>
        <v>#REF!</v>
      </c>
      <c r="N105" t="e">
        <f>IF('Data Control'!#REF!,"AAAAAFzvHQ0=",0)</f>
        <v>#REF!</v>
      </c>
      <c r="O105" t="e">
        <f>AND('Data Control'!#REF!,"AAAAAFzvHQ4=")</f>
        <v>#REF!</v>
      </c>
      <c r="P105" t="e">
        <f>AND('Data Control'!#REF!,"AAAAAFzvHQ8=")</f>
        <v>#REF!</v>
      </c>
      <c r="Q105" t="e">
        <f>AND('Data Control'!#REF!,"AAAAAFzvHRA=")</f>
        <v>#REF!</v>
      </c>
      <c r="R105" t="e">
        <f>AND('Data Control'!#REF!,"AAAAAFzvHRE=")</f>
        <v>#REF!</v>
      </c>
      <c r="S105" t="e">
        <f>AND('Data Control'!#REF!,"AAAAAFzvHRI=")</f>
        <v>#REF!</v>
      </c>
      <c r="T105" t="e">
        <f>AND('Data Control'!#REF!,"AAAAAFzvHRM=")</f>
        <v>#REF!</v>
      </c>
      <c r="U105" t="e">
        <f>AND('Data Control'!#REF!,"AAAAAFzvHRQ=")</f>
        <v>#REF!</v>
      </c>
      <c r="V105" t="e">
        <f>AND('Data Control'!#REF!,"AAAAAFzvHRU=")</f>
        <v>#REF!</v>
      </c>
      <c r="W105" t="e">
        <f>AND('Data Control'!#REF!,"AAAAAFzvHRY=")</f>
        <v>#REF!</v>
      </c>
      <c r="X105" t="e">
        <f>AND('Data Control'!#REF!,"AAAAAFzvHRc=")</f>
        <v>#REF!</v>
      </c>
      <c r="Y105" t="e">
        <f>AND('Data Control'!#REF!,"AAAAAFzvHRg=")</f>
        <v>#REF!</v>
      </c>
      <c r="Z105" t="e">
        <f>AND('Data Control'!#REF!,"AAAAAFzvHRk=")</f>
        <v>#REF!</v>
      </c>
      <c r="AA105" t="e">
        <f>AND('Data Control'!#REF!,"AAAAAFzvHRo=")</f>
        <v>#REF!</v>
      </c>
      <c r="AB105" t="e">
        <f>IF('Data Control'!#REF!,"AAAAAFzvHRs=",0)</f>
        <v>#REF!</v>
      </c>
      <c r="AC105" t="e">
        <f>AND('Data Control'!#REF!,"AAAAAFzvHRw=")</f>
        <v>#REF!</v>
      </c>
      <c r="AD105" t="e">
        <f>AND('Data Control'!#REF!,"AAAAAFzvHR0=")</f>
        <v>#REF!</v>
      </c>
      <c r="AE105" t="e">
        <f>AND('Data Control'!#REF!,"AAAAAFzvHR4=")</f>
        <v>#REF!</v>
      </c>
      <c r="AF105" t="e">
        <f>AND('Data Control'!#REF!,"AAAAAFzvHR8=")</f>
        <v>#REF!</v>
      </c>
      <c r="AG105" t="e">
        <f>AND('Data Control'!#REF!,"AAAAAFzvHSA=")</f>
        <v>#REF!</v>
      </c>
      <c r="AH105" t="e">
        <f>AND('Data Control'!#REF!,"AAAAAFzvHSE=")</f>
        <v>#REF!</v>
      </c>
      <c r="AI105" t="e">
        <f>AND('Data Control'!#REF!,"AAAAAFzvHSI=")</f>
        <v>#REF!</v>
      </c>
      <c r="AJ105" t="e">
        <f>AND('Data Control'!#REF!,"AAAAAFzvHSM=")</f>
        <v>#REF!</v>
      </c>
      <c r="AK105" t="e">
        <f>AND('Data Control'!#REF!,"AAAAAFzvHSQ=")</f>
        <v>#REF!</v>
      </c>
      <c r="AL105" t="e">
        <f>AND('Data Control'!#REF!,"AAAAAFzvHSU=")</f>
        <v>#REF!</v>
      </c>
      <c r="AM105" t="e">
        <f>AND('Data Control'!#REF!,"AAAAAFzvHSY=")</f>
        <v>#REF!</v>
      </c>
      <c r="AN105" t="e">
        <f>AND('Data Control'!#REF!,"AAAAAFzvHSc=")</f>
        <v>#REF!</v>
      </c>
      <c r="AO105" t="e">
        <f>AND('Data Control'!#REF!,"AAAAAFzvHSg=")</f>
        <v>#REF!</v>
      </c>
      <c r="AP105">
        <f>IF('Data Control'!19:19,"AAAAAFzvHSk=",0)</f>
        <v>0</v>
      </c>
      <c r="AQ105" t="e">
        <f>AND('Data Control'!#REF!,"AAAAAFzvHSo=")</f>
        <v>#REF!</v>
      </c>
      <c r="AR105" t="e">
        <f>AND('Data Control'!A19,"AAAAAFzvHSs=")</f>
        <v>#VALUE!</v>
      </c>
      <c r="AS105" t="e">
        <f>AND('Data Control'!C19,"AAAAAFzvHSw=")</f>
        <v>#VALUE!</v>
      </c>
      <c r="AT105" t="e">
        <f>AND('Data Control'!D19,"AAAAAFzvHS0=")</f>
        <v>#VALUE!</v>
      </c>
      <c r="AU105" t="e">
        <f>AND('Data Control'!E19,"AAAAAFzvHS4=")</f>
        <v>#VALUE!</v>
      </c>
      <c r="AV105" t="e">
        <f>AND('Data Control'!F19,"AAAAAFzvHS8=")</f>
        <v>#VALUE!</v>
      </c>
      <c r="AW105" t="e">
        <f>AND('Data Control'!G19,"AAAAAFzvHTA=")</f>
        <v>#VALUE!</v>
      </c>
      <c r="AX105" t="e">
        <f>AND('Data Control'!H19,"AAAAAFzvHTE=")</f>
        <v>#VALUE!</v>
      </c>
      <c r="AY105" t="e">
        <f>AND('Data Control'!#REF!,"AAAAAFzvHTI=")</f>
        <v>#REF!</v>
      </c>
      <c r="AZ105" t="e">
        <f>AND('Data Control'!I19,"AAAAAFzvHTM=")</f>
        <v>#VALUE!</v>
      </c>
      <c r="BA105" t="e">
        <f>AND('Data Control'!J19,"AAAAAFzvHTQ=")</f>
        <v>#VALUE!</v>
      </c>
      <c r="BB105" t="e">
        <f>AND('Data Control'!K19,"AAAAAFzvHTU=")</f>
        <v>#VALUE!</v>
      </c>
      <c r="BC105" t="e">
        <f>AND('Data Control'!L19,"AAAAAFzvHTY=")</f>
        <v>#VALUE!</v>
      </c>
      <c r="BD105">
        <f>IF('Data Control'!20:20,"AAAAAFzvHTc=",0)</f>
        <v>0</v>
      </c>
      <c r="BE105" t="e">
        <f>AND('Data Control'!A20,"AAAAAFzvHTg=")</f>
        <v>#VALUE!</v>
      </c>
      <c r="BF105" t="e">
        <f>AND('Data Control'!B20,"AAAAAFzvHTk=")</f>
        <v>#VALUE!</v>
      </c>
      <c r="BG105" t="e">
        <f>AND('Data Control'!C20,"AAAAAFzvHTo=")</f>
        <v>#VALUE!</v>
      </c>
      <c r="BH105" t="e">
        <f>AND('Data Control'!D20,"AAAAAFzvHTs=")</f>
        <v>#VALUE!</v>
      </c>
      <c r="BI105" t="e">
        <f>AND('Data Control'!E20,"AAAAAFzvHTw=")</f>
        <v>#VALUE!</v>
      </c>
      <c r="BJ105" t="e">
        <f>AND('Data Control'!F20,"AAAAAFzvHT0=")</f>
        <v>#VALUE!</v>
      </c>
      <c r="BK105" t="e">
        <f>AND('Data Control'!G20,"AAAAAFzvHT4=")</f>
        <v>#VALUE!</v>
      </c>
      <c r="BL105" t="e">
        <f>AND('Data Control'!H20,"AAAAAFzvHT8=")</f>
        <v>#VALUE!</v>
      </c>
      <c r="BM105" t="e">
        <f>AND('Data Control'!I20,"AAAAAFzvHUA=")</f>
        <v>#VALUE!</v>
      </c>
      <c r="BN105" t="e">
        <f>AND('Data Control'!J20,"AAAAAFzvHUE=")</f>
        <v>#VALUE!</v>
      </c>
      <c r="BO105" t="e">
        <f>AND('Data Control'!K20,"AAAAAFzvHUI=")</f>
        <v>#VALUE!</v>
      </c>
      <c r="BP105" t="e">
        <f>AND('Data Control'!L20,"AAAAAFzvHUM=")</f>
        <v>#VALUE!</v>
      </c>
      <c r="BQ105" t="e">
        <f>AND('Data Control'!M20,"AAAAAFzvHUQ=")</f>
        <v>#VALUE!</v>
      </c>
      <c r="BR105">
        <f>IF('Data Control'!21:21,"AAAAAFzvHUU=",0)</f>
        <v>0</v>
      </c>
      <c r="BS105" t="e">
        <f>AND('Data Control'!A21,"AAAAAFzvHUY=")</f>
        <v>#VALUE!</v>
      </c>
      <c r="BT105" t="e">
        <f>AND('Data Control'!B21,"AAAAAFzvHUc=")</f>
        <v>#VALUE!</v>
      </c>
      <c r="BU105" t="e">
        <f>AND('Data Control'!C21,"AAAAAFzvHUg=")</f>
        <v>#VALUE!</v>
      </c>
      <c r="BV105" t="e">
        <f>AND('Data Control'!D21,"AAAAAFzvHUk=")</f>
        <v>#VALUE!</v>
      </c>
      <c r="BW105" t="e">
        <f>AND('Data Control'!E21,"AAAAAFzvHUo=")</f>
        <v>#VALUE!</v>
      </c>
      <c r="BX105" t="e">
        <f>AND('Data Control'!F21,"AAAAAFzvHUs=")</f>
        <v>#VALUE!</v>
      </c>
      <c r="BY105" t="e">
        <f>AND('Data Control'!G21,"AAAAAFzvHUw=")</f>
        <v>#VALUE!</v>
      </c>
      <c r="BZ105" t="e">
        <f>AND('Data Control'!H21,"AAAAAFzvHU0=")</f>
        <v>#VALUE!</v>
      </c>
      <c r="CA105" t="e">
        <f>AND('Data Control'!I21,"AAAAAFzvHU4=")</f>
        <v>#VALUE!</v>
      </c>
      <c r="CB105" t="e">
        <f>AND('Data Control'!J21,"AAAAAFzvHU8=")</f>
        <v>#VALUE!</v>
      </c>
      <c r="CC105" t="e">
        <f>AND('Data Control'!K21,"AAAAAFzvHVA=")</f>
        <v>#VALUE!</v>
      </c>
      <c r="CD105" t="e">
        <f>AND('Data Control'!L21,"AAAAAFzvHVE=")</f>
        <v>#VALUE!</v>
      </c>
      <c r="CE105" t="e">
        <f>AND('Data Control'!M21,"AAAAAFzvHVI=")</f>
        <v>#VALUE!</v>
      </c>
      <c r="CF105" t="e">
        <f>IF('Data Control'!#REF!,"AAAAAFzvHVM=",0)</f>
        <v>#REF!</v>
      </c>
      <c r="CG105" t="e">
        <f>AND('Data Control'!#REF!,"AAAAAFzvHVQ=")</f>
        <v>#REF!</v>
      </c>
      <c r="CH105" t="e">
        <f>AND('Data Control'!#REF!,"AAAAAFzvHVU=")</f>
        <v>#REF!</v>
      </c>
      <c r="CI105" t="e">
        <f>AND('Data Control'!#REF!,"AAAAAFzvHVY=")</f>
        <v>#REF!</v>
      </c>
      <c r="CJ105" t="e">
        <f>AND('Data Control'!#REF!,"AAAAAFzvHVc=")</f>
        <v>#REF!</v>
      </c>
      <c r="CK105" t="e">
        <f>AND('Data Control'!#REF!,"AAAAAFzvHVg=")</f>
        <v>#REF!</v>
      </c>
      <c r="CL105" t="e">
        <f>AND('Data Control'!#REF!,"AAAAAFzvHVk=")</f>
        <v>#REF!</v>
      </c>
      <c r="CM105" t="e">
        <f>AND('Data Control'!#REF!,"AAAAAFzvHVo=")</f>
        <v>#REF!</v>
      </c>
      <c r="CN105" t="e">
        <f>AND('Data Control'!#REF!,"AAAAAFzvHVs=")</f>
        <v>#REF!</v>
      </c>
      <c r="CO105" t="e">
        <f>AND('Data Control'!#REF!,"AAAAAFzvHVw=")</f>
        <v>#REF!</v>
      </c>
      <c r="CP105" t="e">
        <f>AND('Data Control'!#REF!,"AAAAAFzvHV0=")</f>
        <v>#REF!</v>
      </c>
      <c r="CQ105" t="e">
        <f>AND('Data Control'!#REF!,"AAAAAFzvHV4=")</f>
        <v>#REF!</v>
      </c>
      <c r="CR105" t="e">
        <f>AND('Data Control'!#REF!,"AAAAAFzvHV8=")</f>
        <v>#REF!</v>
      </c>
      <c r="CS105" t="e">
        <f>AND('Data Control'!#REF!,"AAAAAFzvHWA=")</f>
        <v>#REF!</v>
      </c>
      <c r="CT105" t="e">
        <f>IF('Data Control'!#REF!,"AAAAAFzvHWE=",0)</f>
        <v>#REF!</v>
      </c>
      <c r="CU105" t="e">
        <f>AND('Data Control'!#REF!,"AAAAAFzvHWI=")</f>
        <v>#REF!</v>
      </c>
      <c r="CV105" t="e">
        <f>AND('Data Control'!#REF!,"AAAAAFzvHWM=")</f>
        <v>#REF!</v>
      </c>
      <c r="CW105" t="e">
        <f>AND('Data Control'!#REF!,"AAAAAFzvHWQ=")</f>
        <v>#REF!</v>
      </c>
      <c r="CX105" t="e">
        <f>AND('Data Control'!#REF!,"AAAAAFzvHWU=")</f>
        <v>#REF!</v>
      </c>
      <c r="CY105" t="e">
        <f>AND('Data Control'!#REF!,"AAAAAFzvHWY=")</f>
        <v>#REF!</v>
      </c>
      <c r="CZ105" t="e">
        <f>AND('Data Control'!#REF!,"AAAAAFzvHWc=")</f>
        <v>#REF!</v>
      </c>
      <c r="DA105" t="e">
        <f>AND('Data Control'!#REF!,"AAAAAFzvHWg=")</f>
        <v>#REF!</v>
      </c>
      <c r="DB105" t="e">
        <f>AND('Data Control'!#REF!,"AAAAAFzvHWk=")</f>
        <v>#REF!</v>
      </c>
      <c r="DC105" t="e">
        <f>AND('Data Control'!#REF!,"AAAAAFzvHWo=")</f>
        <v>#REF!</v>
      </c>
      <c r="DD105" t="e">
        <f>AND('Data Control'!#REF!,"AAAAAFzvHWs=")</f>
        <v>#REF!</v>
      </c>
      <c r="DE105" t="e">
        <f>AND('Data Control'!#REF!,"AAAAAFzvHWw=")</f>
        <v>#REF!</v>
      </c>
      <c r="DF105" t="e">
        <f>AND('Data Control'!#REF!,"AAAAAFzvHW0=")</f>
        <v>#REF!</v>
      </c>
      <c r="DG105" t="e">
        <f>AND('Data Control'!#REF!,"AAAAAFzvHW4=")</f>
        <v>#REF!</v>
      </c>
      <c r="DH105" t="e">
        <f>IF('Data Control'!#REF!,"AAAAAFzvHW8=",0)</f>
        <v>#REF!</v>
      </c>
      <c r="DI105" t="e">
        <f>AND('Data Control'!#REF!,"AAAAAFzvHXA=")</f>
        <v>#REF!</v>
      </c>
      <c r="DJ105" t="e">
        <f>AND('Data Control'!#REF!,"AAAAAFzvHXE=")</f>
        <v>#REF!</v>
      </c>
      <c r="DK105" t="e">
        <f>AND('Data Control'!#REF!,"AAAAAFzvHXI=")</f>
        <v>#REF!</v>
      </c>
      <c r="DL105" t="e">
        <f>AND('Data Control'!#REF!,"AAAAAFzvHXM=")</f>
        <v>#REF!</v>
      </c>
      <c r="DM105" t="e">
        <f>AND('Data Control'!#REF!,"AAAAAFzvHXQ=")</f>
        <v>#REF!</v>
      </c>
      <c r="DN105" t="e">
        <f>AND('Data Control'!#REF!,"AAAAAFzvHXU=")</f>
        <v>#REF!</v>
      </c>
      <c r="DO105" t="e">
        <f>AND('Data Control'!#REF!,"AAAAAFzvHXY=")</f>
        <v>#REF!</v>
      </c>
      <c r="DP105" t="e">
        <f>AND('Data Control'!#REF!,"AAAAAFzvHXc=")</f>
        <v>#REF!</v>
      </c>
      <c r="DQ105" t="e">
        <f>AND('Data Control'!#REF!,"AAAAAFzvHXg=")</f>
        <v>#REF!</v>
      </c>
      <c r="DR105" t="e">
        <f>AND('Data Control'!#REF!,"AAAAAFzvHXk=")</f>
        <v>#REF!</v>
      </c>
      <c r="DS105" t="e">
        <f>AND('Data Control'!#REF!,"AAAAAFzvHXo=")</f>
        <v>#REF!</v>
      </c>
      <c r="DT105" t="e">
        <f>AND('Data Control'!#REF!,"AAAAAFzvHXs=")</f>
        <v>#REF!</v>
      </c>
      <c r="DU105" t="e">
        <f>AND('Data Control'!#REF!,"AAAAAFzvHXw=")</f>
        <v>#REF!</v>
      </c>
      <c r="DV105" t="e">
        <f>IF('Data Control'!#REF!,"AAAAAFzvHX0=",0)</f>
        <v>#REF!</v>
      </c>
      <c r="DW105" t="e">
        <f>AND('Data Control'!#REF!,"AAAAAFzvHX4=")</f>
        <v>#REF!</v>
      </c>
      <c r="DX105" t="e">
        <f>AND('Data Control'!#REF!,"AAAAAFzvHX8=")</f>
        <v>#REF!</v>
      </c>
      <c r="DY105" t="e">
        <f>AND('Data Control'!#REF!,"AAAAAFzvHYA=")</f>
        <v>#REF!</v>
      </c>
      <c r="DZ105" t="e">
        <f>AND('Data Control'!#REF!,"AAAAAFzvHYE=")</f>
        <v>#REF!</v>
      </c>
      <c r="EA105" t="e">
        <f>AND('Data Control'!#REF!,"AAAAAFzvHYI=")</f>
        <v>#REF!</v>
      </c>
      <c r="EB105" t="e">
        <f>AND('Data Control'!#REF!,"AAAAAFzvHYM=")</f>
        <v>#REF!</v>
      </c>
      <c r="EC105" t="e">
        <f>AND('Data Control'!#REF!,"AAAAAFzvHYQ=")</f>
        <v>#REF!</v>
      </c>
      <c r="ED105" t="e">
        <f>AND('Data Control'!#REF!,"AAAAAFzvHYU=")</f>
        <v>#REF!</v>
      </c>
      <c r="EE105" t="e">
        <f>AND('Data Control'!#REF!,"AAAAAFzvHYY=")</f>
        <v>#REF!</v>
      </c>
      <c r="EF105" t="e">
        <f>AND('Data Control'!#REF!,"AAAAAFzvHYc=")</f>
        <v>#REF!</v>
      </c>
      <c r="EG105" t="e">
        <f>AND('Data Control'!#REF!,"AAAAAFzvHYg=")</f>
        <v>#REF!</v>
      </c>
      <c r="EH105" t="e">
        <f>AND('Data Control'!#REF!,"AAAAAFzvHYk=")</f>
        <v>#REF!</v>
      </c>
      <c r="EI105" t="e">
        <f>AND('Data Control'!#REF!,"AAAAAFzvHYo=")</f>
        <v>#REF!</v>
      </c>
      <c r="EJ105" t="e">
        <f>IF('Data Control'!#REF!,"AAAAAFzvHYs=",0)</f>
        <v>#REF!</v>
      </c>
      <c r="EK105" t="e">
        <f>AND('Data Control'!#REF!,"AAAAAFzvHYw=")</f>
        <v>#REF!</v>
      </c>
      <c r="EL105" t="e">
        <f>AND('Data Control'!#REF!,"AAAAAFzvHY0=")</f>
        <v>#REF!</v>
      </c>
      <c r="EM105" t="e">
        <f>AND('Data Control'!#REF!,"AAAAAFzvHY4=")</f>
        <v>#REF!</v>
      </c>
      <c r="EN105" t="e">
        <f>AND('Data Control'!#REF!,"AAAAAFzvHY8=")</f>
        <v>#REF!</v>
      </c>
      <c r="EO105" t="e">
        <f>AND('Data Control'!#REF!,"AAAAAFzvHZA=")</f>
        <v>#REF!</v>
      </c>
      <c r="EP105" t="e">
        <f>AND('Data Control'!#REF!,"AAAAAFzvHZE=")</f>
        <v>#REF!</v>
      </c>
      <c r="EQ105" t="e">
        <f>AND('Data Control'!#REF!,"AAAAAFzvHZI=")</f>
        <v>#REF!</v>
      </c>
      <c r="ER105" t="e">
        <f>AND('Data Control'!#REF!,"AAAAAFzvHZM=")</f>
        <v>#REF!</v>
      </c>
      <c r="ES105" t="e">
        <f>AND('Data Control'!#REF!,"AAAAAFzvHZQ=")</f>
        <v>#REF!</v>
      </c>
      <c r="ET105" t="e">
        <f>AND('Data Control'!#REF!,"AAAAAFzvHZU=")</f>
        <v>#REF!</v>
      </c>
      <c r="EU105" t="e">
        <f>AND('Data Control'!#REF!,"AAAAAFzvHZY=")</f>
        <v>#REF!</v>
      </c>
      <c r="EV105" t="e">
        <f>AND('Data Control'!#REF!,"AAAAAFzvHZc=")</f>
        <v>#REF!</v>
      </c>
      <c r="EW105" t="e">
        <f>AND('Data Control'!#REF!,"AAAAAFzvHZg=")</f>
        <v>#REF!</v>
      </c>
      <c r="EX105" t="e">
        <f>IF('Data Control'!#REF!,"AAAAAFzvHZk=",0)</f>
        <v>#REF!</v>
      </c>
      <c r="EY105" t="e">
        <f>AND('Data Control'!#REF!,"AAAAAFzvHZo=")</f>
        <v>#REF!</v>
      </c>
      <c r="EZ105" t="e">
        <f>AND('Data Control'!#REF!,"AAAAAFzvHZs=")</f>
        <v>#REF!</v>
      </c>
      <c r="FA105" t="e">
        <f>AND('Data Control'!#REF!,"AAAAAFzvHZw=")</f>
        <v>#REF!</v>
      </c>
      <c r="FB105" t="e">
        <f>AND('Data Control'!#REF!,"AAAAAFzvHZ0=")</f>
        <v>#REF!</v>
      </c>
      <c r="FC105" t="e">
        <f>AND('Data Control'!#REF!,"AAAAAFzvHZ4=")</f>
        <v>#REF!</v>
      </c>
      <c r="FD105" t="e">
        <f>AND('Data Control'!#REF!,"AAAAAFzvHZ8=")</f>
        <v>#REF!</v>
      </c>
      <c r="FE105" t="e">
        <f>AND('Data Control'!#REF!,"AAAAAFzvHaA=")</f>
        <v>#REF!</v>
      </c>
      <c r="FF105" t="e">
        <f>AND('Data Control'!#REF!,"AAAAAFzvHaE=")</f>
        <v>#REF!</v>
      </c>
      <c r="FG105" t="e">
        <f>AND('Data Control'!#REF!,"AAAAAFzvHaI=")</f>
        <v>#REF!</v>
      </c>
      <c r="FH105" t="e">
        <f>AND('Data Control'!#REF!,"AAAAAFzvHaM=")</f>
        <v>#REF!</v>
      </c>
      <c r="FI105" t="e">
        <f>AND('Data Control'!#REF!,"AAAAAFzvHaQ=")</f>
        <v>#REF!</v>
      </c>
      <c r="FJ105" t="e">
        <f>AND('Data Control'!#REF!,"AAAAAFzvHaU=")</f>
        <v>#REF!</v>
      </c>
      <c r="FK105" t="e">
        <f>AND('Data Control'!#REF!,"AAAAAFzvHaY=")</f>
        <v>#REF!</v>
      </c>
      <c r="FL105">
        <f>IF('Data Control'!22:22,"AAAAAFzvHac=",0)</f>
        <v>0</v>
      </c>
      <c r="FM105" t="e">
        <f>AND('Data Control'!#REF!,"AAAAAFzvHag=")</f>
        <v>#REF!</v>
      </c>
      <c r="FN105" t="e">
        <f>AND('Data Control'!A22,"AAAAAFzvHak=")</f>
        <v>#VALUE!</v>
      </c>
      <c r="FO105" t="e">
        <f>AND('Data Control'!C22,"AAAAAFzvHao=")</f>
        <v>#VALUE!</v>
      </c>
      <c r="FP105" t="e">
        <f>AND('Data Control'!D22,"AAAAAFzvHas=")</f>
        <v>#VALUE!</v>
      </c>
      <c r="FQ105" t="e">
        <f>AND('Data Control'!E22,"AAAAAFzvHaw=")</f>
        <v>#VALUE!</v>
      </c>
      <c r="FR105" t="e">
        <f>AND('Data Control'!F22,"AAAAAFzvHa0=")</f>
        <v>#VALUE!</v>
      </c>
      <c r="FS105" t="e">
        <f>AND('Data Control'!G22,"AAAAAFzvHa4=")</f>
        <v>#VALUE!</v>
      </c>
      <c r="FT105" t="e">
        <f>AND('Data Control'!H22,"AAAAAFzvHa8=")</f>
        <v>#VALUE!</v>
      </c>
      <c r="FU105" t="e">
        <f>AND('Data Control'!I22,"AAAAAFzvHbA=")</f>
        <v>#VALUE!</v>
      </c>
      <c r="FV105" t="e">
        <f>AND('Data Control'!J22,"AAAAAFzvHbE=")</f>
        <v>#VALUE!</v>
      </c>
      <c r="FW105" t="e">
        <f>AND('Data Control'!K22,"AAAAAFzvHbI=")</f>
        <v>#VALUE!</v>
      </c>
      <c r="FX105" t="e">
        <f>AND('Data Control'!L22,"AAAAAFzvHbM=")</f>
        <v>#VALUE!</v>
      </c>
      <c r="FY105" t="e">
        <f>AND('Data Control'!M22,"AAAAAFzvHbQ=")</f>
        <v>#VALUE!</v>
      </c>
      <c r="FZ105">
        <f>IF('Data Control'!23:23,"AAAAAFzvHbU=",0)</f>
        <v>0</v>
      </c>
      <c r="GA105" t="e">
        <f>AND('Data Control'!A23,"AAAAAFzvHbY=")</f>
        <v>#VALUE!</v>
      </c>
      <c r="GB105" t="e">
        <f>AND('Data Control'!B23,"AAAAAFzvHbc=")</f>
        <v>#VALUE!</v>
      </c>
      <c r="GC105" t="e">
        <f>AND('Data Control'!C23,"AAAAAFzvHbg=")</f>
        <v>#VALUE!</v>
      </c>
      <c r="GD105" t="e">
        <f>AND('Data Control'!D23,"AAAAAFzvHbk=")</f>
        <v>#VALUE!</v>
      </c>
      <c r="GE105" t="e">
        <f>AND('Data Control'!E23,"AAAAAFzvHbo=")</f>
        <v>#VALUE!</v>
      </c>
      <c r="GF105" t="e">
        <f>AND('Data Control'!F23,"AAAAAFzvHbs=")</f>
        <v>#VALUE!</v>
      </c>
      <c r="GG105" t="e">
        <f>AND('Data Control'!G23,"AAAAAFzvHbw=")</f>
        <v>#VALUE!</v>
      </c>
      <c r="GH105" t="e">
        <f>AND('Data Control'!H23,"AAAAAFzvHb0=")</f>
        <v>#VALUE!</v>
      </c>
      <c r="GI105" t="e">
        <f>AND('Data Control'!I23,"AAAAAFzvHb4=")</f>
        <v>#VALUE!</v>
      </c>
      <c r="GJ105" t="e">
        <f>AND('Data Control'!J23,"AAAAAFzvHb8=")</f>
        <v>#VALUE!</v>
      </c>
      <c r="GK105" t="e">
        <f>AND('Data Control'!K23,"AAAAAFzvHcA=")</f>
        <v>#VALUE!</v>
      </c>
      <c r="GL105" t="e">
        <f>AND('Data Control'!L23,"AAAAAFzvHcE=")</f>
        <v>#VALUE!</v>
      </c>
      <c r="GM105" t="e">
        <f>AND('Data Control'!M23,"AAAAAFzvHcI=")</f>
        <v>#VALUE!</v>
      </c>
      <c r="GN105">
        <f>IF('Data Control'!24:24,"AAAAAFzvHcM=",0)</f>
        <v>0</v>
      </c>
      <c r="GO105" t="e">
        <f>AND('Data Control'!A24,"AAAAAFzvHcQ=")</f>
        <v>#VALUE!</v>
      </c>
      <c r="GP105" t="e">
        <f>AND('Data Control'!B24,"AAAAAFzvHcU=")</f>
        <v>#VALUE!</v>
      </c>
      <c r="GQ105" t="e">
        <f>AND('Data Control'!C24,"AAAAAFzvHcY=")</f>
        <v>#VALUE!</v>
      </c>
      <c r="GR105" t="e">
        <f>AND('Data Control'!D24,"AAAAAFzvHcc=")</f>
        <v>#VALUE!</v>
      </c>
      <c r="GS105" t="e">
        <f>AND('Data Control'!E24,"AAAAAFzvHcg=")</f>
        <v>#VALUE!</v>
      </c>
      <c r="GT105" t="e">
        <f>AND('Data Control'!F24,"AAAAAFzvHck=")</f>
        <v>#VALUE!</v>
      </c>
      <c r="GU105" t="e">
        <f>AND('Data Control'!G24,"AAAAAFzvHco=")</f>
        <v>#VALUE!</v>
      </c>
      <c r="GV105" t="e">
        <f>AND('Data Control'!H24,"AAAAAFzvHcs=")</f>
        <v>#VALUE!</v>
      </c>
      <c r="GW105" t="e">
        <f>AND('Data Control'!I24,"AAAAAFzvHcw=")</f>
        <v>#VALUE!</v>
      </c>
      <c r="GX105" t="e">
        <f>AND('Data Control'!J24,"AAAAAFzvHc0=")</f>
        <v>#VALUE!</v>
      </c>
      <c r="GY105" t="e">
        <f>AND('Data Control'!K24,"AAAAAFzvHc4=")</f>
        <v>#VALUE!</v>
      </c>
      <c r="GZ105" t="e">
        <f>AND('Data Control'!L24,"AAAAAFzvHc8=")</f>
        <v>#VALUE!</v>
      </c>
      <c r="HA105" t="e">
        <f>AND('Data Control'!M24,"AAAAAFzvHdA=")</f>
        <v>#VALUE!</v>
      </c>
      <c r="HB105" t="e">
        <f>IF('Data Control'!#REF!,"AAAAAFzvHdE=",0)</f>
        <v>#REF!</v>
      </c>
      <c r="HC105" t="e">
        <f>AND('Data Control'!#REF!,"AAAAAFzvHdI=")</f>
        <v>#REF!</v>
      </c>
      <c r="HD105" t="e">
        <f>AND('Data Control'!#REF!,"AAAAAFzvHdM=")</f>
        <v>#REF!</v>
      </c>
      <c r="HE105" t="e">
        <f>AND('Data Control'!#REF!,"AAAAAFzvHdQ=")</f>
        <v>#REF!</v>
      </c>
      <c r="HF105" t="e">
        <f>AND('Data Control'!#REF!,"AAAAAFzvHdU=")</f>
        <v>#REF!</v>
      </c>
      <c r="HG105" t="e">
        <f>AND('Data Control'!#REF!,"AAAAAFzvHdY=")</f>
        <v>#REF!</v>
      </c>
      <c r="HH105" t="e">
        <f>AND('Data Control'!#REF!,"AAAAAFzvHdc=")</f>
        <v>#REF!</v>
      </c>
      <c r="HI105" t="e">
        <f>AND('Data Control'!#REF!,"AAAAAFzvHdg=")</f>
        <v>#REF!</v>
      </c>
      <c r="HJ105" t="e">
        <f>AND('Data Control'!#REF!,"AAAAAFzvHdk=")</f>
        <v>#REF!</v>
      </c>
      <c r="HK105" t="e">
        <f>AND('Data Control'!#REF!,"AAAAAFzvHdo=")</f>
        <v>#REF!</v>
      </c>
      <c r="HL105" t="e">
        <f>AND('Data Control'!#REF!,"AAAAAFzvHds=")</f>
        <v>#REF!</v>
      </c>
      <c r="HM105" t="e">
        <f>AND('Data Control'!#REF!,"AAAAAFzvHdw=")</f>
        <v>#REF!</v>
      </c>
      <c r="HN105" t="e">
        <f>AND('Data Control'!#REF!,"AAAAAFzvHd0=")</f>
        <v>#REF!</v>
      </c>
      <c r="HO105" t="e">
        <f>AND('Data Control'!#REF!,"AAAAAFzvHd4=")</f>
        <v>#REF!</v>
      </c>
      <c r="HP105">
        <f>IF('Data Control'!37:37,"AAAAAFzvHd8=",0)</f>
        <v>0</v>
      </c>
      <c r="HQ105" t="e">
        <f>AND('Data Control'!#REF!,"AAAAAFzvHeA=")</f>
        <v>#REF!</v>
      </c>
      <c r="HR105" t="e">
        <f>AND('Data Control'!A37,"AAAAAFzvHeE=")</f>
        <v>#VALUE!</v>
      </c>
      <c r="HS105" t="e">
        <f>AND('Data Control'!B37,"AAAAAFzvHeI=")</f>
        <v>#VALUE!</v>
      </c>
      <c r="HT105" t="e">
        <f>AND('Data Control'!C37,"AAAAAFzvHeM=")</f>
        <v>#VALUE!</v>
      </c>
      <c r="HU105" t="e">
        <f>AND('Data Control'!D37,"AAAAAFzvHeQ=")</f>
        <v>#VALUE!</v>
      </c>
      <c r="HV105" t="e">
        <f>AND('Data Control'!E37,"AAAAAFzvHeU=")</f>
        <v>#VALUE!</v>
      </c>
      <c r="HW105" t="e">
        <f>AND('Data Control'!F37,"AAAAAFzvHeY=")</f>
        <v>#VALUE!</v>
      </c>
      <c r="HX105" t="e">
        <f>AND('Data Control'!G37,"AAAAAFzvHec=")</f>
        <v>#VALUE!</v>
      </c>
      <c r="HY105" t="e">
        <f>AND('Data Control'!H37,"AAAAAFzvHeg=")</f>
        <v>#VALUE!</v>
      </c>
      <c r="HZ105" t="e">
        <f>AND('Data Control'!I37,"AAAAAFzvHek=")</f>
        <v>#VALUE!</v>
      </c>
      <c r="IA105" t="e">
        <f>AND('Data Control'!J37,"AAAAAFzvHeo=")</f>
        <v>#VALUE!</v>
      </c>
      <c r="IB105" t="e">
        <f>AND('Data Control'!K37,"AAAAAFzvHes=")</f>
        <v>#VALUE!</v>
      </c>
      <c r="IC105" t="e">
        <f>AND('Data Control'!L37,"AAAAAFzvHew=")</f>
        <v>#VALUE!</v>
      </c>
      <c r="ID105" t="e">
        <f>IF('Data Control'!#REF!,"AAAAAFzvHe0=",0)</f>
        <v>#REF!</v>
      </c>
      <c r="IE105" t="e">
        <f>AND('Data Control'!#REF!,"AAAAAFzvHe4=")</f>
        <v>#REF!</v>
      </c>
      <c r="IF105" t="e">
        <f>AND('Data Control'!#REF!,"AAAAAFzvHe8=")</f>
        <v>#REF!</v>
      </c>
      <c r="IG105" t="e">
        <f>AND('Data Control'!#REF!,"AAAAAFzvHfA=")</f>
        <v>#REF!</v>
      </c>
      <c r="IH105" t="e">
        <f>AND('Data Control'!#REF!,"AAAAAFzvHfE=")</f>
        <v>#REF!</v>
      </c>
      <c r="II105" t="e">
        <f>AND('Data Control'!#REF!,"AAAAAFzvHfI=")</f>
        <v>#REF!</v>
      </c>
      <c r="IJ105" t="e">
        <f>AND('Data Control'!#REF!,"AAAAAFzvHfM=")</f>
        <v>#REF!</v>
      </c>
      <c r="IK105" t="e">
        <f>AND('Data Control'!#REF!,"AAAAAFzvHfQ=")</f>
        <v>#REF!</v>
      </c>
      <c r="IL105" t="e">
        <f>AND('Data Control'!#REF!,"AAAAAFzvHfU=")</f>
        <v>#REF!</v>
      </c>
      <c r="IM105" t="e">
        <f>AND('Data Control'!#REF!,"AAAAAFzvHfY=")</f>
        <v>#REF!</v>
      </c>
      <c r="IN105" t="e">
        <f>AND('Data Control'!#REF!,"AAAAAFzvHfc=")</f>
        <v>#REF!</v>
      </c>
      <c r="IO105" t="e">
        <f>AND('Data Control'!#REF!,"AAAAAFzvHfg=")</f>
        <v>#REF!</v>
      </c>
      <c r="IP105" t="e">
        <f>AND('Data Control'!#REF!,"AAAAAFzvHfk=")</f>
        <v>#REF!</v>
      </c>
      <c r="IQ105" t="e">
        <f>AND('Data Control'!#REF!,"AAAAAFzvHfo=")</f>
        <v>#REF!</v>
      </c>
      <c r="IR105">
        <f>IF('Data Control'!38:38,"AAAAAFzvHfs=",0)</f>
        <v>0</v>
      </c>
      <c r="IS105" t="e">
        <f>AND('Data Control'!#REF!,"AAAAAFzvHfw=")</f>
        <v>#REF!</v>
      </c>
      <c r="IT105" t="e">
        <f>AND('Data Control'!A38,"AAAAAFzvHf0=")</f>
        <v>#VALUE!</v>
      </c>
      <c r="IU105" t="e">
        <f>AND('Data Control'!B38,"AAAAAFzvHf4=")</f>
        <v>#VALUE!</v>
      </c>
      <c r="IV105" t="e">
        <f>AND('Data Control'!C38,"AAAAAFzvHf8=")</f>
        <v>#VALUE!</v>
      </c>
    </row>
    <row r="106" spans="1:256" x14ac:dyDescent="0.2">
      <c r="A106" t="e">
        <f>AND('Data Control'!D38,"AAAAAH07SQA=")</f>
        <v>#VALUE!</v>
      </c>
      <c r="B106" t="e">
        <f>AND('Data Control'!E38,"AAAAAH07SQE=")</f>
        <v>#VALUE!</v>
      </c>
      <c r="C106" t="e">
        <f>AND('Data Control'!F38,"AAAAAH07SQI=")</f>
        <v>#VALUE!</v>
      </c>
      <c r="D106" t="e">
        <f>AND('Data Control'!G38,"AAAAAH07SQM=")</f>
        <v>#VALUE!</v>
      </c>
      <c r="E106" t="e">
        <f>AND('Data Control'!H38,"AAAAAH07SQQ=")</f>
        <v>#VALUE!</v>
      </c>
      <c r="F106" t="e">
        <f>AND('Data Control'!I38,"AAAAAH07SQU=")</f>
        <v>#VALUE!</v>
      </c>
      <c r="G106" t="e">
        <f>AND('Data Control'!J38,"AAAAAH07SQY=")</f>
        <v>#VALUE!</v>
      </c>
      <c r="H106" t="e">
        <f>AND('Data Control'!K38,"AAAAAH07SQc=")</f>
        <v>#VALUE!</v>
      </c>
      <c r="I106" t="e">
        <f>AND('Data Control'!L38,"AAAAAH07SQg=")</f>
        <v>#VALUE!</v>
      </c>
      <c r="J106">
        <f>IF('Data Control'!39:39,"AAAAAH07SQk=",0)</f>
        <v>0</v>
      </c>
      <c r="K106" t="e">
        <f>AND('Data Control'!#REF!,"AAAAAH07SQo=")</f>
        <v>#REF!</v>
      </c>
      <c r="L106" t="e">
        <f>AND('Data Control'!A39,"AAAAAH07SQs=")</f>
        <v>#VALUE!</v>
      </c>
      <c r="M106" t="e">
        <f>AND('Data Control'!B39,"AAAAAH07SQw=")</f>
        <v>#VALUE!</v>
      </c>
      <c r="N106" t="e">
        <f>AND('Data Control'!D39,"AAAAAH07SQ0=")</f>
        <v>#VALUE!</v>
      </c>
      <c r="O106" t="e">
        <f>AND('Data Control'!E39,"AAAAAH07SQ4=")</f>
        <v>#VALUE!</v>
      </c>
      <c r="P106" t="e">
        <f>AND('Data Control'!H39,"AAAAAH07SQ8=")</f>
        <v>#VALUE!</v>
      </c>
      <c r="Q106" t="e">
        <f>AND('Data Control'!I39,"AAAAAH07SRA=")</f>
        <v>#VALUE!</v>
      </c>
      <c r="R106" t="e">
        <f>AND('Data Control'!J39,"AAAAAH07SRE=")</f>
        <v>#VALUE!</v>
      </c>
      <c r="S106" t="e">
        <f>AND('Data Control'!L39,"AAAAAH07SRI=")</f>
        <v>#VALUE!</v>
      </c>
      <c r="T106" t="e">
        <f>AND('Data Control'!#REF!,"AAAAAH07SRM=")</f>
        <v>#REF!</v>
      </c>
      <c r="U106" t="e">
        <f>AND('Data Control'!#REF!,"AAAAAH07SRQ=")</f>
        <v>#REF!</v>
      </c>
      <c r="V106" t="e">
        <f>AND('Data Control'!#REF!,"AAAAAH07SRU=")</f>
        <v>#REF!</v>
      </c>
      <c r="W106" t="e">
        <f>AND('Data Control'!#REF!,"AAAAAH07SRY=")</f>
        <v>#REF!</v>
      </c>
      <c r="X106">
        <f>IF('Data Control'!40:40,"AAAAAH07SRc=",0)</f>
        <v>0</v>
      </c>
      <c r="Y106" t="e">
        <f>AND('Data Control'!#REF!,"AAAAAH07SRg=")</f>
        <v>#REF!</v>
      </c>
      <c r="Z106" t="e">
        <f>AND('Data Control'!A40,"AAAAAH07SRk=")</f>
        <v>#VALUE!</v>
      </c>
      <c r="AA106" t="e">
        <f>AND('Data Control'!B40,"AAAAAH07SRo=")</f>
        <v>#VALUE!</v>
      </c>
      <c r="AB106" t="e">
        <f>AND('Data Control'!D40,"AAAAAH07SRs=")</f>
        <v>#VALUE!</v>
      </c>
      <c r="AC106" t="e">
        <f>AND('Data Control'!E40,"AAAAAH07SRw=")</f>
        <v>#VALUE!</v>
      </c>
      <c r="AD106" t="e">
        <f>AND('Data Control'!H40,"AAAAAH07SR0=")</f>
        <v>#VALUE!</v>
      </c>
      <c r="AE106" t="e">
        <f>AND('Data Control'!I40,"AAAAAH07SR4=")</f>
        <v>#VALUE!</v>
      </c>
      <c r="AF106" t="e">
        <f>AND('Data Control'!J40,"AAAAAH07SR8=")</f>
        <v>#VALUE!</v>
      </c>
      <c r="AG106" t="e">
        <f>AND('Data Control'!L40,"AAAAAH07SSA=")</f>
        <v>#VALUE!</v>
      </c>
      <c r="AH106" t="e">
        <f>AND('Data Control'!#REF!,"AAAAAH07SSE=")</f>
        <v>#REF!</v>
      </c>
      <c r="AI106" t="e">
        <f>AND('Data Control'!#REF!,"AAAAAH07SSI=")</f>
        <v>#REF!</v>
      </c>
      <c r="AJ106" t="e">
        <f>AND('Data Control'!#REF!,"AAAAAH07SSM=")</f>
        <v>#REF!</v>
      </c>
      <c r="AK106" t="e">
        <f>AND('Data Control'!#REF!,"AAAAAH07SSQ=")</f>
        <v>#REF!</v>
      </c>
      <c r="AL106">
        <f>IF('Data Control'!41:41,"AAAAAH07SSU=",0)</f>
        <v>0</v>
      </c>
      <c r="AM106" t="e">
        <f>AND('Data Control'!#REF!,"AAAAAH07SSY=")</f>
        <v>#REF!</v>
      </c>
      <c r="AN106" t="e">
        <f>AND('Data Control'!A41,"AAAAAH07SSc=")</f>
        <v>#VALUE!</v>
      </c>
      <c r="AO106" t="e">
        <f>AND('Data Control'!B41,"AAAAAH07SSg=")</f>
        <v>#VALUE!</v>
      </c>
      <c r="AP106" t="e">
        <f>AND('Data Control'!D41,"AAAAAH07SSk=")</f>
        <v>#VALUE!</v>
      </c>
      <c r="AQ106" t="e">
        <f>AND('Data Control'!E41,"AAAAAH07SSo=")</f>
        <v>#VALUE!</v>
      </c>
      <c r="AR106" t="e">
        <f>AND('Data Control'!H41,"AAAAAH07SSs=")</f>
        <v>#VALUE!</v>
      </c>
      <c r="AS106" t="e">
        <f>AND('Data Control'!I41,"AAAAAH07SSw=")</f>
        <v>#VALUE!</v>
      </c>
      <c r="AT106" t="e">
        <f>AND('Data Control'!J41,"AAAAAH07SS0=")</f>
        <v>#VALUE!</v>
      </c>
      <c r="AU106" t="e">
        <f>AND('Data Control'!L41,"AAAAAH07SS4=")</f>
        <v>#VALUE!</v>
      </c>
      <c r="AV106" t="e">
        <f>AND('Data Control'!#REF!,"AAAAAH07SS8=")</f>
        <v>#REF!</v>
      </c>
      <c r="AW106" t="e">
        <f>AND('Data Control'!#REF!,"AAAAAH07STA=")</f>
        <v>#REF!</v>
      </c>
      <c r="AX106" t="e">
        <f>AND('Data Control'!#REF!,"AAAAAH07STE=")</f>
        <v>#REF!</v>
      </c>
      <c r="AY106" t="e">
        <f>AND('Data Control'!#REF!,"AAAAAH07STI=")</f>
        <v>#REF!</v>
      </c>
      <c r="AZ106">
        <f>IF('Data Control'!42:42,"AAAAAH07STM=",0)</f>
        <v>0</v>
      </c>
      <c r="BA106" t="e">
        <f>AND('Data Control'!#REF!,"AAAAAH07STQ=")</f>
        <v>#REF!</v>
      </c>
      <c r="BB106" t="e">
        <f>AND('Data Control'!A42,"AAAAAH07STU=")</f>
        <v>#VALUE!</v>
      </c>
      <c r="BC106" t="e">
        <f>AND('Data Control'!B42,"AAAAAH07STY=")</f>
        <v>#VALUE!</v>
      </c>
      <c r="BD106" t="e">
        <f>AND('Data Control'!D42,"AAAAAH07STc=")</f>
        <v>#VALUE!</v>
      </c>
      <c r="BE106" t="e">
        <f>AND('Data Control'!E42,"AAAAAH07STg=")</f>
        <v>#VALUE!</v>
      </c>
      <c r="BF106" t="e">
        <f>AND('Data Control'!H42,"AAAAAH07STk=")</f>
        <v>#VALUE!</v>
      </c>
      <c r="BG106" t="e">
        <f>AND('Data Control'!I42,"AAAAAH07STo=")</f>
        <v>#VALUE!</v>
      </c>
      <c r="BH106" t="e">
        <f>AND('Data Control'!J42,"AAAAAH07STs=")</f>
        <v>#VALUE!</v>
      </c>
      <c r="BI106" t="e">
        <f>AND('Data Control'!L42,"AAAAAH07STw=")</f>
        <v>#VALUE!</v>
      </c>
      <c r="BJ106" t="e">
        <f>AND('Data Control'!#REF!,"AAAAAH07ST0=")</f>
        <v>#REF!</v>
      </c>
      <c r="BK106" t="e">
        <f>AND('Data Control'!#REF!,"AAAAAH07ST4=")</f>
        <v>#REF!</v>
      </c>
      <c r="BL106" t="e">
        <f>AND('Data Control'!#REF!,"AAAAAH07ST8=")</f>
        <v>#REF!</v>
      </c>
      <c r="BM106" t="e">
        <f>AND('Data Control'!#REF!,"AAAAAH07SUA=")</f>
        <v>#REF!</v>
      </c>
      <c r="BN106">
        <f>IF('Data Control'!43:43,"AAAAAH07SUE=",0)</f>
        <v>0</v>
      </c>
      <c r="BO106" t="e">
        <f>AND('Data Control'!#REF!,"AAAAAH07SUI=")</f>
        <v>#REF!</v>
      </c>
      <c r="BP106" t="e">
        <f>AND('Data Control'!A43,"AAAAAH07SUM=")</f>
        <v>#VALUE!</v>
      </c>
      <c r="BQ106" t="e">
        <f>AND('Data Control'!B43,"AAAAAH07SUQ=")</f>
        <v>#VALUE!</v>
      </c>
      <c r="BR106" t="e">
        <f>AND('Data Control'!D43,"AAAAAH07SUU=")</f>
        <v>#VALUE!</v>
      </c>
      <c r="BS106" t="e">
        <f>AND('Data Control'!E43,"AAAAAH07SUY=")</f>
        <v>#VALUE!</v>
      </c>
      <c r="BT106" t="e">
        <f>AND('Data Control'!H43,"AAAAAH07SUc=")</f>
        <v>#VALUE!</v>
      </c>
      <c r="BU106" t="e">
        <f>AND('Data Control'!I43,"AAAAAH07SUg=")</f>
        <v>#VALUE!</v>
      </c>
      <c r="BV106" t="e">
        <f>AND('Data Control'!J43,"AAAAAH07SUk=")</f>
        <v>#VALUE!</v>
      </c>
      <c r="BW106" t="e">
        <f>AND('Data Control'!L43,"AAAAAH07SUo=")</f>
        <v>#VALUE!</v>
      </c>
      <c r="BX106" t="e">
        <f>AND('Data Control'!#REF!,"AAAAAH07SUs=")</f>
        <v>#REF!</v>
      </c>
      <c r="BY106" t="e">
        <f>AND('Data Control'!#REF!,"AAAAAH07SUw=")</f>
        <v>#REF!</v>
      </c>
      <c r="BZ106" t="e">
        <f>AND('Data Control'!#REF!,"AAAAAH07SU0=")</f>
        <v>#REF!</v>
      </c>
      <c r="CA106" t="e">
        <f>AND('Data Control'!#REF!,"AAAAAH07SU4=")</f>
        <v>#REF!</v>
      </c>
      <c r="CB106">
        <f>IF('Data Control'!44:44,"AAAAAH07SU8=",0)</f>
        <v>0</v>
      </c>
      <c r="CC106" t="e">
        <f>AND('Data Control'!#REF!,"AAAAAH07SVA=")</f>
        <v>#REF!</v>
      </c>
      <c r="CD106" t="e">
        <f>AND('Data Control'!A44,"AAAAAH07SVE=")</f>
        <v>#VALUE!</v>
      </c>
      <c r="CE106" t="e">
        <f>AND('Data Control'!B44,"AAAAAH07SVI=")</f>
        <v>#VALUE!</v>
      </c>
      <c r="CF106" t="e">
        <f>AND('Data Control'!D44,"AAAAAH07SVM=")</f>
        <v>#VALUE!</v>
      </c>
      <c r="CG106" t="e">
        <f>AND('Data Control'!E44,"AAAAAH07SVQ=")</f>
        <v>#VALUE!</v>
      </c>
      <c r="CH106" t="e">
        <f>AND('Data Control'!H44,"AAAAAH07SVU=")</f>
        <v>#VALUE!</v>
      </c>
      <c r="CI106" t="e">
        <f>AND('Data Control'!I44,"AAAAAH07SVY=")</f>
        <v>#VALUE!</v>
      </c>
      <c r="CJ106" t="e">
        <f>AND('Data Control'!J44,"AAAAAH07SVc=")</f>
        <v>#VALUE!</v>
      </c>
      <c r="CK106" t="e">
        <f>AND('Data Control'!L44,"AAAAAH07SVg=")</f>
        <v>#VALUE!</v>
      </c>
      <c r="CL106" t="e">
        <f>AND('Data Control'!#REF!,"AAAAAH07SVk=")</f>
        <v>#REF!</v>
      </c>
      <c r="CM106" t="e">
        <f>AND('Data Control'!#REF!,"AAAAAH07SVo=")</f>
        <v>#REF!</v>
      </c>
      <c r="CN106" t="e">
        <f>AND('Data Control'!#REF!,"AAAAAH07SVs=")</f>
        <v>#REF!</v>
      </c>
      <c r="CO106" t="e">
        <f>AND('Data Control'!#REF!,"AAAAAH07SVw=")</f>
        <v>#REF!</v>
      </c>
      <c r="CP106">
        <f>IF('Data Control'!45:45,"AAAAAH07SV0=",0)</f>
        <v>0</v>
      </c>
      <c r="CQ106" t="e">
        <f>AND('Data Control'!#REF!,"AAAAAH07SV4=")</f>
        <v>#REF!</v>
      </c>
      <c r="CR106" t="e">
        <f>AND('Data Control'!A45,"AAAAAH07SV8=")</f>
        <v>#VALUE!</v>
      </c>
      <c r="CS106" t="e">
        <f>AND('Data Control'!B45,"AAAAAH07SWA=")</f>
        <v>#VALUE!</v>
      </c>
      <c r="CT106" t="e">
        <f>AND('Data Control'!D45,"AAAAAH07SWE=")</f>
        <v>#VALUE!</v>
      </c>
      <c r="CU106" t="e">
        <f>AND('Data Control'!E45,"AAAAAH07SWI=")</f>
        <v>#VALUE!</v>
      </c>
      <c r="CV106" t="e">
        <f>AND('Data Control'!H45,"AAAAAH07SWM=")</f>
        <v>#VALUE!</v>
      </c>
      <c r="CW106" t="e">
        <f>AND('Data Control'!I45,"AAAAAH07SWQ=")</f>
        <v>#VALUE!</v>
      </c>
      <c r="CX106" t="e">
        <f>AND('Data Control'!J45,"AAAAAH07SWU=")</f>
        <v>#VALUE!</v>
      </c>
      <c r="CY106" t="e">
        <f>AND('Data Control'!L45,"AAAAAH07SWY=")</f>
        <v>#VALUE!</v>
      </c>
      <c r="CZ106" t="e">
        <f>AND('Data Control'!#REF!,"AAAAAH07SWc=")</f>
        <v>#REF!</v>
      </c>
      <c r="DA106" t="e">
        <f>AND('Data Control'!#REF!,"AAAAAH07SWg=")</f>
        <v>#REF!</v>
      </c>
      <c r="DB106" t="e">
        <f>AND('Data Control'!#REF!,"AAAAAH07SWk=")</f>
        <v>#REF!</v>
      </c>
      <c r="DC106" t="e">
        <f>AND('Data Control'!#REF!,"AAAAAH07SWo=")</f>
        <v>#REF!</v>
      </c>
      <c r="DD106">
        <f>IF('Data Control'!46:46,"AAAAAH07SWs=",0)</f>
        <v>0</v>
      </c>
      <c r="DE106" t="e">
        <f>AND('Data Control'!#REF!,"AAAAAH07SWw=")</f>
        <v>#REF!</v>
      </c>
      <c r="DF106" t="e">
        <f>AND('Data Control'!A46,"AAAAAH07SW0=")</f>
        <v>#VALUE!</v>
      </c>
      <c r="DG106" t="e">
        <f>AND('Data Control'!B46,"AAAAAH07SW4=")</f>
        <v>#VALUE!</v>
      </c>
      <c r="DH106" t="e">
        <f>AND('Data Control'!D46,"AAAAAH07SW8=")</f>
        <v>#VALUE!</v>
      </c>
      <c r="DI106" t="e">
        <f>AND('Data Control'!E46,"AAAAAH07SXA=")</f>
        <v>#VALUE!</v>
      </c>
      <c r="DJ106" t="e">
        <f>AND('Data Control'!H46,"AAAAAH07SXE=")</f>
        <v>#VALUE!</v>
      </c>
      <c r="DK106" t="e">
        <f>AND('Data Control'!I46,"AAAAAH07SXI=")</f>
        <v>#VALUE!</v>
      </c>
      <c r="DL106" t="e">
        <f>AND('Data Control'!J46,"AAAAAH07SXM=")</f>
        <v>#VALUE!</v>
      </c>
      <c r="DM106" t="e">
        <f>AND('Data Control'!L46,"AAAAAH07SXQ=")</f>
        <v>#VALUE!</v>
      </c>
      <c r="DN106" t="e">
        <f>AND('Data Control'!#REF!,"AAAAAH07SXU=")</f>
        <v>#REF!</v>
      </c>
      <c r="DO106" t="e">
        <f>AND('Data Control'!#REF!,"AAAAAH07SXY=")</f>
        <v>#REF!</v>
      </c>
      <c r="DP106" t="e">
        <f>AND('Data Control'!#REF!,"AAAAAH07SXc=")</f>
        <v>#REF!</v>
      </c>
      <c r="DQ106" t="e">
        <f>AND('Data Control'!#REF!,"AAAAAH07SXg=")</f>
        <v>#REF!</v>
      </c>
      <c r="DR106">
        <f>IF('Data Control'!47:47,"AAAAAH07SXk=",0)</f>
        <v>0</v>
      </c>
      <c r="DS106" t="e">
        <f>AND('Data Control'!#REF!,"AAAAAH07SXo=")</f>
        <v>#REF!</v>
      </c>
      <c r="DT106" t="e">
        <f>AND('Data Control'!A47,"AAAAAH07SXs=")</f>
        <v>#VALUE!</v>
      </c>
      <c r="DU106" t="e">
        <f>AND('Data Control'!B47,"AAAAAH07SXw=")</f>
        <v>#VALUE!</v>
      </c>
      <c r="DV106" t="e">
        <f>AND('Data Control'!D47,"AAAAAH07SX0=")</f>
        <v>#VALUE!</v>
      </c>
      <c r="DW106" t="e">
        <f>AND('Data Control'!E47,"AAAAAH07SX4=")</f>
        <v>#VALUE!</v>
      </c>
      <c r="DX106" t="e">
        <f>AND('Data Control'!#REF!,"AAAAAH07SX8=")</f>
        <v>#REF!</v>
      </c>
      <c r="DY106" t="e">
        <f>AND('Data Control'!G47,"AAAAAH07SYA=")</f>
        <v>#VALUE!</v>
      </c>
      <c r="DZ106" t="e">
        <f>AND('Data Control'!J47,"AAAAAH07SYE=")</f>
        <v>#VALUE!</v>
      </c>
      <c r="EA106" t="e">
        <f>AND('Data Control'!L47,"AAAAAH07SYI=")</f>
        <v>#VALUE!</v>
      </c>
      <c r="EB106" t="e">
        <f>AND('Data Control'!#REF!,"AAAAAH07SYM=")</f>
        <v>#REF!</v>
      </c>
      <c r="EC106" t="e">
        <f>AND('Data Control'!#REF!,"AAAAAH07SYQ=")</f>
        <v>#REF!</v>
      </c>
      <c r="ED106" t="e">
        <f>AND('Data Control'!#REF!,"AAAAAH07SYU=")</f>
        <v>#REF!</v>
      </c>
      <c r="EE106" t="e">
        <f>AND('Data Control'!#REF!,"AAAAAH07SYY=")</f>
        <v>#REF!</v>
      </c>
      <c r="EF106">
        <f>IF('Data Control'!48:48,"AAAAAH07SYc=",0)</f>
        <v>0</v>
      </c>
      <c r="EG106" t="e">
        <f>AND('Data Control'!#REF!,"AAAAAH07SYg=")</f>
        <v>#REF!</v>
      </c>
      <c r="EH106" t="e">
        <f>AND('Data Control'!A48,"AAAAAH07SYk=")</f>
        <v>#VALUE!</v>
      </c>
      <c r="EI106" t="e">
        <f>AND('Data Control'!B48,"AAAAAH07SYo=")</f>
        <v>#VALUE!</v>
      </c>
      <c r="EJ106" t="e">
        <f>AND('Data Control'!D48,"AAAAAH07SYs=")</f>
        <v>#VALUE!</v>
      </c>
      <c r="EK106" t="e">
        <f>AND('Data Control'!E48,"AAAAAH07SYw=")</f>
        <v>#VALUE!</v>
      </c>
      <c r="EL106" t="e">
        <f>AND('Data Control'!H48,"AAAAAH07SY0=")</f>
        <v>#VALUE!</v>
      </c>
      <c r="EM106" t="e">
        <f>AND('Data Control'!I48,"AAAAAH07SY4=")</f>
        <v>#VALUE!</v>
      </c>
      <c r="EN106" t="e">
        <f>AND('Data Control'!J48,"AAAAAH07SY8=")</f>
        <v>#VALUE!</v>
      </c>
      <c r="EO106" t="e">
        <f>AND('Data Control'!L48,"AAAAAH07SZA=")</f>
        <v>#VALUE!</v>
      </c>
      <c r="EP106" t="e">
        <f>AND('Data Control'!#REF!,"AAAAAH07SZE=")</f>
        <v>#REF!</v>
      </c>
      <c r="EQ106" t="e">
        <f>AND('Data Control'!#REF!,"AAAAAH07SZI=")</f>
        <v>#REF!</v>
      </c>
      <c r="ER106" t="e">
        <f>AND('Data Control'!#REF!,"AAAAAH07SZM=")</f>
        <v>#REF!</v>
      </c>
      <c r="ES106" t="e">
        <f>AND('Data Control'!#REF!,"AAAAAH07SZQ=")</f>
        <v>#REF!</v>
      </c>
      <c r="ET106">
        <f>IF('Data Control'!49:49,"AAAAAH07SZU=",0)</f>
        <v>0</v>
      </c>
      <c r="EU106" t="e">
        <f>AND('Data Control'!#REF!,"AAAAAH07SZY=")</f>
        <v>#REF!</v>
      </c>
      <c r="EV106" t="e">
        <f>AND('Data Control'!A49,"AAAAAH07SZc=")</f>
        <v>#VALUE!</v>
      </c>
      <c r="EW106" t="e">
        <f>AND('Data Control'!B49,"AAAAAH07SZg=")</f>
        <v>#VALUE!</v>
      </c>
      <c r="EX106" t="e">
        <f>AND('Data Control'!D49,"AAAAAH07SZk=")</f>
        <v>#VALUE!</v>
      </c>
      <c r="EY106" t="e">
        <f>AND('Data Control'!E49,"AAAAAH07SZo=")</f>
        <v>#VALUE!</v>
      </c>
      <c r="EZ106" t="e">
        <f>AND('Data Control'!H49,"AAAAAH07SZs=")</f>
        <v>#VALUE!</v>
      </c>
      <c r="FA106" t="e">
        <f>AND('Data Control'!I49,"AAAAAH07SZw=")</f>
        <v>#VALUE!</v>
      </c>
      <c r="FB106" t="e">
        <f>AND('Data Control'!J49,"AAAAAH07SZ0=")</f>
        <v>#VALUE!</v>
      </c>
      <c r="FC106" t="e">
        <f>AND('Data Control'!L49,"AAAAAH07SZ4=")</f>
        <v>#VALUE!</v>
      </c>
      <c r="FD106" t="e">
        <f>AND('Data Control'!#REF!,"AAAAAH07SZ8=")</f>
        <v>#REF!</v>
      </c>
      <c r="FE106" t="e">
        <f>AND('Data Control'!#REF!,"AAAAAH07SaA=")</f>
        <v>#REF!</v>
      </c>
      <c r="FF106" t="e">
        <f>AND('Data Control'!#REF!,"AAAAAH07SaE=")</f>
        <v>#REF!</v>
      </c>
      <c r="FG106" t="e">
        <f>AND('Data Control'!#REF!,"AAAAAH07SaI=")</f>
        <v>#REF!</v>
      </c>
      <c r="FH106">
        <f>IF('Data Control'!50:50,"AAAAAH07SaM=",0)</f>
        <v>0</v>
      </c>
      <c r="FI106" t="e">
        <f>AND('Data Control'!#REF!,"AAAAAH07SaQ=")</f>
        <v>#REF!</v>
      </c>
      <c r="FJ106" t="e">
        <f>AND('Data Control'!A50,"AAAAAH07SaU=")</f>
        <v>#VALUE!</v>
      </c>
      <c r="FK106" t="e">
        <f>AND('Data Control'!B50,"AAAAAH07SaY=")</f>
        <v>#VALUE!</v>
      </c>
      <c r="FL106" t="e">
        <f>AND('Data Control'!D50,"AAAAAH07Sac=")</f>
        <v>#VALUE!</v>
      </c>
      <c r="FM106" t="e">
        <f>AND('Data Control'!E50,"AAAAAH07Sag=")</f>
        <v>#VALUE!</v>
      </c>
      <c r="FN106" t="e">
        <f>AND('Data Control'!H50,"AAAAAH07Sak=")</f>
        <v>#VALUE!</v>
      </c>
      <c r="FO106" t="e">
        <f>AND('Data Control'!I50,"AAAAAH07Sao=")</f>
        <v>#VALUE!</v>
      </c>
      <c r="FP106" t="e">
        <f>AND('Data Control'!J50,"AAAAAH07Sas=")</f>
        <v>#VALUE!</v>
      </c>
      <c r="FQ106" t="e">
        <f>AND('Data Control'!L50,"AAAAAH07Saw=")</f>
        <v>#VALUE!</v>
      </c>
      <c r="FR106" t="e">
        <f>AND('Data Control'!#REF!,"AAAAAH07Sa0=")</f>
        <v>#REF!</v>
      </c>
      <c r="FS106" t="e">
        <f>AND('Data Control'!#REF!,"AAAAAH07Sa4=")</f>
        <v>#REF!</v>
      </c>
      <c r="FT106" t="e">
        <f>AND('Data Control'!#REF!,"AAAAAH07Sa8=")</f>
        <v>#REF!</v>
      </c>
      <c r="FU106" t="e">
        <f>AND('Data Control'!#REF!,"AAAAAH07SbA=")</f>
        <v>#REF!</v>
      </c>
      <c r="FV106">
        <f>IF('Data Control'!51:51,"AAAAAH07SbE=",0)</f>
        <v>0</v>
      </c>
      <c r="FW106" t="e">
        <f>AND('Data Control'!A51,"AAAAAH07SbI=")</f>
        <v>#VALUE!</v>
      </c>
      <c r="FX106" t="e">
        <f>AND('Data Control'!B51,"AAAAAH07SbM=")</f>
        <v>#VALUE!</v>
      </c>
      <c r="FY106" t="e">
        <f>AND('Data Control'!C51,"AAAAAH07SbQ=")</f>
        <v>#VALUE!</v>
      </c>
      <c r="FZ106" t="e">
        <f>AND('Data Control'!D51,"AAAAAH07SbU=")</f>
        <v>#VALUE!</v>
      </c>
      <c r="GA106" t="e">
        <f>AND('Data Control'!E51,"AAAAAH07SbY=")</f>
        <v>#VALUE!</v>
      </c>
      <c r="GB106" t="e">
        <f>AND('Data Control'!F51,"AAAAAH07Sbc=")</f>
        <v>#VALUE!</v>
      </c>
      <c r="GC106" t="e">
        <f>AND('Data Control'!G51,"AAAAAH07Sbg=")</f>
        <v>#VALUE!</v>
      </c>
      <c r="GD106" t="e">
        <f>AND('Data Control'!H51,"AAAAAH07Sbk=")</f>
        <v>#VALUE!</v>
      </c>
      <c r="GE106" t="e">
        <f>AND('Data Control'!I51,"AAAAAH07Sbo=")</f>
        <v>#VALUE!</v>
      </c>
      <c r="GF106" t="e">
        <f>AND('Data Control'!J51,"AAAAAH07Sbs=")</f>
        <v>#VALUE!</v>
      </c>
      <c r="GG106" t="e">
        <f>AND('Data Control'!K51,"AAAAAH07Sbw=")</f>
        <v>#VALUE!</v>
      </c>
      <c r="GH106" t="e">
        <f>AND('Data Control'!L51,"AAAAAH07Sb0=")</f>
        <v>#VALUE!</v>
      </c>
      <c r="GI106" t="e">
        <f>AND('Data Control'!M51,"AAAAAH07Sb4=")</f>
        <v>#VALUE!</v>
      </c>
      <c r="GJ106">
        <f>IF('Data Control'!56:56,"AAAAAH07Sb8=",0)</f>
        <v>0</v>
      </c>
      <c r="GK106" t="e">
        <f>AND('Data Control'!A56,"AAAAAH07ScA=")</f>
        <v>#VALUE!</v>
      </c>
      <c r="GL106" t="e">
        <f>AND('Data Control'!B56,"AAAAAH07ScE=")</f>
        <v>#VALUE!</v>
      </c>
      <c r="GM106" t="e">
        <f>AND('Data Control'!C56,"AAAAAH07ScI=")</f>
        <v>#VALUE!</v>
      </c>
      <c r="GN106" t="e">
        <f>AND('Data Control'!D56,"AAAAAH07ScM=")</f>
        <v>#VALUE!</v>
      </c>
      <c r="GO106" t="e">
        <f>AND('Data Control'!E56,"AAAAAH07ScQ=")</f>
        <v>#VALUE!</v>
      </c>
      <c r="GP106" t="e">
        <f>AND('Data Control'!F56,"AAAAAH07ScU=")</f>
        <v>#VALUE!</v>
      </c>
      <c r="GQ106" t="e">
        <f>AND('Data Control'!G56,"AAAAAH07ScY=")</f>
        <v>#VALUE!</v>
      </c>
      <c r="GR106" t="e">
        <f>AND('Data Control'!H56,"AAAAAH07Scc=")</f>
        <v>#VALUE!</v>
      </c>
      <c r="GS106" t="e">
        <f>AND('Data Control'!I56,"AAAAAH07Scg=")</f>
        <v>#VALUE!</v>
      </c>
      <c r="GT106" t="e">
        <f>AND('Data Control'!J56,"AAAAAH07Sck=")</f>
        <v>#VALUE!</v>
      </c>
      <c r="GU106" t="e">
        <f>AND('Data Control'!K56,"AAAAAH07Sco=")</f>
        <v>#VALUE!</v>
      </c>
      <c r="GV106" t="e">
        <f>AND('Data Control'!L56,"AAAAAH07Scs=")</f>
        <v>#VALUE!</v>
      </c>
      <c r="GW106" t="e">
        <f>AND('Data Control'!M56,"AAAAAH07Scw=")</f>
        <v>#VALUE!</v>
      </c>
      <c r="GX106" t="e">
        <f>IF('Data Control'!#REF!,"AAAAAH07Sc0=",0)</f>
        <v>#REF!</v>
      </c>
      <c r="GY106" t="e">
        <f>AND('Data Control'!#REF!,"AAAAAH07Sc4=")</f>
        <v>#REF!</v>
      </c>
      <c r="GZ106" t="e">
        <f>AND('Data Control'!#REF!,"AAAAAH07Sc8=")</f>
        <v>#REF!</v>
      </c>
      <c r="HA106" t="e">
        <f>AND('Data Control'!#REF!,"AAAAAH07SdA=")</f>
        <v>#REF!</v>
      </c>
      <c r="HB106" t="e">
        <f>AND('Data Control'!#REF!,"AAAAAH07SdE=")</f>
        <v>#REF!</v>
      </c>
      <c r="HC106" t="e">
        <f>AND('Data Control'!#REF!,"AAAAAH07SdI=")</f>
        <v>#REF!</v>
      </c>
      <c r="HD106" t="e">
        <f>AND('Data Control'!#REF!,"AAAAAH07SdM=")</f>
        <v>#REF!</v>
      </c>
      <c r="HE106" t="e">
        <f>AND('Data Control'!#REF!,"AAAAAH07SdQ=")</f>
        <v>#REF!</v>
      </c>
      <c r="HF106" t="e">
        <f>AND('Data Control'!#REF!,"AAAAAH07SdU=")</f>
        <v>#REF!</v>
      </c>
      <c r="HG106" t="e">
        <f>AND('Data Control'!#REF!,"AAAAAH07SdY=")</f>
        <v>#REF!</v>
      </c>
      <c r="HH106" t="e">
        <f>AND('Data Control'!#REF!,"AAAAAH07Sdc=")</f>
        <v>#REF!</v>
      </c>
      <c r="HI106" t="e">
        <f>AND('Data Control'!#REF!,"AAAAAH07Sdg=")</f>
        <v>#REF!</v>
      </c>
      <c r="HJ106" t="e">
        <f>AND('Data Control'!#REF!,"AAAAAH07Sdk=")</f>
        <v>#REF!</v>
      </c>
      <c r="HK106" t="e">
        <f>AND('Data Control'!#REF!,"AAAAAH07Sdo=")</f>
        <v>#REF!</v>
      </c>
      <c r="HL106">
        <f>IF('Data Control'!57:57,"AAAAAH07Sds=",0)</f>
        <v>0</v>
      </c>
      <c r="HM106" t="e">
        <f>AND('Data Control'!#REF!,"AAAAAH07Sdw=")</f>
        <v>#REF!</v>
      </c>
      <c r="HN106" t="e">
        <f>AND('Data Control'!A57,"AAAAAH07Sd0=")</f>
        <v>#VALUE!</v>
      </c>
      <c r="HO106" t="e">
        <f>AND('Data Control'!B57,"AAAAAH07Sd4=")</f>
        <v>#VALUE!</v>
      </c>
      <c r="HP106" t="e">
        <f>AND('Data Control'!C57,"AAAAAH07Sd8=")</f>
        <v>#VALUE!</v>
      </c>
      <c r="HQ106" t="e">
        <f>AND('Data Control'!D57,"AAAAAH07SeA=")</f>
        <v>#VALUE!</v>
      </c>
      <c r="HR106" t="e">
        <f>AND('Data Control'!E57,"AAAAAH07SeE=")</f>
        <v>#VALUE!</v>
      </c>
      <c r="HS106" t="e">
        <f>AND('Data Control'!F57,"AAAAAH07SeI=")</f>
        <v>#VALUE!</v>
      </c>
      <c r="HT106" t="e">
        <f>AND('Data Control'!G57,"AAAAAH07SeM=")</f>
        <v>#VALUE!</v>
      </c>
      <c r="HU106" t="e">
        <f>AND('Data Control'!I57,"AAAAAH07SeQ=")</f>
        <v>#VALUE!</v>
      </c>
      <c r="HV106" t="e">
        <f>AND('Data Control'!J57,"AAAAAH07SeU=")</f>
        <v>#VALUE!</v>
      </c>
      <c r="HW106" t="e">
        <f>AND('Data Control'!K57,"AAAAAH07SeY=")</f>
        <v>#VALUE!</v>
      </c>
      <c r="HX106" t="e">
        <f>AND('Data Control'!L57,"AAAAAH07Sec=")</f>
        <v>#VALUE!</v>
      </c>
      <c r="HY106" t="e">
        <f>AND('Data Control'!M57,"AAAAAH07Seg=")</f>
        <v>#VALUE!</v>
      </c>
      <c r="HZ106">
        <f>IF('Data Control'!64:64,"AAAAAH07Sek=",0)</f>
        <v>0</v>
      </c>
      <c r="IA106" t="e">
        <f>AND('Data Control'!A64,"AAAAAH07Seo=")</f>
        <v>#VALUE!</v>
      </c>
      <c r="IB106" t="e">
        <f>AND('Data Control'!B64,"AAAAAH07Ses=")</f>
        <v>#VALUE!</v>
      </c>
      <c r="IC106" t="e">
        <f>AND('Data Control'!C64,"AAAAAH07Sew=")</f>
        <v>#VALUE!</v>
      </c>
      <c r="ID106" t="e">
        <f>AND('Data Control'!D64,"AAAAAH07Se0=")</f>
        <v>#VALUE!</v>
      </c>
      <c r="IE106" t="e">
        <f>AND('Data Control'!E64,"AAAAAH07Se4=")</f>
        <v>#VALUE!</v>
      </c>
      <c r="IF106" t="e">
        <f>AND('Data Control'!F64,"AAAAAH07Se8=")</f>
        <v>#VALUE!</v>
      </c>
      <c r="IG106" t="e">
        <f>AND('Data Control'!G64,"AAAAAH07SfA=")</f>
        <v>#VALUE!</v>
      </c>
      <c r="IH106" t="e">
        <f>AND('Data Control'!H64,"AAAAAH07SfE=")</f>
        <v>#VALUE!</v>
      </c>
      <c r="II106" t="e">
        <f>AND('Data Control'!I64,"AAAAAH07SfI=")</f>
        <v>#VALUE!</v>
      </c>
      <c r="IJ106" t="e">
        <f>AND('Data Control'!J64,"AAAAAH07SfM=")</f>
        <v>#VALUE!</v>
      </c>
      <c r="IK106" t="e">
        <f>AND('Data Control'!K64,"AAAAAH07SfQ=")</f>
        <v>#VALUE!</v>
      </c>
      <c r="IL106" t="e">
        <f>AND('Data Control'!L64,"AAAAAH07SfU=")</f>
        <v>#VALUE!</v>
      </c>
      <c r="IM106" t="e">
        <f>AND('Data Control'!M64,"AAAAAH07SfY=")</f>
        <v>#VALUE!</v>
      </c>
      <c r="IN106">
        <f>IF('Data Control'!65:65,"AAAAAH07Sfc=",0)</f>
        <v>0</v>
      </c>
      <c r="IO106" t="e">
        <f>AND('Data Control'!#REF!,"AAAAAH07Sfg=")</f>
        <v>#REF!</v>
      </c>
      <c r="IP106" t="e">
        <f>AND('Data Control'!A65,"AAAAAH07Sfk=")</f>
        <v>#VALUE!</v>
      </c>
      <c r="IQ106" t="e">
        <f>AND('Data Control'!C65,"AAAAAH07Sfo=")</f>
        <v>#VALUE!</v>
      </c>
      <c r="IR106" t="e">
        <f>AND('Data Control'!D65,"AAAAAH07Sfs=")</f>
        <v>#VALUE!</v>
      </c>
      <c r="IS106" t="e">
        <f>AND('Data Control'!E65,"AAAAAH07Sfw=")</f>
        <v>#VALUE!</v>
      </c>
      <c r="IT106" t="e">
        <f>AND('Data Control'!F65,"AAAAAH07Sf0=")</f>
        <v>#VALUE!</v>
      </c>
      <c r="IU106" t="e">
        <f>AND('Data Control'!G65,"AAAAAH07Sf4=")</f>
        <v>#VALUE!</v>
      </c>
      <c r="IV106" t="e">
        <f>AND('Data Control'!H65,"AAAAAH07Sf8=")</f>
        <v>#VALUE!</v>
      </c>
    </row>
    <row r="107" spans="1:256" x14ac:dyDescent="0.2">
      <c r="A107" t="e">
        <f>AND('Data Control'!I65,"AAAAAHf0GwA=")</f>
        <v>#VALUE!</v>
      </c>
      <c r="B107" t="e">
        <f>AND('Data Control'!J65,"AAAAAHf0GwE=")</f>
        <v>#VALUE!</v>
      </c>
      <c r="C107" t="e">
        <f>AND('Data Control'!K65,"AAAAAHf0GwI=")</f>
        <v>#VALUE!</v>
      </c>
      <c r="D107" t="e">
        <f>AND('Data Control'!L65,"AAAAAHf0GwM=")</f>
        <v>#VALUE!</v>
      </c>
      <c r="E107" t="e">
        <f>AND('Data Control'!M65,"AAAAAHf0GwQ=")</f>
        <v>#VALUE!</v>
      </c>
      <c r="F107" t="e">
        <f>IF('Data Control'!#REF!,"AAAAAHf0GwU=",0)</f>
        <v>#REF!</v>
      </c>
      <c r="G107" t="e">
        <f>AND('Data Control'!#REF!,"AAAAAHf0GwY=")</f>
        <v>#REF!</v>
      </c>
      <c r="H107" t="e">
        <f>AND('Data Control'!#REF!,"AAAAAHf0Gwc=")</f>
        <v>#REF!</v>
      </c>
      <c r="I107" t="e">
        <f>AND('Data Control'!#REF!,"AAAAAHf0Gwg=")</f>
        <v>#REF!</v>
      </c>
      <c r="J107" t="e">
        <f>AND('Data Control'!#REF!,"AAAAAHf0Gwk=")</f>
        <v>#REF!</v>
      </c>
      <c r="K107" t="e">
        <f>AND('Data Control'!#REF!,"AAAAAHf0Gwo=")</f>
        <v>#REF!</v>
      </c>
      <c r="L107" t="e">
        <f>AND('Data Control'!#REF!,"AAAAAHf0Gws=")</f>
        <v>#REF!</v>
      </c>
      <c r="M107" t="e">
        <f>AND('Data Control'!#REF!,"AAAAAHf0Gww=")</f>
        <v>#REF!</v>
      </c>
      <c r="N107" t="e">
        <f>AND('Data Control'!#REF!,"AAAAAHf0Gw0=")</f>
        <v>#REF!</v>
      </c>
      <c r="O107" t="e">
        <f>AND('Data Control'!#REF!,"AAAAAHf0Gw4=")</f>
        <v>#REF!</v>
      </c>
      <c r="P107" t="e">
        <f>AND('Data Control'!#REF!,"AAAAAHf0Gw8=")</f>
        <v>#REF!</v>
      </c>
      <c r="Q107" t="e">
        <f>AND('Data Control'!#REF!,"AAAAAHf0GxA=")</f>
        <v>#REF!</v>
      </c>
      <c r="R107" t="e">
        <f>AND('Data Control'!#REF!,"AAAAAHf0GxE=")</f>
        <v>#REF!</v>
      </c>
      <c r="S107" t="e">
        <f>AND('Data Control'!#REF!,"AAAAAHf0GxI=")</f>
        <v>#REF!</v>
      </c>
      <c r="T107">
        <f>IF('Data Control'!66:66,"AAAAAHf0GxM=",0)</f>
        <v>0</v>
      </c>
      <c r="U107" t="e">
        <f>AND('Data Control'!#REF!,"AAAAAHf0GxQ=")</f>
        <v>#REF!</v>
      </c>
      <c r="V107" t="e">
        <f>AND('Data Control'!#REF!,"AAAAAHf0GxU=")</f>
        <v>#REF!</v>
      </c>
      <c r="W107" t="e">
        <f>AND('Data Control'!A66,"AAAAAHf0GxY=")</f>
        <v>#VALUE!</v>
      </c>
      <c r="X107" t="e">
        <f>AND('Data Control'!C66,"AAAAAHf0Gxc=")</f>
        <v>#VALUE!</v>
      </c>
      <c r="Y107" t="e">
        <f>AND('Data Control'!D66,"AAAAAHf0Gxg=")</f>
        <v>#VALUE!</v>
      </c>
      <c r="Z107" t="e">
        <f>AND('Data Control'!E66,"AAAAAHf0Gxk=")</f>
        <v>#VALUE!</v>
      </c>
      <c r="AA107" t="e">
        <f>AND('Data Control'!F66,"AAAAAHf0Gxo=")</f>
        <v>#VALUE!</v>
      </c>
      <c r="AB107" t="e">
        <f>AND('Data Control'!G66,"AAAAAHf0Gxs=")</f>
        <v>#VALUE!</v>
      </c>
      <c r="AC107" t="e">
        <f>AND('Data Control'!I66,"AAAAAHf0Gxw=")</f>
        <v>#VALUE!</v>
      </c>
      <c r="AD107" t="e">
        <f>AND('Data Control'!J66,"AAAAAHf0Gx0=")</f>
        <v>#VALUE!</v>
      </c>
      <c r="AE107" t="e">
        <f>AND('Data Control'!K66,"AAAAAHf0Gx4=")</f>
        <v>#VALUE!</v>
      </c>
      <c r="AF107" t="e">
        <f>AND('Data Control'!L66,"AAAAAHf0Gx8=")</f>
        <v>#VALUE!</v>
      </c>
      <c r="AG107" t="e">
        <f>AND('Data Control'!M66,"AAAAAHf0GyA=")</f>
        <v>#VALUE!</v>
      </c>
      <c r="AH107">
        <f>IF('Data Control'!67:67,"AAAAAHf0GyE=",0)</f>
        <v>0</v>
      </c>
      <c r="AI107" t="e">
        <f>AND('Data Control'!#REF!,"AAAAAHf0GyI=")</f>
        <v>#REF!</v>
      </c>
      <c r="AJ107" t="e">
        <f>AND('Data Control'!#REF!,"AAAAAHf0GyM=")</f>
        <v>#REF!</v>
      </c>
      <c r="AK107" t="e">
        <f>AND('Data Control'!A67,"AAAAAHf0GyQ=")</f>
        <v>#VALUE!</v>
      </c>
      <c r="AL107" t="e">
        <f>AND('Data Control'!C67,"AAAAAHf0GyU=")</f>
        <v>#VALUE!</v>
      </c>
      <c r="AM107" t="e">
        <f>AND('Data Control'!D67,"AAAAAHf0GyY=")</f>
        <v>#VALUE!</v>
      </c>
      <c r="AN107" t="e">
        <f>AND('Data Control'!E67,"AAAAAHf0Gyc=")</f>
        <v>#VALUE!</v>
      </c>
      <c r="AO107" t="e">
        <f>AND('Data Control'!F67,"AAAAAHf0Gyg=")</f>
        <v>#VALUE!</v>
      </c>
      <c r="AP107" t="e">
        <f>AND('Data Control'!G67,"AAAAAHf0Gyk=")</f>
        <v>#VALUE!</v>
      </c>
      <c r="AQ107" t="e">
        <f>AND('Data Control'!I67,"AAAAAHf0Gyo=")</f>
        <v>#VALUE!</v>
      </c>
      <c r="AR107" t="e">
        <f>AND('Data Control'!J67,"AAAAAHf0Gys=")</f>
        <v>#VALUE!</v>
      </c>
      <c r="AS107" t="e">
        <f>AND('Data Control'!K67,"AAAAAHf0Gyw=")</f>
        <v>#VALUE!</v>
      </c>
      <c r="AT107" t="e">
        <f>AND('Data Control'!L67,"AAAAAHf0Gy0=")</f>
        <v>#VALUE!</v>
      </c>
      <c r="AU107" t="e">
        <f>AND('Data Control'!M67,"AAAAAHf0Gy4=")</f>
        <v>#VALUE!</v>
      </c>
      <c r="AV107" t="e">
        <f>IF('Data Control'!#REF!,"AAAAAHf0Gy8=",0)</f>
        <v>#REF!</v>
      </c>
      <c r="AW107" t="e">
        <f>AND('Data Control'!#REF!,"AAAAAHf0GzA=")</f>
        <v>#REF!</v>
      </c>
      <c r="AX107" t="e">
        <f>AND('Data Control'!#REF!,"AAAAAHf0GzE=")</f>
        <v>#REF!</v>
      </c>
      <c r="AY107" t="e">
        <f>AND('Data Control'!#REF!,"AAAAAHf0GzI=")</f>
        <v>#REF!</v>
      </c>
      <c r="AZ107" t="e">
        <f>AND('Data Control'!#REF!,"AAAAAHf0GzM=")</f>
        <v>#REF!</v>
      </c>
      <c r="BA107" t="e">
        <f>AND('Data Control'!#REF!,"AAAAAHf0GzQ=")</f>
        <v>#REF!</v>
      </c>
      <c r="BB107" t="e">
        <f>AND('Data Control'!#REF!,"AAAAAHf0GzU=")</f>
        <v>#REF!</v>
      </c>
      <c r="BC107" t="e">
        <f>AND('Data Control'!#REF!,"AAAAAHf0GzY=")</f>
        <v>#REF!</v>
      </c>
      <c r="BD107" t="e">
        <f>AND('Data Control'!#REF!,"AAAAAHf0Gzc=")</f>
        <v>#REF!</v>
      </c>
      <c r="BE107" t="e">
        <f>AND('Data Control'!#REF!,"AAAAAHf0Gzg=")</f>
        <v>#REF!</v>
      </c>
      <c r="BF107" t="e">
        <f>AND('Data Control'!#REF!,"AAAAAHf0Gzk=")</f>
        <v>#REF!</v>
      </c>
      <c r="BG107" t="e">
        <f>AND('Data Control'!#REF!,"AAAAAHf0Gzo=")</f>
        <v>#REF!</v>
      </c>
      <c r="BH107" t="e">
        <f>AND('Data Control'!#REF!,"AAAAAHf0Gzs=")</f>
        <v>#REF!</v>
      </c>
      <c r="BI107" t="e">
        <f>AND('Data Control'!#REF!,"AAAAAHf0Gzw=")</f>
        <v>#REF!</v>
      </c>
      <c r="BJ107" t="e">
        <f>IF('Data Control'!#REF!,"AAAAAHf0Gz0=",0)</f>
        <v>#REF!</v>
      </c>
      <c r="BK107" t="e">
        <f>AND('Data Control'!#REF!,"AAAAAHf0Gz4=")</f>
        <v>#REF!</v>
      </c>
      <c r="BL107" t="e">
        <f>AND('Data Control'!#REF!,"AAAAAHf0Gz8=")</f>
        <v>#REF!</v>
      </c>
      <c r="BM107" t="e">
        <f>AND('Data Control'!#REF!,"AAAAAHf0G0A=")</f>
        <v>#REF!</v>
      </c>
      <c r="BN107" t="e">
        <f>AND('Data Control'!#REF!,"AAAAAHf0G0E=")</f>
        <v>#REF!</v>
      </c>
      <c r="BO107" t="e">
        <f>AND('Data Control'!#REF!,"AAAAAHf0G0I=")</f>
        <v>#REF!</v>
      </c>
      <c r="BP107" t="e">
        <f>AND('Data Control'!#REF!,"AAAAAHf0G0M=")</f>
        <v>#REF!</v>
      </c>
      <c r="BQ107" t="e">
        <f>AND('Data Control'!#REF!,"AAAAAHf0G0Q=")</f>
        <v>#REF!</v>
      </c>
      <c r="BR107" t="e">
        <f>AND('Data Control'!#REF!,"AAAAAHf0G0U=")</f>
        <v>#REF!</v>
      </c>
      <c r="BS107" t="e">
        <f>AND('Data Control'!#REF!,"AAAAAHf0G0Y=")</f>
        <v>#REF!</v>
      </c>
      <c r="BT107" t="e">
        <f>AND('Data Control'!#REF!,"AAAAAHf0G0c=")</f>
        <v>#REF!</v>
      </c>
      <c r="BU107" t="e">
        <f>AND('Data Control'!#REF!,"AAAAAHf0G0g=")</f>
        <v>#REF!</v>
      </c>
      <c r="BV107" t="e">
        <f>AND('Data Control'!#REF!,"AAAAAHf0G0k=")</f>
        <v>#REF!</v>
      </c>
      <c r="BW107" t="e">
        <f>AND('Data Control'!#REF!,"AAAAAHf0G0o=")</f>
        <v>#REF!</v>
      </c>
      <c r="BX107">
        <f>IF('Data Control'!68:68,"AAAAAHf0G0s=",0)</f>
        <v>0</v>
      </c>
      <c r="BY107" t="e">
        <f>AND('Data Control'!A68,"AAAAAHf0G0w=")</f>
        <v>#VALUE!</v>
      </c>
      <c r="BZ107" t="e">
        <f>AND('Data Control'!B68,"AAAAAHf0G00=")</f>
        <v>#VALUE!</v>
      </c>
      <c r="CA107" t="e">
        <f>AND('Data Control'!C68,"AAAAAHf0G04=")</f>
        <v>#VALUE!</v>
      </c>
      <c r="CB107" t="e">
        <f>AND('Data Control'!D68,"AAAAAHf0G08=")</f>
        <v>#VALUE!</v>
      </c>
      <c r="CC107" t="e">
        <f>AND('Data Control'!E68,"AAAAAHf0G1A=")</f>
        <v>#VALUE!</v>
      </c>
      <c r="CD107" t="e">
        <f>AND('Data Control'!F68,"AAAAAHf0G1E=")</f>
        <v>#VALUE!</v>
      </c>
      <c r="CE107" t="e">
        <f>AND('Data Control'!G68,"AAAAAHf0G1I=")</f>
        <v>#VALUE!</v>
      </c>
      <c r="CF107" t="e">
        <f>AND('Data Control'!H68,"AAAAAHf0G1M=")</f>
        <v>#VALUE!</v>
      </c>
      <c r="CG107" t="e">
        <f>AND('Data Control'!I68,"AAAAAHf0G1Q=")</f>
        <v>#VALUE!</v>
      </c>
      <c r="CH107" t="e">
        <f>AND('Data Control'!J68,"AAAAAHf0G1U=")</f>
        <v>#VALUE!</v>
      </c>
      <c r="CI107" t="e">
        <f>AND('Data Control'!K68,"AAAAAHf0G1Y=")</f>
        <v>#VALUE!</v>
      </c>
      <c r="CJ107" t="e">
        <f>AND('Data Control'!L68,"AAAAAHf0G1c=")</f>
        <v>#VALUE!</v>
      </c>
      <c r="CK107" t="e">
        <f>AND('Data Control'!M68,"AAAAAHf0G1g=")</f>
        <v>#VALUE!</v>
      </c>
      <c r="CL107" t="e">
        <f>IF('Data Control'!#REF!,"AAAAAHf0G1k=",0)</f>
        <v>#REF!</v>
      </c>
      <c r="CM107" t="e">
        <f>AND('Data Control'!#REF!,"AAAAAHf0G1o=")</f>
        <v>#REF!</v>
      </c>
      <c r="CN107" t="e">
        <f>AND('Data Control'!#REF!,"AAAAAHf0G1s=")</f>
        <v>#REF!</v>
      </c>
      <c r="CO107" t="e">
        <f>AND('Data Control'!#REF!,"AAAAAHf0G1w=")</f>
        <v>#REF!</v>
      </c>
      <c r="CP107" t="e">
        <f>AND('Data Control'!#REF!,"AAAAAHf0G10=")</f>
        <v>#REF!</v>
      </c>
      <c r="CQ107" t="e">
        <f>AND('Data Control'!#REF!,"AAAAAHf0G14=")</f>
        <v>#REF!</v>
      </c>
      <c r="CR107" t="e">
        <f>AND('Data Control'!#REF!,"AAAAAHf0G18=")</f>
        <v>#REF!</v>
      </c>
      <c r="CS107" t="e">
        <f>AND('Data Control'!#REF!,"AAAAAHf0G2A=")</f>
        <v>#REF!</v>
      </c>
      <c r="CT107" t="e">
        <f>AND('Data Control'!#REF!,"AAAAAHf0G2E=")</f>
        <v>#REF!</v>
      </c>
      <c r="CU107" t="e">
        <f>AND('Data Control'!#REF!,"AAAAAHf0G2I=")</f>
        <v>#REF!</v>
      </c>
      <c r="CV107" t="e">
        <f>AND('Data Control'!#REF!,"AAAAAHf0G2M=")</f>
        <v>#REF!</v>
      </c>
      <c r="CW107" t="e">
        <f>AND('Data Control'!#REF!,"AAAAAHf0G2Q=")</f>
        <v>#REF!</v>
      </c>
      <c r="CX107" t="e">
        <f>AND('Data Control'!#REF!,"AAAAAHf0G2U=")</f>
        <v>#REF!</v>
      </c>
      <c r="CY107" t="e">
        <f>AND('Data Control'!#REF!,"AAAAAHf0G2Y=")</f>
        <v>#REF!</v>
      </c>
      <c r="CZ107">
        <f>IF('Data Control'!69:69,"AAAAAHf0G2c=",0)</f>
        <v>0</v>
      </c>
      <c r="DA107" t="e">
        <f>AND('Data Control'!#REF!,"AAAAAHf0G2g=")</f>
        <v>#REF!</v>
      </c>
      <c r="DB107" t="e">
        <f>AND('Data Control'!#REF!,"AAAAAHf0G2k=")</f>
        <v>#REF!</v>
      </c>
      <c r="DC107" t="e">
        <f>AND('Data Control'!A69,"AAAAAHf0G2o=")</f>
        <v>#VALUE!</v>
      </c>
      <c r="DD107" t="e">
        <f>AND('Data Control'!B69,"AAAAAHf0G2s=")</f>
        <v>#VALUE!</v>
      </c>
      <c r="DE107" t="e">
        <f>AND('Data Control'!C69,"AAAAAHf0G2w=")</f>
        <v>#VALUE!</v>
      </c>
      <c r="DF107" t="e">
        <f>AND('Data Control'!D69,"AAAAAHf0G20=")</f>
        <v>#VALUE!</v>
      </c>
      <c r="DG107" t="e">
        <f>AND('Data Control'!E69,"AAAAAHf0G24=")</f>
        <v>#VALUE!</v>
      </c>
      <c r="DH107" t="e">
        <f>AND('Data Control'!F69,"AAAAAHf0G28=")</f>
        <v>#VALUE!</v>
      </c>
      <c r="DI107" t="e">
        <f>AND('Data Control'!G69,"AAAAAHf0G3A=")</f>
        <v>#VALUE!</v>
      </c>
      <c r="DJ107" t="e">
        <f>AND('Data Control'!H69,"AAAAAHf0G3E=")</f>
        <v>#VALUE!</v>
      </c>
      <c r="DK107" t="e">
        <f>AND('Data Control'!I69,"AAAAAHf0G3I=")</f>
        <v>#VALUE!</v>
      </c>
      <c r="DL107" t="e">
        <f>AND('Data Control'!J69,"AAAAAHf0G3M=")</f>
        <v>#VALUE!</v>
      </c>
      <c r="DM107" t="e">
        <f>AND('Data Control'!K69,"AAAAAHf0G3Q=")</f>
        <v>#VALUE!</v>
      </c>
      <c r="DN107" t="e">
        <f>IF('Data Control'!#REF!,"AAAAAHf0G3U=",0)</f>
        <v>#REF!</v>
      </c>
      <c r="DO107" t="e">
        <f>AND('Data Control'!#REF!,"AAAAAHf0G3Y=")</f>
        <v>#REF!</v>
      </c>
      <c r="DP107" t="e">
        <f>AND('Data Control'!#REF!,"AAAAAHf0G3c=")</f>
        <v>#REF!</v>
      </c>
      <c r="DQ107" t="e">
        <f>AND('Data Control'!#REF!,"AAAAAHf0G3g=")</f>
        <v>#REF!</v>
      </c>
      <c r="DR107" t="e">
        <f>AND('Data Control'!#REF!,"AAAAAHf0G3k=")</f>
        <v>#REF!</v>
      </c>
      <c r="DS107" t="e">
        <f>AND('Data Control'!#REF!,"AAAAAHf0G3o=")</f>
        <v>#REF!</v>
      </c>
      <c r="DT107" t="e">
        <f>AND('Data Control'!#REF!,"AAAAAHf0G3s=")</f>
        <v>#REF!</v>
      </c>
      <c r="DU107" t="e">
        <f>AND('Data Control'!#REF!,"AAAAAHf0G3w=")</f>
        <v>#REF!</v>
      </c>
      <c r="DV107" t="e">
        <f>AND('Data Control'!#REF!,"AAAAAHf0G30=")</f>
        <v>#REF!</v>
      </c>
      <c r="DW107" t="e">
        <f>AND('Data Control'!#REF!,"AAAAAHf0G34=")</f>
        <v>#REF!</v>
      </c>
      <c r="DX107" t="e">
        <f>AND('Data Control'!#REF!,"AAAAAHf0G38=")</f>
        <v>#REF!</v>
      </c>
      <c r="DY107" t="e">
        <f>AND('Data Control'!#REF!,"AAAAAHf0G4A=")</f>
        <v>#REF!</v>
      </c>
      <c r="DZ107" t="e">
        <f>AND('Data Control'!#REF!,"AAAAAHf0G4E=")</f>
        <v>#REF!</v>
      </c>
      <c r="EA107" t="e">
        <f>AND('Data Control'!#REF!,"AAAAAHf0G4I=")</f>
        <v>#REF!</v>
      </c>
      <c r="EB107" t="e">
        <f>IF('Data Control'!#REF!,"AAAAAHf0G4M=",0)</f>
        <v>#REF!</v>
      </c>
      <c r="EC107" t="e">
        <f>AND('Data Control'!#REF!,"AAAAAHf0G4Q=")</f>
        <v>#REF!</v>
      </c>
      <c r="ED107" t="e">
        <f>AND('Data Control'!#REF!,"AAAAAHf0G4U=")</f>
        <v>#REF!</v>
      </c>
      <c r="EE107" t="e">
        <f>AND('Data Control'!#REF!,"AAAAAHf0G4Y=")</f>
        <v>#REF!</v>
      </c>
      <c r="EF107" t="e">
        <f>AND('Data Control'!#REF!,"AAAAAHf0G4c=")</f>
        <v>#REF!</v>
      </c>
      <c r="EG107" t="e">
        <f>AND('Data Control'!#REF!,"AAAAAHf0G4g=")</f>
        <v>#REF!</v>
      </c>
      <c r="EH107" t="e">
        <f>AND('Data Control'!#REF!,"AAAAAHf0G4k=")</f>
        <v>#REF!</v>
      </c>
      <c r="EI107" t="e">
        <f>AND('Data Control'!#REF!,"AAAAAHf0G4o=")</f>
        <v>#REF!</v>
      </c>
      <c r="EJ107" t="e">
        <f>AND('Data Control'!#REF!,"AAAAAHf0G4s=")</f>
        <v>#REF!</v>
      </c>
      <c r="EK107" t="e">
        <f>AND('Data Control'!#REF!,"AAAAAHf0G4w=")</f>
        <v>#REF!</v>
      </c>
      <c r="EL107" t="e">
        <f>AND('Data Control'!#REF!,"AAAAAHf0G40=")</f>
        <v>#REF!</v>
      </c>
      <c r="EM107" t="e">
        <f>AND('Data Control'!#REF!,"AAAAAHf0G44=")</f>
        <v>#REF!</v>
      </c>
      <c r="EN107" t="e">
        <f>AND('Data Control'!#REF!,"AAAAAHf0G48=")</f>
        <v>#REF!</v>
      </c>
      <c r="EO107" t="e">
        <f>AND('Data Control'!#REF!,"AAAAAHf0G5A=")</f>
        <v>#REF!</v>
      </c>
      <c r="EP107" t="e">
        <f>IF('Data Control'!#REF!,"AAAAAHf0G5E=",0)</f>
        <v>#REF!</v>
      </c>
      <c r="EQ107" t="e">
        <f>AND('Data Control'!#REF!,"AAAAAHf0G5I=")</f>
        <v>#REF!</v>
      </c>
      <c r="ER107" t="e">
        <f>AND('Data Control'!#REF!,"AAAAAHf0G5M=")</f>
        <v>#REF!</v>
      </c>
      <c r="ES107" t="e">
        <f>AND('Data Control'!#REF!,"AAAAAHf0G5Q=")</f>
        <v>#REF!</v>
      </c>
      <c r="ET107" t="e">
        <f>AND('Data Control'!#REF!,"AAAAAHf0G5U=")</f>
        <v>#REF!</v>
      </c>
      <c r="EU107" t="e">
        <f>AND('Data Control'!#REF!,"AAAAAHf0G5Y=")</f>
        <v>#REF!</v>
      </c>
      <c r="EV107" t="e">
        <f>AND('Data Control'!#REF!,"AAAAAHf0G5c=")</f>
        <v>#REF!</v>
      </c>
      <c r="EW107" t="e">
        <f>AND('Data Control'!#REF!,"AAAAAHf0G5g=")</f>
        <v>#REF!</v>
      </c>
      <c r="EX107" t="e">
        <f>AND('Data Control'!#REF!,"AAAAAHf0G5k=")</f>
        <v>#REF!</v>
      </c>
      <c r="EY107" t="e">
        <f>AND('Data Control'!#REF!,"AAAAAHf0G5o=")</f>
        <v>#REF!</v>
      </c>
      <c r="EZ107" t="e">
        <f>AND('Data Control'!#REF!,"AAAAAHf0G5s=")</f>
        <v>#REF!</v>
      </c>
      <c r="FA107" t="e">
        <f>AND('Data Control'!#REF!,"AAAAAHf0G5w=")</f>
        <v>#REF!</v>
      </c>
      <c r="FB107" t="e">
        <f>AND('Data Control'!#REF!,"AAAAAHf0G50=")</f>
        <v>#REF!</v>
      </c>
      <c r="FC107" t="e">
        <f>AND('Data Control'!#REF!,"AAAAAHf0G54=")</f>
        <v>#REF!</v>
      </c>
      <c r="FD107" t="e">
        <f>IF('Data Control'!#REF!,"AAAAAHf0G58=",0)</f>
        <v>#REF!</v>
      </c>
      <c r="FE107" t="e">
        <f>AND('Data Control'!#REF!,"AAAAAHf0G6A=")</f>
        <v>#REF!</v>
      </c>
      <c r="FF107" t="e">
        <f>AND('Data Control'!#REF!,"AAAAAHf0G6E=")</f>
        <v>#REF!</v>
      </c>
      <c r="FG107" t="e">
        <f>AND('Data Control'!#REF!,"AAAAAHf0G6I=")</f>
        <v>#REF!</v>
      </c>
      <c r="FH107" t="e">
        <f>AND('Data Control'!#REF!,"AAAAAHf0G6M=")</f>
        <v>#REF!</v>
      </c>
      <c r="FI107" t="e">
        <f>AND('Data Control'!#REF!,"AAAAAHf0G6Q=")</f>
        <v>#REF!</v>
      </c>
      <c r="FJ107" t="e">
        <f>AND('Data Control'!#REF!,"AAAAAHf0G6U=")</f>
        <v>#REF!</v>
      </c>
      <c r="FK107" t="e">
        <f>AND('Data Control'!#REF!,"AAAAAHf0G6Y=")</f>
        <v>#REF!</v>
      </c>
      <c r="FL107" t="e">
        <f>AND('Data Control'!#REF!,"AAAAAHf0G6c=")</f>
        <v>#REF!</v>
      </c>
      <c r="FM107" t="e">
        <f>AND('Data Control'!#REF!,"AAAAAHf0G6g=")</f>
        <v>#REF!</v>
      </c>
      <c r="FN107" t="e">
        <f>AND('Data Control'!#REF!,"AAAAAHf0G6k=")</f>
        <v>#REF!</v>
      </c>
      <c r="FO107" t="e">
        <f>AND('Data Control'!#REF!,"AAAAAHf0G6o=")</f>
        <v>#REF!</v>
      </c>
      <c r="FP107" t="e">
        <f>AND('Data Control'!#REF!,"AAAAAHf0G6s=")</f>
        <v>#REF!</v>
      </c>
      <c r="FQ107" t="e">
        <f>AND('Data Control'!#REF!,"AAAAAHf0G6w=")</f>
        <v>#REF!</v>
      </c>
      <c r="FR107" t="e">
        <f>IF('Data Control'!#REF!,"AAAAAHf0G60=",0)</f>
        <v>#REF!</v>
      </c>
      <c r="FS107" t="e">
        <f>AND('Data Control'!#REF!,"AAAAAHf0G64=")</f>
        <v>#REF!</v>
      </c>
      <c r="FT107" t="e">
        <f>AND('Data Control'!#REF!,"AAAAAHf0G68=")</f>
        <v>#REF!</v>
      </c>
      <c r="FU107" t="e">
        <f>AND('Data Control'!#REF!,"AAAAAHf0G7A=")</f>
        <v>#REF!</v>
      </c>
      <c r="FV107" t="e">
        <f>AND('Data Control'!#REF!,"AAAAAHf0G7E=")</f>
        <v>#REF!</v>
      </c>
      <c r="FW107" t="e">
        <f>AND('Data Control'!#REF!,"AAAAAHf0G7I=")</f>
        <v>#REF!</v>
      </c>
      <c r="FX107" t="e">
        <f>AND('Data Control'!#REF!,"AAAAAHf0G7M=")</f>
        <v>#REF!</v>
      </c>
      <c r="FY107" t="e">
        <f>AND('Data Control'!#REF!,"AAAAAHf0G7Q=")</f>
        <v>#REF!</v>
      </c>
      <c r="FZ107" t="e">
        <f>AND('Data Control'!#REF!,"AAAAAHf0G7U=")</f>
        <v>#REF!</v>
      </c>
      <c r="GA107" t="e">
        <f>AND('Data Control'!#REF!,"AAAAAHf0G7Y=")</f>
        <v>#REF!</v>
      </c>
      <c r="GB107" t="e">
        <f>AND('Data Control'!#REF!,"AAAAAHf0G7c=")</f>
        <v>#REF!</v>
      </c>
      <c r="GC107" t="e">
        <f>AND('Data Control'!#REF!,"AAAAAHf0G7g=")</f>
        <v>#REF!</v>
      </c>
      <c r="GD107" t="e">
        <f>AND('Data Control'!#REF!,"AAAAAHf0G7k=")</f>
        <v>#REF!</v>
      </c>
      <c r="GE107" t="e">
        <f>AND('Data Control'!#REF!,"AAAAAHf0G7o=")</f>
        <v>#REF!</v>
      </c>
      <c r="GF107" t="e">
        <f>IF('Data Control'!#REF!,"AAAAAHf0G7s=",0)</f>
        <v>#REF!</v>
      </c>
      <c r="GG107" t="e">
        <f>AND('Data Control'!#REF!,"AAAAAHf0G7w=")</f>
        <v>#REF!</v>
      </c>
      <c r="GH107" t="e">
        <f>AND('Data Control'!#REF!,"AAAAAHf0G70=")</f>
        <v>#REF!</v>
      </c>
      <c r="GI107" t="e">
        <f>AND('Data Control'!#REF!,"AAAAAHf0G74=")</f>
        <v>#REF!</v>
      </c>
      <c r="GJ107" t="e">
        <f>AND('Data Control'!#REF!,"AAAAAHf0G78=")</f>
        <v>#REF!</v>
      </c>
      <c r="GK107" t="e">
        <f>AND('Data Control'!#REF!,"AAAAAHf0G8A=")</f>
        <v>#REF!</v>
      </c>
      <c r="GL107" t="e">
        <f>AND('Data Control'!#REF!,"AAAAAHf0G8E=")</f>
        <v>#REF!</v>
      </c>
      <c r="GM107" t="e">
        <f>AND('Data Control'!#REF!,"AAAAAHf0G8I=")</f>
        <v>#REF!</v>
      </c>
      <c r="GN107" t="e">
        <f>AND('Data Control'!#REF!,"AAAAAHf0G8M=")</f>
        <v>#REF!</v>
      </c>
      <c r="GO107" t="e">
        <f>AND('Data Control'!#REF!,"AAAAAHf0G8Q=")</f>
        <v>#REF!</v>
      </c>
      <c r="GP107" t="e">
        <f>AND('Data Control'!#REF!,"AAAAAHf0G8U=")</f>
        <v>#REF!</v>
      </c>
      <c r="GQ107" t="e">
        <f>AND('Data Control'!#REF!,"AAAAAHf0G8Y=")</f>
        <v>#REF!</v>
      </c>
      <c r="GR107" t="e">
        <f>AND('Data Control'!#REF!,"AAAAAHf0G8c=")</f>
        <v>#REF!</v>
      </c>
      <c r="GS107" t="e">
        <f>AND('Data Control'!#REF!,"AAAAAHf0G8g=")</f>
        <v>#REF!</v>
      </c>
      <c r="GT107">
        <f>IF('Data Control'!71:71,"AAAAAHf0G8k=",0)</f>
        <v>0</v>
      </c>
      <c r="GU107" t="e">
        <f>AND('Data Control'!A71,"AAAAAHf0G8o=")</f>
        <v>#VALUE!</v>
      </c>
      <c r="GV107" t="e">
        <f>AND('Data Control'!B71,"AAAAAHf0G8s=")</f>
        <v>#VALUE!</v>
      </c>
      <c r="GW107" t="e">
        <f>AND('Data Control'!C71,"AAAAAHf0G8w=")</f>
        <v>#VALUE!</v>
      </c>
      <c r="GX107" t="e">
        <f>AND('Data Control'!D71,"AAAAAHf0G80=")</f>
        <v>#VALUE!</v>
      </c>
      <c r="GY107" t="e">
        <f>AND('Data Control'!E71,"AAAAAHf0G84=")</f>
        <v>#VALUE!</v>
      </c>
      <c r="GZ107" t="e">
        <f>AND('Data Control'!F71,"AAAAAHf0G88=")</f>
        <v>#VALUE!</v>
      </c>
      <c r="HA107" t="e">
        <f>AND('Data Control'!G71,"AAAAAHf0G9A=")</f>
        <v>#VALUE!</v>
      </c>
      <c r="HB107" t="e">
        <f>AND('Data Control'!H71,"AAAAAHf0G9E=")</f>
        <v>#VALUE!</v>
      </c>
      <c r="HC107" t="e">
        <f>AND('Data Control'!I71,"AAAAAHf0G9I=")</f>
        <v>#VALUE!</v>
      </c>
      <c r="HD107" t="e">
        <f>AND('Data Control'!J71,"AAAAAHf0G9M=")</f>
        <v>#VALUE!</v>
      </c>
      <c r="HE107" t="e">
        <f>AND('Data Control'!K71,"AAAAAHf0G9Q=")</f>
        <v>#VALUE!</v>
      </c>
      <c r="HF107" t="e">
        <f>AND('Data Control'!L71,"AAAAAHf0G9U=")</f>
        <v>#VALUE!</v>
      </c>
      <c r="HG107" t="e">
        <f>AND('Data Control'!M71,"AAAAAHf0G9Y=")</f>
        <v>#VALUE!</v>
      </c>
      <c r="HH107" t="e">
        <f>IF('Data Control'!#REF!,"AAAAAHf0G9c=",0)</f>
        <v>#REF!</v>
      </c>
      <c r="HI107" t="e">
        <f>AND('Data Control'!#REF!,"AAAAAHf0G9g=")</f>
        <v>#REF!</v>
      </c>
      <c r="HJ107" t="e">
        <f>AND('Data Control'!#REF!,"AAAAAHf0G9k=")</f>
        <v>#REF!</v>
      </c>
      <c r="HK107" t="e">
        <f>AND('Data Control'!#REF!,"AAAAAHf0G9o=")</f>
        <v>#REF!</v>
      </c>
      <c r="HL107" t="e">
        <f>AND('Data Control'!#REF!,"AAAAAHf0G9s=")</f>
        <v>#REF!</v>
      </c>
      <c r="HM107" t="e">
        <f>AND('Data Control'!#REF!,"AAAAAHf0G9w=")</f>
        <v>#REF!</v>
      </c>
      <c r="HN107" t="e">
        <f>AND('Data Control'!#REF!,"AAAAAHf0G90=")</f>
        <v>#REF!</v>
      </c>
      <c r="HO107" t="e">
        <f>AND('Data Control'!#REF!,"AAAAAHf0G94=")</f>
        <v>#REF!</v>
      </c>
      <c r="HP107" t="e">
        <f>AND('Data Control'!#REF!,"AAAAAHf0G98=")</f>
        <v>#REF!</v>
      </c>
      <c r="HQ107" t="e">
        <f>AND('Data Control'!#REF!,"AAAAAHf0G+A=")</f>
        <v>#REF!</v>
      </c>
      <c r="HR107" t="e">
        <f>AND('Data Control'!#REF!,"AAAAAHf0G+E=")</f>
        <v>#REF!</v>
      </c>
      <c r="HS107" t="e">
        <f>AND('Data Control'!#REF!,"AAAAAHf0G+I=")</f>
        <v>#REF!</v>
      </c>
      <c r="HT107" t="e">
        <f>AND('Data Control'!#REF!,"AAAAAHf0G+M=")</f>
        <v>#REF!</v>
      </c>
      <c r="HU107" t="e">
        <f>AND('Data Control'!#REF!,"AAAAAHf0G+Q=")</f>
        <v>#REF!</v>
      </c>
      <c r="HV107" t="e">
        <f>IF('Data Control'!#REF!,"AAAAAHf0G+U=",0)</f>
        <v>#REF!</v>
      </c>
      <c r="HW107" t="e">
        <f>AND('Data Control'!#REF!,"AAAAAHf0G+Y=")</f>
        <v>#REF!</v>
      </c>
      <c r="HX107" t="e">
        <f>AND('Data Control'!#REF!,"AAAAAHf0G+c=")</f>
        <v>#REF!</v>
      </c>
      <c r="HY107" t="e">
        <f>AND('Data Control'!#REF!,"AAAAAHf0G+g=")</f>
        <v>#REF!</v>
      </c>
      <c r="HZ107" t="e">
        <f>AND('Data Control'!#REF!,"AAAAAHf0G+k=")</f>
        <v>#REF!</v>
      </c>
      <c r="IA107" t="e">
        <f>AND('Data Control'!#REF!,"AAAAAHf0G+o=")</f>
        <v>#REF!</v>
      </c>
      <c r="IB107" t="e">
        <f>AND('Data Control'!#REF!,"AAAAAHf0G+s=")</f>
        <v>#REF!</v>
      </c>
      <c r="IC107" t="e">
        <f>AND('Data Control'!#REF!,"AAAAAHf0G+w=")</f>
        <v>#REF!</v>
      </c>
      <c r="ID107" t="e">
        <f>AND('Data Control'!#REF!,"AAAAAHf0G+0=")</f>
        <v>#REF!</v>
      </c>
      <c r="IE107" t="e">
        <f>AND('Data Control'!#REF!,"AAAAAHf0G+4=")</f>
        <v>#REF!</v>
      </c>
      <c r="IF107" t="e">
        <f>AND('Data Control'!#REF!,"AAAAAHf0G+8=")</f>
        <v>#REF!</v>
      </c>
      <c r="IG107" t="e">
        <f>AND('Data Control'!#REF!,"AAAAAHf0G/A=")</f>
        <v>#REF!</v>
      </c>
      <c r="IH107" t="e">
        <f>AND('Data Control'!#REF!,"AAAAAHf0G/E=")</f>
        <v>#REF!</v>
      </c>
      <c r="II107" t="e">
        <f>AND('Data Control'!#REF!,"AAAAAHf0G/I=")</f>
        <v>#REF!</v>
      </c>
      <c r="IJ107" t="e">
        <f>IF('Data Control'!#REF!,"AAAAAHf0G/M=",0)</f>
        <v>#REF!</v>
      </c>
      <c r="IK107" t="e">
        <f>AND('Data Control'!#REF!,"AAAAAHf0G/Q=")</f>
        <v>#REF!</v>
      </c>
      <c r="IL107" t="e">
        <f>AND('Data Control'!#REF!,"AAAAAHf0G/U=")</f>
        <v>#REF!</v>
      </c>
      <c r="IM107" t="e">
        <f>AND('Data Control'!#REF!,"AAAAAHf0G/Y=")</f>
        <v>#REF!</v>
      </c>
      <c r="IN107" t="e">
        <f>AND('Data Control'!#REF!,"AAAAAHf0G/c=")</f>
        <v>#REF!</v>
      </c>
      <c r="IO107" t="e">
        <f>AND('Data Control'!#REF!,"AAAAAHf0G/g=")</f>
        <v>#REF!</v>
      </c>
      <c r="IP107" t="e">
        <f>AND('Data Control'!#REF!,"AAAAAHf0G/k=")</f>
        <v>#REF!</v>
      </c>
      <c r="IQ107" t="e">
        <f>AND('Data Control'!#REF!,"AAAAAHf0G/o=")</f>
        <v>#REF!</v>
      </c>
      <c r="IR107" t="e">
        <f>AND('Data Control'!#REF!,"AAAAAHf0G/s=")</f>
        <v>#REF!</v>
      </c>
      <c r="IS107" t="e">
        <f>AND('Data Control'!#REF!,"AAAAAHf0G/w=")</f>
        <v>#REF!</v>
      </c>
      <c r="IT107" t="e">
        <f>AND('Data Control'!#REF!,"AAAAAHf0G/0=")</f>
        <v>#REF!</v>
      </c>
      <c r="IU107" t="e">
        <f>AND('Data Control'!#REF!,"AAAAAHf0G/4=")</f>
        <v>#REF!</v>
      </c>
      <c r="IV107" t="e">
        <f>AND('Data Control'!#REF!,"AAAAAHf0G/8=")</f>
        <v>#REF!</v>
      </c>
    </row>
    <row r="108" spans="1:256" x14ac:dyDescent="0.2">
      <c r="A108" t="e">
        <f>AND('Data Control'!#REF!,"AAAAAHfqOwA=")</f>
        <v>#REF!</v>
      </c>
      <c r="B108" t="e">
        <f>IF('Data Control'!#REF!,"AAAAAHfqOwE=",0)</f>
        <v>#REF!</v>
      </c>
      <c r="C108" t="e">
        <f>AND('Data Control'!#REF!,"AAAAAHfqOwI=")</f>
        <v>#REF!</v>
      </c>
      <c r="D108" t="e">
        <f>AND('Data Control'!#REF!,"AAAAAHfqOwM=")</f>
        <v>#REF!</v>
      </c>
      <c r="E108" t="e">
        <f>AND('Data Control'!#REF!,"AAAAAHfqOwQ=")</f>
        <v>#REF!</v>
      </c>
      <c r="F108" t="e">
        <f>AND('Data Control'!#REF!,"AAAAAHfqOwU=")</f>
        <v>#REF!</v>
      </c>
      <c r="G108" t="e">
        <f>AND('Data Control'!#REF!,"AAAAAHfqOwY=")</f>
        <v>#REF!</v>
      </c>
      <c r="H108" t="e">
        <f>AND('Data Control'!#REF!,"AAAAAHfqOwc=")</f>
        <v>#REF!</v>
      </c>
      <c r="I108" t="e">
        <f>AND('Data Control'!#REF!,"AAAAAHfqOwg=")</f>
        <v>#REF!</v>
      </c>
      <c r="J108" t="e">
        <f>AND('Data Control'!#REF!,"AAAAAHfqOwk=")</f>
        <v>#REF!</v>
      </c>
      <c r="K108" t="e">
        <f>AND('Data Control'!#REF!,"AAAAAHfqOwo=")</f>
        <v>#REF!</v>
      </c>
      <c r="L108" t="e">
        <f>AND('Data Control'!#REF!,"AAAAAHfqOws=")</f>
        <v>#REF!</v>
      </c>
      <c r="M108" t="e">
        <f>AND('Data Control'!#REF!,"AAAAAHfqOww=")</f>
        <v>#REF!</v>
      </c>
      <c r="N108" t="e">
        <f>AND('Data Control'!#REF!,"AAAAAHfqOw0=")</f>
        <v>#REF!</v>
      </c>
      <c r="O108" t="e">
        <f>AND('Data Control'!#REF!,"AAAAAHfqOw4=")</f>
        <v>#REF!</v>
      </c>
      <c r="P108" t="e">
        <f>IF('Data Control'!#REF!,"AAAAAHfqOw8=",0)</f>
        <v>#REF!</v>
      </c>
      <c r="Q108" t="e">
        <f>AND('Data Control'!#REF!,"AAAAAHfqOxA=")</f>
        <v>#REF!</v>
      </c>
      <c r="R108" t="e">
        <f>AND('Data Control'!#REF!,"AAAAAHfqOxE=")</f>
        <v>#REF!</v>
      </c>
      <c r="S108" t="e">
        <f>AND('Data Control'!#REF!,"AAAAAHfqOxI=")</f>
        <v>#REF!</v>
      </c>
      <c r="T108" t="e">
        <f>AND('Data Control'!#REF!,"AAAAAHfqOxM=")</f>
        <v>#REF!</v>
      </c>
      <c r="U108" t="e">
        <f>AND('Data Control'!#REF!,"AAAAAHfqOxQ=")</f>
        <v>#REF!</v>
      </c>
      <c r="V108" t="e">
        <f>AND('Data Control'!#REF!,"AAAAAHfqOxU=")</f>
        <v>#REF!</v>
      </c>
      <c r="W108" t="e">
        <f>AND('Data Control'!#REF!,"AAAAAHfqOxY=")</f>
        <v>#REF!</v>
      </c>
      <c r="X108" t="e">
        <f>AND('Data Control'!#REF!,"AAAAAHfqOxc=")</f>
        <v>#REF!</v>
      </c>
      <c r="Y108" t="e">
        <f>AND('Data Control'!#REF!,"AAAAAHfqOxg=")</f>
        <v>#REF!</v>
      </c>
      <c r="Z108" t="e">
        <f>AND('Data Control'!#REF!,"AAAAAHfqOxk=")</f>
        <v>#REF!</v>
      </c>
      <c r="AA108" t="e">
        <f>AND('Data Control'!#REF!,"AAAAAHfqOxo=")</f>
        <v>#REF!</v>
      </c>
      <c r="AB108" t="e">
        <f>AND('Data Control'!#REF!,"AAAAAHfqOxs=")</f>
        <v>#REF!</v>
      </c>
      <c r="AC108" t="e">
        <f>AND('Data Control'!#REF!,"AAAAAHfqOxw=")</f>
        <v>#REF!</v>
      </c>
      <c r="AD108">
        <f>IF('Data Control'!74:74,"AAAAAHfqOx0=",0)</f>
        <v>0</v>
      </c>
      <c r="AE108" t="e">
        <f>AND('Data Control'!A74,"AAAAAHfqOx4=")</f>
        <v>#VALUE!</v>
      </c>
      <c r="AF108" t="e">
        <f>AND('Data Control'!B74,"AAAAAHfqOx8=")</f>
        <v>#VALUE!</v>
      </c>
      <c r="AG108" t="e">
        <f>AND('Data Control'!C74,"AAAAAHfqOyA=")</f>
        <v>#VALUE!</v>
      </c>
      <c r="AH108" t="e">
        <f>AND('Data Control'!D74,"AAAAAHfqOyE=")</f>
        <v>#VALUE!</v>
      </c>
      <c r="AI108" t="e">
        <f>AND('Data Control'!E74,"AAAAAHfqOyI=")</f>
        <v>#VALUE!</v>
      </c>
      <c r="AJ108" t="e">
        <f>AND('Data Control'!F74,"AAAAAHfqOyM=")</f>
        <v>#VALUE!</v>
      </c>
      <c r="AK108" t="e">
        <f>AND('Data Control'!G74,"AAAAAHfqOyQ=")</f>
        <v>#VALUE!</v>
      </c>
      <c r="AL108" t="e">
        <f>AND('Data Control'!H74,"AAAAAHfqOyU=")</f>
        <v>#VALUE!</v>
      </c>
      <c r="AM108" t="e">
        <f>AND('Data Control'!I74,"AAAAAHfqOyY=")</f>
        <v>#VALUE!</v>
      </c>
      <c r="AN108" t="e">
        <f>AND('Data Control'!J74,"AAAAAHfqOyc=")</f>
        <v>#VALUE!</v>
      </c>
      <c r="AO108" t="e">
        <f>AND('Data Control'!K74,"AAAAAHfqOyg=")</f>
        <v>#VALUE!</v>
      </c>
      <c r="AP108" t="e">
        <f>AND('Data Control'!L74,"AAAAAHfqOyk=")</f>
        <v>#VALUE!</v>
      </c>
      <c r="AQ108" t="e">
        <f>AND('Data Control'!M74,"AAAAAHfqOyo=")</f>
        <v>#VALUE!</v>
      </c>
      <c r="AR108">
        <f>IF('Data Control'!84:84,"AAAAAHfqOys=",0)</f>
        <v>0</v>
      </c>
      <c r="AS108" t="e">
        <f>AND('Data Control'!#REF!,"AAAAAHfqOyw=")</f>
        <v>#REF!</v>
      </c>
      <c r="AT108" t="e">
        <f>AND('Data Control'!A84,"AAAAAHfqOy0=")</f>
        <v>#VALUE!</v>
      </c>
      <c r="AU108" t="e">
        <f>AND('Data Control'!B84,"AAAAAHfqOy4=")</f>
        <v>#VALUE!</v>
      </c>
      <c r="AV108" t="e">
        <f>AND('Data Control'!C84,"AAAAAHfqOy8=")</f>
        <v>#VALUE!</v>
      </c>
      <c r="AW108" t="e">
        <f>AND('Data Control'!D84,"AAAAAHfqOzA=")</f>
        <v>#VALUE!</v>
      </c>
      <c r="AX108" t="e">
        <f>AND('Data Control'!E84,"AAAAAHfqOzE=")</f>
        <v>#VALUE!</v>
      </c>
      <c r="AY108" t="e">
        <f>AND('Data Control'!F84,"AAAAAHfqOzI=")</f>
        <v>#VALUE!</v>
      </c>
      <c r="AZ108" t="e">
        <f>AND('Data Control'!G84,"AAAAAHfqOzM=")</f>
        <v>#VALUE!</v>
      </c>
      <c r="BA108" t="e">
        <f>AND('Data Control'!H84,"AAAAAHfqOzQ=")</f>
        <v>#VALUE!</v>
      </c>
      <c r="BB108" t="e">
        <f>AND('Data Control'!I84,"AAAAAHfqOzU=")</f>
        <v>#VALUE!</v>
      </c>
      <c r="BC108" t="e">
        <f>AND('Data Control'!J84,"AAAAAHfqOzY=")</f>
        <v>#VALUE!</v>
      </c>
      <c r="BD108" t="e">
        <f>AND('Data Control'!K84,"AAAAAHfqOzc=")</f>
        <v>#VALUE!</v>
      </c>
      <c r="BE108" t="e">
        <f>AND('Data Control'!L84,"AAAAAHfqOzg=")</f>
        <v>#VALUE!</v>
      </c>
      <c r="BF108" t="e">
        <f>IF('Data Control'!#REF!,"AAAAAHfqOzk=",0)</f>
        <v>#REF!</v>
      </c>
      <c r="BG108" t="e">
        <f>AND('Data Control'!#REF!,"AAAAAHfqOzo=")</f>
        <v>#REF!</v>
      </c>
      <c r="BH108" t="e">
        <f>AND('Data Control'!#REF!,"AAAAAHfqOzs=")</f>
        <v>#REF!</v>
      </c>
      <c r="BI108" t="e">
        <f>AND('Data Control'!#REF!,"AAAAAHfqOzw=")</f>
        <v>#REF!</v>
      </c>
      <c r="BJ108" t="e">
        <f>AND('Data Control'!#REF!,"AAAAAHfqOz0=")</f>
        <v>#REF!</v>
      </c>
      <c r="BK108" t="e">
        <f>AND('Data Control'!#REF!,"AAAAAHfqOz4=")</f>
        <v>#REF!</v>
      </c>
      <c r="BL108" t="e">
        <f>AND('Data Control'!#REF!,"AAAAAHfqOz8=")</f>
        <v>#REF!</v>
      </c>
      <c r="BM108" t="e">
        <f>AND('Data Control'!#REF!,"AAAAAHfqO0A=")</f>
        <v>#REF!</v>
      </c>
      <c r="BN108" t="e">
        <f>AND('Data Control'!#REF!,"AAAAAHfqO0E=")</f>
        <v>#REF!</v>
      </c>
      <c r="BO108" t="e">
        <f>AND('Data Control'!#REF!,"AAAAAHfqO0I=")</f>
        <v>#REF!</v>
      </c>
      <c r="BP108" t="e">
        <f>AND('Data Control'!#REF!,"AAAAAHfqO0M=")</f>
        <v>#REF!</v>
      </c>
      <c r="BQ108" t="e">
        <f>AND('Data Control'!#REF!,"AAAAAHfqO0Q=")</f>
        <v>#REF!</v>
      </c>
      <c r="BR108" t="e">
        <f>AND('Data Control'!#REF!,"AAAAAHfqO0U=")</f>
        <v>#REF!</v>
      </c>
      <c r="BS108" t="e">
        <f>AND('Data Control'!#REF!,"AAAAAHfqO0Y=")</f>
        <v>#REF!</v>
      </c>
      <c r="BT108" t="e">
        <f>IF('Data Control'!#REF!,"AAAAAHfqO0c=",0)</f>
        <v>#REF!</v>
      </c>
      <c r="BU108" t="e">
        <f>AND('Data Control'!#REF!,"AAAAAHfqO0g=")</f>
        <v>#REF!</v>
      </c>
      <c r="BV108" t="e">
        <f>AND('Data Control'!#REF!,"AAAAAHfqO0k=")</f>
        <v>#REF!</v>
      </c>
      <c r="BW108" t="e">
        <f>AND('Data Control'!#REF!,"AAAAAHfqO0o=")</f>
        <v>#REF!</v>
      </c>
      <c r="BX108" t="e">
        <f>AND('Data Control'!#REF!,"AAAAAHfqO0s=")</f>
        <v>#REF!</v>
      </c>
      <c r="BY108" t="e">
        <f>AND('Data Control'!#REF!,"AAAAAHfqO0w=")</f>
        <v>#REF!</v>
      </c>
      <c r="BZ108" t="e">
        <f>AND('Data Control'!#REF!,"AAAAAHfqO00=")</f>
        <v>#REF!</v>
      </c>
      <c r="CA108" t="e">
        <f>AND('Data Control'!#REF!,"AAAAAHfqO04=")</f>
        <v>#REF!</v>
      </c>
      <c r="CB108" t="e">
        <f>AND('Data Control'!#REF!,"AAAAAHfqO08=")</f>
        <v>#REF!</v>
      </c>
      <c r="CC108" t="e">
        <f>AND('Data Control'!#REF!,"AAAAAHfqO1A=")</f>
        <v>#REF!</v>
      </c>
      <c r="CD108" t="e">
        <f>AND('Data Control'!#REF!,"AAAAAHfqO1E=")</f>
        <v>#REF!</v>
      </c>
      <c r="CE108" t="e">
        <f>AND('Data Control'!#REF!,"AAAAAHfqO1I=")</f>
        <v>#REF!</v>
      </c>
      <c r="CF108" t="e">
        <f>AND('Data Control'!#REF!,"AAAAAHfqO1M=")</f>
        <v>#REF!</v>
      </c>
      <c r="CG108" t="e">
        <f>AND('Data Control'!#REF!,"AAAAAHfqO1Q=")</f>
        <v>#REF!</v>
      </c>
      <c r="CH108" t="e">
        <f>IF('Data Control'!#REF!,"AAAAAHfqO1U=",0)</f>
        <v>#REF!</v>
      </c>
      <c r="CI108" t="e">
        <f>AND('Data Control'!#REF!,"AAAAAHfqO1Y=")</f>
        <v>#REF!</v>
      </c>
      <c r="CJ108" t="e">
        <f>AND('Data Control'!#REF!,"AAAAAHfqO1c=")</f>
        <v>#REF!</v>
      </c>
      <c r="CK108" t="e">
        <f>AND('Data Control'!#REF!,"AAAAAHfqO1g=")</f>
        <v>#REF!</v>
      </c>
      <c r="CL108" t="e">
        <f>AND('Data Control'!#REF!,"AAAAAHfqO1k=")</f>
        <v>#REF!</v>
      </c>
      <c r="CM108" t="e">
        <f>AND('Data Control'!#REF!,"AAAAAHfqO1o=")</f>
        <v>#REF!</v>
      </c>
      <c r="CN108" t="e">
        <f>AND('Data Control'!#REF!,"AAAAAHfqO1s=")</f>
        <v>#REF!</v>
      </c>
      <c r="CO108" t="e">
        <f>AND('Data Control'!#REF!,"AAAAAHfqO1w=")</f>
        <v>#REF!</v>
      </c>
      <c r="CP108" t="e">
        <f>AND('Data Control'!#REF!,"AAAAAHfqO10=")</f>
        <v>#REF!</v>
      </c>
      <c r="CQ108" t="e">
        <f>AND('Data Control'!#REF!,"AAAAAHfqO14=")</f>
        <v>#REF!</v>
      </c>
      <c r="CR108" t="e">
        <f>AND('Data Control'!#REF!,"AAAAAHfqO18=")</f>
        <v>#REF!</v>
      </c>
      <c r="CS108" t="e">
        <f>AND('Data Control'!#REF!,"AAAAAHfqO2A=")</f>
        <v>#REF!</v>
      </c>
      <c r="CT108" t="e">
        <f>AND('Data Control'!#REF!,"AAAAAHfqO2E=")</f>
        <v>#REF!</v>
      </c>
      <c r="CU108" t="e">
        <f>AND('Data Control'!#REF!,"AAAAAHfqO2I=")</f>
        <v>#REF!</v>
      </c>
      <c r="CV108" t="e">
        <f>IF('Data Control'!#REF!,"AAAAAHfqO2M=",0)</f>
        <v>#REF!</v>
      </c>
      <c r="CW108" t="e">
        <f>AND('Data Control'!#REF!,"AAAAAHfqO2Q=")</f>
        <v>#REF!</v>
      </c>
      <c r="CX108" t="e">
        <f>AND('Data Control'!#REF!,"AAAAAHfqO2U=")</f>
        <v>#REF!</v>
      </c>
      <c r="CY108" t="e">
        <f>AND('Data Control'!#REF!,"AAAAAHfqO2Y=")</f>
        <v>#REF!</v>
      </c>
      <c r="CZ108" t="e">
        <f>AND('Data Control'!#REF!,"AAAAAHfqO2c=")</f>
        <v>#REF!</v>
      </c>
      <c r="DA108" t="e">
        <f>AND('Data Control'!#REF!,"AAAAAHfqO2g=")</f>
        <v>#REF!</v>
      </c>
      <c r="DB108" t="e">
        <f>AND('Data Control'!#REF!,"AAAAAHfqO2k=")</f>
        <v>#REF!</v>
      </c>
      <c r="DC108" t="e">
        <f>AND('Data Control'!#REF!,"AAAAAHfqO2o=")</f>
        <v>#REF!</v>
      </c>
      <c r="DD108" t="e">
        <f>AND('Data Control'!#REF!,"AAAAAHfqO2s=")</f>
        <v>#REF!</v>
      </c>
      <c r="DE108" t="e">
        <f>AND('Data Control'!#REF!,"AAAAAHfqO2w=")</f>
        <v>#REF!</v>
      </c>
      <c r="DF108" t="e">
        <f>AND('Data Control'!#REF!,"AAAAAHfqO20=")</f>
        <v>#REF!</v>
      </c>
      <c r="DG108" t="e">
        <f>AND('Data Control'!#REF!,"AAAAAHfqO24=")</f>
        <v>#REF!</v>
      </c>
      <c r="DH108" t="e">
        <f>AND('Data Control'!#REF!,"AAAAAHfqO28=")</f>
        <v>#REF!</v>
      </c>
      <c r="DI108" t="e">
        <f>AND('Data Control'!#REF!,"AAAAAHfqO3A=")</f>
        <v>#REF!</v>
      </c>
      <c r="DJ108" t="e">
        <f>IF('Data Control'!#REF!,"AAAAAHfqO3E=",0)</f>
        <v>#REF!</v>
      </c>
      <c r="DK108" t="e">
        <f>AND('Data Control'!#REF!,"AAAAAHfqO3I=")</f>
        <v>#REF!</v>
      </c>
      <c r="DL108" t="e">
        <f>AND('Data Control'!#REF!,"AAAAAHfqO3M=")</f>
        <v>#REF!</v>
      </c>
      <c r="DM108" t="e">
        <f>AND('Data Control'!#REF!,"AAAAAHfqO3Q=")</f>
        <v>#REF!</v>
      </c>
      <c r="DN108" t="e">
        <f>AND('Data Control'!#REF!,"AAAAAHfqO3U=")</f>
        <v>#REF!</v>
      </c>
      <c r="DO108" t="e">
        <f>AND('Data Control'!#REF!,"AAAAAHfqO3Y=")</f>
        <v>#REF!</v>
      </c>
      <c r="DP108" t="e">
        <f>AND('Data Control'!#REF!,"AAAAAHfqO3c=")</f>
        <v>#REF!</v>
      </c>
      <c r="DQ108" t="e">
        <f>AND('Data Control'!#REF!,"AAAAAHfqO3g=")</f>
        <v>#REF!</v>
      </c>
      <c r="DR108" t="e">
        <f>AND('Data Control'!#REF!,"AAAAAHfqO3k=")</f>
        <v>#REF!</v>
      </c>
      <c r="DS108" t="e">
        <f>AND('Data Control'!#REF!,"AAAAAHfqO3o=")</f>
        <v>#REF!</v>
      </c>
      <c r="DT108" t="e">
        <f>AND('Data Control'!#REF!,"AAAAAHfqO3s=")</f>
        <v>#REF!</v>
      </c>
      <c r="DU108" t="e">
        <f>AND('Data Control'!#REF!,"AAAAAHfqO3w=")</f>
        <v>#REF!</v>
      </c>
      <c r="DV108" t="e">
        <f>AND('Data Control'!#REF!,"AAAAAHfqO30=")</f>
        <v>#REF!</v>
      </c>
      <c r="DW108" t="e">
        <f>AND('Data Control'!#REF!,"AAAAAHfqO34=")</f>
        <v>#REF!</v>
      </c>
      <c r="DX108" t="e">
        <f>IF('Data Control'!#REF!,"AAAAAHfqO38=",0)</f>
        <v>#REF!</v>
      </c>
      <c r="DY108" t="e">
        <f>AND('Data Control'!#REF!,"AAAAAHfqO4A=")</f>
        <v>#REF!</v>
      </c>
      <c r="DZ108" t="e">
        <f>AND('Data Control'!#REF!,"AAAAAHfqO4E=")</f>
        <v>#REF!</v>
      </c>
      <c r="EA108" t="e">
        <f>AND('Data Control'!#REF!,"AAAAAHfqO4I=")</f>
        <v>#REF!</v>
      </c>
      <c r="EB108" t="e">
        <f>AND('Data Control'!#REF!,"AAAAAHfqO4M=")</f>
        <v>#REF!</v>
      </c>
      <c r="EC108" t="e">
        <f>AND('Data Control'!#REF!,"AAAAAHfqO4Q=")</f>
        <v>#REF!</v>
      </c>
      <c r="ED108" t="e">
        <f>AND('Data Control'!#REF!,"AAAAAHfqO4U=")</f>
        <v>#REF!</v>
      </c>
      <c r="EE108" t="e">
        <f>AND('Data Control'!#REF!,"AAAAAHfqO4Y=")</f>
        <v>#REF!</v>
      </c>
      <c r="EF108" t="e">
        <f>AND('Data Control'!#REF!,"AAAAAHfqO4c=")</f>
        <v>#REF!</v>
      </c>
      <c r="EG108" t="e">
        <f>AND('Data Control'!#REF!,"AAAAAHfqO4g=")</f>
        <v>#REF!</v>
      </c>
      <c r="EH108" t="e">
        <f>AND('Data Control'!#REF!,"AAAAAHfqO4k=")</f>
        <v>#REF!</v>
      </c>
      <c r="EI108" t="e">
        <f>AND('Data Control'!#REF!,"AAAAAHfqO4o=")</f>
        <v>#REF!</v>
      </c>
      <c r="EJ108" t="e">
        <f>AND('Data Control'!#REF!,"AAAAAHfqO4s=")</f>
        <v>#REF!</v>
      </c>
      <c r="EK108" t="e">
        <f>AND('Data Control'!#REF!,"AAAAAHfqO4w=")</f>
        <v>#REF!</v>
      </c>
      <c r="EL108" t="e">
        <f>IF('Data Control'!#REF!,"AAAAAHfqO40=",0)</f>
        <v>#REF!</v>
      </c>
      <c r="EM108" t="e">
        <f>AND('Data Control'!#REF!,"AAAAAHfqO44=")</f>
        <v>#REF!</v>
      </c>
      <c r="EN108" t="e">
        <f>AND('Data Control'!#REF!,"AAAAAHfqO48=")</f>
        <v>#REF!</v>
      </c>
      <c r="EO108" t="e">
        <f>AND('Data Control'!#REF!,"AAAAAHfqO5A=")</f>
        <v>#REF!</v>
      </c>
      <c r="EP108" t="e">
        <f>AND('Data Control'!#REF!,"AAAAAHfqO5E=")</f>
        <v>#REF!</v>
      </c>
      <c r="EQ108" t="e">
        <f>AND('Data Control'!#REF!,"AAAAAHfqO5I=")</f>
        <v>#REF!</v>
      </c>
      <c r="ER108" t="e">
        <f>AND('Data Control'!#REF!,"AAAAAHfqO5M=")</f>
        <v>#REF!</v>
      </c>
      <c r="ES108" t="e">
        <f>AND('Data Control'!#REF!,"AAAAAHfqO5Q=")</f>
        <v>#REF!</v>
      </c>
      <c r="ET108" t="e">
        <f>AND('Data Control'!#REF!,"AAAAAHfqO5U=")</f>
        <v>#REF!</v>
      </c>
      <c r="EU108" t="e">
        <f>AND('Data Control'!#REF!,"AAAAAHfqO5Y=")</f>
        <v>#REF!</v>
      </c>
      <c r="EV108" t="e">
        <f>AND('Data Control'!#REF!,"AAAAAHfqO5c=")</f>
        <v>#REF!</v>
      </c>
      <c r="EW108" t="e">
        <f>AND('Data Control'!#REF!,"AAAAAHfqO5g=")</f>
        <v>#REF!</v>
      </c>
      <c r="EX108" t="e">
        <f>AND('Data Control'!#REF!,"AAAAAHfqO5k=")</f>
        <v>#REF!</v>
      </c>
      <c r="EY108" t="e">
        <f>AND('Data Control'!#REF!,"AAAAAHfqO5o=")</f>
        <v>#REF!</v>
      </c>
      <c r="EZ108" t="e">
        <f>IF('Data Control'!#REF!,"AAAAAHfqO5s=",0)</f>
        <v>#REF!</v>
      </c>
      <c r="FA108" t="e">
        <f>AND('Data Control'!#REF!,"AAAAAHfqO5w=")</f>
        <v>#REF!</v>
      </c>
      <c r="FB108" t="e">
        <f>AND('Data Control'!#REF!,"AAAAAHfqO50=")</f>
        <v>#REF!</v>
      </c>
      <c r="FC108" t="e">
        <f>AND('Data Control'!#REF!,"AAAAAHfqO54=")</f>
        <v>#REF!</v>
      </c>
      <c r="FD108" t="e">
        <f>AND('Data Control'!#REF!,"AAAAAHfqO58=")</f>
        <v>#REF!</v>
      </c>
      <c r="FE108" t="e">
        <f>AND('Data Control'!#REF!,"AAAAAHfqO6A=")</f>
        <v>#REF!</v>
      </c>
      <c r="FF108" t="e">
        <f>AND('Data Control'!#REF!,"AAAAAHfqO6E=")</f>
        <v>#REF!</v>
      </c>
      <c r="FG108" t="e">
        <f>AND('Data Control'!#REF!,"AAAAAHfqO6I=")</f>
        <v>#REF!</v>
      </c>
      <c r="FH108" t="e">
        <f>AND('Data Control'!#REF!,"AAAAAHfqO6M=")</f>
        <v>#REF!</v>
      </c>
      <c r="FI108" t="e">
        <f>AND('Data Control'!#REF!,"AAAAAHfqO6Q=")</f>
        <v>#REF!</v>
      </c>
      <c r="FJ108" t="e">
        <f>AND('Data Control'!#REF!,"AAAAAHfqO6U=")</f>
        <v>#REF!</v>
      </c>
      <c r="FK108" t="e">
        <f>AND('Data Control'!#REF!,"AAAAAHfqO6Y=")</f>
        <v>#REF!</v>
      </c>
      <c r="FL108" t="e">
        <f>AND('Data Control'!#REF!,"AAAAAHfqO6c=")</f>
        <v>#REF!</v>
      </c>
      <c r="FM108" t="e">
        <f>AND('Data Control'!#REF!,"AAAAAHfqO6g=")</f>
        <v>#REF!</v>
      </c>
      <c r="FN108" t="e">
        <f>IF('Data Control'!#REF!,"AAAAAHfqO6k=",0)</f>
        <v>#REF!</v>
      </c>
      <c r="FO108" t="e">
        <f>AND('Data Control'!#REF!,"AAAAAHfqO6o=")</f>
        <v>#REF!</v>
      </c>
      <c r="FP108" t="e">
        <f>AND('Data Control'!#REF!,"AAAAAHfqO6s=")</f>
        <v>#REF!</v>
      </c>
      <c r="FQ108" t="e">
        <f>AND('Data Control'!#REF!,"AAAAAHfqO6w=")</f>
        <v>#REF!</v>
      </c>
      <c r="FR108" t="e">
        <f>AND('Data Control'!#REF!,"AAAAAHfqO60=")</f>
        <v>#REF!</v>
      </c>
      <c r="FS108" t="e">
        <f>AND('Data Control'!#REF!,"AAAAAHfqO64=")</f>
        <v>#REF!</v>
      </c>
      <c r="FT108" t="e">
        <f>AND('Data Control'!#REF!,"AAAAAHfqO68=")</f>
        <v>#REF!</v>
      </c>
      <c r="FU108" t="e">
        <f>AND('Data Control'!#REF!,"AAAAAHfqO7A=")</f>
        <v>#REF!</v>
      </c>
      <c r="FV108" t="e">
        <f>AND('Data Control'!#REF!,"AAAAAHfqO7E=")</f>
        <v>#REF!</v>
      </c>
      <c r="FW108" t="e">
        <f>AND('Data Control'!#REF!,"AAAAAHfqO7I=")</f>
        <v>#REF!</v>
      </c>
      <c r="FX108" t="e">
        <f>AND('Data Control'!#REF!,"AAAAAHfqO7M=")</f>
        <v>#REF!</v>
      </c>
      <c r="FY108" t="e">
        <f>AND('Data Control'!#REF!,"AAAAAHfqO7Q=")</f>
        <v>#REF!</v>
      </c>
      <c r="FZ108" t="e">
        <f>AND('Data Control'!#REF!,"AAAAAHfqO7U=")</f>
        <v>#REF!</v>
      </c>
      <c r="GA108" t="e">
        <f>AND('Data Control'!#REF!,"AAAAAHfqO7Y=")</f>
        <v>#REF!</v>
      </c>
      <c r="GB108" t="e">
        <f>IF('Data Control'!#REF!,"AAAAAHfqO7c=",0)</f>
        <v>#REF!</v>
      </c>
      <c r="GC108" t="e">
        <f>AND('Data Control'!#REF!,"AAAAAHfqO7g=")</f>
        <v>#REF!</v>
      </c>
      <c r="GD108" t="e">
        <f>AND('Data Control'!#REF!,"AAAAAHfqO7k=")</f>
        <v>#REF!</v>
      </c>
      <c r="GE108" t="e">
        <f>AND('Data Control'!#REF!,"AAAAAHfqO7o=")</f>
        <v>#REF!</v>
      </c>
      <c r="GF108" t="e">
        <f>AND('Data Control'!#REF!,"AAAAAHfqO7s=")</f>
        <v>#REF!</v>
      </c>
      <c r="GG108" t="e">
        <f>AND('Data Control'!#REF!,"AAAAAHfqO7w=")</f>
        <v>#REF!</v>
      </c>
      <c r="GH108" t="e">
        <f>AND('Data Control'!#REF!,"AAAAAHfqO70=")</f>
        <v>#REF!</v>
      </c>
      <c r="GI108" t="e">
        <f>AND('Data Control'!#REF!,"AAAAAHfqO74=")</f>
        <v>#REF!</v>
      </c>
      <c r="GJ108" t="e">
        <f>AND('Data Control'!#REF!,"AAAAAHfqO78=")</f>
        <v>#REF!</v>
      </c>
      <c r="GK108" t="e">
        <f>AND('Data Control'!#REF!,"AAAAAHfqO8A=")</f>
        <v>#REF!</v>
      </c>
      <c r="GL108" t="e">
        <f>AND('Data Control'!#REF!,"AAAAAHfqO8E=")</f>
        <v>#REF!</v>
      </c>
      <c r="GM108" t="e">
        <f>AND('Data Control'!#REF!,"AAAAAHfqO8I=")</f>
        <v>#REF!</v>
      </c>
      <c r="GN108" t="e">
        <f>AND('Data Control'!#REF!,"AAAAAHfqO8M=")</f>
        <v>#REF!</v>
      </c>
      <c r="GO108" t="e">
        <f>AND('Data Control'!#REF!,"AAAAAHfqO8Q=")</f>
        <v>#REF!</v>
      </c>
      <c r="GP108">
        <f>IF('Data Control'!103:103,"AAAAAHfqO8U=",0)</f>
        <v>0</v>
      </c>
      <c r="GQ108" t="e">
        <f>AND('Data Control'!#REF!,"AAAAAHfqO8Y=")</f>
        <v>#REF!</v>
      </c>
      <c r="GR108" t="e">
        <f>AND('Data Control'!A103,"AAAAAHfqO8c=")</f>
        <v>#VALUE!</v>
      </c>
      <c r="GS108" t="e">
        <f>AND('Data Control'!B103,"AAAAAHfqO8g=")</f>
        <v>#VALUE!</v>
      </c>
      <c r="GT108" t="e">
        <f>AND('Data Control'!C103,"AAAAAHfqO8k=")</f>
        <v>#VALUE!</v>
      </c>
      <c r="GU108" t="e">
        <f>AND('Data Control'!D103,"AAAAAHfqO8o=")</f>
        <v>#VALUE!</v>
      </c>
      <c r="GV108" t="e">
        <f>AND('Data Control'!E103,"AAAAAHfqO8s=")</f>
        <v>#VALUE!</v>
      </c>
      <c r="GW108" t="e">
        <f>AND('Data Control'!F103,"AAAAAHfqO8w=")</f>
        <v>#VALUE!</v>
      </c>
      <c r="GX108" t="e">
        <f>AND('Data Control'!G103,"AAAAAHfqO80=")</f>
        <v>#VALUE!</v>
      </c>
      <c r="GY108" t="e">
        <f>AND('Data Control'!H103,"AAAAAHfqO84=")</f>
        <v>#VALUE!</v>
      </c>
      <c r="GZ108" t="e">
        <f>AND('Data Control'!I103,"AAAAAHfqO88=")</f>
        <v>#VALUE!</v>
      </c>
      <c r="HA108" t="e">
        <f>AND('Data Control'!J103,"AAAAAHfqO9A=")</f>
        <v>#VALUE!</v>
      </c>
      <c r="HB108" t="e">
        <f>AND('Data Control'!K103,"AAAAAHfqO9E=")</f>
        <v>#VALUE!</v>
      </c>
      <c r="HC108" t="e">
        <f>AND('Data Control'!L103,"AAAAAHfqO9I=")</f>
        <v>#VALUE!</v>
      </c>
      <c r="HD108" t="e">
        <f>IF('Data Control'!#REF!,"AAAAAHfqO9M=",0)</f>
        <v>#REF!</v>
      </c>
      <c r="HE108" t="e">
        <f>AND('Data Control'!#REF!,"AAAAAHfqO9Q=")</f>
        <v>#REF!</v>
      </c>
      <c r="HF108" t="e">
        <f>AND('Data Control'!#REF!,"AAAAAHfqO9U=")</f>
        <v>#REF!</v>
      </c>
      <c r="HG108" t="e">
        <f>AND('Data Control'!#REF!,"AAAAAHfqO9Y=")</f>
        <v>#REF!</v>
      </c>
      <c r="HH108" t="e">
        <f>AND('Data Control'!#REF!,"AAAAAHfqO9c=")</f>
        <v>#REF!</v>
      </c>
      <c r="HI108" t="e">
        <f>AND('Data Control'!#REF!,"AAAAAHfqO9g=")</f>
        <v>#REF!</v>
      </c>
      <c r="HJ108" t="e">
        <f>AND('Data Control'!#REF!,"AAAAAHfqO9k=")</f>
        <v>#REF!</v>
      </c>
      <c r="HK108" t="e">
        <f>AND('Data Control'!#REF!,"AAAAAHfqO9o=")</f>
        <v>#REF!</v>
      </c>
      <c r="HL108" t="e">
        <f>AND('Data Control'!#REF!,"AAAAAHfqO9s=")</f>
        <v>#REF!</v>
      </c>
      <c r="HM108" t="e">
        <f>AND('Data Control'!#REF!,"AAAAAHfqO9w=")</f>
        <v>#REF!</v>
      </c>
      <c r="HN108" t="e">
        <f>AND('Data Control'!#REF!,"AAAAAHfqO90=")</f>
        <v>#REF!</v>
      </c>
      <c r="HO108" t="e">
        <f>AND('Data Control'!#REF!,"AAAAAHfqO94=")</f>
        <v>#REF!</v>
      </c>
      <c r="HP108" t="e">
        <f>AND('Data Control'!#REF!,"AAAAAHfqO98=")</f>
        <v>#REF!</v>
      </c>
      <c r="HQ108" t="e">
        <f>AND('Data Control'!#REF!,"AAAAAHfqO+A=")</f>
        <v>#REF!</v>
      </c>
      <c r="HR108" t="e">
        <f>IF('Data Control'!#REF!,"AAAAAHfqO+E=",0)</f>
        <v>#REF!</v>
      </c>
      <c r="HS108" t="e">
        <f>AND('Data Control'!#REF!,"AAAAAHfqO+I=")</f>
        <v>#REF!</v>
      </c>
      <c r="HT108" t="e">
        <f>AND('Data Control'!#REF!,"AAAAAHfqO+M=")</f>
        <v>#REF!</v>
      </c>
      <c r="HU108" t="e">
        <f>AND('Data Control'!#REF!,"AAAAAHfqO+Q=")</f>
        <v>#REF!</v>
      </c>
      <c r="HV108" t="e">
        <f>AND('Data Control'!#REF!,"AAAAAHfqO+U=")</f>
        <v>#REF!</v>
      </c>
      <c r="HW108" t="e">
        <f>AND('Data Control'!#REF!,"AAAAAHfqO+Y=")</f>
        <v>#REF!</v>
      </c>
      <c r="HX108" t="e">
        <f>AND('Data Control'!#REF!,"AAAAAHfqO+c=")</f>
        <v>#REF!</v>
      </c>
      <c r="HY108" t="e">
        <f>AND('Data Control'!#REF!,"AAAAAHfqO+g=")</f>
        <v>#REF!</v>
      </c>
      <c r="HZ108" t="e">
        <f>AND('Data Control'!#REF!,"AAAAAHfqO+k=")</f>
        <v>#REF!</v>
      </c>
      <c r="IA108" t="e">
        <f>AND('Data Control'!#REF!,"AAAAAHfqO+o=")</f>
        <v>#REF!</v>
      </c>
      <c r="IB108" t="e">
        <f>AND('Data Control'!#REF!,"AAAAAHfqO+s=")</f>
        <v>#REF!</v>
      </c>
      <c r="IC108" t="e">
        <f>AND('Data Control'!#REF!,"AAAAAHfqO+w=")</f>
        <v>#REF!</v>
      </c>
      <c r="ID108" t="e">
        <f>AND('Data Control'!#REF!,"AAAAAHfqO+0=")</f>
        <v>#REF!</v>
      </c>
      <c r="IE108" t="e">
        <f>AND('Data Control'!#REF!,"AAAAAHfqO+4=")</f>
        <v>#REF!</v>
      </c>
      <c r="IF108" t="e">
        <f>IF('Data Control'!#REF!,"AAAAAHfqO+8=",0)</f>
        <v>#REF!</v>
      </c>
      <c r="IG108" t="e">
        <f>AND('Data Control'!#REF!,"AAAAAHfqO/A=")</f>
        <v>#REF!</v>
      </c>
      <c r="IH108" t="e">
        <f>AND('Data Control'!#REF!,"AAAAAHfqO/E=")</f>
        <v>#REF!</v>
      </c>
      <c r="II108" t="e">
        <f>AND('Data Control'!#REF!,"AAAAAHfqO/I=")</f>
        <v>#REF!</v>
      </c>
      <c r="IJ108" t="e">
        <f>AND('Data Control'!#REF!,"AAAAAHfqO/M=")</f>
        <v>#REF!</v>
      </c>
      <c r="IK108" t="e">
        <f>AND('Data Control'!#REF!,"AAAAAHfqO/Q=")</f>
        <v>#REF!</v>
      </c>
      <c r="IL108" t="e">
        <f>AND('Data Control'!#REF!,"AAAAAHfqO/U=")</f>
        <v>#REF!</v>
      </c>
      <c r="IM108" t="e">
        <f>AND('Data Control'!#REF!,"AAAAAHfqO/Y=")</f>
        <v>#REF!</v>
      </c>
      <c r="IN108" t="e">
        <f>AND('Data Control'!#REF!,"AAAAAHfqO/c=")</f>
        <v>#REF!</v>
      </c>
      <c r="IO108" t="e">
        <f>AND('Data Control'!#REF!,"AAAAAHfqO/g=")</f>
        <v>#REF!</v>
      </c>
      <c r="IP108" t="e">
        <f>AND('Data Control'!#REF!,"AAAAAHfqO/k=")</f>
        <v>#REF!</v>
      </c>
      <c r="IQ108" t="e">
        <f>AND('Data Control'!#REF!,"AAAAAHfqO/o=")</f>
        <v>#REF!</v>
      </c>
      <c r="IR108" t="e">
        <f>AND('Data Control'!#REF!,"AAAAAHfqO/s=")</f>
        <v>#REF!</v>
      </c>
      <c r="IS108" t="e">
        <f>AND('Data Control'!#REF!,"AAAAAHfqO/w=")</f>
        <v>#REF!</v>
      </c>
      <c r="IT108" t="e">
        <f>IF('Data Control'!#REF!,"AAAAAHfqO/0=",0)</f>
        <v>#REF!</v>
      </c>
      <c r="IU108" t="e">
        <f>AND('Data Control'!#REF!,"AAAAAHfqO/4=")</f>
        <v>#REF!</v>
      </c>
      <c r="IV108" t="e">
        <f>AND('Data Control'!#REF!,"AAAAAHfqO/8=")</f>
        <v>#REF!</v>
      </c>
    </row>
    <row r="109" spans="1:256" x14ac:dyDescent="0.2">
      <c r="A109" t="e">
        <f>AND('Data Control'!#REF!,"AAAAAGf9vgA=")</f>
        <v>#REF!</v>
      </c>
      <c r="B109" t="e">
        <f>AND('Data Control'!#REF!,"AAAAAGf9vgE=")</f>
        <v>#REF!</v>
      </c>
      <c r="C109" t="e">
        <f>AND('Data Control'!#REF!,"AAAAAGf9vgI=")</f>
        <v>#REF!</v>
      </c>
      <c r="D109" t="e">
        <f>AND('Data Control'!#REF!,"AAAAAGf9vgM=")</f>
        <v>#REF!</v>
      </c>
      <c r="E109" t="e">
        <f>AND('Data Control'!#REF!,"AAAAAGf9vgQ=")</f>
        <v>#REF!</v>
      </c>
      <c r="F109" t="e">
        <f>AND('Data Control'!#REF!,"AAAAAGf9vgU=")</f>
        <v>#REF!</v>
      </c>
      <c r="G109" t="e">
        <f>AND('Data Control'!#REF!,"AAAAAGf9vgY=")</f>
        <v>#REF!</v>
      </c>
      <c r="H109" t="e">
        <f>AND('Data Control'!#REF!,"AAAAAGf9vgc=")</f>
        <v>#REF!</v>
      </c>
      <c r="I109" t="e">
        <f>AND('Data Control'!#REF!,"AAAAAGf9vgg=")</f>
        <v>#REF!</v>
      </c>
      <c r="J109" t="e">
        <f>AND('Data Control'!#REF!,"AAAAAGf9vgk=")</f>
        <v>#REF!</v>
      </c>
      <c r="K109" t="e">
        <f>AND('Data Control'!#REF!,"AAAAAGf9vgo=")</f>
        <v>#REF!</v>
      </c>
      <c r="L109" t="e">
        <f>IF('Data Control'!#REF!,"AAAAAGf9vgs=",0)</f>
        <v>#REF!</v>
      </c>
      <c r="M109" t="e">
        <f>AND('Data Control'!#REF!,"AAAAAGf9vgw=")</f>
        <v>#REF!</v>
      </c>
      <c r="N109" t="e">
        <f>AND('Data Control'!#REF!,"AAAAAGf9vg0=")</f>
        <v>#REF!</v>
      </c>
      <c r="O109" t="e">
        <f>AND('Data Control'!#REF!,"AAAAAGf9vg4=")</f>
        <v>#REF!</v>
      </c>
      <c r="P109" t="e">
        <f>AND('Data Control'!#REF!,"AAAAAGf9vg8=")</f>
        <v>#REF!</v>
      </c>
      <c r="Q109" t="e">
        <f>AND('Data Control'!#REF!,"AAAAAGf9vhA=")</f>
        <v>#REF!</v>
      </c>
      <c r="R109" t="e">
        <f>AND('Data Control'!#REF!,"AAAAAGf9vhE=")</f>
        <v>#REF!</v>
      </c>
      <c r="S109" t="e">
        <f>AND('Data Control'!#REF!,"AAAAAGf9vhI=")</f>
        <v>#REF!</v>
      </c>
      <c r="T109" t="e">
        <f>AND('Data Control'!#REF!,"AAAAAGf9vhM=")</f>
        <v>#REF!</v>
      </c>
      <c r="U109" t="e">
        <f>AND('Data Control'!#REF!,"AAAAAGf9vhQ=")</f>
        <v>#REF!</v>
      </c>
      <c r="V109" t="e">
        <f>AND('Data Control'!#REF!,"AAAAAGf9vhU=")</f>
        <v>#REF!</v>
      </c>
      <c r="W109" t="e">
        <f>AND('Data Control'!#REF!,"AAAAAGf9vhY=")</f>
        <v>#REF!</v>
      </c>
      <c r="X109" t="e">
        <f>AND('Data Control'!#REF!,"AAAAAGf9vhc=")</f>
        <v>#REF!</v>
      </c>
      <c r="Y109" t="e">
        <f>AND('Data Control'!#REF!,"AAAAAGf9vhg=")</f>
        <v>#REF!</v>
      </c>
      <c r="Z109">
        <f>IF('Data Control'!104:104,"AAAAAGf9vhk=",0)</f>
        <v>0</v>
      </c>
      <c r="AA109" t="e">
        <f>AND('Data Control'!#REF!,"AAAAAGf9vho=")</f>
        <v>#REF!</v>
      </c>
      <c r="AB109" t="e">
        <f>AND('Data Control'!A104,"AAAAAGf9vhs=")</f>
        <v>#VALUE!</v>
      </c>
      <c r="AC109" t="e">
        <f>AND('Data Control'!B104,"AAAAAGf9vhw=")</f>
        <v>#VALUE!</v>
      </c>
      <c r="AD109" t="e">
        <f>AND('Data Control'!C104,"AAAAAGf9vh0=")</f>
        <v>#VALUE!</v>
      </c>
      <c r="AE109" t="e">
        <f>AND('Data Control'!D104,"AAAAAGf9vh4=")</f>
        <v>#VALUE!</v>
      </c>
      <c r="AF109" t="e">
        <f>AND('Data Control'!E104,"AAAAAGf9vh8=")</f>
        <v>#VALUE!</v>
      </c>
      <c r="AG109" t="e">
        <f>AND('Data Control'!F104,"AAAAAGf9viA=")</f>
        <v>#VALUE!</v>
      </c>
      <c r="AH109" t="e">
        <f>AND('Data Control'!G104,"AAAAAGf9viE=")</f>
        <v>#VALUE!</v>
      </c>
      <c r="AI109" t="e">
        <f>AND('Data Control'!H104,"AAAAAGf9viI=")</f>
        <v>#VALUE!</v>
      </c>
      <c r="AJ109" t="e">
        <f>AND('Data Control'!I104,"AAAAAGf9viM=")</f>
        <v>#VALUE!</v>
      </c>
      <c r="AK109" t="e">
        <f>AND('Data Control'!J104,"AAAAAGf9viQ=")</f>
        <v>#VALUE!</v>
      </c>
      <c r="AL109" t="e">
        <f>AND('Data Control'!K104,"AAAAAGf9viU=")</f>
        <v>#VALUE!</v>
      </c>
      <c r="AM109" t="e">
        <f>AND('Data Control'!L104,"AAAAAGf9viY=")</f>
        <v>#VALUE!</v>
      </c>
      <c r="AN109">
        <f>IF('Data Control'!110:110,"AAAAAGf9vic=",0)</f>
        <v>0</v>
      </c>
      <c r="AO109" t="e">
        <f>AND('Data Control'!#REF!,"AAAAAGf9vig=")</f>
        <v>#REF!</v>
      </c>
      <c r="AP109" t="e">
        <f>AND('Data Control'!#REF!,"AAAAAGf9vik=")</f>
        <v>#REF!</v>
      </c>
      <c r="AQ109" t="e">
        <f>AND('Data Control'!A110,"AAAAAGf9vio=")</f>
        <v>#VALUE!</v>
      </c>
      <c r="AR109" t="e">
        <f>AND('Data Control'!B110,"AAAAAGf9vis=")</f>
        <v>#VALUE!</v>
      </c>
      <c r="AS109" t="e">
        <f>AND('Data Control'!C110,"AAAAAGf9viw=")</f>
        <v>#VALUE!</v>
      </c>
      <c r="AT109" t="e">
        <f>AND('Data Control'!D110,"AAAAAGf9vi0=")</f>
        <v>#VALUE!</v>
      </c>
      <c r="AU109" t="e">
        <f>AND('Data Control'!E110,"AAAAAGf9vi4=")</f>
        <v>#VALUE!</v>
      </c>
      <c r="AV109" t="e">
        <f>AND('Data Control'!F110,"AAAAAGf9vi8=")</f>
        <v>#VALUE!</v>
      </c>
      <c r="AW109" t="e">
        <f>AND('Data Control'!G110,"AAAAAGf9vjA=")</f>
        <v>#VALUE!</v>
      </c>
      <c r="AX109" t="e">
        <f>AND('Data Control'!H110,"AAAAAGf9vjE=")</f>
        <v>#VALUE!</v>
      </c>
      <c r="AY109" t="e">
        <f>AND('Data Control'!I110,"AAAAAGf9vjI=")</f>
        <v>#VALUE!</v>
      </c>
      <c r="AZ109" t="e">
        <f>AND('Data Control'!J110,"AAAAAGf9vjM=")</f>
        <v>#VALUE!</v>
      </c>
      <c r="BA109" t="e">
        <f>AND('Data Control'!K110,"AAAAAGf9vjQ=")</f>
        <v>#VALUE!</v>
      </c>
      <c r="BB109" t="e">
        <f>IF('Data Control'!#REF!,"AAAAAGf9vjU=",0)</f>
        <v>#REF!</v>
      </c>
      <c r="BC109" t="e">
        <f>AND('Data Control'!#REF!,"AAAAAGf9vjY=")</f>
        <v>#REF!</v>
      </c>
      <c r="BD109" t="e">
        <f>AND('Data Control'!#REF!,"AAAAAGf9vjc=")</f>
        <v>#REF!</v>
      </c>
      <c r="BE109" t="e">
        <f>AND('Data Control'!#REF!,"AAAAAGf9vjg=")</f>
        <v>#REF!</v>
      </c>
      <c r="BF109" t="e">
        <f>AND('Data Control'!#REF!,"AAAAAGf9vjk=")</f>
        <v>#REF!</v>
      </c>
      <c r="BG109" t="e">
        <f>AND('Data Control'!#REF!,"AAAAAGf9vjo=")</f>
        <v>#REF!</v>
      </c>
      <c r="BH109" t="e">
        <f>AND('Data Control'!#REF!,"AAAAAGf9vjs=")</f>
        <v>#REF!</v>
      </c>
      <c r="BI109" t="e">
        <f>AND('Data Control'!#REF!,"AAAAAGf9vjw=")</f>
        <v>#REF!</v>
      </c>
      <c r="BJ109" t="e">
        <f>AND('Data Control'!#REF!,"AAAAAGf9vj0=")</f>
        <v>#REF!</v>
      </c>
      <c r="BK109" t="e">
        <f>AND('Data Control'!#REF!,"AAAAAGf9vj4=")</f>
        <v>#REF!</v>
      </c>
      <c r="BL109" t="e">
        <f>AND('Data Control'!#REF!,"AAAAAGf9vj8=")</f>
        <v>#REF!</v>
      </c>
      <c r="BM109" t="e">
        <f>AND('Data Control'!#REF!,"AAAAAGf9vkA=")</f>
        <v>#REF!</v>
      </c>
      <c r="BN109" t="e">
        <f>AND('Data Control'!#REF!,"AAAAAGf9vkE=")</f>
        <v>#REF!</v>
      </c>
      <c r="BO109" t="e">
        <f>AND('Data Control'!#REF!,"AAAAAGf9vkI=")</f>
        <v>#REF!</v>
      </c>
      <c r="BP109">
        <f>IF('Data Control'!111:111,"AAAAAGf9vkM=",0)</f>
        <v>0</v>
      </c>
      <c r="BQ109" t="e">
        <f>AND('Data Control'!#REF!,"AAAAAGf9vkQ=")</f>
        <v>#REF!</v>
      </c>
      <c r="BR109" t="e">
        <f>AND('Data Control'!#REF!,"AAAAAGf9vkU=")</f>
        <v>#REF!</v>
      </c>
      <c r="BS109" t="e">
        <f>AND('Data Control'!A111,"AAAAAGf9vkY=")</f>
        <v>#VALUE!</v>
      </c>
      <c r="BT109" t="e">
        <f>AND('Data Control'!B111,"AAAAAGf9vkc=")</f>
        <v>#VALUE!</v>
      </c>
      <c r="BU109" t="e">
        <f>AND('Data Control'!C111,"AAAAAGf9vkg=")</f>
        <v>#VALUE!</v>
      </c>
      <c r="BV109" t="e">
        <f>AND('Data Control'!D111,"AAAAAGf9vkk=")</f>
        <v>#VALUE!</v>
      </c>
      <c r="BW109" t="e">
        <f>AND('Data Control'!E111,"AAAAAGf9vko=")</f>
        <v>#VALUE!</v>
      </c>
      <c r="BX109" t="e">
        <f>AND('Data Control'!F111,"AAAAAGf9vks=")</f>
        <v>#VALUE!</v>
      </c>
      <c r="BY109" t="e">
        <f>AND('Data Control'!G111,"AAAAAGf9vkw=")</f>
        <v>#VALUE!</v>
      </c>
      <c r="BZ109" t="e">
        <f>AND('Data Control'!H111,"AAAAAGf9vk0=")</f>
        <v>#VALUE!</v>
      </c>
      <c r="CA109" t="e">
        <f>AND('Data Control'!I111,"AAAAAGf9vk4=")</f>
        <v>#VALUE!</v>
      </c>
      <c r="CB109" t="e">
        <f>AND('Data Control'!J111,"AAAAAGf9vk8=")</f>
        <v>#VALUE!</v>
      </c>
      <c r="CC109" t="e">
        <f>AND('Data Control'!K111,"AAAAAGf9vlA=")</f>
        <v>#VALUE!</v>
      </c>
      <c r="CD109">
        <f>IF('Data Control'!112:112,"AAAAAGf9vlE=",0)</f>
        <v>0</v>
      </c>
      <c r="CE109" t="e">
        <f>AND('Data Control'!#REF!,"AAAAAGf9vlI=")</f>
        <v>#REF!</v>
      </c>
      <c r="CF109" t="e">
        <f>AND('Data Control'!#REF!,"AAAAAGf9vlM=")</f>
        <v>#REF!</v>
      </c>
      <c r="CG109" t="e">
        <f>AND('Data Control'!A112,"AAAAAGf9vlQ=")</f>
        <v>#VALUE!</v>
      </c>
      <c r="CH109" t="e">
        <f>AND('Data Control'!B112,"AAAAAGf9vlU=")</f>
        <v>#VALUE!</v>
      </c>
      <c r="CI109" t="e">
        <f>AND('Data Control'!C112,"AAAAAGf9vlY=")</f>
        <v>#VALUE!</v>
      </c>
      <c r="CJ109" t="e">
        <f>AND('Data Control'!D112,"AAAAAGf9vlc=")</f>
        <v>#VALUE!</v>
      </c>
      <c r="CK109" t="e">
        <f>AND('Data Control'!E112,"AAAAAGf9vlg=")</f>
        <v>#VALUE!</v>
      </c>
      <c r="CL109" t="e">
        <f>AND('Data Control'!F112,"AAAAAGf9vlk=")</f>
        <v>#VALUE!</v>
      </c>
      <c r="CM109" t="e">
        <f>AND('Data Control'!G112,"AAAAAGf9vlo=")</f>
        <v>#VALUE!</v>
      </c>
      <c r="CN109" t="e">
        <f>AND('Data Control'!H112,"AAAAAGf9vls=")</f>
        <v>#VALUE!</v>
      </c>
      <c r="CO109" t="e">
        <f>AND('Data Control'!I112,"AAAAAGf9vlw=")</f>
        <v>#VALUE!</v>
      </c>
      <c r="CP109" t="e">
        <f>AND('Data Control'!J112,"AAAAAGf9vl0=")</f>
        <v>#VALUE!</v>
      </c>
      <c r="CQ109" t="e">
        <f>AND('Data Control'!K112,"AAAAAGf9vl4=")</f>
        <v>#VALUE!</v>
      </c>
      <c r="CR109" t="e">
        <f>IF('Data Control'!#REF!,"AAAAAGf9vl8=",0)</f>
        <v>#REF!</v>
      </c>
      <c r="CS109" t="e">
        <f>AND('Data Control'!#REF!,"AAAAAGf9vmA=")</f>
        <v>#REF!</v>
      </c>
      <c r="CT109" t="e">
        <f>AND('Data Control'!#REF!,"AAAAAGf9vmE=")</f>
        <v>#REF!</v>
      </c>
      <c r="CU109" t="e">
        <f>AND('Data Control'!#REF!,"AAAAAGf9vmI=")</f>
        <v>#REF!</v>
      </c>
      <c r="CV109" t="e">
        <f>AND('Data Control'!#REF!,"AAAAAGf9vmM=")</f>
        <v>#REF!</v>
      </c>
      <c r="CW109" t="e">
        <f>AND('Data Control'!#REF!,"AAAAAGf9vmQ=")</f>
        <v>#REF!</v>
      </c>
      <c r="CX109" t="e">
        <f>AND('Data Control'!#REF!,"AAAAAGf9vmU=")</f>
        <v>#REF!</v>
      </c>
      <c r="CY109" t="e">
        <f>AND('Data Control'!#REF!,"AAAAAGf9vmY=")</f>
        <v>#REF!</v>
      </c>
      <c r="CZ109" t="e">
        <f>AND('Data Control'!#REF!,"AAAAAGf9vmc=")</f>
        <v>#REF!</v>
      </c>
      <c r="DA109" t="e">
        <f>AND('Data Control'!#REF!,"AAAAAGf9vmg=")</f>
        <v>#REF!</v>
      </c>
      <c r="DB109" t="e">
        <f>AND('Data Control'!#REF!,"AAAAAGf9vmk=")</f>
        <v>#REF!</v>
      </c>
      <c r="DC109" t="e">
        <f>AND('Data Control'!#REF!,"AAAAAGf9vmo=")</f>
        <v>#REF!</v>
      </c>
      <c r="DD109" t="e">
        <f>AND('Data Control'!#REF!,"AAAAAGf9vms=")</f>
        <v>#REF!</v>
      </c>
      <c r="DE109" t="e">
        <f>AND('Data Control'!#REF!,"AAAAAGf9vmw=")</f>
        <v>#REF!</v>
      </c>
      <c r="DF109">
        <f>IF('Data Control'!113:113,"AAAAAGf9vm0=",0)</f>
        <v>0</v>
      </c>
      <c r="DG109" t="e">
        <f>AND('Data Control'!#REF!,"AAAAAGf9vm4=")</f>
        <v>#REF!</v>
      </c>
      <c r="DH109" t="e">
        <f>AND('Data Control'!#REF!,"AAAAAGf9vm8=")</f>
        <v>#REF!</v>
      </c>
      <c r="DI109" t="e">
        <f>AND('Data Control'!A113,"AAAAAGf9vnA=")</f>
        <v>#VALUE!</v>
      </c>
      <c r="DJ109" t="e">
        <f>AND('Data Control'!B113,"AAAAAGf9vnE=")</f>
        <v>#VALUE!</v>
      </c>
      <c r="DK109" t="e">
        <f>AND('Data Control'!C113,"AAAAAGf9vnI=")</f>
        <v>#VALUE!</v>
      </c>
      <c r="DL109" t="e">
        <f>AND('Data Control'!D113,"AAAAAGf9vnM=")</f>
        <v>#VALUE!</v>
      </c>
      <c r="DM109" t="e">
        <f>AND('Data Control'!E113,"AAAAAGf9vnQ=")</f>
        <v>#VALUE!</v>
      </c>
      <c r="DN109" t="e">
        <f>AND('Data Control'!F113,"AAAAAGf9vnU=")</f>
        <v>#VALUE!</v>
      </c>
      <c r="DO109" t="e">
        <f>AND('Data Control'!G113,"AAAAAGf9vnY=")</f>
        <v>#VALUE!</v>
      </c>
      <c r="DP109" t="e">
        <f>AND('Data Control'!H113,"AAAAAGf9vnc=")</f>
        <v>#VALUE!</v>
      </c>
      <c r="DQ109" t="e">
        <f>AND('Data Control'!I113,"AAAAAGf9vng=")</f>
        <v>#VALUE!</v>
      </c>
      <c r="DR109" t="e">
        <f>AND('Data Control'!J113,"AAAAAGf9vnk=")</f>
        <v>#VALUE!</v>
      </c>
      <c r="DS109" t="e">
        <f>AND('Data Control'!K113,"AAAAAGf9vno=")</f>
        <v>#VALUE!</v>
      </c>
      <c r="DT109">
        <f>IF('Data Control'!114:114,"AAAAAGf9vns=",0)</f>
        <v>0</v>
      </c>
      <c r="DU109" t="e">
        <f>AND('Data Control'!#REF!,"AAAAAGf9vnw=")</f>
        <v>#REF!</v>
      </c>
      <c r="DV109" t="e">
        <f>AND('Data Control'!#REF!,"AAAAAGf9vn0=")</f>
        <v>#REF!</v>
      </c>
      <c r="DW109" t="e">
        <f>AND('Data Control'!A114,"AAAAAGf9vn4=")</f>
        <v>#VALUE!</v>
      </c>
      <c r="DX109" t="e">
        <f>AND('Data Control'!B114,"AAAAAGf9vn8=")</f>
        <v>#VALUE!</v>
      </c>
      <c r="DY109" t="e">
        <f>AND('Data Control'!C114,"AAAAAGf9voA=")</f>
        <v>#VALUE!</v>
      </c>
      <c r="DZ109" t="e">
        <f>AND('Data Control'!D114,"AAAAAGf9voE=")</f>
        <v>#VALUE!</v>
      </c>
      <c r="EA109" t="e">
        <f>AND('Data Control'!E114,"AAAAAGf9voI=")</f>
        <v>#VALUE!</v>
      </c>
      <c r="EB109" t="e">
        <f>AND('Data Control'!F114,"AAAAAGf9voM=")</f>
        <v>#VALUE!</v>
      </c>
      <c r="EC109" t="e">
        <f>AND('Data Control'!G114,"AAAAAGf9voQ=")</f>
        <v>#VALUE!</v>
      </c>
      <c r="ED109" t="e">
        <f>AND('Data Control'!H114,"AAAAAGf9voU=")</f>
        <v>#VALUE!</v>
      </c>
      <c r="EE109" t="e">
        <f>AND('Data Control'!I114,"AAAAAGf9voY=")</f>
        <v>#VALUE!</v>
      </c>
      <c r="EF109" t="e">
        <f>AND('Data Control'!J114,"AAAAAGf9voc=")</f>
        <v>#VALUE!</v>
      </c>
      <c r="EG109" t="e">
        <f>AND('Data Control'!K114,"AAAAAGf9vog=")</f>
        <v>#VALUE!</v>
      </c>
      <c r="EH109">
        <f>IF('Data Control'!115:115,"AAAAAGf9vok=",0)</f>
        <v>0</v>
      </c>
      <c r="EI109" t="e">
        <f>AND('Data Control'!#REF!,"AAAAAGf9voo=")</f>
        <v>#REF!</v>
      </c>
      <c r="EJ109" t="e">
        <f>AND('Data Control'!#REF!,"AAAAAGf9vos=")</f>
        <v>#REF!</v>
      </c>
      <c r="EK109" t="e">
        <f>AND('Data Control'!A115,"AAAAAGf9vow=")</f>
        <v>#VALUE!</v>
      </c>
      <c r="EL109" t="e">
        <f>AND('Data Control'!B115,"AAAAAGf9vo0=")</f>
        <v>#VALUE!</v>
      </c>
      <c r="EM109" t="e">
        <f>AND('Data Control'!C115,"AAAAAGf9vo4=")</f>
        <v>#VALUE!</v>
      </c>
      <c r="EN109" t="e">
        <f>AND('Data Control'!D115,"AAAAAGf9vo8=")</f>
        <v>#VALUE!</v>
      </c>
      <c r="EO109" t="e">
        <f>AND('Data Control'!E115,"AAAAAGf9vpA=")</f>
        <v>#VALUE!</v>
      </c>
      <c r="EP109" t="e">
        <f>AND('Data Control'!F115,"AAAAAGf9vpE=")</f>
        <v>#VALUE!</v>
      </c>
      <c r="EQ109" t="e">
        <f>AND('Data Control'!G115,"AAAAAGf9vpI=")</f>
        <v>#VALUE!</v>
      </c>
      <c r="ER109" t="e">
        <f>AND('Data Control'!H115,"AAAAAGf9vpM=")</f>
        <v>#VALUE!</v>
      </c>
      <c r="ES109" t="e">
        <f>AND('Data Control'!I115,"AAAAAGf9vpQ=")</f>
        <v>#VALUE!</v>
      </c>
      <c r="ET109" t="e">
        <f>AND('Data Control'!J115,"AAAAAGf9vpU=")</f>
        <v>#VALUE!</v>
      </c>
      <c r="EU109" t="e">
        <f>AND('Data Control'!K115,"AAAAAGf9vpY=")</f>
        <v>#VALUE!</v>
      </c>
      <c r="EV109">
        <f>IF('Data Control'!129:129,"AAAAAGf9vpc=",0)</f>
        <v>0</v>
      </c>
      <c r="EW109" t="e">
        <f>AND('Data Control'!A129,"AAAAAGf9vpg=")</f>
        <v>#VALUE!</v>
      </c>
      <c r="EX109" t="e">
        <f>AND('Data Control'!B129,"AAAAAGf9vpk=")</f>
        <v>#VALUE!</v>
      </c>
      <c r="EY109" t="e">
        <f>AND('Data Control'!C129,"AAAAAGf9vpo=")</f>
        <v>#VALUE!</v>
      </c>
      <c r="EZ109" t="e">
        <f>AND('Data Control'!D129,"AAAAAGf9vps=")</f>
        <v>#VALUE!</v>
      </c>
      <c r="FA109" t="e">
        <f>AND('Data Control'!E129,"AAAAAGf9vpw=")</f>
        <v>#VALUE!</v>
      </c>
      <c r="FB109" t="e">
        <f>AND('Data Control'!F129,"AAAAAGf9vp0=")</f>
        <v>#VALUE!</v>
      </c>
      <c r="FC109" t="e">
        <f>AND('Data Control'!G129,"AAAAAGf9vp4=")</f>
        <v>#VALUE!</v>
      </c>
      <c r="FD109" t="e">
        <f>AND('Data Control'!H129,"AAAAAGf9vp8=")</f>
        <v>#VALUE!</v>
      </c>
      <c r="FE109" t="e">
        <f>AND('Data Control'!I129,"AAAAAGf9vqA=")</f>
        <v>#VALUE!</v>
      </c>
      <c r="FF109" t="e">
        <f>AND('Data Control'!J129,"AAAAAGf9vqE=")</f>
        <v>#VALUE!</v>
      </c>
      <c r="FG109" t="e">
        <f>AND('Data Control'!K129,"AAAAAGf9vqI=")</f>
        <v>#VALUE!</v>
      </c>
      <c r="FH109" t="e">
        <f>AND('Data Control'!L129,"AAAAAGf9vqM=")</f>
        <v>#VALUE!</v>
      </c>
      <c r="FI109" t="e">
        <f>AND('Data Control'!M129,"AAAAAGf9vqQ=")</f>
        <v>#VALUE!</v>
      </c>
      <c r="FJ109" t="e">
        <f>IF(Reference!#REF!,"AAAAAGf9vqU=",0)</f>
        <v>#REF!</v>
      </c>
      <c r="FK109" t="e">
        <f>AND(Reference!#REF!,"AAAAAGf9vqY=")</f>
        <v>#REF!</v>
      </c>
      <c r="FL109" t="e">
        <f>AND(Reference!#REF!,"AAAAAGf9vqc=")</f>
        <v>#REF!</v>
      </c>
      <c r="FM109" t="e">
        <f>AND(Reference!#REF!,"AAAAAGf9vqg=")</f>
        <v>#REF!</v>
      </c>
      <c r="FN109" t="e">
        <f>AND(Reference!#REF!,"AAAAAGf9vqk=")</f>
        <v>#REF!</v>
      </c>
      <c r="FO109" t="e">
        <f>AND(Reference!#REF!,"AAAAAGf9vqo=")</f>
        <v>#REF!</v>
      </c>
      <c r="FP109" t="e">
        <f>AND(Reference!#REF!,"AAAAAGf9vqs=")</f>
        <v>#REF!</v>
      </c>
      <c r="FQ109" t="e">
        <f>AND(Reference!#REF!,"AAAAAGf9vqw=")</f>
        <v>#REF!</v>
      </c>
      <c r="FR109" t="e">
        <f>AND(Reference!#REF!,"AAAAAGf9vq0=")</f>
        <v>#REF!</v>
      </c>
      <c r="FS109" t="e">
        <f>AND(Reference!#REF!,"AAAAAGf9vq4=")</f>
        <v>#REF!</v>
      </c>
      <c r="FT109" t="e">
        <f>AND(Reference!#REF!,"AAAAAGf9vq8=")</f>
        <v>#REF!</v>
      </c>
      <c r="FU109" t="e">
        <f>AND(Reference!#REF!,"AAAAAGf9vrA=")</f>
        <v>#REF!</v>
      </c>
      <c r="FV109" t="e">
        <f>AND(Reference!#REF!,"AAAAAGf9vrE=")</f>
        <v>#REF!</v>
      </c>
      <c r="FW109" t="e">
        <f>AND(Reference!#REF!,"AAAAAGf9vrI=")</f>
        <v>#REF!</v>
      </c>
      <c r="FX109">
        <f>IF(Reference!4:4,"AAAAAGf9vrM=",0)</f>
        <v>0</v>
      </c>
      <c r="FY109" t="e">
        <f>AND(Reference!#REF!,"AAAAAGf9vrQ=")</f>
        <v>#REF!</v>
      </c>
      <c r="FZ109" t="e">
        <f>AND(Reference!#REF!,"AAAAAGf9vrU=")</f>
        <v>#REF!</v>
      </c>
      <c r="GA109" t="e">
        <f>AND(Reference!A4,"AAAAAGf9vrY=")</f>
        <v>#VALUE!</v>
      </c>
      <c r="GB109" t="e">
        <f>AND(Reference!B4,"AAAAAGf9vrc=")</f>
        <v>#VALUE!</v>
      </c>
      <c r="GC109" t="e">
        <f>AND(Reference!C4,"AAAAAGf9vrg=")</f>
        <v>#VALUE!</v>
      </c>
      <c r="GD109" t="e">
        <f>AND(Reference!D4,"AAAAAGf9vrk=")</f>
        <v>#VALUE!</v>
      </c>
      <c r="GE109" t="e">
        <f>AND(Reference!E4,"AAAAAGf9vro=")</f>
        <v>#VALUE!</v>
      </c>
      <c r="GF109" t="e">
        <f>AND(Reference!F4,"AAAAAGf9vrs=")</f>
        <v>#VALUE!</v>
      </c>
      <c r="GG109" t="e">
        <f>AND(Reference!G4,"AAAAAGf9vrw=")</f>
        <v>#VALUE!</v>
      </c>
      <c r="GH109" t="e">
        <f>AND(Reference!H4,"AAAAAGf9vr0=")</f>
        <v>#VALUE!</v>
      </c>
      <c r="GI109" t="e">
        <f>AND(Reference!I4,"AAAAAGf9vr4=")</f>
        <v>#VALUE!</v>
      </c>
      <c r="GJ109" t="e">
        <f>AND(Reference!J4,"AAAAAGf9vr8=")</f>
        <v>#VALUE!</v>
      </c>
      <c r="GK109" t="e">
        <f>AND(Reference!K4,"AAAAAGf9vsA=")</f>
        <v>#VALUE!</v>
      </c>
      <c r="GL109">
        <f>IF(Reference!5:5,"AAAAAGf9vsE=",0)</f>
        <v>0</v>
      </c>
      <c r="GM109" t="e">
        <f>AND(Reference!#REF!,"AAAAAGf9vsI=")</f>
        <v>#REF!</v>
      </c>
      <c r="GN109" t="e">
        <f>AND(Reference!#REF!,"AAAAAGf9vsM=")</f>
        <v>#REF!</v>
      </c>
      <c r="GO109" t="e">
        <f>AND(Reference!A5,"AAAAAGf9vsQ=")</f>
        <v>#VALUE!</v>
      </c>
      <c r="GP109" t="e">
        <f>AND(Reference!B5,"AAAAAGf9vsU=")</f>
        <v>#VALUE!</v>
      </c>
      <c r="GQ109" t="e">
        <f>AND(Reference!C5,"AAAAAGf9vsY=")</f>
        <v>#VALUE!</v>
      </c>
      <c r="GR109" t="e">
        <f>AND(Reference!D5,"AAAAAGf9vsc=")</f>
        <v>#VALUE!</v>
      </c>
      <c r="GS109" t="e">
        <f>AND(Reference!E5,"AAAAAGf9vsg=")</f>
        <v>#VALUE!</v>
      </c>
      <c r="GT109" t="e">
        <f>AND(Reference!F5,"AAAAAGf9vsk=")</f>
        <v>#VALUE!</v>
      </c>
      <c r="GU109" t="e">
        <f>AND(Reference!G5,"AAAAAGf9vso=")</f>
        <v>#VALUE!</v>
      </c>
      <c r="GV109" t="e">
        <f>AND(Reference!H5,"AAAAAGf9vss=")</f>
        <v>#VALUE!</v>
      </c>
      <c r="GW109" t="e">
        <f>AND(Reference!I5,"AAAAAGf9vsw=")</f>
        <v>#VALUE!</v>
      </c>
      <c r="GX109" t="e">
        <f>AND(Reference!J5,"AAAAAGf9vs0=")</f>
        <v>#VALUE!</v>
      </c>
      <c r="GY109" t="e">
        <f>AND(Reference!K5,"AAAAAGf9vs4=")</f>
        <v>#VALUE!</v>
      </c>
      <c r="GZ109">
        <f>IF(Reference!6:6,"AAAAAGf9vs8=",0)</f>
        <v>0</v>
      </c>
      <c r="HA109" t="e">
        <f>AND(Reference!#REF!,"AAAAAGf9vtA=")</f>
        <v>#REF!</v>
      </c>
      <c r="HB109" t="e">
        <f>AND(Reference!#REF!,"AAAAAGf9vtE=")</f>
        <v>#REF!</v>
      </c>
      <c r="HC109" t="e">
        <f>AND(Reference!A6,"AAAAAGf9vtI=")</f>
        <v>#VALUE!</v>
      </c>
      <c r="HD109" t="e">
        <f>AND(Reference!B6,"AAAAAGf9vtM=")</f>
        <v>#VALUE!</v>
      </c>
      <c r="HE109" t="e">
        <f>AND(Reference!C6,"AAAAAGf9vtQ=")</f>
        <v>#VALUE!</v>
      </c>
      <c r="HF109" t="e">
        <f>AND(Reference!D6,"AAAAAGf9vtU=")</f>
        <v>#VALUE!</v>
      </c>
      <c r="HG109" t="e">
        <f>AND(Reference!E6,"AAAAAGf9vtY=")</f>
        <v>#VALUE!</v>
      </c>
      <c r="HH109" t="e">
        <f>AND(Reference!F6,"AAAAAGf9vtc=")</f>
        <v>#VALUE!</v>
      </c>
      <c r="HI109" t="e">
        <f>AND(Reference!G6,"AAAAAGf9vtg=")</f>
        <v>#VALUE!</v>
      </c>
      <c r="HJ109" t="e">
        <f>AND(Reference!H6,"AAAAAGf9vtk=")</f>
        <v>#VALUE!</v>
      </c>
      <c r="HK109" t="e">
        <f>AND(Reference!I6,"AAAAAGf9vto=")</f>
        <v>#VALUE!</v>
      </c>
      <c r="HL109" t="e">
        <f>AND(Reference!J6,"AAAAAGf9vts=")</f>
        <v>#VALUE!</v>
      </c>
      <c r="HM109" t="e">
        <f>AND(Reference!K6,"AAAAAGf9vtw=")</f>
        <v>#VALUE!</v>
      </c>
      <c r="HN109">
        <f>IF(Reference!7:7,"AAAAAGf9vt0=",0)</f>
        <v>0</v>
      </c>
      <c r="HO109" t="e">
        <f>AND(Reference!#REF!,"AAAAAGf9vt4=")</f>
        <v>#REF!</v>
      </c>
      <c r="HP109" t="e">
        <f>AND(Reference!#REF!,"AAAAAGf9vt8=")</f>
        <v>#REF!</v>
      </c>
      <c r="HQ109" t="e">
        <f>AND(Reference!A7,"AAAAAGf9vuA=")</f>
        <v>#VALUE!</v>
      </c>
      <c r="HR109" t="e">
        <f>AND(Reference!B7,"AAAAAGf9vuE=")</f>
        <v>#VALUE!</v>
      </c>
      <c r="HS109" t="e">
        <f>AND(Reference!C7,"AAAAAGf9vuI=")</f>
        <v>#VALUE!</v>
      </c>
      <c r="HT109" t="e">
        <f>AND(Reference!D7,"AAAAAGf9vuM=")</f>
        <v>#VALUE!</v>
      </c>
      <c r="HU109" t="e">
        <f>AND(Reference!E7,"AAAAAGf9vuQ=")</f>
        <v>#VALUE!</v>
      </c>
      <c r="HV109" t="e">
        <f>AND(Reference!F7,"AAAAAGf9vuU=")</f>
        <v>#VALUE!</v>
      </c>
      <c r="HW109" t="e">
        <f>AND(Reference!G7,"AAAAAGf9vuY=")</f>
        <v>#VALUE!</v>
      </c>
      <c r="HX109" t="e">
        <f>AND(Reference!H7,"AAAAAGf9vuc=")</f>
        <v>#VALUE!</v>
      </c>
      <c r="HY109" t="e">
        <f>AND(Reference!I7,"AAAAAGf9vug=")</f>
        <v>#VALUE!</v>
      </c>
      <c r="HZ109" t="e">
        <f>AND(Reference!J7,"AAAAAGf9vuk=")</f>
        <v>#VALUE!</v>
      </c>
      <c r="IA109" t="e">
        <f>AND(Reference!K7,"AAAAAGf9vuo=")</f>
        <v>#VALUE!</v>
      </c>
      <c r="IB109">
        <f>IF(Reference!8:8,"AAAAAGf9vus=",0)</f>
        <v>0</v>
      </c>
      <c r="IC109" t="e">
        <f>AND(Reference!#REF!,"AAAAAGf9vuw=")</f>
        <v>#REF!</v>
      </c>
      <c r="ID109" t="e">
        <f>AND(Reference!#REF!,"AAAAAGf9vu0=")</f>
        <v>#REF!</v>
      </c>
      <c r="IE109" t="e">
        <f>AND(Reference!A8,"AAAAAGf9vu4=")</f>
        <v>#VALUE!</v>
      </c>
      <c r="IF109" t="e">
        <f>AND(Reference!B8,"AAAAAGf9vu8=")</f>
        <v>#VALUE!</v>
      </c>
      <c r="IG109" t="e">
        <f>AND(Reference!C8,"AAAAAGf9vvA=")</f>
        <v>#VALUE!</v>
      </c>
      <c r="IH109" t="e">
        <f>AND(Reference!D8,"AAAAAGf9vvE=")</f>
        <v>#VALUE!</v>
      </c>
      <c r="II109" t="e">
        <f>AND(Reference!E8,"AAAAAGf9vvI=")</f>
        <v>#VALUE!</v>
      </c>
      <c r="IJ109" t="e">
        <f>AND(Reference!F8,"AAAAAGf9vvM=")</f>
        <v>#VALUE!</v>
      </c>
      <c r="IK109" t="e">
        <f>AND(Reference!G8,"AAAAAGf9vvQ=")</f>
        <v>#VALUE!</v>
      </c>
      <c r="IL109" t="e">
        <f>AND(Reference!H8,"AAAAAGf9vvU=")</f>
        <v>#VALUE!</v>
      </c>
      <c r="IM109" t="e">
        <f>AND(Reference!I8,"AAAAAGf9vvY=")</f>
        <v>#VALUE!</v>
      </c>
      <c r="IN109" t="e">
        <f>AND(Reference!J8,"AAAAAGf9vvc=")</f>
        <v>#VALUE!</v>
      </c>
      <c r="IO109" t="e">
        <f>AND(Reference!K8,"AAAAAGf9vvg=")</f>
        <v>#VALUE!</v>
      </c>
      <c r="IP109" t="e">
        <f>IF('Data Control'!#REF!,"AAAAAGf9vvk=",0)</f>
        <v>#REF!</v>
      </c>
      <c r="IQ109" t="e">
        <f>AND('Data Control'!#REF!,"AAAAAGf9vvo=")</f>
        <v>#REF!</v>
      </c>
      <c r="IR109" t="e">
        <f>AND('Data Control'!#REF!,"AAAAAGf9vvs=")</f>
        <v>#REF!</v>
      </c>
      <c r="IS109" t="e">
        <f>AND('Data Control'!#REF!,"AAAAAGf9vvw=")</f>
        <v>#REF!</v>
      </c>
      <c r="IT109" t="e">
        <f>AND('Data Control'!#REF!,"AAAAAGf9vv0=")</f>
        <v>#REF!</v>
      </c>
      <c r="IU109" t="e">
        <f>AND('Data Control'!#REF!,"AAAAAGf9vv4=")</f>
        <v>#REF!</v>
      </c>
      <c r="IV109" t="e">
        <f>AND('Data Control'!#REF!,"AAAAAGf9vv8=")</f>
        <v>#REF!</v>
      </c>
    </row>
    <row r="110" spans="1:256" x14ac:dyDescent="0.2">
      <c r="A110" t="e">
        <f>AND('Data Control'!#REF!,"AAAAAFe7dQA=")</f>
        <v>#REF!</v>
      </c>
      <c r="B110" t="e">
        <f>AND('Data Control'!#REF!,"AAAAAFe7dQE=")</f>
        <v>#REF!</v>
      </c>
      <c r="C110" t="e">
        <f>AND('Data Control'!#REF!,"AAAAAFe7dQI=")</f>
        <v>#REF!</v>
      </c>
      <c r="D110" t="e">
        <f>AND('Data Control'!#REF!,"AAAAAFe7dQM=")</f>
        <v>#REF!</v>
      </c>
      <c r="E110" t="e">
        <f>AND('Data Control'!#REF!,"AAAAAFe7dQQ=")</f>
        <v>#REF!</v>
      </c>
      <c r="F110" t="e">
        <f>AND('Data Control'!#REF!,"AAAAAFe7dQU=")</f>
        <v>#REF!</v>
      </c>
      <c r="G110" t="e">
        <f>AND('Data Control'!#REF!,"AAAAAFe7dQY=")</f>
        <v>#REF!</v>
      </c>
      <c r="H110">
        <f>IF('Data Control'!131:131,"AAAAAFe7dQc=",0)</f>
        <v>0</v>
      </c>
      <c r="I110" t="e">
        <f>AND('Data Control'!#REF!,"AAAAAFe7dQg=")</f>
        <v>#REF!</v>
      </c>
      <c r="J110" t="e">
        <f>AND('Data Control'!A131,"AAAAAFe7dQk=")</f>
        <v>#VALUE!</v>
      </c>
      <c r="K110" t="e">
        <f>AND('Data Control'!B131,"AAAAAFe7dQo=")</f>
        <v>#VALUE!</v>
      </c>
      <c r="L110" t="e">
        <f>AND('Data Control'!C131,"AAAAAFe7dQs=")</f>
        <v>#VALUE!</v>
      </c>
      <c r="M110" t="e">
        <f>AND('Data Control'!D131,"AAAAAFe7dQw=")</f>
        <v>#VALUE!</v>
      </c>
      <c r="N110" t="e">
        <f>AND('Data Control'!E131,"AAAAAFe7dQ0=")</f>
        <v>#VALUE!</v>
      </c>
      <c r="O110" t="e">
        <f>AND('Data Control'!F131,"AAAAAFe7dQ4=")</f>
        <v>#VALUE!</v>
      </c>
      <c r="P110" t="e">
        <f>AND('Data Control'!G131,"AAAAAFe7dQ8=")</f>
        <v>#VALUE!</v>
      </c>
      <c r="Q110" t="e">
        <f>AND('Data Control'!H131,"AAAAAFe7dRA=")</f>
        <v>#VALUE!</v>
      </c>
      <c r="R110" t="e">
        <f>AND('Data Control'!I131,"AAAAAFe7dRE=")</f>
        <v>#VALUE!</v>
      </c>
      <c r="S110" t="e">
        <f>AND('Data Control'!J131,"AAAAAFe7dRI=")</f>
        <v>#VALUE!</v>
      </c>
      <c r="T110" t="e">
        <f>AND('Data Control'!K131,"AAAAAFe7dRM=")</f>
        <v>#VALUE!</v>
      </c>
      <c r="U110" t="e">
        <f>AND('Data Control'!L131,"AAAAAFe7dRQ=")</f>
        <v>#VALUE!</v>
      </c>
      <c r="V110" t="e">
        <f>IF('Data Control'!#REF!,"AAAAAFe7dRU=",0)</f>
        <v>#REF!</v>
      </c>
      <c r="W110" t="e">
        <f>AND('Data Control'!#REF!,"AAAAAFe7dRY=")</f>
        <v>#REF!</v>
      </c>
      <c r="X110" t="e">
        <f>AND('Data Control'!#REF!,"AAAAAFe7dRc=")</f>
        <v>#REF!</v>
      </c>
      <c r="Y110" t="e">
        <f>AND('Data Control'!#REF!,"AAAAAFe7dRg=")</f>
        <v>#REF!</v>
      </c>
      <c r="Z110" t="e">
        <f>AND('Data Control'!#REF!,"AAAAAFe7dRk=")</f>
        <v>#REF!</v>
      </c>
      <c r="AA110" t="e">
        <f>AND('Data Control'!#REF!,"AAAAAFe7dRo=")</f>
        <v>#REF!</v>
      </c>
      <c r="AB110" t="e">
        <f>AND('Data Control'!#REF!,"AAAAAFe7dRs=")</f>
        <v>#REF!</v>
      </c>
      <c r="AC110" t="e">
        <f>AND('Data Control'!#REF!,"AAAAAFe7dRw=")</f>
        <v>#REF!</v>
      </c>
      <c r="AD110" t="e">
        <f>AND('Data Control'!#REF!,"AAAAAFe7dR0=")</f>
        <v>#REF!</v>
      </c>
      <c r="AE110" t="e">
        <f>AND('Data Control'!#REF!,"AAAAAFe7dR4=")</f>
        <v>#REF!</v>
      </c>
      <c r="AF110" t="e">
        <f>AND('Data Control'!#REF!,"AAAAAFe7dR8=")</f>
        <v>#REF!</v>
      </c>
      <c r="AG110" t="e">
        <f>AND('Data Control'!#REF!,"AAAAAFe7dSA=")</f>
        <v>#REF!</v>
      </c>
      <c r="AH110" t="e">
        <f>AND('Data Control'!#REF!,"AAAAAFe7dSE=")</f>
        <v>#REF!</v>
      </c>
      <c r="AI110" t="e">
        <f>AND('Data Control'!#REF!,"AAAAAFe7dSI=")</f>
        <v>#REF!</v>
      </c>
      <c r="AJ110">
        <f>IF('Data Control'!132:132,"AAAAAFe7dSM=",0)</f>
        <v>0</v>
      </c>
      <c r="AK110" t="e">
        <f>AND('Data Control'!#REF!,"AAAAAFe7dSQ=")</f>
        <v>#REF!</v>
      </c>
      <c r="AL110" t="e">
        <f>AND('Data Control'!A132,"AAAAAFe7dSU=")</f>
        <v>#VALUE!</v>
      </c>
      <c r="AM110" t="e">
        <f>AND('Data Control'!B132,"AAAAAFe7dSY=")</f>
        <v>#VALUE!</v>
      </c>
      <c r="AN110" t="e">
        <f>AND('Data Control'!C132,"AAAAAFe7dSc=")</f>
        <v>#VALUE!</v>
      </c>
      <c r="AO110" t="e">
        <f>AND('Data Control'!D132,"AAAAAFe7dSg=")</f>
        <v>#VALUE!</v>
      </c>
      <c r="AP110" t="e">
        <f>AND('Data Control'!E132,"AAAAAFe7dSk=")</f>
        <v>#VALUE!</v>
      </c>
      <c r="AQ110" t="e">
        <f>AND('Data Control'!F132,"AAAAAFe7dSo=")</f>
        <v>#VALUE!</v>
      </c>
      <c r="AR110" t="e">
        <f>AND('Data Control'!G132,"AAAAAFe7dSs=")</f>
        <v>#VALUE!</v>
      </c>
      <c r="AS110" t="e">
        <f>AND('Data Control'!H132,"AAAAAFe7dSw=")</f>
        <v>#VALUE!</v>
      </c>
      <c r="AT110" t="e">
        <f>AND('Data Control'!I132,"AAAAAFe7dS0=")</f>
        <v>#VALUE!</v>
      </c>
      <c r="AU110" t="e">
        <f>AND('Data Control'!J132,"AAAAAFe7dS4=")</f>
        <v>#VALUE!</v>
      </c>
      <c r="AV110" t="e">
        <f>AND('Data Control'!K132,"AAAAAFe7dS8=")</f>
        <v>#VALUE!</v>
      </c>
      <c r="AW110" t="e">
        <f>AND('Data Control'!L132,"AAAAAFe7dTA=")</f>
        <v>#VALUE!</v>
      </c>
      <c r="AX110">
        <f>IF('Data Control'!133:133,"AAAAAFe7dTE=",0)</f>
        <v>0</v>
      </c>
      <c r="AY110" t="e">
        <f>AND('Data Control'!#REF!,"AAAAAFe7dTI=")</f>
        <v>#REF!</v>
      </c>
      <c r="AZ110" t="e">
        <f>AND('Data Control'!A133,"AAAAAFe7dTM=")</f>
        <v>#VALUE!</v>
      </c>
      <c r="BA110" t="e">
        <f>AND('Data Control'!B133,"AAAAAFe7dTQ=")</f>
        <v>#VALUE!</v>
      </c>
      <c r="BB110" t="e">
        <f>AND('Data Control'!C133,"AAAAAFe7dTU=")</f>
        <v>#VALUE!</v>
      </c>
      <c r="BC110" t="e">
        <f>AND('Data Control'!D133,"AAAAAFe7dTY=")</f>
        <v>#VALUE!</v>
      </c>
      <c r="BD110" t="e">
        <f>AND('Data Control'!E133,"AAAAAFe7dTc=")</f>
        <v>#VALUE!</v>
      </c>
      <c r="BE110" t="e">
        <f>AND('Data Control'!F133,"AAAAAFe7dTg=")</f>
        <v>#VALUE!</v>
      </c>
      <c r="BF110" t="e">
        <f>AND('Data Control'!G133,"AAAAAFe7dTk=")</f>
        <v>#VALUE!</v>
      </c>
      <c r="BG110" t="e">
        <f>AND('Data Control'!H133,"AAAAAFe7dTo=")</f>
        <v>#VALUE!</v>
      </c>
      <c r="BH110" t="e">
        <f>AND('Data Control'!I133,"AAAAAFe7dTs=")</f>
        <v>#VALUE!</v>
      </c>
      <c r="BI110" t="e">
        <f>AND('Data Control'!J133,"AAAAAFe7dTw=")</f>
        <v>#VALUE!</v>
      </c>
      <c r="BJ110" t="e">
        <f>AND('Data Control'!K133,"AAAAAFe7dT0=")</f>
        <v>#VALUE!</v>
      </c>
      <c r="BK110" t="e">
        <f>AND('Data Control'!L133,"AAAAAFe7dT4=")</f>
        <v>#VALUE!</v>
      </c>
      <c r="BL110">
        <f>IF('Data Control'!134:134,"AAAAAFe7dT8=",0)</f>
        <v>0</v>
      </c>
      <c r="BM110" t="e">
        <f>AND('Data Control'!#REF!,"AAAAAFe7dUA=")</f>
        <v>#REF!</v>
      </c>
      <c r="BN110" t="e">
        <f>AND('Data Control'!A134,"AAAAAFe7dUE=")</f>
        <v>#VALUE!</v>
      </c>
      <c r="BO110" t="e">
        <f>AND('Data Control'!B134,"AAAAAFe7dUI=")</f>
        <v>#VALUE!</v>
      </c>
      <c r="BP110" t="e">
        <f>AND('Data Control'!C134,"AAAAAFe7dUM=")</f>
        <v>#VALUE!</v>
      </c>
      <c r="BQ110" t="e">
        <f>AND('Data Control'!D134,"AAAAAFe7dUQ=")</f>
        <v>#VALUE!</v>
      </c>
      <c r="BR110" t="e">
        <f>AND('Data Control'!E134,"AAAAAFe7dUU=")</f>
        <v>#VALUE!</v>
      </c>
      <c r="BS110" t="e">
        <f>AND('Data Control'!F134,"AAAAAFe7dUY=")</f>
        <v>#VALUE!</v>
      </c>
      <c r="BT110" t="e">
        <f>AND('Data Control'!G134,"AAAAAFe7dUc=")</f>
        <v>#VALUE!</v>
      </c>
      <c r="BU110" t="e">
        <f>AND('Data Control'!H134,"AAAAAFe7dUg=")</f>
        <v>#VALUE!</v>
      </c>
      <c r="BV110" t="e">
        <f>AND('Data Control'!I134,"AAAAAFe7dUk=")</f>
        <v>#VALUE!</v>
      </c>
      <c r="BW110" t="e">
        <f>AND('Data Control'!J134,"AAAAAFe7dUo=")</f>
        <v>#VALUE!</v>
      </c>
      <c r="BX110" t="e">
        <f>AND('Data Control'!K134,"AAAAAFe7dUs=")</f>
        <v>#VALUE!</v>
      </c>
      <c r="BY110" t="e">
        <f>AND('Data Control'!L134,"AAAAAFe7dUw=")</f>
        <v>#VALUE!</v>
      </c>
      <c r="BZ110">
        <f>IF('Data Control'!135:135,"AAAAAFe7dU0=",0)</f>
        <v>0</v>
      </c>
      <c r="CA110" t="e">
        <f>AND('Data Control'!#REF!,"AAAAAFe7dU4=")</f>
        <v>#REF!</v>
      </c>
      <c r="CB110" t="e">
        <f>AND('Data Control'!A135,"AAAAAFe7dU8=")</f>
        <v>#VALUE!</v>
      </c>
      <c r="CC110" t="e">
        <f>AND('Data Control'!B135,"AAAAAFe7dVA=")</f>
        <v>#VALUE!</v>
      </c>
      <c r="CD110" t="e">
        <f>AND('Data Control'!C135,"AAAAAFe7dVE=")</f>
        <v>#VALUE!</v>
      </c>
      <c r="CE110" t="e">
        <f>AND('Data Control'!D135,"AAAAAFe7dVI=")</f>
        <v>#VALUE!</v>
      </c>
      <c r="CF110" t="e">
        <f>AND('Data Control'!E135,"AAAAAFe7dVM=")</f>
        <v>#VALUE!</v>
      </c>
      <c r="CG110" t="e">
        <f>AND('Data Control'!F135,"AAAAAFe7dVQ=")</f>
        <v>#VALUE!</v>
      </c>
      <c r="CH110" t="e">
        <f>AND('Data Control'!G135,"AAAAAFe7dVU=")</f>
        <v>#VALUE!</v>
      </c>
      <c r="CI110" t="e">
        <f>AND('Data Control'!H135,"AAAAAFe7dVY=")</f>
        <v>#VALUE!</v>
      </c>
      <c r="CJ110" t="e">
        <f>AND('Data Control'!I135,"AAAAAFe7dVc=")</f>
        <v>#VALUE!</v>
      </c>
      <c r="CK110" t="e">
        <f>AND('Data Control'!J135,"AAAAAFe7dVg=")</f>
        <v>#VALUE!</v>
      </c>
      <c r="CL110" t="e">
        <f>AND('Data Control'!K135,"AAAAAFe7dVk=")</f>
        <v>#VALUE!</v>
      </c>
      <c r="CM110" t="e">
        <f>AND('Data Control'!L135,"AAAAAFe7dVo=")</f>
        <v>#VALUE!</v>
      </c>
      <c r="CN110">
        <f>IF('Data Control'!136:136,"AAAAAFe7dVs=",0)</f>
        <v>0</v>
      </c>
      <c r="CO110" t="e">
        <f>AND('Data Control'!#REF!,"AAAAAFe7dVw=")</f>
        <v>#REF!</v>
      </c>
      <c r="CP110" t="e">
        <f>AND('Data Control'!A136,"AAAAAFe7dV0=")</f>
        <v>#VALUE!</v>
      </c>
      <c r="CQ110" t="e">
        <f>AND('Data Control'!B136,"AAAAAFe7dV4=")</f>
        <v>#VALUE!</v>
      </c>
      <c r="CR110" t="e">
        <f>AND('Data Control'!C136,"AAAAAFe7dV8=")</f>
        <v>#VALUE!</v>
      </c>
      <c r="CS110" t="e">
        <f>AND('Data Control'!D136,"AAAAAFe7dWA=")</f>
        <v>#VALUE!</v>
      </c>
      <c r="CT110" t="e">
        <f>AND('Data Control'!E136,"AAAAAFe7dWE=")</f>
        <v>#VALUE!</v>
      </c>
      <c r="CU110" t="e">
        <f>AND('Data Control'!F136,"AAAAAFe7dWI=")</f>
        <v>#VALUE!</v>
      </c>
      <c r="CV110" t="e">
        <f>AND('Data Control'!G136,"AAAAAFe7dWM=")</f>
        <v>#VALUE!</v>
      </c>
      <c r="CW110" t="e">
        <f>AND('Data Control'!H136,"AAAAAFe7dWQ=")</f>
        <v>#VALUE!</v>
      </c>
      <c r="CX110" t="e">
        <f>AND('Data Control'!I136,"AAAAAFe7dWU=")</f>
        <v>#VALUE!</v>
      </c>
      <c r="CY110" t="e">
        <f>AND('Data Control'!J136,"AAAAAFe7dWY=")</f>
        <v>#VALUE!</v>
      </c>
      <c r="CZ110" t="e">
        <f>AND('Data Control'!K136,"AAAAAFe7dWc=")</f>
        <v>#VALUE!</v>
      </c>
      <c r="DA110" t="e">
        <f>AND('Data Control'!L136,"AAAAAFe7dWg=")</f>
        <v>#VALUE!</v>
      </c>
      <c r="DB110">
        <f>IF('Data Control'!137:137,"AAAAAFe7dWk=",0)</f>
        <v>0</v>
      </c>
      <c r="DC110" t="e">
        <f>AND('Data Control'!#REF!,"AAAAAFe7dWo=")</f>
        <v>#REF!</v>
      </c>
      <c r="DD110" t="e">
        <f>AND('Data Control'!A137,"AAAAAFe7dWs=")</f>
        <v>#VALUE!</v>
      </c>
      <c r="DE110" t="e">
        <f>AND('Data Control'!B137,"AAAAAFe7dWw=")</f>
        <v>#VALUE!</v>
      </c>
      <c r="DF110" t="e">
        <f>AND('Data Control'!C137,"AAAAAFe7dW0=")</f>
        <v>#VALUE!</v>
      </c>
      <c r="DG110" t="e">
        <f>AND('Data Control'!D137,"AAAAAFe7dW4=")</f>
        <v>#VALUE!</v>
      </c>
      <c r="DH110" t="e">
        <f>AND('Data Control'!E137,"AAAAAFe7dW8=")</f>
        <v>#VALUE!</v>
      </c>
      <c r="DI110" t="e">
        <f>AND('Data Control'!F137,"AAAAAFe7dXA=")</f>
        <v>#VALUE!</v>
      </c>
      <c r="DJ110" t="e">
        <f>AND('Data Control'!G137,"AAAAAFe7dXE=")</f>
        <v>#VALUE!</v>
      </c>
      <c r="DK110" t="e">
        <f>AND('Data Control'!H137,"AAAAAFe7dXI=")</f>
        <v>#VALUE!</v>
      </c>
      <c r="DL110" t="e">
        <f>AND('Data Control'!I137,"AAAAAFe7dXM=")</f>
        <v>#VALUE!</v>
      </c>
      <c r="DM110" t="e">
        <f>AND('Data Control'!J137,"AAAAAFe7dXQ=")</f>
        <v>#VALUE!</v>
      </c>
      <c r="DN110" t="e">
        <f>AND('Data Control'!K137,"AAAAAFe7dXU=")</f>
        <v>#VALUE!</v>
      </c>
      <c r="DO110" t="e">
        <f>AND('Data Control'!L137,"AAAAAFe7dXY=")</f>
        <v>#VALUE!</v>
      </c>
      <c r="DP110">
        <f>IF('Data Control'!138:138,"AAAAAFe7dXc=",0)</f>
        <v>0</v>
      </c>
      <c r="DQ110" t="e">
        <f>AND('Data Control'!#REF!,"AAAAAFe7dXg=")</f>
        <v>#REF!</v>
      </c>
      <c r="DR110" t="e">
        <f>AND('Data Control'!A138,"AAAAAFe7dXk=")</f>
        <v>#VALUE!</v>
      </c>
      <c r="DS110" t="e">
        <f>AND('Data Control'!B138,"AAAAAFe7dXo=")</f>
        <v>#VALUE!</v>
      </c>
      <c r="DT110" t="e">
        <f>AND('Data Control'!C138,"AAAAAFe7dXs=")</f>
        <v>#VALUE!</v>
      </c>
      <c r="DU110" t="e">
        <f>AND('Data Control'!D138,"AAAAAFe7dXw=")</f>
        <v>#VALUE!</v>
      </c>
      <c r="DV110" t="e">
        <f>AND('Data Control'!E138,"AAAAAFe7dX0=")</f>
        <v>#VALUE!</v>
      </c>
      <c r="DW110" t="e">
        <f>AND('Data Control'!F138,"AAAAAFe7dX4=")</f>
        <v>#VALUE!</v>
      </c>
      <c r="DX110" t="e">
        <f>AND('Data Control'!G138,"AAAAAFe7dX8=")</f>
        <v>#VALUE!</v>
      </c>
      <c r="DY110" t="e">
        <f>AND('Data Control'!H138,"AAAAAFe7dYA=")</f>
        <v>#VALUE!</v>
      </c>
      <c r="DZ110" t="e">
        <f>AND('Data Control'!I138,"AAAAAFe7dYE=")</f>
        <v>#VALUE!</v>
      </c>
      <c r="EA110" t="e">
        <f>AND('Data Control'!J138,"AAAAAFe7dYI=")</f>
        <v>#VALUE!</v>
      </c>
      <c r="EB110" t="e">
        <f>AND('Data Control'!K138,"AAAAAFe7dYM=")</f>
        <v>#VALUE!</v>
      </c>
      <c r="EC110" t="e">
        <f>AND('Data Control'!L138,"AAAAAFe7dYQ=")</f>
        <v>#VALUE!</v>
      </c>
      <c r="ED110">
        <f>IF('Data Control'!139:139,"AAAAAFe7dYU=",0)</f>
        <v>0</v>
      </c>
      <c r="EE110" t="e">
        <f>AND('Data Control'!A139,"AAAAAFe7dYY=")</f>
        <v>#VALUE!</v>
      </c>
      <c r="EF110" t="e">
        <f>AND('Data Control'!B139,"AAAAAFe7dYc=")</f>
        <v>#VALUE!</v>
      </c>
      <c r="EG110" t="e">
        <f>AND('Data Control'!C139,"AAAAAFe7dYg=")</f>
        <v>#VALUE!</v>
      </c>
      <c r="EH110" t="e">
        <f>AND('Data Control'!D139,"AAAAAFe7dYk=")</f>
        <v>#VALUE!</v>
      </c>
      <c r="EI110" t="e">
        <f>AND('Data Control'!E139,"AAAAAFe7dYo=")</f>
        <v>#VALUE!</v>
      </c>
      <c r="EJ110" t="e">
        <f>AND('Data Control'!F139,"AAAAAFe7dYs=")</f>
        <v>#VALUE!</v>
      </c>
      <c r="EK110" t="e">
        <f>AND('Data Control'!G139,"AAAAAFe7dYw=")</f>
        <v>#VALUE!</v>
      </c>
      <c r="EL110" t="e">
        <f>AND('Data Control'!H139,"AAAAAFe7dY0=")</f>
        <v>#VALUE!</v>
      </c>
      <c r="EM110" t="e">
        <f>AND('Data Control'!I139,"AAAAAFe7dY4=")</f>
        <v>#VALUE!</v>
      </c>
      <c r="EN110" t="e">
        <f>AND('Data Control'!J139,"AAAAAFe7dY8=")</f>
        <v>#VALUE!</v>
      </c>
      <c r="EO110" t="e">
        <f>AND('Data Control'!K139,"AAAAAFe7dZA=")</f>
        <v>#VALUE!</v>
      </c>
      <c r="EP110" t="e">
        <f>AND('Data Control'!L139,"AAAAAFe7dZE=")</f>
        <v>#VALUE!</v>
      </c>
      <c r="EQ110" t="e">
        <f>AND('Data Control'!M139,"AAAAAFe7dZI=")</f>
        <v>#VALUE!</v>
      </c>
      <c r="ER110" t="e">
        <f>IF('Data Control'!#REF!,"AAAAAFe7dZM=",0)</f>
        <v>#REF!</v>
      </c>
      <c r="ES110" t="e">
        <f>AND('Data Control'!#REF!,"AAAAAFe7dZQ=")</f>
        <v>#REF!</v>
      </c>
      <c r="ET110" t="e">
        <f>AND('Data Control'!#REF!,"AAAAAFe7dZU=")</f>
        <v>#REF!</v>
      </c>
      <c r="EU110" t="e">
        <f>AND('Data Control'!#REF!,"AAAAAFe7dZY=")</f>
        <v>#REF!</v>
      </c>
      <c r="EV110" t="e">
        <f>AND('Data Control'!#REF!,"AAAAAFe7dZc=")</f>
        <v>#REF!</v>
      </c>
      <c r="EW110" t="e">
        <f>AND('Data Control'!#REF!,"AAAAAFe7dZg=")</f>
        <v>#REF!</v>
      </c>
      <c r="EX110" t="e">
        <f>AND('Data Control'!#REF!,"AAAAAFe7dZk=")</f>
        <v>#REF!</v>
      </c>
      <c r="EY110" t="e">
        <f>AND('Data Control'!#REF!,"AAAAAFe7dZo=")</f>
        <v>#REF!</v>
      </c>
      <c r="EZ110" t="e">
        <f>AND('Data Control'!#REF!,"AAAAAFe7dZs=")</f>
        <v>#REF!</v>
      </c>
      <c r="FA110" t="e">
        <f>AND('Data Control'!#REF!,"AAAAAFe7dZw=")</f>
        <v>#REF!</v>
      </c>
      <c r="FB110" t="e">
        <f>AND('Data Control'!#REF!,"AAAAAFe7dZ0=")</f>
        <v>#REF!</v>
      </c>
      <c r="FC110" t="e">
        <f>AND('Data Control'!#REF!,"AAAAAFe7dZ4=")</f>
        <v>#REF!</v>
      </c>
      <c r="FD110" t="e">
        <f>AND('Data Control'!#REF!,"AAAAAFe7dZ8=")</f>
        <v>#REF!</v>
      </c>
      <c r="FE110" t="e">
        <f>AND('Data Control'!#REF!,"AAAAAFe7daA=")</f>
        <v>#REF!</v>
      </c>
      <c r="FF110" t="e">
        <f>IF('Data Control'!#REF!,"AAAAAFe7daE=",0)</f>
        <v>#REF!</v>
      </c>
      <c r="FG110" t="e">
        <f>AND('Data Control'!#REF!,"AAAAAFe7daI=")</f>
        <v>#REF!</v>
      </c>
      <c r="FH110" t="e">
        <f>AND('Data Control'!#REF!,"AAAAAFe7daM=")</f>
        <v>#REF!</v>
      </c>
      <c r="FI110" t="e">
        <f>AND('Data Control'!#REF!,"AAAAAFe7daQ=")</f>
        <v>#REF!</v>
      </c>
      <c r="FJ110" t="e">
        <f>AND('Data Control'!#REF!,"AAAAAFe7daU=")</f>
        <v>#REF!</v>
      </c>
      <c r="FK110" t="e">
        <f>AND('Data Control'!#REF!,"AAAAAFe7daY=")</f>
        <v>#REF!</v>
      </c>
      <c r="FL110" t="e">
        <f>AND('Data Control'!#REF!,"AAAAAFe7dac=")</f>
        <v>#REF!</v>
      </c>
      <c r="FM110" t="e">
        <f>AND('Data Control'!#REF!,"AAAAAFe7dag=")</f>
        <v>#REF!</v>
      </c>
      <c r="FN110" t="e">
        <f>AND('Data Control'!#REF!,"AAAAAFe7dak=")</f>
        <v>#REF!</v>
      </c>
      <c r="FO110" t="e">
        <f>AND('Data Control'!#REF!,"AAAAAFe7dao=")</f>
        <v>#REF!</v>
      </c>
      <c r="FP110" t="e">
        <f>AND('Data Control'!#REF!,"AAAAAFe7das=")</f>
        <v>#REF!</v>
      </c>
      <c r="FQ110" t="e">
        <f>AND('Data Control'!#REF!,"AAAAAFe7daw=")</f>
        <v>#REF!</v>
      </c>
      <c r="FR110" t="e">
        <f>AND('Data Control'!#REF!,"AAAAAFe7da0=")</f>
        <v>#REF!</v>
      </c>
      <c r="FS110" t="e">
        <f>AND('Data Control'!#REF!,"AAAAAFe7da4=")</f>
        <v>#REF!</v>
      </c>
      <c r="FT110" t="e">
        <f>IF('Data Control'!#REF!,"AAAAAFe7da8=",0)</f>
        <v>#REF!</v>
      </c>
      <c r="FU110" t="e">
        <f>AND('Data Control'!#REF!,"AAAAAFe7dbA=")</f>
        <v>#REF!</v>
      </c>
      <c r="FV110" t="e">
        <f>AND('Data Control'!#REF!,"AAAAAFe7dbE=")</f>
        <v>#REF!</v>
      </c>
      <c r="FW110" t="e">
        <f>AND('Data Control'!#REF!,"AAAAAFe7dbI=")</f>
        <v>#REF!</v>
      </c>
      <c r="FX110" t="e">
        <f>AND('Data Control'!#REF!,"AAAAAFe7dbM=")</f>
        <v>#REF!</v>
      </c>
      <c r="FY110" t="e">
        <f>AND('Data Control'!#REF!,"AAAAAFe7dbQ=")</f>
        <v>#REF!</v>
      </c>
      <c r="FZ110" t="e">
        <f>AND('Data Control'!#REF!,"AAAAAFe7dbU=")</f>
        <v>#REF!</v>
      </c>
      <c r="GA110" t="e">
        <f>AND('Data Control'!#REF!,"AAAAAFe7dbY=")</f>
        <v>#REF!</v>
      </c>
      <c r="GB110" t="e">
        <f>AND('Data Control'!#REF!,"AAAAAFe7dbc=")</f>
        <v>#REF!</v>
      </c>
      <c r="GC110" t="e">
        <f>AND('Data Control'!#REF!,"AAAAAFe7dbg=")</f>
        <v>#REF!</v>
      </c>
      <c r="GD110" t="e">
        <f>AND('Data Control'!#REF!,"AAAAAFe7dbk=")</f>
        <v>#REF!</v>
      </c>
      <c r="GE110" t="e">
        <f>AND('Data Control'!#REF!,"AAAAAFe7dbo=")</f>
        <v>#REF!</v>
      </c>
      <c r="GF110" t="e">
        <f>AND('Data Control'!#REF!,"AAAAAFe7dbs=")</f>
        <v>#REF!</v>
      </c>
      <c r="GG110" t="e">
        <f>AND('Data Control'!#REF!,"AAAAAFe7dbw=")</f>
        <v>#REF!</v>
      </c>
      <c r="GH110" t="e">
        <f>IF('Data Control'!#REF!,"AAAAAFe7db0=",0)</f>
        <v>#REF!</v>
      </c>
      <c r="GI110" t="e">
        <f>AND('Data Control'!#REF!,"AAAAAFe7db4=")</f>
        <v>#REF!</v>
      </c>
      <c r="GJ110" t="e">
        <f>AND('Data Control'!#REF!,"AAAAAFe7db8=")</f>
        <v>#REF!</v>
      </c>
      <c r="GK110" t="e">
        <f>AND('Data Control'!#REF!,"AAAAAFe7dcA=")</f>
        <v>#REF!</v>
      </c>
      <c r="GL110" t="e">
        <f>AND('Data Control'!#REF!,"AAAAAFe7dcE=")</f>
        <v>#REF!</v>
      </c>
      <c r="GM110" t="e">
        <f>AND('Data Control'!#REF!,"AAAAAFe7dcI=")</f>
        <v>#REF!</v>
      </c>
      <c r="GN110" t="e">
        <f>AND('Data Control'!#REF!,"AAAAAFe7dcM=")</f>
        <v>#REF!</v>
      </c>
      <c r="GO110" t="e">
        <f>AND('Data Control'!#REF!,"AAAAAFe7dcQ=")</f>
        <v>#REF!</v>
      </c>
      <c r="GP110" t="e">
        <f>AND('Data Control'!#REF!,"AAAAAFe7dcU=")</f>
        <v>#REF!</v>
      </c>
      <c r="GQ110" t="e">
        <f>AND('Data Control'!#REF!,"AAAAAFe7dcY=")</f>
        <v>#REF!</v>
      </c>
      <c r="GR110" t="e">
        <f>AND('Data Control'!#REF!,"AAAAAFe7dcc=")</f>
        <v>#REF!</v>
      </c>
      <c r="GS110" t="e">
        <f>AND('Data Control'!#REF!,"AAAAAFe7dcg=")</f>
        <v>#REF!</v>
      </c>
      <c r="GT110" t="e">
        <f>AND('Data Control'!#REF!,"AAAAAFe7dck=")</f>
        <v>#REF!</v>
      </c>
      <c r="GU110" t="e">
        <f>AND('Data Control'!#REF!,"AAAAAFe7dco=")</f>
        <v>#REF!</v>
      </c>
      <c r="GV110">
        <f>IF('Data Control'!140:140,"AAAAAFe7dcs=",0)</f>
        <v>0</v>
      </c>
      <c r="GW110" t="e">
        <f>AND('Data Control'!A140,"AAAAAFe7dcw=")</f>
        <v>#VALUE!</v>
      </c>
      <c r="GX110" t="e">
        <f>AND('Data Control'!B140,"AAAAAFe7dc0=")</f>
        <v>#VALUE!</v>
      </c>
      <c r="GY110" t="e">
        <f>AND('Data Control'!C140,"AAAAAFe7dc4=")</f>
        <v>#VALUE!</v>
      </c>
      <c r="GZ110" t="e">
        <f>AND('Data Control'!D140,"AAAAAFe7dc8=")</f>
        <v>#VALUE!</v>
      </c>
      <c r="HA110" t="e">
        <f>AND('Data Control'!E140,"AAAAAFe7ddA=")</f>
        <v>#VALUE!</v>
      </c>
      <c r="HB110" t="e">
        <f>AND('Data Control'!F140,"AAAAAFe7ddE=")</f>
        <v>#VALUE!</v>
      </c>
      <c r="HC110" t="e">
        <f>AND('Data Control'!G140,"AAAAAFe7ddI=")</f>
        <v>#VALUE!</v>
      </c>
      <c r="HD110" t="e">
        <f>AND('Data Control'!H140,"AAAAAFe7ddM=")</f>
        <v>#VALUE!</v>
      </c>
      <c r="HE110" t="e">
        <f>AND('Data Control'!I140,"AAAAAFe7ddQ=")</f>
        <v>#VALUE!</v>
      </c>
      <c r="HF110" t="e">
        <f>AND('Data Control'!J140,"AAAAAFe7ddU=")</f>
        <v>#VALUE!</v>
      </c>
      <c r="HG110" t="e">
        <f>AND('Data Control'!K140,"AAAAAFe7ddY=")</f>
        <v>#VALUE!</v>
      </c>
      <c r="HH110" t="e">
        <f>AND('Data Control'!L140,"AAAAAFe7ddc=")</f>
        <v>#VALUE!</v>
      </c>
      <c r="HI110" t="e">
        <f>AND('Data Control'!M140,"AAAAAFe7ddg=")</f>
        <v>#VALUE!</v>
      </c>
      <c r="HJ110" t="e">
        <f>IF('Data Control'!#REF!,"AAAAAFe7ddk=",0)</f>
        <v>#REF!</v>
      </c>
      <c r="HK110" t="e">
        <f>AND('Data Control'!#REF!,"AAAAAFe7ddo=")</f>
        <v>#REF!</v>
      </c>
      <c r="HL110" t="e">
        <f>AND('Data Control'!#REF!,"AAAAAFe7dds=")</f>
        <v>#REF!</v>
      </c>
      <c r="HM110" t="e">
        <f>AND('Data Control'!#REF!,"AAAAAFe7ddw=")</f>
        <v>#REF!</v>
      </c>
      <c r="HN110" t="e">
        <f>AND('Data Control'!#REF!,"AAAAAFe7dd0=")</f>
        <v>#REF!</v>
      </c>
      <c r="HO110" t="e">
        <f>AND('Data Control'!#REF!,"AAAAAFe7dd4=")</f>
        <v>#REF!</v>
      </c>
      <c r="HP110" t="e">
        <f>AND('Data Control'!#REF!,"AAAAAFe7dd8=")</f>
        <v>#REF!</v>
      </c>
      <c r="HQ110" t="e">
        <f>AND('Data Control'!#REF!,"AAAAAFe7deA=")</f>
        <v>#REF!</v>
      </c>
      <c r="HR110" t="e">
        <f>AND('Data Control'!#REF!,"AAAAAFe7deE=")</f>
        <v>#REF!</v>
      </c>
      <c r="HS110" t="e">
        <f>AND('Data Control'!#REF!,"AAAAAFe7deI=")</f>
        <v>#REF!</v>
      </c>
      <c r="HT110" t="e">
        <f>AND('Data Control'!#REF!,"AAAAAFe7deM=")</f>
        <v>#REF!</v>
      </c>
      <c r="HU110" t="e">
        <f>AND('Data Control'!#REF!,"AAAAAFe7deQ=")</f>
        <v>#REF!</v>
      </c>
      <c r="HV110" t="e">
        <f>AND('Data Control'!#REF!,"AAAAAFe7deU=")</f>
        <v>#REF!</v>
      </c>
      <c r="HW110" t="e">
        <f>AND('Data Control'!#REF!,"AAAAAFe7deY=")</f>
        <v>#REF!</v>
      </c>
      <c r="HX110" t="e">
        <f>IF('Data Control'!#REF!,"AAAAAFe7dec=",0)</f>
        <v>#REF!</v>
      </c>
      <c r="HY110" t="e">
        <f>AND('Data Control'!#REF!,"AAAAAFe7deg=")</f>
        <v>#REF!</v>
      </c>
      <c r="HZ110" t="e">
        <f>AND('Data Control'!#REF!,"AAAAAFe7dek=")</f>
        <v>#REF!</v>
      </c>
      <c r="IA110" t="e">
        <f>AND('Data Control'!#REF!,"AAAAAFe7deo=")</f>
        <v>#REF!</v>
      </c>
      <c r="IB110" t="e">
        <f>AND('Data Control'!#REF!,"AAAAAFe7des=")</f>
        <v>#REF!</v>
      </c>
      <c r="IC110" t="e">
        <f>AND('Data Control'!#REF!,"AAAAAFe7dew=")</f>
        <v>#REF!</v>
      </c>
      <c r="ID110" t="e">
        <f>AND('Data Control'!#REF!,"AAAAAFe7de0=")</f>
        <v>#REF!</v>
      </c>
      <c r="IE110" t="e">
        <f>AND('Data Control'!#REF!,"AAAAAFe7de4=")</f>
        <v>#REF!</v>
      </c>
      <c r="IF110" t="e">
        <f>AND('Data Control'!#REF!,"AAAAAFe7de8=")</f>
        <v>#REF!</v>
      </c>
      <c r="IG110" t="e">
        <f>AND('Data Control'!#REF!,"AAAAAFe7dfA=")</f>
        <v>#REF!</v>
      </c>
      <c r="IH110" t="e">
        <f>AND('Data Control'!#REF!,"AAAAAFe7dfE=")</f>
        <v>#REF!</v>
      </c>
      <c r="II110" t="e">
        <f>AND('Data Control'!#REF!,"AAAAAFe7dfI=")</f>
        <v>#REF!</v>
      </c>
      <c r="IJ110" t="e">
        <f>AND('Data Control'!#REF!,"AAAAAFe7dfM=")</f>
        <v>#REF!</v>
      </c>
      <c r="IK110" t="e">
        <f>AND('Data Control'!#REF!,"AAAAAFe7dfQ=")</f>
        <v>#REF!</v>
      </c>
      <c r="IL110" t="e">
        <f>IF('Data Control'!#REF!,"AAAAAFe7dfU=",0)</f>
        <v>#REF!</v>
      </c>
      <c r="IM110" t="e">
        <f>AND('Data Control'!#REF!,"AAAAAFe7dfY=")</f>
        <v>#REF!</v>
      </c>
      <c r="IN110" t="e">
        <f>AND('Data Control'!#REF!,"AAAAAFe7dfc=")</f>
        <v>#REF!</v>
      </c>
      <c r="IO110" t="e">
        <f>AND('Data Control'!#REF!,"AAAAAFe7dfg=")</f>
        <v>#REF!</v>
      </c>
      <c r="IP110" t="e">
        <f>AND('Data Control'!#REF!,"AAAAAFe7dfk=")</f>
        <v>#REF!</v>
      </c>
      <c r="IQ110" t="e">
        <f>AND('Data Control'!#REF!,"AAAAAFe7dfo=")</f>
        <v>#REF!</v>
      </c>
      <c r="IR110" t="e">
        <f>AND('Data Control'!#REF!,"AAAAAFe7dfs=")</f>
        <v>#REF!</v>
      </c>
      <c r="IS110" t="e">
        <f>AND('Data Control'!#REF!,"AAAAAFe7dfw=")</f>
        <v>#REF!</v>
      </c>
      <c r="IT110" t="e">
        <f>AND('Data Control'!#REF!,"AAAAAFe7df0=")</f>
        <v>#REF!</v>
      </c>
      <c r="IU110" t="e">
        <f>AND('Data Control'!#REF!,"AAAAAFe7df4=")</f>
        <v>#REF!</v>
      </c>
      <c r="IV110" t="e">
        <f>AND('Data Control'!#REF!,"AAAAAFe7df8=")</f>
        <v>#REF!</v>
      </c>
    </row>
    <row r="111" spans="1:256" x14ac:dyDescent="0.2">
      <c r="A111" t="e">
        <f>AND('Data Control'!#REF!,"AAAAAD+39AA=")</f>
        <v>#REF!</v>
      </c>
      <c r="B111" t="e">
        <f>AND('Data Control'!#REF!,"AAAAAD+39AE=")</f>
        <v>#REF!</v>
      </c>
      <c r="C111" t="e">
        <f>AND('Data Control'!#REF!,"AAAAAD+39AI=")</f>
        <v>#REF!</v>
      </c>
      <c r="D111" t="e">
        <f>IF('Data Control'!#REF!,"AAAAAD+39AM=",0)</f>
        <v>#REF!</v>
      </c>
      <c r="E111" t="e">
        <f>AND('Data Control'!#REF!,"AAAAAD+39AQ=")</f>
        <v>#REF!</v>
      </c>
      <c r="F111" t="e">
        <f>AND('Data Control'!#REF!,"AAAAAD+39AU=")</f>
        <v>#REF!</v>
      </c>
      <c r="G111" t="e">
        <f>AND('Data Control'!#REF!,"AAAAAD+39AY=")</f>
        <v>#REF!</v>
      </c>
      <c r="H111" t="e">
        <f>AND('Data Control'!#REF!,"AAAAAD+39Ac=")</f>
        <v>#REF!</v>
      </c>
      <c r="I111" t="e">
        <f>AND('Data Control'!#REF!,"AAAAAD+39Ag=")</f>
        <v>#REF!</v>
      </c>
      <c r="J111" t="e">
        <f>AND('Data Control'!#REF!,"AAAAAD+39Ak=")</f>
        <v>#REF!</v>
      </c>
      <c r="K111" t="e">
        <f>AND('Data Control'!#REF!,"AAAAAD+39Ao=")</f>
        <v>#REF!</v>
      </c>
      <c r="L111" t="e">
        <f>AND('Data Control'!#REF!,"AAAAAD+39As=")</f>
        <v>#REF!</v>
      </c>
      <c r="M111" t="e">
        <f>AND('Data Control'!#REF!,"AAAAAD+39Aw=")</f>
        <v>#REF!</v>
      </c>
      <c r="N111" t="e">
        <f>AND('Data Control'!#REF!,"AAAAAD+39A0=")</f>
        <v>#REF!</v>
      </c>
      <c r="O111" t="e">
        <f>AND('Data Control'!#REF!,"AAAAAD+39A4=")</f>
        <v>#REF!</v>
      </c>
      <c r="P111" t="e">
        <f>AND('Data Control'!#REF!,"AAAAAD+39A8=")</f>
        <v>#REF!</v>
      </c>
      <c r="Q111" t="e">
        <f>AND('Data Control'!#REF!,"AAAAAD+39BA=")</f>
        <v>#REF!</v>
      </c>
      <c r="R111" t="e">
        <f>IF('Data Control'!#REF!,"AAAAAD+39BE=",0)</f>
        <v>#REF!</v>
      </c>
      <c r="S111" t="e">
        <f>AND('Data Control'!#REF!,"AAAAAD+39BI=")</f>
        <v>#REF!</v>
      </c>
      <c r="T111" t="e">
        <f>AND('Data Control'!#REF!,"AAAAAD+39BM=")</f>
        <v>#REF!</v>
      </c>
      <c r="U111" t="e">
        <f>AND('Data Control'!#REF!,"AAAAAD+39BQ=")</f>
        <v>#REF!</v>
      </c>
      <c r="V111" t="e">
        <f>AND('Data Control'!#REF!,"AAAAAD+39BU=")</f>
        <v>#REF!</v>
      </c>
      <c r="W111" t="e">
        <f>AND('Data Control'!#REF!,"AAAAAD+39BY=")</f>
        <v>#REF!</v>
      </c>
      <c r="X111" t="e">
        <f>AND('Data Control'!#REF!,"AAAAAD+39Bc=")</f>
        <v>#REF!</v>
      </c>
      <c r="Y111" t="e">
        <f>AND('Data Control'!#REF!,"AAAAAD+39Bg=")</f>
        <v>#REF!</v>
      </c>
      <c r="Z111" t="e">
        <f>AND('Data Control'!#REF!,"AAAAAD+39Bk=")</f>
        <v>#REF!</v>
      </c>
      <c r="AA111" t="e">
        <f>AND('Data Control'!#REF!,"AAAAAD+39Bo=")</f>
        <v>#REF!</v>
      </c>
      <c r="AB111" t="e">
        <f>AND('Data Control'!#REF!,"AAAAAD+39Bs=")</f>
        <v>#REF!</v>
      </c>
      <c r="AC111" t="e">
        <f>AND('Data Control'!#REF!,"AAAAAD+39Bw=")</f>
        <v>#REF!</v>
      </c>
      <c r="AD111" t="e">
        <f>AND('Data Control'!#REF!,"AAAAAD+39B0=")</f>
        <v>#REF!</v>
      </c>
      <c r="AE111" t="e">
        <f>AND('Data Control'!#REF!,"AAAAAD+39B4=")</f>
        <v>#REF!</v>
      </c>
      <c r="AF111" t="e">
        <f>IF('Data Control'!#REF!,"AAAAAD+39B8=",0)</f>
        <v>#REF!</v>
      </c>
      <c r="AG111" t="e">
        <f>AND('Data Control'!#REF!,"AAAAAD+39CA=")</f>
        <v>#REF!</v>
      </c>
      <c r="AH111" t="e">
        <f>AND('Data Control'!#REF!,"AAAAAD+39CE=")</f>
        <v>#REF!</v>
      </c>
      <c r="AI111" t="e">
        <f>AND('Data Control'!#REF!,"AAAAAD+39CI=")</f>
        <v>#REF!</v>
      </c>
      <c r="AJ111" t="e">
        <f>AND('Data Control'!#REF!,"AAAAAD+39CM=")</f>
        <v>#REF!</v>
      </c>
      <c r="AK111" t="e">
        <f>AND('Data Control'!#REF!,"AAAAAD+39CQ=")</f>
        <v>#REF!</v>
      </c>
      <c r="AL111" t="e">
        <f>AND('Data Control'!#REF!,"AAAAAD+39CU=")</f>
        <v>#REF!</v>
      </c>
      <c r="AM111" t="e">
        <f>AND('Data Control'!#REF!,"AAAAAD+39CY=")</f>
        <v>#REF!</v>
      </c>
      <c r="AN111" t="e">
        <f>AND('Data Control'!#REF!,"AAAAAD+39Cc=")</f>
        <v>#REF!</v>
      </c>
      <c r="AO111" t="e">
        <f>AND('Data Control'!#REF!,"AAAAAD+39Cg=")</f>
        <v>#REF!</v>
      </c>
      <c r="AP111" t="e">
        <f>AND('Data Control'!#REF!,"AAAAAD+39Ck=")</f>
        <v>#REF!</v>
      </c>
      <c r="AQ111" t="e">
        <f>AND('Data Control'!#REF!,"AAAAAD+39Co=")</f>
        <v>#REF!</v>
      </c>
      <c r="AR111" t="e">
        <f>AND('Data Control'!#REF!,"AAAAAD+39Cs=")</f>
        <v>#REF!</v>
      </c>
      <c r="AS111" t="e">
        <f>AND('Data Control'!#REF!,"AAAAAD+39Cw=")</f>
        <v>#REF!</v>
      </c>
      <c r="AT111" t="e">
        <f>IF('Data Control'!#REF!,"AAAAAD+39C0=",0)</f>
        <v>#REF!</v>
      </c>
      <c r="AU111" t="e">
        <f>AND('Data Control'!#REF!,"AAAAAD+39C4=")</f>
        <v>#REF!</v>
      </c>
      <c r="AV111" t="e">
        <f>AND('Data Control'!#REF!,"AAAAAD+39C8=")</f>
        <v>#REF!</v>
      </c>
      <c r="AW111" t="e">
        <f>AND('Data Control'!#REF!,"AAAAAD+39DA=")</f>
        <v>#REF!</v>
      </c>
      <c r="AX111" t="e">
        <f>AND('Data Control'!#REF!,"AAAAAD+39DE=")</f>
        <v>#REF!</v>
      </c>
      <c r="AY111" t="e">
        <f>AND('Data Control'!#REF!,"AAAAAD+39DI=")</f>
        <v>#REF!</v>
      </c>
      <c r="AZ111" t="e">
        <f>AND('Data Control'!#REF!,"AAAAAD+39DM=")</f>
        <v>#REF!</v>
      </c>
      <c r="BA111" t="e">
        <f>AND('Data Control'!#REF!,"AAAAAD+39DQ=")</f>
        <v>#REF!</v>
      </c>
      <c r="BB111" t="e">
        <f>AND('Data Control'!#REF!,"AAAAAD+39DU=")</f>
        <v>#REF!</v>
      </c>
      <c r="BC111" t="e">
        <f>AND('Data Control'!#REF!,"AAAAAD+39DY=")</f>
        <v>#REF!</v>
      </c>
      <c r="BD111" t="e">
        <f>AND('Data Control'!#REF!,"AAAAAD+39Dc=")</f>
        <v>#REF!</v>
      </c>
      <c r="BE111" t="e">
        <f>AND('Data Control'!#REF!,"AAAAAD+39Dg=")</f>
        <v>#REF!</v>
      </c>
      <c r="BF111" t="e">
        <f>AND('Data Control'!#REF!,"AAAAAD+39Dk=")</f>
        <v>#REF!</v>
      </c>
      <c r="BG111" t="e">
        <f>AND('Data Control'!#REF!,"AAAAAD+39Do=")</f>
        <v>#REF!</v>
      </c>
      <c r="BH111" t="e">
        <f>IF('Data Control'!#REF!,"AAAAAD+39Ds=",0)</f>
        <v>#REF!</v>
      </c>
      <c r="BI111" t="e">
        <f>AND('Data Control'!#REF!,"AAAAAD+39Dw=")</f>
        <v>#REF!</v>
      </c>
      <c r="BJ111" t="e">
        <f>AND('Data Control'!#REF!,"AAAAAD+39D0=")</f>
        <v>#REF!</v>
      </c>
      <c r="BK111" t="e">
        <f>AND('Data Control'!#REF!,"AAAAAD+39D4=")</f>
        <v>#REF!</v>
      </c>
      <c r="BL111" t="e">
        <f>AND('Data Control'!#REF!,"AAAAAD+39D8=")</f>
        <v>#REF!</v>
      </c>
      <c r="BM111" t="e">
        <f>AND('Data Control'!#REF!,"AAAAAD+39EA=")</f>
        <v>#REF!</v>
      </c>
      <c r="BN111" t="e">
        <f>AND('Data Control'!#REF!,"AAAAAD+39EE=")</f>
        <v>#REF!</v>
      </c>
      <c r="BO111" t="e">
        <f>AND('Data Control'!#REF!,"AAAAAD+39EI=")</f>
        <v>#REF!</v>
      </c>
      <c r="BP111" t="e">
        <f>AND('Data Control'!#REF!,"AAAAAD+39EM=")</f>
        <v>#REF!</v>
      </c>
      <c r="BQ111" t="e">
        <f>AND('Data Control'!#REF!,"AAAAAD+39EQ=")</f>
        <v>#REF!</v>
      </c>
      <c r="BR111" t="e">
        <f>AND('Data Control'!#REF!,"AAAAAD+39EU=")</f>
        <v>#REF!</v>
      </c>
      <c r="BS111" t="e">
        <f>AND('Data Control'!#REF!,"AAAAAD+39EY=")</f>
        <v>#REF!</v>
      </c>
      <c r="BT111" t="e">
        <f>AND('Data Control'!#REF!,"AAAAAD+39Ec=")</f>
        <v>#REF!</v>
      </c>
      <c r="BU111" t="e">
        <f>AND('Data Control'!#REF!,"AAAAAD+39Eg=")</f>
        <v>#REF!</v>
      </c>
      <c r="BV111" t="e">
        <f>IF('Data Control'!#REF!,"AAAAAD+39Ek=",0)</f>
        <v>#REF!</v>
      </c>
      <c r="BW111" t="e">
        <f>AND('Data Control'!#REF!,"AAAAAD+39Eo=")</f>
        <v>#REF!</v>
      </c>
      <c r="BX111" t="e">
        <f>AND('Data Control'!#REF!,"AAAAAD+39Es=")</f>
        <v>#REF!</v>
      </c>
      <c r="BY111" t="e">
        <f>AND('Data Control'!#REF!,"AAAAAD+39Ew=")</f>
        <v>#REF!</v>
      </c>
      <c r="BZ111" t="e">
        <f>AND('Data Control'!#REF!,"AAAAAD+39E0=")</f>
        <v>#REF!</v>
      </c>
      <c r="CA111" t="e">
        <f>AND('Data Control'!#REF!,"AAAAAD+39E4=")</f>
        <v>#REF!</v>
      </c>
      <c r="CB111" t="e">
        <f>AND('Data Control'!#REF!,"AAAAAD+39E8=")</f>
        <v>#REF!</v>
      </c>
      <c r="CC111" t="e">
        <f>AND('Data Control'!#REF!,"AAAAAD+39FA=")</f>
        <v>#REF!</v>
      </c>
      <c r="CD111" t="e">
        <f>AND('Data Control'!#REF!,"AAAAAD+39FE=")</f>
        <v>#REF!</v>
      </c>
      <c r="CE111" t="e">
        <f>AND('Data Control'!#REF!,"AAAAAD+39FI=")</f>
        <v>#REF!</v>
      </c>
      <c r="CF111" t="e">
        <f>AND('Data Control'!#REF!,"AAAAAD+39FM=")</f>
        <v>#REF!</v>
      </c>
      <c r="CG111" t="e">
        <f>AND('Data Control'!#REF!,"AAAAAD+39FQ=")</f>
        <v>#REF!</v>
      </c>
      <c r="CH111" t="e">
        <f>AND('Data Control'!#REF!,"AAAAAD+39FU=")</f>
        <v>#REF!</v>
      </c>
      <c r="CI111" t="e">
        <f>AND('Data Control'!#REF!,"AAAAAD+39FY=")</f>
        <v>#REF!</v>
      </c>
      <c r="CJ111" t="e">
        <f>IF('Data Control'!#REF!,"AAAAAD+39Fc=",0)</f>
        <v>#REF!</v>
      </c>
      <c r="CK111" t="e">
        <f>AND('Data Control'!#REF!,"AAAAAD+39Fg=")</f>
        <v>#REF!</v>
      </c>
      <c r="CL111" t="e">
        <f>AND('Data Control'!#REF!,"AAAAAD+39Fk=")</f>
        <v>#REF!</v>
      </c>
      <c r="CM111" t="e">
        <f>AND('Data Control'!#REF!,"AAAAAD+39Fo=")</f>
        <v>#REF!</v>
      </c>
      <c r="CN111" t="e">
        <f>AND('Data Control'!#REF!,"AAAAAD+39Fs=")</f>
        <v>#REF!</v>
      </c>
      <c r="CO111" t="e">
        <f>AND('Data Control'!#REF!,"AAAAAD+39Fw=")</f>
        <v>#REF!</v>
      </c>
      <c r="CP111" t="e">
        <f>AND('Data Control'!#REF!,"AAAAAD+39F0=")</f>
        <v>#REF!</v>
      </c>
      <c r="CQ111" t="e">
        <f>AND('Data Control'!#REF!,"AAAAAD+39F4=")</f>
        <v>#REF!</v>
      </c>
      <c r="CR111" t="e">
        <f>AND('Data Control'!#REF!,"AAAAAD+39F8=")</f>
        <v>#REF!</v>
      </c>
      <c r="CS111" t="e">
        <f>AND('Data Control'!#REF!,"AAAAAD+39GA=")</f>
        <v>#REF!</v>
      </c>
      <c r="CT111" t="e">
        <f>AND('Data Control'!#REF!,"AAAAAD+39GE=")</f>
        <v>#REF!</v>
      </c>
      <c r="CU111" t="e">
        <f>AND('Data Control'!#REF!,"AAAAAD+39GI=")</f>
        <v>#REF!</v>
      </c>
      <c r="CV111" t="e">
        <f>AND('Data Control'!#REF!,"AAAAAD+39GM=")</f>
        <v>#REF!</v>
      </c>
      <c r="CW111" t="e">
        <f>AND('Data Control'!#REF!,"AAAAAD+39GQ=")</f>
        <v>#REF!</v>
      </c>
      <c r="CX111" t="e">
        <f>IF('Data Control'!#REF!,"AAAAAD+39GU=",0)</f>
        <v>#REF!</v>
      </c>
      <c r="CY111" t="e">
        <f>AND('Data Control'!#REF!,"AAAAAD+39GY=")</f>
        <v>#REF!</v>
      </c>
      <c r="CZ111" t="e">
        <f>AND('Data Control'!#REF!,"AAAAAD+39Gc=")</f>
        <v>#REF!</v>
      </c>
      <c r="DA111" t="e">
        <f>AND('Data Control'!#REF!,"AAAAAD+39Gg=")</f>
        <v>#REF!</v>
      </c>
      <c r="DB111" t="e">
        <f>AND('Data Control'!#REF!,"AAAAAD+39Gk=")</f>
        <v>#REF!</v>
      </c>
      <c r="DC111" t="e">
        <f>AND('Data Control'!#REF!,"AAAAAD+39Go=")</f>
        <v>#REF!</v>
      </c>
      <c r="DD111" t="e">
        <f>AND('Data Control'!#REF!,"AAAAAD+39Gs=")</f>
        <v>#REF!</v>
      </c>
      <c r="DE111" t="e">
        <f>AND('Data Control'!#REF!,"AAAAAD+39Gw=")</f>
        <v>#REF!</v>
      </c>
      <c r="DF111" t="e">
        <f>AND('Data Control'!#REF!,"AAAAAD+39G0=")</f>
        <v>#REF!</v>
      </c>
      <c r="DG111" t="e">
        <f>AND('Data Control'!#REF!,"AAAAAD+39G4=")</f>
        <v>#REF!</v>
      </c>
      <c r="DH111" t="e">
        <f>AND('Data Control'!#REF!,"AAAAAD+39G8=")</f>
        <v>#REF!</v>
      </c>
      <c r="DI111" t="e">
        <f>AND('Data Control'!#REF!,"AAAAAD+39HA=")</f>
        <v>#REF!</v>
      </c>
      <c r="DJ111" t="e">
        <f>AND('Data Control'!#REF!,"AAAAAD+39HE=")</f>
        <v>#REF!</v>
      </c>
      <c r="DK111" t="e">
        <f>AND('Data Control'!#REF!,"AAAAAD+39HI=")</f>
        <v>#REF!</v>
      </c>
      <c r="DL111" t="e">
        <f>IF('Data Control'!#REF!,"AAAAAD+39HM=",0)</f>
        <v>#REF!</v>
      </c>
      <c r="DM111" t="e">
        <f>AND('Data Control'!#REF!,"AAAAAD+39HQ=")</f>
        <v>#REF!</v>
      </c>
      <c r="DN111" t="e">
        <f>AND('Data Control'!#REF!,"AAAAAD+39HU=")</f>
        <v>#REF!</v>
      </c>
      <c r="DO111" t="e">
        <f>AND('Data Control'!#REF!,"AAAAAD+39HY=")</f>
        <v>#REF!</v>
      </c>
      <c r="DP111" t="e">
        <f>AND('Data Control'!#REF!,"AAAAAD+39Hc=")</f>
        <v>#REF!</v>
      </c>
      <c r="DQ111" t="e">
        <f>AND('Data Control'!#REF!,"AAAAAD+39Hg=")</f>
        <v>#REF!</v>
      </c>
      <c r="DR111" t="e">
        <f>AND('Data Control'!#REF!,"AAAAAD+39Hk=")</f>
        <v>#REF!</v>
      </c>
      <c r="DS111" t="e">
        <f>AND('Data Control'!#REF!,"AAAAAD+39Ho=")</f>
        <v>#REF!</v>
      </c>
      <c r="DT111" t="e">
        <f>AND('Data Control'!#REF!,"AAAAAD+39Hs=")</f>
        <v>#REF!</v>
      </c>
      <c r="DU111" t="e">
        <f>AND('Data Control'!#REF!,"AAAAAD+39Hw=")</f>
        <v>#REF!</v>
      </c>
      <c r="DV111" t="e">
        <f>AND('Data Control'!#REF!,"AAAAAD+39H0=")</f>
        <v>#REF!</v>
      </c>
      <c r="DW111" t="e">
        <f>AND('Data Control'!#REF!,"AAAAAD+39H4=")</f>
        <v>#REF!</v>
      </c>
      <c r="DX111" t="e">
        <f>AND('Data Control'!#REF!,"AAAAAD+39H8=")</f>
        <v>#REF!</v>
      </c>
      <c r="DY111" t="e">
        <f>AND('Data Control'!#REF!,"AAAAAD+39IA=")</f>
        <v>#REF!</v>
      </c>
      <c r="DZ111" t="e">
        <f>IF('Data Control'!#REF!,"AAAAAD+39IE=",0)</f>
        <v>#REF!</v>
      </c>
      <c r="EA111" t="e">
        <f>AND('Data Control'!#REF!,"AAAAAD+39II=")</f>
        <v>#REF!</v>
      </c>
      <c r="EB111" t="e">
        <f>AND('Data Control'!#REF!,"AAAAAD+39IM=")</f>
        <v>#REF!</v>
      </c>
      <c r="EC111" t="e">
        <f>AND('Data Control'!#REF!,"AAAAAD+39IQ=")</f>
        <v>#REF!</v>
      </c>
      <c r="ED111" t="e">
        <f>AND('Data Control'!#REF!,"AAAAAD+39IU=")</f>
        <v>#REF!</v>
      </c>
      <c r="EE111" t="e">
        <f>AND('Data Control'!#REF!,"AAAAAD+39IY=")</f>
        <v>#REF!</v>
      </c>
      <c r="EF111" t="e">
        <f>AND('Data Control'!#REF!,"AAAAAD+39Ic=")</f>
        <v>#REF!</v>
      </c>
      <c r="EG111" t="e">
        <f>AND('Data Control'!#REF!,"AAAAAD+39Ig=")</f>
        <v>#REF!</v>
      </c>
      <c r="EH111" t="e">
        <f>AND('Data Control'!#REF!,"AAAAAD+39Ik=")</f>
        <v>#REF!</v>
      </c>
      <c r="EI111" t="e">
        <f>AND('Data Control'!#REF!,"AAAAAD+39Io=")</f>
        <v>#REF!</v>
      </c>
      <c r="EJ111" t="e">
        <f>AND('Data Control'!#REF!,"AAAAAD+39Is=")</f>
        <v>#REF!</v>
      </c>
      <c r="EK111" t="e">
        <f>AND('Data Control'!#REF!,"AAAAAD+39Iw=")</f>
        <v>#REF!</v>
      </c>
      <c r="EL111" t="e">
        <f>AND('Data Control'!#REF!,"AAAAAD+39I0=")</f>
        <v>#REF!</v>
      </c>
      <c r="EM111" t="e">
        <f>AND('Data Control'!#REF!,"AAAAAD+39I4=")</f>
        <v>#REF!</v>
      </c>
      <c r="EN111" t="e">
        <f>IF('Data Control'!#REF!,"AAAAAD+39I8=",0)</f>
        <v>#REF!</v>
      </c>
      <c r="EO111" t="e">
        <f>AND('Data Control'!#REF!,"AAAAAD+39JA=")</f>
        <v>#REF!</v>
      </c>
      <c r="EP111" t="e">
        <f>AND('Data Control'!#REF!,"AAAAAD+39JE=")</f>
        <v>#REF!</v>
      </c>
      <c r="EQ111" t="e">
        <f>AND('Data Control'!#REF!,"AAAAAD+39JI=")</f>
        <v>#REF!</v>
      </c>
      <c r="ER111" t="e">
        <f>AND('Data Control'!#REF!,"AAAAAD+39JM=")</f>
        <v>#REF!</v>
      </c>
      <c r="ES111" t="e">
        <f>AND('Data Control'!#REF!,"AAAAAD+39JQ=")</f>
        <v>#REF!</v>
      </c>
      <c r="ET111" t="e">
        <f>AND('Data Control'!#REF!,"AAAAAD+39JU=")</f>
        <v>#REF!</v>
      </c>
      <c r="EU111" t="e">
        <f>AND('Data Control'!#REF!,"AAAAAD+39JY=")</f>
        <v>#REF!</v>
      </c>
      <c r="EV111" t="e">
        <f>AND('Data Control'!#REF!,"AAAAAD+39Jc=")</f>
        <v>#REF!</v>
      </c>
      <c r="EW111" t="e">
        <f>AND('Data Control'!#REF!,"AAAAAD+39Jg=")</f>
        <v>#REF!</v>
      </c>
      <c r="EX111" t="e">
        <f>AND('Data Control'!#REF!,"AAAAAD+39Jk=")</f>
        <v>#REF!</v>
      </c>
      <c r="EY111" t="e">
        <f>AND('Data Control'!#REF!,"AAAAAD+39Jo=")</f>
        <v>#REF!</v>
      </c>
      <c r="EZ111" t="e">
        <f>AND('Data Control'!#REF!,"AAAAAD+39Js=")</f>
        <v>#REF!</v>
      </c>
      <c r="FA111" t="e">
        <f>AND('Data Control'!#REF!,"AAAAAD+39Jw=")</f>
        <v>#REF!</v>
      </c>
      <c r="FB111" t="e">
        <f>IF('Data Control'!#REF!,"AAAAAD+39J0=",0)</f>
        <v>#REF!</v>
      </c>
      <c r="FC111" t="e">
        <f>AND('Data Control'!#REF!,"AAAAAD+39J4=")</f>
        <v>#REF!</v>
      </c>
      <c r="FD111" t="e">
        <f>AND('Data Control'!#REF!,"AAAAAD+39J8=")</f>
        <v>#REF!</v>
      </c>
      <c r="FE111" t="e">
        <f>AND('Data Control'!#REF!,"AAAAAD+39KA=")</f>
        <v>#REF!</v>
      </c>
      <c r="FF111" t="e">
        <f>AND('Data Control'!#REF!,"AAAAAD+39KE=")</f>
        <v>#REF!</v>
      </c>
      <c r="FG111" t="e">
        <f>AND('Data Control'!#REF!,"AAAAAD+39KI=")</f>
        <v>#REF!</v>
      </c>
      <c r="FH111" t="e">
        <f>AND('Data Control'!#REF!,"AAAAAD+39KM=")</f>
        <v>#REF!</v>
      </c>
      <c r="FI111" t="e">
        <f>AND('Data Control'!#REF!,"AAAAAD+39KQ=")</f>
        <v>#REF!</v>
      </c>
      <c r="FJ111" t="e">
        <f>AND('Data Control'!#REF!,"AAAAAD+39KU=")</f>
        <v>#REF!</v>
      </c>
      <c r="FK111" t="e">
        <f>AND('Data Control'!#REF!,"AAAAAD+39KY=")</f>
        <v>#REF!</v>
      </c>
      <c r="FL111" t="e">
        <f>AND('Data Control'!#REF!,"AAAAAD+39Kc=")</f>
        <v>#REF!</v>
      </c>
      <c r="FM111" t="e">
        <f>AND('Data Control'!#REF!,"AAAAAD+39Kg=")</f>
        <v>#REF!</v>
      </c>
      <c r="FN111" t="e">
        <f>AND('Data Control'!#REF!,"AAAAAD+39Kk=")</f>
        <v>#REF!</v>
      </c>
      <c r="FO111" t="e">
        <f>AND('Data Control'!#REF!,"AAAAAD+39Ko=")</f>
        <v>#REF!</v>
      </c>
      <c r="FP111" t="e">
        <f>IF('Data Control'!#REF!,"AAAAAD+39Ks=",0)</f>
        <v>#REF!</v>
      </c>
      <c r="FQ111" t="e">
        <f>AND('Data Control'!#REF!,"AAAAAD+39Kw=")</f>
        <v>#REF!</v>
      </c>
      <c r="FR111" t="e">
        <f>AND('Data Control'!#REF!,"AAAAAD+39K0=")</f>
        <v>#REF!</v>
      </c>
      <c r="FS111" t="e">
        <f>AND('Data Control'!#REF!,"AAAAAD+39K4=")</f>
        <v>#REF!</v>
      </c>
      <c r="FT111" t="e">
        <f>AND('Data Control'!#REF!,"AAAAAD+39K8=")</f>
        <v>#REF!</v>
      </c>
      <c r="FU111" t="e">
        <f>AND('Data Control'!#REF!,"AAAAAD+39LA=")</f>
        <v>#REF!</v>
      </c>
      <c r="FV111" t="e">
        <f>AND('Data Control'!#REF!,"AAAAAD+39LE=")</f>
        <v>#REF!</v>
      </c>
      <c r="FW111" t="e">
        <f>AND('Data Control'!#REF!,"AAAAAD+39LI=")</f>
        <v>#REF!</v>
      </c>
      <c r="FX111" t="e">
        <f>AND('Data Control'!#REF!,"AAAAAD+39LM=")</f>
        <v>#REF!</v>
      </c>
      <c r="FY111" t="e">
        <f>AND('Data Control'!#REF!,"AAAAAD+39LQ=")</f>
        <v>#REF!</v>
      </c>
      <c r="FZ111" t="e">
        <f>AND('Data Control'!#REF!,"AAAAAD+39LU=")</f>
        <v>#REF!</v>
      </c>
      <c r="GA111" t="e">
        <f>AND('Data Control'!#REF!,"AAAAAD+39LY=")</f>
        <v>#REF!</v>
      </c>
      <c r="GB111" t="e">
        <f>AND('Data Control'!#REF!,"AAAAAD+39Lc=")</f>
        <v>#REF!</v>
      </c>
      <c r="GC111" t="e">
        <f>AND('Data Control'!#REF!,"AAAAAD+39Lg=")</f>
        <v>#REF!</v>
      </c>
      <c r="GD111" t="e">
        <f>IF('Data Control'!#REF!,"AAAAAD+39Lk=",0)</f>
        <v>#REF!</v>
      </c>
      <c r="GE111" t="e">
        <f>AND('Data Control'!#REF!,"AAAAAD+39Lo=")</f>
        <v>#REF!</v>
      </c>
      <c r="GF111" t="e">
        <f>AND('Data Control'!#REF!,"AAAAAD+39Ls=")</f>
        <v>#REF!</v>
      </c>
      <c r="GG111" t="e">
        <f>AND('Data Control'!#REF!,"AAAAAD+39Lw=")</f>
        <v>#REF!</v>
      </c>
      <c r="GH111" t="e">
        <f>AND('Data Control'!#REF!,"AAAAAD+39L0=")</f>
        <v>#REF!</v>
      </c>
      <c r="GI111" t="e">
        <f>AND('Data Control'!#REF!,"AAAAAD+39L4=")</f>
        <v>#REF!</v>
      </c>
      <c r="GJ111" t="e">
        <f>AND('Data Control'!#REF!,"AAAAAD+39L8=")</f>
        <v>#REF!</v>
      </c>
      <c r="GK111" t="e">
        <f>AND('Data Control'!#REF!,"AAAAAD+39MA=")</f>
        <v>#REF!</v>
      </c>
      <c r="GL111" t="e">
        <f>AND('Data Control'!#REF!,"AAAAAD+39ME=")</f>
        <v>#REF!</v>
      </c>
      <c r="GM111" t="e">
        <f>AND('Data Control'!#REF!,"AAAAAD+39MI=")</f>
        <v>#REF!</v>
      </c>
      <c r="GN111" t="e">
        <f>AND('Data Control'!#REF!,"AAAAAD+39MM=")</f>
        <v>#REF!</v>
      </c>
      <c r="GO111" t="e">
        <f>AND('Data Control'!#REF!,"AAAAAD+39MQ=")</f>
        <v>#REF!</v>
      </c>
      <c r="GP111" t="e">
        <f>AND('Data Control'!#REF!,"AAAAAD+39MU=")</f>
        <v>#REF!</v>
      </c>
      <c r="GQ111" t="e">
        <f>AND('Data Control'!#REF!,"AAAAAD+39MY=")</f>
        <v>#REF!</v>
      </c>
      <c r="GR111" t="e">
        <f>IF('Data Control'!#REF!,"AAAAAD+39Mc=",0)</f>
        <v>#REF!</v>
      </c>
      <c r="GS111" t="e">
        <f>AND('Data Control'!#REF!,"AAAAAD+39Mg=")</f>
        <v>#REF!</v>
      </c>
      <c r="GT111" t="e">
        <f>AND('Data Control'!#REF!,"AAAAAD+39Mk=")</f>
        <v>#REF!</v>
      </c>
      <c r="GU111" t="e">
        <f>AND('Data Control'!#REF!,"AAAAAD+39Mo=")</f>
        <v>#REF!</v>
      </c>
      <c r="GV111" t="e">
        <f>AND('Data Control'!#REF!,"AAAAAD+39Ms=")</f>
        <v>#REF!</v>
      </c>
      <c r="GW111" t="e">
        <f>AND('Data Control'!#REF!,"AAAAAD+39Mw=")</f>
        <v>#REF!</v>
      </c>
      <c r="GX111" t="e">
        <f>AND('Data Control'!#REF!,"AAAAAD+39M0=")</f>
        <v>#REF!</v>
      </c>
      <c r="GY111" t="e">
        <f>AND('Data Control'!#REF!,"AAAAAD+39M4=")</f>
        <v>#REF!</v>
      </c>
      <c r="GZ111" t="e">
        <f>AND('Data Control'!#REF!,"AAAAAD+39M8=")</f>
        <v>#REF!</v>
      </c>
      <c r="HA111" t="e">
        <f>AND('Data Control'!#REF!,"AAAAAD+39NA=")</f>
        <v>#REF!</v>
      </c>
      <c r="HB111" t="e">
        <f>AND('Data Control'!#REF!,"AAAAAD+39NE=")</f>
        <v>#REF!</v>
      </c>
      <c r="HC111" t="e">
        <f>AND('Data Control'!#REF!,"AAAAAD+39NI=")</f>
        <v>#REF!</v>
      </c>
      <c r="HD111" t="e">
        <f>AND('Data Control'!#REF!,"AAAAAD+39NM=")</f>
        <v>#REF!</v>
      </c>
      <c r="HE111" t="e">
        <f>AND('Data Control'!#REF!,"AAAAAD+39NQ=")</f>
        <v>#REF!</v>
      </c>
      <c r="HF111" t="e">
        <f>IF('Data Control'!#REF!,"AAAAAD+39NU=",0)</f>
        <v>#REF!</v>
      </c>
      <c r="HG111" t="e">
        <f>AND('Data Control'!#REF!,"AAAAAD+39NY=")</f>
        <v>#REF!</v>
      </c>
      <c r="HH111" t="e">
        <f>AND('Data Control'!#REF!,"AAAAAD+39Nc=")</f>
        <v>#REF!</v>
      </c>
      <c r="HI111" t="e">
        <f>AND('Data Control'!#REF!,"AAAAAD+39Ng=")</f>
        <v>#REF!</v>
      </c>
      <c r="HJ111" t="e">
        <f>AND('Data Control'!#REF!,"AAAAAD+39Nk=")</f>
        <v>#REF!</v>
      </c>
      <c r="HK111" t="e">
        <f>AND('Data Control'!#REF!,"AAAAAD+39No=")</f>
        <v>#REF!</v>
      </c>
      <c r="HL111" t="e">
        <f>AND('Data Control'!#REF!,"AAAAAD+39Ns=")</f>
        <v>#REF!</v>
      </c>
      <c r="HM111" t="e">
        <f>AND('Data Control'!#REF!,"AAAAAD+39Nw=")</f>
        <v>#REF!</v>
      </c>
      <c r="HN111" t="e">
        <f>AND('Data Control'!#REF!,"AAAAAD+39N0=")</f>
        <v>#REF!</v>
      </c>
      <c r="HO111" t="e">
        <f>AND('Data Control'!#REF!,"AAAAAD+39N4=")</f>
        <v>#REF!</v>
      </c>
      <c r="HP111" t="e">
        <f>AND('Data Control'!#REF!,"AAAAAD+39N8=")</f>
        <v>#REF!</v>
      </c>
      <c r="HQ111" t="e">
        <f>AND('Data Control'!#REF!,"AAAAAD+39OA=")</f>
        <v>#REF!</v>
      </c>
      <c r="HR111" t="e">
        <f>AND('Data Control'!#REF!,"AAAAAD+39OE=")</f>
        <v>#REF!</v>
      </c>
      <c r="HS111" t="e">
        <f>AND('Data Control'!#REF!,"AAAAAD+39OI=")</f>
        <v>#REF!</v>
      </c>
      <c r="HT111" t="e">
        <f>IF('Data Control'!#REF!,"AAAAAD+39OM=",0)</f>
        <v>#REF!</v>
      </c>
      <c r="HU111" t="e">
        <f>AND('Data Control'!#REF!,"AAAAAD+39OQ=")</f>
        <v>#REF!</v>
      </c>
      <c r="HV111" t="e">
        <f>AND('Data Control'!#REF!,"AAAAAD+39OU=")</f>
        <v>#REF!</v>
      </c>
      <c r="HW111" t="e">
        <f>AND('Data Control'!#REF!,"AAAAAD+39OY=")</f>
        <v>#REF!</v>
      </c>
      <c r="HX111" t="e">
        <f>AND('Data Control'!#REF!,"AAAAAD+39Oc=")</f>
        <v>#REF!</v>
      </c>
      <c r="HY111" t="e">
        <f>AND('Data Control'!#REF!,"AAAAAD+39Og=")</f>
        <v>#REF!</v>
      </c>
      <c r="HZ111" t="e">
        <f>AND('Data Control'!#REF!,"AAAAAD+39Ok=")</f>
        <v>#REF!</v>
      </c>
      <c r="IA111" t="e">
        <f>AND('Data Control'!#REF!,"AAAAAD+39Oo=")</f>
        <v>#REF!</v>
      </c>
      <c r="IB111" t="e">
        <f>AND('Data Control'!#REF!,"AAAAAD+39Os=")</f>
        <v>#REF!</v>
      </c>
      <c r="IC111" t="e">
        <f>AND('Data Control'!#REF!,"AAAAAD+39Ow=")</f>
        <v>#REF!</v>
      </c>
      <c r="ID111" t="e">
        <f>AND('Data Control'!#REF!,"AAAAAD+39O0=")</f>
        <v>#REF!</v>
      </c>
      <c r="IE111" t="e">
        <f>AND('Data Control'!#REF!,"AAAAAD+39O4=")</f>
        <v>#REF!</v>
      </c>
      <c r="IF111" t="e">
        <f>AND('Data Control'!#REF!,"AAAAAD+39O8=")</f>
        <v>#REF!</v>
      </c>
      <c r="IG111" t="e">
        <f>AND('Data Control'!#REF!,"AAAAAD+39PA=")</f>
        <v>#REF!</v>
      </c>
      <c r="IH111" t="e">
        <f>IF('Data Control'!#REF!,"AAAAAD+39PE=",0)</f>
        <v>#REF!</v>
      </c>
      <c r="II111" t="e">
        <f>AND('Data Control'!#REF!,"AAAAAD+39PI=")</f>
        <v>#REF!</v>
      </c>
      <c r="IJ111" t="e">
        <f>AND('Data Control'!#REF!,"AAAAAD+39PM=")</f>
        <v>#REF!</v>
      </c>
      <c r="IK111" t="e">
        <f>AND('Data Control'!#REF!,"AAAAAD+39PQ=")</f>
        <v>#REF!</v>
      </c>
      <c r="IL111" t="e">
        <f>AND('Data Control'!#REF!,"AAAAAD+39PU=")</f>
        <v>#REF!</v>
      </c>
      <c r="IM111" t="e">
        <f>AND('Data Control'!#REF!,"AAAAAD+39PY=")</f>
        <v>#REF!</v>
      </c>
      <c r="IN111" t="e">
        <f>AND('Data Control'!#REF!,"AAAAAD+39Pc=")</f>
        <v>#REF!</v>
      </c>
      <c r="IO111" t="e">
        <f>AND('Data Control'!#REF!,"AAAAAD+39Pg=")</f>
        <v>#REF!</v>
      </c>
      <c r="IP111" t="e">
        <f>AND('Data Control'!#REF!,"AAAAAD+39Pk=")</f>
        <v>#REF!</v>
      </c>
      <c r="IQ111" t="e">
        <f>AND('Data Control'!#REF!,"AAAAAD+39Po=")</f>
        <v>#REF!</v>
      </c>
      <c r="IR111" t="e">
        <f>AND('Data Control'!#REF!,"AAAAAD+39Ps=")</f>
        <v>#REF!</v>
      </c>
      <c r="IS111" t="e">
        <f>AND('Data Control'!#REF!,"AAAAAD+39Pw=")</f>
        <v>#REF!</v>
      </c>
      <c r="IT111" t="e">
        <f>AND('Data Control'!#REF!,"AAAAAD+39P0=")</f>
        <v>#REF!</v>
      </c>
      <c r="IU111" t="e">
        <f>AND('Data Control'!#REF!,"AAAAAD+39P4=")</f>
        <v>#REF!</v>
      </c>
      <c r="IV111" t="e">
        <f>IF('Data Control'!#REF!,"AAAAAD+39P8=",0)</f>
        <v>#REF!</v>
      </c>
    </row>
    <row r="112" spans="1:256" x14ac:dyDescent="0.2">
      <c r="A112" t="e">
        <f>AND('Data Control'!#REF!,"AAAAAH/c5wA=")</f>
        <v>#REF!</v>
      </c>
      <c r="B112" t="e">
        <f>AND('Data Control'!#REF!,"AAAAAH/c5wE=")</f>
        <v>#REF!</v>
      </c>
      <c r="C112" t="e">
        <f>AND('Data Control'!#REF!,"AAAAAH/c5wI=")</f>
        <v>#REF!</v>
      </c>
      <c r="D112" t="e">
        <f>AND('Data Control'!#REF!,"AAAAAH/c5wM=")</f>
        <v>#REF!</v>
      </c>
      <c r="E112" t="e">
        <f>AND('Data Control'!#REF!,"AAAAAH/c5wQ=")</f>
        <v>#REF!</v>
      </c>
      <c r="F112" t="e">
        <f>AND('Data Control'!#REF!,"AAAAAH/c5wU=")</f>
        <v>#REF!</v>
      </c>
      <c r="G112" t="e">
        <f>AND('Data Control'!#REF!,"AAAAAH/c5wY=")</f>
        <v>#REF!</v>
      </c>
      <c r="H112" t="e">
        <f>AND('Data Control'!#REF!,"AAAAAH/c5wc=")</f>
        <v>#REF!</v>
      </c>
      <c r="I112" t="e">
        <f>AND('Data Control'!#REF!,"AAAAAH/c5wg=")</f>
        <v>#REF!</v>
      </c>
      <c r="J112" t="e">
        <f>AND('Data Control'!#REF!,"AAAAAH/c5wk=")</f>
        <v>#REF!</v>
      </c>
      <c r="K112" t="e">
        <f>AND('Data Control'!#REF!,"AAAAAH/c5wo=")</f>
        <v>#REF!</v>
      </c>
      <c r="L112" t="e">
        <f>AND('Data Control'!#REF!,"AAAAAH/c5ws=")</f>
        <v>#REF!</v>
      </c>
      <c r="M112" t="e">
        <f>AND('Data Control'!#REF!,"AAAAAH/c5ww=")</f>
        <v>#REF!</v>
      </c>
      <c r="N112" t="e">
        <f>IF('Data Control'!#REF!,"AAAAAH/c5w0=",0)</f>
        <v>#REF!</v>
      </c>
      <c r="O112" t="e">
        <f>AND('Data Control'!#REF!,"AAAAAH/c5w4=")</f>
        <v>#REF!</v>
      </c>
      <c r="P112" t="e">
        <f>AND('Data Control'!#REF!,"AAAAAH/c5w8=")</f>
        <v>#REF!</v>
      </c>
      <c r="Q112" t="e">
        <f>AND('Data Control'!#REF!,"AAAAAH/c5xA=")</f>
        <v>#REF!</v>
      </c>
      <c r="R112" t="e">
        <f>AND('Data Control'!#REF!,"AAAAAH/c5xE=")</f>
        <v>#REF!</v>
      </c>
      <c r="S112" t="e">
        <f>AND('Data Control'!#REF!,"AAAAAH/c5xI=")</f>
        <v>#REF!</v>
      </c>
      <c r="T112" t="e">
        <f>AND('Data Control'!#REF!,"AAAAAH/c5xM=")</f>
        <v>#REF!</v>
      </c>
      <c r="U112" t="e">
        <f>AND('Data Control'!#REF!,"AAAAAH/c5xQ=")</f>
        <v>#REF!</v>
      </c>
      <c r="V112" t="e">
        <f>AND('Data Control'!#REF!,"AAAAAH/c5xU=")</f>
        <v>#REF!</v>
      </c>
      <c r="W112" t="e">
        <f>AND('Data Control'!#REF!,"AAAAAH/c5xY=")</f>
        <v>#REF!</v>
      </c>
      <c r="X112" t="e">
        <f>AND('Data Control'!#REF!,"AAAAAH/c5xc=")</f>
        <v>#REF!</v>
      </c>
      <c r="Y112" t="e">
        <f>AND('Data Control'!#REF!,"AAAAAH/c5xg=")</f>
        <v>#REF!</v>
      </c>
      <c r="Z112" t="e">
        <f>AND('Data Control'!#REF!,"AAAAAH/c5xk=")</f>
        <v>#REF!</v>
      </c>
      <c r="AA112" t="e">
        <f>AND('Data Control'!#REF!,"AAAAAH/c5xo=")</f>
        <v>#REF!</v>
      </c>
      <c r="AB112" t="e">
        <f>IF('Data Control'!#REF!,"AAAAAH/c5xs=",0)</f>
        <v>#REF!</v>
      </c>
      <c r="AC112" t="e">
        <f>AND('Data Control'!#REF!,"AAAAAH/c5xw=")</f>
        <v>#REF!</v>
      </c>
      <c r="AD112" t="e">
        <f>AND('Data Control'!#REF!,"AAAAAH/c5x0=")</f>
        <v>#REF!</v>
      </c>
      <c r="AE112" t="e">
        <f>AND('Data Control'!#REF!,"AAAAAH/c5x4=")</f>
        <v>#REF!</v>
      </c>
      <c r="AF112" t="e">
        <f>AND('Data Control'!#REF!,"AAAAAH/c5x8=")</f>
        <v>#REF!</v>
      </c>
      <c r="AG112" t="e">
        <f>AND('Data Control'!#REF!,"AAAAAH/c5yA=")</f>
        <v>#REF!</v>
      </c>
      <c r="AH112" t="e">
        <f>AND('Data Control'!#REF!,"AAAAAH/c5yE=")</f>
        <v>#REF!</v>
      </c>
      <c r="AI112" t="e">
        <f>AND('Data Control'!#REF!,"AAAAAH/c5yI=")</f>
        <v>#REF!</v>
      </c>
      <c r="AJ112" t="e">
        <f>AND('Data Control'!#REF!,"AAAAAH/c5yM=")</f>
        <v>#REF!</v>
      </c>
      <c r="AK112" t="e">
        <f>AND('Data Control'!#REF!,"AAAAAH/c5yQ=")</f>
        <v>#REF!</v>
      </c>
      <c r="AL112" t="e">
        <f>AND('Data Control'!#REF!,"AAAAAH/c5yU=")</f>
        <v>#REF!</v>
      </c>
      <c r="AM112" t="e">
        <f>AND('Data Control'!#REF!,"AAAAAH/c5yY=")</f>
        <v>#REF!</v>
      </c>
      <c r="AN112" t="e">
        <f>AND('Data Control'!#REF!,"AAAAAH/c5yc=")</f>
        <v>#REF!</v>
      </c>
      <c r="AO112" t="e">
        <f>AND('Data Control'!#REF!,"AAAAAH/c5yg=")</f>
        <v>#REF!</v>
      </c>
      <c r="AP112" t="e">
        <f>IF('Data Control'!#REF!,"AAAAAH/c5yk=",0)</f>
        <v>#REF!</v>
      </c>
      <c r="AQ112" t="e">
        <f>AND('Data Control'!#REF!,"AAAAAH/c5yo=")</f>
        <v>#REF!</v>
      </c>
      <c r="AR112" t="e">
        <f>AND('Data Control'!#REF!,"AAAAAH/c5ys=")</f>
        <v>#REF!</v>
      </c>
      <c r="AS112" t="e">
        <f>AND('Data Control'!#REF!,"AAAAAH/c5yw=")</f>
        <v>#REF!</v>
      </c>
      <c r="AT112" t="e">
        <f>AND('Data Control'!#REF!,"AAAAAH/c5y0=")</f>
        <v>#REF!</v>
      </c>
      <c r="AU112" t="e">
        <f>AND('Data Control'!#REF!,"AAAAAH/c5y4=")</f>
        <v>#REF!</v>
      </c>
      <c r="AV112" t="e">
        <f>AND('Data Control'!#REF!,"AAAAAH/c5y8=")</f>
        <v>#REF!</v>
      </c>
      <c r="AW112" t="e">
        <f>AND('Data Control'!#REF!,"AAAAAH/c5zA=")</f>
        <v>#REF!</v>
      </c>
      <c r="AX112" t="e">
        <f>AND('Data Control'!#REF!,"AAAAAH/c5zE=")</f>
        <v>#REF!</v>
      </c>
      <c r="AY112" t="e">
        <f>AND('Data Control'!#REF!,"AAAAAH/c5zI=")</f>
        <v>#REF!</v>
      </c>
      <c r="AZ112" t="e">
        <f>AND('Data Control'!#REF!,"AAAAAH/c5zM=")</f>
        <v>#REF!</v>
      </c>
      <c r="BA112" t="e">
        <f>AND('Data Control'!#REF!,"AAAAAH/c5zQ=")</f>
        <v>#REF!</v>
      </c>
      <c r="BB112" t="e">
        <f>AND('Data Control'!#REF!,"AAAAAH/c5zU=")</f>
        <v>#REF!</v>
      </c>
      <c r="BC112" t="e">
        <f>AND('Data Control'!#REF!,"AAAAAH/c5zY=")</f>
        <v>#REF!</v>
      </c>
      <c r="BD112" t="e">
        <f>IF('Data Control'!#REF!,"AAAAAH/c5zc=",0)</f>
        <v>#REF!</v>
      </c>
      <c r="BE112" t="e">
        <f>AND('Data Control'!#REF!,"AAAAAH/c5zg=")</f>
        <v>#REF!</v>
      </c>
      <c r="BF112" t="e">
        <f>AND('Data Control'!#REF!,"AAAAAH/c5zk=")</f>
        <v>#REF!</v>
      </c>
      <c r="BG112" t="e">
        <f>AND('Data Control'!#REF!,"AAAAAH/c5zo=")</f>
        <v>#REF!</v>
      </c>
      <c r="BH112" t="e">
        <f>AND('Data Control'!#REF!,"AAAAAH/c5zs=")</f>
        <v>#REF!</v>
      </c>
      <c r="BI112" t="e">
        <f>AND('Data Control'!#REF!,"AAAAAH/c5zw=")</f>
        <v>#REF!</v>
      </c>
      <c r="BJ112" t="e">
        <f>AND('Data Control'!#REF!,"AAAAAH/c5z0=")</f>
        <v>#REF!</v>
      </c>
      <c r="BK112" t="e">
        <f>AND('Data Control'!#REF!,"AAAAAH/c5z4=")</f>
        <v>#REF!</v>
      </c>
      <c r="BL112" t="e">
        <f>AND('Data Control'!#REF!,"AAAAAH/c5z8=")</f>
        <v>#REF!</v>
      </c>
      <c r="BM112" t="e">
        <f>AND('Data Control'!#REF!,"AAAAAH/c50A=")</f>
        <v>#REF!</v>
      </c>
      <c r="BN112" t="e">
        <f>AND('Data Control'!#REF!,"AAAAAH/c50E=")</f>
        <v>#REF!</v>
      </c>
      <c r="BO112" t="e">
        <f>AND('Data Control'!#REF!,"AAAAAH/c50I=")</f>
        <v>#REF!</v>
      </c>
      <c r="BP112" t="e">
        <f>AND('Data Control'!#REF!,"AAAAAH/c50M=")</f>
        <v>#REF!</v>
      </c>
      <c r="BQ112" t="e">
        <f>AND('Data Control'!#REF!,"AAAAAH/c50Q=")</f>
        <v>#REF!</v>
      </c>
      <c r="BR112" t="e">
        <f>IF('Data Control'!#REF!,"AAAAAH/c50U=",0)</f>
        <v>#REF!</v>
      </c>
      <c r="BS112" t="e">
        <f>AND('Data Control'!#REF!,"AAAAAH/c50Y=")</f>
        <v>#REF!</v>
      </c>
      <c r="BT112" t="e">
        <f>AND('Data Control'!#REF!,"AAAAAH/c50c=")</f>
        <v>#REF!</v>
      </c>
      <c r="BU112" t="e">
        <f>AND('Data Control'!#REF!,"AAAAAH/c50g=")</f>
        <v>#REF!</v>
      </c>
      <c r="BV112" t="e">
        <f>AND('Data Control'!#REF!,"AAAAAH/c50k=")</f>
        <v>#REF!</v>
      </c>
      <c r="BW112" t="e">
        <f>AND('Data Control'!#REF!,"AAAAAH/c50o=")</f>
        <v>#REF!</v>
      </c>
      <c r="BX112" t="e">
        <f>AND('Data Control'!#REF!,"AAAAAH/c50s=")</f>
        <v>#REF!</v>
      </c>
      <c r="BY112" t="e">
        <f>AND('Data Control'!#REF!,"AAAAAH/c50w=")</f>
        <v>#REF!</v>
      </c>
      <c r="BZ112" t="e">
        <f>AND('Data Control'!#REF!,"AAAAAH/c500=")</f>
        <v>#REF!</v>
      </c>
      <c r="CA112" t="e">
        <f>AND('Data Control'!#REF!,"AAAAAH/c504=")</f>
        <v>#REF!</v>
      </c>
      <c r="CB112" t="e">
        <f>AND('Data Control'!#REF!,"AAAAAH/c508=")</f>
        <v>#REF!</v>
      </c>
      <c r="CC112" t="e">
        <f>AND('Data Control'!#REF!,"AAAAAH/c51A=")</f>
        <v>#REF!</v>
      </c>
      <c r="CD112" t="e">
        <f>AND('Data Control'!#REF!,"AAAAAH/c51E=")</f>
        <v>#REF!</v>
      </c>
      <c r="CE112" t="e">
        <f>AND('Data Control'!#REF!,"AAAAAH/c51I=")</f>
        <v>#REF!</v>
      </c>
      <c r="CF112" t="e">
        <f>IF('Data Control'!#REF!,"AAAAAH/c51M=",0)</f>
        <v>#REF!</v>
      </c>
      <c r="CG112" t="e">
        <f>AND('Data Control'!#REF!,"AAAAAH/c51Q=")</f>
        <v>#REF!</v>
      </c>
      <c r="CH112" t="e">
        <f>AND('Data Control'!#REF!,"AAAAAH/c51U=")</f>
        <v>#REF!</v>
      </c>
      <c r="CI112" t="e">
        <f>AND('Data Control'!#REF!,"AAAAAH/c51Y=")</f>
        <v>#REF!</v>
      </c>
      <c r="CJ112" t="e">
        <f>AND('Data Control'!#REF!,"AAAAAH/c51c=")</f>
        <v>#REF!</v>
      </c>
      <c r="CK112" t="e">
        <f>AND('Data Control'!#REF!,"AAAAAH/c51g=")</f>
        <v>#REF!</v>
      </c>
      <c r="CL112" t="e">
        <f>AND('Data Control'!#REF!,"AAAAAH/c51k=")</f>
        <v>#REF!</v>
      </c>
      <c r="CM112" t="e">
        <f>AND('Data Control'!#REF!,"AAAAAH/c51o=")</f>
        <v>#REF!</v>
      </c>
      <c r="CN112" t="e">
        <f>AND('Data Control'!#REF!,"AAAAAH/c51s=")</f>
        <v>#REF!</v>
      </c>
      <c r="CO112" t="e">
        <f>AND('Data Control'!#REF!,"AAAAAH/c51w=")</f>
        <v>#REF!</v>
      </c>
      <c r="CP112" t="e">
        <f>AND('Data Control'!#REF!,"AAAAAH/c510=")</f>
        <v>#REF!</v>
      </c>
      <c r="CQ112" t="e">
        <f>AND('Data Control'!#REF!,"AAAAAH/c514=")</f>
        <v>#REF!</v>
      </c>
      <c r="CR112" t="e">
        <f>AND('Data Control'!#REF!,"AAAAAH/c518=")</f>
        <v>#REF!</v>
      </c>
      <c r="CS112" t="e">
        <f>AND('Data Control'!#REF!,"AAAAAH/c52A=")</f>
        <v>#REF!</v>
      </c>
      <c r="CT112" t="e">
        <f>IF('Data Control'!#REF!,"AAAAAH/c52E=",0)</f>
        <v>#REF!</v>
      </c>
      <c r="CU112" t="e">
        <f>AND('Data Control'!#REF!,"AAAAAH/c52I=")</f>
        <v>#REF!</v>
      </c>
      <c r="CV112" t="e">
        <f>AND('Data Control'!#REF!,"AAAAAH/c52M=")</f>
        <v>#REF!</v>
      </c>
      <c r="CW112" t="e">
        <f>AND('Data Control'!#REF!,"AAAAAH/c52Q=")</f>
        <v>#REF!</v>
      </c>
      <c r="CX112" t="e">
        <f>AND('Data Control'!#REF!,"AAAAAH/c52U=")</f>
        <v>#REF!</v>
      </c>
      <c r="CY112" t="e">
        <f>AND('Data Control'!#REF!,"AAAAAH/c52Y=")</f>
        <v>#REF!</v>
      </c>
      <c r="CZ112" t="e">
        <f>AND('Data Control'!#REF!,"AAAAAH/c52c=")</f>
        <v>#REF!</v>
      </c>
      <c r="DA112" t="e">
        <f>AND('Data Control'!#REF!,"AAAAAH/c52g=")</f>
        <v>#REF!</v>
      </c>
      <c r="DB112" t="e">
        <f>AND('Data Control'!#REF!,"AAAAAH/c52k=")</f>
        <v>#REF!</v>
      </c>
      <c r="DC112" t="e">
        <f>AND('Data Control'!#REF!,"AAAAAH/c52o=")</f>
        <v>#REF!</v>
      </c>
      <c r="DD112" t="e">
        <f>AND('Data Control'!#REF!,"AAAAAH/c52s=")</f>
        <v>#REF!</v>
      </c>
      <c r="DE112" t="e">
        <f>AND('Data Control'!#REF!,"AAAAAH/c52w=")</f>
        <v>#REF!</v>
      </c>
      <c r="DF112" t="e">
        <f>AND('Data Control'!#REF!,"AAAAAH/c520=")</f>
        <v>#REF!</v>
      </c>
      <c r="DG112" t="e">
        <f>AND('Data Control'!#REF!,"AAAAAH/c524=")</f>
        <v>#REF!</v>
      </c>
      <c r="DH112" t="e">
        <f>IF('Data Control'!#REF!,"AAAAAH/c528=",0)</f>
        <v>#REF!</v>
      </c>
      <c r="DI112" t="e">
        <f>AND('Data Control'!#REF!,"AAAAAH/c53A=")</f>
        <v>#REF!</v>
      </c>
      <c r="DJ112" t="e">
        <f>AND('Data Control'!#REF!,"AAAAAH/c53E=")</f>
        <v>#REF!</v>
      </c>
      <c r="DK112" t="e">
        <f>AND('Data Control'!#REF!,"AAAAAH/c53I=")</f>
        <v>#REF!</v>
      </c>
      <c r="DL112" t="e">
        <f>AND('Data Control'!#REF!,"AAAAAH/c53M=")</f>
        <v>#REF!</v>
      </c>
      <c r="DM112" t="e">
        <f>AND('Data Control'!#REF!,"AAAAAH/c53Q=")</f>
        <v>#REF!</v>
      </c>
      <c r="DN112" t="e">
        <f>AND('Data Control'!#REF!,"AAAAAH/c53U=")</f>
        <v>#REF!</v>
      </c>
      <c r="DO112" t="e">
        <f>AND('Data Control'!#REF!,"AAAAAH/c53Y=")</f>
        <v>#REF!</v>
      </c>
      <c r="DP112" t="e">
        <f>AND('Data Control'!#REF!,"AAAAAH/c53c=")</f>
        <v>#REF!</v>
      </c>
      <c r="DQ112" t="e">
        <f>AND('Data Control'!#REF!,"AAAAAH/c53g=")</f>
        <v>#REF!</v>
      </c>
      <c r="DR112" t="e">
        <f>AND('Data Control'!#REF!,"AAAAAH/c53k=")</f>
        <v>#REF!</v>
      </c>
      <c r="DS112" t="e">
        <f>AND('Data Control'!#REF!,"AAAAAH/c53o=")</f>
        <v>#REF!</v>
      </c>
      <c r="DT112" t="e">
        <f>AND('Data Control'!#REF!,"AAAAAH/c53s=")</f>
        <v>#REF!</v>
      </c>
      <c r="DU112" t="e">
        <f>AND('Data Control'!#REF!,"AAAAAH/c53w=")</f>
        <v>#REF!</v>
      </c>
      <c r="DV112" t="e">
        <f>IF('Data Control'!#REF!,"AAAAAH/c530=",0)</f>
        <v>#REF!</v>
      </c>
      <c r="DW112" t="e">
        <f>AND('Data Control'!#REF!,"AAAAAH/c534=")</f>
        <v>#REF!</v>
      </c>
      <c r="DX112" t="e">
        <f>AND('Data Control'!#REF!,"AAAAAH/c538=")</f>
        <v>#REF!</v>
      </c>
      <c r="DY112" t="e">
        <f>AND('Data Control'!#REF!,"AAAAAH/c54A=")</f>
        <v>#REF!</v>
      </c>
      <c r="DZ112" t="e">
        <f>AND('Data Control'!#REF!,"AAAAAH/c54E=")</f>
        <v>#REF!</v>
      </c>
      <c r="EA112" t="e">
        <f>AND('Data Control'!#REF!,"AAAAAH/c54I=")</f>
        <v>#REF!</v>
      </c>
      <c r="EB112" t="e">
        <f>AND('Data Control'!#REF!,"AAAAAH/c54M=")</f>
        <v>#REF!</v>
      </c>
      <c r="EC112" t="e">
        <f>AND('Data Control'!#REF!,"AAAAAH/c54Q=")</f>
        <v>#REF!</v>
      </c>
      <c r="ED112" t="e">
        <f>AND('Data Control'!#REF!,"AAAAAH/c54U=")</f>
        <v>#REF!</v>
      </c>
      <c r="EE112" t="e">
        <f>AND('Data Control'!#REF!,"AAAAAH/c54Y=")</f>
        <v>#REF!</v>
      </c>
      <c r="EF112" t="e">
        <f>AND('Data Control'!#REF!,"AAAAAH/c54c=")</f>
        <v>#REF!</v>
      </c>
      <c r="EG112" t="e">
        <f>AND('Data Control'!#REF!,"AAAAAH/c54g=")</f>
        <v>#REF!</v>
      </c>
      <c r="EH112" t="e">
        <f>AND('Data Control'!#REF!,"AAAAAH/c54k=")</f>
        <v>#REF!</v>
      </c>
      <c r="EI112" t="e">
        <f>AND('Data Control'!#REF!,"AAAAAH/c54o=")</f>
        <v>#REF!</v>
      </c>
      <c r="EJ112" t="e">
        <f>IF('Data Control'!#REF!,"AAAAAH/c54s=",0)</f>
        <v>#REF!</v>
      </c>
      <c r="EK112" t="e">
        <f>AND('Data Control'!#REF!,"AAAAAH/c54w=")</f>
        <v>#REF!</v>
      </c>
      <c r="EL112" t="e">
        <f>AND('Data Control'!#REF!,"AAAAAH/c540=")</f>
        <v>#REF!</v>
      </c>
      <c r="EM112" t="e">
        <f>AND('Data Control'!#REF!,"AAAAAH/c544=")</f>
        <v>#REF!</v>
      </c>
      <c r="EN112" t="e">
        <f>AND('Data Control'!#REF!,"AAAAAH/c548=")</f>
        <v>#REF!</v>
      </c>
      <c r="EO112" t="e">
        <f>AND('Data Control'!#REF!,"AAAAAH/c55A=")</f>
        <v>#REF!</v>
      </c>
      <c r="EP112" t="e">
        <f>AND('Data Control'!#REF!,"AAAAAH/c55E=")</f>
        <v>#REF!</v>
      </c>
      <c r="EQ112" t="e">
        <f>AND('Data Control'!#REF!,"AAAAAH/c55I=")</f>
        <v>#REF!</v>
      </c>
      <c r="ER112" t="e">
        <f>AND('Data Control'!#REF!,"AAAAAH/c55M=")</f>
        <v>#REF!</v>
      </c>
      <c r="ES112" t="e">
        <f>AND('Data Control'!#REF!,"AAAAAH/c55Q=")</f>
        <v>#REF!</v>
      </c>
      <c r="ET112" t="e">
        <f>AND('Data Control'!#REF!,"AAAAAH/c55U=")</f>
        <v>#REF!</v>
      </c>
      <c r="EU112" t="e">
        <f>AND('Data Control'!#REF!,"AAAAAH/c55Y=")</f>
        <v>#REF!</v>
      </c>
      <c r="EV112" t="e">
        <f>AND('Data Control'!#REF!,"AAAAAH/c55c=")</f>
        <v>#REF!</v>
      </c>
      <c r="EW112" t="e">
        <f>AND('Data Control'!#REF!,"AAAAAH/c55g=")</f>
        <v>#REF!</v>
      </c>
      <c r="EX112" t="e">
        <f>IF('Data Control'!#REF!,"AAAAAH/c55k=",0)</f>
        <v>#REF!</v>
      </c>
      <c r="EY112" t="e">
        <f>AND('Data Control'!#REF!,"AAAAAH/c55o=")</f>
        <v>#REF!</v>
      </c>
      <c r="EZ112" t="e">
        <f>AND('Data Control'!#REF!,"AAAAAH/c55s=")</f>
        <v>#REF!</v>
      </c>
      <c r="FA112" t="e">
        <f>AND('Data Control'!#REF!,"AAAAAH/c55w=")</f>
        <v>#REF!</v>
      </c>
      <c r="FB112" t="e">
        <f>AND('Data Control'!#REF!,"AAAAAH/c550=")</f>
        <v>#REF!</v>
      </c>
      <c r="FC112" t="e">
        <f>AND('Data Control'!#REF!,"AAAAAH/c554=")</f>
        <v>#REF!</v>
      </c>
      <c r="FD112" t="e">
        <f>AND('Data Control'!#REF!,"AAAAAH/c558=")</f>
        <v>#REF!</v>
      </c>
      <c r="FE112" t="e">
        <f>AND('Data Control'!#REF!,"AAAAAH/c56A=")</f>
        <v>#REF!</v>
      </c>
      <c r="FF112" t="e">
        <f>AND('Data Control'!#REF!,"AAAAAH/c56E=")</f>
        <v>#REF!</v>
      </c>
      <c r="FG112" t="e">
        <f>AND('Data Control'!#REF!,"AAAAAH/c56I=")</f>
        <v>#REF!</v>
      </c>
      <c r="FH112" t="e">
        <f>AND('Data Control'!#REF!,"AAAAAH/c56M=")</f>
        <v>#REF!</v>
      </c>
      <c r="FI112" t="e">
        <f>AND('Data Control'!#REF!,"AAAAAH/c56Q=")</f>
        <v>#REF!</v>
      </c>
      <c r="FJ112" t="e">
        <f>AND('Data Control'!#REF!,"AAAAAH/c56U=")</f>
        <v>#REF!</v>
      </c>
      <c r="FK112" t="e">
        <f>AND('Data Control'!#REF!,"AAAAAH/c56Y=")</f>
        <v>#REF!</v>
      </c>
      <c r="FL112" t="e">
        <f>IF('Data Control'!#REF!,"AAAAAH/c56c=",0)</f>
        <v>#REF!</v>
      </c>
      <c r="FM112" t="e">
        <f>AND('Data Control'!#REF!,"AAAAAH/c56g=")</f>
        <v>#REF!</v>
      </c>
      <c r="FN112" t="e">
        <f>AND('Data Control'!#REF!,"AAAAAH/c56k=")</f>
        <v>#REF!</v>
      </c>
      <c r="FO112" t="e">
        <f>AND('Data Control'!#REF!,"AAAAAH/c56o=")</f>
        <v>#REF!</v>
      </c>
      <c r="FP112" t="e">
        <f>AND('Data Control'!#REF!,"AAAAAH/c56s=")</f>
        <v>#REF!</v>
      </c>
      <c r="FQ112" t="e">
        <f>AND('Data Control'!#REF!,"AAAAAH/c56w=")</f>
        <v>#REF!</v>
      </c>
      <c r="FR112" t="e">
        <f>AND('Data Control'!#REF!,"AAAAAH/c560=")</f>
        <v>#REF!</v>
      </c>
      <c r="FS112" t="e">
        <f>AND('Data Control'!#REF!,"AAAAAH/c564=")</f>
        <v>#REF!</v>
      </c>
      <c r="FT112" t="e">
        <f>AND('Data Control'!#REF!,"AAAAAH/c568=")</f>
        <v>#REF!</v>
      </c>
      <c r="FU112" t="e">
        <f>AND('Data Control'!#REF!,"AAAAAH/c57A=")</f>
        <v>#REF!</v>
      </c>
      <c r="FV112" t="e">
        <f>AND('Data Control'!#REF!,"AAAAAH/c57E=")</f>
        <v>#REF!</v>
      </c>
      <c r="FW112" t="e">
        <f>AND('Data Control'!#REF!,"AAAAAH/c57I=")</f>
        <v>#REF!</v>
      </c>
      <c r="FX112" t="e">
        <f>AND('Data Control'!#REF!,"AAAAAH/c57M=")</f>
        <v>#REF!</v>
      </c>
      <c r="FY112" t="e">
        <f>AND('Data Control'!#REF!,"AAAAAH/c57Q=")</f>
        <v>#REF!</v>
      </c>
      <c r="FZ112" t="e">
        <f>IF('Data Control'!#REF!,"AAAAAH/c57U=",0)</f>
        <v>#REF!</v>
      </c>
      <c r="GA112" t="e">
        <f>AND('Data Control'!#REF!,"AAAAAH/c57Y=")</f>
        <v>#REF!</v>
      </c>
      <c r="GB112" t="e">
        <f>AND('Data Control'!#REF!,"AAAAAH/c57c=")</f>
        <v>#REF!</v>
      </c>
      <c r="GC112" t="e">
        <f>AND('Data Control'!#REF!,"AAAAAH/c57g=")</f>
        <v>#REF!</v>
      </c>
      <c r="GD112" t="e">
        <f>AND('Data Control'!#REF!,"AAAAAH/c57k=")</f>
        <v>#REF!</v>
      </c>
      <c r="GE112" t="e">
        <f>AND('Data Control'!#REF!,"AAAAAH/c57o=")</f>
        <v>#REF!</v>
      </c>
      <c r="GF112" t="e">
        <f>AND('Data Control'!#REF!,"AAAAAH/c57s=")</f>
        <v>#REF!</v>
      </c>
      <c r="GG112" t="e">
        <f>AND('Data Control'!#REF!,"AAAAAH/c57w=")</f>
        <v>#REF!</v>
      </c>
      <c r="GH112" t="e">
        <f>AND('Data Control'!#REF!,"AAAAAH/c570=")</f>
        <v>#REF!</v>
      </c>
      <c r="GI112" t="e">
        <f>AND('Data Control'!#REF!,"AAAAAH/c574=")</f>
        <v>#REF!</v>
      </c>
      <c r="GJ112" t="e">
        <f>AND('Data Control'!#REF!,"AAAAAH/c578=")</f>
        <v>#REF!</v>
      </c>
      <c r="GK112" t="e">
        <f>AND('Data Control'!#REF!,"AAAAAH/c58A=")</f>
        <v>#REF!</v>
      </c>
      <c r="GL112" t="e">
        <f>AND('Data Control'!#REF!,"AAAAAH/c58E=")</f>
        <v>#REF!</v>
      </c>
      <c r="GM112" t="e">
        <f>AND('Data Control'!#REF!,"AAAAAH/c58I=")</f>
        <v>#REF!</v>
      </c>
      <c r="GN112" t="e">
        <f>IF('Data Control'!#REF!,"AAAAAH/c58M=",0)</f>
        <v>#REF!</v>
      </c>
      <c r="GO112" t="e">
        <f>AND('Data Control'!#REF!,"AAAAAH/c58Q=")</f>
        <v>#REF!</v>
      </c>
      <c r="GP112" t="e">
        <f>AND('Data Control'!#REF!,"AAAAAH/c58U=")</f>
        <v>#REF!</v>
      </c>
      <c r="GQ112" t="e">
        <f>AND('Data Control'!#REF!,"AAAAAH/c58Y=")</f>
        <v>#REF!</v>
      </c>
      <c r="GR112" t="e">
        <f>AND('Data Control'!#REF!,"AAAAAH/c58c=")</f>
        <v>#REF!</v>
      </c>
      <c r="GS112" t="e">
        <f>AND('Data Control'!#REF!,"AAAAAH/c58g=")</f>
        <v>#REF!</v>
      </c>
      <c r="GT112" t="e">
        <f>AND('Data Control'!#REF!,"AAAAAH/c58k=")</f>
        <v>#REF!</v>
      </c>
      <c r="GU112" t="e">
        <f>AND('Data Control'!#REF!,"AAAAAH/c58o=")</f>
        <v>#REF!</v>
      </c>
      <c r="GV112" t="e">
        <f>AND('Data Control'!#REF!,"AAAAAH/c58s=")</f>
        <v>#REF!</v>
      </c>
      <c r="GW112" t="e">
        <f>AND('Data Control'!#REF!,"AAAAAH/c58w=")</f>
        <v>#REF!</v>
      </c>
      <c r="GX112" t="e">
        <f>AND('Data Control'!#REF!,"AAAAAH/c580=")</f>
        <v>#REF!</v>
      </c>
      <c r="GY112" t="e">
        <f>AND('Data Control'!#REF!,"AAAAAH/c584=")</f>
        <v>#REF!</v>
      </c>
      <c r="GZ112" t="e">
        <f>AND('Data Control'!#REF!,"AAAAAH/c588=")</f>
        <v>#REF!</v>
      </c>
      <c r="HA112" t="e">
        <f>AND('Data Control'!#REF!,"AAAAAH/c59A=")</f>
        <v>#REF!</v>
      </c>
      <c r="HB112">
        <f>IF('Data Control'!141:141,"AAAAAH/c59E=",0)</f>
        <v>0</v>
      </c>
      <c r="HC112" t="e">
        <f>AND('Data Control'!A141,"AAAAAH/c59I=")</f>
        <v>#VALUE!</v>
      </c>
      <c r="HD112" t="e">
        <f>AND('Data Control'!B141,"AAAAAH/c59M=")</f>
        <v>#VALUE!</v>
      </c>
      <c r="HE112" t="e">
        <f>AND('Data Control'!C141,"AAAAAH/c59Q=")</f>
        <v>#VALUE!</v>
      </c>
      <c r="HF112" t="e">
        <f>AND('Data Control'!D141,"AAAAAH/c59U=")</f>
        <v>#VALUE!</v>
      </c>
      <c r="HG112" t="e">
        <f>AND('Data Control'!E141,"AAAAAH/c59Y=")</f>
        <v>#VALUE!</v>
      </c>
      <c r="HH112" t="e">
        <f>AND('Data Control'!F141,"AAAAAH/c59c=")</f>
        <v>#VALUE!</v>
      </c>
      <c r="HI112" t="e">
        <f>AND('Data Control'!G141,"AAAAAH/c59g=")</f>
        <v>#VALUE!</v>
      </c>
      <c r="HJ112" t="e">
        <f>AND('Data Control'!H141,"AAAAAH/c59k=")</f>
        <v>#VALUE!</v>
      </c>
      <c r="HK112" t="e">
        <f>AND('Data Control'!I141,"AAAAAH/c59o=")</f>
        <v>#VALUE!</v>
      </c>
      <c r="HL112" t="e">
        <f>AND('Data Control'!J141,"AAAAAH/c59s=")</f>
        <v>#VALUE!</v>
      </c>
      <c r="HM112" t="e">
        <f>AND('Data Control'!K141,"AAAAAH/c59w=")</f>
        <v>#VALUE!</v>
      </c>
      <c r="HN112" t="e">
        <f>AND('Data Control'!L141,"AAAAAH/c590=")</f>
        <v>#VALUE!</v>
      </c>
      <c r="HO112" t="e">
        <f>AND('Data Control'!M141,"AAAAAH/c594=")</f>
        <v>#VALUE!</v>
      </c>
      <c r="HP112" t="e">
        <f>IF('Data Control'!#REF!,"AAAAAH/c598=",0)</f>
        <v>#REF!</v>
      </c>
      <c r="HQ112" t="e">
        <f>AND('Data Control'!#REF!,"AAAAAH/c5+A=")</f>
        <v>#REF!</v>
      </c>
      <c r="HR112" t="e">
        <f>AND('Data Control'!#REF!,"AAAAAH/c5+E=")</f>
        <v>#REF!</v>
      </c>
      <c r="HS112" t="e">
        <f>AND('Data Control'!#REF!,"AAAAAH/c5+I=")</f>
        <v>#REF!</v>
      </c>
      <c r="HT112" t="e">
        <f>AND('Data Control'!#REF!,"AAAAAH/c5+M=")</f>
        <v>#REF!</v>
      </c>
      <c r="HU112" t="e">
        <f>AND('Data Control'!#REF!,"AAAAAH/c5+Q=")</f>
        <v>#REF!</v>
      </c>
      <c r="HV112" t="e">
        <f>AND('Data Control'!#REF!,"AAAAAH/c5+U=")</f>
        <v>#REF!</v>
      </c>
      <c r="HW112" t="e">
        <f>AND('Data Control'!#REF!,"AAAAAH/c5+Y=")</f>
        <v>#REF!</v>
      </c>
      <c r="HX112" t="e">
        <f>AND('Data Control'!#REF!,"AAAAAH/c5+c=")</f>
        <v>#REF!</v>
      </c>
      <c r="HY112" t="e">
        <f>AND('Data Control'!#REF!,"AAAAAH/c5+g=")</f>
        <v>#REF!</v>
      </c>
      <c r="HZ112" t="e">
        <f>AND('Data Control'!#REF!,"AAAAAH/c5+k=")</f>
        <v>#REF!</v>
      </c>
      <c r="IA112" t="e">
        <f>AND('Data Control'!#REF!,"AAAAAH/c5+o=")</f>
        <v>#REF!</v>
      </c>
      <c r="IB112" t="e">
        <f>AND('Data Control'!#REF!,"AAAAAH/c5+s=")</f>
        <v>#REF!</v>
      </c>
      <c r="IC112" t="e">
        <f>AND('Data Control'!#REF!,"AAAAAH/c5+w=")</f>
        <v>#REF!</v>
      </c>
      <c r="ID112" t="e">
        <f>IF('Data Control'!#REF!,"AAAAAH/c5+0=",0)</f>
        <v>#REF!</v>
      </c>
      <c r="IE112" t="e">
        <f>AND('Data Control'!#REF!,"AAAAAH/c5+4=")</f>
        <v>#REF!</v>
      </c>
      <c r="IF112" t="e">
        <f>AND('Data Control'!#REF!,"AAAAAH/c5+8=")</f>
        <v>#REF!</v>
      </c>
      <c r="IG112" t="e">
        <f>AND('Data Control'!#REF!,"AAAAAH/c5/A=")</f>
        <v>#REF!</v>
      </c>
      <c r="IH112" t="e">
        <f>AND('Data Control'!#REF!,"AAAAAH/c5/E=")</f>
        <v>#REF!</v>
      </c>
      <c r="II112" t="e">
        <f>AND('Data Control'!#REF!,"AAAAAH/c5/I=")</f>
        <v>#REF!</v>
      </c>
      <c r="IJ112" t="e">
        <f>AND('Data Control'!#REF!,"AAAAAH/c5/M=")</f>
        <v>#REF!</v>
      </c>
      <c r="IK112" t="e">
        <f>AND('Data Control'!#REF!,"AAAAAH/c5/Q=")</f>
        <v>#REF!</v>
      </c>
      <c r="IL112" t="e">
        <f>AND('Data Control'!#REF!,"AAAAAH/c5/U=")</f>
        <v>#REF!</v>
      </c>
      <c r="IM112" t="e">
        <f>AND('Data Control'!#REF!,"AAAAAH/c5/Y=")</f>
        <v>#REF!</v>
      </c>
      <c r="IN112" t="e">
        <f>AND('Data Control'!#REF!,"AAAAAH/c5/c=")</f>
        <v>#REF!</v>
      </c>
      <c r="IO112" t="e">
        <f>AND('Data Control'!#REF!,"AAAAAH/c5/g=")</f>
        <v>#REF!</v>
      </c>
      <c r="IP112" t="e">
        <f>AND('Data Control'!#REF!,"AAAAAH/c5/k=")</f>
        <v>#REF!</v>
      </c>
      <c r="IQ112" t="e">
        <f>AND('Data Control'!#REF!,"AAAAAH/c5/o=")</f>
        <v>#REF!</v>
      </c>
      <c r="IR112" t="e">
        <f>IF('Data Control'!#REF!,"AAAAAH/c5/s=",0)</f>
        <v>#REF!</v>
      </c>
      <c r="IS112" t="e">
        <f>AND('Data Control'!#REF!,"AAAAAH/c5/w=")</f>
        <v>#REF!</v>
      </c>
      <c r="IT112" t="e">
        <f>AND('Data Control'!#REF!,"AAAAAH/c5/0=")</f>
        <v>#REF!</v>
      </c>
      <c r="IU112" t="e">
        <f>AND('Data Control'!#REF!,"AAAAAH/c5/4=")</f>
        <v>#REF!</v>
      </c>
      <c r="IV112" t="e">
        <f>AND('Data Control'!#REF!,"AAAAAH/c5/8=")</f>
        <v>#REF!</v>
      </c>
    </row>
    <row r="113" spans="1:256" x14ac:dyDescent="0.2">
      <c r="A113" t="e">
        <f>AND('Data Control'!#REF!,"AAAAAGtf/wA=")</f>
        <v>#REF!</v>
      </c>
      <c r="B113" t="e">
        <f>AND('Data Control'!#REF!,"AAAAAGtf/wE=")</f>
        <v>#REF!</v>
      </c>
      <c r="C113" t="e">
        <f>AND('Data Control'!#REF!,"AAAAAGtf/wI=")</f>
        <v>#REF!</v>
      </c>
      <c r="D113" t="e">
        <f>AND('Data Control'!#REF!,"AAAAAGtf/wM=")</f>
        <v>#REF!</v>
      </c>
      <c r="E113" t="e">
        <f>AND('Data Control'!#REF!,"AAAAAGtf/wQ=")</f>
        <v>#REF!</v>
      </c>
      <c r="F113" t="e">
        <f>AND('Data Control'!#REF!,"AAAAAGtf/wU=")</f>
        <v>#REF!</v>
      </c>
      <c r="G113" t="e">
        <f>AND('Data Control'!#REF!,"AAAAAGtf/wY=")</f>
        <v>#REF!</v>
      </c>
      <c r="H113" t="e">
        <f>AND('Data Control'!#REF!,"AAAAAGtf/wc=")</f>
        <v>#REF!</v>
      </c>
      <c r="I113" t="e">
        <f>AND('Data Control'!#REF!,"AAAAAGtf/wg=")</f>
        <v>#REF!</v>
      </c>
      <c r="J113" t="e">
        <f>IF('Data Control'!#REF!,"AAAAAGtf/wk=",0)</f>
        <v>#REF!</v>
      </c>
      <c r="K113" t="e">
        <f>AND('Data Control'!#REF!,"AAAAAGtf/wo=")</f>
        <v>#REF!</v>
      </c>
      <c r="L113" t="e">
        <f>AND('Data Control'!#REF!,"AAAAAGtf/ws=")</f>
        <v>#REF!</v>
      </c>
      <c r="M113" t="e">
        <f>AND('Data Control'!#REF!,"AAAAAGtf/ww=")</f>
        <v>#REF!</v>
      </c>
      <c r="N113" t="e">
        <f>AND('Data Control'!#REF!,"AAAAAGtf/w0=")</f>
        <v>#REF!</v>
      </c>
      <c r="O113" t="e">
        <f>AND('Data Control'!#REF!,"AAAAAGtf/w4=")</f>
        <v>#REF!</v>
      </c>
      <c r="P113" t="e">
        <f>AND('Data Control'!#REF!,"AAAAAGtf/w8=")</f>
        <v>#REF!</v>
      </c>
      <c r="Q113" t="e">
        <f>AND('Data Control'!#REF!,"AAAAAGtf/xA=")</f>
        <v>#REF!</v>
      </c>
      <c r="R113" t="e">
        <f>AND('Data Control'!#REF!,"AAAAAGtf/xE=")</f>
        <v>#REF!</v>
      </c>
      <c r="S113" t="e">
        <f>AND('Data Control'!#REF!,"AAAAAGtf/xI=")</f>
        <v>#REF!</v>
      </c>
      <c r="T113" t="e">
        <f>AND('Data Control'!#REF!,"AAAAAGtf/xM=")</f>
        <v>#REF!</v>
      </c>
      <c r="U113" t="e">
        <f>AND('Data Control'!#REF!,"AAAAAGtf/xQ=")</f>
        <v>#REF!</v>
      </c>
      <c r="V113" t="e">
        <f>AND('Data Control'!#REF!,"AAAAAGtf/xU=")</f>
        <v>#REF!</v>
      </c>
      <c r="W113" t="e">
        <f>AND('Data Control'!#REF!,"AAAAAGtf/xY=")</f>
        <v>#REF!</v>
      </c>
      <c r="X113" t="e">
        <f>IF('Data Control'!#REF!,"AAAAAGtf/xc=",0)</f>
        <v>#REF!</v>
      </c>
      <c r="Y113" t="e">
        <f>AND('Data Control'!#REF!,"AAAAAGtf/xg=")</f>
        <v>#REF!</v>
      </c>
      <c r="Z113" t="e">
        <f>AND('Data Control'!#REF!,"AAAAAGtf/xk=")</f>
        <v>#REF!</v>
      </c>
      <c r="AA113" t="e">
        <f>AND('Data Control'!#REF!,"AAAAAGtf/xo=")</f>
        <v>#REF!</v>
      </c>
      <c r="AB113" t="e">
        <f>AND('Data Control'!#REF!,"AAAAAGtf/xs=")</f>
        <v>#REF!</v>
      </c>
      <c r="AC113" t="e">
        <f>AND('Data Control'!#REF!,"AAAAAGtf/xw=")</f>
        <v>#REF!</v>
      </c>
      <c r="AD113" t="e">
        <f>AND('Data Control'!#REF!,"AAAAAGtf/x0=")</f>
        <v>#REF!</v>
      </c>
      <c r="AE113" t="e">
        <f>AND('Data Control'!#REF!,"AAAAAGtf/x4=")</f>
        <v>#REF!</v>
      </c>
      <c r="AF113" t="e">
        <f>AND('Data Control'!#REF!,"AAAAAGtf/x8=")</f>
        <v>#REF!</v>
      </c>
      <c r="AG113" t="e">
        <f>AND('Data Control'!#REF!,"AAAAAGtf/yA=")</f>
        <v>#REF!</v>
      </c>
      <c r="AH113" t="e">
        <f>AND('Data Control'!#REF!,"AAAAAGtf/yE=")</f>
        <v>#REF!</v>
      </c>
      <c r="AI113" t="e">
        <f>AND('Data Control'!#REF!,"AAAAAGtf/yI=")</f>
        <v>#REF!</v>
      </c>
      <c r="AJ113" t="e">
        <f>AND('Data Control'!#REF!,"AAAAAGtf/yM=")</f>
        <v>#REF!</v>
      </c>
      <c r="AK113" t="e">
        <f>AND('Data Control'!#REF!,"AAAAAGtf/yQ=")</f>
        <v>#REF!</v>
      </c>
      <c r="AL113" t="e">
        <f>IF('Data Control'!#REF!,"AAAAAGtf/yU=",0)</f>
        <v>#REF!</v>
      </c>
      <c r="AM113" t="e">
        <f>AND('Data Control'!#REF!,"AAAAAGtf/yY=")</f>
        <v>#REF!</v>
      </c>
      <c r="AN113" t="e">
        <f>AND('Data Control'!#REF!,"AAAAAGtf/yc=")</f>
        <v>#REF!</v>
      </c>
      <c r="AO113" t="e">
        <f>AND('Data Control'!#REF!,"AAAAAGtf/yg=")</f>
        <v>#REF!</v>
      </c>
      <c r="AP113" t="e">
        <f>AND('Data Control'!#REF!,"AAAAAGtf/yk=")</f>
        <v>#REF!</v>
      </c>
      <c r="AQ113" t="e">
        <f>AND('Data Control'!#REF!,"AAAAAGtf/yo=")</f>
        <v>#REF!</v>
      </c>
      <c r="AR113" t="e">
        <f>AND('Data Control'!#REF!,"AAAAAGtf/ys=")</f>
        <v>#REF!</v>
      </c>
      <c r="AS113" t="e">
        <f>AND('Data Control'!#REF!,"AAAAAGtf/yw=")</f>
        <v>#REF!</v>
      </c>
      <c r="AT113" t="e">
        <f>AND('Data Control'!#REF!,"AAAAAGtf/y0=")</f>
        <v>#REF!</v>
      </c>
      <c r="AU113" t="e">
        <f>AND('Data Control'!#REF!,"AAAAAGtf/y4=")</f>
        <v>#REF!</v>
      </c>
      <c r="AV113" t="e">
        <f>AND('Data Control'!#REF!,"AAAAAGtf/y8=")</f>
        <v>#REF!</v>
      </c>
      <c r="AW113" t="e">
        <f>AND('Data Control'!#REF!,"AAAAAGtf/zA=")</f>
        <v>#REF!</v>
      </c>
      <c r="AX113" t="e">
        <f>AND('Data Control'!#REF!,"AAAAAGtf/zE=")</f>
        <v>#REF!</v>
      </c>
      <c r="AY113" t="e">
        <f>AND('Data Control'!#REF!,"AAAAAGtf/zI=")</f>
        <v>#REF!</v>
      </c>
      <c r="AZ113" t="e">
        <f>IF('Data Control'!#REF!,"AAAAAGtf/zM=",0)</f>
        <v>#REF!</v>
      </c>
      <c r="BA113" t="e">
        <f>AND('Data Control'!#REF!,"AAAAAGtf/zQ=")</f>
        <v>#REF!</v>
      </c>
      <c r="BB113" t="e">
        <f>AND('Data Control'!#REF!,"AAAAAGtf/zU=")</f>
        <v>#REF!</v>
      </c>
      <c r="BC113" t="e">
        <f>AND('Data Control'!#REF!,"AAAAAGtf/zY=")</f>
        <v>#REF!</v>
      </c>
      <c r="BD113" t="e">
        <f>AND('Data Control'!#REF!,"AAAAAGtf/zc=")</f>
        <v>#REF!</v>
      </c>
      <c r="BE113" t="e">
        <f>AND('Data Control'!#REF!,"AAAAAGtf/zg=")</f>
        <v>#REF!</v>
      </c>
      <c r="BF113" t="e">
        <f>AND('Data Control'!#REF!,"AAAAAGtf/zk=")</f>
        <v>#REF!</v>
      </c>
      <c r="BG113" t="e">
        <f>AND('Data Control'!#REF!,"AAAAAGtf/zo=")</f>
        <v>#REF!</v>
      </c>
      <c r="BH113" t="e">
        <f>AND('Data Control'!#REF!,"AAAAAGtf/zs=")</f>
        <v>#REF!</v>
      </c>
      <c r="BI113" t="e">
        <f>AND('Data Control'!#REF!,"AAAAAGtf/zw=")</f>
        <v>#REF!</v>
      </c>
      <c r="BJ113" t="e">
        <f>AND('Data Control'!#REF!,"AAAAAGtf/z0=")</f>
        <v>#REF!</v>
      </c>
      <c r="BK113" t="e">
        <f>AND('Data Control'!#REF!,"AAAAAGtf/z4=")</f>
        <v>#REF!</v>
      </c>
      <c r="BL113" t="e">
        <f>AND('Data Control'!#REF!,"AAAAAGtf/z8=")</f>
        <v>#REF!</v>
      </c>
      <c r="BM113" t="e">
        <f>AND('Data Control'!#REF!,"AAAAAGtf/0A=")</f>
        <v>#REF!</v>
      </c>
      <c r="BN113" t="e">
        <f>IF('Data Control'!#REF!,"AAAAAGtf/0E=",0)</f>
        <v>#REF!</v>
      </c>
      <c r="BO113" t="e">
        <f>AND('Data Control'!#REF!,"AAAAAGtf/0I=")</f>
        <v>#REF!</v>
      </c>
      <c r="BP113" t="e">
        <f>AND('Data Control'!#REF!,"AAAAAGtf/0M=")</f>
        <v>#REF!</v>
      </c>
      <c r="BQ113" t="e">
        <f>AND('Data Control'!#REF!,"AAAAAGtf/0Q=")</f>
        <v>#REF!</v>
      </c>
      <c r="BR113" t="e">
        <f>AND('Data Control'!#REF!,"AAAAAGtf/0U=")</f>
        <v>#REF!</v>
      </c>
      <c r="BS113" t="e">
        <f>AND('Data Control'!#REF!,"AAAAAGtf/0Y=")</f>
        <v>#REF!</v>
      </c>
      <c r="BT113" t="e">
        <f>AND('Data Control'!#REF!,"AAAAAGtf/0c=")</f>
        <v>#REF!</v>
      </c>
      <c r="BU113" t="e">
        <f>AND('Data Control'!#REF!,"AAAAAGtf/0g=")</f>
        <v>#REF!</v>
      </c>
      <c r="BV113" t="e">
        <f>AND('Data Control'!#REF!,"AAAAAGtf/0k=")</f>
        <v>#REF!</v>
      </c>
      <c r="BW113" t="e">
        <f>AND('Data Control'!#REF!,"AAAAAGtf/0o=")</f>
        <v>#REF!</v>
      </c>
      <c r="BX113" t="e">
        <f>AND('Data Control'!#REF!,"AAAAAGtf/0s=")</f>
        <v>#REF!</v>
      </c>
      <c r="BY113" t="e">
        <f>AND('Data Control'!#REF!,"AAAAAGtf/0w=")</f>
        <v>#REF!</v>
      </c>
      <c r="BZ113" t="e">
        <f>AND('Data Control'!#REF!,"AAAAAGtf/00=")</f>
        <v>#REF!</v>
      </c>
      <c r="CA113" t="e">
        <f>AND('Data Control'!#REF!,"AAAAAGtf/04=")</f>
        <v>#REF!</v>
      </c>
      <c r="CB113" t="e">
        <f>IF('Data Control'!#REF!,"AAAAAGtf/08=",0)</f>
        <v>#REF!</v>
      </c>
      <c r="CC113" t="e">
        <f>AND('Data Control'!#REF!,"AAAAAGtf/1A=")</f>
        <v>#REF!</v>
      </c>
      <c r="CD113" t="e">
        <f>AND('Data Control'!#REF!,"AAAAAGtf/1E=")</f>
        <v>#REF!</v>
      </c>
      <c r="CE113" t="e">
        <f>AND('Data Control'!#REF!,"AAAAAGtf/1I=")</f>
        <v>#REF!</v>
      </c>
      <c r="CF113" t="e">
        <f>AND('Data Control'!#REF!,"AAAAAGtf/1M=")</f>
        <v>#REF!</v>
      </c>
      <c r="CG113" t="e">
        <f>AND('Data Control'!#REF!,"AAAAAGtf/1Q=")</f>
        <v>#REF!</v>
      </c>
      <c r="CH113" t="e">
        <f>AND('Data Control'!#REF!,"AAAAAGtf/1U=")</f>
        <v>#REF!</v>
      </c>
      <c r="CI113" t="e">
        <f>AND('Data Control'!#REF!,"AAAAAGtf/1Y=")</f>
        <v>#REF!</v>
      </c>
      <c r="CJ113" t="e">
        <f>AND('Data Control'!#REF!,"AAAAAGtf/1c=")</f>
        <v>#REF!</v>
      </c>
      <c r="CK113" t="e">
        <f>AND('Data Control'!#REF!,"AAAAAGtf/1g=")</f>
        <v>#REF!</v>
      </c>
      <c r="CL113" t="e">
        <f>AND('Data Control'!#REF!,"AAAAAGtf/1k=")</f>
        <v>#REF!</v>
      </c>
      <c r="CM113" t="e">
        <f>AND('Data Control'!#REF!,"AAAAAGtf/1o=")</f>
        <v>#REF!</v>
      </c>
      <c r="CN113" t="e">
        <f>AND('Data Control'!#REF!,"AAAAAGtf/1s=")</f>
        <v>#REF!</v>
      </c>
      <c r="CO113" t="e">
        <f>AND('Data Control'!#REF!,"AAAAAGtf/1w=")</f>
        <v>#REF!</v>
      </c>
      <c r="CP113" t="e">
        <f>IF('Data Control'!#REF!,"AAAAAGtf/10=",0)</f>
        <v>#REF!</v>
      </c>
      <c r="CQ113" t="e">
        <f>AND('Data Control'!#REF!,"AAAAAGtf/14=")</f>
        <v>#REF!</v>
      </c>
      <c r="CR113" t="e">
        <f>AND('Data Control'!#REF!,"AAAAAGtf/18=")</f>
        <v>#REF!</v>
      </c>
      <c r="CS113" t="e">
        <f>AND('Data Control'!#REF!,"AAAAAGtf/2A=")</f>
        <v>#REF!</v>
      </c>
      <c r="CT113" t="e">
        <f>AND('Data Control'!#REF!,"AAAAAGtf/2E=")</f>
        <v>#REF!</v>
      </c>
      <c r="CU113" t="e">
        <f>AND('Data Control'!#REF!,"AAAAAGtf/2I=")</f>
        <v>#REF!</v>
      </c>
      <c r="CV113" t="e">
        <f>AND('Data Control'!#REF!,"AAAAAGtf/2M=")</f>
        <v>#REF!</v>
      </c>
      <c r="CW113" t="e">
        <f>AND('Data Control'!#REF!,"AAAAAGtf/2Q=")</f>
        <v>#REF!</v>
      </c>
      <c r="CX113" t="e">
        <f>AND('Data Control'!#REF!,"AAAAAGtf/2U=")</f>
        <v>#REF!</v>
      </c>
      <c r="CY113" t="e">
        <f>AND('Data Control'!#REF!,"AAAAAGtf/2Y=")</f>
        <v>#REF!</v>
      </c>
      <c r="CZ113" t="e">
        <f>AND('Data Control'!#REF!,"AAAAAGtf/2c=")</f>
        <v>#REF!</v>
      </c>
      <c r="DA113" t="e">
        <f>AND('Data Control'!#REF!,"AAAAAGtf/2g=")</f>
        <v>#REF!</v>
      </c>
      <c r="DB113" t="e">
        <f>AND('Data Control'!#REF!,"AAAAAGtf/2k=")</f>
        <v>#REF!</v>
      </c>
      <c r="DC113" t="e">
        <f>AND('Data Control'!#REF!,"AAAAAGtf/2o=")</f>
        <v>#REF!</v>
      </c>
      <c r="DD113" t="e">
        <f>IF('Data Control'!#REF!,"AAAAAGtf/2s=",0)</f>
        <v>#REF!</v>
      </c>
      <c r="DE113" t="e">
        <f>AND('Data Control'!#REF!,"AAAAAGtf/2w=")</f>
        <v>#REF!</v>
      </c>
      <c r="DF113" t="e">
        <f>AND('Data Control'!#REF!,"AAAAAGtf/20=")</f>
        <v>#REF!</v>
      </c>
      <c r="DG113" t="e">
        <f>AND('Data Control'!#REF!,"AAAAAGtf/24=")</f>
        <v>#REF!</v>
      </c>
      <c r="DH113" t="e">
        <f>AND('Data Control'!#REF!,"AAAAAGtf/28=")</f>
        <v>#REF!</v>
      </c>
      <c r="DI113" t="e">
        <f>AND('Data Control'!#REF!,"AAAAAGtf/3A=")</f>
        <v>#REF!</v>
      </c>
      <c r="DJ113" t="e">
        <f>AND('Data Control'!#REF!,"AAAAAGtf/3E=")</f>
        <v>#REF!</v>
      </c>
      <c r="DK113" t="e">
        <f>AND('Data Control'!#REF!,"AAAAAGtf/3I=")</f>
        <v>#REF!</v>
      </c>
      <c r="DL113" t="e">
        <f>AND('Data Control'!#REF!,"AAAAAGtf/3M=")</f>
        <v>#REF!</v>
      </c>
      <c r="DM113" t="e">
        <f>AND('Data Control'!#REF!,"AAAAAGtf/3Q=")</f>
        <v>#REF!</v>
      </c>
      <c r="DN113" t="e">
        <f>AND('Data Control'!#REF!,"AAAAAGtf/3U=")</f>
        <v>#REF!</v>
      </c>
      <c r="DO113" t="e">
        <f>AND('Data Control'!#REF!,"AAAAAGtf/3Y=")</f>
        <v>#REF!</v>
      </c>
      <c r="DP113" t="e">
        <f>AND('Data Control'!#REF!,"AAAAAGtf/3c=")</f>
        <v>#REF!</v>
      </c>
      <c r="DQ113" t="e">
        <f>AND('Data Control'!#REF!,"AAAAAGtf/3g=")</f>
        <v>#REF!</v>
      </c>
      <c r="DR113" t="e">
        <f>IF('Data Control'!#REF!,"AAAAAGtf/3k=",0)</f>
        <v>#REF!</v>
      </c>
      <c r="DS113" t="e">
        <f>AND('Data Control'!#REF!,"AAAAAGtf/3o=")</f>
        <v>#REF!</v>
      </c>
      <c r="DT113" t="e">
        <f>AND('Data Control'!#REF!,"AAAAAGtf/3s=")</f>
        <v>#REF!</v>
      </c>
      <c r="DU113" t="e">
        <f>AND('Data Control'!#REF!,"AAAAAGtf/3w=")</f>
        <v>#REF!</v>
      </c>
      <c r="DV113" t="e">
        <f>AND('Data Control'!#REF!,"AAAAAGtf/30=")</f>
        <v>#REF!</v>
      </c>
      <c r="DW113" t="e">
        <f>AND('Data Control'!#REF!,"AAAAAGtf/34=")</f>
        <v>#REF!</v>
      </c>
      <c r="DX113" t="e">
        <f>AND('Data Control'!#REF!,"AAAAAGtf/38=")</f>
        <v>#REF!</v>
      </c>
      <c r="DY113" t="e">
        <f>AND('Data Control'!#REF!,"AAAAAGtf/4A=")</f>
        <v>#REF!</v>
      </c>
      <c r="DZ113" t="e">
        <f>AND('Data Control'!#REF!,"AAAAAGtf/4E=")</f>
        <v>#REF!</v>
      </c>
      <c r="EA113" t="e">
        <f>AND('Data Control'!#REF!,"AAAAAGtf/4I=")</f>
        <v>#REF!</v>
      </c>
      <c r="EB113" t="e">
        <f>AND('Data Control'!#REF!,"AAAAAGtf/4M=")</f>
        <v>#REF!</v>
      </c>
      <c r="EC113" t="e">
        <f>AND('Data Control'!#REF!,"AAAAAGtf/4Q=")</f>
        <v>#REF!</v>
      </c>
      <c r="ED113" t="e">
        <f>AND('Data Control'!#REF!,"AAAAAGtf/4U=")</f>
        <v>#REF!</v>
      </c>
      <c r="EE113" t="e">
        <f>AND('Data Control'!#REF!,"AAAAAGtf/4Y=")</f>
        <v>#REF!</v>
      </c>
      <c r="EF113" t="e">
        <f>IF('Data Control'!#REF!,"AAAAAGtf/4c=",0)</f>
        <v>#REF!</v>
      </c>
      <c r="EG113" t="e">
        <f>AND('Data Control'!#REF!,"AAAAAGtf/4g=")</f>
        <v>#REF!</v>
      </c>
      <c r="EH113" t="e">
        <f>AND('Data Control'!#REF!,"AAAAAGtf/4k=")</f>
        <v>#REF!</v>
      </c>
      <c r="EI113" t="e">
        <f>AND('Data Control'!#REF!,"AAAAAGtf/4o=")</f>
        <v>#REF!</v>
      </c>
      <c r="EJ113" t="e">
        <f>AND('Data Control'!#REF!,"AAAAAGtf/4s=")</f>
        <v>#REF!</v>
      </c>
      <c r="EK113" t="e">
        <f>AND('Data Control'!#REF!,"AAAAAGtf/4w=")</f>
        <v>#REF!</v>
      </c>
      <c r="EL113" t="e">
        <f>AND('Data Control'!#REF!,"AAAAAGtf/40=")</f>
        <v>#REF!</v>
      </c>
      <c r="EM113" t="e">
        <f>AND('Data Control'!#REF!,"AAAAAGtf/44=")</f>
        <v>#REF!</v>
      </c>
      <c r="EN113" t="e">
        <f>AND('Data Control'!#REF!,"AAAAAGtf/48=")</f>
        <v>#REF!</v>
      </c>
      <c r="EO113" t="e">
        <f>AND('Data Control'!#REF!,"AAAAAGtf/5A=")</f>
        <v>#REF!</v>
      </c>
      <c r="EP113" t="e">
        <f>AND('Data Control'!#REF!,"AAAAAGtf/5E=")</f>
        <v>#REF!</v>
      </c>
      <c r="EQ113" t="e">
        <f>AND('Data Control'!#REF!,"AAAAAGtf/5I=")</f>
        <v>#REF!</v>
      </c>
      <c r="ER113" t="e">
        <f>AND('Data Control'!#REF!,"AAAAAGtf/5M=")</f>
        <v>#REF!</v>
      </c>
      <c r="ES113" t="e">
        <f>AND('Data Control'!#REF!,"AAAAAGtf/5Q=")</f>
        <v>#REF!</v>
      </c>
      <c r="ET113" t="e">
        <f>IF('Data Control'!#REF!,"AAAAAGtf/5U=",0)</f>
        <v>#REF!</v>
      </c>
      <c r="EU113" t="e">
        <f>AND('Data Control'!#REF!,"AAAAAGtf/5Y=")</f>
        <v>#REF!</v>
      </c>
      <c r="EV113" t="e">
        <f>AND('Data Control'!#REF!,"AAAAAGtf/5c=")</f>
        <v>#REF!</v>
      </c>
      <c r="EW113" t="e">
        <f>AND('Data Control'!#REF!,"AAAAAGtf/5g=")</f>
        <v>#REF!</v>
      </c>
      <c r="EX113" t="e">
        <f>AND('Data Control'!#REF!,"AAAAAGtf/5k=")</f>
        <v>#REF!</v>
      </c>
      <c r="EY113" t="e">
        <f>AND('Data Control'!#REF!,"AAAAAGtf/5o=")</f>
        <v>#REF!</v>
      </c>
      <c r="EZ113" t="e">
        <f>AND('Data Control'!#REF!,"AAAAAGtf/5s=")</f>
        <v>#REF!</v>
      </c>
      <c r="FA113" t="e">
        <f>AND('Data Control'!#REF!,"AAAAAGtf/5w=")</f>
        <v>#REF!</v>
      </c>
      <c r="FB113" t="e">
        <f>AND('Data Control'!#REF!,"AAAAAGtf/50=")</f>
        <v>#REF!</v>
      </c>
      <c r="FC113" t="e">
        <f>AND('Data Control'!#REF!,"AAAAAGtf/54=")</f>
        <v>#REF!</v>
      </c>
      <c r="FD113" t="e">
        <f>AND('Data Control'!#REF!,"AAAAAGtf/58=")</f>
        <v>#REF!</v>
      </c>
      <c r="FE113" t="e">
        <f>AND('Data Control'!#REF!,"AAAAAGtf/6A=")</f>
        <v>#REF!</v>
      </c>
      <c r="FF113" t="e">
        <f>AND('Data Control'!#REF!,"AAAAAGtf/6E=")</f>
        <v>#REF!</v>
      </c>
      <c r="FG113" t="e">
        <f>AND('Data Control'!#REF!,"AAAAAGtf/6I=")</f>
        <v>#REF!</v>
      </c>
      <c r="FH113" t="e">
        <f>IF('Data Control'!#REF!,"AAAAAGtf/6M=",0)</f>
        <v>#REF!</v>
      </c>
      <c r="FI113" t="e">
        <f>AND('Data Control'!#REF!,"AAAAAGtf/6Q=")</f>
        <v>#REF!</v>
      </c>
      <c r="FJ113" t="e">
        <f>AND('Data Control'!#REF!,"AAAAAGtf/6U=")</f>
        <v>#REF!</v>
      </c>
      <c r="FK113" t="e">
        <f>AND('Data Control'!#REF!,"AAAAAGtf/6Y=")</f>
        <v>#REF!</v>
      </c>
      <c r="FL113" t="e">
        <f>AND('Data Control'!#REF!,"AAAAAGtf/6c=")</f>
        <v>#REF!</v>
      </c>
      <c r="FM113" t="e">
        <f>AND('Data Control'!#REF!,"AAAAAGtf/6g=")</f>
        <v>#REF!</v>
      </c>
      <c r="FN113" t="e">
        <f>AND('Data Control'!#REF!,"AAAAAGtf/6k=")</f>
        <v>#REF!</v>
      </c>
      <c r="FO113" t="e">
        <f>AND('Data Control'!#REF!,"AAAAAGtf/6o=")</f>
        <v>#REF!</v>
      </c>
      <c r="FP113" t="e">
        <f>AND('Data Control'!#REF!,"AAAAAGtf/6s=")</f>
        <v>#REF!</v>
      </c>
      <c r="FQ113" t="e">
        <f>AND('Data Control'!#REF!,"AAAAAGtf/6w=")</f>
        <v>#REF!</v>
      </c>
      <c r="FR113" t="e">
        <f>AND('Data Control'!#REF!,"AAAAAGtf/60=")</f>
        <v>#REF!</v>
      </c>
      <c r="FS113" t="e">
        <f>AND('Data Control'!#REF!,"AAAAAGtf/64=")</f>
        <v>#REF!</v>
      </c>
      <c r="FT113" t="e">
        <f>AND('Data Control'!#REF!,"AAAAAGtf/68=")</f>
        <v>#REF!</v>
      </c>
      <c r="FU113" t="e">
        <f>AND('Data Control'!#REF!,"AAAAAGtf/7A=")</f>
        <v>#REF!</v>
      </c>
      <c r="FV113" t="e">
        <f>IF('Data Control'!#REF!,"AAAAAGtf/7E=",0)</f>
        <v>#REF!</v>
      </c>
      <c r="FW113" t="e">
        <f>AND('Data Control'!#REF!,"AAAAAGtf/7I=")</f>
        <v>#REF!</v>
      </c>
      <c r="FX113" t="e">
        <f>AND('Data Control'!#REF!,"AAAAAGtf/7M=")</f>
        <v>#REF!</v>
      </c>
      <c r="FY113" t="e">
        <f>AND('Data Control'!#REF!,"AAAAAGtf/7Q=")</f>
        <v>#REF!</v>
      </c>
      <c r="FZ113" t="e">
        <f>AND('Data Control'!#REF!,"AAAAAGtf/7U=")</f>
        <v>#REF!</v>
      </c>
      <c r="GA113" t="e">
        <f>AND('Data Control'!#REF!,"AAAAAGtf/7Y=")</f>
        <v>#REF!</v>
      </c>
      <c r="GB113" t="e">
        <f>AND('Data Control'!#REF!,"AAAAAGtf/7c=")</f>
        <v>#REF!</v>
      </c>
      <c r="GC113" t="e">
        <f>AND('Data Control'!#REF!,"AAAAAGtf/7g=")</f>
        <v>#REF!</v>
      </c>
      <c r="GD113" t="e">
        <f>AND('Data Control'!#REF!,"AAAAAGtf/7k=")</f>
        <v>#REF!</v>
      </c>
      <c r="GE113" t="e">
        <f>AND('Data Control'!#REF!,"AAAAAGtf/7o=")</f>
        <v>#REF!</v>
      </c>
      <c r="GF113" t="e">
        <f>AND('Data Control'!#REF!,"AAAAAGtf/7s=")</f>
        <v>#REF!</v>
      </c>
      <c r="GG113" t="e">
        <f>AND('Data Control'!#REF!,"AAAAAGtf/7w=")</f>
        <v>#REF!</v>
      </c>
      <c r="GH113" t="e">
        <f>AND('Data Control'!#REF!,"AAAAAGtf/70=")</f>
        <v>#REF!</v>
      </c>
      <c r="GI113" t="e">
        <f>AND('Data Control'!#REF!,"AAAAAGtf/74=")</f>
        <v>#REF!</v>
      </c>
      <c r="GJ113" t="e">
        <f>IF('Data Control'!#REF!,"AAAAAGtf/78=",0)</f>
        <v>#REF!</v>
      </c>
      <c r="GK113" t="e">
        <f>AND('Data Control'!#REF!,"AAAAAGtf/8A=")</f>
        <v>#REF!</v>
      </c>
      <c r="GL113" t="e">
        <f>AND('Data Control'!#REF!,"AAAAAGtf/8E=")</f>
        <v>#REF!</v>
      </c>
      <c r="GM113" t="e">
        <f>AND('Data Control'!#REF!,"AAAAAGtf/8I=")</f>
        <v>#REF!</v>
      </c>
      <c r="GN113" t="e">
        <f>AND('Data Control'!#REF!,"AAAAAGtf/8M=")</f>
        <v>#REF!</v>
      </c>
      <c r="GO113" t="e">
        <f>AND('Data Control'!#REF!,"AAAAAGtf/8Q=")</f>
        <v>#REF!</v>
      </c>
      <c r="GP113" t="e">
        <f>AND('Data Control'!#REF!,"AAAAAGtf/8U=")</f>
        <v>#REF!</v>
      </c>
      <c r="GQ113" t="e">
        <f>AND('Data Control'!#REF!,"AAAAAGtf/8Y=")</f>
        <v>#REF!</v>
      </c>
      <c r="GR113" t="e">
        <f>AND('Data Control'!#REF!,"AAAAAGtf/8c=")</f>
        <v>#REF!</v>
      </c>
      <c r="GS113" t="e">
        <f>AND('Data Control'!#REF!,"AAAAAGtf/8g=")</f>
        <v>#REF!</v>
      </c>
      <c r="GT113" t="e">
        <f>AND('Data Control'!#REF!,"AAAAAGtf/8k=")</f>
        <v>#REF!</v>
      </c>
      <c r="GU113" t="e">
        <f>AND('Data Control'!#REF!,"AAAAAGtf/8o=")</f>
        <v>#REF!</v>
      </c>
      <c r="GV113" t="e">
        <f>AND('Data Control'!#REF!,"AAAAAGtf/8s=")</f>
        <v>#REF!</v>
      </c>
      <c r="GW113" t="e">
        <f>AND('Data Control'!#REF!,"AAAAAGtf/8w=")</f>
        <v>#REF!</v>
      </c>
      <c r="GX113" t="e">
        <f>IF('Data Control'!#REF!,"AAAAAGtf/80=",0)</f>
        <v>#REF!</v>
      </c>
      <c r="GY113" t="e">
        <f>AND('Data Control'!#REF!,"AAAAAGtf/84=")</f>
        <v>#REF!</v>
      </c>
      <c r="GZ113" t="e">
        <f>AND('Data Control'!#REF!,"AAAAAGtf/88=")</f>
        <v>#REF!</v>
      </c>
      <c r="HA113" t="e">
        <f>AND('Data Control'!#REF!,"AAAAAGtf/9A=")</f>
        <v>#REF!</v>
      </c>
      <c r="HB113" t="e">
        <f>AND('Data Control'!#REF!,"AAAAAGtf/9E=")</f>
        <v>#REF!</v>
      </c>
      <c r="HC113" t="e">
        <f>AND('Data Control'!#REF!,"AAAAAGtf/9I=")</f>
        <v>#REF!</v>
      </c>
      <c r="HD113" t="e">
        <f>AND('Data Control'!#REF!,"AAAAAGtf/9M=")</f>
        <v>#REF!</v>
      </c>
      <c r="HE113" t="e">
        <f>AND('Data Control'!#REF!,"AAAAAGtf/9Q=")</f>
        <v>#REF!</v>
      </c>
      <c r="HF113" t="e">
        <f>AND('Data Control'!#REF!,"AAAAAGtf/9U=")</f>
        <v>#REF!</v>
      </c>
      <c r="HG113" t="e">
        <f>AND('Data Control'!#REF!,"AAAAAGtf/9Y=")</f>
        <v>#REF!</v>
      </c>
      <c r="HH113" t="e">
        <f>AND('Data Control'!#REF!,"AAAAAGtf/9c=")</f>
        <v>#REF!</v>
      </c>
      <c r="HI113" t="e">
        <f>AND('Data Control'!#REF!,"AAAAAGtf/9g=")</f>
        <v>#REF!</v>
      </c>
      <c r="HJ113" t="e">
        <f>AND('Data Control'!#REF!,"AAAAAGtf/9k=")</f>
        <v>#REF!</v>
      </c>
      <c r="HK113" t="e">
        <f>AND('Data Control'!#REF!,"AAAAAGtf/9o=")</f>
        <v>#REF!</v>
      </c>
      <c r="HL113" t="e">
        <f>IF('Data Control'!#REF!,"AAAAAGtf/9s=",0)</f>
        <v>#REF!</v>
      </c>
      <c r="HM113" t="e">
        <f>AND('Data Control'!#REF!,"AAAAAGtf/9w=")</f>
        <v>#REF!</v>
      </c>
      <c r="HN113" t="e">
        <f>AND('Data Control'!#REF!,"AAAAAGtf/90=")</f>
        <v>#REF!</v>
      </c>
      <c r="HO113" t="e">
        <f>AND('Data Control'!#REF!,"AAAAAGtf/94=")</f>
        <v>#REF!</v>
      </c>
      <c r="HP113" t="e">
        <f>AND('Data Control'!#REF!,"AAAAAGtf/98=")</f>
        <v>#REF!</v>
      </c>
      <c r="HQ113" t="e">
        <f>AND('Data Control'!#REF!,"AAAAAGtf/+A=")</f>
        <v>#REF!</v>
      </c>
      <c r="HR113" t="e">
        <f>AND('Data Control'!#REF!,"AAAAAGtf/+E=")</f>
        <v>#REF!</v>
      </c>
      <c r="HS113" t="e">
        <f>AND('Data Control'!#REF!,"AAAAAGtf/+I=")</f>
        <v>#REF!</v>
      </c>
      <c r="HT113" t="e">
        <f>AND('Data Control'!#REF!,"AAAAAGtf/+M=")</f>
        <v>#REF!</v>
      </c>
      <c r="HU113" t="e">
        <f>AND('Data Control'!#REF!,"AAAAAGtf/+Q=")</f>
        <v>#REF!</v>
      </c>
      <c r="HV113" t="e">
        <f>AND('Data Control'!#REF!,"AAAAAGtf/+U=")</f>
        <v>#REF!</v>
      </c>
      <c r="HW113" t="e">
        <f>AND('Data Control'!#REF!,"AAAAAGtf/+Y=")</f>
        <v>#REF!</v>
      </c>
      <c r="HX113" t="e">
        <f>AND('Data Control'!#REF!,"AAAAAGtf/+c=")</f>
        <v>#REF!</v>
      </c>
      <c r="HY113" t="e">
        <f>AND('Data Control'!#REF!,"AAAAAGtf/+g=")</f>
        <v>#REF!</v>
      </c>
      <c r="HZ113" t="e">
        <f>IF('Data Control'!#REF!,"AAAAAGtf/+k=",0)</f>
        <v>#REF!</v>
      </c>
      <c r="IA113" t="e">
        <f>AND('Data Control'!#REF!,"AAAAAGtf/+o=")</f>
        <v>#REF!</v>
      </c>
      <c r="IB113" t="e">
        <f>AND('Data Control'!#REF!,"AAAAAGtf/+s=")</f>
        <v>#REF!</v>
      </c>
      <c r="IC113" t="e">
        <f>AND('Data Control'!#REF!,"AAAAAGtf/+w=")</f>
        <v>#REF!</v>
      </c>
      <c r="ID113" t="e">
        <f>AND('Data Control'!#REF!,"AAAAAGtf/+0=")</f>
        <v>#REF!</v>
      </c>
      <c r="IE113" t="e">
        <f>AND('Data Control'!#REF!,"AAAAAGtf/+4=")</f>
        <v>#REF!</v>
      </c>
      <c r="IF113" t="e">
        <f>AND('Data Control'!#REF!,"AAAAAGtf/+8=")</f>
        <v>#REF!</v>
      </c>
      <c r="IG113" t="e">
        <f>AND('Data Control'!#REF!,"AAAAAGtf//A=")</f>
        <v>#REF!</v>
      </c>
      <c r="IH113" t="e">
        <f>AND('Data Control'!#REF!,"AAAAAGtf//E=")</f>
        <v>#REF!</v>
      </c>
      <c r="II113" t="e">
        <f>AND('Data Control'!#REF!,"AAAAAGtf//I=")</f>
        <v>#REF!</v>
      </c>
      <c r="IJ113" t="e">
        <f>AND('Data Control'!#REF!,"AAAAAGtf//M=")</f>
        <v>#REF!</v>
      </c>
      <c r="IK113" t="e">
        <f>AND('Data Control'!#REF!,"AAAAAGtf//Q=")</f>
        <v>#REF!</v>
      </c>
      <c r="IL113" t="e">
        <f>AND('Data Control'!#REF!,"AAAAAGtf//U=")</f>
        <v>#REF!</v>
      </c>
      <c r="IM113" t="e">
        <f>AND('Data Control'!#REF!,"AAAAAGtf//Y=")</f>
        <v>#REF!</v>
      </c>
      <c r="IN113" t="e">
        <f>IF('Data Control'!#REF!,"AAAAAGtf//c=",0)</f>
        <v>#REF!</v>
      </c>
      <c r="IO113" t="e">
        <f>AND('Data Control'!#REF!,"AAAAAGtf//g=")</f>
        <v>#REF!</v>
      </c>
      <c r="IP113" t="e">
        <f>AND('Data Control'!#REF!,"AAAAAGtf//k=")</f>
        <v>#REF!</v>
      </c>
      <c r="IQ113" t="e">
        <f>AND('Data Control'!#REF!,"AAAAAGtf//o=")</f>
        <v>#REF!</v>
      </c>
      <c r="IR113" t="e">
        <f>AND('Data Control'!#REF!,"AAAAAGtf//s=")</f>
        <v>#REF!</v>
      </c>
      <c r="IS113" t="e">
        <f>AND('Data Control'!#REF!,"AAAAAGtf//w=")</f>
        <v>#REF!</v>
      </c>
      <c r="IT113" t="e">
        <f>AND('Data Control'!#REF!,"AAAAAGtf//0=")</f>
        <v>#REF!</v>
      </c>
      <c r="IU113" t="e">
        <f>AND('Data Control'!#REF!,"AAAAAGtf//4=")</f>
        <v>#REF!</v>
      </c>
      <c r="IV113" t="e">
        <f>AND('Data Control'!#REF!,"AAAAAGtf//8=")</f>
        <v>#REF!</v>
      </c>
    </row>
    <row r="114" spans="1:256" x14ac:dyDescent="0.2">
      <c r="A114" t="e">
        <f>AND('Data Control'!#REF!,"AAAAAHP2vgA=")</f>
        <v>#REF!</v>
      </c>
      <c r="B114" t="e">
        <f>AND('Data Control'!#REF!,"AAAAAHP2vgE=")</f>
        <v>#REF!</v>
      </c>
      <c r="C114" t="e">
        <f>AND('Data Control'!#REF!,"AAAAAHP2vgI=")</f>
        <v>#REF!</v>
      </c>
      <c r="D114" t="e">
        <f>AND('Data Control'!#REF!,"AAAAAHP2vgM=")</f>
        <v>#REF!</v>
      </c>
      <c r="E114" t="e">
        <f>AND('Data Control'!#REF!,"AAAAAHP2vgQ=")</f>
        <v>#REF!</v>
      </c>
      <c r="F114" t="e">
        <f>IF('Data Control'!#REF!,"AAAAAHP2vgU=",0)</f>
        <v>#REF!</v>
      </c>
      <c r="G114" t="e">
        <f>AND('Data Control'!#REF!,"AAAAAHP2vgY=")</f>
        <v>#REF!</v>
      </c>
      <c r="H114" t="e">
        <f>AND('Data Control'!#REF!,"AAAAAHP2vgc=")</f>
        <v>#REF!</v>
      </c>
      <c r="I114" t="e">
        <f>AND('Data Control'!#REF!,"AAAAAHP2vgg=")</f>
        <v>#REF!</v>
      </c>
      <c r="J114" t="e">
        <f>AND('Data Control'!#REF!,"AAAAAHP2vgk=")</f>
        <v>#REF!</v>
      </c>
      <c r="K114" t="e">
        <f>AND('Data Control'!#REF!,"AAAAAHP2vgo=")</f>
        <v>#REF!</v>
      </c>
      <c r="L114" t="e">
        <f>AND('Data Control'!#REF!,"AAAAAHP2vgs=")</f>
        <v>#REF!</v>
      </c>
      <c r="M114" t="e">
        <f>AND('Data Control'!#REF!,"AAAAAHP2vgw=")</f>
        <v>#REF!</v>
      </c>
      <c r="N114" t="e">
        <f>AND('Data Control'!#REF!,"AAAAAHP2vg0=")</f>
        <v>#REF!</v>
      </c>
      <c r="O114" t="e">
        <f>AND('Data Control'!#REF!,"AAAAAHP2vg4=")</f>
        <v>#REF!</v>
      </c>
      <c r="P114" t="e">
        <f>AND('Data Control'!#REF!,"AAAAAHP2vg8=")</f>
        <v>#REF!</v>
      </c>
      <c r="Q114" t="e">
        <f>AND('Data Control'!#REF!,"AAAAAHP2vhA=")</f>
        <v>#REF!</v>
      </c>
      <c r="R114" t="e">
        <f>AND('Data Control'!#REF!,"AAAAAHP2vhE=")</f>
        <v>#REF!</v>
      </c>
      <c r="S114" t="e">
        <f>AND('Data Control'!#REF!,"AAAAAHP2vhI=")</f>
        <v>#REF!</v>
      </c>
      <c r="T114" t="e">
        <f>IF('Data Control'!#REF!,"AAAAAHP2vhM=",0)</f>
        <v>#REF!</v>
      </c>
      <c r="U114" t="e">
        <f>AND('Data Control'!#REF!,"AAAAAHP2vhQ=")</f>
        <v>#REF!</v>
      </c>
      <c r="V114" t="e">
        <f>AND('Data Control'!#REF!,"AAAAAHP2vhU=")</f>
        <v>#REF!</v>
      </c>
      <c r="W114" t="e">
        <f>AND('Data Control'!#REF!,"AAAAAHP2vhY=")</f>
        <v>#REF!</v>
      </c>
      <c r="X114" t="e">
        <f>AND('Data Control'!#REF!,"AAAAAHP2vhc=")</f>
        <v>#REF!</v>
      </c>
      <c r="Y114" t="e">
        <f>AND('Data Control'!#REF!,"AAAAAHP2vhg=")</f>
        <v>#REF!</v>
      </c>
      <c r="Z114" t="e">
        <f>AND('Data Control'!#REF!,"AAAAAHP2vhk=")</f>
        <v>#REF!</v>
      </c>
      <c r="AA114" t="e">
        <f>AND('Data Control'!#REF!,"AAAAAHP2vho=")</f>
        <v>#REF!</v>
      </c>
      <c r="AB114" t="e">
        <f>AND('Data Control'!#REF!,"AAAAAHP2vhs=")</f>
        <v>#REF!</v>
      </c>
      <c r="AC114" t="e">
        <f>AND('Data Control'!#REF!,"AAAAAHP2vhw=")</f>
        <v>#REF!</v>
      </c>
      <c r="AD114" t="e">
        <f>AND('Data Control'!#REF!,"AAAAAHP2vh0=")</f>
        <v>#REF!</v>
      </c>
      <c r="AE114" t="e">
        <f>AND('Data Control'!#REF!,"AAAAAHP2vh4=")</f>
        <v>#REF!</v>
      </c>
      <c r="AF114" t="e">
        <f>AND('Data Control'!#REF!,"AAAAAHP2vh8=")</f>
        <v>#REF!</v>
      </c>
      <c r="AG114" t="e">
        <f>AND('Data Control'!#REF!,"AAAAAHP2viA=")</f>
        <v>#REF!</v>
      </c>
      <c r="AH114" t="e">
        <f>IF('Data Control'!#REF!,"AAAAAHP2viE=",0)</f>
        <v>#REF!</v>
      </c>
      <c r="AI114" t="e">
        <f>AND('Data Control'!#REF!,"AAAAAHP2viI=")</f>
        <v>#REF!</v>
      </c>
      <c r="AJ114" t="e">
        <f>AND('Data Control'!#REF!,"AAAAAHP2viM=")</f>
        <v>#REF!</v>
      </c>
      <c r="AK114" t="e">
        <f>AND('Data Control'!#REF!,"AAAAAHP2viQ=")</f>
        <v>#REF!</v>
      </c>
      <c r="AL114" t="e">
        <f>AND('Data Control'!#REF!,"AAAAAHP2viU=")</f>
        <v>#REF!</v>
      </c>
      <c r="AM114" t="e">
        <f>AND('Data Control'!#REF!,"AAAAAHP2viY=")</f>
        <v>#REF!</v>
      </c>
      <c r="AN114" t="e">
        <f>AND('Data Control'!#REF!,"AAAAAHP2vic=")</f>
        <v>#REF!</v>
      </c>
      <c r="AO114" t="e">
        <f>AND('Data Control'!#REF!,"AAAAAHP2vig=")</f>
        <v>#REF!</v>
      </c>
      <c r="AP114" t="e">
        <f>AND('Data Control'!#REF!,"AAAAAHP2vik=")</f>
        <v>#REF!</v>
      </c>
      <c r="AQ114" t="e">
        <f>AND('Data Control'!#REF!,"AAAAAHP2vio=")</f>
        <v>#REF!</v>
      </c>
      <c r="AR114" t="e">
        <f>AND('Data Control'!#REF!,"AAAAAHP2vis=")</f>
        <v>#REF!</v>
      </c>
      <c r="AS114" t="e">
        <f>AND('Data Control'!#REF!,"AAAAAHP2viw=")</f>
        <v>#REF!</v>
      </c>
      <c r="AT114" t="e">
        <f>AND('Data Control'!#REF!,"AAAAAHP2vi0=")</f>
        <v>#REF!</v>
      </c>
      <c r="AU114" t="e">
        <f>AND('Data Control'!#REF!,"AAAAAHP2vi4=")</f>
        <v>#REF!</v>
      </c>
      <c r="AV114" t="e">
        <f>IF('Data Control'!#REF!,"AAAAAHP2vi8=",0)</f>
        <v>#REF!</v>
      </c>
      <c r="AW114" t="e">
        <f>AND('Data Control'!#REF!,"AAAAAHP2vjA=")</f>
        <v>#REF!</v>
      </c>
      <c r="AX114" t="e">
        <f>AND('Data Control'!#REF!,"AAAAAHP2vjE=")</f>
        <v>#REF!</v>
      </c>
      <c r="AY114" t="e">
        <f>AND('Data Control'!#REF!,"AAAAAHP2vjI=")</f>
        <v>#REF!</v>
      </c>
      <c r="AZ114" t="e">
        <f>AND('Data Control'!#REF!,"AAAAAHP2vjM=")</f>
        <v>#REF!</v>
      </c>
      <c r="BA114" t="e">
        <f>AND('Data Control'!#REF!,"AAAAAHP2vjQ=")</f>
        <v>#REF!</v>
      </c>
      <c r="BB114" t="e">
        <f>AND('Data Control'!#REF!,"AAAAAHP2vjU=")</f>
        <v>#REF!</v>
      </c>
      <c r="BC114" t="e">
        <f>AND('Data Control'!#REF!,"AAAAAHP2vjY=")</f>
        <v>#REF!</v>
      </c>
      <c r="BD114" t="e">
        <f>AND('Data Control'!#REF!,"AAAAAHP2vjc=")</f>
        <v>#REF!</v>
      </c>
      <c r="BE114" t="e">
        <f>AND('Data Control'!#REF!,"AAAAAHP2vjg=")</f>
        <v>#REF!</v>
      </c>
      <c r="BF114" t="e">
        <f>AND('Data Control'!#REF!,"AAAAAHP2vjk=")</f>
        <v>#REF!</v>
      </c>
      <c r="BG114" t="e">
        <f>AND('Data Control'!#REF!,"AAAAAHP2vjo=")</f>
        <v>#REF!</v>
      </c>
      <c r="BH114" t="e">
        <f>AND('Data Control'!#REF!,"AAAAAHP2vjs=")</f>
        <v>#REF!</v>
      </c>
      <c r="BI114" t="e">
        <f>AND('Data Control'!#REF!,"AAAAAHP2vjw=")</f>
        <v>#REF!</v>
      </c>
      <c r="BJ114" t="e">
        <f>IF('Data Control'!#REF!,"AAAAAHP2vj0=",0)</f>
        <v>#REF!</v>
      </c>
      <c r="BK114" t="e">
        <f>AND('Data Control'!#REF!,"AAAAAHP2vj4=")</f>
        <v>#REF!</v>
      </c>
      <c r="BL114" t="e">
        <f>AND('Data Control'!#REF!,"AAAAAHP2vj8=")</f>
        <v>#REF!</v>
      </c>
      <c r="BM114" t="e">
        <f>AND('Data Control'!#REF!,"AAAAAHP2vkA=")</f>
        <v>#REF!</v>
      </c>
      <c r="BN114" t="e">
        <f>AND('Data Control'!#REF!,"AAAAAHP2vkE=")</f>
        <v>#REF!</v>
      </c>
      <c r="BO114" t="e">
        <f>AND('Data Control'!#REF!,"AAAAAHP2vkI=")</f>
        <v>#REF!</v>
      </c>
      <c r="BP114" t="e">
        <f>AND('Data Control'!#REF!,"AAAAAHP2vkM=")</f>
        <v>#REF!</v>
      </c>
      <c r="BQ114" t="e">
        <f>AND('Data Control'!#REF!,"AAAAAHP2vkQ=")</f>
        <v>#REF!</v>
      </c>
      <c r="BR114" t="e">
        <f>AND('Data Control'!#REF!,"AAAAAHP2vkU=")</f>
        <v>#REF!</v>
      </c>
      <c r="BS114" t="e">
        <f>AND('Data Control'!#REF!,"AAAAAHP2vkY=")</f>
        <v>#REF!</v>
      </c>
      <c r="BT114" t="e">
        <f>AND('Data Control'!#REF!,"AAAAAHP2vkc=")</f>
        <v>#REF!</v>
      </c>
      <c r="BU114" t="e">
        <f>AND('Data Control'!#REF!,"AAAAAHP2vkg=")</f>
        <v>#REF!</v>
      </c>
      <c r="BV114" t="e">
        <f>AND('Data Control'!#REF!,"AAAAAHP2vkk=")</f>
        <v>#REF!</v>
      </c>
      <c r="BW114" t="e">
        <f>AND('Data Control'!#REF!,"AAAAAHP2vko=")</f>
        <v>#REF!</v>
      </c>
      <c r="BX114" t="e">
        <f>IF('Data Control'!#REF!,"AAAAAHP2vks=",0)</f>
        <v>#REF!</v>
      </c>
      <c r="BY114" t="e">
        <f>AND('Data Control'!#REF!,"AAAAAHP2vkw=")</f>
        <v>#REF!</v>
      </c>
      <c r="BZ114" t="e">
        <f>AND('Data Control'!#REF!,"AAAAAHP2vk0=")</f>
        <v>#REF!</v>
      </c>
      <c r="CA114" t="e">
        <f>AND('Data Control'!#REF!,"AAAAAHP2vk4=")</f>
        <v>#REF!</v>
      </c>
      <c r="CB114" t="e">
        <f>AND('Data Control'!#REF!,"AAAAAHP2vk8=")</f>
        <v>#REF!</v>
      </c>
      <c r="CC114" t="e">
        <f>AND('Data Control'!#REF!,"AAAAAHP2vlA=")</f>
        <v>#REF!</v>
      </c>
      <c r="CD114" t="e">
        <f>AND('Data Control'!#REF!,"AAAAAHP2vlE=")</f>
        <v>#REF!</v>
      </c>
      <c r="CE114" t="e">
        <f>AND('Data Control'!#REF!,"AAAAAHP2vlI=")</f>
        <v>#REF!</v>
      </c>
      <c r="CF114" t="e">
        <f>AND('Data Control'!#REF!,"AAAAAHP2vlM=")</f>
        <v>#REF!</v>
      </c>
      <c r="CG114" t="e">
        <f>AND('Data Control'!#REF!,"AAAAAHP2vlQ=")</f>
        <v>#REF!</v>
      </c>
      <c r="CH114" t="e">
        <f>AND('Data Control'!#REF!,"AAAAAHP2vlU=")</f>
        <v>#REF!</v>
      </c>
      <c r="CI114" t="e">
        <f>AND('Data Control'!#REF!,"AAAAAHP2vlY=")</f>
        <v>#REF!</v>
      </c>
      <c r="CJ114" t="e">
        <f>AND('Data Control'!#REF!,"AAAAAHP2vlc=")</f>
        <v>#REF!</v>
      </c>
      <c r="CK114" t="e">
        <f>AND('Data Control'!#REF!,"AAAAAHP2vlg=")</f>
        <v>#REF!</v>
      </c>
      <c r="CL114" t="e">
        <f>IF('Data Control'!#REF!,"AAAAAHP2vlk=",0)</f>
        <v>#REF!</v>
      </c>
      <c r="CM114" t="e">
        <f>AND('Data Control'!#REF!,"AAAAAHP2vlo=")</f>
        <v>#REF!</v>
      </c>
      <c r="CN114" t="e">
        <f>AND('Data Control'!#REF!,"AAAAAHP2vls=")</f>
        <v>#REF!</v>
      </c>
      <c r="CO114" t="e">
        <f>AND('Data Control'!#REF!,"AAAAAHP2vlw=")</f>
        <v>#REF!</v>
      </c>
      <c r="CP114" t="e">
        <f>AND('Data Control'!#REF!,"AAAAAHP2vl0=")</f>
        <v>#REF!</v>
      </c>
      <c r="CQ114" t="e">
        <f>AND('Data Control'!#REF!,"AAAAAHP2vl4=")</f>
        <v>#REF!</v>
      </c>
      <c r="CR114" t="e">
        <f>AND('Data Control'!#REF!,"AAAAAHP2vl8=")</f>
        <v>#REF!</v>
      </c>
      <c r="CS114" t="e">
        <f>AND('Data Control'!#REF!,"AAAAAHP2vmA=")</f>
        <v>#REF!</v>
      </c>
      <c r="CT114" t="e">
        <f>AND('Data Control'!#REF!,"AAAAAHP2vmE=")</f>
        <v>#REF!</v>
      </c>
      <c r="CU114" t="e">
        <f>AND('Data Control'!#REF!,"AAAAAHP2vmI=")</f>
        <v>#REF!</v>
      </c>
      <c r="CV114" t="e">
        <f>AND('Data Control'!#REF!,"AAAAAHP2vmM=")</f>
        <v>#REF!</v>
      </c>
      <c r="CW114" t="e">
        <f>AND('Data Control'!#REF!,"AAAAAHP2vmQ=")</f>
        <v>#REF!</v>
      </c>
      <c r="CX114" t="e">
        <f>AND('Data Control'!#REF!,"AAAAAHP2vmU=")</f>
        <v>#REF!</v>
      </c>
      <c r="CY114" t="e">
        <f>AND('Data Control'!#REF!,"AAAAAHP2vmY=")</f>
        <v>#REF!</v>
      </c>
      <c r="CZ114" t="e">
        <f>IF('Data Control'!#REF!,"AAAAAHP2vmc=",0)</f>
        <v>#REF!</v>
      </c>
      <c r="DA114" t="e">
        <f>AND('Data Control'!#REF!,"AAAAAHP2vmg=")</f>
        <v>#REF!</v>
      </c>
      <c r="DB114" t="e">
        <f>AND('Data Control'!#REF!,"AAAAAHP2vmk=")</f>
        <v>#REF!</v>
      </c>
      <c r="DC114" t="e">
        <f>AND('Data Control'!#REF!,"AAAAAHP2vmo=")</f>
        <v>#REF!</v>
      </c>
      <c r="DD114" t="e">
        <f>AND('Data Control'!#REF!,"AAAAAHP2vms=")</f>
        <v>#REF!</v>
      </c>
      <c r="DE114" t="e">
        <f>AND('Data Control'!#REF!,"AAAAAHP2vmw=")</f>
        <v>#REF!</v>
      </c>
      <c r="DF114" t="e">
        <f>AND('Data Control'!#REF!,"AAAAAHP2vm0=")</f>
        <v>#REF!</v>
      </c>
      <c r="DG114" t="e">
        <f>AND('Data Control'!#REF!,"AAAAAHP2vm4=")</f>
        <v>#REF!</v>
      </c>
      <c r="DH114" t="e">
        <f>AND('Data Control'!#REF!,"AAAAAHP2vm8=")</f>
        <v>#REF!</v>
      </c>
      <c r="DI114" t="e">
        <f>AND('Data Control'!#REF!,"AAAAAHP2vnA=")</f>
        <v>#REF!</v>
      </c>
      <c r="DJ114" t="e">
        <f>AND('Data Control'!#REF!,"AAAAAHP2vnE=")</f>
        <v>#REF!</v>
      </c>
      <c r="DK114" t="e">
        <f>AND('Data Control'!#REF!,"AAAAAHP2vnI=")</f>
        <v>#REF!</v>
      </c>
      <c r="DL114" t="e">
        <f>AND('Data Control'!#REF!,"AAAAAHP2vnM=")</f>
        <v>#REF!</v>
      </c>
      <c r="DM114" t="e">
        <f>AND('Data Control'!#REF!,"AAAAAHP2vnQ=")</f>
        <v>#REF!</v>
      </c>
      <c r="DN114" t="e">
        <f>IF('Data Control'!#REF!,"AAAAAHP2vnU=",0)</f>
        <v>#REF!</v>
      </c>
      <c r="DO114" t="e">
        <f>AND('Data Control'!#REF!,"AAAAAHP2vnY=")</f>
        <v>#REF!</v>
      </c>
      <c r="DP114" t="e">
        <f>AND('Data Control'!#REF!,"AAAAAHP2vnc=")</f>
        <v>#REF!</v>
      </c>
      <c r="DQ114" t="e">
        <f>AND('Data Control'!#REF!,"AAAAAHP2vng=")</f>
        <v>#REF!</v>
      </c>
      <c r="DR114" t="e">
        <f>AND('Data Control'!#REF!,"AAAAAHP2vnk=")</f>
        <v>#REF!</v>
      </c>
      <c r="DS114" t="e">
        <f>AND('Data Control'!#REF!,"AAAAAHP2vno=")</f>
        <v>#REF!</v>
      </c>
      <c r="DT114" t="e">
        <f>AND('Data Control'!#REF!,"AAAAAHP2vns=")</f>
        <v>#REF!</v>
      </c>
      <c r="DU114" t="e">
        <f>AND('Data Control'!#REF!,"AAAAAHP2vnw=")</f>
        <v>#REF!</v>
      </c>
      <c r="DV114" t="e">
        <f>AND('Data Control'!#REF!,"AAAAAHP2vn0=")</f>
        <v>#REF!</v>
      </c>
      <c r="DW114" t="e">
        <f>AND('Data Control'!#REF!,"AAAAAHP2vn4=")</f>
        <v>#REF!</v>
      </c>
      <c r="DX114" t="e">
        <f>AND('Data Control'!#REF!,"AAAAAHP2vn8=")</f>
        <v>#REF!</v>
      </c>
      <c r="DY114" t="e">
        <f>AND('Data Control'!#REF!,"AAAAAHP2voA=")</f>
        <v>#REF!</v>
      </c>
      <c r="DZ114" t="e">
        <f>AND('Data Control'!#REF!,"AAAAAHP2voE=")</f>
        <v>#REF!</v>
      </c>
      <c r="EA114" t="e">
        <f>AND('Data Control'!#REF!,"AAAAAHP2voI=")</f>
        <v>#REF!</v>
      </c>
      <c r="EB114" t="e">
        <f>IF('Data Control'!#REF!,"AAAAAHP2voM=",0)</f>
        <v>#REF!</v>
      </c>
      <c r="EC114" t="e">
        <f>AND('Data Control'!#REF!,"AAAAAHP2voQ=")</f>
        <v>#REF!</v>
      </c>
      <c r="ED114" t="e">
        <f>AND('Data Control'!#REF!,"AAAAAHP2voU=")</f>
        <v>#REF!</v>
      </c>
      <c r="EE114" t="e">
        <f>AND('Data Control'!#REF!,"AAAAAHP2voY=")</f>
        <v>#REF!</v>
      </c>
      <c r="EF114" t="e">
        <f>AND('Data Control'!#REF!,"AAAAAHP2voc=")</f>
        <v>#REF!</v>
      </c>
      <c r="EG114" t="e">
        <f>AND('Data Control'!#REF!,"AAAAAHP2vog=")</f>
        <v>#REF!</v>
      </c>
      <c r="EH114" t="e">
        <f>AND('Data Control'!#REF!,"AAAAAHP2vok=")</f>
        <v>#REF!</v>
      </c>
      <c r="EI114" t="e">
        <f>AND('Data Control'!#REF!,"AAAAAHP2voo=")</f>
        <v>#REF!</v>
      </c>
      <c r="EJ114" t="e">
        <f>AND('Data Control'!#REF!,"AAAAAHP2vos=")</f>
        <v>#REF!</v>
      </c>
      <c r="EK114" t="e">
        <f>AND('Data Control'!#REF!,"AAAAAHP2vow=")</f>
        <v>#REF!</v>
      </c>
      <c r="EL114" t="e">
        <f>AND('Data Control'!#REF!,"AAAAAHP2vo0=")</f>
        <v>#REF!</v>
      </c>
      <c r="EM114" t="e">
        <f>AND('Data Control'!#REF!,"AAAAAHP2vo4=")</f>
        <v>#REF!</v>
      </c>
      <c r="EN114" t="e">
        <f>AND('Data Control'!#REF!,"AAAAAHP2vo8=")</f>
        <v>#REF!</v>
      </c>
      <c r="EO114" t="e">
        <f>AND('Data Control'!#REF!,"AAAAAHP2vpA=")</f>
        <v>#REF!</v>
      </c>
      <c r="EP114" t="e">
        <f>IF('Data Control'!#REF!,"AAAAAHP2vpE=",0)</f>
        <v>#REF!</v>
      </c>
      <c r="EQ114" t="e">
        <f>AND('Data Control'!#REF!,"AAAAAHP2vpI=")</f>
        <v>#REF!</v>
      </c>
      <c r="ER114" t="e">
        <f>AND('Data Control'!#REF!,"AAAAAHP2vpM=")</f>
        <v>#REF!</v>
      </c>
      <c r="ES114" t="e">
        <f>AND('Data Control'!#REF!,"AAAAAHP2vpQ=")</f>
        <v>#REF!</v>
      </c>
      <c r="ET114" t="e">
        <f>AND('Data Control'!#REF!,"AAAAAHP2vpU=")</f>
        <v>#REF!</v>
      </c>
      <c r="EU114" t="e">
        <f>AND('Data Control'!#REF!,"AAAAAHP2vpY=")</f>
        <v>#REF!</v>
      </c>
      <c r="EV114" t="e">
        <f>AND('Data Control'!#REF!,"AAAAAHP2vpc=")</f>
        <v>#REF!</v>
      </c>
      <c r="EW114" t="e">
        <f>AND('Data Control'!#REF!,"AAAAAHP2vpg=")</f>
        <v>#REF!</v>
      </c>
      <c r="EX114" t="e">
        <f>AND('Data Control'!#REF!,"AAAAAHP2vpk=")</f>
        <v>#REF!</v>
      </c>
      <c r="EY114" t="e">
        <f>AND('Data Control'!#REF!,"AAAAAHP2vpo=")</f>
        <v>#REF!</v>
      </c>
      <c r="EZ114" t="e">
        <f>AND('Data Control'!#REF!,"AAAAAHP2vps=")</f>
        <v>#REF!</v>
      </c>
      <c r="FA114" t="e">
        <f>AND('Data Control'!#REF!,"AAAAAHP2vpw=")</f>
        <v>#REF!</v>
      </c>
      <c r="FB114" t="e">
        <f>AND('Data Control'!#REF!,"AAAAAHP2vp0=")</f>
        <v>#REF!</v>
      </c>
      <c r="FC114" t="e">
        <f>AND('Data Control'!#REF!,"AAAAAHP2vp4=")</f>
        <v>#REF!</v>
      </c>
      <c r="FD114" t="e">
        <f>IF('Data Control'!#REF!,"AAAAAHP2vp8=",0)</f>
        <v>#REF!</v>
      </c>
      <c r="FE114" t="e">
        <f>AND('Data Control'!#REF!,"AAAAAHP2vqA=")</f>
        <v>#REF!</v>
      </c>
      <c r="FF114" t="e">
        <f>AND('Data Control'!#REF!,"AAAAAHP2vqE=")</f>
        <v>#REF!</v>
      </c>
      <c r="FG114" t="e">
        <f>AND('Data Control'!#REF!,"AAAAAHP2vqI=")</f>
        <v>#REF!</v>
      </c>
      <c r="FH114" t="e">
        <f>AND('Data Control'!#REF!,"AAAAAHP2vqM=")</f>
        <v>#REF!</v>
      </c>
      <c r="FI114" t="e">
        <f>AND('Data Control'!#REF!,"AAAAAHP2vqQ=")</f>
        <v>#REF!</v>
      </c>
      <c r="FJ114" t="e">
        <f>AND('Data Control'!#REF!,"AAAAAHP2vqU=")</f>
        <v>#REF!</v>
      </c>
      <c r="FK114" t="e">
        <f>AND('Data Control'!#REF!,"AAAAAHP2vqY=")</f>
        <v>#REF!</v>
      </c>
      <c r="FL114" t="e">
        <f>AND('Data Control'!#REF!,"AAAAAHP2vqc=")</f>
        <v>#REF!</v>
      </c>
      <c r="FM114" t="e">
        <f>AND('Data Control'!#REF!,"AAAAAHP2vqg=")</f>
        <v>#REF!</v>
      </c>
      <c r="FN114" t="e">
        <f>AND('Data Control'!#REF!,"AAAAAHP2vqk=")</f>
        <v>#REF!</v>
      </c>
      <c r="FO114" t="e">
        <f>AND('Data Control'!#REF!,"AAAAAHP2vqo=")</f>
        <v>#REF!</v>
      </c>
      <c r="FP114" t="e">
        <f>AND('Data Control'!#REF!,"AAAAAHP2vqs=")</f>
        <v>#REF!</v>
      </c>
      <c r="FQ114" t="e">
        <f>AND('Data Control'!#REF!,"AAAAAHP2vqw=")</f>
        <v>#REF!</v>
      </c>
      <c r="FR114" t="e">
        <f>IF('Data Control'!#REF!,"AAAAAHP2vq0=",0)</f>
        <v>#REF!</v>
      </c>
      <c r="FS114" t="e">
        <f>AND('Data Control'!#REF!,"AAAAAHP2vq4=")</f>
        <v>#REF!</v>
      </c>
      <c r="FT114" t="e">
        <f>AND('Data Control'!#REF!,"AAAAAHP2vq8=")</f>
        <v>#REF!</v>
      </c>
      <c r="FU114" t="e">
        <f>AND('Data Control'!#REF!,"AAAAAHP2vrA=")</f>
        <v>#REF!</v>
      </c>
      <c r="FV114" t="e">
        <f>AND('Data Control'!#REF!,"AAAAAHP2vrE=")</f>
        <v>#REF!</v>
      </c>
      <c r="FW114" t="e">
        <f>AND('Data Control'!#REF!,"AAAAAHP2vrI=")</f>
        <v>#REF!</v>
      </c>
      <c r="FX114" t="e">
        <f>AND('Data Control'!#REF!,"AAAAAHP2vrM=")</f>
        <v>#REF!</v>
      </c>
      <c r="FY114" t="e">
        <f>AND('Data Control'!#REF!,"AAAAAHP2vrQ=")</f>
        <v>#REF!</v>
      </c>
      <c r="FZ114" t="e">
        <f>AND('Data Control'!#REF!,"AAAAAHP2vrU=")</f>
        <v>#REF!</v>
      </c>
      <c r="GA114" t="e">
        <f>AND('Data Control'!#REF!,"AAAAAHP2vrY=")</f>
        <v>#REF!</v>
      </c>
      <c r="GB114" t="e">
        <f>AND('Data Control'!#REF!,"AAAAAHP2vrc=")</f>
        <v>#REF!</v>
      </c>
      <c r="GC114" t="e">
        <f>AND('Data Control'!#REF!,"AAAAAHP2vrg=")</f>
        <v>#REF!</v>
      </c>
      <c r="GD114" t="e">
        <f>AND('Data Control'!#REF!,"AAAAAHP2vrk=")</f>
        <v>#REF!</v>
      </c>
      <c r="GE114" t="e">
        <f>AND('Data Control'!#REF!,"AAAAAHP2vro=")</f>
        <v>#REF!</v>
      </c>
      <c r="GF114" t="e">
        <f>IF('Data Control'!#REF!,"AAAAAHP2vrs=",0)</f>
        <v>#REF!</v>
      </c>
      <c r="GG114" t="e">
        <f>AND('Data Control'!#REF!,"AAAAAHP2vrw=")</f>
        <v>#REF!</v>
      </c>
      <c r="GH114" t="e">
        <f>AND('Data Control'!#REF!,"AAAAAHP2vr0=")</f>
        <v>#REF!</v>
      </c>
      <c r="GI114" t="e">
        <f>AND('Data Control'!#REF!,"AAAAAHP2vr4=")</f>
        <v>#REF!</v>
      </c>
      <c r="GJ114" t="e">
        <f>AND('Data Control'!#REF!,"AAAAAHP2vr8=")</f>
        <v>#REF!</v>
      </c>
      <c r="GK114" t="e">
        <f>AND('Data Control'!#REF!,"AAAAAHP2vsA=")</f>
        <v>#REF!</v>
      </c>
      <c r="GL114" t="e">
        <f>AND('Data Control'!#REF!,"AAAAAHP2vsE=")</f>
        <v>#REF!</v>
      </c>
      <c r="GM114" t="e">
        <f>AND('Data Control'!#REF!,"AAAAAHP2vsI=")</f>
        <v>#REF!</v>
      </c>
      <c r="GN114" t="e">
        <f>AND('Data Control'!#REF!,"AAAAAHP2vsM=")</f>
        <v>#REF!</v>
      </c>
      <c r="GO114" t="e">
        <f>AND('Data Control'!#REF!,"AAAAAHP2vsQ=")</f>
        <v>#REF!</v>
      </c>
      <c r="GP114" t="e">
        <f>AND('Data Control'!#REF!,"AAAAAHP2vsU=")</f>
        <v>#REF!</v>
      </c>
      <c r="GQ114" t="e">
        <f>AND('Data Control'!#REF!,"AAAAAHP2vsY=")</f>
        <v>#REF!</v>
      </c>
      <c r="GR114" t="e">
        <f>AND('Data Control'!#REF!,"AAAAAHP2vsc=")</f>
        <v>#REF!</v>
      </c>
      <c r="GS114" t="e">
        <f>AND('Data Control'!#REF!,"AAAAAHP2vsg=")</f>
        <v>#REF!</v>
      </c>
      <c r="GT114" t="e">
        <f>IF('Data Control'!#REF!,"AAAAAHP2vsk=",0)</f>
        <v>#REF!</v>
      </c>
      <c r="GU114" t="e">
        <f>AND('Data Control'!#REF!,"AAAAAHP2vso=")</f>
        <v>#REF!</v>
      </c>
      <c r="GV114" t="e">
        <f>AND('Data Control'!#REF!,"AAAAAHP2vss=")</f>
        <v>#REF!</v>
      </c>
      <c r="GW114" t="e">
        <f>AND('Data Control'!#REF!,"AAAAAHP2vsw=")</f>
        <v>#REF!</v>
      </c>
      <c r="GX114" t="e">
        <f>AND('Data Control'!#REF!,"AAAAAHP2vs0=")</f>
        <v>#REF!</v>
      </c>
      <c r="GY114" t="e">
        <f>AND('Data Control'!#REF!,"AAAAAHP2vs4=")</f>
        <v>#REF!</v>
      </c>
      <c r="GZ114" t="e">
        <f>AND('Data Control'!#REF!,"AAAAAHP2vs8=")</f>
        <v>#REF!</v>
      </c>
      <c r="HA114" t="e">
        <f>AND('Data Control'!#REF!,"AAAAAHP2vtA=")</f>
        <v>#REF!</v>
      </c>
      <c r="HB114" t="e">
        <f>AND('Data Control'!#REF!,"AAAAAHP2vtE=")</f>
        <v>#REF!</v>
      </c>
      <c r="HC114" t="e">
        <f>AND('Data Control'!#REF!,"AAAAAHP2vtI=")</f>
        <v>#REF!</v>
      </c>
      <c r="HD114" t="e">
        <f>AND('Data Control'!#REF!,"AAAAAHP2vtM=")</f>
        <v>#REF!</v>
      </c>
      <c r="HE114" t="e">
        <f>AND('Data Control'!#REF!,"AAAAAHP2vtQ=")</f>
        <v>#REF!</v>
      </c>
      <c r="HF114" t="e">
        <f>AND('Data Control'!#REF!,"AAAAAHP2vtU=")</f>
        <v>#REF!</v>
      </c>
      <c r="HG114" t="e">
        <f>AND('Data Control'!#REF!,"AAAAAHP2vtY=")</f>
        <v>#REF!</v>
      </c>
      <c r="HH114" t="e">
        <f>IF('Data Control'!#REF!,"AAAAAHP2vtc=",0)</f>
        <v>#REF!</v>
      </c>
      <c r="HI114" t="e">
        <f>AND('Data Control'!#REF!,"AAAAAHP2vtg=")</f>
        <v>#REF!</v>
      </c>
      <c r="HJ114" t="e">
        <f>AND('Data Control'!#REF!,"AAAAAHP2vtk=")</f>
        <v>#REF!</v>
      </c>
      <c r="HK114" t="e">
        <f>AND('Data Control'!#REF!,"AAAAAHP2vto=")</f>
        <v>#REF!</v>
      </c>
      <c r="HL114" t="e">
        <f>AND('Data Control'!#REF!,"AAAAAHP2vts=")</f>
        <v>#REF!</v>
      </c>
      <c r="HM114" t="e">
        <f>AND('Data Control'!#REF!,"AAAAAHP2vtw=")</f>
        <v>#REF!</v>
      </c>
      <c r="HN114" t="e">
        <f>AND('Data Control'!#REF!,"AAAAAHP2vt0=")</f>
        <v>#REF!</v>
      </c>
      <c r="HO114" t="e">
        <f>AND('Data Control'!#REF!,"AAAAAHP2vt4=")</f>
        <v>#REF!</v>
      </c>
      <c r="HP114" t="e">
        <f>AND('Data Control'!#REF!,"AAAAAHP2vt8=")</f>
        <v>#REF!</v>
      </c>
      <c r="HQ114" t="e">
        <f>AND('Data Control'!#REF!,"AAAAAHP2vuA=")</f>
        <v>#REF!</v>
      </c>
      <c r="HR114" t="e">
        <f>AND('Data Control'!#REF!,"AAAAAHP2vuE=")</f>
        <v>#REF!</v>
      </c>
      <c r="HS114" t="e">
        <f>AND('Data Control'!#REF!,"AAAAAHP2vuI=")</f>
        <v>#REF!</v>
      </c>
      <c r="HT114" t="e">
        <f>AND('Data Control'!#REF!,"AAAAAHP2vuM=")</f>
        <v>#REF!</v>
      </c>
      <c r="HU114" t="e">
        <f>AND('Data Control'!#REF!,"AAAAAHP2vuQ=")</f>
        <v>#REF!</v>
      </c>
      <c r="HV114" t="e">
        <f>IF('Data Control'!#REF!,"AAAAAHP2vuU=",0)</f>
        <v>#REF!</v>
      </c>
      <c r="HW114" t="e">
        <f>AND('Data Control'!#REF!,"AAAAAHP2vuY=")</f>
        <v>#REF!</v>
      </c>
      <c r="HX114" t="e">
        <f>AND('Data Control'!#REF!,"AAAAAHP2vuc=")</f>
        <v>#REF!</v>
      </c>
      <c r="HY114" t="e">
        <f>AND('Data Control'!#REF!,"AAAAAHP2vug=")</f>
        <v>#REF!</v>
      </c>
      <c r="HZ114" t="e">
        <f>AND('Data Control'!#REF!,"AAAAAHP2vuk=")</f>
        <v>#REF!</v>
      </c>
      <c r="IA114" t="e">
        <f>AND('Data Control'!#REF!,"AAAAAHP2vuo=")</f>
        <v>#REF!</v>
      </c>
      <c r="IB114" t="e">
        <f>AND('Data Control'!#REF!,"AAAAAHP2vus=")</f>
        <v>#REF!</v>
      </c>
      <c r="IC114" t="e">
        <f>AND('Data Control'!#REF!,"AAAAAHP2vuw=")</f>
        <v>#REF!</v>
      </c>
      <c r="ID114" t="e">
        <f>AND('Data Control'!#REF!,"AAAAAHP2vu0=")</f>
        <v>#REF!</v>
      </c>
      <c r="IE114" t="e">
        <f>AND('Data Control'!#REF!,"AAAAAHP2vu4=")</f>
        <v>#REF!</v>
      </c>
      <c r="IF114" t="e">
        <f>AND('Data Control'!#REF!,"AAAAAHP2vu8=")</f>
        <v>#REF!</v>
      </c>
      <c r="IG114" t="e">
        <f>AND('Data Control'!#REF!,"AAAAAHP2vvA=")</f>
        <v>#REF!</v>
      </c>
      <c r="IH114" t="e">
        <f>AND('Data Control'!#REF!,"AAAAAHP2vvE=")</f>
        <v>#REF!</v>
      </c>
      <c r="II114" t="e">
        <f>AND('Data Control'!#REF!,"AAAAAHP2vvI=")</f>
        <v>#REF!</v>
      </c>
      <c r="IJ114" t="e">
        <f>IF('Data Control'!#REF!,"AAAAAHP2vvM=",0)</f>
        <v>#REF!</v>
      </c>
      <c r="IK114" t="e">
        <f>AND('Data Control'!#REF!,"AAAAAHP2vvQ=")</f>
        <v>#REF!</v>
      </c>
      <c r="IL114" t="e">
        <f>AND('Data Control'!#REF!,"AAAAAHP2vvU=")</f>
        <v>#REF!</v>
      </c>
      <c r="IM114" t="e">
        <f>AND('Data Control'!#REF!,"AAAAAHP2vvY=")</f>
        <v>#REF!</v>
      </c>
      <c r="IN114" t="e">
        <f>AND('Data Control'!#REF!,"AAAAAHP2vvc=")</f>
        <v>#REF!</v>
      </c>
      <c r="IO114" t="e">
        <f>AND('Data Control'!#REF!,"AAAAAHP2vvg=")</f>
        <v>#REF!</v>
      </c>
      <c r="IP114" t="e">
        <f>AND('Data Control'!#REF!,"AAAAAHP2vvk=")</f>
        <v>#REF!</v>
      </c>
      <c r="IQ114" t="e">
        <f>AND('Data Control'!#REF!,"AAAAAHP2vvo=")</f>
        <v>#REF!</v>
      </c>
      <c r="IR114" t="e">
        <f>AND('Data Control'!#REF!,"AAAAAHP2vvs=")</f>
        <v>#REF!</v>
      </c>
      <c r="IS114" t="e">
        <f>AND('Data Control'!#REF!,"AAAAAHP2vvw=")</f>
        <v>#REF!</v>
      </c>
      <c r="IT114" t="e">
        <f>AND('Data Control'!#REF!,"AAAAAHP2vv0=")</f>
        <v>#REF!</v>
      </c>
      <c r="IU114" t="e">
        <f>AND('Data Control'!#REF!,"AAAAAHP2vv4=")</f>
        <v>#REF!</v>
      </c>
      <c r="IV114" t="e">
        <f>AND('Data Control'!#REF!,"AAAAAHP2vv8=")</f>
        <v>#REF!</v>
      </c>
    </row>
    <row r="115" spans="1:256" x14ac:dyDescent="0.2">
      <c r="A115" t="e">
        <f>AND('Data Control'!#REF!,"AAAAAHN1/QA=")</f>
        <v>#REF!</v>
      </c>
      <c r="B115" t="e">
        <f>IF('Data Control'!#REF!,"AAAAAHN1/QE=",0)</f>
        <v>#REF!</v>
      </c>
      <c r="C115" t="e">
        <f>AND('Data Control'!#REF!,"AAAAAHN1/QI=")</f>
        <v>#REF!</v>
      </c>
      <c r="D115" t="e">
        <f>AND('Data Control'!#REF!,"AAAAAHN1/QM=")</f>
        <v>#REF!</v>
      </c>
      <c r="E115" t="e">
        <f>AND('Data Control'!#REF!,"AAAAAHN1/QQ=")</f>
        <v>#REF!</v>
      </c>
      <c r="F115" t="e">
        <f>AND('Data Control'!#REF!,"AAAAAHN1/QU=")</f>
        <v>#REF!</v>
      </c>
      <c r="G115" t="e">
        <f>AND('Data Control'!#REF!,"AAAAAHN1/QY=")</f>
        <v>#REF!</v>
      </c>
      <c r="H115" t="e">
        <f>AND('Data Control'!#REF!,"AAAAAHN1/Qc=")</f>
        <v>#REF!</v>
      </c>
      <c r="I115" t="e">
        <f>AND('Data Control'!#REF!,"AAAAAHN1/Qg=")</f>
        <v>#REF!</v>
      </c>
      <c r="J115" t="e">
        <f>AND('Data Control'!#REF!,"AAAAAHN1/Qk=")</f>
        <v>#REF!</v>
      </c>
      <c r="K115" t="e">
        <f>AND('Data Control'!#REF!,"AAAAAHN1/Qo=")</f>
        <v>#REF!</v>
      </c>
      <c r="L115" t="e">
        <f>AND('Data Control'!#REF!,"AAAAAHN1/Qs=")</f>
        <v>#REF!</v>
      </c>
      <c r="M115" t="e">
        <f>AND('Data Control'!#REF!,"AAAAAHN1/Qw=")</f>
        <v>#REF!</v>
      </c>
      <c r="N115" t="e">
        <f>AND('Data Control'!#REF!,"AAAAAHN1/Q0=")</f>
        <v>#REF!</v>
      </c>
      <c r="O115" t="e">
        <f>AND('Data Control'!#REF!,"AAAAAHN1/Q4=")</f>
        <v>#REF!</v>
      </c>
      <c r="P115" t="e">
        <f>IF('Data Control'!#REF!,"AAAAAHN1/Q8=",0)</f>
        <v>#REF!</v>
      </c>
      <c r="Q115" t="e">
        <f>AND('Data Control'!#REF!,"AAAAAHN1/RA=")</f>
        <v>#REF!</v>
      </c>
      <c r="R115" t="e">
        <f>AND('Data Control'!#REF!,"AAAAAHN1/RE=")</f>
        <v>#REF!</v>
      </c>
      <c r="S115" t="e">
        <f>AND('Data Control'!#REF!,"AAAAAHN1/RI=")</f>
        <v>#REF!</v>
      </c>
      <c r="T115" t="e">
        <f>AND('Data Control'!#REF!,"AAAAAHN1/RM=")</f>
        <v>#REF!</v>
      </c>
      <c r="U115" t="e">
        <f>AND('Data Control'!#REF!,"AAAAAHN1/RQ=")</f>
        <v>#REF!</v>
      </c>
      <c r="V115" t="e">
        <f>AND('Data Control'!#REF!,"AAAAAHN1/RU=")</f>
        <v>#REF!</v>
      </c>
      <c r="W115" t="e">
        <f>AND('Data Control'!#REF!,"AAAAAHN1/RY=")</f>
        <v>#REF!</v>
      </c>
      <c r="X115" t="e">
        <f>AND('Data Control'!#REF!,"AAAAAHN1/Rc=")</f>
        <v>#REF!</v>
      </c>
      <c r="Y115" t="e">
        <f>AND('Data Control'!#REF!,"AAAAAHN1/Rg=")</f>
        <v>#REF!</v>
      </c>
      <c r="Z115" t="e">
        <f>AND('Data Control'!#REF!,"AAAAAHN1/Rk=")</f>
        <v>#REF!</v>
      </c>
      <c r="AA115" t="e">
        <f>AND('Data Control'!#REF!,"AAAAAHN1/Ro=")</f>
        <v>#REF!</v>
      </c>
      <c r="AB115" t="e">
        <f>AND('Data Control'!#REF!,"AAAAAHN1/Rs=")</f>
        <v>#REF!</v>
      </c>
      <c r="AC115" t="e">
        <f>AND('Data Control'!#REF!,"AAAAAHN1/Rw=")</f>
        <v>#REF!</v>
      </c>
      <c r="AD115" t="e">
        <f>IF('Data Control'!#REF!,"AAAAAHN1/R0=",0)</f>
        <v>#REF!</v>
      </c>
      <c r="AE115" t="e">
        <f>AND('Data Control'!#REF!,"AAAAAHN1/R4=")</f>
        <v>#REF!</v>
      </c>
      <c r="AF115" t="e">
        <f>AND('Data Control'!#REF!,"AAAAAHN1/R8=")</f>
        <v>#REF!</v>
      </c>
      <c r="AG115" t="e">
        <f>AND('Data Control'!#REF!,"AAAAAHN1/SA=")</f>
        <v>#REF!</v>
      </c>
      <c r="AH115" t="e">
        <f>AND('Data Control'!#REF!,"AAAAAHN1/SE=")</f>
        <v>#REF!</v>
      </c>
      <c r="AI115" t="e">
        <f>AND('Data Control'!#REF!,"AAAAAHN1/SI=")</f>
        <v>#REF!</v>
      </c>
      <c r="AJ115" t="e">
        <f>AND('Data Control'!#REF!,"AAAAAHN1/SM=")</f>
        <v>#REF!</v>
      </c>
      <c r="AK115" t="e">
        <f>AND('Data Control'!#REF!,"AAAAAHN1/SQ=")</f>
        <v>#REF!</v>
      </c>
      <c r="AL115" t="e">
        <f>AND('Data Control'!#REF!,"AAAAAHN1/SU=")</f>
        <v>#REF!</v>
      </c>
      <c r="AM115" t="e">
        <f>AND('Data Control'!#REF!,"AAAAAHN1/SY=")</f>
        <v>#REF!</v>
      </c>
      <c r="AN115" t="e">
        <f>AND('Data Control'!#REF!,"AAAAAHN1/Sc=")</f>
        <v>#REF!</v>
      </c>
      <c r="AO115" t="e">
        <f>AND('Data Control'!#REF!,"AAAAAHN1/Sg=")</f>
        <v>#REF!</v>
      </c>
      <c r="AP115" t="e">
        <f>AND('Data Control'!#REF!,"AAAAAHN1/Sk=")</f>
        <v>#REF!</v>
      </c>
      <c r="AQ115" t="e">
        <f>AND('Data Control'!#REF!,"AAAAAHN1/So=")</f>
        <v>#REF!</v>
      </c>
      <c r="AR115" t="e">
        <f>IF('Data Control'!#REF!,"AAAAAHN1/Ss=",0)</f>
        <v>#REF!</v>
      </c>
      <c r="AS115" t="e">
        <f>AND('Data Control'!#REF!,"AAAAAHN1/Sw=")</f>
        <v>#REF!</v>
      </c>
      <c r="AT115" t="e">
        <f>AND('Data Control'!#REF!,"AAAAAHN1/S0=")</f>
        <v>#REF!</v>
      </c>
      <c r="AU115" t="e">
        <f>AND('Data Control'!#REF!,"AAAAAHN1/S4=")</f>
        <v>#REF!</v>
      </c>
      <c r="AV115" t="e">
        <f>AND('Data Control'!#REF!,"AAAAAHN1/S8=")</f>
        <v>#REF!</v>
      </c>
      <c r="AW115" t="e">
        <f>AND('Data Control'!#REF!,"AAAAAHN1/TA=")</f>
        <v>#REF!</v>
      </c>
      <c r="AX115" t="e">
        <f>AND('Data Control'!#REF!,"AAAAAHN1/TE=")</f>
        <v>#REF!</v>
      </c>
      <c r="AY115" t="e">
        <f>AND('Data Control'!#REF!,"AAAAAHN1/TI=")</f>
        <v>#REF!</v>
      </c>
      <c r="AZ115" t="e">
        <f>AND('Data Control'!#REF!,"AAAAAHN1/TM=")</f>
        <v>#REF!</v>
      </c>
      <c r="BA115" t="e">
        <f>AND('Data Control'!#REF!,"AAAAAHN1/TQ=")</f>
        <v>#REF!</v>
      </c>
      <c r="BB115" t="e">
        <f>AND('Data Control'!#REF!,"AAAAAHN1/TU=")</f>
        <v>#REF!</v>
      </c>
      <c r="BC115" t="e">
        <f>AND('Data Control'!#REF!,"AAAAAHN1/TY=")</f>
        <v>#REF!</v>
      </c>
      <c r="BD115" t="e">
        <f>AND('Data Control'!#REF!,"AAAAAHN1/Tc=")</f>
        <v>#REF!</v>
      </c>
      <c r="BE115" t="e">
        <f>AND('Data Control'!#REF!,"AAAAAHN1/Tg=")</f>
        <v>#REF!</v>
      </c>
      <c r="BF115" t="e">
        <f>IF('Data Control'!#REF!,"AAAAAHN1/Tk=",0)</f>
        <v>#REF!</v>
      </c>
      <c r="BG115" t="e">
        <f>AND('Data Control'!#REF!,"AAAAAHN1/To=")</f>
        <v>#REF!</v>
      </c>
      <c r="BH115" t="e">
        <f>AND('Data Control'!#REF!,"AAAAAHN1/Ts=")</f>
        <v>#REF!</v>
      </c>
      <c r="BI115" t="e">
        <f>AND('Data Control'!#REF!,"AAAAAHN1/Tw=")</f>
        <v>#REF!</v>
      </c>
      <c r="BJ115" t="e">
        <f>AND('Data Control'!#REF!,"AAAAAHN1/T0=")</f>
        <v>#REF!</v>
      </c>
      <c r="BK115" t="e">
        <f>AND('Data Control'!#REF!,"AAAAAHN1/T4=")</f>
        <v>#REF!</v>
      </c>
      <c r="BL115" t="e">
        <f>AND('Data Control'!#REF!,"AAAAAHN1/T8=")</f>
        <v>#REF!</v>
      </c>
      <c r="BM115" t="e">
        <f>AND('Data Control'!#REF!,"AAAAAHN1/UA=")</f>
        <v>#REF!</v>
      </c>
      <c r="BN115" t="e">
        <f>AND('Data Control'!#REF!,"AAAAAHN1/UE=")</f>
        <v>#REF!</v>
      </c>
      <c r="BO115" t="e">
        <f>AND('Data Control'!#REF!,"AAAAAHN1/UI=")</f>
        <v>#REF!</v>
      </c>
      <c r="BP115" t="e">
        <f>AND('Data Control'!#REF!,"AAAAAHN1/UM=")</f>
        <v>#REF!</v>
      </c>
      <c r="BQ115" t="e">
        <f>AND('Data Control'!#REF!,"AAAAAHN1/UQ=")</f>
        <v>#REF!</v>
      </c>
      <c r="BR115" t="e">
        <f>AND('Data Control'!#REF!,"AAAAAHN1/UU=")</f>
        <v>#REF!</v>
      </c>
      <c r="BS115" t="e">
        <f>AND('Data Control'!#REF!,"AAAAAHN1/UY=")</f>
        <v>#REF!</v>
      </c>
      <c r="BT115" t="e">
        <f>IF('Data Control'!#REF!,"AAAAAHN1/Uc=",0)</f>
        <v>#REF!</v>
      </c>
      <c r="BU115" t="e">
        <f>AND('Data Control'!#REF!,"AAAAAHN1/Ug=")</f>
        <v>#REF!</v>
      </c>
      <c r="BV115" t="e">
        <f>AND('Data Control'!#REF!,"AAAAAHN1/Uk=")</f>
        <v>#REF!</v>
      </c>
      <c r="BW115" t="e">
        <f>AND('Data Control'!#REF!,"AAAAAHN1/Uo=")</f>
        <v>#REF!</v>
      </c>
      <c r="BX115" t="e">
        <f>AND('Data Control'!#REF!,"AAAAAHN1/Us=")</f>
        <v>#REF!</v>
      </c>
      <c r="BY115" t="e">
        <f>AND('Data Control'!#REF!,"AAAAAHN1/Uw=")</f>
        <v>#REF!</v>
      </c>
      <c r="BZ115" t="e">
        <f>AND('Data Control'!#REF!,"AAAAAHN1/U0=")</f>
        <v>#REF!</v>
      </c>
      <c r="CA115" t="e">
        <f>AND('Data Control'!#REF!,"AAAAAHN1/U4=")</f>
        <v>#REF!</v>
      </c>
      <c r="CB115" t="e">
        <f>AND('Data Control'!#REF!,"AAAAAHN1/U8=")</f>
        <v>#REF!</v>
      </c>
      <c r="CC115" t="e">
        <f>AND('Data Control'!#REF!,"AAAAAHN1/VA=")</f>
        <v>#REF!</v>
      </c>
      <c r="CD115" t="e">
        <f>AND('Data Control'!#REF!,"AAAAAHN1/VE=")</f>
        <v>#REF!</v>
      </c>
      <c r="CE115" t="e">
        <f>AND('Data Control'!#REF!,"AAAAAHN1/VI=")</f>
        <v>#REF!</v>
      </c>
      <c r="CF115" t="e">
        <f>AND('Data Control'!#REF!,"AAAAAHN1/VM=")</f>
        <v>#REF!</v>
      </c>
      <c r="CG115" t="e">
        <f>AND('Data Control'!#REF!,"AAAAAHN1/VQ=")</f>
        <v>#REF!</v>
      </c>
      <c r="CH115" t="e">
        <f>IF('Data Control'!#REF!,"AAAAAHN1/VU=",0)</f>
        <v>#REF!</v>
      </c>
      <c r="CI115" t="e">
        <f>AND('Data Control'!#REF!,"AAAAAHN1/VY=")</f>
        <v>#REF!</v>
      </c>
      <c r="CJ115" t="e">
        <f>AND('Data Control'!#REF!,"AAAAAHN1/Vc=")</f>
        <v>#REF!</v>
      </c>
      <c r="CK115" t="e">
        <f>AND('Data Control'!#REF!,"AAAAAHN1/Vg=")</f>
        <v>#REF!</v>
      </c>
      <c r="CL115" t="e">
        <f>AND('Data Control'!#REF!,"AAAAAHN1/Vk=")</f>
        <v>#REF!</v>
      </c>
      <c r="CM115" t="e">
        <f>AND('Data Control'!#REF!,"AAAAAHN1/Vo=")</f>
        <v>#REF!</v>
      </c>
      <c r="CN115" t="e">
        <f>AND('Data Control'!#REF!,"AAAAAHN1/Vs=")</f>
        <v>#REF!</v>
      </c>
      <c r="CO115" t="e">
        <f>AND('Data Control'!#REF!,"AAAAAHN1/Vw=")</f>
        <v>#REF!</v>
      </c>
      <c r="CP115" t="e">
        <f>AND('Data Control'!#REF!,"AAAAAHN1/V0=")</f>
        <v>#REF!</v>
      </c>
      <c r="CQ115" t="e">
        <f>AND('Data Control'!#REF!,"AAAAAHN1/V4=")</f>
        <v>#REF!</v>
      </c>
      <c r="CR115" t="e">
        <f>AND('Data Control'!#REF!,"AAAAAHN1/V8=")</f>
        <v>#REF!</v>
      </c>
      <c r="CS115" t="e">
        <f>AND('Data Control'!#REF!,"AAAAAHN1/WA=")</f>
        <v>#REF!</v>
      </c>
      <c r="CT115" t="e">
        <f>AND('Data Control'!#REF!,"AAAAAHN1/WE=")</f>
        <v>#REF!</v>
      </c>
      <c r="CU115" t="e">
        <f>AND('Data Control'!#REF!,"AAAAAHN1/WI=")</f>
        <v>#REF!</v>
      </c>
      <c r="CV115" t="e">
        <f>IF('Data Control'!#REF!,"AAAAAHN1/WM=",0)</f>
        <v>#REF!</v>
      </c>
      <c r="CW115" t="e">
        <f>AND('Data Control'!#REF!,"AAAAAHN1/WQ=")</f>
        <v>#REF!</v>
      </c>
      <c r="CX115" t="e">
        <f>AND('Data Control'!#REF!,"AAAAAHN1/WU=")</f>
        <v>#REF!</v>
      </c>
      <c r="CY115" t="e">
        <f>AND('Data Control'!#REF!,"AAAAAHN1/WY=")</f>
        <v>#REF!</v>
      </c>
      <c r="CZ115" t="e">
        <f>AND('Data Control'!#REF!,"AAAAAHN1/Wc=")</f>
        <v>#REF!</v>
      </c>
      <c r="DA115" t="e">
        <f>AND('Data Control'!#REF!,"AAAAAHN1/Wg=")</f>
        <v>#REF!</v>
      </c>
      <c r="DB115" t="e">
        <f>AND('Data Control'!#REF!,"AAAAAHN1/Wk=")</f>
        <v>#REF!</v>
      </c>
      <c r="DC115" t="e">
        <f>AND('Data Control'!#REF!,"AAAAAHN1/Wo=")</f>
        <v>#REF!</v>
      </c>
      <c r="DD115" t="e">
        <f>AND('Data Control'!#REF!,"AAAAAHN1/Ws=")</f>
        <v>#REF!</v>
      </c>
      <c r="DE115" t="e">
        <f>AND('Data Control'!#REF!,"AAAAAHN1/Ww=")</f>
        <v>#REF!</v>
      </c>
      <c r="DF115" t="e">
        <f>AND('Data Control'!#REF!,"AAAAAHN1/W0=")</f>
        <v>#REF!</v>
      </c>
      <c r="DG115" t="e">
        <f>AND('Data Control'!#REF!,"AAAAAHN1/W4=")</f>
        <v>#REF!</v>
      </c>
      <c r="DH115" t="e">
        <f>AND('Data Control'!#REF!,"AAAAAHN1/W8=")</f>
        <v>#REF!</v>
      </c>
      <c r="DI115" t="e">
        <f>AND('Data Control'!#REF!,"AAAAAHN1/XA=")</f>
        <v>#REF!</v>
      </c>
      <c r="DJ115" t="e">
        <f>IF('Data Control'!#REF!,"AAAAAHN1/XE=",0)</f>
        <v>#REF!</v>
      </c>
      <c r="DK115" t="e">
        <f>AND('Data Control'!#REF!,"AAAAAHN1/XI=")</f>
        <v>#REF!</v>
      </c>
      <c r="DL115" t="e">
        <f>AND('Data Control'!#REF!,"AAAAAHN1/XM=")</f>
        <v>#REF!</v>
      </c>
      <c r="DM115" t="e">
        <f>AND('Data Control'!#REF!,"AAAAAHN1/XQ=")</f>
        <v>#REF!</v>
      </c>
      <c r="DN115" t="e">
        <f>AND('Data Control'!#REF!,"AAAAAHN1/XU=")</f>
        <v>#REF!</v>
      </c>
      <c r="DO115" t="e">
        <f>AND('Data Control'!#REF!,"AAAAAHN1/XY=")</f>
        <v>#REF!</v>
      </c>
      <c r="DP115" t="e">
        <f>AND('Data Control'!#REF!,"AAAAAHN1/Xc=")</f>
        <v>#REF!</v>
      </c>
      <c r="DQ115" t="e">
        <f>AND('Data Control'!#REF!,"AAAAAHN1/Xg=")</f>
        <v>#REF!</v>
      </c>
      <c r="DR115" t="e">
        <f>AND('Data Control'!#REF!,"AAAAAHN1/Xk=")</f>
        <v>#REF!</v>
      </c>
      <c r="DS115" t="e">
        <f>AND('Data Control'!#REF!,"AAAAAHN1/Xo=")</f>
        <v>#REF!</v>
      </c>
      <c r="DT115" t="e">
        <f>AND('Data Control'!#REF!,"AAAAAHN1/Xs=")</f>
        <v>#REF!</v>
      </c>
      <c r="DU115" t="e">
        <f>AND('Data Control'!#REF!,"AAAAAHN1/Xw=")</f>
        <v>#REF!</v>
      </c>
      <c r="DV115" t="e">
        <f>AND('Data Control'!#REF!,"AAAAAHN1/X0=")</f>
        <v>#REF!</v>
      </c>
      <c r="DW115" t="e">
        <f>AND('Data Control'!#REF!,"AAAAAHN1/X4=")</f>
        <v>#REF!</v>
      </c>
      <c r="DX115" t="e">
        <f>IF('Data Control'!#REF!,"AAAAAHN1/X8=",0)</f>
        <v>#REF!</v>
      </c>
      <c r="DY115" t="e">
        <f>AND('Data Control'!#REF!,"AAAAAHN1/YA=")</f>
        <v>#REF!</v>
      </c>
      <c r="DZ115" t="e">
        <f>AND('Data Control'!#REF!,"AAAAAHN1/YE=")</f>
        <v>#REF!</v>
      </c>
      <c r="EA115" t="e">
        <f>AND('Data Control'!#REF!,"AAAAAHN1/YI=")</f>
        <v>#REF!</v>
      </c>
      <c r="EB115" t="e">
        <f>AND('Data Control'!#REF!,"AAAAAHN1/YM=")</f>
        <v>#REF!</v>
      </c>
      <c r="EC115" t="e">
        <f>AND('Data Control'!#REF!,"AAAAAHN1/YQ=")</f>
        <v>#REF!</v>
      </c>
      <c r="ED115" t="e">
        <f>AND('Data Control'!#REF!,"AAAAAHN1/YU=")</f>
        <v>#REF!</v>
      </c>
      <c r="EE115" t="e">
        <f>AND('Data Control'!#REF!,"AAAAAHN1/YY=")</f>
        <v>#REF!</v>
      </c>
      <c r="EF115" t="e">
        <f>AND('Data Control'!#REF!,"AAAAAHN1/Yc=")</f>
        <v>#REF!</v>
      </c>
      <c r="EG115" t="e">
        <f>AND('Data Control'!#REF!,"AAAAAHN1/Yg=")</f>
        <v>#REF!</v>
      </c>
      <c r="EH115" t="e">
        <f>AND('Data Control'!#REF!,"AAAAAHN1/Yk=")</f>
        <v>#REF!</v>
      </c>
      <c r="EI115" t="e">
        <f>AND('Data Control'!#REF!,"AAAAAHN1/Yo=")</f>
        <v>#REF!</v>
      </c>
      <c r="EJ115" t="e">
        <f>AND('Data Control'!#REF!,"AAAAAHN1/Ys=")</f>
        <v>#REF!</v>
      </c>
      <c r="EK115" t="e">
        <f>AND('Data Control'!#REF!,"AAAAAHN1/Yw=")</f>
        <v>#REF!</v>
      </c>
      <c r="EL115" t="e">
        <f>IF('Data Control'!#REF!,"AAAAAHN1/Y0=",0)</f>
        <v>#REF!</v>
      </c>
      <c r="EM115" t="e">
        <f>AND('Data Control'!#REF!,"AAAAAHN1/Y4=")</f>
        <v>#REF!</v>
      </c>
      <c r="EN115" t="e">
        <f>AND('Data Control'!#REF!,"AAAAAHN1/Y8=")</f>
        <v>#REF!</v>
      </c>
      <c r="EO115" t="e">
        <f>AND('Data Control'!#REF!,"AAAAAHN1/ZA=")</f>
        <v>#REF!</v>
      </c>
      <c r="EP115" t="e">
        <f>AND('Data Control'!#REF!,"AAAAAHN1/ZE=")</f>
        <v>#REF!</v>
      </c>
      <c r="EQ115" t="e">
        <f>AND('Data Control'!#REF!,"AAAAAHN1/ZI=")</f>
        <v>#REF!</v>
      </c>
      <c r="ER115" t="e">
        <f>AND('Data Control'!#REF!,"AAAAAHN1/ZM=")</f>
        <v>#REF!</v>
      </c>
      <c r="ES115" t="e">
        <f>AND('Data Control'!#REF!,"AAAAAHN1/ZQ=")</f>
        <v>#REF!</v>
      </c>
      <c r="ET115" t="e">
        <f>AND('Data Control'!#REF!,"AAAAAHN1/ZU=")</f>
        <v>#REF!</v>
      </c>
      <c r="EU115" t="e">
        <f>AND('Data Control'!#REF!,"AAAAAHN1/ZY=")</f>
        <v>#REF!</v>
      </c>
      <c r="EV115" t="e">
        <f>AND('Data Control'!#REF!,"AAAAAHN1/Zc=")</f>
        <v>#REF!</v>
      </c>
      <c r="EW115" t="e">
        <f>AND('Data Control'!#REF!,"AAAAAHN1/Zg=")</f>
        <v>#REF!</v>
      </c>
      <c r="EX115" t="e">
        <f>AND('Data Control'!#REF!,"AAAAAHN1/Zk=")</f>
        <v>#REF!</v>
      </c>
      <c r="EY115" t="e">
        <f>AND('Data Control'!#REF!,"AAAAAHN1/Zo=")</f>
        <v>#REF!</v>
      </c>
      <c r="EZ115" t="e">
        <f>IF('Data Control'!#REF!,"AAAAAHN1/Zs=",0)</f>
        <v>#REF!</v>
      </c>
      <c r="FA115" t="e">
        <f>AND('Data Control'!#REF!,"AAAAAHN1/Zw=")</f>
        <v>#REF!</v>
      </c>
      <c r="FB115" t="e">
        <f>AND('Data Control'!#REF!,"AAAAAHN1/Z0=")</f>
        <v>#REF!</v>
      </c>
      <c r="FC115" t="e">
        <f>AND('Data Control'!#REF!,"AAAAAHN1/Z4=")</f>
        <v>#REF!</v>
      </c>
      <c r="FD115" t="e">
        <f>AND('Data Control'!#REF!,"AAAAAHN1/Z8=")</f>
        <v>#REF!</v>
      </c>
      <c r="FE115" t="e">
        <f>AND('Data Control'!#REF!,"AAAAAHN1/aA=")</f>
        <v>#REF!</v>
      </c>
      <c r="FF115" t="e">
        <f>AND('Data Control'!#REF!,"AAAAAHN1/aE=")</f>
        <v>#REF!</v>
      </c>
      <c r="FG115" t="e">
        <f>AND('Data Control'!#REF!,"AAAAAHN1/aI=")</f>
        <v>#REF!</v>
      </c>
      <c r="FH115" t="e">
        <f>AND('Data Control'!#REF!,"AAAAAHN1/aM=")</f>
        <v>#REF!</v>
      </c>
      <c r="FI115" t="e">
        <f>AND('Data Control'!#REF!,"AAAAAHN1/aQ=")</f>
        <v>#REF!</v>
      </c>
      <c r="FJ115" t="e">
        <f>AND('Data Control'!#REF!,"AAAAAHN1/aU=")</f>
        <v>#REF!</v>
      </c>
      <c r="FK115" t="e">
        <f>AND('Data Control'!#REF!,"AAAAAHN1/aY=")</f>
        <v>#REF!</v>
      </c>
      <c r="FL115" t="e">
        <f>AND('Data Control'!#REF!,"AAAAAHN1/ac=")</f>
        <v>#REF!</v>
      </c>
      <c r="FM115" t="e">
        <f>AND('Data Control'!#REF!,"AAAAAHN1/ag=")</f>
        <v>#REF!</v>
      </c>
      <c r="FN115" t="e">
        <f>IF('Data Control'!#REF!,"AAAAAHN1/ak=",0)</f>
        <v>#REF!</v>
      </c>
      <c r="FO115" t="e">
        <f>AND('Data Control'!#REF!,"AAAAAHN1/ao=")</f>
        <v>#REF!</v>
      </c>
      <c r="FP115" t="e">
        <f>AND('Data Control'!#REF!,"AAAAAHN1/as=")</f>
        <v>#REF!</v>
      </c>
      <c r="FQ115" t="e">
        <f>AND('Data Control'!#REF!,"AAAAAHN1/aw=")</f>
        <v>#REF!</v>
      </c>
      <c r="FR115" t="e">
        <f>AND('Data Control'!#REF!,"AAAAAHN1/a0=")</f>
        <v>#REF!</v>
      </c>
      <c r="FS115" t="e">
        <f>AND('Data Control'!#REF!,"AAAAAHN1/a4=")</f>
        <v>#REF!</v>
      </c>
      <c r="FT115" t="e">
        <f>AND('Data Control'!#REF!,"AAAAAHN1/a8=")</f>
        <v>#REF!</v>
      </c>
      <c r="FU115" t="e">
        <f>AND('Data Control'!#REF!,"AAAAAHN1/bA=")</f>
        <v>#REF!</v>
      </c>
      <c r="FV115" t="e">
        <f>AND('Data Control'!#REF!,"AAAAAHN1/bE=")</f>
        <v>#REF!</v>
      </c>
      <c r="FW115" t="e">
        <f>AND('Data Control'!#REF!,"AAAAAHN1/bI=")</f>
        <v>#REF!</v>
      </c>
      <c r="FX115" t="e">
        <f>AND('Data Control'!#REF!,"AAAAAHN1/bM=")</f>
        <v>#REF!</v>
      </c>
      <c r="FY115" t="e">
        <f>AND('Data Control'!#REF!,"AAAAAHN1/bQ=")</f>
        <v>#REF!</v>
      </c>
      <c r="FZ115" t="e">
        <f>AND('Data Control'!#REF!,"AAAAAHN1/bU=")</f>
        <v>#REF!</v>
      </c>
      <c r="GA115" t="e">
        <f>AND('Data Control'!#REF!,"AAAAAHN1/bY=")</f>
        <v>#REF!</v>
      </c>
      <c r="GB115" t="e">
        <f>IF('Data Control'!#REF!,"AAAAAHN1/bc=",0)</f>
        <v>#REF!</v>
      </c>
      <c r="GC115" t="e">
        <f>AND('Data Control'!#REF!,"AAAAAHN1/bg=")</f>
        <v>#REF!</v>
      </c>
      <c r="GD115" t="e">
        <f>AND('Data Control'!#REF!,"AAAAAHN1/bk=")</f>
        <v>#REF!</v>
      </c>
      <c r="GE115" t="e">
        <f>AND('Data Control'!#REF!,"AAAAAHN1/bo=")</f>
        <v>#REF!</v>
      </c>
      <c r="GF115" t="e">
        <f>AND('Data Control'!#REF!,"AAAAAHN1/bs=")</f>
        <v>#REF!</v>
      </c>
      <c r="GG115" t="e">
        <f>AND('Data Control'!#REF!,"AAAAAHN1/bw=")</f>
        <v>#REF!</v>
      </c>
      <c r="GH115" t="e">
        <f>AND('Data Control'!#REF!,"AAAAAHN1/b0=")</f>
        <v>#REF!</v>
      </c>
      <c r="GI115" t="e">
        <f>AND('Data Control'!#REF!,"AAAAAHN1/b4=")</f>
        <v>#REF!</v>
      </c>
      <c r="GJ115" t="e">
        <f>AND('Data Control'!#REF!,"AAAAAHN1/b8=")</f>
        <v>#REF!</v>
      </c>
      <c r="GK115" t="e">
        <f>AND('Data Control'!#REF!,"AAAAAHN1/cA=")</f>
        <v>#REF!</v>
      </c>
      <c r="GL115" t="e">
        <f>AND('Data Control'!#REF!,"AAAAAHN1/cE=")</f>
        <v>#REF!</v>
      </c>
      <c r="GM115" t="e">
        <f>AND('Data Control'!#REF!,"AAAAAHN1/cI=")</f>
        <v>#REF!</v>
      </c>
      <c r="GN115" t="e">
        <f>AND('Data Control'!#REF!,"AAAAAHN1/cM=")</f>
        <v>#REF!</v>
      </c>
      <c r="GO115" t="e">
        <f>AND('Data Control'!#REF!,"AAAAAHN1/cQ=")</f>
        <v>#REF!</v>
      </c>
      <c r="GP115" t="e">
        <f>IF('Data Control'!#REF!,"AAAAAHN1/cU=",0)</f>
        <v>#REF!</v>
      </c>
      <c r="GQ115" t="e">
        <f>AND('Data Control'!#REF!,"AAAAAHN1/cY=")</f>
        <v>#REF!</v>
      </c>
      <c r="GR115" t="e">
        <f>AND('Data Control'!#REF!,"AAAAAHN1/cc=")</f>
        <v>#REF!</v>
      </c>
      <c r="GS115" t="e">
        <f>AND('Data Control'!#REF!,"AAAAAHN1/cg=")</f>
        <v>#REF!</v>
      </c>
      <c r="GT115" t="e">
        <f>AND('Data Control'!#REF!,"AAAAAHN1/ck=")</f>
        <v>#REF!</v>
      </c>
      <c r="GU115" t="e">
        <f>AND('Data Control'!#REF!,"AAAAAHN1/co=")</f>
        <v>#REF!</v>
      </c>
      <c r="GV115" t="e">
        <f>AND('Data Control'!#REF!,"AAAAAHN1/cs=")</f>
        <v>#REF!</v>
      </c>
      <c r="GW115" t="e">
        <f>AND('Data Control'!#REF!,"AAAAAHN1/cw=")</f>
        <v>#REF!</v>
      </c>
      <c r="GX115" t="e">
        <f>AND('Data Control'!#REF!,"AAAAAHN1/c0=")</f>
        <v>#REF!</v>
      </c>
      <c r="GY115" t="e">
        <f>AND('Data Control'!#REF!,"AAAAAHN1/c4=")</f>
        <v>#REF!</v>
      </c>
      <c r="GZ115" t="e">
        <f>AND('Data Control'!#REF!,"AAAAAHN1/c8=")</f>
        <v>#REF!</v>
      </c>
      <c r="HA115" t="e">
        <f>AND('Data Control'!#REF!,"AAAAAHN1/dA=")</f>
        <v>#REF!</v>
      </c>
      <c r="HB115" t="e">
        <f>AND('Data Control'!#REF!,"AAAAAHN1/dE=")</f>
        <v>#REF!</v>
      </c>
      <c r="HC115" t="e">
        <f>AND('Data Control'!#REF!,"AAAAAHN1/dI=")</f>
        <v>#REF!</v>
      </c>
      <c r="HD115" t="e">
        <f>IF('Data Control'!#REF!,"AAAAAHN1/dM=",0)</f>
        <v>#REF!</v>
      </c>
      <c r="HE115" t="e">
        <f>AND('Data Control'!#REF!,"AAAAAHN1/dQ=")</f>
        <v>#REF!</v>
      </c>
      <c r="HF115" t="e">
        <f>AND('Data Control'!#REF!,"AAAAAHN1/dU=")</f>
        <v>#REF!</v>
      </c>
      <c r="HG115" t="e">
        <f>AND('Data Control'!#REF!,"AAAAAHN1/dY=")</f>
        <v>#REF!</v>
      </c>
      <c r="HH115" t="e">
        <f>AND('Data Control'!#REF!,"AAAAAHN1/dc=")</f>
        <v>#REF!</v>
      </c>
      <c r="HI115" t="e">
        <f>AND('Data Control'!#REF!,"AAAAAHN1/dg=")</f>
        <v>#REF!</v>
      </c>
      <c r="HJ115" t="e">
        <f>AND('Data Control'!#REF!,"AAAAAHN1/dk=")</f>
        <v>#REF!</v>
      </c>
      <c r="HK115" t="e">
        <f>AND('Data Control'!#REF!,"AAAAAHN1/do=")</f>
        <v>#REF!</v>
      </c>
      <c r="HL115" t="e">
        <f>AND('Data Control'!#REF!,"AAAAAHN1/ds=")</f>
        <v>#REF!</v>
      </c>
      <c r="HM115" t="e">
        <f>AND('Data Control'!#REF!,"AAAAAHN1/dw=")</f>
        <v>#REF!</v>
      </c>
      <c r="HN115" t="e">
        <f>AND('Data Control'!#REF!,"AAAAAHN1/d0=")</f>
        <v>#REF!</v>
      </c>
      <c r="HO115" t="e">
        <f>AND('Data Control'!#REF!,"AAAAAHN1/d4=")</f>
        <v>#REF!</v>
      </c>
      <c r="HP115" t="e">
        <f>AND('Data Control'!#REF!,"AAAAAHN1/d8=")</f>
        <v>#REF!</v>
      </c>
      <c r="HQ115" t="e">
        <f>AND('Data Control'!#REF!,"AAAAAHN1/eA=")</f>
        <v>#REF!</v>
      </c>
      <c r="HR115" t="e">
        <f>IF('Data Control'!#REF!,"AAAAAHN1/eE=",0)</f>
        <v>#REF!</v>
      </c>
      <c r="HS115" t="e">
        <f>AND('Data Control'!#REF!,"AAAAAHN1/eI=")</f>
        <v>#REF!</v>
      </c>
      <c r="HT115" t="e">
        <f>AND('Data Control'!#REF!,"AAAAAHN1/eM=")</f>
        <v>#REF!</v>
      </c>
      <c r="HU115" t="e">
        <f>AND('Data Control'!#REF!,"AAAAAHN1/eQ=")</f>
        <v>#REF!</v>
      </c>
      <c r="HV115" t="e">
        <f>AND('Data Control'!#REF!,"AAAAAHN1/eU=")</f>
        <v>#REF!</v>
      </c>
      <c r="HW115" t="e">
        <f>AND('Data Control'!#REF!,"AAAAAHN1/eY=")</f>
        <v>#REF!</v>
      </c>
      <c r="HX115" t="e">
        <f>AND('Data Control'!#REF!,"AAAAAHN1/ec=")</f>
        <v>#REF!</v>
      </c>
      <c r="HY115" t="e">
        <f>AND('Data Control'!#REF!,"AAAAAHN1/eg=")</f>
        <v>#REF!</v>
      </c>
      <c r="HZ115" t="e">
        <f>AND('Data Control'!#REF!,"AAAAAHN1/ek=")</f>
        <v>#REF!</v>
      </c>
      <c r="IA115" t="e">
        <f>AND('Data Control'!#REF!,"AAAAAHN1/eo=")</f>
        <v>#REF!</v>
      </c>
      <c r="IB115" t="e">
        <f>AND('Data Control'!#REF!,"AAAAAHN1/es=")</f>
        <v>#REF!</v>
      </c>
      <c r="IC115" t="e">
        <f>AND('Data Control'!#REF!,"AAAAAHN1/ew=")</f>
        <v>#REF!</v>
      </c>
      <c r="ID115" t="e">
        <f>AND('Data Control'!#REF!,"AAAAAHN1/e0=")</f>
        <v>#REF!</v>
      </c>
      <c r="IE115" t="e">
        <f>AND('Data Control'!#REF!,"AAAAAHN1/e4=")</f>
        <v>#REF!</v>
      </c>
      <c r="IF115" t="e">
        <f>IF('Data Control'!#REF!,"AAAAAHN1/e8=",0)</f>
        <v>#REF!</v>
      </c>
      <c r="IG115" t="e">
        <f>AND('Data Control'!#REF!,"AAAAAHN1/fA=")</f>
        <v>#REF!</v>
      </c>
      <c r="IH115" t="e">
        <f>AND('Data Control'!#REF!,"AAAAAHN1/fE=")</f>
        <v>#REF!</v>
      </c>
      <c r="II115" t="e">
        <f>AND('Data Control'!#REF!,"AAAAAHN1/fI=")</f>
        <v>#REF!</v>
      </c>
      <c r="IJ115" t="e">
        <f>AND('Data Control'!#REF!,"AAAAAHN1/fM=")</f>
        <v>#REF!</v>
      </c>
      <c r="IK115" t="e">
        <f>AND('Data Control'!#REF!,"AAAAAHN1/fQ=")</f>
        <v>#REF!</v>
      </c>
      <c r="IL115" t="e">
        <f>AND('Data Control'!#REF!,"AAAAAHN1/fU=")</f>
        <v>#REF!</v>
      </c>
      <c r="IM115" t="e">
        <f>AND('Data Control'!#REF!,"AAAAAHN1/fY=")</f>
        <v>#REF!</v>
      </c>
      <c r="IN115" t="e">
        <f>AND('Data Control'!#REF!,"AAAAAHN1/fc=")</f>
        <v>#REF!</v>
      </c>
      <c r="IO115" t="e">
        <f>AND('Data Control'!#REF!,"AAAAAHN1/fg=")</f>
        <v>#REF!</v>
      </c>
      <c r="IP115" t="e">
        <f>AND('Data Control'!#REF!,"AAAAAHN1/fk=")</f>
        <v>#REF!</v>
      </c>
      <c r="IQ115" t="e">
        <f>AND('Data Control'!#REF!,"AAAAAHN1/fo=")</f>
        <v>#REF!</v>
      </c>
      <c r="IR115" t="e">
        <f>AND('Data Control'!#REF!,"AAAAAHN1/fs=")</f>
        <v>#REF!</v>
      </c>
      <c r="IS115" t="e">
        <f>AND('Data Control'!#REF!,"AAAAAHN1/fw=")</f>
        <v>#REF!</v>
      </c>
      <c r="IT115" t="e">
        <f>IF('Data Control'!#REF!,"AAAAAHN1/f0=",0)</f>
        <v>#REF!</v>
      </c>
      <c r="IU115" t="e">
        <f>AND('Data Control'!#REF!,"AAAAAHN1/f4=")</f>
        <v>#REF!</v>
      </c>
      <c r="IV115" t="e">
        <f>AND('Data Control'!#REF!,"AAAAAHN1/f8=")</f>
        <v>#REF!</v>
      </c>
    </row>
    <row r="116" spans="1:256" x14ac:dyDescent="0.2">
      <c r="A116" t="e">
        <f>AND('Data Control'!#REF!,"AAAAADfUfwA=")</f>
        <v>#REF!</v>
      </c>
      <c r="B116" t="e">
        <f>AND('Data Control'!#REF!,"AAAAADfUfwE=")</f>
        <v>#REF!</v>
      </c>
      <c r="C116" t="e">
        <f>AND('Data Control'!#REF!,"AAAAADfUfwI=")</f>
        <v>#REF!</v>
      </c>
      <c r="D116" t="e">
        <f>AND('Data Control'!#REF!,"AAAAADfUfwM=")</f>
        <v>#REF!</v>
      </c>
      <c r="E116" t="e">
        <f>AND('Data Control'!#REF!,"AAAAADfUfwQ=")</f>
        <v>#REF!</v>
      </c>
      <c r="F116" t="e">
        <f>AND('Data Control'!#REF!,"AAAAADfUfwU=")</f>
        <v>#REF!</v>
      </c>
      <c r="G116" t="e">
        <f>AND('Data Control'!#REF!,"AAAAADfUfwY=")</f>
        <v>#REF!</v>
      </c>
      <c r="H116" t="e">
        <f>AND('Data Control'!#REF!,"AAAAADfUfwc=")</f>
        <v>#REF!</v>
      </c>
      <c r="I116" t="e">
        <f>AND('Data Control'!#REF!,"AAAAADfUfwg=")</f>
        <v>#REF!</v>
      </c>
      <c r="J116" t="e">
        <f>AND('Data Control'!#REF!,"AAAAADfUfwk=")</f>
        <v>#REF!</v>
      </c>
      <c r="K116" t="e">
        <f>AND('Data Control'!#REF!,"AAAAADfUfwo=")</f>
        <v>#REF!</v>
      </c>
      <c r="L116" t="e">
        <f>IF('Data Control'!#REF!,"AAAAADfUfws=",0)</f>
        <v>#REF!</v>
      </c>
      <c r="M116" t="e">
        <f>AND('Data Control'!#REF!,"AAAAADfUfww=")</f>
        <v>#REF!</v>
      </c>
      <c r="N116" t="e">
        <f>AND('Data Control'!#REF!,"AAAAADfUfw0=")</f>
        <v>#REF!</v>
      </c>
      <c r="O116" t="e">
        <f>AND('Data Control'!#REF!,"AAAAADfUfw4=")</f>
        <v>#REF!</v>
      </c>
      <c r="P116" t="e">
        <f>AND('Data Control'!#REF!,"AAAAADfUfw8=")</f>
        <v>#REF!</v>
      </c>
      <c r="Q116" t="e">
        <f>AND('Data Control'!#REF!,"AAAAADfUfxA=")</f>
        <v>#REF!</v>
      </c>
      <c r="R116" t="e">
        <f>AND('Data Control'!#REF!,"AAAAADfUfxE=")</f>
        <v>#REF!</v>
      </c>
      <c r="S116" t="e">
        <f>AND('Data Control'!#REF!,"AAAAADfUfxI=")</f>
        <v>#REF!</v>
      </c>
      <c r="T116" t="e">
        <f>AND('Data Control'!#REF!,"AAAAADfUfxM=")</f>
        <v>#REF!</v>
      </c>
      <c r="U116" t="e">
        <f>AND('Data Control'!#REF!,"AAAAADfUfxQ=")</f>
        <v>#REF!</v>
      </c>
      <c r="V116" t="e">
        <f>AND('Data Control'!#REF!,"AAAAADfUfxU=")</f>
        <v>#REF!</v>
      </c>
      <c r="W116" t="e">
        <f>AND('Data Control'!#REF!,"AAAAADfUfxY=")</f>
        <v>#REF!</v>
      </c>
      <c r="X116" t="e">
        <f>AND('Data Control'!#REF!,"AAAAADfUfxc=")</f>
        <v>#REF!</v>
      </c>
      <c r="Y116" t="e">
        <f>AND('Data Control'!#REF!,"AAAAADfUfxg=")</f>
        <v>#REF!</v>
      </c>
      <c r="Z116" t="e">
        <f>IF('Data Control'!#REF!,"AAAAADfUfxk=",0)</f>
        <v>#REF!</v>
      </c>
      <c r="AA116" t="e">
        <f>AND('Data Control'!#REF!,"AAAAADfUfxo=")</f>
        <v>#REF!</v>
      </c>
      <c r="AB116" t="e">
        <f>AND('Data Control'!#REF!,"AAAAADfUfxs=")</f>
        <v>#REF!</v>
      </c>
      <c r="AC116" t="e">
        <f>AND('Data Control'!#REF!,"AAAAADfUfxw=")</f>
        <v>#REF!</v>
      </c>
      <c r="AD116" t="e">
        <f>AND('Data Control'!#REF!,"AAAAADfUfx0=")</f>
        <v>#REF!</v>
      </c>
      <c r="AE116" t="e">
        <f>AND('Data Control'!#REF!,"AAAAADfUfx4=")</f>
        <v>#REF!</v>
      </c>
      <c r="AF116" t="e">
        <f>AND('Data Control'!#REF!,"AAAAADfUfx8=")</f>
        <v>#REF!</v>
      </c>
      <c r="AG116" t="e">
        <f>AND('Data Control'!#REF!,"AAAAADfUfyA=")</f>
        <v>#REF!</v>
      </c>
      <c r="AH116" t="e">
        <f>AND('Data Control'!#REF!,"AAAAADfUfyE=")</f>
        <v>#REF!</v>
      </c>
      <c r="AI116" t="e">
        <f>AND('Data Control'!#REF!,"AAAAADfUfyI=")</f>
        <v>#REF!</v>
      </c>
      <c r="AJ116" t="e">
        <f>AND('Data Control'!#REF!,"AAAAADfUfyM=")</f>
        <v>#REF!</v>
      </c>
      <c r="AK116" t="e">
        <f>AND('Data Control'!#REF!,"AAAAADfUfyQ=")</f>
        <v>#REF!</v>
      </c>
      <c r="AL116" t="e">
        <f>AND('Data Control'!#REF!,"AAAAADfUfyU=")</f>
        <v>#REF!</v>
      </c>
      <c r="AM116" t="e">
        <f>AND('Data Control'!#REF!,"AAAAADfUfyY=")</f>
        <v>#REF!</v>
      </c>
      <c r="AN116" t="e">
        <f>IF('Data Control'!#REF!,"AAAAADfUfyc=",0)</f>
        <v>#REF!</v>
      </c>
      <c r="AO116" t="e">
        <f>AND('Data Control'!#REF!,"AAAAADfUfyg=")</f>
        <v>#REF!</v>
      </c>
      <c r="AP116" t="e">
        <f>AND('Data Control'!#REF!,"AAAAADfUfyk=")</f>
        <v>#REF!</v>
      </c>
      <c r="AQ116" t="e">
        <f>AND('Data Control'!#REF!,"AAAAADfUfyo=")</f>
        <v>#REF!</v>
      </c>
      <c r="AR116" t="e">
        <f>AND('Data Control'!#REF!,"AAAAADfUfys=")</f>
        <v>#REF!</v>
      </c>
      <c r="AS116" t="e">
        <f>AND('Data Control'!#REF!,"AAAAADfUfyw=")</f>
        <v>#REF!</v>
      </c>
      <c r="AT116" t="e">
        <f>AND('Data Control'!#REF!,"AAAAADfUfy0=")</f>
        <v>#REF!</v>
      </c>
      <c r="AU116" t="e">
        <f>AND('Data Control'!#REF!,"AAAAADfUfy4=")</f>
        <v>#REF!</v>
      </c>
      <c r="AV116" t="e">
        <f>AND('Data Control'!#REF!,"AAAAADfUfy8=")</f>
        <v>#REF!</v>
      </c>
      <c r="AW116" t="e">
        <f>AND('Data Control'!#REF!,"AAAAADfUfzA=")</f>
        <v>#REF!</v>
      </c>
      <c r="AX116" t="e">
        <f>AND('Data Control'!#REF!,"AAAAADfUfzE=")</f>
        <v>#REF!</v>
      </c>
      <c r="AY116" t="e">
        <f>AND('Data Control'!#REF!,"AAAAADfUfzI=")</f>
        <v>#REF!</v>
      </c>
      <c r="AZ116" t="e">
        <f>AND('Data Control'!#REF!,"AAAAADfUfzM=")</f>
        <v>#REF!</v>
      </c>
      <c r="BA116" t="e">
        <f>AND('Data Control'!#REF!,"AAAAADfUfzQ=")</f>
        <v>#REF!</v>
      </c>
      <c r="BB116" t="e">
        <f>IF('Data Control'!#REF!,"AAAAADfUfzU=",0)</f>
        <v>#REF!</v>
      </c>
      <c r="BC116" t="e">
        <f>AND('Data Control'!#REF!,"AAAAADfUfzY=")</f>
        <v>#REF!</v>
      </c>
      <c r="BD116" t="e">
        <f>AND('Data Control'!#REF!,"AAAAADfUfzc=")</f>
        <v>#REF!</v>
      </c>
      <c r="BE116" t="e">
        <f>AND('Data Control'!#REF!,"AAAAADfUfzg=")</f>
        <v>#REF!</v>
      </c>
      <c r="BF116" t="e">
        <f>AND('Data Control'!#REF!,"AAAAADfUfzk=")</f>
        <v>#REF!</v>
      </c>
      <c r="BG116" t="e">
        <f>AND('Data Control'!#REF!,"AAAAADfUfzo=")</f>
        <v>#REF!</v>
      </c>
      <c r="BH116" t="e">
        <f>AND('Data Control'!#REF!,"AAAAADfUfzs=")</f>
        <v>#REF!</v>
      </c>
      <c r="BI116" t="e">
        <f>AND('Data Control'!#REF!,"AAAAADfUfzw=")</f>
        <v>#REF!</v>
      </c>
      <c r="BJ116" t="e">
        <f>AND('Data Control'!#REF!,"AAAAADfUfz0=")</f>
        <v>#REF!</v>
      </c>
      <c r="BK116" t="e">
        <f>AND('Data Control'!#REF!,"AAAAADfUfz4=")</f>
        <v>#REF!</v>
      </c>
      <c r="BL116" t="e">
        <f>AND('Data Control'!#REF!,"AAAAADfUfz8=")</f>
        <v>#REF!</v>
      </c>
      <c r="BM116" t="e">
        <f>AND('Data Control'!#REF!,"AAAAADfUf0A=")</f>
        <v>#REF!</v>
      </c>
      <c r="BN116" t="e">
        <f>AND('Data Control'!#REF!,"AAAAADfUf0E=")</f>
        <v>#REF!</v>
      </c>
      <c r="BO116" t="e">
        <f>AND('Data Control'!#REF!,"AAAAADfUf0I=")</f>
        <v>#REF!</v>
      </c>
      <c r="BP116" t="e">
        <f>IF('Data Control'!#REF!,"AAAAADfUf0M=",0)</f>
        <v>#REF!</v>
      </c>
      <c r="BQ116" t="e">
        <f>AND('Data Control'!#REF!,"AAAAADfUf0Q=")</f>
        <v>#REF!</v>
      </c>
      <c r="BR116" t="e">
        <f>AND('Data Control'!#REF!,"AAAAADfUf0U=")</f>
        <v>#REF!</v>
      </c>
      <c r="BS116" t="e">
        <f>AND('Data Control'!#REF!,"AAAAADfUf0Y=")</f>
        <v>#REF!</v>
      </c>
      <c r="BT116" t="e">
        <f>AND('Data Control'!#REF!,"AAAAADfUf0c=")</f>
        <v>#REF!</v>
      </c>
      <c r="BU116" t="e">
        <f>AND('Data Control'!#REF!,"AAAAADfUf0g=")</f>
        <v>#REF!</v>
      </c>
      <c r="BV116" t="e">
        <f>AND('Data Control'!#REF!,"AAAAADfUf0k=")</f>
        <v>#REF!</v>
      </c>
      <c r="BW116" t="e">
        <f>AND('Data Control'!#REF!,"AAAAADfUf0o=")</f>
        <v>#REF!</v>
      </c>
      <c r="BX116" t="e">
        <f>AND('Data Control'!#REF!,"AAAAADfUf0s=")</f>
        <v>#REF!</v>
      </c>
      <c r="BY116" t="e">
        <f>AND('Data Control'!#REF!,"AAAAADfUf0w=")</f>
        <v>#REF!</v>
      </c>
      <c r="BZ116" t="e">
        <f>AND('Data Control'!#REF!,"AAAAADfUf00=")</f>
        <v>#REF!</v>
      </c>
      <c r="CA116" t="e">
        <f>AND('Data Control'!#REF!,"AAAAADfUf04=")</f>
        <v>#REF!</v>
      </c>
      <c r="CB116" t="e">
        <f>AND('Data Control'!#REF!,"AAAAADfUf08=")</f>
        <v>#REF!</v>
      </c>
      <c r="CC116" t="e">
        <f>AND('Data Control'!#REF!,"AAAAADfUf1A=")</f>
        <v>#REF!</v>
      </c>
      <c r="CD116" t="e">
        <f>IF('Data Control'!#REF!,"AAAAADfUf1E=",0)</f>
        <v>#REF!</v>
      </c>
      <c r="CE116" t="e">
        <f>AND('Data Control'!#REF!,"AAAAADfUf1I=")</f>
        <v>#REF!</v>
      </c>
      <c r="CF116" t="e">
        <f>AND('Data Control'!#REF!,"AAAAADfUf1M=")</f>
        <v>#REF!</v>
      </c>
      <c r="CG116" t="e">
        <f>AND('Data Control'!#REF!,"AAAAADfUf1Q=")</f>
        <v>#REF!</v>
      </c>
      <c r="CH116" t="e">
        <f>AND('Data Control'!#REF!,"AAAAADfUf1U=")</f>
        <v>#REF!</v>
      </c>
      <c r="CI116" t="e">
        <f>AND('Data Control'!#REF!,"AAAAADfUf1Y=")</f>
        <v>#REF!</v>
      </c>
      <c r="CJ116" t="e">
        <f>AND('Data Control'!#REF!,"AAAAADfUf1c=")</f>
        <v>#REF!</v>
      </c>
      <c r="CK116" t="e">
        <f>AND('Data Control'!#REF!,"AAAAADfUf1g=")</f>
        <v>#REF!</v>
      </c>
      <c r="CL116" t="e">
        <f>AND('Data Control'!#REF!,"AAAAADfUf1k=")</f>
        <v>#REF!</v>
      </c>
      <c r="CM116" t="e">
        <f>AND('Data Control'!#REF!,"AAAAADfUf1o=")</f>
        <v>#REF!</v>
      </c>
      <c r="CN116" t="e">
        <f>AND('Data Control'!#REF!,"AAAAADfUf1s=")</f>
        <v>#REF!</v>
      </c>
      <c r="CO116" t="e">
        <f>AND('Data Control'!#REF!,"AAAAADfUf1w=")</f>
        <v>#REF!</v>
      </c>
      <c r="CP116" t="e">
        <f>AND('Data Control'!#REF!,"AAAAADfUf10=")</f>
        <v>#REF!</v>
      </c>
      <c r="CQ116" t="e">
        <f>AND('Data Control'!#REF!,"AAAAADfUf14=")</f>
        <v>#REF!</v>
      </c>
      <c r="CR116" t="e">
        <f>IF('Data Control'!#REF!,"AAAAADfUf18=",0)</f>
        <v>#REF!</v>
      </c>
      <c r="CS116" t="e">
        <f>AND('Data Control'!#REF!,"AAAAADfUf2A=")</f>
        <v>#REF!</v>
      </c>
      <c r="CT116" t="e">
        <f>AND('Data Control'!#REF!,"AAAAADfUf2E=")</f>
        <v>#REF!</v>
      </c>
      <c r="CU116" t="e">
        <f>AND('Data Control'!#REF!,"AAAAADfUf2I=")</f>
        <v>#REF!</v>
      </c>
      <c r="CV116" t="e">
        <f>AND('Data Control'!#REF!,"AAAAADfUf2M=")</f>
        <v>#REF!</v>
      </c>
      <c r="CW116" t="e">
        <f>AND('Data Control'!#REF!,"AAAAADfUf2Q=")</f>
        <v>#REF!</v>
      </c>
      <c r="CX116" t="e">
        <f>AND('Data Control'!#REF!,"AAAAADfUf2U=")</f>
        <v>#REF!</v>
      </c>
      <c r="CY116" t="e">
        <f>AND('Data Control'!#REF!,"AAAAADfUf2Y=")</f>
        <v>#REF!</v>
      </c>
      <c r="CZ116" t="e">
        <f>AND('Data Control'!#REF!,"AAAAADfUf2c=")</f>
        <v>#REF!</v>
      </c>
      <c r="DA116" t="e">
        <f>AND('Data Control'!#REF!,"AAAAADfUf2g=")</f>
        <v>#REF!</v>
      </c>
      <c r="DB116" t="e">
        <f>AND('Data Control'!#REF!,"AAAAADfUf2k=")</f>
        <v>#REF!</v>
      </c>
      <c r="DC116" t="e">
        <f>AND('Data Control'!#REF!,"AAAAADfUf2o=")</f>
        <v>#REF!</v>
      </c>
      <c r="DD116" t="e">
        <f>AND('Data Control'!#REF!,"AAAAADfUf2s=")</f>
        <v>#REF!</v>
      </c>
      <c r="DE116" t="e">
        <f>AND('Data Control'!#REF!,"AAAAADfUf2w=")</f>
        <v>#REF!</v>
      </c>
      <c r="DF116" t="e">
        <f>IF('Data Control'!#REF!,"AAAAADfUf20=",0)</f>
        <v>#REF!</v>
      </c>
      <c r="DG116" t="e">
        <f>AND('Data Control'!#REF!,"AAAAADfUf24=")</f>
        <v>#REF!</v>
      </c>
      <c r="DH116" t="e">
        <f>AND('Data Control'!#REF!,"AAAAADfUf28=")</f>
        <v>#REF!</v>
      </c>
      <c r="DI116" t="e">
        <f>AND('Data Control'!#REF!,"AAAAADfUf3A=")</f>
        <v>#REF!</v>
      </c>
      <c r="DJ116" t="e">
        <f>AND('Data Control'!#REF!,"AAAAADfUf3E=")</f>
        <v>#REF!</v>
      </c>
      <c r="DK116" t="e">
        <f>AND('Data Control'!#REF!,"AAAAADfUf3I=")</f>
        <v>#REF!</v>
      </c>
      <c r="DL116" t="e">
        <f>AND('Data Control'!#REF!,"AAAAADfUf3M=")</f>
        <v>#REF!</v>
      </c>
      <c r="DM116" t="e">
        <f>AND('Data Control'!#REF!,"AAAAADfUf3Q=")</f>
        <v>#REF!</v>
      </c>
      <c r="DN116" t="e">
        <f>AND('Data Control'!#REF!,"AAAAADfUf3U=")</f>
        <v>#REF!</v>
      </c>
      <c r="DO116" t="e">
        <f>AND('Data Control'!#REF!,"AAAAADfUf3Y=")</f>
        <v>#REF!</v>
      </c>
      <c r="DP116" t="e">
        <f>AND('Data Control'!#REF!,"AAAAADfUf3c=")</f>
        <v>#REF!</v>
      </c>
      <c r="DQ116" t="e">
        <f>AND('Data Control'!#REF!,"AAAAADfUf3g=")</f>
        <v>#REF!</v>
      </c>
      <c r="DR116" t="e">
        <f>AND('Data Control'!#REF!,"AAAAADfUf3k=")</f>
        <v>#REF!</v>
      </c>
      <c r="DS116" t="e">
        <f>AND('Data Control'!#REF!,"AAAAADfUf3o=")</f>
        <v>#REF!</v>
      </c>
      <c r="DT116" t="e">
        <f>IF('Data Control'!#REF!,"AAAAADfUf3s=",0)</f>
        <v>#REF!</v>
      </c>
      <c r="DU116" t="e">
        <f>AND('Data Control'!#REF!,"AAAAADfUf3w=")</f>
        <v>#REF!</v>
      </c>
      <c r="DV116" t="e">
        <f>AND('Data Control'!#REF!,"AAAAADfUf30=")</f>
        <v>#REF!</v>
      </c>
      <c r="DW116" t="e">
        <f>AND('Data Control'!#REF!,"AAAAADfUf34=")</f>
        <v>#REF!</v>
      </c>
      <c r="DX116" t="e">
        <f>AND('Data Control'!#REF!,"AAAAADfUf38=")</f>
        <v>#REF!</v>
      </c>
      <c r="DY116" t="e">
        <f>AND('Data Control'!#REF!,"AAAAADfUf4A=")</f>
        <v>#REF!</v>
      </c>
      <c r="DZ116" t="e">
        <f>AND('Data Control'!#REF!,"AAAAADfUf4E=")</f>
        <v>#REF!</v>
      </c>
      <c r="EA116" t="e">
        <f>AND('Data Control'!#REF!,"AAAAADfUf4I=")</f>
        <v>#REF!</v>
      </c>
      <c r="EB116" t="e">
        <f>AND('Data Control'!#REF!,"AAAAADfUf4M=")</f>
        <v>#REF!</v>
      </c>
      <c r="EC116" t="e">
        <f>AND('Data Control'!#REF!,"AAAAADfUf4Q=")</f>
        <v>#REF!</v>
      </c>
      <c r="ED116" t="e">
        <f>AND('Data Control'!#REF!,"AAAAADfUf4U=")</f>
        <v>#REF!</v>
      </c>
      <c r="EE116" t="e">
        <f>AND('Data Control'!#REF!,"AAAAADfUf4Y=")</f>
        <v>#REF!</v>
      </c>
      <c r="EF116" t="e">
        <f>AND('Data Control'!#REF!,"AAAAADfUf4c=")</f>
        <v>#REF!</v>
      </c>
      <c r="EG116" t="e">
        <f>AND('Data Control'!#REF!,"AAAAADfUf4g=")</f>
        <v>#REF!</v>
      </c>
      <c r="EH116" t="e">
        <f>IF('Data Control'!#REF!,"AAAAADfUf4k=",0)</f>
        <v>#REF!</v>
      </c>
      <c r="EI116" t="e">
        <f>AND('Data Control'!#REF!,"AAAAADfUf4o=")</f>
        <v>#REF!</v>
      </c>
      <c r="EJ116" t="e">
        <f>AND('Data Control'!#REF!,"AAAAADfUf4s=")</f>
        <v>#REF!</v>
      </c>
      <c r="EK116" t="e">
        <f>AND('Data Control'!#REF!,"AAAAADfUf4w=")</f>
        <v>#REF!</v>
      </c>
      <c r="EL116" t="e">
        <f>AND('Data Control'!#REF!,"AAAAADfUf40=")</f>
        <v>#REF!</v>
      </c>
      <c r="EM116" t="e">
        <f>AND('Data Control'!#REF!,"AAAAADfUf44=")</f>
        <v>#REF!</v>
      </c>
      <c r="EN116" t="e">
        <f>AND('Data Control'!#REF!,"AAAAADfUf48=")</f>
        <v>#REF!</v>
      </c>
      <c r="EO116" t="e">
        <f>AND('Data Control'!#REF!,"AAAAADfUf5A=")</f>
        <v>#REF!</v>
      </c>
      <c r="EP116" t="e">
        <f>AND('Data Control'!#REF!,"AAAAADfUf5E=")</f>
        <v>#REF!</v>
      </c>
      <c r="EQ116" t="e">
        <f>AND('Data Control'!#REF!,"AAAAADfUf5I=")</f>
        <v>#REF!</v>
      </c>
      <c r="ER116" t="e">
        <f>AND('Data Control'!#REF!,"AAAAADfUf5M=")</f>
        <v>#REF!</v>
      </c>
      <c r="ES116" t="e">
        <f>AND('Data Control'!#REF!,"AAAAADfUf5Q=")</f>
        <v>#REF!</v>
      </c>
      <c r="ET116" t="e">
        <f>AND('Data Control'!#REF!,"AAAAADfUf5U=")</f>
        <v>#REF!</v>
      </c>
      <c r="EU116" t="e">
        <f>AND('Data Control'!#REF!,"AAAAADfUf5Y=")</f>
        <v>#REF!</v>
      </c>
      <c r="EV116" t="e">
        <f>IF('Data Control'!#REF!,"AAAAADfUf5c=",0)</f>
        <v>#REF!</v>
      </c>
      <c r="EW116" t="e">
        <f>AND('Data Control'!#REF!,"AAAAADfUf5g=")</f>
        <v>#REF!</v>
      </c>
      <c r="EX116" t="e">
        <f>AND('Data Control'!#REF!,"AAAAADfUf5k=")</f>
        <v>#REF!</v>
      </c>
      <c r="EY116" t="e">
        <f>AND('Data Control'!#REF!,"AAAAADfUf5o=")</f>
        <v>#REF!</v>
      </c>
      <c r="EZ116" t="e">
        <f>AND('Data Control'!#REF!,"AAAAADfUf5s=")</f>
        <v>#REF!</v>
      </c>
      <c r="FA116" t="e">
        <f>AND('Data Control'!#REF!,"AAAAADfUf5w=")</f>
        <v>#REF!</v>
      </c>
      <c r="FB116" t="e">
        <f>AND('Data Control'!#REF!,"AAAAADfUf50=")</f>
        <v>#REF!</v>
      </c>
      <c r="FC116" t="e">
        <f>AND('Data Control'!#REF!,"AAAAADfUf54=")</f>
        <v>#REF!</v>
      </c>
      <c r="FD116" t="e">
        <f>AND('Data Control'!#REF!,"AAAAADfUf58=")</f>
        <v>#REF!</v>
      </c>
      <c r="FE116" t="e">
        <f>AND('Data Control'!#REF!,"AAAAADfUf6A=")</f>
        <v>#REF!</v>
      </c>
      <c r="FF116" t="e">
        <f>AND('Data Control'!#REF!,"AAAAADfUf6E=")</f>
        <v>#REF!</v>
      </c>
      <c r="FG116" t="e">
        <f>AND('Data Control'!#REF!,"AAAAADfUf6I=")</f>
        <v>#REF!</v>
      </c>
      <c r="FH116" t="e">
        <f>AND('Data Control'!#REF!,"AAAAADfUf6M=")</f>
        <v>#REF!</v>
      </c>
      <c r="FI116" t="e">
        <f>AND('Data Control'!#REF!,"AAAAADfUf6Q=")</f>
        <v>#REF!</v>
      </c>
      <c r="FJ116" t="e">
        <f>IF('Data Control'!#REF!,"AAAAADfUf6U=",0)</f>
        <v>#REF!</v>
      </c>
      <c r="FK116" t="e">
        <f>AND('Data Control'!#REF!,"AAAAADfUf6Y=")</f>
        <v>#REF!</v>
      </c>
      <c r="FL116" t="e">
        <f>AND('Data Control'!#REF!,"AAAAADfUf6c=")</f>
        <v>#REF!</v>
      </c>
      <c r="FM116" t="e">
        <f>AND('Data Control'!#REF!,"AAAAADfUf6g=")</f>
        <v>#REF!</v>
      </c>
      <c r="FN116" t="e">
        <f>AND('Data Control'!#REF!,"AAAAADfUf6k=")</f>
        <v>#REF!</v>
      </c>
      <c r="FO116" t="e">
        <f>AND('Data Control'!#REF!,"AAAAADfUf6o=")</f>
        <v>#REF!</v>
      </c>
      <c r="FP116" t="e">
        <f>AND('Data Control'!#REF!,"AAAAADfUf6s=")</f>
        <v>#REF!</v>
      </c>
      <c r="FQ116" t="e">
        <f>AND('Data Control'!#REF!,"AAAAADfUf6w=")</f>
        <v>#REF!</v>
      </c>
      <c r="FR116" t="e">
        <f>AND('Data Control'!#REF!,"AAAAADfUf60=")</f>
        <v>#REF!</v>
      </c>
      <c r="FS116" t="e">
        <f>AND('Data Control'!#REF!,"AAAAADfUf64=")</f>
        <v>#REF!</v>
      </c>
      <c r="FT116" t="e">
        <f>AND('Data Control'!#REF!,"AAAAADfUf68=")</f>
        <v>#REF!</v>
      </c>
      <c r="FU116" t="e">
        <f>AND('Data Control'!#REF!,"AAAAADfUf7A=")</f>
        <v>#REF!</v>
      </c>
      <c r="FV116" t="e">
        <f>AND('Data Control'!#REF!,"AAAAADfUf7E=")</f>
        <v>#REF!</v>
      </c>
      <c r="FW116" t="e">
        <f>AND('Data Control'!#REF!,"AAAAADfUf7I=")</f>
        <v>#REF!</v>
      </c>
      <c r="FX116" t="e">
        <f>IF('Data Control'!#REF!,"AAAAADfUf7M=",0)</f>
        <v>#REF!</v>
      </c>
      <c r="FY116" t="e">
        <f>AND('Data Control'!#REF!,"AAAAADfUf7Q=")</f>
        <v>#REF!</v>
      </c>
      <c r="FZ116" t="e">
        <f>AND('Data Control'!#REF!,"AAAAADfUf7U=")</f>
        <v>#REF!</v>
      </c>
      <c r="GA116" t="e">
        <f>AND('Data Control'!#REF!,"AAAAADfUf7Y=")</f>
        <v>#REF!</v>
      </c>
      <c r="GB116" t="e">
        <f>AND('Data Control'!#REF!,"AAAAADfUf7c=")</f>
        <v>#REF!</v>
      </c>
      <c r="GC116" t="e">
        <f>AND('Data Control'!#REF!,"AAAAADfUf7g=")</f>
        <v>#REF!</v>
      </c>
      <c r="GD116" t="e">
        <f>AND('Data Control'!#REF!,"AAAAADfUf7k=")</f>
        <v>#REF!</v>
      </c>
      <c r="GE116" t="e">
        <f>AND('Data Control'!#REF!,"AAAAADfUf7o=")</f>
        <v>#REF!</v>
      </c>
      <c r="GF116" t="e">
        <f>AND('Data Control'!#REF!,"AAAAADfUf7s=")</f>
        <v>#REF!</v>
      </c>
      <c r="GG116" t="e">
        <f>AND('Data Control'!#REF!,"AAAAADfUf7w=")</f>
        <v>#REF!</v>
      </c>
      <c r="GH116" t="e">
        <f>AND('Data Control'!#REF!,"AAAAADfUf70=")</f>
        <v>#REF!</v>
      </c>
      <c r="GI116" t="e">
        <f>AND('Data Control'!#REF!,"AAAAADfUf74=")</f>
        <v>#REF!</v>
      </c>
      <c r="GJ116" t="e">
        <f>AND('Data Control'!#REF!,"AAAAADfUf78=")</f>
        <v>#REF!</v>
      </c>
      <c r="GK116" t="e">
        <f>AND('Data Control'!#REF!,"AAAAADfUf8A=")</f>
        <v>#REF!</v>
      </c>
      <c r="GL116" t="e">
        <f>IF('Data Control'!#REF!,"AAAAADfUf8E=",0)</f>
        <v>#REF!</v>
      </c>
      <c r="GM116" t="e">
        <f>AND('Data Control'!#REF!,"AAAAADfUf8I=")</f>
        <v>#REF!</v>
      </c>
      <c r="GN116" t="e">
        <f>AND('Data Control'!#REF!,"AAAAADfUf8M=")</f>
        <v>#REF!</v>
      </c>
      <c r="GO116" t="e">
        <f>AND('Data Control'!#REF!,"AAAAADfUf8Q=")</f>
        <v>#REF!</v>
      </c>
      <c r="GP116" t="e">
        <f>AND('Data Control'!#REF!,"AAAAADfUf8U=")</f>
        <v>#REF!</v>
      </c>
      <c r="GQ116" t="e">
        <f>AND('Data Control'!#REF!,"AAAAADfUf8Y=")</f>
        <v>#REF!</v>
      </c>
      <c r="GR116" t="e">
        <f>AND('Data Control'!#REF!,"AAAAADfUf8c=")</f>
        <v>#REF!</v>
      </c>
      <c r="GS116" t="e">
        <f>AND('Data Control'!#REF!,"AAAAADfUf8g=")</f>
        <v>#REF!</v>
      </c>
      <c r="GT116" t="e">
        <f>AND('Data Control'!#REF!,"AAAAADfUf8k=")</f>
        <v>#REF!</v>
      </c>
      <c r="GU116" t="e">
        <f>AND('Data Control'!#REF!,"AAAAADfUf8o=")</f>
        <v>#REF!</v>
      </c>
      <c r="GV116" t="e">
        <f>AND('Data Control'!#REF!,"AAAAADfUf8s=")</f>
        <v>#REF!</v>
      </c>
      <c r="GW116" t="e">
        <f>AND('Data Control'!#REF!,"AAAAADfUf8w=")</f>
        <v>#REF!</v>
      </c>
      <c r="GX116" t="e">
        <f>AND('Data Control'!#REF!,"AAAAADfUf80=")</f>
        <v>#REF!</v>
      </c>
      <c r="GY116" t="e">
        <f>AND('Data Control'!#REF!,"AAAAADfUf84=")</f>
        <v>#REF!</v>
      </c>
      <c r="GZ116" t="e">
        <f>IF('Data Control'!#REF!,"AAAAADfUf88=",0)</f>
        <v>#REF!</v>
      </c>
      <c r="HA116" t="e">
        <f>AND('Data Control'!#REF!,"AAAAADfUf9A=")</f>
        <v>#REF!</v>
      </c>
      <c r="HB116" t="e">
        <f>AND('Data Control'!#REF!,"AAAAADfUf9E=")</f>
        <v>#REF!</v>
      </c>
      <c r="HC116" t="e">
        <f>AND('Data Control'!#REF!,"AAAAADfUf9I=")</f>
        <v>#REF!</v>
      </c>
      <c r="HD116" t="e">
        <f>AND('Data Control'!#REF!,"AAAAADfUf9M=")</f>
        <v>#REF!</v>
      </c>
      <c r="HE116" t="e">
        <f>AND('Data Control'!#REF!,"AAAAADfUf9Q=")</f>
        <v>#REF!</v>
      </c>
      <c r="HF116" t="e">
        <f>AND('Data Control'!#REF!,"AAAAADfUf9U=")</f>
        <v>#REF!</v>
      </c>
      <c r="HG116" t="e">
        <f>AND('Data Control'!#REF!,"AAAAADfUf9Y=")</f>
        <v>#REF!</v>
      </c>
      <c r="HH116" t="e">
        <f>AND('Data Control'!#REF!,"AAAAADfUf9c=")</f>
        <v>#REF!</v>
      </c>
      <c r="HI116" t="e">
        <f>AND('Data Control'!#REF!,"AAAAADfUf9g=")</f>
        <v>#REF!</v>
      </c>
      <c r="HJ116" t="e">
        <f>AND('Data Control'!#REF!,"AAAAADfUf9k=")</f>
        <v>#REF!</v>
      </c>
      <c r="HK116" t="e">
        <f>AND('Data Control'!#REF!,"AAAAADfUf9o=")</f>
        <v>#REF!</v>
      </c>
      <c r="HL116" t="e">
        <f>AND('Data Control'!#REF!,"AAAAADfUf9s=")</f>
        <v>#REF!</v>
      </c>
      <c r="HM116" t="e">
        <f>AND('Data Control'!#REF!,"AAAAADfUf9w=")</f>
        <v>#REF!</v>
      </c>
      <c r="HN116" t="e">
        <f>IF('Data Control'!#REF!,"AAAAADfUf90=",0)</f>
        <v>#REF!</v>
      </c>
      <c r="HO116" t="e">
        <f>AND('Data Control'!#REF!,"AAAAADfUf94=")</f>
        <v>#REF!</v>
      </c>
      <c r="HP116" t="e">
        <f>AND('Data Control'!#REF!,"AAAAADfUf98=")</f>
        <v>#REF!</v>
      </c>
      <c r="HQ116" t="e">
        <f>AND('Data Control'!#REF!,"AAAAADfUf+A=")</f>
        <v>#REF!</v>
      </c>
      <c r="HR116" t="e">
        <f>AND('Data Control'!#REF!,"AAAAADfUf+E=")</f>
        <v>#REF!</v>
      </c>
      <c r="HS116" t="e">
        <f>AND('Data Control'!#REF!,"AAAAADfUf+I=")</f>
        <v>#REF!</v>
      </c>
      <c r="HT116" t="e">
        <f>AND('Data Control'!#REF!,"AAAAADfUf+M=")</f>
        <v>#REF!</v>
      </c>
      <c r="HU116" t="e">
        <f>AND('Data Control'!#REF!,"AAAAADfUf+Q=")</f>
        <v>#REF!</v>
      </c>
      <c r="HV116" t="e">
        <f>AND('Data Control'!#REF!,"AAAAADfUf+U=")</f>
        <v>#REF!</v>
      </c>
      <c r="HW116" t="e">
        <f>AND('Data Control'!#REF!,"AAAAADfUf+Y=")</f>
        <v>#REF!</v>
      </c>
      <c r="HX116" t="e">
        <f>AND('Data Control'!#REF!,"AAAAADfUf+c=")</f>
        <v>#REF!</v>
      </c>
      <c r="HY116" t="e">
        <f>AND('Data Control'!#REF!,"AAAAADfUf+g=")</f>
        <v>#REF!</v>
      </c>
      <c r="HZ116" t="e">
        <f>AND('Data Control'!#REF!,"AAAAADfUf+k=")</f>
        <v>#REF!</v>
      </c>
      <c r="IA116" t="e">
        <f>AND('Data Control'!#REF!,"AAAAADfUf+o=")</f>
        <v>#REF!</v>
      </c>
      <c r="IB116" t="e">
        <f>IF('Data Control'!#REF!,"AAAAADfUf+s=",0)</f>
        <v>#REF!</v>
      </c>
      <c r="IC116" t="e">
        <f>AND('Data Control'!#REF!,"AAAAADfUf+w=")</f>
        <v>#REF!</v>
      </c>
      <c r="ID116" t="e">
        <f>AND('Data Control'!#REF!,"AAAAADfUf+0=")</f>
        <v>#REF!</v>
      </c>
      <c r="IE116" t="e">
        <f>AND('Data Control'!#REF!,"AAAAADfUf+4=")</f>
        <v>#REF!</v>
      </c>
      <c r="IF116" t="e">
        <f>AND('Data Control'!#REF!,"AAAAADfUf+8=")</f>
        <v>#REF!</v>
      </c>
      <c r="IG116" t="e">
        <f>AND('Data Control'!#REF!,"AAAAADfUf/A=")</f>
        <v>#REF!</v>
      </c>
      <c r="IH116" t="e">
        <f>AND('Data Control'!#REF!,"AAAAADfUf/E=")</f>
        <v>#REF!</v>
      </c>
      <c r="II116" t="e">
        <f>AND('Data Control'!#REF!,"AAAAADfUf/I=")</f>
        <v>#REF!</v>
      </c>
      <c r="IJ116" t="e">
        <f>AND('Data Control'!#REF!,"AAAAADfUf/M=")</f>
        <v>#REF!</v>
      </c>
      <c r="IK116" t="e">
        <f>AND('Data Control'!#REF!,"AAAAADfUf/Q=")</f>
        <v>#REF!</v>
      </c>
      <c r="IL116" t="e">
        <f>AND('Data Control'!#REF!,"AAAAADfUf/U=")</f>
        <v>#REF!</v>
      </c>
      <c r="IM116" t="e">
        <f>AND('Data Control'!#REF!,"AAAAADfUf/Y=")</f>
        <v>#REF!</v>
      </c>
      <c r="IN116" t="e">
        <f>AND('Data Control'!#REF!,"AAAAADfUf/c=")</f>
        <v>#REF!</v>
      </c>
      <c r="IO116" t="e">
        <f>AND('Data Control'!#REF!,"AAAAADfUf/g=")</f>
        <v>#REF!</v>
      </c>
      <c r="IP116" t="e">
        <f>IF('Data Control'!#REF!,"AAAAADfUf/k=",0)</f>
        <v>#REF!</v>
      </c>
      <c r="IQ116" t="e">
        <f>AND('Data Control'!#REF!,"AAAAADfUf/o=")</f>
        <v>#REF!</v>
      </c>
      <c r="IR116" t="e">
        <f>AND('Data Control'!#REF!,"AAAAADfUf/s=")</f>
        <v>#REF!</v>
      </c>
      <c r="IS116" t="e">
        <f>AND('Data Control'!#REF!,"AAAAADfUf/w=")</f>
        <v>#REF!</v>
      </c>
      <c r="IT116" t="e">
        <f>AND('Data Control'!#REF!,"AAAAADfUf/0=")</f>
        <v>#REF!</v>
      </c>
      <c r="IU116" t="e">
        <f>AND('Data Control'!#REF!,"AAAAADfUf/4=")</f>
        <v>#REF!</v>
      </c>
      <c r="IV116" t="e">
        <f>AND('Data Control'!#REF!,"AAAAADfUf/8=")</f>
        <v>#REF!</v>
      </c>
    </row>
    <row r="117" spans="1:256" x14ac:dyDescent="0.2">
      <c r="A117" t="e">
        <f>AND('Data Control'!#REF!,"AAAAADvXnQA=")</f>
        <v>#REF!</v>
      </c>
      <c r="B117" t="e">
        <f>AND('Data Control'!#REF!,"AAAAADvXnQE=")</f>
        <v>#REF!</v>
      </c>
      <c r="C117" t="e">
        <f>AND('Data Control'!#REF!,"AAAAADvXnQI=")</f>
        <v>#REF!</v>
      </c>
      <c r="D117" t="e">
        <f>AND('Data Control'!#REF!,"AAAAADvXnQM=")</f>
        <v>#REF!</v>
      </c>
      <c r="E117" t="e">
        <f>AND('Data Control'!#REF!,"AAAAADvXnQQ=")</f>
        <v>#REF!</v>
      </c>
      <c r="F117" t="e">
        <f>AND('Data Control'!#REF!,"AAAAADvXnQU=")</f>
        <v>#REF!</v>
      </c>
      <c r="G117" t="e">
        <f>AND('Data Control'!#REF!,"AAAAADvXnQY=")</f>
        <v>#REF!</v>
      </c>
      <c r="H117" t="e">
        <f>IF('Data Control'!#REF!,"AAAAADvXnQc=",0)</f>
        <v>#REF!</v>
      </c>
      <c r="I117" t="e">
        <f>AND('Data Control'!#REF!,"AAAAADvXnQg=")</f>
        <v>#REF!</v>
      </c>
      <c r="J117" t="e">
        <f>AND('Data Control'!#REF!,"AAAAADvXnQk=")</f>
        <v>#REF!</v>
      </c>
      <c r="K117" t="e">
        <f>AND('Data Control'!#REF!,"AAAAADvXnQo=")</f>
        <v>#REF!</v>
      </c>
      <c r="L117" t="e">
        <f>AND('Data Control'!#REF!,"AAAAADvXnQs=")</f>
        <v>#REF!</v>
      </c>
      <c r="M117" t="e">
        <f>AND('Data Control'!#REF!,"AAAAADvXnQw=")</f>
        <v>#REF!</v>
      </c>
      <c r="N117" t="e">
        <f>AND('Data Control'!#REF!,"AAAAADvXnQ0=")</f>
        <v>#REF!</v>
      </c>
      <c r="O117" t="e">
        <f>AND('Data Control'!#REF!,"AAAAADvXnQ4=")</f>
        <v>#REF!</v>
      </c>
      <c r="P117" t="e">
        <f>AND('Data Control'!#REF!,"AAAAADvXnQ8=")</f>
        <v>#REF!</v>
      </c>
      <c r="Q117" t="e">
        <f>AND('Data Control'!#REF!,"AAAAADvXnRA=")</f>
        <v>#REF!</v>
      </c>
      <c r="R117" t="e">
        <f>AND('Data Control'!#REF!,"AAAAADvXnRE=")</f>
        <v>#REF!</v>
      </c>
      <c r="S117" t="e">
        <f>AND('Data Control'!#REF!,"AAAAADvXnRI=")</f>
        <v>#REF!</v>
      </c>
      <c r="T117" t="e">
        <f>AND('Data Control'!#REF!,"AAAAADvXnRM=")</f>
        <v>#REF!</v>
      </c>
      <c r="U117" t="e">
        <f>AND('Data Control'!#REF!,"AAAAADvXnRQ=")</f>
        <v>#REF!</v>
      </c>
      <c r="V117" t="e">
        <f>IF('Data Control'!#REF!,"AAAAADvXnRU=",0)</f>
        <v>#REF!</v>
      </c>
      <c r="W117" t="e">
        <f>AND('Data Control'!#REF!,"AAAAADvXnRY=")</f>
        <v>#REF!</v>
      </c>
      <c r="X117" t="e">
        <f>AND('Data Control'!#REF!,"AAAAADvXnRc=")</f>
        <v>#REF!</v>
      </c>
      <c r="Y117" t="e">
        <f>AND('Data Control'!#REF!,"AAAAADvXnRg=")</f>
        <v>#REF!</v>
      </c>
      <c r="Z117" t="e">
        <f>AND('Data Control'!#REF!,"AAAAADvXnRk=")</f>
        <v>#REF!</v>
      </c>
      <c r="AA117" t="e">
        <f>AND('Data Control'!#REF!,"AAAAADvXnRo=")</f>
        <v>#REF!</v>
      </c>
      <c r="AB117" t="e">
        <f>AND('Data Control'!#REF!,"AAAAADvXnRs=")</f>
        <v>#REF!</v>
      </c>
      <c r="AC117" t="e">
        <f>AND('Data Control'!#REF!,"AAAAADvXnRw=")</f>
        <v>#REF!</v>
      </c>
      <c r="AD117" t="e">
        <f>AND('Data Control'!#REF!,"AAAAADvXnR0=")</f>
        <v>#REF!</v>
      </c>
      <c r="AE117" t="e">
        <f>AND('Data Control'!#REF!,"AAAAADvXnR4=")</f>
        <v>#REF!</v>
      </c>
      <c r="AF117" t="e">
        <f>AND('Data Control'!#REF!,"AAAAADvXnR8=")</f>
        <v>#REF!</v>
      </c>
      <c r="AG117" t="e">
        <f>AND('Data Control'!#REF!,"AAAAADvXnSA=")</f>
        <v>#REF!</v>
      </c>
      <c r="AH117" t="e">
        <f>AND('Data Control'!#REF!,"AAAAADvXnSE=")</f>
        <v>#REF!</v>
      </c>
      <c r="AI117" t="e">
        <f>AND('Data Control'!#REF!,"AAAAADvXnSI=")</f>
        <v>#REF!</v>
      </c>
      <c r="AJ117" t="e">
        <f>IF('Data Control'!#REF!,"AAAAADvXnSM=",0)</f>
        <v>#REF!</v>
      </c>
      <c r="AK117" t="e">
        <f>AND('Data Control'!#REF!,"AAAAADvXnSQ=")</f>
        <v>#REF!</v>
      </c>
      <c r="AL117" t="e">
        <f>AND('Data Control'!#REF!,"AAAAADvXnSU=")</f>
        <v>#REF!</v>
      </c>
      <c r="AM117" t="e">
        <f>AND('Data Control'!#REF!,"AAAAADvXnSY=")</f>
        <v>#REF!</v>
      </c>
      <c r="AN117" t="e">
        <f>AND('Data Control'!#REF!,"AAAAADvXnSc=")</f>
        <v>#REF!</v>
      </c>
      <c r="AO117" t="e">
        <f>AND('Data Control'!#REF!,"AAAAADvXnSg=")</f>
        <v>#REF!</v>
      </c>
      <c r="AP117" t="e">
        <f>AND('Data Control'!#REF!,"AAAAADvXnSk=")</f>
        <v>#REF!</v>
      </c>
      <c r="AQ117" t="e">
        <f>AND('Data Control'!#REF!,"AAAAADvXnSo=")</f>
        <v>#REF!</v>
      </c>
      <c r="AR117" t="e">
        <f>AND('Data Control'!#REF!,"AAAAADvXnSs=")</f>
        <v>#REF!</v>
      </c>
      <c r="AS117" t="e">
        <f>AND('Data Control'!#REF!,"AAAAADvXnSw=")</f>
        <v>#REF!</v>
      </c>
      <c r="AT117" t="e">
        <f>AND('Data Control'!#REF!,"AAAAADvXnS0=")</f>
        <v>#REF!</v>
      </c>
      <c r="AU117" t="e">
        <f>AND('Data Control'!#REF!,"AAAAADvXnS4=")</f>
        <v>#REF!</v>
      </c>
      <c r="AV117" t="e">
        <f>AND('Data Control'!#REF!,"AAAAADvXnS8=")</f>
        <v>#REF!</v>
      </c>
      <c r="AW117" t="e">
        <f>AND('Data Control'!#REF!,"AAAAADvXnTA=")</f>
        <v>#REF!</v>
      </c>
      <c r="AX117" t="e">
        <f>IF('Data Control'!#REF!,"AAAAADvXnTE=",0)</f>
        <v>#REF!</v>
      </c>
      <c r="AY117" t="e">
        <f>AND('Data Control'!#REF!,"AAAAADvXnTI=")</f>
        <v>#REF!</v>
      </c>
      <c r="AZ117" t="e">
        <f>AND('Data Control'!#REF!,"AAAAADvXnTM=")</f>
        <v>#REF!</v>
      </c>
      <c r="BA117" t="e">
        <f>AND('Data Control'!#REF!,"AAAAADvXnTQ=")</f>
        <v>#REF!</v>
      </c>
      <c r="BB117" t="e">
        <f>AND('Data Control'!#REF!,"AAAAADvXnTU=")</f>
        <v>#REF!</v>
      </c>
      <c r="BC117" t="e">
        <f>AND('Data Control'!#REF!,"AAAAADvXnTY=")</f>
        <v>#REF!</v>
      </c>
      <c r="BD117" t="e">
        <f>AND('Data Control'!#REF!,"AAAAADvXnTc=")</f>
        <v>#REF!</v>
      </c>
      <c r="BE117" t="e">
        <f>AND('Data Control'!#REF!,"AAAAADvXnTg=")</f>
        <v>#REF!</v>
      </c>
      <c r="BF117" t="e">
        <f>AND('Data Control'!#REF!,"AAAAADvXnTk=")</f>
        <v>#REF!</v>
      </c>
      <c r="BG117" t="e">
        <f>AND('Data Control'!#REF!,"AAAAADvXnTo=")</f>
        <v>#REF!</v>
      </c>
      <c r="BH117" t="e">
        <f>AND('Data Control'!#REF!,"AAAAADvXnTs=")</f>
        <v>#REF!</v>
      </c>
      <c r="BI117" t="e">
        <f>AND('Data Control'!#REF!,"AAAAADvXnTw=")</f>
        <v>#REF!</v>
      </c>
      <c r="BJ117" t="e">
        <f>AND('Data Control'!#REF!,"AAAAADvXnT0=")</f>
        <v>#REF!</v>
      </c>
      <c r="BK117" t="e">
        <f>AND('Data Control'!#REF!,"AAAAADvXnT4=")</f>
        <v>#REF!</v>
      </c>
      <c r="BL117" t="e">
        <f>IF('Data Control'!#REF!,"AAAAADvXnT8=",0)</f>
        <v>#REF!</v>
      </c>
      <c r="BM117" t="e">
        <f>AND('Data Control'!#REF!,"AAAAADvXnUA=")</f>
        <v>#REF!</v>
      </c>
      <c r="BN117" t="e">
        <f>AND('Data Control'!#REF!,"AAAAADvXnUE=")</f>
        <v>#REF!</v>
      </c>
      <c r="BO117" t="e">
        <f>AND('Data Control'!#REF!,"AAAAADvXnUI=")</f>
        <v>#REF!</v>
      </c>
      <c r="BP117" t="e">
        <f>AND('Data Control'!#REF!,"AAAAADvXnUM=")</f>
        <v>#REF!</v>
      </c>
      <c r="BQ117" t="e">
        <f>AND('Data Control'!#REF!,"AAAAADvXnUQ=")</f>
        <v>#REF!</v>
      </c>
      <c r="BR117" t="e">
        <f>AND('Data Control'!#REF!,"AAAAADvXnUU=")</f>
        <v>#REF!</v>
      </c>
      <c r="BS117" t="e">
        <f>AND('Data Control'!#REF!,"AAAAADvXnUY=")</f>
        <v>#REF!</v>
      </c>
      <c r="BT117" t="e">
        <f>AND('Data Control'!#REF!,"AAAAADvXnUc=")</f>
        <v>#REF!</v>
      </c>
      <c r="BU117" t="e">
        <f>AND('Data Control'!#REF!,"AAAAADvXnUg=")</f>
        <v>#REF!</v>
      </c>
      <c r="BV117" t="e">
        <f>AND('Data Control'!#REF!,"AAAAADvXnUk=")</f>
        <v>#REF!</v>
      </c>
      <c r="BW117" t="e">
        <f>AND('Data Control'!#REF!,"AAAAADvXnUo=")</f>
        <v>#REF!</v>
      </c>
      <c r="BX117" t="e">
        <f>AND('Data Control'!#REF!,"AAAAADvXnUs=")</f>
        <v>#REF!</v>
      </c>
      <c r="BY117" t="e">
        <f>AND('Data Control'!#REF!,"AAAAADvXnUw=")</f>
        <v>#REF!</v>
      </c>
      <c r="BZ117" t="e">
        <f>IF('Data Control'!#REF!,"AAAAADvXnU0=",0)</f>
        <v>#REF!</v>
      </c>
      <c r="CA117" t="e">
        <f>AND('Data Control'!#REF!,"AAAAADvXnU4=")</f>
        <v>#REF!</v>
      </c>
      <c r="CB117" t="e">
        <f>AND('Data Control'!#REF!,"AAAAADvXnU8=")</f>
        <v>#REF!</v>
      </c>
      <c r="CC117" t="e">
        <f>AND('Data Control'!#REF!,"AAAAADvXnVA=")</f>
        <v>#REF!</v>
      </c>
      <c r="CD117" t="e">
        <f>AND('Data Control'!#REF!,"AAAAADvXnVE=")</f>
        <v>#REF!</v>
      </c>
      <c r="CE117" t="e">
        <f>AND('Data Control'!#REF!,"AAAAADvXnVI=")</f>
        <v>#REF!</v>
      </c>
      <c r="CF117" t="e">
        <f>AND('Data Control'!#REF!,"AAAAADvXnVM=")</f>
        <v>#REF!</v>
      </c>
      <c r="CG117" t="e">
        <f>AND('Data Control'!#REF!,"AAAAADvXnVQ=")</f>
        <v>#REF!</v>
      </c>
      <c r="CH117" t="e">
        <f>AND('Data Control'!#REF!,"AAAAADvXnVU=")</f>
        <v>#REF!</v>
      </c>
      <c r="CI117" t="e">
        <f>AND('Data Control'!#REF!,"AAAAADvXnVY=")</f>
        <v>#REF!</v>
      </c>
      <c r="CJ117" t="e">
        <f>AND('Data Control'!#REF!,"AAAAADvXnVc=")</f>
        <v>#REF!</v>
      </c>
      <c r="CK117" t="e">
        <f>AND('Data Control'!#REF!,"AAAAADvXnVg=")</f>
        <v>#REF!</v>
      </c>
      <c r="CL117" t="e">
        <f>AND('Data Control'!#REF!,"AAAAADvXnVk=")</f>
        <v>#REF!</v>
      </c>
      <c r="CM117" t="e">
        <f>AND('Data Control'!#REF!,"AAAAADvXnVo=")</f>
        <v>#REF!</v>
      </c>
      <c r="CN117" t="e">
        <f>IF('Data Control'!#REF!,"AAAAADvXnVs=",0)</f>
        <v>#REF!</v>
      </c>
      <c r="CO117" t="e">
        <f>AND('Data Control'!#REF!,"AAAAADvXnVw=")</f>
        <v>#REF!</v>
      </c>
      <c r="CP117" t="e">
        <f>AND('Data Control'!#REF!,"AAAAADvXnV0=")</f>
        <v>#REF!</v>
      </c>
      <c r="CQ117" t="e">
        <f>AND('Data Control'!#REF!,"AAAAADvXnV4=")</f>
        <v>#REF!</v>
      </c>
      <c r="CR117" t="e">
        <f>AND('Data Control'!#REF!,"AAAAADvXnV8=")</f>
        <v>#REF!</v>
      </c>
      <c r="CS117" t="e">
        <f>AND('Data Control'!#REF!,"AAAAADvXnWA=")</f>
        <v>#REF!</v>
      </c>
      <c r="CT117" t="e">
        <f>AND('Data Control'!#REF!,"AAAAADvXnWE=")</f>
        <v>#REF!</v>
      </c>
      <c r="CU117" t="e">
        <f>AND('Data Control'!#REF!,"AAAAADvXnWI=")</f>
        <v>#REF!</v>
      </c>
      <c r="CV117" t="e">
        <f>AND('Data Control'!#REF!,"AAAAADvXnWM=")</f>
        <v>#REF!</v>
      </c>
      <c r="CW117" t="e">
        <f>AND('Data Control'!#REF!,"AAAAADvXnWQ=")</f>
        <v>#REF!</v>
      </c>
      <c r="CX117" t="e">
        <f>AND('Data Control'!#REF!,"AAAAADvXnWU=")</f>
        <v>#REF!</v>
      </c>
      <c r="CY117" t="e">
        <f>AND('Data Control'!#REF!,"AAAAADvXnWY=")</f>
        <v>#REF!</v>
      </c>
      <c r="CZ117" t="e">
        <f>AND('Data Control'!#REF!,"AAAAADvXnWc=")</f>
        <v>#REF!</v>
      </c>
      <c r="DA117" t="e">
        <f>AND('Data Control'!#REF!,"AAAAADvXnWg=")</f>
        <v>#REF!</v>
      </c>
      <c r="DB117" t="e">
        <f>IF('Data Control'!#REF!,"AAAAADvXnWk=",0)</f>
        <v>#REF!</v>
      </c>
      <c r="DC117" t="e">
        <f>AND('Data Control'!#REF!,"AAAAADvXnWo=")</f>
        <v>#REF!</v>
      </c>
      <c r="DD117" t="e">
        <f>AND('Data Control'!#REF!,"AAAAADvXnWs=")</f>
        <v>#REF!</v>
      </c>
      <c r="DE117" t="e">
        <f>AND('Data Control'!#REF!,"AAAAADvXnWw=")</f>
        <v>#REF!</v>
      </c>
      <c r="DF117" t="e">
        <f>AND('Data Control'!#REF!,"AAAAADvXnW0=")</f>
        <v>#REF!</v>
      </c>
      <c r="DG117" t="e">
        <f>AND('Data Control'!#REF!,"AAAAADvXnW4=")</f>
        <v>#REF!</v>
      </c>
      <c r="DH117" t="e">
        <f>AND('Data Control'!#REF!,"AAAAADvXnW8=")</f>
        <v>#REF!</v>
      </c>
      <c r="DI117" t="e">
        <f>AND('Data Control'!#REF!,"AAAAADvXnXA=")</f>
        <v>#REF!</v>
      </c>
      <c r="DJ117" t="e">
        <f>AND('Data Control'!#REF!,"AAAAADvXnXE=")</f>
        <v>#REF!</v>
      </c>
      <c r="DK117" t="e">
        <f>AND('Data Control'!#REF!,"AAAAADvXnXI=")</f>
        <v>#REF!</v>
      </c>
      <c r="DL117" t="e">
        <f>AND('Data Control'!#REF!,"AAAAADvXnXM=")</f>
        <v>#REF!</v>
      </c>
      <c r="DM117" t="e">
        <f>AND('Data Control'!#REF!,"AAAAADvXnXQ=")</f>
        <v>#REF!</v>
      </c>
      <c r="DN117" t="e">
        <f>AND('Data Control'!#REF!,"AAAAADvXnXU=")</f>
        <v>#REF!</v>
      </c>
      <c r="DO117" t="e">
        <f>AND('Data Control'!#REF!,"AAAAADvXnXY=")</f>
        <v>#REF!</v>
      </c>
      <c r="DP117" t="e">
        <f>IF('Data Control'!#REF!,"AAAAADvXnXc=",0)</f>
        <v>#REF!</v>
      </c>
      <c r="DQ117" t="e">
        <f>AND('Data Control'!#REF!,"AAAAADvXnXg=")</f>
        <v>#REF!</v>
      </c>
      <c r="DR117" t="e">
        <f>AND('Data Control'!#REF!,"AAAAADvXnXk=")</f>
        <v>#REF!</v>
      </c>
      <c r="DS117" t="e">
        <f>AND('Data Control'!#REF!,"AAAAADvXnXo=")</f>
        <v>#REF!</v>
      </c>
      <c r="DT117" t="e">
        <f>AND('Data Control'!#REF!,"AAAAADvXnXs=")</f>
        <v>#REF!</v>
      </c>
      <c r="DU117" t="e">
        <f>AND('Data Control'!#REF!,"AAAAADvXnXw=")</f>
        <v>#REF!</v>
      </c>
      <c r="DV117" t="e">
        <f>AND('Data Control'!#REF!,"AAAAADvXnX0=")</f>
        <v>#REF!</v>
      </c>
      <c r="DW117" t="e">
        <f>AND('Data Control'!#REF!,"AAAAADvXnX4=")</f>
        <v>#REF!</v>
      </c>
      <c r="DX117" t="e">
        <f>AND('Data Control'!#REF!,"AAAAADvXnX8=")</f>
        <v>#REF!</v>
      </c>
      <c r="DY117" t="e">
        <f>AND('Data Control'!#REF!,"AAAAADvXnYA=")</f>
        <v>#REF!</v>
      </c>
      <c r="DZ117" t="e">
        <f>AND('Data Control'!#REF!,"AAAAADvXnYE=")</f>
        <v>#REF!</v>
      </c>
      <c r="EA117" t="e">
        <f>AND('Data Control'!#REF!,"AAAAADvXnYI=")</f>
        <v>#REF!</v>
      </c>
      <c r="EB117" t="e">
        <f>AND('Data Control'!#REF!,"AAAAADvXnYM=")</f>
        <v>#REF!</v>
      </c>
      <c r="EC117" t="e">
        <f>AND('Data Control'!#REF!,"AAAAADvXnYQ=")</f>
        <v>#REF!</v>
      </c>
      <c r="ED117" t="e">
        <f>IF('Data Control'!#REF!,"AAAAADvXnYU=",0)</f>
        <v>#REF!</v>
      </c>
      <c r="EE117" t="e">
        <f>AND('Data Control'!#REF!,"AAAAADvXnYY=")</f>
        <v>#REF!</v>
      </c>
      <c r="EF117" t="e">
        <f>AND('Data Control'!#REF!,"AAAAADvXnYc=")</f>
        <v>#REF!</v>
      </c>
      <c r="EG117" t="e">
        <f>AND('Data Control'!#REF!,"AAAAADvXnYg=")</f>
        <v>#REF!</v>
      </c>
      <c r="EH117" t="e">
        <f>AND('Data Control'!#REF!,"AAAAADvXnYk=")</f>
        <v>#REF!</v>
      </c>
      <c r="EI117" t="e">
        <f>AND('Data Control'!#REF!,"AAAAADvXnYo=")</f>
        <v>#REF!</v>
      </c>
      <c r="EJ117" t="e">
        <f>AND('Data Control'!#REF!,"AAAAADvXnYs=")</f>
        <v>#REF!</v>
      </c>
      <c r="EK117" t="e">
        <f>AND('Data Control'!#REF!,"AAAAADvXnYw=")</f>
        <v>#REF!</v>
      </c>
      <c r="EL117" t="e">
        <f>AND('Data Control'!#REF!,"AAAAADvXnY0=")</f>
        <v>#REF!</v>
      </c>
      <c r="EM117" t="e">
        <f>AND('Data Control'!#REF!,"AAAAADvXnY4=")</f>
        <v>#REF!</v>
      </c>
      <c r="EN117" t="e">
        <f>AND('Data Control'!#REF!,"AAAAADvXnY8=")</f>
        <v>#REF!</v>
      </c>
      <c r="EO117" t="e">
        <f>AND('Data Control'!#REF!,"AAAAADvXnZA=")</f>
        <v>#REF!</v>
      </c>
      <c r="EP117" t="e">
        <f>AND('Data Control'!#REF!,"AAAAADvXnZE=")</f>
        <v>#REF!</v>
      </c>
      <c r="EQ117" t="e">
        <f>AND('Data Control'!#REF!,"AAAAADvXnZI=")</f>
        <v>#REF!</v>
      </c>
      <c r="ER117" t="e">
        <f>IF('Data Control'!#REF!,"AAAAADvXnZM=",0)</f>
        <v>#REF!</v>
      </c>
      <c r="ES117" t="e">
        <f>AND('Data Control'!#REF!,"AAAAADvXnZQ=")</f>
        <v>#REF!</v>
      </c>
      <c r="ET117" t="e">
        <f>AND('Data Control'!#REF!,"AAAAADvXnZU=")</f>
        <v>#REF!</v>
      </c>
      <c r="EU117" t="e">
        <f>AND('Data Control'!#REF!,"AAAAADvXnZY=")</f>
        <v>#REF!</v>
      </c>
      <c r="EV117" t="e">
        <f>AND('Data Control'!#REF!,"AAAAADvXnZc=")</f>
        <v>#REF!</v>
      </c>
      <c r="EW117" t="e">
        <f>AND('Data Control'!#REF!,"AAAAADvXnZg=")</f>
        <v>#REF!</v>
      </c>
      <c r="EX117" t="e">
        <f>AND('Data Control'!#REF!,"AAAAADvXnZk=")</f>
        <v>#REF!</v>
      </c>
      <c r="EY117" t="e">
        <f>AND('Data Control'!#REF!,"AAAAADvXnZo=")</f>
        <v>#REF!</v>
      </c>
      <c r="EZ117" t="e">
        <f>AND('Data Control'!#REF!,"AAAAADvXnZs=")</f>
        <v>#REF!</v>
      </c>
      <c r="FA117" t="e">
        <f>AND('Data Control'!#REF!,"AAAAADvXnZw=")</f>
        <v>#REF!</v>
      </c>
      <c r="FB117" t="e">
        <f>AND('Data Control'!#REF!,"AAAAADvXnZ0=")</f>
        <v>#REF!</v>
      </c>
      <c r="FC117" t="e">
        <f>AND('Data Control'!#REF!,"AAAAADvXnZ4=")</f>
        <v>#REF!</v>
      </c>
      <c r="FD117" t="e">
        <f>AND('Data Control'!#REF!,"AAAAADvXnZ8=")</f>
        <v>#REF!</v>
      </c>
      <c r="FE117" t="e">
        <f>AND('Data Control'!#REF!,"AAAAADvXnaA=")</f>
        <v>#REF!</v>
      </c>
      <c r="FF117" t="e">
        <f>IF('Data Control'!#REF!,"AAAAADvXnaE=",0)</f>
        <v>#REF!</v>
      </c>
      <c r="FG117" t="e">
        <f>AND('Data Control'!#REF!,"AAAAADvXnaI=")</f>
        <v>#REF!</v>
      </c>
      <c r="FH117" t="e">
        <f>AND('Data Control'!#REF!,"AAAAADvXnaM=")</f>
        <v>#REF!</v>
      </c>
      <c r="FI117" t="e">
        <f>AND('Data Control'!#REF!,"AAAAADvXnaQ=")</f>
        <v>#REF!</v>
      </c>
      <c r="FJ117" t="e">
        <f>AND('Data Control'!#REF!,"AAAAADvXnaU=")</f>
        <v>#REF!</v>
      </c>
      <c r="FK117" t="e">
        <f>AND('Data Control'!#REF!,"AAAAADvXnaY=")</f>
        <v>#REF!</v>
      </c>
      <c r="FL117" t="e">
        <f>AND('Data Control'!#REF!,"AAAAADvXnac=")</f>
        <v>#REF!</v>
      </c>
      <c r="FM117" t="e">
        <f>AND('Data Control'!#REF!,"AAAAADvXnag=")</f>
        <v>#REF!</v>
      </c>
      <c r="FN117" t="e">
        <f>AND('Data Control'!#REF!,"AAAAADvXnak=")</f>
        <v>#REF!</v>
      </c>
      <c r="FO117" t="e">
        <f>AND('Data Control'!#REF!,"AAAAADvXnao=")</f>
        <v>#REF!</v>
      </c>
      <c r="FP117" t="e">
        <f>AND('Data Control'!#REF!,"AAAAADvXnas=")</f>
        <v>#REF!</v>
      </c>
      <c r="FQ117" t="e">
        <f>AND('Data Control'!#REF!,"AAAAADvXnaw=")</f>
        <v>#REF!</v>
      </c>
      <c r="FR117" t="e">
        <f>AND('Data Control'!#REF!,"AAAAADvXna0=")</f>
        <v>#REF!</v>
      </c>
      <c r="FS117" t="e">
        <f>AND('Data Control'!#REF!,"AAAAADvXna4=")</f>
        <v>#REF!</v>
      </c>
      <c r="FT117" t="e">
        <f>IF('Data Control'!#REF!,"AAAAADvXna8=",0)</f>
        <v>#REF!</v>
      </c>
      <c r="FU117" t="e">
        <f>AND('Data Control'!#REF!,"AAAAADvXnbA=")</f>
        <v>#REF!</v>
      </c>
      <c r="FV117" t="e">
        <f>AND('Data Control'!#REF!,"AAAAADvXnbE=")</f>
        <v>#REF!</v>
      </c>
      <c r="FW117" t="e">
        <f>AND('Data Control'!#REF!,"AAAAADvXnbI=")</f>
        <v>#REF!</v>
      </c>
      <c r="FX117" t="e">
        <f>AND('Data Control'!#REF!,"AAAAADvXnbM=")</f>
        <v>#REF!</v>
      </c>
      <c r="FY117" t="e">
        <f>AND('Data Control'!#REF!,"AAAAADvXnbQ=")</f>
        <v>#REF!</v>
      </c>
      <c r="FZ117" t="e">
        <f>AND('Data Control'!#REF!,"AAAAADvXnbU=")</f>
        <v>#REF!</v>
      </c>
      <c r="GA117" t="e">
        <f>AND('Data Control'!#REF!,"AAAAADvXnbY=")</f>
        <v>#REF!</v>
      </c>
      <c r="GB117" t="e">
        <f>AND('Data Control'!#REF!,"AAAAADvXnbc=")</f>
        <v>#REF!</v>
      </c>
      <c r="GC117" t="e">
        <f>AND('Data Control'!#REF!,"AAAAADvXnbg=")</f>
        <v>#REF!</v>
      </c>
      <c r="GD117" t="e">
        <f>AND('Data Control'!#REF!,"AAAAADvXnbk=")</f>
        <v>#REF!</v>
      </c>
      <c r="GE117" t="e">
        <f>AND('Data Control'!#REF!,"AAAAADvXnbo=")</f>
        <v>#REF!</v>
      </c>
      <c r="GF117" t="e">
        <f>AND('Data Control'!#REF!,"AAAAADvXnbs=")</f>
        <v>#REF!</v>
      </c>
      <c r="GG117" t="e">
        <f>AND('Data Control'!#REF!,"AAAAADvXnbw=")</f>
        <v>#REF!</v>
      </c>
      <c r="GH117" t="e">
        <f>IF('Data Control'!#REF!,"AAAAADvXnb0=",0)</f>
        <v>#REF!</v>
      </c>
      <c r="GI117" t="e">
        <f>AND('Data Control'!#REF!,"AAAAADvXnb4=")</f>
        <v>#REF!</v>
      </c>
      <c r="GJ117" t="e">
        <f>AND('Data Control'!#REF!,"AAAAADvXnb8=")</f>
        <v>#REF!</v>
      </c>
      <c r="GK117" t="e">
        <f>AND('Data Control'!#REF!,"AAAAADvXncA=")</f>
        <v>#REF!</v>
      </c>
      <c r="GL117" t="e">
        <f>AND('Data Control'!#REF!,"AAAAADvXncE=")</f>
        <v>#REF!</v>
      </c>
      <c r="GM117" t="e">
        <f>AND('Data Control'!#REF!,"AAAAADvXncI=")</f>
        <v>#REF!</v>
      </c>
      <c r="GN117" t="e">
        <f>AND('Data Control'!#REF!,"AAAAADvXncM=")</f>
        <v>#REF!</v>
      </c>
      <c r="GO117" t="e">
        <f>AND('Data Control'!#REF!,"AAAAADvXncQ=")</f>
        <v>#REF!</v>
      </c>
      <c r="GP117" t="e">
        <f>AND('Data Control'!#REF!,"AAAAADvXncU=")</f>
        <v>#REF!</v>
      </c>
      <c r="GQ117" t="e">
        <f>AND('Data Control'!#REF!,"AAAAADvXncY=")</f>
        <v>#REF!</v>
      </c>
      <c r="GR117" t="e">
        <f>AND('Data Control'!#REF!,"AAAAADvXncc=")</f>
        <v>#REF!</v>
      </c>
      <c r="GS117" t="e">
        <f>AND('Data Control'!#REF!,"AAAAADvXncg=")</f>
        <v>#REF!</v>
      </c>
      <c r="GT117" t="e">
        <f>AND('Data Control'!#REF!,"AAAAADvXnck=")</f>
        <v>#REF!</v>
      </c>
      <c r="GU117" t="e">
        <f>AND('Data Control'!#REF!,"AAAAADvXnco=")</f>
        <v>#REF!</v>
      </c>
      <c r="GV117" t="e">
        <f>IF('Data Control'!#REF!,"AAAAADvXncs=",0)</f>
        <v>#REF!</v>
      </c>
      <c r="GW117" t="e">
        <f>AND('Data Control'!#REF!,"AAAAADvXncw=")</f>
        <v>#REF!</v>
      </c>
      <c r="GX117" t="e">
        <f>AND('Data Control'!#REF!,"AAAAADvXnc0=")</f>
        <v>#REF!</v>
      </c>
      <c r="GY117" t="e">
        <f>AND('Data Control'!#REF!,"AAAAADvXnc4=")</f>
        <v>#REF!</v>
      </c>
      <c r="GZ117" t="e">
        <f>AND('Data Control'!#REF!,"AAAAADvXnc8=")</f>
        <v>#REF!</v>
      </c>
      <c r="HA117" t="e">
        <f>AND('Data Control'!#REF!,"AAAAADvXndA=")</f>
        <v>#REF!</v>
      </c>
      <c r="HB117" t="e">
        <f>AND('Data Control'!#REF!,"AAAAADvXndE=")</f>
        <v>#REF!</v>
      </c>
      <c r="HC117" t="e">
        <f>AND('Data Control'!#REF!,"AAAAADvXndI=")</f>
        <v>#REF!</v>
      </c>
      <c r="HD117" t="e">
        <f>AND('Data Control'!#REF!,"AAAAADvXndM=")</f>
        <v>#REF!</v>
      </c>
      <c r="HE117" t="e">
        <f>AND('Data Control'!#REF!,"AAAAADvXndQ=")</f>
        <v>#REF!</v>
      </c>
      <c r="HF117" t="e">
        <f>AND('Data Control'!#REF!,"AAAAADvXndU=")</f>
        <v>#REF!</v>
      </c>
      <c r="HG117" t="e">
        <f>AND('Data Control'!#REF!,"AAAAADvXndY=")</f>
        <v>#REF!</v>
      </c>
      <c r="HH117" t="e">
        <f>AND('Data Control'!#REF!,"AAAAADvXndc=")</f>
        <v>#REF!</v>
      </c>
      <c r="HI117" t="e">
        <f>AND('Data Control'!#REF!,"AAAAADvXndg=")</f>
        <v>#REF!</v>
      </c>
      <c r="HJ117" t="e">
        <f>IF('Data Control'!#REF!,"AAAAADvXndk=",0)</f>
        <v>#REF!</v>
      </c>
      <c r="HK117" t="e">
        <f>AND('Data Control'!#REF!,"AAAAADvXndo=")</f>
        <v>#REF!</v>
      </c>
      <c r="HL117" t="e">
        <f>AND('Data Control'!#REF!,"AAAAADvXnds=")</f>
        <v>#REF!</v>
      </c>
      <c r="HM117" t="e">
        <f>AND('Data Control'!#REF!,"AAAAADvXndw=")</f>
        <v>#REF!</v>
      </c>
      <c r="HN117" t="e">
        <f>AND('Data Control'!#REF!,"AAAAADvXnd0=")</f>
        <v>#REF!</v>
      </c>
      <c r="HO117" t="e">
        <f>AND('Data Control'!#REF!,"AAAAADvXnd4=")</f>
        <v>#REF!</v>
      </c>
      <c r="HP117" t="e">
        <f>AND('Data Control'!#REF!,"AAAAADvXnd8=")</f>
        <v>#REF!</v>
      </c>
      <c r="HQ117" t="e">
        <f>AND('Data Control'!#REF!,"AAAAADvXneA=")</f>
        <v>#REF!</v>
      </c>
      <c r="HR117" t="e">
        <f>AND('Data Control'!#REF!,"AAAAADvXneE=")</f>
        <v>#REF!</v>
      </c>
      <c r="HS117" t="e">
        <f>AND('Data Control'!#REF!,"AAAAADvXneI=")</f>
        <v>#REF!</v>
      </c>
      <c r="HT117" t="e">
        <f>AND('Data Control'!#REF!,"AAAAADvXneM=")</f>
        <v>#REF!</v>
      </c>
      <c r="HU117" t="e">
        <f>AND('Data Control'!#REF!,"AAAAADvXneQ=")</f>
        <v>#REF!</v>
      </c>
      <c r="HV117" t="e">
        <f>AND('Data Control'!#REF!,"AAAAADvXneU=")</f>
        <v>#REF!</v>
      </c>
      <c r="HW117" t="e">
        <f>AND('Data Control'!#REF!,"AAAAADvXneY=")</f>
        <v>#REF!</v>
      </c>
      <c r="HX117" t="e">
        <f>IF('Data Control'!#REF!,"AAAAADvXnec=",0)</f>
        <v>#REF!</v>
      </c>
      <c r="HY117" t="e">
        <f>AND('Data Control'!#REF!,"AAAAADvXneg=")</f>
        <v>#REF!</v>
      </c>
      <c r="HZ117" t="e">
        <f>AND('Data Control'!#REF!,"AAAAADvXnek=")</f>
        <v>#REF!</v>
      </c>
      <c r="IA117" t="e">
        <f>AND('Data Control'!#REF!,"AAAAADvXneo=")</f>
        <v>#REF!</v>
      </c>
      <c r="IB117" t="e">
        <f>AND('Data Control'!#REF!,"AAAAADvXnes=")</f>
        <v>#REF!</v>
      </c>
      <c r="IC117" t="e">
        <f>AND('Data Control'!#REF!,"AAAAADvXnew=")</f>
        <v>#REF!</v>
      </c>
      <c r="ID117" t="e">
        <f>AND('Data Control'!#REF!,"AAAAADvXne0=")</f>
        <v>#REF!</v>
      </c>
      <c r="IE117" t="e">
        <f>AND('Data Control'!#REF!,"AAAAADvXne4=")</f>
        <v>#REF!</v>
      </c>
      <c r="IF117" t="e">
        <f>AND('Data Control'!#REF!,"AAAAADvXne8=")</f>
        <v>#REF!</v>
      </c>
      <c r="IG117" t="e">
        <f>AND('Data Control'!#REF!,"AAAAADvXnfA=")</f>
        <v>#REF!</v>
      </c>
      <c r="IH117" t="e">
        <f>AND('Data Control'!#REF!,"AAAAADvXnfE=")</f>
        <v>#REF!</v>
      </c>
      <c r="II117" t="e">
        <f>AND('Data Control'!#REF!,"AAAAADvXnfI=")</f>
        <v>#REF!</v>
      </c>
      <c r="IJ117" t="e">
        <f>AND('Data Control'!#REF!,"AAAAADvXnfM=")</f>
        <v>#REF!</v>
      </c>
      <c r="IK117" t="e">
        <f>AND('Data Control'!#REF!,"AAAAADvXnfQ=")</f>
        <v>#REF!</v>
      </c>
      <c r="IL117" t="e">
        <f>IF('Data Control'!#REF!,"AAAAADvXnfU=",0)</f>
        <v>#REF!</v>
      </c>
      <c r="IM117" t="e">
        <f>AND('Data Control'!#REF!,"AAAAADvXnfY=")</f>
        <v>#REF!</v>
      </c>
      <c r="IN117" t="e">
        <f>AND('Data Control'!#REF!,"AAAAADvXnfc=")</f>
        <v>#REF!</v>
      </c>
      <c r="IO117" t="e">
        <f>AND('Data Control'!#REF!,"AAAAADvXnfg=")</f>
        <v>#REF!</v>
      </c>
      <c r="IP117" t="e">
        <f>AND('Data Control'!#REF!,"AAAAADvXnfk=")</f>
        <v>#REF!</v>
      </c>
      <c r="IQ117" t="e">
        <f>AND('Data Control'!#REF!,"AAAAADvXnfo=")</f>
        <v>#REF!</v>
      </c>
      <c r="IR117" t="e">
        <f>AND('Data Control'!#REF!,"AAAAADvXnfs=")</f>
        <v>#REF!</v>
      </c>
      <c r="IS117" t="e">
        <f>AND('Data Control'!#REF!,"AAAAADvXnfw=")</f>
        <v>#REF!</v>
      </c>
      <c r="IT117" t="e">
        <f>AND('Data Control'!#REF!,"AAAAADvXnf0=")</f>
        <v>#REF!</v>
      </c>
      <c r="IU117" t="e">
        <f>AND('Data Control'!#REF!,"AAAAADvXnf4=")</f>
        <v>#REF!</v>
      </c>
      <c r="IV117" t="e">
        <f>AND('Data Control'!#REF!,"AAAAADvXnf8=")</f>
        <v>#REF!</v>
      </c>
    </row>
    <row r="118" spans="1:256" x14ac:dyDescent="0.2">
      <c r="A118" t="e">
        <f>AND('Data Control'!#REF!,"AAAAAHfb1QA=")</f>
        <v>#REF!</v>
      </c>
      <c r="B118" t="e">
        <f>AND('Data Control'!#REF!,"AAAAAHfb1QE=")</f>
        <v>#REF!</v>
      </c>
      <c r="C118" t="e">
        <f>AND('Data Control'!#REF!,"AAAAAHfb1QI=")</f>
        <v>#REF!</v>
      </c>
      <c r="D118" t="e">
        <f>IF('Data Control'!#REF!,"AAAAAHfb1QM=",0)</f>
        <v>#REF!</v>
      </c>
      <c r="E118" t="e">
        <f>AND('Data Control'!#REF!,"AAAAAHfb1QQ=")</f>
        <v>#REF!</v>
      </c>
      <c r="F118" t="e">
        <f>AND('Data Control'!#REF!,"AAAAAHfb1QU=")</f>
        <v>#REF!</v>
      </c>
      <c r="G118" t="e">
        <f>AND('Data Control'!#REF!,"AAAAAHfb1QY=")</f>
        <v>#REF!</v>
      </c>
      <c r="H118" t="e">
        <f>AND('Data Control'!#REF!,"AAAAAHfb1Qc=")</f>
        <v>#REF!</v>
      </c>
      <c r="I118" t="e">
        <f>AND('Data Control'!#REF!,"AAAAAHfb1Qg=")</f>
        <v>#REF!</v>
      </c>
      <c r="J118" t="e">
        <f>AND('Data Control'!#REF!,"AAAAAHfb1Qk=")</f>
        <v>#REF!</v>
      </c>
      <c r="K118" t="e">
        <f>AND('Data Control'!#REF!,"AAAAAHfb1Qo=")</f>
        <v>#REF!</v>
      </c>
      <c r="L118" t="e">
        <f>AND('Data Control'!#REF!,"AAAAAHfb1Qs=")</f>
        <v>#REF!</v>
      </c>
      <c r="M118" t="e">
        <f>AND('Data Control'!#REF!,"AAAAAHfb1Qw=")</f>
        <v>#REF!</v>
      </c>
      <c r="N118" t="e">
        <f>AND('Data Control'!#REF!,"AAAAAHfb1Q0=")</f>
        <v>#REF!</v>
      </c>
      <c r="O118" t="e">
        <f>AND('Data Control'!#REF!,"AAAAAHfb1Q4=")</f>
        <v>#REF!</v>
      </c>
      <c r="P118" t="e">
        <f>AND('Data Control'!#REF!,"AAAAAHfb1Q8=")</f>
        <v>#REF!</v>
      </c>
      <c r="Q118" t="e">
        <f>AND('Data Control'!#REF!,"AAAAAHfb1RA=")</f>
        <v>#REF!</v>
      </c>
      <c r="R118" t="e">
        <f>IF('Data Control'!#REF!,"AAAAAHfb1RE=",0)</f>
        <v>#REF!</v>
      </c>
      <c r="S118" t="e">
        <f>AND('Data Control'!#REF!,"AAAAAHfb1RI=")</f>
        <v>#REF!</v>
      </c>
      <c r="T118" t="e">
        <f>AND('Data Control'!#REF!,"AAAAAHfb1RM=")</f>
        <v>#REF!</v>
      </c>
      <c r="U118" t="e">
        <f>AND('Data Control'!#REF!,"AAAAAHfb1RQ=")</f>
        <v>#REF!</v>
      </c>
      <c r="V118" t="e">
        <f>AND('Data Control'!#REF!,"AAAAAHfb1RU=")</f>
        <v>#REF!</v>
      </c>
      <c r="W118" t="e">
        <f>AND('Data Control'!#REF!,"AAAAAHfb1RY=")</f>
        <v>#REF!</v>
      </c>
      <c r="X118" t="e">
        <f>AND('Data Control'!#REF!,"AAAAAHfb1Rc=")</f>
        <v>#REF!</v>
      </c>
      <c r="Y118" t="e">
        <f>AND('Data Control'!#REF!,"AAAAAHfb1Rg=")</f>
        <v>#REF!</v>
      </c>
      <c r="Z118" t="e">
        <f>AND('Data Control'!#REF!,"AAAAAHfb1Rk=")</f>
        <v>#REF!</v>
      </c>
      <c r="AA118" t="e">
        <f>AND('Data Control'!#REF!,"AAAAAHfb1Ro=")</f>
        <v>#REF!</v>
      </c>
      <c r="AB118" t="e">
        <f>AND('Data Control'!#REF!,"AAAAAHfb1Rs=")</f>
        <v>#REF!</v>
      </c>
      <c r="AC118" t="e">
        <f>AND('Data Control'!#REF!,"AAAAAHfb1Rw=")</f>
        <v>#REF!</v>
      </c>
      <c r="AD118" t="e">
        <f>AND('Data Control'!#REF!,"AAAAAHfb1R0=")</f>
        <v>#REF!</v>
      </c>
      <c r="AE118" t="e">
        <f>AND('Data Control'!#REF!,"AAAAAHfb1R4=")</f>
        <v>#REF!</v>
      </c>
      <c r="AF118" t="e">
        <f>IF('Data Control'!#REF!,"AAAAAHfb1R8=",0)</f>
        <v>#REF!</v>
      </c>
      <c r="AG118" t="e">
        <f>AND('Data Control'!#REF!,"AAAAAHfb1SA=")</f>
        <v>#REF!</v>
      </c>
      <c r="AH118" t="e">
        <f>AND('Data Control'!#REF!,"AAAAAHfb1SE=")</f>
        <v>#REF!</v>
      </c>
      <c r="AI118" t="e">
        <f>AND('Data Control'!#REF!,"AAAAAHfb1SI=")</f>
        <v>#REF!</v>
      </c>
      <c r="AJ118" t="e">
        <f>AND('Data Control'!#REF!,"AAAAAHfb1SM=")</f>
        <v>#REF!</v>
      </c>
      <c r="AK118" t="e">
        <f>AND('Data Control'!#REF!,"AAAAAHfb1SQ=")</f>
        <v>#REF!</v>
      </c>
      <c r="AL118" t="e">
        <f>AND('Data Control'!#REF!,"AAAAAHfb1SU=")</f>
        <v>#REF!</v>
      </c>
      <c r="AM118" t="e">
        <f>AND('Data Control'!#REF!,"AAAAAHfb1SY=")</f>
        <v>#REF!</v>
      </c>
      <c r="AN118" t="e">
        <f>AND('Data Control'!#REF!,"AAAAAHfb1Sc=")</f>
        <v>#REF!</v>
      </c>
      <c r="AO118" t="e">
        <f>AND('Data Control'!#REF!,"AAAAAHfb1Sg=")</f>
        <v>#REF!</v>
      </c>
      <c r="AP118" t="e">
        <f>AND('Data Control'!#REF!,"AAAAAHfb1Sk=")</f>
        <v>#REF!</v>
      </c>
      <c r="AQ118" t="e">
        <f>AND('Data Control'!#REF!,"AAAAAHfb1So=")</f>
        <v>#REF!</v>
      </c>
      <c r="AR118" t="e">
        <f>AND('Data Control'!#REF!,"AAAAAHfb1Ss=")</f>
        <v>#REF!</v>
      </c>
      <c r="AS118" t="e">
        <f>AND('Data Control'!#REF!,"AAAAAHfb1Sw=")</f>
        <v>#REF!</v>
      </c>
      <c r="AT118" t="e">
        <f>IF('Data Control'!#REF!,"AAAAAHfb1S0=",0)</f>
        <v>#REF!</v>
      </c>
      <c r="AU118" t="e">
        <f>AND('Data Control'!#REF!,"AAAAAHfb1S4=")</f>
        <v>#REF!</v>
      </c>
      <c r="AV118" t="e">
        <f>AND('Data Control'!#REF!,"AAAAAHfb1S8=")</f>
        <v>#REF!</v>
      </c>
      <c r="AW118" t="e">
        <f>AND('Data Control'!#REF!,"AAAAAHfb1TA=")</f>
        <v>#REF!</v>
      </c>
      <c r="AX118" t="e">
        <f>AND('Data Control'!#REF!,"AAAAAHfb1TE=")</f>
        <v>#REF!</v>
      </c>
      <c r="AY118" t="e">
        <f>AND('Data Control'!#REF!,"AAAAAHfb1TI=")</f>
        <v>#REF!</v>
      </c>
      <c r="AZ118" t="e">
        <f>AND('Data Control'!#REF!,"AAAAAHfb1TM=")</f>
        <v>#REF!</v>
      </c>
      <c r="BA118" t="e">
        <f>AND('Data Control'!#REF!,"AAAAAHfb1TQ=")</f>
        <v>#REF!</v>
      </c>
      <c r="BB118" t="e">
        <f>AND('Data Control'!#REF!,"AAAAAHfb1TU=")</f>
        <v>#REF!</v>
      </c>
      <c r="BC118" t="e">
        <f>AND('Data Control'!#REF!,"AAAAAHfb1TY=")</f>
        <v>#REF!</v>
      </c>
      <c r="BD118" t="e">
        <f>AND('Data Control'!#REF!,"AAAAAHfb1Tc=")</f>
        <v>#REF!</v>
      </c>
      <c r="BE118" t="e">
        <f>AND('Data Control'!#REF!,"AAAAAHfb1Tg=")</f>
        <v>#REF!</v>
      </c>
      <c r="BF118" t="e">
        <f>AND('Data Control'!#REF!,"AAAAAHfb1Tk=")</f>
        <v>#REF!</v>
      </c>
      <c r="BG118" t="e">
        <f>AND('Data Control'!#REF!,"AAAAAHfb1To=")</f>
        <v>#REF!</v>
      </c>
      <c r="BH118" t="e">
        <f>IF('Data Control'!#REF!,"AAAAAHfb1Ts=",0)</f>
        <v>#REF!</v>
      </c>
      <c r="BI118" t="e">
        <f>AND('Data Control'!#REF!,"AAAAAHfb1Tw=")</f>
        <v>#REF!</v>
      </c>
      <c r="BJ118" t="e">
        <f>AND('Data Control'!#REF!,"AAAAAHfb1T0=")</f>
        <v>#REF!</v>
      </c>
      <c r="BK118" t="e">
        <f>AND('Data Control'!#REF!,"AAAAAHfb1T4=")</f>
        <v>#REF!</v>
      </c>
      <c r="BL118" t="e">
        <f>AND('Data Control'!#REF!,"AAAAAHfb1T8=")</f>
        <v>#REF!</v>
      </c>
      <c r="BM118" t="e">
        <f>AND('Data Control'!#REF!,"AAAAAHfb1UA=")</f>
        <v>#REF!</v>
      </c>
      <c r="BN118" t="e">
        <f>AND('Data Control'!#REF!,"AAAAAHfb1UE=")</f>
        <v>#REF!</v>
      </c>
      <c r="BO118" t="e">
        <f>AND('Data Control'!#REF!,"AAAAAHfb1UI=")</f>
        <v>#REF!</v>
      </c>
      <c r="BP118" t="e">
        <f>AND('Data Control'!#REF!,"AAAAAHfb1UM=")</f>
        <v>#REF!</v>
      </c>
      <c r="BQ118" t="e">
        <f>AND('Data Control'!#REF!,"AAAAAHfb1UQ=")</f>
        <v>#REF!</v>
      </c>
      <c r="BR118" t="e">
        <f>AND('Data Control'!#REF!,"AAAAAHfb1UU=")</f>
        <v>#REF!</v>
      </c>
      <c r="BS118" t="e">
        <f>AND('Data Control'!#REF!,"AAAAAHfb1UY=")</f>
        <v>#REF!</v>
      </c>
      <c r="BT118" t="e">
        <f>AND('Data Control'!#REF!,"AAAAAHfb1Uc=")</f>
        <v>#REF!</v>
      </c>
      <c r="BU118" t="e">
        <f>AND('Data Control'!#REF!,"AAAAAHfb1Ug=")</f>
        <v>#REF!</v>
      </c>
      <c r="BV118" t="e">
        <f>IF('Data Control'!#REF!,"AAAAAHfb1Uk=",0)</f>
        <v>#REF!</v>
      </c>
      <c r="BW118" t="e">
        <f>AND('Data Control'!#REF!,"AAAAAHfb1Uo=")</f>
        <v>#REF!</v>
      </c>
      <c r="BX118" t="e">
        <f>AND('Data Control'!#REF!,"AAAAAHfb1Us=")</f>
        <v>#REF!</v>
      </c>
      <c r="BY118" t="e">
        <f>AND('Data Control'!#REF!,"AAAAAHfb1Uw=")</f>
        <v>#REF!</v>
      </c>
      <c r="BZ118" t="e">
        <f>AND('Data Control'!#REF!,"AAAAAHfb1U0=")</f>
        <v>#REF!</v>
      </c>
      <c r="CA118" t="e">
        <f>AND('Data Control'!#REF!,"AAAAAHfb1U4=")</f>
        <v>#REF!</v>
      </c>
      <c r="CB118" t="e">
        <f>AND('Data Control'!#REF!,"AAAAAHfb1U8=")</f>
        <v>#REF!</v>
      </c>
      <c r="CC118" t="e">
        <f>AND('Data Control'!#REF!,"AAAAAHfb1VA=")</f>
        <v>#REF!</v>
      </c>
      <c r="CD118" t="e">
        <f>AND('Data Control'!#REF!,"AAAAAHfb1VE=")</f>
        <v>#REF!</v>
      </c>
      <c r="CE118" t="e">
        <f>AND('Data Control'!#REF!,"AAAAAHfb1VI=")</f>
        <v>#REF!</v>
      </c>
      <c r="CF118" t="e">
        <f>AND('Data Control'!#REF!,"AAAAAHfb1VM=")</f>
        <v>#REF!</v>
      </c>
      <c r="CG118" t="e">
        <f>AND('Data Control'!#REF!,"AAAAAHfb1VQ=")</f>
        <v>#REF!</v>
      </c>
      <c r="CH118" t="e">
        <f>AND('Data Control'!#REF!,"AAAAAHfb1VU=")</f>
        <v>#REF!</v>
      </c>
      <c r="CI118" t="e">
        <f>AND('Data Control'!#REF!,"AAAAAHfb1VY=")</f>
        <v>#REF!</v>
      </c>
      <c r="CJ118" t="e">
        <f>IF('Data Control'!#REF!,"AAAAAHfb1Vc=",0)</f>
        <v>#REF!</v>
      </c>
      <c r="CK118" t="e">
        <f>AND('Data Control'!#REF!,"AAAAAHfb1Vg=")</f>
        <v>#REF!</v>
      </c>
      <c r="CL118" t="e">
        <f>AND('Data Control'!#REF!,"AAAAAHfb1Vk=")</f>
        <v>#REF!</v>
      </c>
      <c r="CM118" t="e">
        <f>AND('Data Control'!#REF!,"AAAAAHfb1Vo=")</f>
        <v>#REF!</v>
      </c>
      <c r="CN118" t="e">
        <f>AND('Data Control'!#REF!,"AAAAAHfb1Vs=")</f>
        <v>#REF!</v>
      </c>
      <c r="CO118" t="e">
        <f>AND('Data Control'!#REF!,"AAAAAHfb1Vw=")</f>
        <v>#REF!</v>
      </c>
      <c r="CP118" t="e">
        <f>AND('Data Control'!#REF!,"AAAAAHfb1V0=")</f>
        <v>#REF!</v>
      </c>
      <c r="CQ118" t="e">
        <f>AND('Data Control'!#REF!,"AAAAAHfb1V4=")</f>
        <v>#REF!</v>
      </c>
      <c r="CR118" t="e">
        <f>AND('Data Control'!#REF!,"AAAAAHfb1V8=")</f>
        <v>#REF!</v>
      </c>
      <c r="CS118" t="e">
        <f>AND('Data Control'!#REF!,"AAAAAHfb1WA=")</f>
        <v>#REF!</v>
      </c>
      <c r="CT118" t="e">
        <f>AND('Data Control'!#REF!,"AAAAAHfb1WE=")</f>
        <v>#REF!</v>
      </c>
      <c r="CU118" t="e">
        <f>AND('Data Control'!#REF!,"AAAAAHfb1WI=")</f>
        <v>#REF!</v>
      </c>
      <c r="CV118" t="e">
        <f>AND('Data Control'!#REF!,"AAAAAHfb1WM=")</f>
        <v>#REF!</v>
      </c>
      <c r="CW118" t="e">
        <f>AND('Data Control'!#REF!,"AAAAAHfb1WQ=")</f>
        <v>#REF!</v>
      </c>
      <c r="CX118" t="e">
        <f>IF('Data Control'!#REF!,"AAAAAHfb1WU=",0)</f>
        <v>#REF!</v>
      </c>
      <c r="CY118" t="e">
        <f>AND('Data Control'!#REF!,"AAAAAHfb1WY=")</f>
        <v>#REF!</v>
      </c>
      <c r="CZ118" t="e">
        <f>AND('Data Control'!#REF!,"AAAAAHfb1Wc=")</f>
        <v>#REF!</v>
      </c>
      <c r="DA118" t="e">
        <f>AND('Data Control'!#REF!,"AAAAAHfb1Wg=")</f>
        <v>#REF!</v>
      </c>
      <c r="DB118" t="e">
        <f>AND('Data Control'!#REF!,"AAAAAHfb1Wk=")</f>
        <v>#REF!</v>
      </c>
      <c r="DC118" t="e">
        <f>AND('Data Control'!#REF!,"AAAAAHfb1Wo=")</f>
        <v>#REF!</v>
      </c>
      <c r="DD118" t="e">
        <f>AND('Data Control'!#REF!,"AAAAAHfb1Ws=")</f>
        <v>#REF!</v>
      </c>
      <c r="DE118" t="e">
        <f>AND('Data Control'!#REF!,"AAAAAHfb1Ww=")</f>
        <v>#REF!</v>
      </c>
      <c r="DF118" t="e">
        <f>AND('Data Control'!#REF!,"AAAAAHfb1W0=")</f>
        <v>#REF!</v>
      </c>
      <c r="DG118" t="e">
        <f>AND('Data Control'!#REF!,"AAAAAHfb1W4=")</f>
        <v>#REF!</v>
      </c>
      <c r="DH118" t="e">
        <f>AND('Data Control'!#REF!,"AAAAAHfb1W8=")</f>
        <v>#REF!</v>
      </c>
      <c r="DI118" t="e">
        <f>AND('Data Control'!#REF!,"AAAAAHfb1XA=")</f>
        <v>#REF!</v>
      </c>
      <c r="DJ118" t="e">
        <f>AND('Data Control'!#REF!,"AAAAAHfb1XE=")</f>
        <v>#REF!</v>
      </c>
      <c r="DK118" t="e">
        <f>AND('Data Control'!#REF!,"AAAAAHfb1XI=")</f>
        <v>#REF!</v>
      </c>
      <c r="DL118" t="e">
        <f>IF('Data Control'!#REF!,"AAAAAHfb1XM=",0)</f>
        <v>#REF!</v>
      </c>
      <c r="DM118" t="e">
        <f>AND('Data Control'!#REF!,"AAAAAHfb1XQ=")</f>
        <v>#REF!</v>
      </c>
      <c r="DN118" t="e">
        <f>AND('Data Control'!#REF!,"AAAAAHfb1XU=")</f>
        <v>#REF!</v>
      </c>
      <c r="DO118" t="e">
        <f>AND('Data Control'!#REF!,"AAAAAHfb1XY=")</f>
        <v>#REF!</v>
      </c>
      <c r="DP118" t="e">
        <f>AND('Data Control'!#REF!,"AAAAAHfb1Xc=")</f>
        <v>#REF!</v>
      </c>
      <c r="DQ118" t="e">
        <f>AND('Data Control'!#REF!,"AAAAAHfb1Xg=")</f>
        <v>#REF!</v>
      </c>
      <c r="DR118" t="e">
        <f>AND('Data Control'!#REF!,"AAAAAHfb1Xk=")</f>
        <v>#REF!</v>
      </c>
      <c r="DS118" t="e">
        <f>AND('Data Control'!#REF!,"AAAAAHfb1Xo=")</f>
        <v>#REF!</v>
      </c>
      <c r="DT118" t="e">
        <f>AND('Data Control'!#REF!,"AAAAAHfb1Xs=")</f>
        <v>#REF!</v>
      </c>
      <c r="DU118" t="e">
        <f>AND('Data Control'!#REF!,"AAAAAHfb1Xw=")</f>
        <v>#REF!</v>
      </c>
      <c r="DV118" t="e">
        <f>AND('Data Control'!#REF!,"AAAAAHfb1X0=")</f>
        <v>#REF!</v>
      </c>
      <c r="DW118" t="e">
        <f>AND('Data Control'!#REF!,"AAAAAHfb1X4=")</f>
        <v>#REF!</v>
      </c>
      <c r="DX118" t="e">
        <f>AND('Data Control'!#REF!,"AAAAAHfb1X8=")</f>
        <v>#REF!</v>
      </c>
      <c r="DY118" t="e">
        <f>AND('Data Control'!#REF!,"AAAAAHfb1YA=")</f>
        <v>#REF!</v>
      </c>
      <c r="DZ118" t="e">
        <f>IF('Data Control'!#REF!,"AAAAAHfb1YE=",0)</f>
        <v>#REF!</v>
      </c>
      <c r="EA118" t="e">
        <f>AND('Data Control'!#REF!,"AAAAAHfb1YI=")</f>
        <v>#REF!</v>
      </c>
      <c r="EB118" t="e">
        <f>AND('Data Control'!#REF!,"AAAAAHfb1YM=")</f>
        <v>#REF!</v>
      </c>
      <c r="EC118" t="e">
        <f>AND('Data Control'!#REF!,"AAAAAHfb1YQ=")</f>
        <v>#REF!</v>
      </c>
      <c r="ED118" t="e">
        <f>AND('Data Control'!#REF!,"AAAAAHfb1YU=")</f>
        <v>#REF!</v>
      </c>
      <c r="EE118" t="e">
        <f>AND('Data Control'!#REF!,"AAAAAHfb1YY=")</f>
        <v>#REF!</v>
      </c>
      <c r="EF118" t="e">
        <f>AND('Data Control'!#REF!,"AAAAAHfb1Yc=")</f>
        <v>#REF!</v>
      </c>
      <c r="EG118" t="e">
        <f>AND('Data Control'!#REF!,"AAAAAHfb1Yg=")</f>
        <v>#REF!</v>
      </c>
      <c r="EH118" t="e">
        <f>AND('Data Control'!#REF!,"AAAAAHfb1Yk=")</f>
        <v>#REF!</v>
      </c>
      <c r="EI118" t="e">
        <f>AND('Data Control'!#REF!,"AAAAAHfb1Yo=")</f>
        <v>#REF!</v>
      </c>
      <c r="EJ118" t="e">
        <f>AND('Data Control'!#REF!,"AAAAAHfb1Ys=")</f>
        <v>#REF!</v>
      </c>
      <c r="EK118" t="e">
        <f>AND('Data Control'!#REF!,"AAAAAHfb1Yw=")</f>
        <v>#REF!</v>
      </c>
      <c r="EL118" t="e">
        <f>AND('Data Control'!#REF!,"AAAAAHfb1Y0=")</f>
        <v>#REF!</v>
      </c>
      <c r="EM118" t="e">
        <f>AND('Data Control'!#REF!,"AAAAAHfb1Y4=")</f>
        <v>#REF!</v>
      </c>
      <c r="EN118" t="e">
        <f>IF('Data Control'!#REF!,"AAAAAHfb1Y8=",0)</f>
        <v>#REF!</v>
      </c>
      <c r="EO118" t="e">
        <f>AND('Data Control'!#REF!,"AAAAAHfb1ZA=")</f>
        <v>#REF!</v>
      </c>
      <c r="EP118" t="e">
        <f>AND('Data Control'!#REF!,"AAAAAHfb1ZE=")</f>
        <v>#REF!</v>
      </c>
      <c r="EQ118" t="e">
        <f>AND('Data Control'!#REF!,"AAAAAHfb1ZI=")</f>
        <v>#REF!</v>
      </c>
      <c r="ER118" t="e">
        <f>AND('Data Control'!#REF!,"AAAAAHfb1ZM=")</f>
        <v>#REF!</v>
      </c>
      <c r="ES118" t="e">
        <f>AND('Data Control'!#REF!,"AAAAAHfb1ZQ=")</f>
        <v>#REF!</v>
      </c>
      <c r="ET118" t="e">
        <f>AND('Data Control'!#REF!,"AAAAAHfb1ZU=")</f>
        <v>#REF!</v>
      </c>
      <c r="EU118" t="e">
        <f>AND('Data Control'!#REF!,"AAAAAHfb1ZY=")</f>
        <v>#REF!</v>
      </c>
      <c r="EV118" t="e">
        <f>AND('Data Control'!#REF!,"AAAAAHfb1Zc=")</f>
        <v>#REF!</v>
      </c>
      <c r="EW118" t="e">
        <f>AND('Data Control'!#REF!,"AAAAAHfb1Zg=")</f>
        <v>#REF!</v>
      </c>
      <c r="EX118" t="e">
        <f>AND('Data Control'!#REF!,"AAAAAHfb1Zk=")</f>
        <v>#REF!</v>
      </c>
      <c r="EY118" t="e">
        <f>AND('Data Control'!#REF!,"AAAAAHfb1Zo=")</f>
        <v>#REF!</v>
      </c>
      <c r="EZ118" t="e">
        <f>AND('Data Control'!#REF!,"AAAAAHfb1Zs=")</f>
        <v>#REF!</v>
      </c>
      <c r="FA118" t="e">
        <f>AND('Data Control'!#REF!,"AAAAAHfb1Zw=")</f>
        <v>#REF!</v>
      </c>
      <c r="FB118" t="e">
        <f>IF('Data Control'!#REF!,"AAAAAHfb1Z0=",0)</f>
        <v>#REF!</v>
      </c>
      <c r="FC118" t="e">
        <f>AND('Data Control'!#REF!,"AAAAAHfb1Z4=")</f>
        <v>#REF!</v>
      </c>
      <c r="FD118" t="e">
        <f>AND('Data Control'!#REF!,"AAAAAHfb1Z8=")</f>
        <v>#REF!</v>
      </c>
      <c r="FE118" t="e">
        <f>AND('Data Control'!#REF!,"AAAAAHfb1aA=")</f>
        <v>#REF!</v>
      </c>
      <c r="FF118" t="e">
        <f>AND('Data Control'!#REF!,"AAAAAHfb1aE=")</f>
        <v>#REF!</v>
      </c>
      <c r="FG118" t="e">
        <f>AND('Data Control'!#REF!,"AAAAAHfb1aI=")</f>
        <v>#REF!</v>
      </c>
      <c r="FH118" t="e">
        <f>AND('Data Control'!#REF!,"AAAAAHfb1aM=")</f>
        <v>#REF!</v>
      </c>
      <c r="FI118" t="e">
        <f>AND('Data Control'!#REF!,"AAAAAHfb1aQ=")</f>
        <v>#REF!</v>
      </c>
      <c r="FJ118" t="e">
        <f>AND('Data Control'!#REF!,"AAAAAHfb1aU=")</f>
        <v>#REF!</v>
      </c>
      <c r="FK118" t="e">
        <f>AND('Data Control'!#REF!,"AAAAAHfb1aY=")</f>
        <v>#REF!</v>
      </c>
      <c r="FL118" t="e">
        <f>AND('Data Control'!#REF!,"AAAAAHfb1ac=")</f>
        <v>#REF!</v>
      </c>
      <c r="FM118" t="e">
        <f>AND('Data Control'!#REF!,"AAAAAHfb1ag=")</f>
        <v>#REF!</v>
      </c>
      <c r="FN118" t="e">
        <f>AND('Data Control'!#REF!,"AAAAAHfb1ak=")</f>
        <v>#REF!</v>
      </c>
      <c r="FO118" t="e">
        <f>AND('Data Control'!#REF!,"AAAAAHfb1ao=")</f>
        <v>#REF!</v>
      </c>
      <c r="FP118" t="e">
        <f>IF('Data Control'!#REF!,"AAAAAHfb1as=",0)</f>
        <v>#REF!</v>
      </c>
      <c r="FQ118" t="e">
        <f>AND('Data Control'!#REF!,"AAAAAHfb1aw=")</f>
        <v>#REF!</v>
      </c>
      <c r="FR118" t="e">
        <f>AND('Data Control'!#REF!,"AAAAAHfb1a0=")</f>
        <v>#REF!</v>
      </c>
      <c r="FS118" t="e">
        <f>AND('Data Control'!#REF!,"AAAAAHfb1a4=")</f>
        <v>#REF!</v>
      </c>
      <c r="FT118" t="e">
        <f>AND('Data Control'!#REF!,"AAAAAHfb1a8=")</f>
        <v>#REF!</v>
      </c>
      <c r="FU118" t="e">
        <f>AND('Data Control'!#REF!,"AAAAAHfb1bA=")</f>
        <v>#REF!</v>
      </c>
      <c r="FV118" t="e">
        <f>AND('Data Control'!#REF!,"AAAAAHfb1bE=")</f>
        <v>#REF!</v>
      </c>
      <c r="FW118" t="e">
        <f>AND('Data Control'!#REF!,"AAAAAHfb1bI=")</f>
        <v>#REF!</v>
      </c>
      <c r="FX118" t="e">
        <f>AND('Data Control'!#REF!,"AAAAAHfb1bM=")</f>
        <v>#REF!</v>
      </c>
      <c r="FY118" t="e">
        <f>AND('Data Control'!#REF!,"AAAAAHfb1bQ=")</f>
        <v>#REF!</v>
      </c>
      <c r="FZ118" t="e">
        <f>AND('Data Control'!#REF!,"AAAAAHfb1bU=")</f>
        <v>#REF!</v>
      </c>
      <c r="GA118" t="e">
        <f>AND('Data Control'!#REF!,"AAAAAHfb1bY=")</f>
        <v>#REF!</v>
      </c>
      <c r="GB118" t="e">
        <f>AND('Data Control'!#REF!,"AAAAAHfb1bc=")</f>
        <v>#REF!</v>
      </c>
      <c r="GC118" t="e">
        <f>AND('Data Control'!#REF!,"AAAAAHfb1bg=")</f>
        <v>#REF!</v>
      </c>
      <c r="GD118" t="e">
        <f>IF('Data Control'!#REF!,"AAAAAHfb1bk=",0)</f>
        <v>#REF!</v>
      </c>
      <c r="GE118" t="e">
        <f>AND('Data Control'!#REF!,"AAAAAHfb1bo=")</f>
        <v>#REF!</v>
      </c>
      <c r="GF118" t="e">
        <f>AND('Data Control'!#REF!,"AAAAAHfb1bs=")</f>
        <v>#REF!</v>
      </c>
      <c r="GG118" t="e">
        <f>AND('Data Control'!#REF!,"AAAAAHfb1bw=")</f>
        <v>#REF!</v>
      </c>
      <c r="GH118" t="e">
        <f>AND('Data Control'!#REF!,"AAAAAHfb1b0=")</f>
        <v>#REF!</v>
      </c>
      <c r="GI118" t="e">
        <f>AND('Data Control'!#REF!,"AAAAAHfb1b4=")</f>
        <v>#REF!</v>
      </c>
      <c r="GJ118" t="e">
        <f>AND('Data Control'!#REF!,"AAAAAHfb1b8=")</f>
        <v>#REF!</v>
      </c>
      <c r="GK118" t="e">
        <f>AND('Data Control'!#REF!,"AAAAAHfb1cA=")</f>
        <v>#REF!</v>
      </c>
      <c r="GL118" t="e">
        <f>AND('Data Control'!#REF!,"AAAAAHfb1cE=")</f>
        <v>#REF!</v>
      </c>
      <c r="GM118" t="e">
        <f>AND('Data Control'!#REF!,"AAAAAHfb1cI=")</f>
        <v>#REF!</v>
      </c>
      <c r="GN118" t="e">
        <f>AND('Data Control'!#REF!,"AAAAAHfb1cM=")</f>
        <v>#REF!</v>
      </c>
      <c r="GO118" t="e">
        <f>AND('Data Control'!#REF!,"AAAAAHfb1cQ=")</f>
        <v>#REF!</v>
      </c>
      <c r="GP118" t="e">
        <f>AND('Data Control'!#REF!,"AAAAAHfb1cU=")</f>
        <v>#REF!</v>
      </c>
      <c r="GQ118" t="e">
        <f>AND('Data Control'!#REF!,"AAAAAHfb1cY=")</f>
        <v>#REF!</v>
      </c>
      <c r="GR118" t="e">
        <f>IF('Data Control'!#REF!,"AAAAAHfb1cc=",0)</f>
        <v>#REF!</v>
      </c>
      <c r="GS118" t="e">
        <f>AND('Data Control'!#REF!,"AAAAAHfb1cg=")</f>
        <v>#REF!</v>
      </c>
      <c r="GT118" t="e">
        <f>AND('Data Control'!#REF!,"AAAAAHfb1ck=")</f>
        <v>#REF!</v>
      </c>
      <c r="GU118" t="e">
        <f>AND('Data Control'!#REF!,"AAAAAHfb1co=")</f>
        <v>#REF!</v>
      </c>
      <c r="GV118" t="e">
        <f>AND('Data Control'!#REF!,"AAAAAHfb1cs=")</f>
        <v>#REF!</v>
      </c>
      <c r="GW118" t="e">
        <f>AND('Data Control'!#REF!,"AAAAAHfb1cw=")</f>
        <v>#REF!</v>
      </c>
      <c r="GX118" t="e">
        <f>AND('Data Control'!#REF!,"AAAAAHfb1c0=")</f>
        <v>#REF!</v>
      </c>
      <c r="GY118" t="e">
        <f>AND('Data Control'!#REF!,"AAAAAHfb1c4=")</f>
        <v>#REF!</v>
      </c>
      <c r="GZ118" t="e">
        <f>AND('Data Control'!#REF!,"AAAAAHfb1c8=")</f>
        <v>#REF!</v>
      </c>
      <c r="HA118" t="e">
        <f>AND('Data Control'!#REF!,"AAAAAHfb1dA=")</f>
        <v>#REF!</v>
      </c>
      <c r="HB118" t="e">
        <f>AND('Data Control'!#REF!,"AAAAAHfb1dE=")</f>
        <v>#REF!</v>
      </c>
      <c r="HC118" t="e">
        <f>AND('Data Control'!#REF!,"AAAAAHfb1dI=")</f>
        <v>#REF!</v>
      </c>
      <c r="HD118" t="e">
        <f>AND('Data Control'!#REF!,"AAAAAHfb1dM=")</f>
        <v>#REF!</v>
      </c>
      <c r="HE118" t="e">
        <f>AND('Data Control'!#REF!,"AAAAAHfb1dQ=")</f>
        <v>#REF!</v>
      </c>
      <c r="HF118" t="e">
        <f>IF('Data Control'!#REF!,"AAAAAHfb1dU=",0)</f>
        <v>#REF!</v>
      </c>
      <c r="HG118" t="e">
        <f>AND('Data Control'!#REF!,"AAAAAHfb1dY=")</f>
        <v>#REF!</v>
      </c>
      <c r="HH118" t="e">
        <f>AND('Data Control'!#REF!,"AAAAAHfb1dc=")</f>
        <v>#REF!</v>
      </c>
      <c r="HI118" t="e">
        <f>AND('Data Control'!#REF!,"AAAAAHfb1dg=")</f>
        <v>#REF!</v>
      </c>
      <c r="HJ118" t="e">
        <f>AND('Data Control'!#REF!,"AAAAAHfb1dk=")</f>
        <v>#REF!</v>
      </c>
      <c r="HK118" t="e">
        <f>AND('Data Control'!#REF!,"AAAAAHfb1do=")</f>
        <v>#REF!</v>
      </c>
      <c r="HL118" t="e">
        <f>AND('Data Control'!#REF!,"AAAAAHfb1ds=")</f>
        <v>#REF!</v>
      </c>
      <c r="HM118" t="e">
        <f>AND('Data Control'!#REF!,"AAAAAHfb1dw=")</f>
        <v>#REF!</v>
      </c>
      <c r="HN118" t="e">
        <f>AND('Data Control'!#REF!,"AAAAAHfb1d0=")</f>
        <v>#REF!</v>
      </c>
      <c r="HO118" t="e">
        <f>AND('Data Control'!#REF!,"AAAAAHfb1d4=")</f>
        <v>#REF!</v>
      </c>
      <c r="HP118" t="e">
        <f>AND('Data Control'!#REF!,"AAAAAHfb1d8=")</f>
        <v>#REF!</v>
      </c>
      <c r="HQ118" t="e">
        <f>AND('Data Control'!#REF!,"AAAAAHfb1eA=")</f>
        <v>#REF!</v>
      </c>
      <c r="HR118" t="e">
        <f>AND('Data Control'!#REF!,"AAAAAHfb1eE=")</f>
        <v>#REF!</v>
      </c>
      <c r="HS118" t="e">
        <f>AND('Data Control'!#REF!,"AAAAAHfb1eI=")</f>
        <v>#REF!</v>
      </c>
      <c r="HT118">
        <f>IF(Materials!23:23,"AAAAAHfb1eM=",0)</f>
        <v>0</v>
      </c>
      <c r="HU118" t="e">
        <f>AND(Materials!A23,"AAAAAHfb1eQ=")</f>
        <v>#VALUE!</v>
      </c>
      <c r="HV118" t="e">
        <f>AND(Materials!B23,"AAAAAHfb1eU=")</f>
        <v>#VALUE!</v>
      </c>
      <c r="HW118" t="e">
        <f>AND(Materials!C23,"AAAAAHfb1eY=")</f>
        <v>#VALUE!</v>
      </c>
      <c r="HX118" t="e">
        <f>AND(Materials!D23,"AAAAAHfb1ec=")</f>
        <v>#VALUE!</v>
      </c>
      <c r="HY118" t="e">
        <f>AND(Materials!E23,"AAAAAHfb1eg=")</f>
        <v>#VALUE!</v>
      </c>
      <c r="HZ118" t="e">
        <f>AND(Materials!F23,"AAAAAHfb1ek=")</f>
        <v>#VALUE!</v>
      </c>
      <c r="IA118" t="e">
        <f>AND(Materials!G23,"AAAAAHfb1eo=")</f>
        <v>#VALUE!</v>
      </c>
      <c r="IB118" t="e">
        <f>AND(Materials!#REF!,"AAAAAHfb1es=")</f>
        <v>#REF!</v>
      </c>
      <c r="IC118" t="e">
        <f>AND(Materials!H23,"AAAAAHfb1ew=")</f>
        <v>#VALUE!</v>
      </c>
      <c r="ID118" t="e">
        <f>AND(Materials!I23,"AAAAAHfb1e0=")</f>
        <v>#VALUE!</v>
      </c>
      <c r="IE118" t="e">
        <f>AND(Materials!J23,"AAAAAHfb1e4=")</f>
        <v>#VALUE!</v>
      </c>
      <c r="IF118" t="e">
        <f>AND(Materials!K23,"AAAAAHfb1e8=")</f>
        <v>#VALUE!</v>
      </c>
      <c r="IG118" t="e">
        <f>AND(Materials!L23,"AAAAAHfb1fA=")</f>
        <v>#VALUE!</v>
      </c>
      <c r="IH118">
        <f>IF(Materials!24:24,"AAAAAHfb1fE=",0)</f>
        <v>0</v>
      </c>
      <c r="II118" t="e">
        <f>AND(Materials!#REF!,"AAAAAHfb1fI=")</f>
        <v>#REF!</v>
      </c>
      <c r="IJ118" t="e">
        <f>AND(Materials!A24,"AAAAAHfb1fM=")</f>
        <v>#VALUE!</v>
      </c>
      <c r="IK118" t="e">
        <f>AND(Materials!B24,"AAAAAHfb1fQ=")</f>
        <v>#VALUE!</v>
      </c>
      <c r="IL118" t="e">
        <f>AND(Materials!C24,"AAAAAHfb1fU=")</f>
        <v>#VALUE!</v>
      </c>
      <c r="IM118" t="e">
        <f>AND(Materials!D24,"AAAAAHfb1fY=")</f>
        <v>#VALUE!</v>
      </c>
      <c r="IN118" t="e">
        <f>AND(Materials!E24,"AAAAAHfb1fc=")</f>
        <v>#VALUE!</v>
      </c>
      <c r="IO118" t="e">
        <f>AND(Materials!F24,"AAAAAHfb1fg=")</f>
        <v>#VALUE!</v>
      </c>
      <c r="IP118" t="e">
        <f>AND(Materials!#REF!,"AAAAAHfb1fk=")</f>
        <v>#REF!</v>
      </c>
      <c r="IQ118" t="e">
        <f>AND(Materials!G24,"AAAAAHfb1fo=")</f>
        <v>#VALUE!</v>
      </c>
      <c r="IR118" t="e">
        <f>AND(Materials!H24,"AAAAAHfb1fs=")</f>
        <v>#VALUE!</v>
      </c>
      <c r="IS118" t="e">
        <f>AND(Materials!I24,"AAAAAHfb1fw=")</f>
        <v>#VALUE!</v>
      </c>
      <c r="IT118" t="e">
        <f>AND(Materials!J24,"AAAAAHfb1f0=")</f>
        <v>#VALUE!</v>
      </c>
      <c r="IU118" t="e">
        <f>AND(Materials!K24,"AAAAAHfb1f4=")</f>
        <v>#VALUE!</v>
      </c>
      <c r="IV118">
        <f>IF(Materials!25:25,"AAAAAHfb1f8=",0)</f>
        <v>0</v>
      </c>
    </row>
    <row r="119" spans="1:256" x14ac:dyDescent="0.2">
      <c r="A119" t="e">
        <f>AND(Materials!#REF!,"AAAAAHv7vQA=")</f>
        <v>#REF!</v>
      </c>
      <c r="B119" t="e">
        <f>AND(Materials!#REF!,"AAAAAHv7vQE=")</f>
        <v>#REF!</v>
      </c>
      <c r="C119" t="e">
        <f>AND(Materials!B25,"AAAAAHv7vQI=")</f>
        <v>#VALUE!</v>
      </c>
      <c r="D119" t="e">
        <f>AND(Materials!#REF!,"AAAAAHv7vQM=")</f>
        <v>#REF!</v>
      </c>
      <c r="E119" t="e">
        <f>AND(Materials!C25,"AAAAAHv7vQQ=")</f>
        <v>#VALUE!</v>
      </c>
      <c r="F119" t="e">
        <f>AND(Materials!D25,"AAAAAHv7vQU=")</f>
        <v>#VALUE!</v>
      </c>
      <c r="G119" t="e">
        <f>AND(Materials!E25,"AAAAAHv7vQY=")</f>
        <v>#VALUE!</v>
      </c>
      <c r="H119" t="e">
        <f>AND(Materials!#REF!,"AAAAAHv7vQc=")</f>
        <v>#REF!</v>
      </c>
      <c r="I119" t="e">
        <f>AND(Materials!F25,"AAAAAHv7vQg=")</f>
        <v>#VALUE!</v>
      </c>
      <c r="J119" t="e">
        <f>AND(Materials!G25,"AAAAAHv7vQk=")</f>
        <v>#VALUE!</v>
      </c>
      <c r="K119" t="e">
        <f>AND(Materials!H25,"AAAAAHv7vQo=")</f>
        <v>#VALUE!</v>
      </c>
      <c r="L119" t="e">
        <f>AND(Materials!I25,"AAAAAHv7vQs=")</f>
        <v>#VALUE!</v>
      </c>
      <c r="M119" t="e">
        <f>AND(Materials!J25,"AAAAAHv7vQw=")</f>
        <v>#VALUE!</v>
      </c>
      <c r="N119">
        <f>IF(Materials!26:26,"AAAAAHv7vQ0=",0)</f>
        <v>0</v>
      </c>
      <c r="O119" t="e">
        <f>AND(Materials!#REF!,"AAAAAHv7vQ4=")</f>
        <v>#REF!</v>
      </c>
      <c r="P119" t="e">
        <f>AND(Materials!#REF!,"AAAAAHv7vQ8=")</f>
        <v>#REF!</v>
      </c>
      <c r="Q119" t="e">
        <f>AND(Materials!B26,"AAAAAHv7vRA=")</f>
        <v>#VALUE!</v>
      </c>
      <c r="R119" t="e">
        <f>AND(Materials!#REF!,"AAAAAHv7vRE=")</f>
        <v>#REF!</v>
      </c>
      <c r="S119" t="e">
        <f>AND(Materials!C26,"AAAAAHv7vRI=")</f>
        <v>#VALUE!</v>
      </c>
      <c r="T119" t="e">
        <f>AND(Materials!D26,"AAAAAHv7vRM=")</f>
        <v>#VALUE!</v>
      </c>
      <c r="U119" t="e">
        <f>AND(Materials!E26,"AAAAAHv7vRQ=")</f>
        <v>#VALUE!</v>
      </c>
      <c r="V119" t="e">
        <f>AND(Materials!#REF!,"AAAAAHv7vRU=")</f>
        <v>#REF!</v>
      </c>
      <c r="W119" t="e">
        <f>AND(Materials!F26,"AAAAAHv7vRY=")</f>
        <v>#VALUE!</v>
      </c>
      <c r="X119" t="e">
        <f>AND(Materials!G26,"AAAAAHv7vRc=")</f>
        <v>#VALUE!</v>
      </c>
      <c r="Y119" t="e">
        <f>AND(Materials!H26,"AAAAAHv7vRg=")</f>
        <v>#VALUE!</v>
      </c>
      <c r="Z119" t="e">
        <f>AND(Materials!I26,"AAAAAHv7vRk=")</f>
        <v>#VALUE!</v>
      </c>
      <c r="AA119" t="e">
        <f>AND(Materials!J26,"AAAAAHv7vRo=")</f>
        <v>#VALUE!</v>
      </c>
      <c r="AB119">
        <f>IF(Materials!27:27,"AAAAAHv7vRs=",0)</f>
        <v>0</v>
      </c>
      <c r="AC119" t="e">
        <f>AND(Materials!#REF!,"AAAAAHv7vRw=")</f>
        <v>#REF!</v>
      </c>
      <c r="AD119" t="e">
        <f>AND(Materials!#REF!,"AAAAAHv7vR0=")</f>
        <v>#REF!</v>
      </c>
      <c r="AE119" t="e">
        <f>AND(Materials!B27,"AAAAAHv7vR4=")</f>
        <v>#VALUE!</v>
      </c>
      <c r="AF119" t="e">
        <f>AND(Materials!#REF!,"AAAAAHv7vR8=")</f>
        <v>#REF!</v>
      </c>
      <c r="AG119" t="e">
        <f>AND(Materials!C27,"AAAAAHv7vSA=")</f>
        <v>#VALUE!</v>
      </c>
      <c r="AH119" t="e">
        <f>AND(Materials!D27,"AAAAAHv7vSE=")</f>
        <v>#VALUE!</v>
      </c>
      <c r="AI119" t="e">
        <f>AND(Materials!E27,"AAAAAHv7vSI=")</f>
        <v>#VALUE!</v>
      </c>
      <c r="AJ119" t="e">
        <f>AND(Materials!#REF!,"AAAAAHv7vSM=")</f>
        <v>#REF!</v>
      </c>
      <c r="AK119" t="e">
        <f>AND(Materials!F27,"AAAAAHv7vSQ=")</f>
        <v>#VALUE!</v>
      </c>
      <c r="AL119" t="e">
        <f>AND(Materials!G27,"AAAAAHv7vSU=")</f>
        <v>#VALUE!</v>
      </c>
      <c r="AM119" t="e">
        <f>AND(Materials!H27,"AAAAAHv7vSY=")</f>
        <v>#VALUE!</v>
      </c>
      <c r="AN119" t="e">
        <f>AND(Materials!I27,"AAAAAHv7vSc=")</f>
        <v>#VALUE!</v>
      </c>
      <c r="AO119" t="e">
        <f>AND(Materials!J27,"AAAAAHv7vSg=")</f>
        <v>#VALUE!</v>
      </c>
      <c r="AP119">
        <f>IF(Materials!28:28,"AAAAAHv7vSk=",0)</f>
        <v>0</v>
      </c>
      <c r="AQ119" t="e">
        <f>AND(Materials!#REF!,"AAAAAHv7vSo=")</f>
        <v>#REF!</v>
      </c>
      <c r="AR119" t="e">
        <f>AND(Materials!#REF!,"AAAAAHv7vSs=")</f>
        <v>#REF!</v>
      </c>
      <c r="AS119" t="e">
        <f>AND(Materials!B28,"AAAAAHv7vSw=")</f>
        <v>#VALUE!</v>
      </c>
      <c r="AT119" t="e">
        <f>AND(Materials!#REF!,"AAAAAHv7vS0=")</f>
        <v>#REF!</v>
      </c>
      <c r="AU119" t="e">
        <f>AND(Materials!C28,"AAAAAHv7vS4=")</f>
        <v>#VALUE!</v>
      </c>
      <c r="AV119" t="e">
        <f>AND(Materials!D28,"AAAAAHv7vS8=")</f>
        <v>#VALUE!</v>
      </c>
      <c r="AW119" t="e">
        <f>AND(Materials!E28,"AAAAAHv7vTA=")</f>
        <v>#VALUE!</v>
      </c>
      <c r="AX119" t="e">
        <f>AND(Materials!#REF!,"AAAAAHv7vTE=")</f>
        <v>#REF!</v>
      </c>
      <c r="AY119" t="e">
        <f>AND(Materials!F28,"AAAAAHv7vTI=")</f>
        <v>#VALUE!</v>
      </c>
      <c r="AZ119" t="e">
        <f>AND(Materials!G28,"AAAAAHv7vTM=")</f>
        <v>#VALUE!</v>
      </c>
      <c r="BA119" t="e">
        <f>AND(Materials!H28,"AAAAAHv7vTQ=")</f>
        <v>#VALUE!</v>
      </c>
      <c r="BB119" t="e">
        <f>AND(Materials!I28,"AAAAAHv7vTU=")</f>
        <v>#VALUE!</v>
      </c>
      <c r="BC119" t="e">
        <f>AND(Materials!J28,"AAAAAHv7vTY=")</f>
        <v>#VALUE!</v>
      </c>
      <c r="BD119">
        <f>IF(Materials!29:29,"AAAAAHv7vTc=",0)</f>
        <v>0</v>
      </c>
      <c r="BE119" t="e">
        <f>AND(Materials!#REF!,"AAAAAHv7vTg=")</f>
        <v>#REF!</v>
      </c>
      <c r="BF119" t="e">
        <f>AND(Materials!#REF!,"AAAAAHv7vTk=")</f>
        <v>#REF!</v>
      </c>
      <c r="BG119" t="e">
        <f>AND(Materials!B29,"AAAAAHv7vTo=")</f>
        <v>#VALUE!</v>
      </c>
      <c r="BH119" t="e">
        <f>AND(Materials!#REF!,"AAAAAHv7vTs=")</f>
        <v>#REF!</v>
      </c>
      <c r="BI119" t="e">
        <f>AND(Materials!C29,"AAAAAHv7vTw=")</f>
        <v>#VALUE!</v>
      </c>
      <c r="BJ119" t="e">
        <f>AND(Materials!D29,"AAAAAHv7vT0=")</f>
        <v>#VALUE!</v>
      </c>
      <c r="BK119" t="e">
        <f>AND(Materials!E29,"AAAAAHv7vT4=")</f>
        <v>#VALUE!</v>
      </c>
      <c r="BL119" t="e">
        <f>AND(Materials!#REF!,"AAAAAHv7vT8=")</f>
        <v>#REF!</v>
      </c>
      <c r="BM119" t="e">
        <f>AND(Materials!F29,"AAAAAHv7vUA=")</f>
        <v>#VALUE!</v>
      </c>
      <c r="BN119" t="e">
        <f>AND(Materials!G29,"AAAAAHv7vUE=")</f>
        <v>#VALUE!</v>
      </c>
      <c r="BO119" t="e">
        <f>AND(Materials!H29,"AAAAAHv7vUI=")</f>
        <v>#VALUE!</v>
      </c>
      <c r="BP119" t="e">
        <f>AND(Materials!I29,"AAAAAHv7vUM=")</f>
        <v>#VALUE!</v>
      </c>
      <c r="BQ119" t="e">
        <f>AND(Materials!J29,"AAAAAHv7vUQ=")</f>
        <v>#VALUE!</v>
      </c>
      <c r="BR119">
        <f>IF(Materials!30:30,"AAAAAHv7vUU=",0)</f>
        <v>0</v>
      </c>
      <c r="BS119" t="e">
        <f>AND(Materials!#REF!,"AAAAAHv7vUY=")</f>
        <v>#REF!</v>
      </c>
      <c r="BT119" t="e">
        <f>AND(Materials!#REF!,"AAAAAHv7vUc=")</f>
        <v>#REF!</v>
      </c>
      <c r="BU119" t="e">
        <f>AND(Materials!B30,"AAAAAHv7vUg=")</f>
        <v>#VALUE!</v>
      </c>
      <c r="BV119" t="e">
        <f>AND(Materials!#REF!,"AAAAAHv7vUk=")</f>
        <v>#REF!</v>
      </c>
      <c r="BW119" t="e">
        <f>AND(Materials!C30,"AAAAAHv7vUo=")</f>
        <v>#VALUE!</v>
      </c>
      <c r="BX119" t="e">
        <f>AND(Materials!D30,"AAAAAHv7vUs=")</f>
        <v>#VALUE!</v>
      </c>
      <c r="BY119" t="e">
        <f>AND(Materials!E30,"AAAAAHv7vUw=")</f>
        <v>#VALUE!</v>
      </c>
      <c r="BZ119" t="e">
        <f>AND(Materials!#REF!,"AAAAAHv7vU0=")</f>
        <v>#REF!</v>
      </c>
      <c r="CA119" t="e">
        <f>AND(Materials!F30,"AAAAAHv7vU4=")</f>
        <v>#VALUE!</v>
      </c>
      <c r="CB119" t="e">
        <f>AND(Materials!G30,"AAAAAHv7vU8=")</f>
        <v>#VALUE!</v>
      </c>
      <c r="CC119" t="e">
        <f>AND(Materials!H30,"AAAAAHv7vVA=")</f>
        <v>#VALUE!</v>
      </c>
      <c r="CD119" t="e">
        <f>AND(Materials!I30,"AAAAAHv7vVE=")</f>
        <v>#VALUE!</v>
      </c>
      <c r="CE119" t="e">
        <f>AND(Materials!J30,"AAAAAHv7vVI=")</f>
        <v>#VALUE!</v>
      </c>
      <c r="CF119">
        <f>IF(Materials!31:31,"AAAAAHv7vVM=",0)</f>
        <v>0</v>
      </c>
      <c r="CG119" t="e">
        <f>AND(Materials!#REF!,"AAAAAHv7vVQ=")</f>
        <v>#REF!</v>
      </c>
      <c r="CH119" t="e">
        <f>AND(Materials!#REF!,"AAAAAHv7vVU=")</f>
        <v>#REF!</v>
      </c>
      <c r="CI119" t="e">
        <f>AND(Materials!B31,"AAAAAHv7vVY=")</f>
        <v>#VALUE!</v>
      </c>
      <c r="CJ119" t="e">
        <f>AND(Materials!#REF!,"AAAAAHv7vVc=")</f>
        <v>#REF!</v>
      </c>
      <c r="CK119" t="e">
        <f>AND(Materials!C31,"AAAAAHv7vVg=")</f>
        <v>#VALUE!</v>
      </c>
      <c r="CL119" t="e">
        <f>AND(Materials!D31,"AAAAAHv7vVk=")</f>
        <v>#VALUE!</v>
      </c>
      <c r="CM119" t="e">
        <f>AND(Materials!E31,"AAAAAHv7vVo=")</f>
        <v>#VALUE!</v>
      </c>
      <c r="CN119" t="e">
        <f>AND(Materials!#REF!,"AAAAAHv7vVs=")</f>
        <v>#REF!</v>
      </c>
      <c r="CO119" t="e">
        <f>AND(Materials!F31,"AAAAAHv7vVw=")</f>
        <v>#VALUE!</v>
      </c>
      <c r="CP119" t="e">
        <f>AND(Materials!G31,"AAAAAHv7vV0=")</f>
        <v>#VALUE!</v>
      </c>
      <c r="CQ119" t="e">
        <f>AND(Materials!H31,"AAAAAHv7vV4=")</f>
        <v>#VALUE!</v>
      </c>
      <c r="CR119" t="e">
        <f>AND(Materials!I31,"AAAAAHv7vV8=")</f>
        <v>#VALUE!</v>
      </c>
      <c r="CS119" t="e">
        <f>AND(Materials!J31,"AAAAAHv7vWA=")</f>
        <v>#VALUE!</v>
      </c>
      <c r="CT119">
        <f>IF(Materials!32:32,"AAAAAHv7vWE=",0)</f>
        <v>0</v>
      </c>
      <c r="CU119" t="e">
        <f>AND(Materials!#REF!,"AAAAAHv7vWI=")</f>
        <v>#REF!</v>
      </c>
      <c r="CV119" t="e">
        <f>AND(Materials!#REF!,"AAAAAHv7vWM=")</f>
        <v>#REF!</v>
      </c>
      <c r="CW119" t="e">
        <f>AND(Materials!B32,"AAAAAHv7vWQ=")</f>
        <v>#VALUE!</v>
      </c>
      <c r="CX119" t="e">
        <f>AND(Materials!#REF!,"AAAAAHv7vWU=")</f>
        <v>#REF!</v>
      </c>
      <c r="CY119" t="e">
        <f>AND(Materials!C32,"AAAAAHv7vWY=")</f>
        <v>#VALUE!</v>
      </c>
      <c r="CZ119" t="e">
        <f>AND(Materials!D32,"AAAAAHv7vWc=")</f>
        <v>#VALUE!</v>
      </c>
      <c r="DA119" t="e">
        <f>AND(Materials!E32,"AAAAAHv7vWg=")</f>
        <v>#VALUE!</v>
      </c>
      <c r="DB119" t="e">
        <f>AND(Materials!#REF!,"AAAAAHv7vWk=")</f>
        <v>#REF!</v>
      </c>
      <c r="DC119" t="e">
        <f>AND(Materials!F32,"AAAAAHv7vWo=")</f>
        <v>#VALUE!</v>
      </c>
      <c r="DD119" t="e">
        <f>AND(Materials!G32,"AAAAAHv7vWs=")</f>
        <v>#VALUE!</v>
      </c>
      <c r="DE119" t="e">
        <f>AND(Materials!H32,"AAAAAHv7vWw=")</f>
        <v>#VALUE!</v>
      </c>
      <c r="DF119" t="e">
        <f>AND(Materials!I32,"AAAAAHv7vW0=")</f>
        <v>#VALUE!</v>
      </c>
      <c r="DG119" t="e">
        <f>AND(Materials!J32,"AAAAAHv7vW4=")</f>
        <v>#VALUE!</v>
      </c>
      <c r="DH119">
        <f>IF(Materials!33:33,"AAAAAHv7vW8=",0)</f>
        <v>0</v>
      </c>
      <c r="DI119" t="e">
        <f>AND(Materials!#REF!,"AAAAAHv7vXA=")</f>
        <v>#REF!</v>
      </c>
      <c r="DJ119" t="e">
        <f>AND(Materials!#REF!,"AAAAAHv7vXE=")</f>
        <v>#REF!</v>
      </c>
      <c r="DK119" t="e">
        <f>AND(Materials!B33,"AAAAAHv7vXI=")</f>
        <v>#VALUE!</v>
      </c>
      <c r="DL119" t="e">
        <f>AND(Materials!#REF!,"AAAAAHv7vXM=")</f>
        <v>#REF!</v>
      </c>
      <c r="DM119" t="e">
        <f>AND(Materials!C33,"AAAAAHv7vXQ=")</f>
        <v>#VALUE!</v>
      </c>
      <c r="DN119" t="e">
        <f>AND(Materials!D33,"AAAAAHv7vXU=")</f>
        <v>#VALUE!</v>
      </c>
      <c r="DO119" t="e">
        <f>AND(Materials!E33,"AAAAAHv7vXY=")</f>
        <v>#VALUE!</v>
      </c>
      <c r="DP119" t="e">
        <f>AND(Materials!#REF!,"AAAAAHv7vXc=")</f>
        <v>#REF!</v>
      </c>
      <c r="DQ119" t="e">
        <f>AND(Materials!F33,"AAAAAHv7vXg=")</f>
        <v>#VALUE!</v>
      </c>
      <c r="DR119" t="e">
        <f>AND(Materials!G33,"AAAAAHv7vXk=")</f>
        <v>#VALUE!</v>
      </c>
      <c r="DS119" t="e">
        <f>AND(Materials!H33,"AAAAAHv7vXo=")</f>
        <v>#VALUE!</v>
      </c>
      <c r="DT119" t="e">
        <f>AND(Materials!I33,"AAAAAHv7vXs=")</f>
        <v>#VALUE!</v>
      </c>
      <c r="DU119" t="e">
        <f>AND(Materials!J33,"AAAAAHv7vXw=")</f>
        <v>#VALUE!</v>
      </c>
      <c r="DV119">
        <f>IF('Data Control'!A:A,"AAAAAHv7vX0=",0)</f>
        <v>0</v>
      </c>
      <c r="DW119">
        <f>IF('Data Control'!B:B,"AAAAAHv7vX4=",0)</f>
        <v>0</v>
      </c>
      <c r="DX119">
        <f>IF('Data Control'!C:C,"AAAAAHv7vX8=",0)</f>
        <v>0</v>
      </c>
      <c r="DY119">
        <f>IF('Data Control'!D:D,"AAAAAHv7vYA=",0)</f>
        <v>0</v>
      </c>
      <c r="DZ119">
        <f>IF('Data Control'!E:E,"AAAAAHv7vYE=",0)</f>
        <v>0</v>
      </c>
      <c r="EA119">
        <f>IF('Data Control'!F:F,"AAAAAHv7vYI=",0)</f>
        <v>0</v>
      </c>
      <c r="EB119">
        <f>IF('Data Control'!G:G,"AAAAAHv7vYM=",0)</f>
        <v>0</v>
      </c>
      <c r="EC119">
        <f>IF('Data Control'!H:H,"AAAAAHv7vYQ=",0)</f>
        <v>0</v>
      </c>
      <c r="ED119">
        <f>IF('Data Control'!I:I,"AAAAAHv7vYU=",0)</f>
        <v>0</v>
      </c>
      <c r="EE119">
        <f>IF('Data Control'!J:J,"AAAAAHv7vYY=",0)</f>
        <v>0</v>
      </c>
      <c r="EF119">
        <f>IF('Data Control'!K:K,"AAAAAHv7vYc=",0)</f>
        <v>0</v>
      </c>
      <c r="EG119">
        <f>IF('Data Control'!L:L,"AAAAAHv7vYg=",0)</f>
        <v>0</v>
      </c>
      <c r="EH119">
        <f>IF('Data Control'!M:M,"AAAAAHv7vYk=",0)</f>
        <v>0</v>
      </c>
      <c r="EI119">
        <f>IF('Client Services &amp; Database Mgr'!1:1,"AAAAAHv7vYo=",0)</f>
        <v>0</v>
      </c>
      <c r="EJ119" t="e">
        <f>AND('Client Services &amp; Database Mgr'!#REF!,"AAAAAHv7vYs=")</f>
        <v>#REF!</v>
      </c>
      <c r="EK119" t="e">
        <f>AND('Client Services &amp; Database Mgr'!A1,"AAAAAHv7vYw=")</f>
        <v>#VALUE!</v>
      </c>
      <c r="EL119" t="e">
        <f>AND('Client Services &amp; Database Mgr'!C1,"AAAAAHv7vY0=")</f>
        <v>#VALUE!</v>
      </c>
      <c r="EM119" t="e">
        <f>AND('Client Services &amp; Database Mgr'!D1,"AAAAAHv7vY4=")</f>
        <v>#VALUE!</v>
      </c>
      <c r="EN119" t="e">
        <f>AND('Client Services &amp; Database Mgr'!E1,"AAAAAHv7vY8=")</f>
        <v>#VALUE!</v>
      </c>
      <c r="EO119" t="e">
        <f>AND('Client Services &amp; Database Mgr'!F1,"AAAAAHv7vZA=")</f>
        <v>#VALUE!</v>
      </c>
      <c r="EP119" t="e">
        <f>AND('Client Services &amp; Database Mgr'!G1,"AAAAAHv7vZE=")</f>
        <v>#VALUE!</v>
      </c>
      <c r="EQ119" t="e">
        <f>AND('Client Services &amp; Database Mgr'!H1,"AAAAAHv7vZI=")</f>
        <v>#VALUE!</v>
      </c>
      <c r="ER119" t="e">
        <f>AND('Client Services &amp; Database Mgr'!I1,"AAAAAHv7vZM=")</f>
        <v>#VALUE!</v>
      </c>
      <c r="ES119" t="e">
        <f>AND('Client Services &amp; Database Mgr'!J1,"AAAAAHv7vZQ=")</f>
        <v>#VALUE!</v>
      </c>
      <c r="ET119" t="e">
        <f>AND('Client Services &amp; Database Mgr'!K1,"AAAAAHv7vZU=")</f>
        <v>#VALUE!</v>
      </c>
      <c r="EU119" t="e">
        <f>AND('Client Services &amp; Database Mgr'!L1,"AAAAAHv7vZY=")</f>
        <v>#VALUE!</v>
      </c>
      <c r="EV119" t="e">
        <f>AND('Client Services &amp; Database Mgr'!M1,"AAAAAHv7vZc=")</f>
        <v>#VALUE!</v>
      </c>
      <c r="EW119">
        <f>IF('Client Services &amp; Database Mgr'!2:2,"AAAAAHv7vZg=",0)</f>
        <v>0</v>
      </c>
      <c r="EX119" t="e">
        <f>AND('Client Services &amp; Database Mgr'!A2,"AAAAAHv7vZk=")</f>
        <v>#VALUE!</v>
      </c>
      <c r="EY119" t="e">
        <f>AND('Client Services &amp; Database Mgr'!B2,"AAAAAHv7vZo=")</f>
        <v>#VALUE!</v>
      </c>
      <c r="EZ119" t="e">
        <f>AND('Client Services &amp; Database Mgr'!C2,"AAAAAHv7vZs=")</f>
        <v>#VALUE!</v>
      </c>
      <c r="FA119" t="e">
        <f>AND('Client Services &amp; Database Mgr'!D2,"AAAAAHv7vZw=")</f>
        <v>#VALUE!</v>
      </c>
      <c r="FB119" t="e">
        <f>AND('Client Services &amp; Database Mgr'!E2,"AAAAAHv7vZ0=")</f>
        <v>#VALUE!</v>
      </c>
      <c r="FC119" t="e">
        <f>AND('Client Services &amp; Database Mgr'!F2,"AAAAAHv7vZ4=")</f>
        <v>#VALUE!</v>
      </c>
      <c r="FD119" t="e">
        <f>AND('Client Services &amp; Database Mgr'!G2,"AAAAAHv7vZ8=")</f>
        <v>#VALUE!</v>
      </c>
      <c r="FE119" t="e">
        <f>AND('Client Services &amp; Database Mgr'!H2,"AAAAAHv7vaA=")</f>
        <v>#VALUE!</v>
      </c>
      <c r="FF119" t="e">
        <f>AND('Client Services &amp; Database Mgr'!I2,"AAAAAHv7vaE=")</f>
        <v>#VALUE!</v>
      </c>
      <c r="FG119" t="e">
        <f>AND('Client Services &amp; Database Mgr'!J2,"AAAAAHv7vaI=")</f>
        <v>#VALUE!</v>
      </c>
      <c r="FH119" t="e">
        <f>AND('Client Services &amp; Database Mgr'!K2,"AAAAAHv7vaM=")</f>
        <v>#VALUE!</v>
      </c>
      <c r="FI119" t="e">
        <f>AND('Client Services &amp; Database Mgr'!L2,"AAAAAHv7vaQ=")</f>
        <v>#VALUE!</v>
      </c>
      <c r="FJ119" t="e">
        <f>AND('Client Services &amp; Database Mgr'!M2,"AAAAAHv7vaU=")</f>
        <v>#VALUE!</v>
      </c>
      <c r="FK119">
        <f>IF('Client Services &amp; Database Mgr'!3:3,"AAAAAHv7vaY=",0)</f>
        <v>0</v>
      </c>
      <c r="FL119" t="e">
        <f>AND('Client Services &amp; Database Mgr'!A3,"AAAAAHv7vac=")</f>
        <v>#VALUE!</v>
      </c>
      <c r="FM119" t="e">
        <f>AND('Client Services &amp; Database Mgr'!B3,"AAAAAHv7vag=")</f>
        <v>#VALUE!</v>
      </c>
      <c r="FN119" t="e">
        <f>AND('Client Services &amp; Database Mgr'!C3,"AAAAAHv7vak=")</f>
        <v>#VALUE!</v>
      </c>
      <c r="FO119" t="e">
        <f>AND('Client Services &amp; Database Mgr'!D3,"AAAAAHv7vao=")</f>
        <v>#VALUE!</v>
      </c>
      <c r="FP119" t="e">
        <f>AND('Client Services &amp; Database Mgr'!E3,"AAAAAHv7vas=")</f>
        <v>#VALUE!</v>
      </c>
      <c r="FQ119" t="e">
        <f>AND('Client Services &amp; Database Mgr'!F3,"AAAAAHv7vaw=")</f>
        <v>#VALUE!</v>
      </c>
      <c r="FR119" t="e">
        <f>AND('Client Services &amp; Database Mgr'!G3,"AAAAAHv7va0=")</f>
        <v>#VALUE!</v>
      </c>
      <c r="FS119" t="e">
        <f>AND('Client Services &amp; Database Mgr'!H3,"AAAAAHv7va4=")</f>
        <v>#VALUE!</v>
      </c>
      <c r="FT119" t="e">
        <f>AND('Client Services &amp; Database Mgr'!I3,"AAAAAHv7va8=")</f>
        <v>#VALUE!</v>
      </c>
      <c r="FU119" t="e">
        <f>AND('Client Services &amp; Database Mgr'!J3,"AAAAAHv7vbA=")</f>
        <v>#VALUE!</v>
      </c>
      <c r="FV119" t="e">
        <f>AND('Client Services &amp; Database Mgr'!K3,"AAAAAHv7vbE=")</f>
        <v>#VALUE!</v>
      </c>
      <c r="FW119" t="e">
        <f>AND('Client Services &amp; Database Mgr'!L3,"AAAAAHv7vbI=")</f>
        <v>#VALUE!</v>
      </c>
      <c r="FX119" t="e">
        <f>AND('Client Services &amp; Database Mgr'!M3,"AAAAAHv7vbM=")</f>
        <v>#VALUE!</v>
      </c>
      <c r="FY119" t="e">
        <f>IF('Client Services &amp; Database Mgr'!#REF!,"AAAAAHv7vbQ=",0)</f>
        <v>#REF!</v>
      </c>
      <c r="FZ119" t="e">
        <f>AND('Client Services &amp; Database Mgr'!#REF!,"AAAAAHv7vbU=")</f>
        <v>#REF!</v>
      </c>
      <c r="GA119" t="e">
        <f>AND('Client Services &amp; Database Mgr'!#REF!,"AAAAAHv7vbY=")</f>
        <v>#REF!</v>
      </c>
      <c r="GB119" t="e">
        <f>AND('Client Services &amp; Database Mgr'!#REF!,"AAAAAHv7vbc=")</f>
        <v>#REF!</v>
      </c>
      <c r="GC119" t="e">
        <f>AND('Client Services &amp; Database Mgr'!#REF!,"AAAAAHv7vbg=")</f>
        <v>#REF!</v>
      </c>
      <c r="GD119" t="e">
        <f>AND('Client Services &amp; Database Mgr'!#REF!,"AAAAAHv7vbk=")</f>
        <v>#REF!</v>
      </c>
      <c r="GE119" t="e">
        <f>AND('Client Services &amp; Database Mgr'!#REF!,"AAAAAHv7vbo=")</f>
        <v>#REF!</v>
      </c>
      <c r="GF119" t="e">
        <f>AND('Client Services &amp; Database Mgr'!#REF!,"AAAAAHv7vbs=")</f>
        <v>#REF!</v>
      </c>
      <c r="GG119" t="e">
        <f>AND('Client Services &amp; Database Mgr'!#REF!,"AAAAAHv7vbw=")</f>
        <v>#REF!</v>
      </c>
      <c r="GH119" t="e">
        <f>AND('Client Services &amp; Database Mgr'!#REF!,"AAAAAHv7vb0=")</f>
        <v>#REF!</v>
      </c>
      <c r="GI119" t="e">
        <f>AND('Client Services &amp; Database Mgr'!#REF!,"AAAAAHv7vb4=")</f>
        <v>#REF!</v>
      </c>
      <c r="GJ119" t="e">
        <f>AND('Client Services &amp; Database Mgr'!#REF!,"AAAAAHv7vb8=")</f>
        <v>#REF!</v>
      </c>
      <c r="GK119" t="e">
        <f>AND('Client Services &amp; Database Mgr'!#REF!,"AAAAAHv7vcA=")</f>
        <v>#REF!</v>
      </c>
      <c r="GL119" t="e">
        <f>AND('Client Services &amp; Database Mgr'!#REF!,"AAAAAHv7vcE=")</f>
        <v>#REF!</v>
      </c>
      <c r="GM119" t="e">
        <f>IF('Client Services &amp; Database Mgr'!#REF!,"AAAAAHv7vcI=",0)</f>
        <v>#REF!</v>
      </c>
      <c r="GN119" t="e">
        <f>AND('Client Services &amp; Database Mgr'!#REF!,"AAAAAHv7vcM=")</f>
        <v>#REF!</v>
      </c>
      <c r="GO119" t="e">
        <f>AND('Client Services &amp; Database Mgr'!#REF!,"AAAAAHv7vcQ=")</f>
        <v>#REF!</v>
      </c>
      <c r="GP119" t="e">
        <f>AND('Client Services &amp; Database Mgr'!#REF!,"AAAAAHv7vcU=")</f>
        <v>#REF!</v>
      </c>
      <c r="GQ119" t="e">
        <f>AND('Client Services &amp; Database Mgr'!#REF!,"AAAAAHv7vcY=")</f>
        <v>#REF!</v>
      </c>
      <c r="GR119" t="e">
        <f>AND('Client Services &amp; Database Mgr'!#REF!,"AAAAAHv7vcc=")</f>
        <v>#REF!</v>
      </c>
      <c r="GS119" t="e">
        <f>AND('Client Services &amp; Database Mgr'!#REF!,"AAAAAHv7vcg=")</f>
        <v>#REF!</v>
      </c>
      <c r="GT119" t="e">
        <f>AND('Client Services &amp; Database Mgr'!#REF!,"AAAAAHv7vck=")</f>
        <v>#REF!</v>
      </c>
      <c r="GU119" t="e">
        <f>AND('Client Services &amp; Database Mgr'!#REF!,"AAAAAHv7vco=")</f>
        <v>#REF!</v>
      </c>
      <c r="GV119" t="e">
        <f>AND('Client Services &amp; Database Mgr'!#REF!,"AAAAAHv7vcs=")</f>
        <v>#REF!</v>
      </c>
      <c r="GW119" t="e">
        <f>AND('Client Services &amp; Database Mgr'!#REF!,"AAAAAHv7vcw=")</f>
        <v>#REF!</v>
      </c>
      <c r="GX119" t="e">
        <f>AND('Client Services &amp; Database Mgr'!#REF!,"AAAAAHv7vc0=")</f>
        <v>#REF!</v>
      </c>
      <c r="GY119" t="e">
        <f>AND('Client Services &amp; Database Mgr'!#REF!,"AAAAAHv7vc4=")</f>
        <v>#REF!</v>
      </c>
      <c r="GZ119" t="e">
        <f>AND('Client Services &amp; Database Mgr'!#REF!,"AAAAAHv7vc8=")</f>
        <v>#REF!</v>
      </c>
      <c r="HA119" t="e">
        <f>IF('Client Services &amp; Database Mgr'!#REF!,"AAAAAHv7vdA=",0)</f>
        <v>#REF!</v>
      </c>
      <c r="HB119" t="e">
        <f>AND('Client Services &amp; Database Mgr'!#REF!,"AAAAAHv7vdE=")</f>
        <v>#REF!</v>
      </c>
      <c r="HC119" t="e">
        <f>AND('Client Services &amp; Database Mgr'!#REF!,"AAAAAHv7vdI=")</f>
        <v>#REF!</v>
      </c>
      <c r="HD119" t="e">
        <f>AND('Client Services &amp; Database Mgr'!#REF!,"AAAAAHv7vdM=")</f>
        <v>#REF!</v>
      </c>
      <c r="HE119" t="e">
        <f>AND('Client Services &amp; Database Mgr'!#REF!,"AAAAAHv7vdQ=")</f>
        <v>#REF!</v>
      </c>
      <c r="HF119" t="e">
        <f>AND('Client Services &amp; Database Mgr'!#REF!,"AAAAAHv7vdU=")</f>
        <v>#REF!</v>
      </c>
      <c r="HG119" t="e">
        <f>AND('Client Services &amp; Database Mgr'!#REF!,"AAAAAHv7vdY=")</f>
        <v>#REF!</v>
      </c>
      <c r="HH119" t="e">
        <f>AND('Client Services &amp; Database Mgr'!#REF!,"AAAAAHv7vdc=")</f>
        <v>#REF!</v>
      </c>
      <c r="HI119" t="e">
        <f>AND('Client Services &amp; Database Mgr'!#REF!,"AAAAAHv7vdg=")</f>
        <v>#REF!</v>
      </c>
      <c r="HJ119" t="e">
        <f>AND('Client Services &amp; Database Mgr'!#REF!,"AAAAAHv7vdk=")</f>
        <v>#REF!</v>
      </c>
      <c r="HK119" t="e">
        <f>AND('Client Services &amp; Database Mgr'!#REF!,"AAAAAHv7vdo=")</f>
        <v>#REF!</v>
      </c>
      <c r="HL119" t="e">
        <f>AND('Client Services &amp; Database Mgr'!#REF!,"AAAAAHv7vds=")</f>
        <v>#REF!</v>
      </c>
      <c r="HM119" t="e">
        <f>AND('Client Services &amp; Database Mgr'!#REF!,"AAAAAHv7vdw=")</f>
        <v>#REF!</v>
      </c>
      <c r="HN119" t="e">
        <f>AND('Client Services &amp; Database Mgr'!#REF!,"AAAAAHv7vd0=")</f>
        <v>#REF!</v>
      </c>
      <c r="HO119" t="e">
        <f>IF('Client Services &amp; Database Mgr'!#REF!,"AAAAAHv7vd4=",0)</f>
        <v>#REF!</v>
      </c>
      <c r="HP119" t="e">
        <f>AND('Client Services &amp; Database Mgr'!#REF!,"AAAAAHv7vd8=")</f>
        <v>#REF!</v>
      </c>
      <c r="HQ119" t="e">
        <f>AND('Client Services &amp; Database Mgr'!#REF!,"AAAAAHv7veA=")</f>
        <v>#REF!</v>
      </c>
      <c r="HR119" t="e">
        <f>AND('Client Services &amp; Database Mgr'!#REF!,"AAAAAHv7veE=")</f>
        <v>#REF!</v>
      </c>
      <c r="HS119" t="e">
        <f>AND('Client Services &amp; Database Mgr'!#REF!,"AAAAAHv7veI=")</f>
        <v>#REF!</v>
      </c>
      <c r="HT119" t="e">
        <f>AND('Client Services &amp; Database Mgr'!#REF!,"AAAAAHv7veM=")</f>
        <v>#REF!</v>
      </c>
      <c r="HU119" t="e">
        <f>AND('Client Services &amp; Database Mgr'!#REF!,"AAAAAHv7veQ=")</f>
        <v>#REF!</v>
      </c>
      <c r="HV119" t="e">
        <f>AND('Client Services &amp; Database Mgr'!#REF!,"AAAAAHv7veU=")</f>
        <v>#REF!</v>
      </c>
      <c r="HW119" t="e">
        <f>AND('Client Services &amp; Database Mgr'!#REF!,"AAAAAHv7veY=")</f>
        <v>#REF!</v>
      </c>
      <c r="HX119" t="e">
        <f>AND('Client Services &amp; Database Mgr'!#REF!,"AAAAAHv7vec=")</f>
        <v>#REF!</v>
      </c>
      <c r="HY119" t="e">
        <f>AND('Client Services &amp; Database Mgr'!#REF!,"AAAAAHv7veg=")</f>
        <v>#REF!</v>
      </c>
      <c r="HZ119" t="e">
        <f>AND('Client Services &amp; Database Mgr'!#REF!,"AAAAAHv7vek=")</f>
        <v>#REF!</v>
      </c>
      <c r="IA119" t="e">
        <f>AND('Client Services &amp; Database Mgr'!#REF!,"AAAAAHv7veo=")</f>
        <v>#REF!</v>
      </c>
      <c r="IB119" t="e">
        <f>AND('Client Services &amp; Database Mgr'!#REF!,"AAAAAHv7ves=")</f>
        <v>#REF!</v>
      </c>
      <c r="IC119" t="e">
        <f>IF('Client Services &amp; Database Mgr'!#REF!,"AAAAAHv7vew=",0)</f>
        <v>#REF!</v>
      </c>
      <c r="ID119" t="e">
        <f>AND('Client Services &amp; Database Mgr'!#REF!,"AAAAAHv7ve0=")</f>
        <v>#REF!</v>
      </c>
      <c r="IE119" t="e">
        <f>AND('Client Services &amp; Database Mgr'!#REF!,"AAAAAHv7ve4=")</f>
        <v>#REF!</v>
      </c>
      <c r="IF119" t="e">
        <f>AND('Client Services &amp; Database Mgr'!#REF!,"AAAAAHv7ve8=")</f>
        <v>#REF!</v>
      </c>
      <c r="IG119" t="e">
        <f>AND('Client Services &amp; Database Mgr'!#REF!,"AAAAAHv7vfA=")</f>
        <v>#REF!</v>
      </c>
      <c r="IH119" t="e">
        <f>AND('Client Services &amp; Database Mgr'!#REF!,"AAAAAHv7vfE=")</f>
        <v>#REF!</v>
      </c>
      <c r="II119" t="e">
        <f>AND('Client Services &amp; Database Mgr'!#REF!,"AAAAAHv7vfI=")</f>
        <v>#REF!</v>
      </c>
      <c r="IJ119" t="e">
        <f>AND('Client Services &amp; Database Mgr'!#REF!,"AAAAAHv7vfM=")</f>
        <v>#REF!</v>
      </c>
      <c r="IK119" t="e">
        <f>AND('Client Services &amp; Database Mgr'!#REF!,"AAAAAHv7vfQ=")</f>
        <v>#REF!</v>
      </c>
      <c r="IL119" t="e">
        <f>AND('Client Services &amp; Database Mgr'!#REF!,"AAAAAHv7vfU=")</f>
        <v>#REF!</v>
      </c>
      <c r="IM119" t="e">
        <f>AND('Client Services &amp; Database Mgr'!#REF!,"AAAAAHv7vfY=")</f>
        <v>#REF!</v>
      </c>
      <c r="IN119" t="e">
        <f>AND('Client Services &amp; Database Mgr'!#REF!,"AAAAAHv7vfc=")</f>
        <v>#REF!</v>
      </c>
      <c r="IO119" t="e">
        <f>AND('Client Services &amp; Database Mgr'!#REF!,"AAAAAHv7vfg=")</f>
        <v>#REF!</v>
      </c>
      <c r="IP119" t="e">
        <f>AND('Client Services &amp; Database Mgr'!#REF!,"AAAAAHv7vfk=")</f>
        <v>#REF!</v>
      </c>
      <c r="IQ119" t="e">
        <f>IF('Client Services &amp; Database Mgr'!#REF!,"AAAAAHv7vfo=",0)</f>
        <v>#REF!</v>
      </c>
      <c r="IR119" t="e">
        <f>AND('Client Services &amp; Database Mgr'!#REF!,"AAAAAHv7vfs=")</f>
        <v>#REF!</v>
      </c>
      <c r="IS119" t="e">
        <f>AND('Client Services &amp; Database Mgr'!#REF!,"AAAAAHv7vfw=")</f>
        <v>#REF!</v>
      </c>
      <c r="IT119" t="e">
        <f>AND('Client Services &amp; Database Mgr'!#REF!,"AAAAAHv7vf0=")</f>
        <v>#REF!</v>
      </c>
      <c r="IU119" t="e">
        <f>AND('Client Services &amp; Database Mgr'!#REF!,"AAAAAHv7vf4=")</f>
        <v>#REF!</v>
      </c>
      <c r="IV119" t="e">
        <f>AND('Client Services &amp; Database Mgr'!#REF!,"AAAAAHv7vf8=")</f>
        <v>#REF!</v>
      </c>
    </row>
    <row r="120" spans="1:256" x14ac:dyDescent="0.2">
      <c r="A120" t="e">
        <f>AND('Client Services &amp; Database Mgr'!#REF!,"AAAAAH79awA=")</f>
        <v>#REF!</v>
      </c>
      <c r="B120" t="e">
        <f>AND('Client Services &amp; Database Mgr'!#REF!,"AAAAAH79awE=")</f>
        <v>#REF!</v>
      </c>
      <c r="C120" t="e">
        <f>AND('Client Services &amp; Database Mgr'!#REF!,"AAAAAH79awI=")</f>
        <v>#REF!</v>
      </c>
      <c r="D120" t="e">
        <f>AND('Client Services &amp; Database Mgr'!#REF!,"AAAAAH79awM=")</f>
        <v>#REF!</v>
      </c>
      <c r="E120" t="e">
        <f>AND('Client Services &amp; Database Mgr'!#REF!,"AAAAAH79awQ=")</f>
        <v>#REF!</v>
      </c>
      <c r="F120" t="e">
        <f>AND('Client Services &amp; Database Mgr'!#REF!,"AAAAAH79awU=")</f>
        <v>#REF!</v>
      </c>
      <c r="G120" t="e">
        <f>AND('Client Services &amp; Database Mgr'!#REF!,"AAAAAH79awY=")</f>
        <v>#REF!</v>
      </c>
      <c r="H120" t="e">
        <f>AND('Client Services &amp; Database Mgr'!#REF!,"AAAAAH79awc=")</f>
        <v>#REF!</v>
      </c>
      <c r="I120" t="e">
        <f>IF('Client Services &amp; Database Mgr'!#REF!,"AAAAAH79awg=",0)</f>
        <v>#REF!</v>
      </c>
      <c r="J120" t="e">
        <f>AND('Client Services &amp; Database Mgr'!#REF!,"AAAAAH79awk=")</f>
        <v>#REF!</v>
      </c>
      <c r="K120" t="e">
        <f>AND('Client Services &amp; Database Mgr'!#REF!,"AAAAAH79awo=")</f>
        <v>#REF!</v>
      </c>
      <c r="L120" t="e">
        <f>AND('Client Services &amp; Database Mgr'!#REF!,"AAAAAH79aws=")</f>
        <v>#REF!</v>
      </c>
      <c r="M120" t="e">
        <f>AND('Client Services &amp; Database Mgr'!#REF!,"AAAAAH79aww=")</f>
        <v>#REF!</v>
      </c>
      <c r="N120" t="e">
        <f>AND('Client Services &amp; Database Mgr'!#REF!,"AAAAAH79aw0=")</f>
        <v>#REF!</v>
      </c>
      <c r="O120" t="e">
        <f>AND('Client Services &amp; Database Mgr'!#REF!,"AAAAAH79aw4=")</f>
        <v>#REF!</v>
      </c>
      <c r="P120" t="e">
        <f>AND('Client Services &amp; Database Mgr'!#REF!,"AAAAAH79aw8=")</f>
        <v>#REF!</v>
      </c>
      <c r="Q120" t="e">
        <f>AND('Client Services &amp; Database Mgr'!#REF!,"AAAAAH79axA=")</f>
        <v>#REF!</v>
      </c>
      <c r="R120" t="e">
        <f>AND('Client Services &amp; Database Mgr'!#REF!,"AAAAAH79axE=")</f>
        <v>#REF!</v>
      </c>
      <c r="S120" t="e">
        <f>AND('Client Services &amp; Database Mgr'!#REF!,"AAAAAH79axI=")</f>
        <v>#REF!</v>
      </c>
      <c r="T120" t="e">
        <f>AND('Client Services &amp; Database Mgr'!#REF!,"AAAAAH79axM=")</f>
        <v>#REF!</v>
      </c>
      <c r="U120" t="e">
        <f>AND('Client Services &amp; Database Mgr'!#REF!,"AAAAAH79axQ=")</f>
        <v>#REF!</v>
      </c>
      <c r="V120" t="e">
        <f>AND('Client Services &amp; Database Mgr'!#REF!,"AAAAAH79axU=")</f>
        <v>#REF!</v>
      </c>
      <c r="W120">
        <f>IF('Client Services &amp; Database Mgr'!6:6,"AAAAAH79axY=",0)</f>
        <v>0</v>
      </c>
      <c r="X120" t="e">
        <f>AND('Client Services &amp; Database Mgr'!A6,"AAAAAH79axc=")</f>
        <v>#VALUE!</v>
      </c>
      <c r="Y120" t="e">
        <f>AND('Client Services &amp; Database Mgr'!B6,"AAAAAH79axg=")</f>
        <v>#VALUE!</v>
      </c>
      <c r="Z120" t="e">
        <f>AND('Client Services &amp; Database Mgr'!C6,"AAAAAH79axk=")</f>
        <v>#VALUE!</v>
      </c>
      <c r="AA120" t="e">
        <f>AND('Client Services &amp; Database Mgr'!D6,"AAAAAH79axo=")</f>
        <v>#VALUE!</v>
      </c>
      <c r="AB120" t="e">
        <f>AND('Client Services &amp; Database Mgr'!E6,"AAAAAH79axs=")</f>
        <v>#VALUE!</v>
      </c>
      <c r="AC120" t="e">
        <f>AND('Client Services &amp; Database Mgr'!F6,"AAAAAH79axw=")</f>
        <v>#VALUE!</v>
      </c>
      <c r="AD120" t="e">
        <f>AND('Client Services &amp; Database Mgr'!G6,"AAAAAH79ax0=")</f>
        <v>#VALUE!</v>
      </c>
      <c r="AE120" t="e">
        <f>AND('Client Services &amp; Database Mgr'!H6,"AAAAAH79ax4=")</f>
        <v>#VALUE!</v>
      </c>
      <c r="AF120" t="e">
        <f>AND('Client Services &amp; Database Mgr'!I6,"AAAAAH79ax8=")</f>
        <v>#VALUE!</v>
      </c>
      <c r="AG120" t="e">
        <f>AND('Client Services &amp; Database Mgr'!J6,"AAAAAH79ayA=")</f>
        <v>#VALUE!</v>
      </c>
      <c r="AH120" t="e">
        <f>AND('Client Services &amp; Database Mgr'!K6,"AAAAAH79ayE=")</f>
        <v>#VALUE!</v>
      </c>
      <c r="AI120" t="e">
        <f>AND('Client Services &amp; Database Mgr'!L6,"AAAAAH79ayI=")</f>
        <v>#VALUE!</v>
      </c>
      <c r="AJ120" t="e">
        <f>AND('Client Services &amp; Database Mgr'!M6,"AAAAAH79ayM=")</f>
        <v>#VALUE!</v>
      </c>
      <c r="AK120" t="e">
        <f>IF('Client Services &amp; Database Mgr'!#REF!,"AAAAAH79ayQ=",0)</f>
        <v>#REF!</v>
      </c>
      <c r="AL120" t="e">
        <f>AND('Client Services &amp; Database Mgr'!#REF!,"AAAAAH79ayU=")</f>
        <v>#REF!</v>
      </c>
      <c r="AM120" t="e">
        <f>AND('Client Services &amp; Database Mgr'!#REF!,"AAAAAH79ayY=")</f>
        <v>#REF!</v>
      </c>
      <c r="AN120" t="e">
        <f>AND('Client Services &amp; Database Mgr'!#REF!,"AAAAAH79ayc=")</f>
        <v>#REF!</v>
      </c>
      <c r="AO120" t="e">
        <f>AND('Client Services &amp; Database Mgr'!#REF!,"AAAAAH79ayg=")</f>
        <v>#REF!</v>
      </c>
      <c r="AP120" t="e">
        <f>AND('Client Services &amp; Database Mgr'!#REF!,"AAAAAH79ayk=")</f>
        <v>#REF!</v>
      </c>
      <c r="AQ120" t="e">
        <f>AND('Client Services &amp; Database Mgr'!#REF!,"AAAAAH79ayo=")</f>
        <v>#REF!</v>
      </c>
      <c r="AR120" t="e">
        <f>AND('Client Services &amp; Database Mgr'!#REF!,"AAAAAH79ays=")</f>
        <v>#REF!</v>
      </c>
      <c r="AS120" t="e">
        <f>AND('Client Services &amp; Database Mgr'!#REF!,"AAAAAH79ayw=")</f>
        <v>#REF!</v>
      </c>
      <c r="AT120" t="e">
        <f>AND('Client Services &amp; Database Mgr'!#REF!,"AAAAAH79ay0=")</f>
        <v>#REF!</v>
      </c>
      <c r="AU120" t="e">
        <f>AND('Client Services &amp; Database Mgr'!#REF!,"AAAAAH79ay4=")</f>
        <v>#REF!</v>
      </c>
      <c r="AV120" t="e">
        <f>AND('Client Services &amp; Database Mgr'!#REF!,"AAAAAH79ay8=")</f>
        <v>#REF!</v>
      </c>
      <c r="AW120" t="e">
        <f>AND('Client Services &amp; Database Mgr'!#REF!,"AAAAAH79azA=")</f>
        <v>#REF!</v>
      </c>
      <c r="AX120" t="e">
        <f>AND('Client Services &amp; Database Mgr'!#REF!,"AAAAAH79azE=")</f>
        <v>#REF!</v>
      </c>
      <c r="AY120">
        <f>IF('Client Services &amp; Database Mgr'!7:7,"AAAAAH79azI=",0)</f>
        <v>0</v>
      </c>
      <c r="AZ120" t="e">
        <f>AND('Client Services &amp; Database Mgr'!#REF!,"AAAAAH79azM=")</f>
        <v>#REF!</v>
      </c>
      <c r="BA120" t="e">
        <f>AND('Client Services &amp; Database Mgr'!A7,"AAAAAH79azQ=")</f>
        <v>#VALUE!</v>
      </c>
      <c r="BB120" t="e">
        <f>AND('Client Services &amp; Database Mgr'!B7,"AAAAAH79azU=")</f>
        <v>#VALUE!</v>
      </c>
      <c r="BC120" t="e">
        <f>AND('Client Services &amp; Database Mgr'!C7,"AAAAAH79azY=")</f>
        <v>#VALUE!</v>
      </c>
      <c r="BD120" t="e">
        <f>AND('Client Services &amp; Database Mgr'!D7,"AAAAAH79azc=")</f>
        <v>#VALUE!</v>
      </c>
      <c r="BE120" t="e">
        <f>AND('Client Services &amp; Database Mgr'!E7,"AAAAAH79azg=")</f>
        <v>#VALUE!</v>
      </c>
      <c r="BF120" t="e">
        <f>AND('Client Services &amp; Database Mgr'!F7,"AAAAAH79azk=")</f>
        <v>#VALUE!</v>
      </c>
      <c r="BG120" t="e">
        <f>AND('Client Services &amp; Database Mgr'!G7,"AAAAAH79azo=")</f>
        <v>#VALUE!</v>
      </c>
      <c r="BH120" t="e">
        <f>AND('Client Services &amp; Database Mgr'!H7,"AAAAAH79azs=")</f>
        <v>#VALUE!</v>
      </c>
      <c r="BI120" t="e">
        <f>AND('Client Services &amp; Database Mgr'!I7,"AAAAAH79azw=")</f>
        <v>#VALUE!</v>
      </c>
      <c r="BJ120" t="e">
        <f>AND('Client Services &amp; Database Mgr'!J7,"AAAAAH79az0=")</f>
        <v>#VALUE!</v>
      </c>
      <c r="BK120" t="e">
        <f>AND('Client Services &amp; Database Mgr'!K7,"AAAAAH79az4=")</f>
        <v>#VALUE!</v>
      </c>
      <c r="BL120" t="e">
        <f>AND('Client Services &amp; Database Mgr'!L7,"AAAAAH79az8=")</f>
        <v>#VALUE!</v>
      </c>
      <c r="BM120">
        <f>IF('Client Services &amp; Database Mgr'!8:8,"AAAAAH79a0A=",0)</f>
        <v>0</v>
      </c>
      <c r="BN120" t="e">
        <f>AND('Client Services &amp; Database Mgr'!#REF!,"AAAAAH79a0E=")</f>
        <v>#REF!</v>
      </c>
      <c r="BO120" t="e">
        <f>AND('Client Services &amp; Database Mgr'!A8,"AAAAAH79a0I=")</f>
        <v>#VALUE!</v>
      </c>
      <c r="BP120" t="e">
        <f>AND('Client Services &amp; Database Mgr'!B8,"AAAAAH79a0M=")</f>
        <v>#VALUE!</v>
      </c>
      <c r="BQ120" t="e">
        <f>AND('Client Services &amp; Database Mgr'!C8,"AAAAAH79a0Q=")</f>
        <v>#VALUE!</v>
      </c>
      <c r="BR120" t="e">
        <f>AND('Client Services &amp; Database Mgr'!D8,"AAAAAH79a0U=")</f>
        <v>#VALUE!</v>
      </c>
      <c r="BS120" t="e">
        <f>AND('Client Services &amp; Database Mgr'!E8,"AAAAAH79a0Y=")</f>
        <v>#VALUE!</v>
      </c>
      <c r="BT120" t="e">
        <f>AND('Client Services &amp; Database Mgr'!F8,"AAAAAH79a0c=")</f>
        <v>#VALUE!</v>
      </c>
      <c r="BU120" t="e">
        <f>AND('Client Services &amp; Database Mgr'!G8,"AAAAAH79a0g=")</f>
        <v>#VALUE!</v>
      </c>
      <c r="BV120" t="e">
        <f>AND('Client Services &amp; Database Mgr'!H8,"AAAAAH79a0k=")</f>
        <v>#VALUE!</v>
      </c>
      <c r="BW120" t="e">
        <f>AND('Client Services &amp; Database Mgr'!I8,"AAAAAH79a0o=")</f>
        <v>#VALUE!</v>
      </c>
      <c r="BX120" t="e">
        <f>AND('Client Services &amp; Database Mgr'!J8,"AAAAAH79a0s=")</f>
        <v>#VALUE!</v>
      </c>
      <c r="BY120" t="e">
        <f>AND('Client Services &amp; Database Mgr'!K8,"AAAAAH79a0w=")</f>
        <v>#VALUE!</v>
      </c>
      <c r="BZ120" t="e">
        <f>AND('Client Services &amp; Database Mgr'!L8,"AAAAAH79a00=")</f>
        <v>#VALUE!</v>
      </c>
      <c r="CA120">
        <f>IF('Client Services &amp; Database Mgr'!9:9,"AAAAAH79a04=",0)</f>
        <v>0</v>
      </c>
      <c r="CB120" t="e">
        <f>AND('Client Services &amp; Database Mgr'!#REF!,"AAAAAH79a08=")</f>
        <v>#REF!</v>
      </c>
      <c r="CC120" t="e">
        <f>AND('Client Services &amp; Database Mgr'!A9,"AAAAAH79a1A=")</f>
        <v>#VALUE!</v>
      </c>
      <c r="CD120" t="e">
        <f>AND('Client Services &amp; Database Mgr'!B9,"AAAAAH79a1E=")</f>
        <v>#VALUE!</v>
      </c>
      <c r="CE120" t="e">
        <f>AND('Client Services &amp; Database Mgr'!C9,"AAAAAH79a1I=")</f>
        <v>#VALUE!</v>
      </c>
      <c r="CF120" t="e">
        <f>AND('Client Services &amp; Database Mgr'!D9,"AAAAAH79a1M=")</f>
        <v>#VALUE!</v>
      </c>
      <c r="CG120" t="e">
        <f>AND('Client Services &amp; Database Mgr'!E9,"AAAAAH79a1Q=")</f>
        <v>#VALUE!</v>
      </c>
      <c r="CH120" t="e">
        <f>AND('Client Services &amp; Database Mgr'!F9,"AAAAAH79a1U=")</f>
        <v>#VALUE!</v>
      </c>
      <c r="CI120" t="e">
        <f>AND('Client Services &amp; Database Mgr'!G9,"AAAAAH79a1Y=")</f>
        <v>#VALUE!</v>
      </c>
      <c r="CJ120" t="e">
        <f>AND('Client Services &amp; Database Mgr'!H9,"AAAAAH79a1c=")</f>
        <v>#VALUE!</v>
      </c>
      <c r="CK120" t="e">
        <f>AND('Client Services &amp; Database Mgr'!I9,"AAAAAH79a1g=")</f>
        <v>#VALUE!</v>
      </c>
      <c r="CL120" t="e">
        <f>AND('Client Services &amp; Database Mgr'!J9,"AAAAAH79a1k=")</f>
        <v>#VALUE!</v>
      </c>
      <c r="CM120" t="e">
        <f>AND('Client Services &amp; Database Mgr'!K9,"AAAAAH79a1o=")</f>
        <v>#VALUE!</v>
      </c>
      <c r="CN120" t="e">
        <f>AND('Client Services &amp; Database Mgr'!L9,"AAAAAH79a1s=")</f>
        <v>#VALUE!</v>
      </c>
      <c r="CO120">
        <f>IF('Client Services &amp; Database Mgr'!10:10,"AAAAAH79a1w=",0)</f>
        <v>0</v>
      </c>
      <c r="CP120" t="e">
        <f>AND('Client Services &amp; Database Mgr'!#REF!,"AAAAAH79a10=")</f>
        <v>#REF!</v>
      </c>
      <c r="CQ120" t="e">
        <f>AND('Client Services &amp; Database Mgr'!A10,"AAAAAH79a14=")</f>
        <v>#VALUE!</v>
      </c>
      <c r="CR120" t="e">
        <f>AND('Client Services &amp; Database Mgr'!B10,"AAAAAH79a18=")</f>
        <v>#VALUE!</v>
      </c>
      <c r="CS120" t="e">
        <f>AND('Client Services &amp; Database Mgr'!C10,"AAAAAH79a2A=")</f>
        <v>#VALUE!</v>
      </c>
      <c r="CT120" t="e">
        <f>AND('Client Services &amp; Database Mgr'!D10,"AAAAAH79a2E=")</f>
        <v>#VALUE!</v>
      </c>
      <c r="CU120" t="e">
        <f>AND('Client Services &amp; Database Mgr'!E10,"AAAAAH79a2I=")</f>
        <v>#VALUE!</v>
      </c>
      <c r="CV120" t="e">
        <f>AND('Client Services &amp; Database Mgr'!F10,"AAAAAH79a2M=")</f>
        <v>#VALUE!</v>
      </c>
      <c r="CW120" t="e">
        <f>AND('Client Services &amp; Database Mgr'!G10,"AAAAAH79a2Q=")</f>
        <v>#VALUE!</v>
      </c>
      <c r="CX120" t="e">
        <f>AND('Client Services &amp; Database Mgr'!H10,"AAAAAH79a2U=")</f>
        <v>#VALUE!</v>
      </c>
      <c r="CY120" t="e">
        <f>AND('Client Services &amp; Database Mgr'!I10,"AAAAAH79a2Y=")</f>
        <v>#VALUE!</v>
      </c>
      <c r="CZ120" t="e">
        <f>AND('Client Services &amp; Database Mgr'!J10,"AAAAAH79a2c=")</f>
        <v>#VALUE!</v>
      </c>
      <c r="DA120" t="e">
        <f>AND('Client Services &amp; Database Mgr'!K10,"AAAAAH79a2g=")</f>
        <v>#VALUE!</v>
      </c>
      <c r="DB120" t="e">
        <f>AND('Client Services &amp; Database Mgr'!L10,"AAAAAH79a2k=")</f>
        <v>#VALUE!</v>
      </c>
      <c r="DC120">
        <f>IF('Client Services &amp; Database Mgr'!11:11,"AAAAAH79a2o=",0)</f>
        <v>0</v>
      </c>
      <c r="DD120" t="e">
        <f>AND('Client Services &amp; Database Mgr'!#REF!,"AAAAAH79a2s=")</f>
        <v>#REF!</v>
      </c>
      <c r="DE120" t="e">
        <f>AND('Client Services &amp; Database Mgr'!A11,"AAAAAH79a2w=")</f>
        <v>#VALUE!</v>
      </c>
      <c r="DF120" t="e">
        <f>AND('Client Services &amp; Database Mgr'!B11,"AAAAAH79a20=")</f>
        <v>#VALUE!</v>
      </c>
      <c r="DG120" t="e">
        <f>AND('Client Services &amp; Database Mgr'!C11,"AAAAAH79a24=")</f>
        <v>#VALUE!</v>
      </c>
      <c r="DH120" t="e">
        <f>AND('Client Services &amp; Database Mgr'!D11,"AAAAAH79a28=")</f>
        <v>#VALUE!</v>
      </c>
      <c r="DI120" t="e">
        <f>AND('Client Services &amp; Database Mgr'!E11,"AAAAAH79a3A=")</f>
        <v>#VALUE!</v>
      </c>
      <c r="DJ120" t="e">
        <f>AND('Client Services &amp; Database Mgr'!F11,"AAAAAH79a3E=")</f>
        <v>#VALUE!</v>
      </c>
      <c r="DK120" t="e">
        <f>AND('Client Services &amp; Database Mgr'!G11,"AAAAAH79a3I=")</f>
        <v>#VALUE!</v>
      </c>
      <c r="DL120" t="e">
        <f>AND('Client Services &amp; Database Mgr'!H11,"AAAAAH79a3M=")</f>
        <v>#VALUE!</v>
      </c>
      <c r="DM120" t="e">
        <f>AND('Client Services &amp; Database Mgr'!I11,"AAAAAH79a3Q=")</f>
        <v>#VALUE!</v>
      </c>
      <c r="DN120" t="e">
        <f>AND('Client Services &amp; Database Mgr'!J11,"AAAAAH79a3U=")</f>
        <v>#VALUE!</v>
      </c>
      <c r="DO120" t="e">
        <f>AND('Client Services &amp; Database Mgr'!K11,"AAAAAH79a3Y=")</f>
        <v>#VALUE!</v>
      </c>
      <c r="DP120" t="e">
        <f>AND('Client Services &amp; Database Mgr'!L11,"AAAAAH79a3c=")</f>
        <v>#VALUE!</v>
      </c>
      <c r="DQ120">
        <f>IF('Client Services &amp; Database Mgr'!12:12,"AAAAAH79a3g=",0)</f>
        <v>0</v>
      </c>
      <c r="DR120" t="e">
        <f>AND('Client Services &amp; Database Mgr'!#REF!,"AAAAAH79a3k=")</f>
        <v>#REF!</v>
      </c>
      <c r="DS120" t="e">
        <f>AND('Client Services &amp; Database Mgr'!A12,"AAAAAH79a3o=")</f>
        <v>#VALUE!</v>
      </c>
      <c r="DT120" t="e">
        <f>AND('Client Services &amp; Database Mgr'!B12,"AAAAAH79a3s=")</f>
        <v>#VALUE!</v>
      </c>
      <c r="DU120" t="e">
        <f>AND('Client Services &amp; Database Mgr'!C12,"AAAAAH79a3w=")</f>
        <v>#VALUE!</v>
      </c>
      <c r="DV120" t="e">
        <f>AND('Client Services &amp; Database Mgr'!D12,"AAAAAH79a30=")</f>
        <v>#VALUE!</v>
      </c>
      <c r="DW120" t="e">
        <f>AND('Client Services &amp; Database Mgr'!E12,"AAAAAH79a34=")</f>
        <v>#VALUE!</v>
      </c>
      <c r="DX120" t="e">
        <f>AND('Client Services &amp; Database Mgr'!F12,"AAAAAH79a38=")</f>
        <v>#VALUE!</v>
      </c>
      <c r="DY120" t="e">
        <f>AND('Client Services &amp; Database Mgr'!G12,"AAAAAH79a4A=")</f>
        <v>#VALUE!</v>
      </c>
      <c r="DZ120" t="e">
        <f>AND('Client Services &amp; Database Mgr'!H12,"AAAAAH79a4E=")</f>
        <v>#VALUE!</v>
      </c>
      <c r="EA120" t="e">
        <f>AND('Client Services &amp; Database Mgr'!I12,"AAAAAH79a4I=")</f>
        <v>#VALUE!</v>
      </c>
      <c r="EB120" t="e">
        <f>AND('Client Services &amp; Database Mgr'!J12,"AAAAAH79a4M=")</f>
        <v>#VALUE!</v>
      </c>
      <c r="EC120" t="e">
        <f>AND('Client Services &amp; Database Mgr'!K12,"AAAAAH79a4Q=")</f>
        <v>#VALUE!</v>
      </c>
      <c r="ED120" t="e">
        <f>AND('Client Services &amp; Database Mgr'!L12,"AAAAAH79a4U=")</f>
        <v>#VALUE!</v>
      </c>
      <c r="EE120">
        <f>IF('Client Services &amp; Database Mgr'!13:13,"AAAAAH79a4Y=",0)</f>
        <v>0</v>
      </c>
      <c r="EF120" t="e">
        <f>AND('Client Services &amp; Database Mgr'!#REF!,"AAAAAH79a4c=")</f>
        <v>#REF!</v>
      </c>
      <c r="EG120" t="e">
        <f>AND('Client Services &amp; Database Mgr'!A13,"AAAAAH79a4g=")</f>
        <v>#VALUE!</v>
      </c>
      <c r="EH120" t="e">
        <f>AND('Client Services &amp; Database Mgr'!B13,"AAAAAH79a4k=")</f>
        <v>#VALUE!</v>
      </c>
      <c r="EI120" t="e">
        <f>AND('Client Services &amp; Database Mgr'!C13,"AAAAAH79a4o=")</f>
        <v>#VALUE!</v>
      </c>
      <c r="EJ120" t="e">
        <f>AND('Client Services &amp; Database Mgr'!D13,"AAAAAH79a4s=")</f>
        <v>#VALUE!</v>
      </c>
      <c r="EK120" t="e">
        <f>AND('Client Services &amp; Database Mgr'!E13,"AAAAAH79a4w=")</f>
        <v>#VALUE!</v>
      </c>
      <c r="EL120" t="e">
        <f>AND('Client Services &amp; Database Mgr'!F13,"AAAAAH79a40=")</f>
        <v>#VALUE!</v>
      </c>
      <c r="EM120" t="e">
        <f>AND('Client Services &amp; Database Mgr'!G13,"AAAAAH79a44=")</f>
        <v>#VALUE!</v>
      </c>
      <c r="EN120" t="e">
        <f>AND('Client Services &amp; Database Mgr'!H13,"AAAAAH79a48=")</f>
        <v>#VALUE!</v>
      </c>
      <c r="EO120" t="e">
        <f>AND('Client Services &amp; Database Mgr'!I13,"AAAAAH79a5A=")</f>
        <v>#VALUE!</v>
      </c>
      <c r="EP120" t="e">
        <f>AND('Client Services &amp; Database Mgr'!J13,"AAAAAH79a5E=")</f>
        <v>#VALUE!</v>
      </c>
      <c r="EQ120" t="e">
        <f>AND('Client Services &amp; Database Mgr'!K13,"AAAAAH79a5I=")</f>
        <v>#VALUE!</v>
      </c>
      <c r="ER120" t="e">
        <f>AND('Client Services &amp; Database Mgr'!L13,"AAAAAH79a5M=")</f>
        <v>#VALUE!</v>
      </c>
      <c r="ES120">
        <f>IF('Client Services &amp; Database Mgr'!14:14,"AAAAAH79a5Q=",0)</f>
        <v>0</v>
      </c>
      <c r="ET120" t="e">
        <f>AND('Client Services &amp; Database Mgr'!#REF!,"AAAAAH79a5U=")</f>
        <v>#REF!</v>
      </c>
      <c r="EU120" t="e">
        <f>AND('Client Services &amp; Database Mgr'!A14,"AAAAAH79a5Y=")</f>
        <v>#VALUE!</v>
      </c>
      <c r="EV120" t="e">
        <f>AND('Client Services &amp; Database Mgr'!B14,"AAAAAH79a5c=")</f>
        <v>#VALUE!</v>
      </c>
      <c r="EW120" t="e">
        <f>AND('Client Services &amp; Database Mgr'!C14,"AAAAAH79a5g=")</f>
        <v>#VALUE!</v>
      </c>
      <c r="EX120" t="e">
        <f>AND('Client Services &amp; Database Mgr'!D14,"AAAAAH79a5k=")</f>
        <v>#VALUE!</v>
      </c>
      <c r="EY120" t="e">
        <f>AND('Client Services &amp; Database Mgr'!E14,"AAAAAH79a5o=")</f>
        <v>#VALUE!</v>
      </c>
      <c r="EZ120" t="e">
        <f>AND('Client Services &amp; Database Mgr'!F14,"AAAAAH79a5s=")</f>
        <v>#VALUE!</v>
      </c>
      <c r="FA120" t="e">
        <f>AND('Client Services &amp; Database Mgr'!G14,"AAAAAH79a5w=")</f>
        <v>#VALUE!</v>
      </c>
      <c r="FB120" t="e">
        <f>AND('Client Services &amp; Database Mgr'!H14,"AAAAAH79a50=")</f>
        <v>#VALUE!</v>
      </c>
      <c r="FC120" t="e">
        <f>AND('Client Services &amp; Database Mgr'!I14,"AAAAAH79a54=")</f>
        <v>#VALUE!</v>
      </c>
      <c r="FD120" t="e">
        <f>AND('Client Services &amp; Database Mgr'!J14,"AAAAAH79a58=")</f>
        <v>#VALUE!</v>
      </c>
      <c r="FE120" t="e">
        <f>AND('Client Services &amp; Database Mgr'!K14,"AAAAAH79a6A=")</f>
        <v>#VALUE!</v>
      </c>
      <c r="FF120" t="e">
        <f>AND('Client Services &amp; Database Mgr'!L14,"AAAAAH79a6E=")</f>
        <v>#VALUE!</v>
      </c>
      <c r="FG120">
        <f>IF('Client Services &amp; Database Mgr'!15:15,"AAAAAH79a6I=",0)</f>
        <v>0</v>
      </c>
      <c r="FH120" t="e">
        <f>AND('Client Services &amp; Database Mgr'!#REF!,"AAAAAH79a6M=")</f>
        <v>#REF!</v>
      </c>
      <c r="FI120" t="e">
        <f>AND('Client Services &amp; Database Mgr'!A15,"AAAAAH79a6Q=")</f>
        <v>#VALUE!</v>
      </c>
      <c r="FJ120" t="e">
        <f>AND('Client Services &amp; Database Mgr'!B15,"AAAAAH79a6U=")</f>
        <v>#VALUE!</v>
      </c>
      <c r="FK120" t="e">
        <f>AND('Client Services &amp; Database Mgr'!C15,"AAAAAH79a6Y=")</f>
        <v>#VALUE!</v>
      </c>
      <c r="FL120" t="e">
        <f>AND('Client Services &amp; Database Mgr'!D15,"AAAAAH79a6c=")</f>
        <v>#VALUE!</v>
      </c>
      <c r="FM120" t="e">
        <f>AND('Client Services &amp; Database Mgr'!E15,"AAAAAH79a6g=")</f>
        <v>#VALUE!</v>
      </c>
      <c r="FN120" t="e">
        <f>AND('Client Services &amp; Database Mgr'!F15,"AAAAAH79a6k=")</f>
        <v>#VALUE!</v>
      </c>
      <c r="FO120" t="e">
        <f>AND('Client Services &amp; Database Mgr'!G15,"AAAAAH79a6o=")</f>
        <v>#VALUE!</v>
      </c>
      <c r="FP120" t="e">
        <f>AND('Client Services &amp; Database Mgr'!H15,"AAAAAH79a6s=")</f>
        <v>#VALUE!</v>
      </c>
      <c r="FQ120" t="e">
        <f>AND('Client Services &amp; Database Mgr'!I15,"AAAAAH79a6w=")</f>
        <v>#VALUE!</v>
      </c>
      <c r="FR120" t="e">
        <f>AND('Client Services &amp; Database Mgr'!J15,"AAAAAH79a60=")</f>
        <v>#VALUE!</v>
      </c>
      <c r="FS120" t="e">
        <f>AND('Client Services &amp; Database Mgr'!K15,"AAAAAH79a64=")</f>
        <v>#VALUE!</v>
      </c>
      <c r="FT120" t="e">
        <f>AND('Client Services &amp; Database Mgr'!L15,"AAAAAH79a68=")</f>
        <v>#VALUE!</v>
      </c>
      <c r="FU120">
        <f>IF('Client Services &amp; Database Mgr'!16:16,"AAAAAH79a7A=",0)</f>
        <v>0</v>
      </c>
      <c r="FV120" t="e">
        <f>AND('Client Services &amp; Database Mgr'!#REF!,"AAAAAH79a7E=")</f>
        <v>#REF!</v>
      </c>
      <c r="FW120" t="e">
        <f>AND('Client Services &amp; Database Mgr'!A16,"AAAAAH79a7I=")</f>
        <v>#VALUE!</v>
      </c>
      <c r="FX120" t="e">
        <f>AND('Client Services &amp; Database Mgr'!B16,"AAAAAH79a7M=")</f>
        <v>#VALUE!</v>
      </c>
      <c r="FY120" t="e">
        <f>AND('Client Services &amp; Database Mgr'!C16,"AAAAAH79a7Q=")</f>
        <v>#VALUE!</v>
      </c>
      <c r="FZ120" t="e">
        <f>AND('Client Services &amp; Database Mgr'!D16,"AAAAAH79a7U=")</f>
        <v>#VALUE!</v>
      </c>
      <c r="GA120" t="e">
        <f>AND('Client Services &amp; Database Mgr'!E16,"AAAAAH79a7Y=")</f>
        <v>#VALUE!</v>
      </c>
      <c r="GB120" t="e">
        <f>AND('Client Services &amp; Database Mgr'!F16,"AAAAAH79a7c=")</f>
        <v>#VALUE!</v>
      </c>
      <c r="GC120" t="e">
        <f>AND('Client Services &amp; Database Mgr'!G16,"AAAAAH79a7g=")</f>
        <v>#VALUE!</v>
      </c>
      <c r="GD120" t="e">
        <f>AND('Client Services &amp; Database Mgr'!H16,"AAAAAH79a7k=")</f>
        <v>#VALUE!</v>
      </c>
      <c r="GE120" t="e">
        <f>AND('Client Services &amp; Database Mgr'!I16,"AAAAAH79a7o=")</f>
        <v>#VALUE!</v>
      </c>
      <c r="GF120" t="e">
        <f>AND('Client Services &amp; Database Mgr'!J16,"AAAAAH79a7s=")</f>
        <v>#VALUE!</v>
      </c>
      <c r="GG120" t="e">
        <f>AND('Client Services &amp; Database Mgr'!K16,"AAAAAH79a7w=")</f>
        <v>#VALUE!</v>
      </c>
      <c r="GH120" t="e">
        <f>AND('Client Services &amp; Database Mgr'!L16,"AAAAAH79a70=")</f>
        <v>#VALUE!</v>
      </c>
      <c r="GI120">
        <f>IF('Client Services &amp; Database Mgr'!17:17,"AAAAAH79a74=",0)</f>
        <v>0</v>
      </c>
      <c r="GJ120" t="e">
        <f>AND('Client Services &amp; Database Mgr'!#REF!,"AAAAAH79a78=")</f>
        <v>#REF!</v>
      </c>
      <c r="GK120" t="e">
        <f>AND('Client Services &amp; Database Mgr'!A17,"AAAAAH79a8A=")</f>
        <v>#VALUE!</v>
      </c>
      <c r="GL120" t="e">
        <f>AND('Client Services &amp; Database Mgr'!B17,"AAAAAH79a8E=")</f>
        <v>#VALUE!</v>
      </c>
      <c r="GM120" t="e">
        <f>AND('Client Services &amp; Database Mgr'!C17,"AAAAAH79a8I=")</f>
        <v>#VALUE!</v>
      </c>
      <c r="GN120" t="e">
        <f>AND('Client Services &amp; Database Mgr'!D17,"AAAAAH79a8M=")</f>
        <v>#VALUE!</v>
      </c>
      <c r="GO120" t="e">
        <f>AND('Client Services &amp; Database Mgr'!E17,"AAAAAH79a8Q=")</f>
        <v>#VALUE!</v>
      </c>
      <c r="GP120" t="e">
        <f>AND('Client Services &amp; Database Mgr'!F17,"AAAAAH79a8U=")</f>
        <v>#VALUE!</v>
      </c>
      <c r="GQ120" t="e">
        <f>AND('Client Services &amp; Database Mgr'!G17,"AAAAAH79a8Y=")</f>
        <v>#VALUE!</v>
      </c>
      <c r="GR120" t="e">
        <f>AND('Client Services &amp; Database Mgr'!H17,"AAAAAH79a8c=")</f>
        <v>#VALUE!</v>
      </c>
      <c r="GS120" t="e">
        <f>AND('Client Services &amp; Database Mgr'!I17,"AAAAAH79a8g=")</f>
        <v>#VALUE!</v>
      </c>
      <c r="GT120" t="e">
        <f>AND('Client Services &amp; Database Mgr'!J17,"AAAAAH79a8k=")</f>
        <v>#VALUE!</v>
      </c>
      <c r="GU120" t="e">
        <f>AND('Client Services &amp; Database Mgr'!K17,"AAAAAH79a8o=")</f>
        <v>#VALUE!</v>
      </c>
      <c r="GV120" t="e">
        <f>AND('Client Services &amp; Database Mgr'!L17,"AAAAAH79a8s=")</f>
        <v>#VALUE!</v>
      </c>
      <c r="GW120" t="e">
        <f>IF('Client Services &amp; Database Mgr'!#REF!,"AAAAAH79a8w=",0)</f>
        <v>#REF!</v>
      </c>
      <c r="GX120" t="e">
        <f>AND('Client Services &amp; Database Mgr'!#REF!,"AAAAAH79a80=")</f>
        <v>#REF!</v>
      </c>
      <c r="GY120" t="e">
        <f>AND('Client Services &amp; Database Mgr'!#REF!,"AAAAAH79a84=")</f>
        <v>#REF!</v>
      </c>
      <c r="GZ120" t="e">
        <f>AND('Client Services &amp; Database Mgr'!#REF!,"AAAAAH79a88=")</f>
        <v>#REF!</v>
      </c>
      <c r="HA120" t="e">
        <f>AND('Client Services &amp; Database Mgr'!#REF!,"AAAAAH79a9A=")</f>
        <v>#REF!</v>
      </c>
      <c r="HB120" t="e">
        <f>AND('Client Services &amp; Database Mgr'!#REF!,"AAAAAH79a9E=")</f>
        <v>#REF!</v>
      </c>
      <c r="HC120" t="e">
        <f>AND('Client Services &amp; Database Mgr'!#REF!,"AAAAAH79a9I=")</f>
        <v>#REF!</v>
      </c>
      <c r="HD120" t="e">
        <f>AND('Client Services &amp; Database Mgr'!#REF!,"AAAAAH79a9M=")</f>
        <v>#REF!</v>
      </c>
      <c r="HE120" t="e">
        <f>AND('Client Services &amp; Database Mgr'!#REF!,"AAAAAH79a9Q=")</f>
        <v>#REF!</v>
      </c>
      <c r="HF120" t="e">
        <f>AND('Client Services &amp; Database Mgr'!#REF!,"AAAAAH79a9U=")</f>
        <v>#REF!</v>
      </c>
      <c r="HG120" t="e">
        <f>AND('Client Services &amp; Database Mgr'!#REF!,"AAAAAH79a9Y=")</f>
        <v>#REF!</v>
      </c>
      <c r="HH120" t="e">
        <f>AND('Client Services &amp; Database Mgr'!#REF!,"AAAAAH79a9c=")</f>
        <v>#REF!</v>
      </c>
      <c r="HI120" t="e">
        <f>AND('Client Services &amp; Database Mgr'!#REF!,"AAAAAH79a9g=")</f>
        <v>#REF!</v>
      </c>
      <c r="HJ120" t="e">
        <f>AND('Client Services &amp; Database Mgr'!#REF!,"AAAAAH79a9k=")</f>
        <v>#REF!</v>
      </c>
      <c r="HK120">
        <f>IF('Client Services &amp; Database Mgr'!18:18,"AAAAAH79a9o=",0)</f>
        <v>0</v>
      </c>
      <c r="HL120" t="e">
        <f>AND('Client Services &amp; Database Mgr'!A18,"AAAAAH79a9s=")</f>
        <v>#VALUE!</v>
      </c>
      <c r="HM120" t="e">
        <f>AND('Client Services &amp; Database Mgr'!B18,"AAAAAH79a9w=")</f>
        <v>#VALUE!</v>
      </c>
      <c r="HN120" t="e">
        <f>AND('Client Services &amp; Database Mgr'!C18,"AAAAAH79a90=")</f>
        <v>#VALUE!</v>
      </c>
      <c r="HO120" t="e">
        <f>AND('Client Services &amp; Database Mgr'!D18,"AAAAAH79a94=")</f>
        <v>#VALUE!</v>
      </c>
      <c r="HP120" t="e">
        <f>AND('Client Services &amp; Database Mgr'!E18,"AAAAAH79a98=")</f>
        <v>#VALUE!</v>
      </c>
      <c r="HQ120" t="e">
        <f>AND('Client Services &amp; Database Mgr'!F18,"AAAAAH79a+A=")</f>
        <v>#VALUE!</v>
      </c>
      <c r="HR120" t="e">
        <f>AND('Client Services &amp; Database Mgr'!G18,"AAAAAH79a+E=")</f>
        <v>#VALUE!</v>
      </c>
      <c r="HS120" t="e">
        <f>AND('Client Services &amp; Database Mgr'!H18,"AAAAAH79a+I=")</f>
        <v>#VALUE!</v>
      </c>
      <c r="HT120" t="e">
        <f>AND('Client Services &amp; Database Mgr'!I18,"AAAAAH79a+M=")</f>
        <v>#VALUE!</v>
      </c>
      <c r="HU120" t="e">
        <f>AND('Client Services &amp; Database Mgr'!J18,"AAAAAH79a+Q=")</f>
        <v>#VALUE!</v>
      </c>
      <c r="HV120" t="e">
        <f>AND('Client Services &amp; Database Mgr'!K18,"AAAAAH79a+U=")</f>
        <v>#VALUE!</v>
      </c>
      <c r="HW120" t="e">
        <f>AND('Client Services &amp; Database Mgr'!L18,"AAAAAH79a+Y=")</f>
        <v>#VALUE!</v>
      </c>
      <c r="HX120" t="e">
        <f>AND('Client Services &amp; Database Mgr'!M18,"AAAAAH79a+c=")</f>
        <v>#VALUE!</v>
      </c>
      <c r="HY120" t="e">
        <f>IF('Client Services &amp; Database Mgr'!#REF!,"AAAAAH79a+g=",0)</f>
        <v>#REF!</v>
      </c>
      <c r="HZ120" t="e">
        <f>AND('Client Services &amp; Database Mgr'!#REF!,"AAAAAH79a+k=")</f>
        <v>#REF!</v>
      </c>
      <c r="IA120" t="e">
        <f>AND('Client Services &amp; Database Mgr'!#REF!,"AAAAAH79a+o=")</f>
        <v>#REF!</v>
      </c>
      <c r="IB120" t="e">
        <f>AND('Client Services &amp; Database Mgr'!#REF!,"AAAAAH79a+s=")</f>
        <v>#REF!</v>
      </c>
      <c r="IC120" t="e">
        <f>AND('Client Services &amp; Database Mgr'!#REF!,"AAAAAH79a+w=")</f>
        <v>#REF!</v>
      </c>
      <c r="ID120" t="e">
        <f>AND('Client Services &amp; Database Mgr'!#REF!,"AAAAAH79a+0=")</f>
        <v>#REF!</v>
      </c>
      <c r="IE120" t="e">
        <f>AND('Client Services &amp; Database Mgr'!#REF!,"AAAAAH79a+4=")</f>
        <v>#REF!</v>
      </c>
      <c r="IF120" t="e">
        <f>AND('Client Services &amp; Database Mgr'!#REF!,"AAAAAH79a+8=")</f>
        <v>#REF!</v>
      </c>
      <c r="IG120" t="e">
        <f>AND('Client Services &amp; Database Mgr'!#REF!,"AAAAAH79a/A=")</f>
        <v>#REF!</v>
      </c>
      <c r="IH120" t="e">
        <f>AND('Client Services &amp; Database Mgr'!#REF!,"AAAAAH79a/E=")</f>
        <v>#REF!</v>
      </c>
      <c r="II120" t="e">
        <f>AND('Client Services &amp; Database Mgr'!#REF!,"AAAAAH79a/I=")</f>
        <v>#REF!</v>
      </c>
      <c r="IJ120" t="e">
        <f>AND('Client Services &amp; Database Mgr'!#REF!,"AAAAAH79a/M=")</f>
        <v>#REF!</v>
      </c>
      <c r="IK120" t="e">
        <f>AND('Client Services &amp; Database Mgr'!#REF!,"AAAAAH79a/Q=")</f>
        <v>#REF!</v>
      </c>
      <c r="IL120" t="e">
        <f>AND('Client Services &amp; Database Mgr'!#REF!,"AAAAAH79a/U=")</f>
        <v>#REF!</v>
      </c>
      <c r="IM120">
        <f>IF('Client Services &amp; Database Mgr'!19:19,"AAAAAH79a/Y=",0)</f>
        <v>0</v>
      </c>
      <c r="IN120" t="e">
        <f>AND('Client Services &amp; Database Mgr'!#REF!,"AAAAAH79a/c=")</f>
        <v>#REF!</v>
      </c>
      <c r="IO120" t="e">
        <f>AND('Client Services &amp; Database Mgr'!A19,"AAAAAH79a/g=")</f>
        <v>#VALUE!</v>
      </c>
      <c r="IP120" t="e">
        <f>AND('Client Services &amp; Database Mgr'!B19,"AAAAAH79a/k=")</f>
        <v>#VALUE!</v>
      </c>
      <c r="IQ120" t="e">
        <f>AND('Client Services &amp; Database Mgr'!C19,"AAAAAH79a/o=")</f>
        <v>#VALUE!</v>
      </c>
      <c r="IR120" t="e">
        <f>AND('Client Services &amp; Database Mgr'!D19,"AAAAAH79a/s=")</f>
        <v>#VALUE!</v>
      </c>
      <c r="IS120" t="e">
        <f>AND('Client Services &amp; Database Mgr'!E19,"AAAAAH79a/w=")</f>
        <v>#VALUE!</v>
      </c>
      <c r="IT120" t="e">
        <f>AND('Client Services &amp; Database Mgr'!F19,"AAAAAH79a/0=")</f>
        <v>#VALUE!</v>
      </c>
      <c r="IU120" t="e">
        <f>AND('Client Services &amp; Database Mgr'!G19,"AAAAAH79a/4=")</f>
        <v>#VALUE!</v>
      </c>
      <c r="IV120" t="e">
        <f>AND('Client Services &amp; Database Mgr'!H19,"AAAAAH79a/8=")</f>
        <v>#VALUE!</v>
      </c>
    </row>
    <row r="121" spans="1:256" x14ac:dyDescent="0.2">
      <c r="A121" t="e">
        <f>AND('Client Services &amp; Database Mgr'!I19,"AAAAAH7sfQA=")</f>
        <v>#VALUE!</v>
      </c>
      <c r="B121" t="e">
        <f>AND('Client Services &amp; Database Mgr'!J19,"AAAAAH7sfQE=")</f>
        <v>#VALUE!</v>
      </c>
      <c r="C121" t="e">
        <f>AND('Client Services &amp; Database Mgr'!K19,"AAAAAH7sfQI=")</f>
        <v>#VALUE!</v>
      </c>
      <c r="D121" t="e">
        <f>AND('Client Services &amp; Database Mgr'!L19,"AAAAAH7sfQM=")</f>
        <v>#VALUE!</v>
      </c>
      <c r="E121">
        <f>IF('Client Services &amp; Database Mgr'!20:20,"AAAAAH7sfQQ=",0)</f>
        <v>0</v>
      </c>
      <c r="F121" t="e">
        <f>AND('Client Services &amp; Database Mgr'!#REF!,"AAAAAH7sfQU=")</f>
        <v>#REF!</v>
      </c>
      <c r="G121" t="e">
        <f>AND('Client Services &amp; Database Mgr'!A20,"AAAAAH7sfQY=")</f>
        <v>#VALUE!</v>
      </c>
      <c r="H121" t="e">
        <f>AND('Client Services &amp; Database Mgr'!B20,"AAAAAH7sfQc=")</f>
        <v>#VALUE!</v>
      </c>
      <c r="I121" t="e">
        <f>AND('Client Services &amp; Database Mgr'!C20,"AAAAAH7sfQg=")</f>
        <v>#VALUE!</v>
      </c>
      <c r="J121" t="e">
        <f>AND('Client Services &amp; Database Mgr'!D20,"AAAAAH7sfQk=")</f>
        <v>#VALUE!</v>
      </c>
      <c r="K121" t="e">
        <f>AND('Client Services &amp; Database Mgr'!E20,"AAAAAH7sfQo=")</f>
        <v>#VALUE!</v>
      </c>
      <c r="L121" t="e">
        <f>AND('Client Services &amp; Database Mgr'!F20,"AAAAAH7sfQs=")</f>
        <v>#VALUE!</v>
      </c>
      <c r="M121" t="e">
        <f>AND('Client Services &amp; Database Mgr'!G20,"AAAAAH7sfQw=")</f>
        <v>#VALUE!</v>
      </c>
      <c r="N121" t="e">
        <f>AND('Client Services &amp; Database Mgr'!H20,"AAAAAH7sfQ0=")</f>
        <v>#VALUE!</v>
      </c>
      <c r="O121" t="e">
        <f>AND('Client Services &amp; Database Mgr'!I20,"AAAAAH7sfQ4=")</f>
        <v>#VALUE!</v>
      </c>
      <c r="P121" t="e">
        <f>AND('Client Services &amp; Database Mgr'!J20,"AAAAAH7sfQ8=")</f>
        <v>#VALUE!</v>
      </c>
      <c r="Q121" t="e">
        <f>AND('Client Services &amp; Database Mgr'!K20,"AAAAAH7sfRA=")</f>
        <v>#VALUE!</v>
      </c>
      <c r="R121" t="e">
        <f>AND('Client Services &amp; Database Mgr'!L20,"AAAAAH7sfRE=")</f>
        <v>#VALUE!</v>
      </c>
      <c r="S121">
        <f>IF('Client Services &amp; Database Mgr'!21:21,"AAAAAH7sfRI=",0)</f>
        <v>0</v>
      </c>
      <c r="T121" t="e">
        <f>AND('Client Services &amp; Database Mgr'!#REF!,"AAAAAH7sfRM=")</f>
        <v>#REF!</v>
      </c>
      <c r="U121" t="e">
        <f>AND('Client Services &amp; Database Mgr'!A21,"AAAAAH7sfRQ=")</f>
        <v>#VALUE!</v>
      </c>
      <c r="V121" t="e">
        <f>AND('Client Services &amp; Database Mgr'!B21,"AAAAAH7sfRU=")</f>
        <v>#VALUE!</v>
      </c>
      <c r="W121" t="e">
        <f>AND('Client Services &amp; Database Mgr'!C21,"AAAAAH7sfRY=")</f>
        <v>#VALUE!</v>
      </c>
      <c r="X121" t="e">
        <f>AND('Client Services &amp; Database Mgr'!D21,"AAAAAH7sfRc=")</f>
        <v>#VALUE!</v>
      </c>
      <c r="Y121" t="e">
        <f>AND('Client Services &amp; Database Mgr'!E21,"AAAAAH7sfRg=")</f>
        <v>#VALUE!</v>
      </c>
      <c r="Z121" t="e">
        <f>AND('Client Services &amp; Database Mgr'!F21,"AAAAAH7sfRk=")</f>
        <v>#VALUE!</v>
      </c>
      <c r="AA121" t="e">
        <f>AND('Client Services &amp; Database Mgr'!G21,"AAAAAH7sfRo=")</f>
        <v>#VALUE!</v>
      </c>
      <c r="AB121" t="e">
        <f>AND('Client Services &amp; Database Mgr'!H21,"AAAAAH7sfRs=")</f>
        <v>#VALUE!</v>
      </c>
      <c r="AC121" t="e">
        <f>AND('Client Services &amp; Database Mgr'!I21,"AAAAAH7sfRw=")</f>
        <v>#VALUE!</v>
      </c>
      <c r="AD121" t="e">
        <f>AND('Client Services &amp; Database Mgr'!J21,"AAAAAH7sfR0=")</f>
        <v>#VALUE!</v>
      </c>
      <c r="AE121" t="e">
        <f>AND('Client Services &amp; Database Mgr'!K21,"AAAAAH7sfR4=")</f>
        <v>#VALUE!</v>
      </c>
      <c r="AF121" t="e">
        <f>AND('Client Services &amp; Database Mgr'!L21,"AAAAAH7sfR8=")</f>
        <v>#VALUE!</v>
      </c>
      <c r="AG121">
        <f>IF('Client Services &amp; Database Mgr'!22:22,"AAAAAH7sfSA=",0)</f>
        <v>0</v>
      </c>
      <c r="AH121" t="e">
        <f>AND('Client Services &amp; Database Mgr'!#REF!,"AAAAAH7sfSE=")</f>
        <v>#REF!</v>
      </c>
      <c r="AI121" t="e">
        <f>AND('Client Services &amp; Database Mgr'!A22,"AAAAAH7sfSI=")</f>
        <v>#VALUE!</v>
      </c>
      <c r="AJ121" t="e">
        <f>AND('Client Services &amp; Database Mgr'!B22,"AAAAAH7sfSM=")</f>
        <v>#VALUE!</v>
      </c>
      <c r="AK121" t="e">
        <f>AND('Client Services &amp; Database Mgr'!C22,"AAAAAH7sfSQ=")</f>
        <v>#VALUE!</v>
      </c>
      <c r="AL121" t="e">
        <f>AND('Client Services &amp; Database Mgr'!D22,"AAAAAH7sfSU=")</f>
        <v>#VALUE!</v>
      </c>
      <c r="AM121" t="e">
        <f>AND('Client Services &amp; Database Mgr'!E22,"AAAAAH7sfSY=")</f>
        <v>#VALUE!</v>
      </c>
      <c r="AN121" t="e">
        <f>AND('Client Services &amp; Database Mgr'!F22,"AAAAAH7sfSc=")</f>
        <v>#VALUE!</v>
      </c>
      <c r="AO121" t="e">
        <f>AND('Client Services &amp; Database Mgr'!G22,"AAAAAH7sfSg=")</f>
        <v>#VALUE!</v>
      </c>
      <c r="AP121" t="e">
        <f>AND('Client Services &amp; Database Mgr'!H22,"AAAAAH7sfSk=")</f>
        <v>#VALUE!</v>
      </c>
      <c r="AQ121" t="e">
        <f>AND('Client Services &amp; Database Mgr'!I22,"AAAAAH7sfSo=")</f>
        <v>#VALUE!</v>
      </c>
      <c r="AR121" t="e">
        <f>AND('Client Services &amp; Database Mgr'!J22,"AAAAAH7sfSs=")</f>
        <v>#VALUE!</v>
      </c>
      <c r="AS121" t="e">
        <f>AND('Client Services &amp; Database Mgr'!K22,"AAAAAH7sfSw=")</f>
        <v>#VALUE!</v>
      </c>
      <c r="AT121" t="e">
        <f>AND('Client Services &amp; Database Mgr'!L22,"AAAAAH7sfS0=")</f>
        <v>#VALUE!</v>
      </c>
      <c r="AU121">
        <f>IF('Client Services &amp; Database Mgr'!23:23,"AAAAAH7sfS4=",0)</f>
        <v>0</v>
      </c>
      <c r="AV121" t="e">
        <f>AND('Client Services &amp; Database Mgr'!A23,"AAAAAH7sfS8=")</f>
        <v>#VALUE!</v>
      </c>
      <c r="AW121" t="e">
        <f>AND('Client Services &amp; Database Mgr'!B23,"AAAAAH7sfTA=")</f>
        <v>#VALUE!</v>
      </c>
      <c r="AX121" t="e">
        <f>AND('Client Services &amp; Database Mgr'!C23,"AAAAAH7sfTE=")</f>
        <v>#VALUE!</v>
      </c>
      <c r="AY121" t="e">
        <f>AND('Client Services &amp; Database Mgr'!D23,"AAAAAH7sfTI=")</f>
        <v>#VALUE!</v>
      </c>
      <c r="AZ121" t="e">
        <f>AND('Client Services &amp; Database Mgr'!E23,"AAAAAH7sfTM=")</f>
        <v>#VALUE!</v>
      </c>
      <c r="BA121" t="e">
        <f>AND('Client Services &amp; Database Mgr'!F23,"AAAAAH7sfTQ=")</f>
        <v>#VALUE!</v>
      </c>
      <c r="BB121" t="e">
        <f>AND('Client Services &amp; Database Mgr'!G23,"AAAAAH7sfTU=")</f>
        <v>#VALUE!</v>
      </c>
      <c r="BC121" t="e">
        <f>AND('Client Services &amp; Database Mgr'!H23,"AAAAAH7sfTY=")</f>
        <v>#VALUE!</v>
      </c>
      <c r="BD121" t="e">
        <f>AND('Client Services &amp; Database Mgr'!I23,"AAAAAH7sfTc=")</f>
        <v>#VALUE!</v>
      </c>
      <c r="BE121" t="e">
        <f>AND('Client Services &amp; Database Mgr'!J23,"AAAAAH7sfTg=")</f>
        <v>#VALUE!</v>
      </c>
      <c r="BF121" t="e">
        <f>AND('Client Services &amp; Database Mgr'!K23,"AAAAAH7sfTk=")</f>
        <v>#VALUE!</v>
      </c>
      <c r="BG121" t="e">
        <f>AND('Client Services &amp; Database Mgr'!L23,"AAAAAH7sfTo=")</f>
        <v>#VALUE!</v>
      </c>
      <c r="BH121" t="e">
        <f>AND('Client Services &amp; Database Mgr'!M23,"AAAAAH7sfTs=")</f>
        <v>#VALUE!</v>
      </c>
      <c r="BI121" t="e">
        <f>IF('Client Services &amp; Database Mgr'!#REF!,"AAAAAH7sfTw=",0)</f>
        <v>#REF!</v>
      </c>
      <c r="BJ121" t="e">
        <f>AND('Client Services &amp; Database Mgr'!#REF!,"AAAAAH7sfT0=")</f>
        <v>#REF!</v>
      </c>
      <c r="BK121" t="e">
        <f>AND('Client Services &amp; Database Mgr'!#REF!,"AAAAAH7sfT4=")</f>
        <v>#REF!</v>
      </c>
      <c r="BL121" t="e">
        <f>AND('Client Services &amp; Database Mgr'!#REF!,"AAAAAH7sfT8=")</f>
        <v>#REF!</v>
      </c>
      <c r="BM121" t="e">
        <f>AND('Client Services &amp; Database Mgr'!#REF!,"AAAAAH7sfUA=")</f>
        <v>#REF!</v>
      </c>
      <c r="BN121" t="e">
        <f>AND('Client Services &amp; Database Mgr'!#REF!,"AAAAAH7sfUE=")</f>
        <v>#REF!</v>
      </c>
      <c r="BO121" t="e">
        <f>AND('Client Services &amp; Database Mgr'!#REF!,"AAAAAH7sfUI=")</f>
        <v>#REF!</v>
      </c>
      <c r="BP121" t="e">
        <f>AND('Client Services &amp; Database Mgr'!#REF!,"AAAAAH7sfUM=")</f>
        <v>#REF!</v>
      </c>
      <c r="BQ121" t="e">
        <f>AND('Client Services &amp; Database Mgr'!#REF!,"AAAAAH7sfUQ=")</f>
        <v>#REF!</v>
      </c>
      <c r="BR121" t="e">
        <f>AND('Client Services &amp; Database Mgr'!#REF!,"AAAAAH7sfUU=")</f>
        <v>#REF!</v>
      </c>
      <c r="BS121" t="e">
        <f>AND('Client Services &amp; Database Mgr'!#REF!,"AAAAAH7sfUY=")</f>
        <v>#REF!</v>
      </c>
      <c r="BT121" t="e">
        <f>AND('Client Services &amp; Database Mgr'!#REF!,"AAAAAH7sfUc=")</f>
        <v>#REF!</v>
      </c>
      <c r="BU121" t="e">
        <f>AND('Client Services &amp; Database Mgr'!#REF!,"AAAAAH7sfUg=")</f>
        <v>#REF!</v>
      </c>
      <c r="BV121" t="e">
        <f>AND('Client Services &amp; Database Mgr'!#REF!,"AAAAAH7sfUk=")</f>
        <v>#REF!</v>
      </c>
      <c r="BW121" t="e">
        <f>IF('Client Services &amp; Database Mgr'!#REF!,"AAAAAH7sfUo=",0)</f>
        <v>#REF!</v>
      </c>
      <c r="BX121" t="e">
        <f>AND('Client Services &amp; Database Mgr'!#REF!,"AAAAAH7sfUs=")</f>
        <v>#REF!</v>
      </c>
      <c r="BY121" t="e">
        <f>AND('Client Services &amp; Database Mgr'!#REF!,"AAAAAH7sfUw=")</f>
        <v>#REF!</v>
      </c>
      <c r="BZ121" t="e">
        <f>AND('Client Services &amp; Database Mgr'!#REF!,"AAAAAH7sfU0=")</f>
        <v>#REF!</v>
      </c>
      <c r="CA121" t="e">
        <f>AND('Client Services &amp; Database Mgr'!#REF!,"AAAAAH7sfU4=")</f>
        <v>#REF!</v>
      </c>
      <c r="CB121" t="e">
        <f>AND('Client Services &amp; Database Mgr'!#REF!,"AAAAAH7sfU8=")</f>
        <v>#REF!</v>
      </c>
      <c r="CC121" t="e">
        <f>AND('Client Services &amp; Database Mgr'!#REF!,"AAAAAH7sfVA=")</f>
        <v>#REF!</v>
      </c>
      <c r="CD121" t="e">
        <f>AND('Client Services &amp; Database Mgr'!#REF!,"AAAAAH7sfVE=")</f>
        <v>#REF!</v>
      </c>
      <c r="CE121" t="e">
        <f>AND('Client Services &amp; Database Mgr'!#REF!,"AAAAAH7sfVI=")</f>
        <v>#REF!</v>
      </c>
      <c r="CF121" t="e">
        <f>AND('Client Services &amp; Database Mgr'!#REF!,"AAAAAH7sfVM=")</f>
        <v>#REF!</v>
      </c>
      <c r="CG121" t="e">
        <f>AND('Client Services &amp; Database Mgr'!#REF!,"AAAAAH7sfVQ=")</f>
        <v>#REF!</v>
      </c>
      <c r="CH121" t="e">
        <f>AND('Client Services &amp; Database Mgr'!#REF!,"AAAAAH7sfVU=")</f>
        <v>#REF!</v>
      </c>
      <c r="CI121" t="e">
        <f>AND('Client Services &amp; Database Mgr'!#REF!,"AAAAAH7sfVY=")</f>
        <v>#REF!</v>
      </c>
      <c r="CJ121" t="e">
        <f>AND('Client Services &amp; Database Mgr'!#REF!,"AAAAAH7sfVc=")</f>
        <v>#REF!</v>
      </c>
      <c r="CK121" t="e">
        <f>IF('Client Services &amp; Database Mgr'!#REF!,"AAAAAH7sfVg=",0)</f>
        <v>#REF!</v>
      </c>
      <c r="CL121" t="e">
        <f>AND('Client Services &amp; Database Mgr'!#REF!,"AAAAAH7sfVk=")</f>
        <v>#REF!</v>
      </c>
      <c r="CM121" t="e">
        <f>AND('Client Services &amp; Database Mgr'!#REF!,"AAAAAH7sfVo=")</f>
        <v>#REF!</v>
      </c>
      <c r="CN121" t="e">
        <f>AND('Client Services &amp; Database Mgr'!#REF!,"AAAAAH7sfVs=")</f>
        <v>#REF!</v>
      </c>
      <c r="CO121" t="e">
        <f>AND('Client Services &amp; Database Mgr'!#REF!,"AAAAAH7sfVw=")</f>
        <v>#REF!</v>
      </c>
      <c r="CP121" t="e">
        <f>AND('Client Services &amp; Database Mgr'!#REF!,"AAAAAH7sfV0=")</f>
        <v>#REF!</v>
      </c>
      <c r="CQ121" t="e">
        <f>AND('Client Services &amp; Database Mgr'!#REF!,"AAAAAH7sfV4=")</f>
        <v>#REF!</v>
      </c>
      <c r="CR121" t="e">
        <f>AND('Client Services &amp; Database Mgr'!#REF!,"AAAAAH7sfV8=")</f>
        <v>#REF!</v>
      </c>
      <c r="CS121" t="e">
        <f>AND('Client Services &amp; Database Mgr'!#REF!,"AAAAAH7sfWA=")</f>
        <v>#REF!</v>
      </c>
      <c r="CT121" t="e">
        <f>AND('Client Services &amp; Database Mgr'!#REF!,"AAAAAH7sfWE=")</f>
        <v>#REF!</v>
      </c>
      <c r="CU121" t="e">
        <f>AND('Client Services &amp; Database Mgr'!#REF!,"AAAAAH7sfWI=")</f>
        <v>#REF!</v>
      </c>
      <c r="CV121" t="e">
        <f>AND('Client Services &amp; Database Mgr'!#REF!,"AAAAAH7sfWM=")</f>
        <v>#REF!</v>
      </c>
      <c r="CW121" t="e">
        <f>AND('Client Services &amp; Database Mgr'!#REF!,"AAAAAH7sfWQ=")</f>
        <v>#REF!</v>
      </c>
      <c r="CX121" t="e">
        <f>AND('Client Services &amp; Database Mgr'!#REF!,"AAAAAH7sfWU=")</f>
        <v>#REF!</v>
      </c>
      <c r="CY121" t="e">
        <f>IF('Client Services &amp; Database Mgr'!#REF!,"AAAAAH7sfWY=",0)</f>
        <v>#REF!</v>
      </c>
      <c r="CZ121" t="e">
        <f>AND('Client Services &amp; Database Mgr'!#REF!,"AAAAAH7sfWc=")</f>
        <v>#REF!</v>
      </c>
      <c r="DA121" t="e">
        <f>AND('Client Services &amp; Database Mgr'!#REF!,"AAAAAH7sfWg=")</f>
        <v>#REF!</v>
      </c>
      <c r="DB121" t="e">
        <f>AND('Client Services &amp; Database Mgr'!#REF!,"AAAAAH7sfWk=")</f>
        <v>#REF!</v>
      </c>
      <c r="DC121" t="e">
        <f>AND('Client Services &amp; Database Mgr'!#REF!,"AAAAAH7sfWo=")</f>
        <v>#REF!</v>
      </c>
      <c r="DD121" t="e">
        <f>AND('Client Services &amp; Database Mgr'!#REF!,"AAAAAH7sfWs=")</f>
        <v>#REF!</v>
      </c>
      <c r="DE121" t="e">
        <f>AND('Client Services &amp; Database Mgr'!#REF!,"AAAAAH7sfWw=")</f>
        <v>#REF!</v>
      </c>
      <c r="DF121" t="e">
        <f>AND('Client Services &amp; Database Mgr'!#REF!,"AAAAAH7sfW0=")</f>
        <v>#REF!</v>
      </c>
      <c r="DG121" t="e">
        <f>AND('Client Services &amp; Database Mgr'!#REF!,"AAAAAH7sfW4=")</f>
        <v>#REF!</v>
      </c>
      <c r="DH121" t="e">
        <f>AND('Client Services &amp; Database Mgr'!#REF!,"AAAAAH7sfW8=")</f>
        <v>#REF!</v>
      </c>
      <c r="DI121" t="e">
        <f>AND('Client Services &amp; Database Mgr'!#REF!,"AAAAAH7sfXA=")</f>
        <v>#REF!</v>
      </c>
      <c r="DJ121" t="e">
        <f>AND('Client Services &amp; Database Mgr'!#REF!,"AAAAAH7sfXE=")</f>
        <v>#REF!</v>
      </c>
      <c r="DK121" t="e">
        <f>AND('Client Services &amp; Database Mgr'!#REF!,"AAAAAH7sfXI=")</f>
        <v>#REF!</v>
      </c>
      <c r="DL121" t="e">
        <f>AND('Client Services &amp; Database Mgr'!#REF!,"AAAAAH7sfXM=")</f>
        <v>#REF!</v>
      </c>
      <c r="DM121" t="e">
        <f>IF('Client Services &amp; Database Mgr'!#REF!,"AAAAAH7sfXQ=",0)</f>
        <v>#REF!</v>
      </c>
      <c r="DN121" t="e">
        <f>AND('Client Services &amp; Database Mgr'!#REF!,"AAAAAH7sfXU=")</f>
        <v>#REF!</v>
      </c>
      <c r="DO121" t="e">
        <f>AND('Client Services &amp; Database Mgr'!#REF!,"AAAAAH7sfXY=")</f>
        <v>#REF!</v>
      </c>
      <c r="DP121" t="e">
        <f>AND('Client Services &amp; Database Mgr'!#REF!,"AAAAAH7sfXc=")</f>
        <v>#REF!</v>
      </c>
      <c r="DQ121" t="e">
        <f>AND('Client Services &amp; Database Mgr'!#REF!,"AAAAAH7sfXg=")</f>
        <v>#REF!</v>
      </c>
      <c r="DR121" t="e">
        <f>AND('Client Services &amp; Database Mgr'!#REF!,"AAAAAH7sfXk=")</f>
        <v>#REF!</v>
      </c>
      <c r="DS121" t="e">
        <f>AND('Client Services &amp; Database Mgr'!#REF!,"AAAAAH7sfXo=")</f>
        <v>#REF!</v>
      </c>
      <c r="DT121" t="e">
        <f>AND('Client Services &amp; Database Mgr'!#REF!,"AAAAAH7sfXs=")</f>
        <v>#REF!</v>
      </c>
      <c r="DU121" t="e">
        <f>AND('Client Services &amp; Database Mgr'!#REF!,"AAAAAH7sfXw=")</f>
        <v>#REF!</v>
      </c>
      <c r="DV121" t="e">
        <f>AND('Client Services &amp; Database Mgr'!#REF!,"AAAAAH7sfX0=")</f>
        <v>#REF!</v>
      </c>
      <c r="DW121" t="e">
        <f>AND('Client Services &amp; Database Mgr'!#REF!,"AAAAAH7sfX4=")</f>
        <v>#REF!</v>
      </c>
      <c r="DX121" t="e">
        <f>AND('Client Services &amp; Database Mgr'!#REF!,"AAAAAH7sfX8=")</f>
        <v>#REF!</v>
      </c>
      <c r="DY121" t="e">
        <f>AND('Client Services &amp; Database Mgr'!#REF!,"AAAAAH7sfYA=")</f>
        <v>#REF!</v>
      </c>
      <c r="DZ121" t="e">
        <f>AND('Client Services &amp; Database Mgr'!#REF!,"AAAAAH7sfYE=")</f>
        <v>#REF!</v>
      </c>
      <c r="EA121" t="e">
        <f>IF('Client Services &amp; Database Mgr'!#REF!,"AAAAAH7sfYI=",0)</f>
        <v>#REF!</v>
      </c>
      <c r="EB121" t="e">
        <f>AND('Client Services &amp; Database Mgr'!#REF!,"AAAAAH7sfYM=")</f>
        <v>#REF!</v>
      </c>
      <c r="EC121" t="e">
        <f>AND('Client Services &amp; Database Mgr'!#REF!,"AAAAAH7sfYQ=")</f>
        <v>#REF!</v>
      </c>
      <c r="ED121" t="e">
        <f>AND('Client Services &amp; Database Mgr'!#REF!,"AAAAAH7sfYU=")</f>
        <v>#REF!</v>
      </c>
      <c r="EE121" t="e">
        <f>AND('Client Services &amp; Database Mgr'!#REF!,"AAAAAH7sfYY=")</f>
        <v>#REF!</v>
      </c>
      <c r="EF121" t="e">
        <f>AND('Client Services &amp; Database Mgr'!#REF!,"AAAAAH7sfYc=")</f>
        <v>#REF!</v>
      </c>
      <c r="EG121" t="e">
        <f>AND('Client Services &amp; Database Mgr'!#REF!,"AAAAAH7sfYg=")</f>
        <v>#REF!</v>
      </c>
      <c r="EH121" t="e">
        <f>AND('Client Services &amp; Database Mgr'!#REF!,"AAAAAH7sfYk=")</f>
        <v>#REF!</v>
      </c>
      <c r="EI121" t="e">
        <f>AND('Client Services &amp; Database Mgr'!#REF!,"AAAAAH7sfYo=")</f>
        <v>#REF!</v>
      </c>
      <c r="EJ121" t="e">
        <f>AND('Client Services &amp; Database Mgr'!#REF!,"AAAAAH7sfYs=")</f>
        <v>#REF!</v>
      </c>
      <c r="EK121" t="e">
        <f>AND('Client Services &amp; Database Mgr'!#REF!,"AAAAAH7sfYw=")</f>
        <v>#REF!</v>
      </c>
      <c r="EL121" t="e">
        <f>AND('Client Services &amp; Database Mgr'!#REF!,"AAAAAH7sfY0=")</f>
        <v>#REF!</v>
      </c>
      <c r="EM121" t="e">
        <f>AND('Client Services &amp; Database Mgr'!#REF!,"AAAAAH7sfY4=")</f>
        <v>#REF!</v>
      </c>
      <c r="EN121" t="e">
        <f>AND('Client Services &amp; Database Mgr'!#REF!,"AAAAAH7sfY8=")</f>
        <v>#REF!</v>
      </c>
      <c r="EO121" t="e">
        <f>IF('Client Services &amp; Database Mgr'!#REF!,"AAAAAH7sfZA=",0)</f>
        <v>#REF!</v>
      </c>
      <c r="EP121" t="e">
        <f>AND('Client Services &amp; Database Mgr'!#REF!,"AAAAAH7sfZE=")</f>
        <v>#REF!</v>
      </c>
      <c r="EQ121" t="e">
        <f>AND('Client Services &amp; Database Mgr'!#REF!,"AAAAAH7sfZI=")</f>
        <v>#REF!</v>
      </c>
      <c r="ER121" t="e">
        <f>AND('Client Services &amp; Database Mgr'!#REF!,"AAAAAH7sfZM=")</f>
        <v>#REF!</v>
      </c>
      <c r="ES121" t="e">
        <f>AND('Client Services &amp; Database Mgr'!#REF!,"AAAAAH7sfZQ=")</f>
        <v>#REF!</v>
      </c>
      <c r="ET121" t="e">
        <f>AND('Client Services &amp; Database Mgr'!#REF!,"AAAAAH7sfZU=")</f>
        <v>#REF!</v>
      </c>
      <c r="EU121" t="e">
        <f>AND('Client Services &amp; Database Mgr'!#REF!,"AAAAAH7sfZY=")</f>
        <v>#REF!</v>
      </c>
      <c r="EV121" t="e">
        <f>AND('Client Services &amp; Database Mgr'!#REF!,"AAAAAH7sfZc=")</f>
        <v>#REF!</v>
      </c>
      <c r="EW121" t="e">
        <f>AND('Client Services &amp; Database Mgr'!#REF!,"AAAAAH7sfZg=")</f>
        <v>#REF!</v>
      </c>
      <c r="EX121" t="e">
        <f>AND('Client Services &amp; Database Mgr'!#REF!,"AAAAAH7sfZk=")</f>
        <v>#REF!</v>
      </c>
      <c r="EY121" t="e">
        <f>AND('Client Services &amp; Database Mgr'!#REF!,"AAAAAH7sfZo=")</f>
        <v>#REF!</v>
      </c>
      <c r="EZ121" t="e">
        <f>AND('Client Services &amp; Database Mgr'!#REF!,"AAAAAH7sfZs=")</f>
        <v>#REF!</v>
      </c>
      <c r="FA121" t="e">
        <f>AND('Client Services &amp; Database Mgr'!#REF!,"AAAAAH7sfZw=")</f>
        <v>#REF!</v>
      </c>
      <c r="FB121" t="e">
        <f>AND('Client Services &amp; Database Mgr'!#REF!,"AAAAAH7sfZ0=")</f>
        <v>#REF!</v>
      </c>
      <c r="FC121" t="e">
        <f>IF('Client Services &amp; Database Mgr'!#REF!,"AAAAAH7sfZ4=",0)</f>
        <v>#REF!</v>
      </c>
      <c r="FD121" t="e">
        <f>AND('Client Services &amp; Database Mgr'!#REF!,"AAAAAH7sfZ8=")</f>
        <v>#REF!</v>
      </c>
      <c r="FE121" t="e">
        <f>AND('Client Services &amp; Database Mgr'!#REF!,"AAAAAH7sfaA=")</f>
        <v>#REF!</v>
      </c>
      <c r="FF121" t="e">
        <f>AND('Client Services &amp; Database Mgr'!#REF!,"AAAAAH7sfaE=")</f>
        <v>#REF!</v>
      </c>
      <c r="FG121" t="e">
        <f>AND('Client Services &amp; Database Mgr'!#REF!,"AAAAAH7sfaI=")</f>
        <v>#REF!</v>
      </c>
      <c r="FH121" t="e">
        <f>AND('Client Services &amp; Database Mgr'!#REF!,"AAAAAH7sfaM=")</f>
        <v>#REF!</v>
      </c>
      <c r="FI121" t="e">
        <f>AND('Client Services &amp; Database Mgr'!#REF!,"AAAAAH7sfaQ=")</f>
        <v>#REF!</v>
      </c>
      <c r="FJ121" t="e">
        <f>AND('Client Services &amp; Database Mgr'!#REF!,"AAAAAH7sfaU=")</f>
        <v>#REF!</v>
      </c>
      <c r="FK121" t="e">
        <f>AND('Client Services &amp; Database Mgr'!#REF!,"AAAAAH7sfaY=")</f>
        <v>#REF!</v>
      </c>
      <c r="FL121" t="e">
        <f>AND('Client Services &amp; Database Mgr'!#REF!,"AAAAAH7sfac=")</f>
        <v>#REF!</v>
      </c>
      <c r="FM121" t="e">
        <f>AND('Client Services &amp; Database Mgr'!#REF!,"AAAAAH7sfag=")</f>
        <v>#REF!</v>
      </c>
      <c r="FN121" t="e">
        <f>AND('Client Services &amp; Database Mgr'!#REF!,"AAAAAH7sfak=")</f>
        <v>#REF!</v>
      </c>
      <c r="FO121" t="e">
        <f>AND('Client Services &amp; Database Mgr'!#REF!,"AAAAAH7sfao=")</f>
        <v>#REF!</v>
      </c>
      <c r="FP121" t="e">
        <f>AND('Client Services &amp; Database Mgr'!#REF!,"AAAAAH7sfas=")</f>
        <v>#REF!</v>
      </c>
      <c r="FQ121" t="e">
        <f>IF('Client Services &amp; Database Mgr'!#REF!,"AAAAAH7sfaw=",0)</f>
        <v>#REF!</v>
      </c>
      <c r="FR121" t="e">
        <f>AND('Client Services &amp; Database Mgr'!#REF!,"AAAAAH7sfa0=")</f>
        <v>#REF!</v>
      </c>
      <c r="FS121" t="e">
        <f>AND('Client Services &amp; Database Mgr'!#REF!,"AAAAAH7sfa4=")</f>
        <v>#REF!</v>
      </c>
      <c r="FT121" t="e">
        <f>AND('Client Services &amp; Database Mgr'!#REF!,"AAAAAH7sfa8=")</f>
        <v>#REF!</v>
      </c>
      <c r="FU121" t="e">
        <f>AND('Client Services &amp; Database Mgr'!#REF!,"AAAAAH7sfbA=")</f>
        <v>#REF!</v>
      </c>
      <c r="FV121" t="e">
        <f>AND('Client Services &amp; Database Mgr'!#REF!,"AAAAAH7sfbE=")</f>
        <v>#REF!</v>
      </c>
      <c r="FW121" t="e">
        <f>AND('Client Services &amp; Database Mgr'!#REF!,"AAAAAH7sfbI=")</f>
        <v>#REF!</v>
      </c>
      <c r="FX121" t="e">
        <f>AND('Client Services &amp; Database Mgr'!#REF!,"AAAAAH7sfbM=")</f>
        <v>#REF!</v>
      </c>
      <c r="FY121" t="e">
        <f>AND('Client Services &amp; Database Mgr'!#REF!,"AAAAAH7sfbQ=")</f>
        <v>#REF!</v>
      </c>
      <c r="FZ121" t="e">
        <f>AND('Client Services &amp; Database Mgr'!#REF!,"AAAAAH7sfbU=")</f>
        <v>#REF!</v>
      </c>
      <c r="GA121" t="e">
        <f>AND('Client Services &amp; Database Mgr'!#REF!,"AAAAAH7sfbY=")</f>
        <v>#REF!</v>
      </c>
      <c r="GB121" t="e">
        <f>AND('Client Services &amp; Database Mgr'!#REF!,"AAAAAH7sfbc=")</f>
        <v>#REF!</v>
      </c>
      <c r="GC121" t="e">
        <f>AND('Client Services &amp; Database Mgr'!#REF!,"AAAAAH7sfbg=")</f>
        <v>#REF!</v>
      </c>
      <c r="GD121" t="e">
        <f>AND('Client Services &amp; Database Mgr'!#REF!,"AAAAAH7sfbk=")</f>
        <v>#REF!</v>
      </c>
      <c r="GE121" t="e">
        <f>IF('Client Services &amp; Database Mgr'!#REF!,"AAAAAH7sfbo=",0)</f>
        <v>#REF!</v>
      </c>
      <c r="GF121" t="e">
        <f>AND('Client Services &amp; Database Mgr'!#REF!,"AAAAAH7sfbs=")</f>
        <v>#REF!</v>
      </c>
      <c r="GG121" t="e">
        <f>AND('Client Services &amp; Database Mgr'!#REF!,"AAAAAH7sfbw=")</f>
        <v>#REF!</v>
      </c>
      <c r="GH121" t="e">
        <f>AND('Client Services &amp; Database Mgr'!#REF!,"AAAAAH7sfb0=")</f>
        <v>#REF!</v>
      </c>
      <c r="GI121" t="e">
        <f>AND('Client Services &amp; Database Mgr'!#REF!,"AAAAAH7sfb4=")</f>
        <v>#REF!</v>
      </c>
      <c r="GJ121" t="e">
        <f>AND('Client Services &amp; Database Mgr'!#REF!,"AAAAAH7sfb8=")</f>
        <v>#REF!</v>
      </c>
      <c r="GK121" t="e">
        <f>AND('Client Services &amp; Database Mgr'!#REF!,"AAAAAH7sfcA=")</f>
        <v>#REF!</v>
      </c>
      <c r="GL121" t="e">
        <f>AND('Client Services &amp; Database Mgr'!#REF!,"AAAAAH7sfcE=")</f>
        <v>#REF!</v>
      </c>
      <c r="GM121" t="e">
        <f>AND('Client Services &amp; Database Mgr'!#REF!,"AAAAAH7sfcI=")</f>
        <v>#REF!</v>
      </c>
      <c r="GN121" t="e">
        <f>AND('Client Services &amp; Database Mgr'!#REF!,"AAAAAH7sfcM=")</f>
        <v>#REF!</v>
      </c>
      <c r="GO121" t="e">
        <f>AND('Client Services &amp; Database Mgr'!#REF!,"AAAAAH7sfcQ=")</f>
        <v>#REF!</v>
      </c>
      <c r="GP121" t="e">
        <f>AND('Client Services &amp; Database Mgr'!#REF!,"AAAAAH7sfcU=")</f>
        <v>#REF!</v>
      </c>
      <c r="GQ121" t="e">
        <f>AND('Client Services &amp; Database Mgr'!#REF!,"AAAAAH7sfcY=")</f>
        <v>#REF!</v>
      </c>
      <c r="GR121" t="e">
        <f>AND('Client Services &amp; Database Mgr'!#REF!,"AAAAAH7sfcc=")</f>
        <v>#REF!</v>
      </c>
      <c r="GS121" t="e">
        <f>IF('Client Services &amp; Database Mgr'!#REF!,"AAAAAH7sfcg=",0)</f>
        <v>#REF!</v>
      </c>
      <c r="GT121" t="e">
        <f>AND('Client Services &amp; Database Mgr'!#REF!,"AAAAAH7sfck=")</f>
        <v>#REF!</v>
      </c>
      <c r="GU121" t="e">
        <f>AND('Client Services &amp; Database Mgr'!#REF!,"AAAAAH7sfco=")</f>
        <v>#REF!</v>
      </c>
      <c r="GV121" t="e">
        <f>AND('Client Services &amp; Database Mgr'!#REF!,"AAAAAH7sfcs=")</f>
        <v>#REF!</v>
      </c>
      <c r="GW121" t="e">
        <f>AND('Client Services &amp; Database Mgr'!#REF!,"AAAAAH7sfcw=")</f>
        <v>#REF!</v>
      </c>
      <c r="GX121" t="e">
        <f>AND('Client Services &amp; Database Mgr'!#REF!,"AAAAAH7sfc0=")</f>
        <v>#REF!</v>
      </c>
      <c r="GY121" t="e">
        <f>AND('Client Services &amp; Database Mgr'!#REF!,"AAAAAH7sfc4=")</f>
        <v>#REF!</v>
      </c>
      <c r="GZ121" t="e">
        <f>AND('Client Services &amp; Database Mgr'!#REF!,"AAAAAH7sfc8=")</f>
        <v>#REF!</v>
      </c>
      <c r="HA121" t="e">
        <f>AND('Client Services &amp; Database Mgr'!#REF!,"AAAAAH7sfdA=")</f>
        <v>#REF!</v>
      </c>
      <c r="HB121" t="e">
        <f>AND('Client Services &amp; Database Mgr'!#REF!,"AAAAAH7sfdE=")</f>
        <v>#REF!</v>
      </c>
      <c r="HC121" t="e">
        <f>AND('Client Services &amp; Database Mgr'!#REF!,"AAAAAH7sfdI=")</f>
        <v>#REF!</v>
      </c>
      <c r="HD121" t="e">
        <f>AND('Client Services &amp; Database Mgr'!#REF!,"AAAAAH7sfdM=")</f>
        <v>#REF!</v>
      </c>
      <c r="HE121" t="e">
        <f>AND('Client Services &amp; Database Mgr'!#REF!,"AAAAAH7sfdQ=")</f>
        <v>#REF!</v>
      </c>
      <c r="HF121" t="e">
        <f>AND('Client Services &amp; Database Mgr'!#REF!,"AAAAAH7sfdU=")</f>
        <v>#REF!</v>
      </c>
      <c r="HG121" t="e">
        <f>IF('Client Services &amp; Database Mgr'!#REF!,"AAAAAH7sfdY=",0)</f>
        <v>#REF!</v>
      </c>
      <c r="HH121" t="e">
        <f>AND('Client Services &amp; Database Mgr'!#REF!,"AAAAAH7sfdc=")</f>
        <v>#REF!</v>
      </c>
      <c r="HI121" t="e">
        <f>AND('Client Services &amp; Database Mgr'!#REF!,"AAAAAH7sfdg=")</f>
        <v>#REF!</v>
      </c>
      <c r="HJ121" t="e">
        <f>AND('Client Services &amp; Database Mgr'!#REF!,"AAAAAH7sfdk=")</f>
        <v>#REF!</v>
      </c>
      <c r="HK121" t="e">
        <f>AND('Client Services &amp; Database Mgr'!#REF!,"AAAAAH7sfdo=")</f>
        <v>#REF!</v>
      </c>
      <c r="HL121" t="e">
        <f>AND('Client Services &amp; Database Mgr'!#REF!,"AAAAAH7sfds=")</f>
        <v>#REF!</v>
      </c>
      <c r="HM121" t="e">
        <f>AND('Client Services &amp; Database Mgr'!#REF!,"AAAAAH7sfdw=")</f>
        <v>#REF!</v>
      </c>
      <c r="HN121" t="e">
        <f>AND('Client Services &amp; Database Mgr'!#REF!,"AAAAAH7sfd0=")</f>
        <v>#REF!</v>
      </c>
      <c r="HO121" t="e">
        <f>AND('Client Services &amp; Database Mgr'!#REF!,"AAAAAH7sfd4=")</f>
        <v>#REF!</v>
      </c>
      <c r="HP121" t="e">
        <f>AND('Client Services &amp; Database Mgr'!#REF!,"AAAAAH7sfd8=")</f>
        <v>#REF!</v>
      </c>
      <c r="HQ121" t="e">
        <f>AND('Client Services &amp; Database Mgr'!#REF!,"AAAAAH7sfeA=")</f>
        <v>#REF!</v>
      </c>
      <c r="HR121" t="e">
        <f>AND('Client Services &amp; Database Mgr'!#REF!,"AAAAAH7sfeE=")</f>
        <v>#REF!</v>
      </c>
      <c r="HS121" t="e">
        <f>AND('Client Services &amp; Database Mgr'!#REF!,"AAAAAH7sfeI=")</f>
        <v>#REF!</v>
      </c>
      <c r="HT121" t="e">
        <f>AND('Client Services &amp; Database Mgr'!#REF!,"AAAAAH7sfeM=")</f>
        <v>#REF!</v>
      </c>
      <c r="HU121" t="e">
        <f>IF('Client Services &amp; Database Mgr'!#REF!,"AAAAAH7sfeQ=",0)</f>
        <v>#REF!</v>
      </c>
      <c r="HV121" t="e">
        <f>AND('Client Services &amp; Database Mgr'!#REF!,"AAAAAH7sfeU=")</f>
        <v>#REF!</v>
      </c>
      <c r="HW121" t="e">
        <f>AND('Client Services &amp; Database Mgr'!#REF!,"AAAAAH7sfeY=")</f>
        <v>#REF!</v>
      </c>
      <c r="HX121" t="e">
        <f>AND('Client Services &amp; Database Mgr'!#REF!,"AAAAAH7sfec=")</f>
        <v>#REF!</v>
      </c>
      <c r="HY121" t="e">
        <f>AND('Client Services &amp; Database Mgr'!#REF!,"AAAAAH7sfeg=")</f>
        <v>#REF!</v>
      </c>
      <c r="HZ121" t="e">
        <f>AND('Client Services &amp; Database Mgr'!#REF!,"AAAAAH7sfek=")</f>
        <v>#REF!</v>
      </c>
      <c r="IA121" t="e">
        <f>AND('Client Services &amp; Database Mgr'!#REF!,"AAAAAH7sfeo=")</f>
        <v>#REF!</v>
      </c>
      <c r="IB121" t="e">
        <f>AND('Client Services &amp; Database Mgr'!#REF!,"AAAAAH7sfes=")</f>
        <v>#REF!</v>
      </c>
      <c r="IC121" t="e">
        <f>AND('Client Services &amp; Database Mgr'!#REF!,"AAAAAH7sfew=")</f>
        <v>#REF!</v>
      </c>
      <c r="ID121" t="e">
        <f>AND('Client Services &amp; Database Mgr'!#REF!,"AAAAAH7sfe0=")</f>
        <v>#REF!</v>
      </c>
      <c r="IE121" t="e">
        <f>AND('Client Services &amp; Database Mgr'!#REF!,"AAAAAH7sfe4=")</f>
        <v>#REF!</v>
      </c>
      <c r="IF121" t="e">
        <f>AND('Client Services &amp; Database Mgr'!#REF!,"AAAAAH7sfe8=")</f>
        <v>#REF!</v>
      </c>
      <c r="IG121" t="e">
        <f>AND('Client Services &amp; Database Mgr'!#REF!,"AAAAAH7sffA=")</f>
        <v>#REF!</v>
      </c>
      <c r="IH121" t="e">
        <f>AND('Client Services &amp; Database Mgr'!#REF!,"AAAAAH7sffE=")</f>
        <v>#REF!</v>
      </c>
      <c r="II121" t="e">
        <f>IF('Client Services &amp; Database Mgr'!#REF!,"AAAAAH7sffI=",0)</f>
        <v>#REF!</v>
      </c>
      <c r="IJ121" t="e">
        <f>AND('Client Services &amp; Database Mgr'!#REF!,"AAAAAH7sffM=")</f>
        <v>#REF!</v>
      </c>
      <c r="IK121" t="e">
        <f>AND('Client Services &amp; Database Mgr'!#REF!,"AAAAAH7sffQ=")</f>
        <v>#REF!</v>
      </c>
      <c r="IL121" t="e">
        <f>AND('Client Services &amp; Database Mgr'!#REF!,"AAAAAH7sffU=")</f>
        <v>#REF!</v>
      </c>
      <c r="IM121" t="e">
        <f>AND('Client Services &amp; Database Mgr'!#REF!,"AAAAAH7sffY=")</f>
        <v>#REF!</v>
      </c>
      <c r="IN121" t="e">
        <f>AND('Client Services &amp; Database Mgr'!#REF!,"AAAAAH7sffc=")</f>
        <v>#REF!</v>
      </c>
      <c r="IO121" t="e">
        <f>AND('Client Services &amp; Database Mgr'!#REF!,"AAAAAH7sffg=")</f>
        <v>#REF!</v>
      </c>
      <c r="IP121" t="e">
        <f>AND('Client Services &amp; Database Mgr'!#REF!,"AAAAAH7sffk=")</f>
        <v>#REF!</v>
      </c>
      <c r="IQ121" t="e">
        <f>AND('Client Services &amp; Database Mgr'!#REF!,"AAAAAH7sffo=")</f>
        <v>#REF!</v>
      </c>
      <c r="IR121" t="e">
        <f>AND('Client Services &amp; Database Mgr'!#REF!,"AAAAAH7sffs=")</f>
        <v>#REF!</v>
      </c>
      <c r="IS121" t="e">
        <f>AND('Client Services &amp; Database Mgr'!#REF!,"AAAAAH7sffw=")</f>
        <v>#REF!</v>
      </c>
      <c r="IT121" t="e">
        <f>AND('Client Services &amp; Database Mgr'!#REF!,"AAAAAH7sff0=")</f>
        <v>#REF!</v>
      </c>
      <c r="IU121" t="e">
        <f>AND('Client Services &amp; Database Mgr'!#REF!,"AAAAAH7sff4=")</f>
        <v>#REF!</v>
      </c>
      <c r="IV121" t="e">
        <f>AND('Client Services &amp; Database Mgr'!#REF!,"AAAAAH7sff8=")</f>
        <v>#REF!</v>
      </c>
    </row>
    <row r="122" spans="1:256" x14ac:dyDescent="0.2">
      <c r="A122" t="e">
        <f>IF('Client Services &amp; Database Mgr'!#REF!,"AAAAAD/W/gA=",0)</f>
        <v>#REF!</v>
      </c>
      <c r="B122" t="e">
        <f>AND('Client Services &amp; Database Mgr'!#REF!,"AAAAAD/W/gE=")</f>
        <v>#REF!</v>
      </c>
      <c r="C122" t="e">
        <f>AND('Client Services &amp; Database Mgr'!#REF!,"AAAAAD/W/gI=")</f>
        <v>#REF!</v>
      </c>
      <c r="D122" t="e">
        <f>AND('Client Services &amp; Database Mgr'!#REF!,"AAAAAD/W/gM=")</f>
        <v>#REF!</v>
      </c>
      <c r="E122" t="e">
        <f>AND('Client Services &amp; Database Mgr'!#REF!,"AAAAAD/W/gQ=")</f>
        <v>#REF!</v>
      </c>
      <c r="F122" t="e">
        <f>AND('Client Services &amp; Database Mgr'!#REF!,"AAAAAD/W/gU=")</f>
        <v>#REF!</v>
      </c>
      <c r="G122" t="e">
        <f>AND('Client Services &amp; Database Mgr'!#REF!,"AAAAAD/W/gY=")</f>
        <v>#REF!</v>
      </c>
      <c r="H122" t="e">
        <f>AND('Client Services &amp; Database Mgr'!#REF!,"AAAAAD/W/gc=")</f>
        <v>#REF!</v>
      </c>
      <c r="I122" t="e">
        <f>AND('Client Services &amp; Database Mgr'!#REF!,"AAAAAD/W/gg=")</f>
        <v>#REF!</v>
      </c>
      <c r="J122" t="e">
        <f>AND('Client Services &amp; Database Mgr'!#REF!,"AAAAAD/W/gk=")</f>
        <v>#REF!</v>
      </c>
      <c r="K122" t="e">
        <f>AND('Client Services &amp; Database Mgr'!#REF!,"AAAAAD/W/go=")</f>
        <v>#REF!</v>
      </c>
      <c r="L122" t="e">
        <f>AND('Client Services &amp; Database Mgr'!#REF!,"AAAAAD/W/gs=")</f>
        <v>#REF!</v>
      </c>
      <c r="M122" t="e">
        <f>AND('Client Services &amp; Database Mgr'!#REF!,"AAAAAD/W/gw=")</f>
        <v>#REF!</v>
      </c>
      <c r="N122" t="e">
        <f>AND('Client Services &amp; Database Mgr'!#REF!,"AAAAAD/W/g0=")</f>
        <v>#REF!</v>
      </c>
      <c r="O122" t="e">
        <f>IF('Client Services &amp; Database Mgr'!#REF!,"AAAAAD/W/g4=",0)</f>
        <v>#REF!</v>
      </c>
      <c r="P122" t="e">
        <f>AND('Client Services &amp; Database Mgr'!#REF!,"AAAAAD/W/g8=")</f>
        <v>#REF!</v>
      </c>
      <c r="Q122" t="e">
        <f>AND('Client Services &amp; Database Mgr'!#REF!,"AAAAAD/W/hA=")</f>
        <v>#REF!</v>
      </c>
      <c r="R122" t="e">
        <f>AND('Client Services &amp; Database Mgr'!#REF!,"AAAAAD/W/hE=")</f>
        <v>#REF!</v>
      </c>
      <c r="S122" t="e">
        <f>AND('Client Services &amp; Database Mgr'!#REF!,"AAAAAD/W/hI=")</f>
        <v>#REF!</v>
      </c>
      <c r="T122" t="e">
        <f>AND('Client Services &amp; Database Mgr'!#REF!,"AAAAAD/W/hM=")</f>
        <v>#REF!</v>
      </c>
      <c r="U122" t="e">
        <f>AND('Client Services &amp; Database Mgr'!#REF!,"AAAAAD/W/hQ=")</f>
        <v>#REF!</v>
      </c>
      <c r="V122" t="e">
        <f>AND('Client Services &amp; Database Mgr'!#REF!,"AAAAAD/W/hU=")</f>
        <v>#REF!</v>
      </c>
      <c r="W122" t="e">
        <f>AND('Client Services &amp; Database Mgr'!#REF!,"AAAAAD/W/hY=")</f>
        <v>#REF!</v>
      </c>
      <c r="X122" t="e">
        <f>AND('Client Services &amp; Database Mgr'!#REF!,"AAAAAD/W/hc=")</f>
        <v>#REF!</v>
      </c>
      <c r="Y122" t="e">
        <f>AND('Client Services &amp; Database Mgr'!#REF!,"AAAAAD/W/hg=")</f>
        <v>#REF!</v>
      </c>
      <c r="Z122" t="e">
        <f>AND('Client Services &amp; Database Mgr'!#REF!,"AAAAAD/W/hk=")</f>
        <v>#REF!</v>
      </c>
      <c r="AA122" t="e">
        <f>AND('Client Services &amp; Database Mgr'!#REF!,"AAAAAD/W/ho=")</f>
        <v>#REF!</v>
      </c>
      <c r="AB122" t="e">
        <f>AND('Client Services &amp; Database Mgr'!#REF!,"AAAAAD/W/hs=")</f>
        <v>#REF!</v>
      </c>
      <c r="AC122" t="e">
        <f>IF('Client Services &amp; Database Mgr'!#REF!,"AAAAAD/W/hw=",0)</f>
        <v>#REF!</v>
      </c>
      <c r="AD122" t="e">
        <f>AND('Client Services &amp; Database Mgr'!#REF!,"AAAAAD/W/h0=")</f>
        <v>#REF!</v>
      </c>
      <c r="AE122" t="e">
        <f>AND('Client Services &amp; Database Mgr'!#REF!,"AAAAAD/W/h4=")</f>
        <v>#REF!</v>
      </c>
      <c r="AF122" t="e">
        <f>AND('Client Services &amp; Database Mgr'!#REF!,"AAAAAD/W/h8=")</f>
        <v>#REF!</v>
      </c>
      <c r="AG122" t="e">
        <f>AND('Client Services &amp; Database Mgr'!#REF!,"AAAAAD/W/iA=")</f>
        <v>#REF!</v>
      </c>
      <c r="AH122" t="e">
        <f>AND('Client Services &amp; Database Mgr'!#REF!,"AAAAAD/W/iE=")</f>
        <v>#REF!</v>
      </c>
      <c r="AI122" t="e">
        <f>AND('Client Services &amp; Database Mgr'!#REF!,"AAAAAD/W/iI=")</f>
        <v>#REF!</v>
      </c>
      <c r="AJ122" t="e">
        <f>AND('Client Services &amp; Database Mgr'!#REF!,"AAAAAD/W/iM=")</f>
        <v>#REF!</v>
      </c>
      <c r="AK122" t="e">
        <f>AND('Client Services &amp; Database Mgr'!#REF!,"AAAAAD/W/iQ=")</f>
        <v>#REF!</v>
      </c>
      <c r="AL122" t="e">
        <f>AND('Client Services &amp; Database Mgr'!#REF!,"AAAAAD/W/iU=")</f>
        <v>#REF!</v>
      </c>
      <c r="AM122" t="e">
        <f>AND('Client Services &amp; Database Mgr'!#REF!,"AAAAAD/W/iY=")</f>
        <v>#REF!</v>
      </c>
      <c r="AN122" t="e">
        <f>AND('Client Services &amp; Database Mgr'!#REF!,"AAAAAD/W/ic=")</f>
        <v>#REF!</v>
      </c>
      <c r="AO122" t="e">
        <f>AND('Client Services &amp; Database Mgr'!#REF!,"AAAAAD/W/ig=")</f>
        <v>#REF!</v>
      </c>
      <c r="AP122" t="e">
        <f>AND('Client Services &amp; Database Mgr'!#REF!,"AAAAAD/W/ik=")</f>
        <v>#REF!</v>
      </c>
      <c r="AQ122" t="e">
        <f>IF('Client Services &amp; Database Mgr'!#REF!,"AAAAAD/W/io=",0)</f>
        <v>#REF!</v>
      </c>
      <c r="AR122" t="e">
        <f>AND('Client Services &amp; Database Mgr'!#REF!,"AAAAAD/W/is=")</f>
        <v>#REF!</v>
      </c>
      <c r="AS122" t="e">
        <f>AND('Client Services &amp; Database Mgr'!#REF!,"AAAAAD/W/iw=")</f>
        <v>#REF!</v>
      </c>
      <c r="AT122" t="e">
        <f>AND('Client Services &amp; Database Mgr'!#REF!,"AAAAAD/W/i0=")</f>
        <v>#REF!</v>
      </c>
      <c r="AU122" t="e">
        <f>AND('Client Services &amp; Database Mgr'!#REF!,"AAAAAD/W/i4=")</f>
        <v>#REF!</v>
      </c>
      <c r="AV122" t="e">
        <f>AND('Client Services &amp; Database Mgr'!#REF!,"AAAAAD/W/i8=")</f>
        <v>#REF!</v>
      </c>
      <c r="AW122" t="e">
        <f>AND('Client Services &amp; Database Mgr'!#REF!,"AAAAAD/W/jA=")</f>
        <v>#REF!</v>
      </c>
      <c r="AX122" t="e">
        <f>AND('Client Services &amp; Database Mgr'!#REF!,"AAAAAD/W/jE=")</f>
        <v>#REF!</v>
      </c>
      <c r="AY122" t="e">
        <f>AND('Client Services &amp; Database Mgr'!#REF!,"AAAAAD/W/jI=")</f>
        <v>#REF!</v>
      </c>
      <c r="AZ122" t="e">
        <f>AND('Client Services &amp; Database Mgr'!#REF!,"AAAAAD/W/jM=")</f>
        <v>#REF!</v>
      </c>
      <c r="BA122" t="e">
        <f>AND('Client Services &amp; Database Mgr'!#REF!,"AAAAAD/W/jQ=")</f>
        <v>#REF!</v>
      </c>
      <c r="BB122" t="e">
        <f>AND('Client Services &amp; Database Mgr'!#REF!,"AAAAAD/W/jU=")</f>
        <v>#REF!</v>
      </c>
      <c r="BC122" t="e">
        <f>AND('Client Services &amp; Database Mgr'!#REF!,"AAAAAD/W/jY=")</f>
        <v>#REF!</v>
      </c>
      <c r="BD122" t="e">
        <f>AND('Client Services &amp; Database Mgr'!#REF!,"AAAAAD/W/jc=")</f>
        <v>#REF!</v>
      </c>
      <c r="BE122" t="e">
        <f>IF('Client Services &amp; Database Mgr'!#REF!,"AAAAAD/W/jg=",0)</f>
        <v>#REF!</v>
      </c>
      <c r="BF122" t="e">
        <f>AND('Client Services &amp; Database Mgr'!#REF!,"AAAAAD/W/jk=")</f>
        <v>#REF!</v>
      </c>
      <c r="BG122" t="e">
        <f>AND('Client Services &amp; Database Mgr'!#REF!,"AAAAAD/W/jo=")</f>
        <v>#REF!</v>
      </c>
      <c r="BH122" t="e">
        <f>AND('Client Services &amp; Database Mgr'!#REF!,"AAAAAD/W/js=")</f>
        <v>#REF!</v>
      </c>
      <c r="BI122" t="e">
        <f>AND('Client Services &amp; Database Mgr'!#REF!,"AAAAAD/W/jw=")</f>
        <v>#REF!</v>
      </c>
      <c r="BJ122" t="e">
        <f>AND('Client Services &amp; Database Mgr'!#REF!,"AAAAAD/W/j0=")</f>
        <v>#REF!</v>
      </c>
      <c r="BK122" t="e">
        <f>AND('Client Services &amp; Database Mgr'!#REF!,"AAAAAD/W/j4=")</f>
        <v>#REF!</v>
      </c>
      <c r="BL122" t="e">
        <f>AND('Client Services &amp; Database Mgr'!#REF!,"AAAAAD/W/j8=")</f>
        <v>#REF!</v>
      </c>
      <c r="BM122" t="e">
        <f>AND('Client Services &amp; Database Mgr'!#REF!,"AAAAAD/W/kA=")</f>
        <v>#REF!</v>
      </c>
      <c r="BN122" t="e">
        <f>AND('Client Services &amp; Database Mgr'!#REF!,"AAAAAD/W/kE=")</f>
        <v>#REF!</v>
      </c>
      <c r="BO122" t="e">
        <f>AND('Client Services &amp; Database Mgr'!#REF!,"AAAAAD/W/kI=")</f>
        <v>#REF!</v>
      </c>
      <c r="BP122" t="e">
        <f>AND('Client Services &amp; Database Mgr'!#REF!,"AAAAAD/W/kM=")</f>
        <v>#REF!</v>
      </c>
      <c r="BQ122" t="e">
        <f>AND('Client Services &amp; Database Mgr'!#REF!,"AAAAAD/W/kQ=")</f>
        <v>#REF!</v>
      </c>
      <c r="BR122" t="e">
        <f>AND('Client Services &amp; Database Mgr'!#REF!,"AAAAAD/W/kU=")</f>
        <v>#REF!</v>
      </c>
      <c r="BS122" t="e">
        <f>IF('Client Services &amp; Database Mgr'!#REF!,"AAAAAD/W/kY=",0)</f>
        <v>#REF!</v>
      </c>
      <c r="BT122" t="e">
        <f>AND('Client Services &amp; Database Mgr'!#REF!,"AAAAAD/W/kc=")</f>
        <v>#REF!</v>
      </c>
      <c r="BU122" t="e">
        <f>AND('Client Services &amp; Database Mgr'!#REF!,"AAAAAD/W/kg=")</f>
        <v>#REF!</v>
      </c>
      <c r="BV122" t="e">
        <f>AND('Client Services &amp; Database Mgr'!#REF!,"AAAAAD/W/kk=")</f>
        <v>#REF!</v>
      </c>
      <c r="BW122" t="e">
        <f>AND('Client Services &amp; Database Mgr'!#REF!,"AAAAAD/W/ko=")</f>
        <v>#REF!</v>
      </c>
      <c r="BX122" t="e">
        <f>AND('Client Services &amp; Database Mgr'!#REF!,"AAAAAD/W/ks=")</f>
        <v>#REF!</v>
      </c>
      <c r="BY122" t="e">
        <f>AND('Client Services &amp; Database Mgr'!#REF!,"AAAAAD/W/kw=")</f>
        <v>#REF!</v>
      </c>
      <c r="BZ122" t="e">
        <f>AND('Client Services &amp; Database Mgr'!#REF!,"AAAAAD/W/k0=")</f>
        <v>#REF!</v>
      </c>
      <c r="CA122" t="e">
        <f>AND('Client Services &amp; Database Mgr'!#REF!,"AAAAAD/W/k4=")</f>
        <v>#REF!</v>
      </c>
      <c r="CB122" t="e">
        <f>AND('Client Services &amp; Database Mgr'!#REF!,"AAAAAD/W/k8=")</f>
        <v>#REF!</v>
      </c>
      <c r="CC122" t="e">
        <f>AND('Client Services &amp; Database Mgr'!#REF!,"AAAAAD/W/lA=")</f>
        <v>#REF!</v>
      </c>
      <c r="CD122" t="e">
        <f>AND('Client Services &amp; Database Mgr'!#REF!,"AAAAAD/W/lE=")</f>
        <v>#REF!</v>
      </c>
      <c r="CE122" t="e">
        <f>AND('Client Services &amp; Database Mgr'!#REF!,"AAAAAD/W/lI=")</f>
        <v>#REF!</v>
      </c>
      <c r="CF122" t="e">
        <f>AND('Client Services &amp; Database Mgr'!#REF!,"AAAAAD/W/lM=")</f>
        <v>#REF!</v>
      </c>
      <c r="CG122" t="e">
        <f>IF('Client Services &amp; Database Mgr'!#REF!,"AAAAAD/W/lQ=",0)</f>
        <v>#REF!</v>
      </c>
      <c r="CH122" t="e">
        <f>AND('Client Services &amp; Database Mgr'!#REF!,"AAAAAD/W/lU=")</f>
        <v>#REF!</v>
      </c>
      <c r="CI122" t="e">
        <f>AND('Client Services &amp; Database Mgr'!#REF!,"AAAAAD/W/lY=")</f>
        <v>#REF!</v>
      </c>
      <c r="CJ122" t="e">
        <f>AND('Client Services &amp; Database Mgr'!#REF!,"AAAAAD/W/lc=")</f>
        <v>#REF!</v>
      </c>
      <c r="CK122" t="e">
        <f>AND('Client Services &amp; Database Mgr'!#REF!,"AAAAAD/W/lg=")</f>
        <v>#REF!</v>
      </c>
      <c r="CL122" t="e">
        <f>AND('Client Services &amp; Database Mgr'!#REF!,"AAAAAD/W/lk=")</f>
        <v>#REF!</v>
      </c>
      <c r="CM122" t="e">
        <f>AND('Client Services &amp; Database Mgr'!#REF!,"AAAAAD/W/lo=")</f>
        <v>#REF!</v>
      </c>
      <c r="CN122" t="e">
        <f>AND('Client Services &amp; Database Mgr'!#REF!,"AAAAAD/W/ls=")</f>
        <v>#REF!</v>
      </c>
      <c r="CO122" t="e">
        <f>AND('Client Services &amp; Database Mgr'!#REF!,"AAAAAD/W/lw=")</f>
        <v>#REF!</v>
      </c>
      <c r="CP122" t="e">
        <f>AND('Client Services &amp; Database Mgr'!#REF!,"AAAAAD/W/l0=")</f>
        <v>#REF!</v>
      </c>
      <c r="CQ122" t="e">
        <f>AND('Client Services &amp; Database Mgr'!#REF!,"AAAAAD/W/l4=")</f>
        <v>#REF!</v>
      </c>
      <c r="CR122" t="e">
        <f>AND('Client Services &amp; Database Mgr'!#REF!,"AAAAAD/W/l8=")</f>
        <v>#REF!</v>
      </c>
      <c r="CS122" t="e">
        <f>AND('Client Services &amp; Database Mgr'!#REF!,"AAAAAD/W/mA=")</f>
        <v>#REF!</v>
      </c>
      <c r="CT122" t="e">
        <f>AND('Client Services &amp; Database Mgr'!#REF!,"AAAAAD/W/mE=")</f>
        <v>#REF!</v>
      </c>
      <c r="CU122" t="e">
        <f>IF('Client Services &amp; Database Mgr'!#REF!,"AAAAAD/W/mI=",0)</f>
        <v>#REF!</v>
      </c>
      <c r="CV122" t="e">
        <f>AND('Client Services &amp; Database Mgr'!#REF!,"AAAAAD/W/mM=")</f>
        <v>#REF!</v>
      </c>
      <c r="CW122" t="e">
        <f>AND('Client Services &amp; Database Mgr'!#REF!,"AAAAAD/W/mQ=")</f>
        <v>#REF!</v>
      </c>
      <c r="CX122" t="e">
        <f>AND('Client Services &amp; Database Mgr'!#REF!,"AAAAAD/W/mU=")</f>
        <v>#REF!</v>
      </c>
      <c r="CY122" t="e">
        <f>AND('Client Services &amp; Database Mgr'!#REF!,"AAAAAD/W/mY=")</f>
        <v>#REF!</v>
      </c>
      <c r="CZ122" t="e">
        <f>AND('Client Services &amp; Database Mgr'!#REF!,"AAAAAD/W/mc=")</f>
        <v>#REF!</v>
      </c>
      <c r="DA122" t="e">
        <f>AND('Client Services &amp; Database Mgr'!#REF!,"AAAAAD/W/mg=")</f>
        <v>#REF!</v>
      </c>
      <c r="DB122" t="e">
        <f>AND('Client Services &amp; Database Mgr'!#REF!,"AAAAAD/W/mk=")</f>
        <v>#REF!</v>
      </c>
      <c r="DC122" t="e">
        <f>AND('Client Services &amp; Database Mgr'!#REF!,"AAAAAD/W/mo=")</f>
        <v>#REF!</v>
      </c>
      <c r="DD122" t="e">
        <f>AND('Client Services &amp; Database Mgr'!#REF!,"AAAAAD/W/ms=")</f>
        <v>#REF!</v>
      </c>
      <c r="DE122" t="e">
        <f>AND('Client Services &amp; Database Mgr'!#REF!,"AAAAAD/W/mw=")</f>
        <v>#REF!</v>
      </c>
      <c r="DF122" t="e">
        <f>AND('Client Services &amp; Database Mgr'!#REF!,"AAAAAD/W/m0=")</f>
        <v>#REF!</v>
      </c>
      <c r="DG122" t="e">
        <f>AND('Client Services &amp; Database Mgr'!#REF!,"AAAAAD/W/m4=")</f>
        <v>#REF!</v>
      </c>
      <c r="DH122" t="e">
        <f>AND('Client Services &amp; Database Mgr'!#REF!,"AAAAAD/W/m8=")</f>
        <v>#REF!</v>
      </c>
      <c r="DI122" t="e">
        <f>IF('Client Services &amp; Database Mgr'!#REF!,"AAAAAD/W/nA=",0)</f>
        <v>#REF!</v>
      </c>
      <c r="DJ122" t="e">
        <f>AND('Client Services &amp; Database Mgr'!#REF!,"AAAAAD/W/nE=")</f>
        <v>#REF!</v>
      </c>
      <c r="DK122" t="e">
        <f>AND('Client Services &amp; Database Mgr'!#REF!,"AAAAAD/W/nI=")</f>
        <v>#REF!</v>
      </c>
      <c r="DL122" t="e">
        <f>AND('Client Services &amp; Database Mgr'!#REF!,"AAAAAD/W/nM=")</f>
        <v>#REF!</v>
      </c>
      <c r="DM122" t="e">
        <f>AND('Client Services &amp; Database Mgr'!#REF!,"AAAAAD/W/nQ=")</f>
        <v>#REF!</v>
      </c>
      <c r="DN122" t="e">
        <f>AND('Client Services &amp; Database Mgr'!#REF!,"AAAAAD/W/nU=")</f>
        <v>#REF!</v>
      </c>
      <c r="DO122" t="e">
        <f>AND('Client Services &amp; Database Mgr'!#REF!,"AAAAAD/W/nY=")</f>
        <v>#REF!</v>
      </c>
      <c r="DP122" t="e">
        <f>AND('Client Services &amp; Database Mgr'!#REF!,"AAAAAD/W/nc=")</f>
        <v>#REF!</v>
      </c>
      <c r="DQ122" t="e">
        <f>AND('Client Services &amp; Database Mgr'!#REF!,"AAAAAD/W/ng=")</f>
        <v>#REF!</v>
      </c>
      <c r="DR122" t="e">
        <f>AND('Client Services &amp; Database Mgr'!#REF!,"AAAAAD/W/nk=")</f>
        <v>#REF!</v>
      </c>
      <c r="DS122" t="e">
        <f>AND('Client Services &amp; Database Mgr'!#REF!,"AAAAAD/W/no=")</f>
        <v>#REF!</v>
      </c>
      <c r="DT122" t="e">
        <f>AND('Client Services &amp; Database Mgr'!#REF!,"AAAAAD/W/ns=")</f>
        <v>#REF!</v>
      </c>
      <c r="DU122" t="e">
        <f>AND('Client Services &amp; Database Mgr'!#REF!,"AAAAAD/W/nw=")</f>
        <v>#REF!</v>
      </c>
      <c r="DV122" t="e">
        <f>AND('Client Services &amp; Database Mgr'!#REF!,"AAAAAD/W/n0=")</f>
        <v>#REF!</v>
      </c>
      <c r="DW122" t="e">
        <f>IF('Client Services &amp; Database Mgr'!#REF!,"AAAAAD/W/n4=",0)</f>
        <v>#REF!</v>
      </c>
      <c r="DX122" t="e">
        <f>AND('Client Services &amp; Database Mgr'!#REF!,"AAAAAD/W/n8=")</f>
        <v>#REF!</v>
      </c>
      <c r="DY122" t="e">
        <f>AND('Client Services &amp; Database Mgr'!#REF!,"AAAAAD/W/oA=")</f>
        <v>#REF!</v>
      </c>
      <c r="DZ122" t="e">
        <f>AND('Client Services &amp; Database Mgr'!#REF!,"AAAAAD/W/oE=")</f>
        <v>#REF!</v>
      </c>
      <c r="EA122" t="e">
        <f>AND('Client Services &amp; Database Mgr'!#REF!,"AAAAAD/W/oI=")</f>
        <v>#REF!</v>
      </c>
      <c r="EB122" t="e">
        <f>AND('Client Services &amp; Database Mgr'!#REF!,"AAAAAD/W/oM=")</f>
        <v>#REF!</v>
      </c>
      <c r="EC122" t="e">
        <f>AND('Client Services &amp; Database Mgr'!#REF!,"AAAAAD/W/oQ=")</f>
        <v>#REF!</v>
      </c>
      <c r="ED122" t="e">
        <f>AND('Client Services &amp; Database Mgr'!#REF!,"AAAAAD/W/oU=")</f>
        <v>#REF!</v>
      </c>
      <c r="EE122" t="e">
        <f>AND('Client Services &amp; Database Mgr'!#REF!,"AAAAAD/W/oY=")</f>
        <v>#REF!</v>
      </c>
      <c r="EF122" t="e">
        <f>AND('Client Services &amp; Database Mgr'!#REF!,"AAAAAD/W/oc=")</f>
        <v>#REF!</v>
      </c>
      <c r="EG122" t="e">
        <f>AND('Client Services &amp; Database Mgr'!#REF!,"AAAAAD/W/og=")</f>
        <v>#REF!</v>
      </c>
      <c r="EH122" t="e">
        <f>AND('Client Services &amp; Database Mgr'!#REF!,"AAAAAD/W/ok=")</f>
        <v>#REF!</v>
      </c>
      <c r="EI122" t="e">
        <f>AND('Client Services &amp; Database Mgr'!#REF!,"AAAAAD/W/oo=")</f>
        <v>#REF!</v>
      </c>
      <c r="EJ122" t="e">
        <f>AND('Client Services &amp; Database Mgr'!#REF!,"AAAAAD/W/os=")</f>
        <v>#REF!</v>
      </c>
      <c r="EK122" t="e">
        <f>IF('Client Services &amp; Database Mgr'!#REF!,"AAAAAD/W/ow=",0)</f>
        <v>#REF!</v>
      </c>
      <c r="EL122" t="e">
        <f>AND('Client Services &amp; Database Mgr'!#REF!,"AAAAAD/W/o0=")</f>
        <v>#REF!</v>
      </c>
      <c r="EM122" t="e">
        <f>AND('Client Services &amp; Database Mgr'!#REF!,"AAAAAD/W/o4=")</f>
        <v>#REF!</v>
      </c>
      <c r="EN122" t="e">
        <f>AND('Client Services &amp; Database Mgr'!#REF!,"AAAAAD/W/o8=")</f>
        <v>#REF!</v>
      </c>
      <c r="EO122" t="e">
        <f>AND('Client Services &amp; Database Mgr'!#REF!,"AAAAAD/W/pA=")</f>
        <v>#REF!</v>
      </c>
      <c r="EP122" t="e">
        <f>AND('Client Services &amp; Database Mgr'!#REF!,"AAAAAD/W/pE=")</f>
        <v>#REF!</v>
      </c>
      <c r="EQ122" t="e">
        <f>AND('Client Services &amp; Database Mgr'!#REF!,"AAAAAD/W/pI=")</f>
        <v>#REF!</v>
      </c>
      <c r="ER122" t="e">
        <f>AND('Client Services &amp; Database Mgr'!#REF!,"AAAAAD/W/pM=")</f>
        <v>#REF!</v>
      </c>
      <c r="ES122" t="e">
        <f>AND('Client Services &amp; Database Mgr'!#REF!,"AAAAAD/W/pQ=")</f>
        <v>#REF!</v>
      </c>
      <c r="ET122" t="e">
        <f>AND('Client Services &amp; Database Mgr'!#REF!,"AAAAAD/W/pU=")</f>
        <v>#REF!</v>
      </c>
      <c r="EU122" t="e">
        <f>AND('Client Services &amp; Database Mgr'!#REF!,"AAAAAD/W/pY=")</f>
        <v>#REF!</v>
      </c>
      <c r="EV122" t="e">
        <f>AND('Client Services &amp; Database Mgr'!#REF!,"AAAAAD/W/pc=")</f>
        <v>#REF!</v>
      </c>
      <c r="EW122" t="e">
        <f>AND('Client Services &amp; Database Mgr'!#REF!,"AAAAAD/W/pg=")</f>
        <v>#REF!</v>
      </c>
      <c r="EX122" t="e">
        <f>AND('Client Services &amp; Database Mgr'!#REF!,"AAAAAD/W/pk=")</f>
        <v>#REF!</v>
      </c>
      <c r="EY122" t="e">
        <f>IF('Client Services &amp; Database Mgr'!#REF!,"AAAAAD/W/po=",0)</f>
        <v>#REF!</v>
      </c>
      <c r="EZ122" t="e">
        <f>AND('Client Services &amp; Database Mgr'!#REF!,"AAAAAD/W/ps=")</f>
        <v>#REF!</v>
      </c>
      <c r="FA122" t="e">
        <f>AND('Client Services &amp; Database Mgr'!#REF!,"AAAAAD/W/pw=")</f>
        <v>#REF!</v>
      </c>
      <c r="FB122" t="e">
        <f>AND('Client Services &amp; Database Mgr'!#REF!,"AAAAAD/W/p0=")</f>
        <v>#REF!</v>
      </c>
      <c r="FC122" t="e">
        <f>AND('Client Services &amp; Database Mgr'!#REF!,"AAAAAD/W/p4=")</f>
        <v>#REF!</v>
      </c>
      <c r="FD122" t="e">
        <f>AND('Client Services &amp; Database Mgr'!#REF!,"AAAAAD/W/p8=")</f>
        <v>#REF!</v>
      </c>
      <c r="FE122" t="e">
        <f>AND('Client Services &amp; Database Mgr'!#REF!,"AAAAAD/W/qA=")</f>
        <v>#REF!</v>
      </c>
      <c r="FF122" t="e">
        <f>AND('Client Services &amp; Database Mgr'!#REF!,"AAAAAD/W/qE=")</f>
        <v>#REF!</v>
      </c>
      <c r="FG122" t="e">
        <f>AND('Client Services &amp; Database Mgr'!#REF!,"AAAAAD/W/qI=")</f>
        <v>#REF!</v>
      </c>
      <c r="FH122" t="e">
        <f>AND('Client Services &amp; Database Mgr'!#REF!,"AAAAAD/W/qM=")</f>
        <v>#REF!</v>
      </c>
      <c r="FI122" t="e">
        <f>AND('Client Services &amp; Database Mgr'!#REF!,"AAAAAD/W/qQ=")</f>
        <v>#REF!</v>
      </c>
      <c r="FJ122" t="e">
        <f>AND('Client Services &amp; Database Mgr'!#REF!,"AAAAAD/W/qU=")</f>
        <v>#REF!</v>
      </c>
      <c r="FK122" t="e">
        <f>AND('Client Services &amp; Database Mgr'!#REF!,"AAAAAD/W/qY=")</f>
        <v>#REF!</v>
      </c>
      <c r="FL122" t="e">
        <f>AND('Client Services &amp; Database Mgr'!#REF!,"AAAAAD/W/qc=")</f>
        <v>#REF!</v>
      </c>
      <c r="FM122" t="e">
        <f>IF('Client Services &amp; Database Mgr'!#REF!,"AAAAAD/W/qg=",0)</f>
        <v>#REF!</v>
      </c>
      <c r="FN122" t="e">
        <f>AND('Client Services &amp; Database Mgr'!#REF!,"AAAAAD/W/qk=")</f>
        <v>#REF!</v>
      </c>
      <c r="FO122" t="e">
        <f>AND('Client Services &amp; Database Mgr'!#REF!,"AAAAAD/W/qo=")</f>
        <v>#REF!</v>
      </c>
      <c r="FP122" t="e">
        <f>AND('Client Services &amp; Database Mgr'!#REF!,"AAAAAD/W/qs=")</f>
        <v>#REF!</v>
      </c>
      <c r="FQ122" t="e">
        <f>AND('Client Services &amp; Database Mgr'!#REF!,"AAAAAD/W/qw=")</f>
        <v>#REF!</v>
      </c>
      <c r="FR122" t="e">
        <f>AND('Client Services &amp; Database Mgr'!#REF!,"AAAAAD/W/q0=")</f>
        <v>#REF!</v>
      </c>
      <c r="FS122" t="e">
        <f>AND('Client Services &amp; Database Mgr'!#REF!,"AAAAAD/W/q4=")</f>
        <v>#REF!</v>
      </c>
      <c r="FT122" t="e">
        <f>AND('Client Services &amp; Database Mgr'!#REF!,"AAAAAD/W/q8=")</f>
        <v>#REF!</v>
      </c>
      <c r="FU122" t="e">
        <f>AND('Client Services &amp; Database Mgr'!#REF!,"AAAAAD/W/rA=")</f>
        <v>#REF!</v>
      </c>
      <c r="FV122" t="e">
        <f>AND('Client Services &amp; Database Mgr'!#REF!,"AAAAAD/W/rE=")</f>
        <v>#REF!</v>
      </c>
      <c r="FW122" t="e">
        <f>AND('Client Services &amp; Database Mgr'!#REF!,"AAAAAD/W/rI=")</f>
        <v>#REF!</v>
      </c>
      <c r="FX122" t="e">
        <f>AND('Client Services &amp; Database Mgr'!#REF!,"AAAAAD/W/rM=")</f>
        <v>#REF!</v>
      </c>
      <c r="FY122" t="e">
        <f>AND('Client Services &amp; Database Mgr'!#REF!,"AAAAAD/W/rQ=")</f>
        <v>#REF!</v>
      </c>
      <c r="FZ122" t="e">
        <f>AND('Client Services &amp; Database Mgr'!#REF!,"AAAAAD/W/rU=")</f>
        <v>#REF!</v>
      </c>
      <c r="GA122">
        <f>IF('Client Services &amp; Database Mgr'!24:24,"AAAAAD/W/rY=",0)</f>
        <v>0</v>
      </c>
      <c r="GB122" t="e">
        <f>AND('Client Services &amp; Database Mgr'!A24,"AAAAAD/W/rc=")</f>
        <v>#VALUE!</v>
      </c>
      <c r="GC122" t="e">
        <f>AND('Client Services &amp; Database Mgr'!B24,"AAAAAD/W/rg=")</f>
        <v>#VALUE!</v>
      </c>
      <c r="GD122" t="e">
        <f>AND('Client Services &amp; Database Mgr'!C24,"AAAAAD/W/rk=")</f>
        <v>#VALUE!</v>
      </c>
      <c r="GE122" t="e">
        <f>AND('Client Services &amp; Database Mgr'!D24,"AAAAAD/W/ro=")</f>
        <v>#VALUE!</v>
      </c>
      <c r="GF122" t="e">
        <f>AND('Client Services &amp; Database Mgr'!E24,"AAAAAD/W/rs=")</f>
        <v>#VALUE!</v>
      </c>
      <c r="GG122" t="e">
        <f>AND('Client Services &amp; Database Mgr'!F24,"AAAAAD/W/rw=")</f>
        <v>#VALUE!</v>
      </c>
      <c r="GH122" t="e">
        <f>AND('Client Services &amp; Database Mgr'!G24,"AAAAAD/W/r0=")</f>
        <v>#VALUE!</v>
      </c>
      <c r="GI122" t="e">
        <f>AND('Client Services &amp; Database Mgr'!H24,"AAAAAD/W/r4=")</f>
        <v>#VALUE!</v>
      </c>
      <c r="GJ122" t="e">
        <f>AND('Client Services &amp; Database Mgr'!I24,"AAAAAD/W/r8=")</f>
        <v>#VALUE!</v>
      </c>
      <c r="GK122" t="e">
        <f>AND('Client Services &amp; Database Mgr'!J24,"AAAAAD/W/sA=")</f>
        <v>#VALUE!</v>
      </c>
      <c r="GL122" t="e">
        <f>AND('Client Services &amp; Database Mgr'!K24,"AAAAAD/W/sE=")</f>
        <v>#VALUE!</v>
      </c>
      <c r="GM122" t="e">
        <f>AND('Client Services &amp; Database Mgr'!L24,"AAAAAD/W/sI=")</f>
        <v>#VALUE!</v>
      </c>
      <c r="GN122" t="e">
        <f>AND('Client Services &amp; Database Mgr'!M24,"AAAAAD/W/sM=")</f>
        <v>#VALUE!</v>
      </c>
      <c r="GO122" t="e">
        <f>IF('Client Services &amp; Database Mgr'!#REF!,"AAAAAD/W/sQ=",0)</f>
        <v>#REF!</v>
      </c>
      <c r="GP122" t="e">
        <f>AND('Client Services &amp; Database Mgr'!#REF!,"AAAAAD/W/sU=")</f>
        <v>#REF!</v>
      </c>
      <c r="GQ122" t="e">
        <f>AND('Client Services &amp; Database Mgr'!#REF!,"AAAAAD/W/sY=")</f>
        <v>#REF!</v>
      </c>
      <c r="GR122" t="e">
        <f>AND('Client Services &amp; Database Mgr'!#REF!,"AAAAAD/W/sc=")</f>
        <v>#REF!</v>
      </c>
      <c r="GS122" t="e">
        <f>AND('Client Services &amp; Database Mgr'!#REF!,"AAAAAD/W/sg=")</f>
        <v>#REF!</v>
      </c>
      <c r="GT122" t="e">
        <f>AND('Client Services &amp; Database Mgr'!#REF!,"AAAAAD/W/sk=")</f>
        <v>#REF!</v>
      </c>
      <c r="GU122" t="e">
        <f>AND('Client Services &amp; Database Mgr'!#REF!,"AAAAAD/W/so=")</f>
        <v>#REF!</v>
      </c>
      <c r="GV122" t="e">
        <f>AND('Client Services &amp; Database Mgr'!#REF!,"AAAAAD/W/ss=")</f>
        <v>#REF!</v>
      </c>
      <c r="GW122" t="e">
        <f>AND('Client Services &amp; Database Mgr'!#REF!,"AAAAAD/W/sw=")</f>
        <v>#REF!</v>
      </c>
      <c r="GX122" t="e">
        <f>AND('Client Services &amp; Database Mgr'!#REF!,"AAAAAD/W/s0=")</f>
        <v>#REF!</v>
      </c>
      <c r="GY122" t="e">
        <f>AND('Client Services &amp; Database Mgr'!#REF!,"AAAAAD/W/s4=")</f>
        <v>#REF!</v>
      </c>
      <c r="GZ122" t="e">
        <f>AND('Client Services &amp; Database Mgr'!#REF!,"AAAAAD/W/s8=")</f>
        <v>#REF!</v>
      </c>
      <c r="HA122" t="e">
        <f>AND('Client Services &amp; Database Mgr'!#REF!,"AAAAAD/W/tA=")</f>
        <v>#REF!</v>
      </c>
      <c r="HB122" t="e">
        <f>AND('Client Services &amp; Database Mgr'!#REF!,"AAAAAD/W/tE=")</f>
        <v>#REF!</v>
      </c>
      <c r="HC122">
        <f>IF('Client Services &amp; Database Mgr'!25:25,"AAAAAD/W/tI=",0)</f>
        <v>0</v>
      </c>
      <c r="HD122" t="e">
        <f>AND('Client Services &amp; Database Mgr'!#REF!,"AAAAAD/W/tM=")</f>
        <v>#REF!</v>
      </c>
      <c r="HE122" t="e">
        <f>AND('Client Services &amp; Database Mgr'!A25,"AAAAAD/W/tQ=")</f>
        <v>#VALUE!</v>
      </c>
      <c r="HF122" t="e">
        <f>AND('Client Services &amp; Database Mgr'!B25,"AAAAAD/W/tU=")</f>
        <v>#VALUE!</v>
      </c>
      <c r="HG122" t="e">
        <f>AND('Client Services &amp; Database Mgr'!C25,"AAAAAD/W/tY=")</f>
        <v>#VALUE!</v>
      </c>
      <c r="HH122" t="e">
        <f>AND('Client Services &amp; Database Mgr'!D25,"AAAAAD/W/tc=")</f>
        <v>#VALUE!</v>
      </c>
      <c r="HI122" t="e">
        <f>AND('Client Services &amp; Database Mgr'!E25,"AAAAAD/W/tg=")</f>
        <v>#VALUE!</v>
      </c>
      <c r="HJ122" t="e">
        <f>AND('Client Services &amp; Database Mgr'!F25,"AAAAAD/W/tk=")</f>
        <v>#VALUE!</v>
      </c>
      <c r="HK122" t="e">
        <f>AND('Client Services &amp; Database Mgr'!G25,"AAAAAD/W/to=")</f>
        <v>#VALUE!</v>
      </c>
      <c r="HL122" t="e">
        <f>AND('Client Services &amp; Database Mgr'!H25,"AAAAAD/W/ts=")</f>
        <v>#VALUE!</v>
      </c>
      <c r="HM122" t="e">
        <f>AND('Client Services &amp; Database Mgr'!I25,"AAAAAD/W/tw=")</f>
        <v>#VALUE!</v>
      </c>
      <c r="HN122" t="e">
        <f>AND('Client Services &amp; Database Mgr'!J25,"AAAAAD/W/t0=")</f>
        <v>#VALUE!</v>
      </c>
      <c r="HO122" t="e">
        <f>AND('Client Services &amp; Database Mgr'!K25,"AAAAAD/W/t4=")</f>
        <v>#VALUE!</v>
      </c>
      <c r="HP122" t="e">
        <f>AND('Client Services &amp; Database Mgr'!L25,"AAAAAD/W/t8=")</f>
        <v>#VALUE!</v>
      </c>
      <c r="HQ122">
        <f>IF('Client Services &amp; Database Mgr'!26:26,"AAAAAD/W/uA=",0)</f>
        <v>0</v>
      </c>
      <c r="HR122" t="e">
        <f>AND('Client Services &amp; Database Mgr'!#REF!,"AAAAAD/W/uE=")</f>
        <v>#REF!</v>
      </c>
      <c r="HS122" t="e">
        <f>AND('Client Services &amp; Database Mgr'!A26,"AAAAAD/W/uI=")</f>
        <v>#VALUE!</v>
      </c>
      <c r="HT122" t="e">
        <f>AND('Client Services &amp; Database Mgr'!B26,"AAAAAD/W/uM=")</f>
        <v>#VALUE!</v>
      </c>
      <c r="HU122" t="e">
        <f>AND('Client Services &amp; Database Mgr'!C26,"AAAAAD/W/uQ=")</f>
        <v>#VALUE!</v>
      </c>
      <c r="HV122" t="e">
        <f>AND('Client Services &amp; Database Mgr'!D26,"AAAAAD/W/uU=")</f>
        <v>#VALUE!</v>
      </c>
      <c r="HW122" t="e">
        <f>AND('Client Services &amp; Database Mgr'!E26,"AAAAAD/W/uY=")</f>
        <v>#VALUE!</v>
      </c>
      <c r="HX122" t="e">
        <f>AND('Client Services &amp; Database Mgr'!F26,"AAAAAD/W/uc=")</f>
        <v>#VALUE!</v>
      </c>
      <c r="HY122" t="e">
        <f>AND('Client Services &amp; Database Mgr'!G26,"AAAAAD/W/ug=")</f>
        <v>#VALUE!</v>
      </c>
      <c r="HZ122" t="e">
        <f>AND('Client Services &amp; Database Mgr'!H26,"AAAAAD/W/uk=")</f>
        <v>#VALUE!</v>
      </c>
      <c r="IA122" t="e">
        <f>AND('Client Services &amp; Database Mgr'!I26,"AAAAAD/W/uo=")</f>
        <v>#VALUE!</v>
      </c>
      <c r="IB122" t="e">
        <f>AND('Client Services &amp; Database Mgr'!J26,"AAAAAD/W/us=")</f>
        <v>#VALUE!</v>
      </c>
      <c r="IC122" t="e">
        <f>AND('Client Services &amp; Database Mgr'!K26,"AAAAAD/W/uw=")</f>
        <v>#VALUE!</v>
      </c>
      <c r="ID122" t="e">
        <f>AND('Client Services &amp; Database Mgr'!L26,"AAAAAD/W/u0=")</f>
        <v>#VALUE!</v>
      </c>
      <c r="IE122">
        <f>IF('Client Services &amp; Database Mgr'!28:28,"AAAAAD/W/u4=",0)</f>
        <v>0</v>
      </c>
      <c r="IF122" t="e">
        <f>AND('Client Services &amp; Database Mgr'!#REF!,"AAAAAD/W/u8=")</f>
        <v>#REF!</v>
      </c>
      <c r="IG122" t="e">
        <f>AND('Client Services &amp; Database Mgr'!A28,"AAAAAD/W/vA=")</f>
        <v>#VALUE!</v>
      </c>
      <c r="IH122" t="e">
        <f>AND('Client Services &amp; Database Mgr'!B28,"AAAAAD/W/vE=")</f>
        <v>#VALUE!</v>
      </c>
      <c r="II122" t="e">
        <f>AND('Client Services &amp; Database Mgr'!C28,"AAAAAD/W/vI=")</f>
        <v>#VALUE!</v>
      </c>
      <c r="IJ122" t="e">
        <f>AND('Client Services &amp; Database Mgr'!D28,"AAAAAD/W/vM=")</f>
        <v>#VALUE!</v>
      </c>
      <c r="IK122" t="e">
        <f>AND('Client Services &amp; Database Mgr'!E28,"AAAAAD/W/vQ=")</f>
        <v>#VALUE!</v>
      </c>
      <c r="IL122" t="e">
        <f>AND('Client Services &amp; Database Mgr'!F28,"AAAAAD/W/vU=")</f>
        <v>#VALUE!</v>
      </c>
      <c r="IM122" t="e">
        <f>AND('Client Services &amp; Database Mgr'!G28,"AAAAAD/W/vY=")</f>
        <v>#VALUE!</v>
      </c>
      <c r="IN122" t="e">
        <f>AND('Client Services &amp; Database Mgr'!H28,"AAAAAD/W/vc=")</f>
        <v>#VALUE!</v>
      </c>
      <c r="IO122" t="e">
        <f>AND('Client Services &amp; Database Mgr'!I28,"AAAAAD/W/vg=")</f>
        <v>#VALUE!</v>
      </c>
      <c r="IP122" t="e">
        <f>AND('Client Services &amp; Database Mgr'!J28,"AAAAAD/W/vk=")</f>
        <v>#VALUE!</v>
      </c>
      <c r="IQ122" t="e">
        <f>AND('Client Services &amp; Database Mgr'!K28,"AAAAAD/W/vo=")</f>
        <v>#VALUE!</v>
      </c>
      <c r="IR122" t="e">
        <f>AND('Client Services &amp; Database Mgr'!L28,"AAAAAD/W/vs=")</f>
        <v>#VALUE!</v>
      </c>
      <c r="IS122">
        <f>IF('Client Services &amp; Database Mgr'!29:29,"AAAAAD/W/vw=",0)</f>
        <v>0</v>
      </c>
      <c r="IT122" t="e">
        <f>AND('Client Services &amp; Database Mgr'!#REF!,"AAAAAD/W/v0=")</f>
        <v>#REF!</v>
      </c>
      <c r="IU122" t="e">
        <f>AND('Client Services &amp; Database Mgr'!A29,"AAAAAD/W/v4=")</f>
        <v>#VALUE!</v>
      </c>
      <c r="IV122" t="e">
        <f>AND('Client Services &amp; Database Mgr'!B29,"AAAAAD/W/v8=")</f>
        <v>#VALUE!</v>
      </c>
    </row>
    <row r="123" spans="1:256" x14ac:dyDescent="0.2">
      <c r="A123" t="e">
        <f>AND('Client Services &amp; Database Mgr'!C29,"AAAAAG37/wA=")</f>
        <v>#VALUE!</v>
      </c>
      <c r="B123" t="e">
        <f>AND('Client Services &amp; Database Mgr'!D29,"AAAAAG37/wE=")</f>
        <v>#VALUE!</v>
      </c>
      <c r="C123" t="e">
        <f>AND('Client Services &amp; Database Mgr'!E29,"AAAAAG37/wI=")</f>
        <v>#VALUE!</v>
      </c>
      <c r="D123" t="e">
        <f>AND('Client Services &amp; Database Mgr'!F29,"AAAAAG37/wM=")</f>
        <v>#VALUE!</v>
      </c>
      <c r="E123" t="e">
        <f>AND('Client Services &amp; Database Mgr'!G29,"AAAAAG37/wQ=")</f>
        <v>#VALUE!</v>
      </c>
      <c r="F123" t="e">
        <f>AND('Client Services &amp; Database Mgr'!H29,"AAAAAG37/wU=")</f>
        <v>#VALUE!</v>
      </c>
      <c r="G123" t="e">
        <f>AND('Client Services &amp; Database Mgr'!I29,"AAAAAG37/wY=")</f>
        <v>#VALUE!</v>
      </c>
      <c r="H123" t="e">
        <f>AND('Client Services &amp; Database Mgr'!J29,"AAAAAG37/wc=")</f>
        <v>#VALUE!</v>
      </c>
      <c r="I123" t="e">
        <f>AND('Client Services &amp; Database Mgr'!K29,"AAAAAG37/wg=")</f>
        <v>#VALUE!</v>
      </c>
      <c r="J123" t="e">
        <f>AND('Client Services &amp; Database Mgr'!L29,"AAAAAG37/wk=")</f>
        <v>#VALUE!</v>
      </c>
      <c r="K123">
        <f>IF('Client Services &amp; Database Mgr'!37:37,"AAAAAG37/wo=",0)</f>
        <v>0</v>
      </c>
      <c r="L123" t="e">
        <f>AND('Client Services &amp; Database Mgr'!#REF!,"AAAAAG37/ws=")</f>
        <v>#REF!</v>
      </c>
      <c r="M123" t="e">
        <f>AND('Client Services &amp; Database Mgr'!A37,"AAAAAG37/ww=")</f>
        <v>#VALUE!</v>
      </c>
      <c r="N123" t="e">
        <f>AND('Client Services &amp; Database Mgr'!B37,"AAAAAG37/w0=")</f>
        <v>#VALUE!</v>
      </c>
      <c r="O123" t="e">
        <f>AND('Client Services &amp; Database Mgr'!C37,"AAAAAG37/w4=")</f>
        <v>#VALUE!</v>
      </c>
      <c r="P123" t="e">
        <f>AND('Client Services &amp; Database Mgr'!D37,"AAAAAG37/w8=")</f>
        <v>#VALUE!</v>
      </c>
      <c r="Q123" t="e">
        <f>AND('Client Services &amp; Database Mgr'!E37,"AAAAAG37/xA=")</f>
        <v>#VALUE!</v>
      </c>
      <c r="R123" t="e">
        <f>AND('Client Services &amp; Database Mgr'!F37,"AAAAAG37/xE=")</f>
        <v>#VALUE!</v>
      </c>
      <c r="S123" t="e">
        <f>AND('Client Services &amp; Database Mgr'!G37,"AAAAAG37/xI=")</f>
        <v>#VALUE!</v>
      </c>
      <c r="T123" t="e">
        <f>AND('Client Services &amp; Database Mgr'!H37,"AAAAAG37/xM=")</f>
        <v>#VALUE!</v>
      </c>
      <c r="U123" t="e">
        <f>AND('Client Services &amp; Database Mgr'!I37,"AAAAAG37/xQ=")</f>
        <v>#VALUE!</v>
      </c>
      <c r="V123" t="e">
        <f>AND('Client Services &amp; Database Mgr'!J37,"AAAAAG37/xU=")</f>
        <v>#VALUE!</v>
      </c>
      <c r="W123" t="e">
        <f>AND('Client Services &amp; Database Mgr'!K37,"AAAAAG37/xY=")</f>
        <v>#VALUE!</v>
      </c>
      <c r="X123" t="e">
        <f>AND('Client Services &amp; Database Mgr'!L37,"AAAAAG37/xc=")</f>
        <v>#VALUE!</v>
      </c>
      <c r="Y123">
        <f>IF('Client Services &amp; Database Mgr'!30:30,"AAAAAG37/xg=",0)</f>
        <v>0</v>
      </c>
      <c r="Z123" t="e">
        <f>AND('Client Services &amp; Database Mgr'!#REF!,"AAAAAG37/xk=")</f>
        <v>#REF!</v>
      </c>
      <c r="AA123" t="e">
        <f>AND('Client Services &amp; Database Mgr'!A30,"AAAAAG37/xo=")</f>
        <v>#VALUE!</v>
      </c>
      <c r="AB123" t="e">
        <f>AND('Client Services &amp; Database Mgr'!B30,"AAAAAG37/xs=")</f>
        <v>#VALUE!</v>
      </c>
      <c r="AC123" t="e">
        <f>AND('Client Services &amp; Database Mgr'!C30,"AAAAAG37/xw=")</f>
        <v>#VALUE!</v>
      </c>
      <c r="AD123" t="e">
        <f>AND('Client Services &amp; Database Mgr'!D30,"AAAAAG37/x0=")</f>
        <v>#VALUE!</v>
      </c>
      <c r="AE123" t="e">
        <f>AND('Client Services &amp; Database Mgr'!E30,"AAAAAG37/x4=")</f>
        <v>#VALUE!</v>
      </c>
      <c r="AF123" t="e">
        <f>AND('Client Services &amp; Database Mgr'!F30,"AAAAAG37/x8=")</f>
        <v>#VALUE!</v>
      </c>
      <c r="AG123" t="e">
        <f>AND('Client Services &amp; Database Mgr'!G30,"AAAAAG37/yA=")</f>
        <v>#VALUE!</v>
      </c>
      <c r="AH123" t="e">
        <f>AND('Client Services &amp; Database Mgr'!H30,"AAAAAG37/yE=")</f>
        <v>#VALUE!</v>
      </c>
      <c r="AI123" t="e">
        <f>AND('Client Services &amp; Database Mgr'!I30,"AAAAAG37/yI=")</f>
        <v>#VALUE!</v>
      </c>
      <c r="AJ123" t="e">
        <f>AND('Client Services &amp; Database Mgr'!J30,"AAAAAG37/yM=")</f>
        <v>#VALUE!</v>
      </c>
      <c r="AK123" t="e">
        <f>AND('Client Services &amp; Database Mgr'!K30,"AAAAAG37/yQ=")</f>
        <v>#VALUE!</v>
      </c>
      <c r="AL123" t="e">
        <f>AND('Client Services &amp; Database Mgr'!L30,"AAAAAG37/yU=")</f>
        <v>#VALUE!</v>
      </c>
      <c r="AM123">
        <f>IF('Client Services &amp; Database Mgr'!33:33,"AAAAAG37/yY=",0)</f>
        <v>0</v>
      </c>
      <c r="AN123" t="e">
        <f>AND('Client Services &amp; Database Mgr'!#REF!,"AAAAAG37/yc=")</f>
        <v>#REF!</v>
      </c>
      <c r="AO123" t="e">
        <f>AND('Client Services &amp; Database Mgr'!A33,"AAAAAG37/yg=")</f>
        <v>#VALUE!</v>
      </c>
      <c r="AP123" t="e">
        <f>AND('Client Services &amp; Database Mgr'!B33,"AAAAAG37/yk=")</f>
        <v>#VALUE!</v>
      </c>
      <c r="AQ123" t="e">
        <f>AND('Client Services &amp; Database Mgr'!C33,"AAAAAG37/yo=")</f>
        <v>#VALUE!</v>
      </c>
      <c r="AR123" t="e">
        <f>AND('Client Services &amp; Database Mgr'!D33,"AAAAAG37/ys=")</f>
        <v>#VALUE!</v>
      </c>
      <c r="AS123" t="e">
        <f>AND('Client Services &amp; Database Mgr'!E33,"AAAAAG37/yw=")</f>
        <v>#VALUE!</v>
      </c>
      <c r="AT123" t="e">
        <f>AND('Client Services &amp; Database Mgr'!F33,"AAAAAG37/y0=")</f>
        <v>#VALUE!</v>
      </c>
      <c r="AU123" t="e">
        <f>AND('Client Services &amp; Database Mgr'!G33,"AAAAAG37/y4=")</f>
        <v>#VALUE!</v>
      </c>
      <c r="AV123" t="e">
        <f>AND('Client Services &amp; Database Mgr'!H33,"AAAAAG37/y8=")</f>
        <v>#VALUE!</v>
      </c>
      <c r="AW123" t="e">
        <f>AND('Client Services &amp; Database Mgr'!I33,"AAAAAG37/zA=")</f>
        <v>#VALUE!</v>
      </c>
      <c r="AX123" t="e">
        <f>AND('Client Services &amp; Database Mgr'!J33,"AAAAAG37/zE=")</f>
        <v>#VALUE!</v>
      </c>
      <c r="AY123" t="e">
        <f>AND('Client Services &amp; Database Mgr'!K33,"AAAAAG37/zI=")</f>
        <v>#VALUE!</v>
      </c>
      <c r="AZ123" t="e">
        <f>AND('Client Services &amp; Database Mgr'!L33,"AAAAAG37/zM=")</f>
        <v>#VALUE!</v>
      </c>
      <c r="BA123">
        <f>IF('Client Services &amp; Database Mgr'!32:32,"AAAAAG37/zQ=",0)</f>
        <v>0</v>
      </c>
      <c r="BB123" t="e">
        <f>AND('Client Services &amp; Database Mgr'!#REF!,"AAAAAG37/zU=")</f>
        <v>#REF!</v>
      </c>
      <c r="BC123" t="e">
        <f>AND('Client Services &amp; Database Mgr'!A32,"AAAAAG37/zY=")</f>
        <v>#VALUE!</v>
      </c>
      <c r="BD123" t="e">
        <f>AND('Client Services &amp; Database Mgr'!B32,"AAAAAG37/zc=")</f>
        <v>#VALUE!</v>
      </c>
      <c r="BE123" t="e">
        <f>AND('Client Services &amp; Database Mgr'!C32,"AAAAAG37/zg=")</f>
        <v>#VALUE!</v>
      </c>
      <c r="BF123" t="e">
        <f>AND('Client Services &amp; Database Mgr'!D32,"AAAAAG37/zk=")</f>
        <v>#VALUE!</v>
      </c>
      <c r="BG123" t="e">
        <f>AND('Client Services &amp; Database Mgr'!E32,"AAAAAG37/zo=")</f>
        <v>#VALUE!</v>
      </c>
      <c r="BH123" t="e">
        <f>AND('Client Services &amp; Database Mgr'!F32,"AAAAAG37/zs=")</f>
        <v>#VALUE!</v>
      </c>
      <c r="BI123" t="e">
        <f>AND('Client Services &amp; Database Mgr'!G32,"AAAAAG37/zw=")</f>
        <v>#VALUE!</v>
      </c>
      <c r="BJ123" t="e">
        <f>AND('Client Services &amp; Database Mgr'!H32,"AAAAAG37/z0=")</f>
        <v>#VALUE!</v>
      </c>
      <c r="BK123" t="e">
        <f>AND('Client Services &amp; Database Mgr'!I32,"AAAAAG37/z4=")</f>
        <v>#VALUE!</v>
      </c>
      <c r="BL123" t="e">
        <f>AND('Client Services &amp; Database Mgr'!J32,"AAAAAG37/z8=")</f>
        <v>#VALUE!</v>
      </c>
      <c r="BM123" t="e">
        <f>AND('Client Services &amp; Database Mgr'!K32,"AAAAAG37/0A=")</f>
        <v>#VALUE!</v>
      </c>
      <c r="BN123" t="e">
        <f>AND('Client Services &amp; Database Mgr'!L32,"AAAAAG37/0E=")</f>
        <v>#VALUE!</v>
      </c>
      <c r="BO123">
        <f>IF('Client Services &amp; Database Mgr'!39:39,"AAAAAG37/0I=",0)</f>
        <v>0</v>
      </c>
      <c r="BP123" t="e">
        <f>AND('Client Services &amp; Database Mgr'!#REF!,"AAAAAG37/0M=")</f>
        <v>#REF!</v>
      </c>
      <c r="BQ123" t="e">
        <f>AND('Client Services &amp; Database Mgr'!A39,"AAAAAG37/0Q=")</f>
        <v>#VALUE!</v>
      </c>
      <c r="BR123" t="e">
        <f>AND('Client Services &amp; Database Mgr'!B39,"AAAAAG37/0U=")</f>
        <v>#VALUE!</v>
      </c>
      <c r="BS123" t="e">
        <f>AND('Client Services &amp; Database Mgr'!C39,"AAAAAG37/0Y=")</f>
        <v>#VALUE!</v>
      </c>
      <c r="BT123" t="e">
        <f>AND('Client Services &amp; Database Mgr'!D39,"AAAAAG37/0c=")</f>
        <v>#VALUE!</v>
      </c>
      <c r="BU123" t="e">
        <f>AND('Client Services &amp; Database Mgr'!E39,"AAAAAG37/0g=")</f>
        <v>#VALUE!</v>
      </c>
      <c r="BV123" t="e">
        <f>AND('Client Services &amp; Database Mgr'!F39,"AAAAAG37/0k=")</f>
        <v>#VALUE!</v>
      </c>
      <c r="BW123" t="e">
        <f>AND('Client Services &amp; Database Mgr'!G39,"AAAAAG37/0o=")</f>
        <v>#VALUE!</v>
      </c>
      <c r="BX123" t="e">
        <f>AND('Client Services &amp; Database Mgr'!H39,"AAAAAG37/0s=")</f>
        <v>#VALUE!</v>
      </c>
      <c r="BY123" t="e">
        <f>AND('Client Services &amp; Database Mgr'!I39,"AAAAAG37/0w=")</f>
        <v>#VALUE!</v>
      </c>
      <c r="BZ123" t="e">
        <f>AND('Client Services &amp; Database Mgr'!J39,"AAAAAG37/00=")</f>
        <v>#VALUE!</v>
      </c>
      <c r="CA123" t="e">
        <f>AND('Client Services &amp; Database Mgr'!K39,"AAAAAG37/04=")</f>
        <v>#VALUE!</v>
      </c>
      <c r="CB123" t="e">
        <f>AND('Client Services &amp; Database Mgr'!L39,"AAAAAG37/08=")</f>
        <v>#VALUE!</v>
      </c>
      <c r="CC123">
        <f>IF('Client Services &amp; Database Mgr'!27:27,"AAAAAG37/1A=",0)</f>
        <v>0</v>
      </c>
      <c r="CD123" t="e">
        <f>AND('Client Services &amp; Database Mgr'!#REF!,"AAAAAG37/1E=")</f>
        <v>#REF!</v>
      </c>
      <c r="CE123" t="e">
        <f>AND('Client Services &amp; Database Mgr'!A27,"AAAAAG37/1I=")</f>
        <v>#VALUE!</v>
      </c>
      <c r="CF123" t="e">
        <f>AND('Client Services &amp; Database Mgr'!B27,"AAAAAG37/1M=")</f>
        <v>#VALUE!</v>
      </c>
      <c r="CG123" t="e">
        <f>AND('Client Services &amp; Database Mgr'!C27,"AAAAAG37/1Q=")</f>
        <v>#VALUE!</v>
      </c>
      <c r="CH123" t="e">
        <f>AND('Client Services &amp; Database Mgr'!D27,"AAAAAG37/1U=")</f>
        <v>#VALUE!</v>
      </c>
      <c r="CI123" t="e">
        <f>AND('Client Services &amp; Database Mgr'!E27,"AAAAAG37/1Y=")</f>
        <v>#VALUE!</v>
      </c>
      <c r="CJ123" t="e">
        <f>AND('Client Services &amp; Database Mgr'!F27,"AAAAAG37/1c=")</f>
        <v>#VALUE!</v>
      </c>
      <c r="CK123" t="e">
        <f>AND('Client Services &amp; Database Mgr'!G27,"AAAAAG37/1g=")</f>
        <v>#VALUE!</v>
      </c>
      <c r="CL123" t="e">
        <f>AND('Client Services &amp; Database Mgr'!H27,"AAAAAG37/1k=")</f>
        <v>#VALUE!</v>
      </c>
      <c r="CM123" t="e">
        <f>AND('Client Services &amp; Database Mgr'!I27,"AAAAAG37/1o=")</f>
        <v>#VALUE!</v>
      </c>
      <c r="CN123" t="e">
        <f>AND('Client Services &amp; Database Mgr'!J27,"AAAAAG37/1s=")</f>
        <v>#VALUE!</v>
      </c>
      <c r="CO123" t="e">
        <f>AND('Client Services &amp; Database Mgr'!K27,"AAAAAG37/1w=")</f>
        <v>#VALUE!</v>
      </c>
      <c r="CP123" t="e">
        <f>AND('Client Services &amp; Database Mgr'!L27,"AAAAAG37/10=")</f>
        <v>#VALUE!</v>
      </c>
      <c r="CQ123">
        <f>IF('Client Services &amp; Database Mgr'!31:31,"AAAAAG37/14=",0)</f>
        <v>0</v>
      </c>
      <c r="CR123" t="e">
        <f>AND('Client Services &amp; Database Mgr'!#REF!,"AAAAAG37/18=")</f>
        <v>#REF!</v>
      </c>
      <c r="CS123" t="e">
        <f>AND('Client Services &amp; Database Mgr'!A31,"AAAAAG37/2A=")</f>
        <v>#VALUE!</v>
      </c>
      <c r="CT123" t="e">
        <f>AND('Client Services &amp; Database Mgr'!B31,"AAAAAG37/2E=")</f>
        <v>#VALUE!</v>
      </c>
      <c r="CU123" t="e">
        <f>AND('Client Services &amp; Database Mgr'!C31,"AAAAAG37/2I=")</f>
        <v>#VALUE!</v>
      </c>
      <c r="CV123" t="e">
        <f>AND('Client Services &amp; Database Mgr'!D31,"AAAAAG37/2M=")</f>
        <v>#VALUE!</v>
      </c>
      <c r="CW123" t="e">
        <f>AND('Client Services &amp; Database Mgr'!E31,"AAAAAG37/2Q=")</f>
        <v>#VALUE!</v>
      </c>
      <c r="CX123" t="e">
        <f>AND('Client Services &amp; Database Mgr'!F31,"AAAAAG37/2U=")</f>
        <v>#VALUE!</v>
      </c>
      <c r="CY123" t="e">
        <f>AND('Client Services &amp; Database Mgr'!G31,"AAAAAG37/2Y=")</f>
        <v>#VALUE!</v>
      </c>
      <c r="CZ123" t="e">
        <f>AND('Client Services &amp; Database Mgr'!H31,"AAAAAG37/2c=")</f>
        <v>#VALUE!</v>
      </c>
      <c r="DA123" t="e">
        <f>AND('Client Services &amp; Database Mgr'!I31,"AAAAAG37/2g=")</f>
        <v>#VALUE!</v>
      </c>
      <c r="DB123" t="e">
        <f>AND('Client Services &amp; Database Mgr'!J31,"AAAAAG37/2k=")</f>
        <v>#VALUE!</v>
      </c>
      <c r="DC123" t="e">
        <f>AND('Client Services &amp; Database Mgr'!K31,"AAAAAG37/2o=")</f>
        <v>#VALUE!</v>
      </c>
      <c r="DD123" t="e">
        <f>AND('Client Services &amp; Database Mgr'!L31,"AAAAAG37/2s=")</f>
        <v>#VALUE!</v>
      </c>
      <c r="DE123">
        <f>IF('Client Services &amp; Database Mgr'!40:40,"AAAAAG37/2w=",0)</f>
        <v>0</v>
      </c>
      <c r="DF123" t="e">
        <f>AND('Client Services &amp; Database Mgr'!#REF!,"AAAAAG37/20=")</f>
        <v>#REF!</v>
      </c>
      <c r="DG123" t="e">
        <f>AND('Client Services &amp; Database Mgr'!A40,"AAAAAG37/24=")</f>
        <v>#VALUE!</v>
      </c>
      <c r="DH123" t="e">
        <f>AND('Client Services &amp; Database Mgr'!B40,"AAAAAG37/28=")</f>
        <v>#VALUE!</v>
      </c>
      <c r="DI123" t="e">
        <f>AND('Client Services &amp; Database Mgr'!C40,"AAAAAG37/3A=")</f>
        <v>#VALUE!</v>
      </c>
      <c r="DJ123" t="e">
        <f>AND('Client Services &amp; Database Mgr'!D40,"AAAAAG37/3E=")</f>
        <v>#VALUE!</v>
      </c>
      <c r="DK123" t="e">
        <f>AND('Client Services &amp; Database Mgr'!E40,"AAAAAG37/3I=")</f>
        <v>#VALUE!</v>
      </c>
      <c r="DL123" t="e">
        <f>AND('Client Services &amp; Database Mgr'!F40,"AAAAAG37/3M=")</f>
        <v>#VALUE!</v>
      </c>
      <c r="DM123" t="e">
        <f>AND('Client Services &amp; Database Mgr'!G40,"AAAAAG37/3Q=")</f>
        <v>#VALUE!</v>
      </c>
      <c r="DN123" t="e">
        <f>AND('Client Services &amp; Database Mgr'!H40,"AAAAAG37/3U=")</f>
        <v>#VALUE!</v>
      </c>
      <c r="DO123" t="e">
        <f>AND('Client Services &amp; Database Mgr'!I40,"AAAAAG37/3Y=")</f>
        <v>#VALUE!</v>
      </c>
      <c r="DP123" t="e">
        <f>AND('Client Services &amp; Database Mgr'!J40,"AAAAAG37/3c=")</f>
        <v>#VALUE!</v>
      </c>
      <c r="DQ123" t="e">
        <f>AND('Client Services &amp; Database Mgr'!K40,"AAAAAG37/3g=")</f>
        <v>#VALUE!</v>
      </c>
      <c r="DR123" t="e">
        <f>AND('Client Services &amp; Database Mgr'!L40,"AAAAAG37/3k=")</f>
        <v>#VALUE!</v>
      </c>
      <c r="DS123">
        <f>IF('Client Services &amp; Database Mgr'!41:41,"AAAAAG37/3o=",0)</f>
        <v>0</v>
      </c>
      <c r="DT123" t="e">
        <f>AND('Client Services &amp; Database Mgr'!#REF!,"AAAAAG37/3s=")</f>
        <v>#REF!</v>
      </c>
      <c r="DU123" t="e">
        <f>AND('Client Services &amp; Database Mgr'!A41,"AAAAAG37/3w=")</f>
        <v>#VALUE!</v>
      </c>
      <c r="DV123" t="e">
        <f>AND('Client Services &amp; Database Mgr'!B41,"AAAAAG37/30=")</f>
        <v>#VALUE!</v>
      </c>
      <c r="DW123" t="e">
        <f>AND('Client Services &amp; Database Mgr'!C41,"AAAAAG37/34=")</f>
        <v>#VALUE!</v>
      </c>
      <c r="DX123" t="e">
        <f>AND('Client Services &amp; Database Mgr'!D41,"AAAAAG37/38=")</f>
        <v>#VALUE!</v>
      </c>
      <c r="DY123" t="e">
        <f>AND('Client Services &amp; Database Mgr'!E41,"AAAAAG37/4A=")</f>
        <v>#VALUE!</v>
      </c>
      <c r="DZ123" t="e">
        <f>AND('Client Services &amp; Database Mgr'!F41,"AAAAAG37/4E=")</f>
        <v>#VALUE!</v>
      </c>
      <c r="EA123" t="e">
        <f>AND('Client Services &amp; Database Mgr'!G41,"AAAAAG37/4I=")</f>
        <v>#VALUE!</v>
      </c>
      <c r="EB123" t="e">
        <f>AND('Client Services &amp; Database Mgr'!H41,"AAAAAG37/4M=")</f>
        <v>#VALUE!</v>
      </c>
      <c r="EC123" t="e">
        <f>AND('Client Services &amp; Database Mgr'!I41,"AAAAAG37/4Q=")</f>
        <v>#VALUE!</v>
      </c>
      <c r="ED123" t="e">
        <f>AND('Client Services &amp; Database Mgr'!J41,"AAAAAG37/4U=")</f>
        <v>#VALUE!</v>
      </c>
      <c r="EE123" t="e">
        <f>AND('Client Services &amp; Database Mgr'!K41,"AAAAAG37/4Y=")</f>
        <v>#VALUE!</v>
      </c>
      <c r="EF123" t="e">
        <f>AND('Client Services &amp; Database Mgr'!L41,"AAAAAG37/4c=")</f>
        <v>#VALUE!</v>
      </c>
      <c r="EG123">
        <f>IF('Client Services &amp; Database Mgr'!34:34,"AAAAAG37/4g=",0)</f>
        <v>0</v>
      </c>
      <c r="EH123" t="e">
        <f>AND('Client Services &amp; Database Mgr'!#REF!,"AAAAAG37/4k=")</f>
        <v>#REF!</v>
      </c>
      <c r="EI123" t="e">
        <f>AND('Client Services &amp; Database Mgr'!A34,"AAAAAG37/4o=")</f>
        <v>#VALUE!</v>
      </c>
      <c r="EJ123" t="e">
        <f>AND('Client Services &amp; Database Mgr'!B34,"AAAAAG37/4s=")</f>
        <v>#VALUE!</v>
      </c>
      <c r="EK123" t="e">
        <f>AND('Client Services &amp; Database Mgr'!C34,"AAAAAG37/4w=")</f>
        <v>#VALUE!</v>
      </c>
      <c r="EL123" t="e">
        <f>AND('Client Services &amp; Database Mgr'!D34,"AAAAAG37/40=")</f>
        <v>#VALUE!</v>
      </c>
      <c r="EM123" t="e">
        <f>AND('Client Services &amp; Database Mgr'!E34,"AAAAAG37/44=")</f>
        <v>#VALUE!</v>
      </c>
      <c r="EN123" t="e">
        <f>AND('Client Services &amp; Database Mgr'!F34,"AAAAAG37/48=")</f>
        <v>#VALUE!</v>
      </c>
      <c r="EO123" t="e">
        <f>AND('Client Services &amp; Database Mgr'!G34,"AAAAAG37/5A=")</f>
        <v>#VALUE!</v>
      </c>
      <c r="EP123" t="e">
        <f>AND('Client Services &amp; Database Mgr'!H34,"AAAAAG37/5E=")</f>
        <v>#VALUE!</v>
      </c>
      <c r="EQ123" t="e">
        <f>AND('Client Services &amp; Database Mgr'!I34,"AAAAAG37/5I=")</f>
        <v>#VALUE!</v>
      </c>
      <c r="ER123" t="e">
        <f>AND('Client Services &amp; Database Mgr'!J34,"AAAAAG37/5M=")</f>
        <v>#VALUE!</v>
      </c>
      <c r="ES123" t="e">
        <f>AND('Client Services &amp; Database Mgr'!K34,"AAAAAG37/5Q=")</f>
        <v>#VALUE!</v>
      </c>
      <c r="ET123" t="e">
        <f>AND('Client Services &amp; Database Mgr'!L34,"AAAAAG37/5U=")</f>
        <v>#VALUE!</v>
      </c>
      <c r="EU123" t="e">
        <f>IF('Client Services &amp; Database Mgr'!#REF!,"AAAAAG37/5Y=",0)</f>
        <v>#REF!</v>
      </c>
      <c r="EV123" t="e">
        <f>AND('Client Services &amp; Database Mgr'!#REF!,"AAAAAG37/5c=")</f>
        <v>#REF!</v>
      </c>
      <c r="EW123" t="e">
        <f>AND('Client Services &amp; Database Mgr'!#REF!,"AAAAAG37/5g=")</f>
        <v>#REF!</v>
      </c>
      <c r="EX123" t="e">
        <f>AND('Client Services &amp; Database Mgr'!#REF!,"AAAAAG37/5k=")</f>
        <v>#REF!</v>
      </c>
      <c r="EY123" t="e">
        <f>AND('Client Services &amp; Database Mgr'!#REF!,"AAAAAG37/5o=")</f>
        <v>#REF!</v>
      </c>
      <c r="EZ123" t="e">
        <f>AND('Client Services &amp; Database Mgr'!#REF!,"AAAAAG37/5s=")</f>
        <v>#REF!</v>
      </c>
      <c r="FA123" t="e">
        <f>AND('Client Services &amp; Database Mgr'!#REF!,"AAAAAG37/5w=")</f>
        <v>#REF!</v>
      </c>
      <c r="FB123" t="e">
        <f>AND('Client Services &amp; Database Mgr'!#REF!,"AAAAAG37/50=")</f>
        <v>#REF!</v>
      </c>
      <c r="FC123" t="e">
        <f>AND('Client Services &amp; Database Mgr'!#REF!,"AAAAAG37/54=")</f>
        <v>#REF!</v>
      </c>
      <c r="FD123" t="e">
        <f>AND('Client Services &amp; Database Mgr'!#REF!,"AAAAAG37/58=")</f>
        <v>#REF!</v>
      </c>
      <c r="FE123" t="e">
        <f>AND('Client Services &amp; Database Mgr'!#REF!,"AAAAAG37/6A=")</f>
        <v>#REF!</v>
      </c>
      <c r="FF123" t="e">
        <f>AND('Client Services &amp; Database Mgr'!#REF!,"AAAAAG37/6E=")</f>
        <v>#REF!</v>
      </c>
      <c r="FG123" t="e">
        <f>AND('Client Services &amp; Database Mgr'!#REF!,"AAAAAG37/6I=")</f>
        <v>#REF!</v>
      </c>
      <c r="FH123" t="e">
        <f>AND('Client Services &amp; Database Mgr'!#REF!,"AAAAAG37/6M=")</f>
        <v>#REF!</v>
      </c>
      <c r="FI123">
        <f>IF('Client Services &amp; Database Mgr'!42:42,"AAAAAG37/6Q=",0)</f>
        <v>0</v>
      </c>
      <c r="FJ123" t="e">
        <f>AND('Client Services &amp; Database Mgr'!A42,"AAAAAG37/6U=")</f>
        <v>#VALUE!</v>
      </c>
      <c r="FK123" t="e">
        <f>AND('Client Services &amp; Database Mgr'!B42,"AAAAAG37/6Y=")</f>
        <v>#VALUE!</v>
      </c>
      <c r="FL123" t="e">
        <f>AND('Client Services &amp; Database Mgr'!C42,"AAAAAG37/6c=")</f>
        <v>#VALUE!</v>
      </c>
      <c r="FM123" t="e">
        <f>AND('Client Services &amp; Database Mgr'!D42,"AAAAAG37/6g=")</f>
        <v>#VALUE!</v>
      </c>
      <c r="FN123" t="e">
        <f>AND('Client Services &amp; Database Mgr'!E42,"AAAAAG37/6k=")</f>
        <v>#VALUE!</v>
      </c>
      <c r="FO123" t="e">
        <f>AND('Client Services &amp; Database Mgr'!F42,"AAAAAG37/6o=")</f>
        <v>#VALUE!</v>
      </c>
      <c r="FP123" t="e">
        <f>AND('Client Services &amp; Database Mgr'!G42,"AAAAAG37/6s=")</f>
        <v>#VALUE!</v>
      </c>
      <c r="FQ123" t="e">
        <f>AND('Client Services &amp; Database Mgr'!H42,"AAAAAG37/6w=")</f>
        <v>#VALUE!</v>
      </c>
      <c r="FR123" t="e">
        <f>AND('Client Services &amp; Database Mgr'!I42,"AAAAAG37/60=")</f>
        <v>#VALUE!</v>
      </c>
      <c r="FS123" t="e">
        <f>AND('Client Services &amp; Database Mgr'!J42,"AAAAAG37/64=")</f>
        <v>#VALUE!</v>
      </c>
      <c r="FT123" t="e">
        <f>AND('Client Services &amp; Database Mgr'!K42,"AAAAAG37/68=")</f>
        <v>#VALUE!</v>
      </c>
      <c r="FU123" t="e">
        <f>AND('Client Services &amp; Database Mgr'!L42,"AAAAAG37/7A=")</f>
        <v>#VALUE!</v>
      </c>
      <c r="FV123" t="e">
        <f>AND('Client Services &amp; Database Mgr'!M42,"AAAAAG37/7E=")</f>
        <v>#VALUE!</v>
      </c>
      <c r="FW123" t="e">
        <f>IF('Client Services &amp; Database Mgr'!#REF!,"AAAAAG37/7I=",0)</f>
        <v>#REF!</v>
      </c>
      <c r="FX123" t="e">
        <f>AND('Client Services &amp; Database Mgr'!#REF!,"AAAAAG37/7M=")</f>
        <v>#REF!</v>
      </c>
      <c r="FY123" t="e">
        <f>AND('Client Services &amp; Database Mgr'!#REF!,"AAAAAG37/7Q=")</f>
        <v>#REF!</v>
      </c>
      <c r="FZ123" t="e">
        <f>AND('Client Services &amp; Database Mgr'!#REF!,"AAAAAG37/7U=")</f>
        <v>#REF!</v>
      </c>
      <c r="GA123" t="e">
        <f>AND('Client Services &amp; Database Mgr'!#REF!,"AAAAAG37/7Y=")</f>
        <v>#REF!</v>
      </c>
      <c r="GB123" t="e">
        <f>AND('Client Services &amp; Database Mgr'!#REF!,"AAAAAG37/7c=")</f>
        <v>#REF!</v>
      </c>
      <c r="GC123" t="e">
        <f>AND('Client Services &amp; Database Mgr'!#REF!,"AAAAAG37/7g=")</f>
        <v>#REF!</v>
      </c>
      <c r="GD123" t="e">
        <f>AND('Client Services &amp; Database Mgr'!#REF!,"AAAAAG37/7k=")</f>
        <v>#REF!</v>
      </c>
      <c r="GE123" t="e">
        <f>AND('Client Services &amp; Database Mgr'!#REF!,"AAAAAG37/7o=")</f>
        <v>#REF!</v>
      </c>
      <c r="GF123" t="e">
        <f>AND('Client Services &amp; Database Mgr'!#REF!,"AAAAAG37/7s=")</f>
        <v>#REF!</v>
      </c>
      <c r="GG123" t="e">
        <f>AND('Client Services &amp; Database Mgr'!#REF!,"AAAAAG37/7w=")</f>
        <v>#REF!</v>
      </c>
      <c r="GH123" t="e">
        <f>AND('Client Services &amp; Database Mgr'!#REF!,"AAAAAG37/70=")</f>
        <v>#REF!</v>
      </c>
      <c r="GI123" t="e">
        <f>AND('Client Services &amp; Database Mgr'!#REF!,"AAAAAG37/74=")</f>
        <v>#REF!</v>
      </c>
      <c r="GJ123" t="e">
        <f>AND('Client Services &amp; Database Mgr'!#REF!,"AAAAAG37/78=")</f>
        <v>#REF!</v>
      </c>
      <c r="GK123" t="e">
        <f>IF('Client Services &amp; Database Mgr'!#REF!,"AAAAAG37/8A=",0)</f>
        <v>#REF!</v>
      </c>
      <c r="GL123" t="e">
        <f>AND('Client Services &amp; Database Mgr'!#REF!,"AAAAAG37/8E=")</f>
        <v>#REF!</v>
      </c>
      <c r="GM123" t="e">
        <f>AND('Client Services &amp; Database Mgr'!#REF!,"AAAAAG37/8I=")</f>
        <v>#REF!</v>
      </c>
      <c r="GN123" t="e">
        <f>AND('Client Services &amp; Database Mgr'!#REF!,"AAAAAG37/8M=")</f>
        <v>#REF!</v>
      </c>
      <c r="GO123" t="e">
        <f>AND('Client Services &amp; Database Mgr'!#REF!,"AAAAAG37/8Q=")</f>
        <v>#REF!</v>
      </c>
      <c r="GP123" t="e">
        <f>AND('Client Services &amp; Database Mgr'!#REF!,"AAAAAG37/8U=")</f>
        <v>#REF!</v>
      </c>
      <c r="GQ123" t="e">
        <f>AND('Client Services &amp; Database Mgr'!#REF!,"AAAAAG37/8Y=")</f>
        <v>#REF!</v>
      </c>
      <c r="GR123" t="e">
        <f>AND('Client Services &amp; Database Mgr'!#REF!,"AAAAAG37/8c=")</f>
        <v>#REF!</v>
      </c>
      <c r="GS123" t="e">
        <f>AND('Client Services &amp; Database Mgr'!#REF!,"AAAAAG37/8g=")</f>
        <v>#REF!</v>
      </c>
      <c r="GT123" t="e">
        <f>AND('Client Services &amp; Database Mgr'!#REF!,"AAAAAG37/8k=")</f>
        <v>#REF!</v>
      </c>
      <c r="GU123" t="e">
        <f>AND('Client Services &amp; Database Mgr'!#REF!,"AAAAAG37/8o=")</f>
        <v>#REF!</v>
      </c>
      <c r="GV123" t="e">
        <f>AND('Client Services &amp; Database Mgr'!#REF!,"AAAAAG37/8s=")</f>
        <v>#REF!</v>
      </c>
      <c r="GW123" t="e">
        <f>AND('Client Services &amp; Database Mgr'!#REF!,"AAAAAG37/8w=")</f>
        <v>#REF!</v>
      </c>
      <c r="GX123" t="e">
        <f>AND('Client Services &amp; Database Mgr'!#REF!,"AAAAAG37/80=")</f>
        <v>#REF!</v>
      </c>
      <c r="GY123" t="e">
        <f>IF('Client Services &amp; Database Mgr'!#REF!,"AAAAAG37/84=",0)</f>
        <v>#REF!</v>
      </c>
      <c r="GZ123" t="e">
        <f>AND('Client Services &amp; Database Mgr'!#REF!,"AAAAAG37/88=")</f>
        <v>#REF!</v>
      </c>
      <c r="HA123" t="e">
        <f>AND('Client Services &amp; Database Mgr'!#REF!,"AAAAAG37/9A=")</f>
        <v>#REF!</v>
      </c>
      <c r="HB123" t="e">
        <f>AND('Client Services &amp; Database Mgr'!#REF!,"AAAAAG37/9E=")</f>
        <v>#REF!</v>
      </c>
      <c r="HC123" t="e">
        <f>AND('Client Services &amp; Database Mgr'!#REF!,"AAAAAG37/9I=")</f>
        <v>#REF!</v>
      </c>
      <c r="HD123" t="e">
        <f>AND('Client Services &amp; Database Mgr'!#REF!,"AAAAAG37/9M=")</f>
        <v>#REF!</v>
      </c>
      <c r="HE123" t="e">
        <f>AND('Client Services &amp; Database Mgr'!#REF!,"AAAAAG37/9Q=")</f>
        <v>#REF!</v>
      </c>
      <c r="HF123" t="e">
        <f>AND('Client Services &amp; Database Mgr'!#REF!,"AAAAAG37/9U=")</f>
        <v>#REF!</v>
      </c>
      <c r="HG123" t="e">
        <f>AND('Client Services &amp; Database Mgr'!#REF!,"AAAAAG37/9Y=")</f>
        <v>#REF!</v>
      </c>
      <c r="HH123" t="e">
        <f>AND('Client Services &amp; Database Mgr'!#REF!,"AAAAAG37/9c=")</f>
        <v>#REF!</v>
      </c>
      <c r="HI123" t="e">
        <f>AND('Client Services &amp; Database Mgr'!#REF!,"AAAAAG37/9g=")</f>
        <v>#REF!</v>
      </c>
      <c r="HJ123" t="e">
        <f>AND('Client Services &amp; Database Mgr'!#REF!,"AAAAAG37/9k=")</f>
        <v>#REF!</v>
      </c>
      <c r="HK123" t="e">
        <f>AND('Client Services &amp; Database Mgr'!#REF!,"AAAAAG37/9o=")</f>
        <v>#REF!</v>
      </c>
      <c r="HL123" t="e">
        <f>AND('Client Services &amp; Database Mgr'!#REF!,"AAAAAG37/9s=")</f>
        <v>#REF!</v>
      </c>
      <c r="HM123" t="e">
        <f>IF('Client Services &amp; Database Mgr'!#REF!,"AAAAAG37/9w=",0)</f>
        <v>#REF!</v>
      </c>
      <c r="HN123" t="e">
        <f>AND('Client Services &amp; Database Mgr'!#REF!,"AAAAAG37/90=")</f>
        <v>#REF!</v>
      </c>
      <c r="HO123" t="e">
        <f>AND('Client Services &amp; Database Mgr'!#REF!,"AAAAAG37/94=")</f>
        <v>#REF!</v>
      </c>
      <c r="HP123" t="e">
        <f>AND('Client Services &amp; Database Mgr'!#REF!,"AAAAAG37/98=")</f>
        <v>#REF!</v>
      </c>
      <c r="HQ123" t="e">
        <f>AND('Client Services &amp; Database Mgr'!#REF!,"AAAAAG37/+A=")</f>
        <v>#REF!</v>
      </c>
      <c r="HR123" t="e">
        <f>AND('Client Services &amp; Database Mgr'!#REF!,"AAAAAG37/+E=")</f>
        <v>#REF!</v>
      </c>
      <c r="HS123" t="e">
        <f>AND('Client Services &amp; Database Mgr'!#REF!,"AAAAAG37/+I=")</f>
        <v>#REF!</v>
      </c>
      <c r="HT123" t="e">
        <f>AND('Client Services &amp; Database Mgr'!#REF!,"AAAAAG37/+M=")</f>
        <v>#REF!</v>
      </c>
      <c r="HU123" t="e">
        <f>AND('Client Services &amp; Database Mgr'!#REF!,"AAAAAG37/+Q=")</f>
        <v>#REF!</v>
      </c>
      <c r="HV123" t="e">
        <f>AND('Client Services &amp; Database Mgr'!#REF!,"AAAAAG37/+U=")</f>
        <v>#REF!</v>
      </c>
      <c r="HW123" t="e">
        <f>AND('Client Services &amp; Database Mgr'!#REF!,"AAAAAG37/+Y=")</f>
        <v>#REF!</v>
      </c>
      <c r="HX123" t="e">
        <f>AND('Client Services &amp; Database Mgr'!#REF!,"AAAAAG37/+c=")</f>
        <v>#REF!</v>
      </c>
      <c r="HY123" t="e">
        <f>AND('Client Services &amp; Database Mgr'!#REF!,"AAAAAG37/+g=")</f>
        <v>#REF!</v>
      </c>
      <c r="HZ123" t="e">
        <f>AND('Client Services &amp; Database Mgr'!#REF!,"AAAAAG37/+k=")</f>
        <v>#REF!</v>
      </c>
      <c r="IA123" t="e">
        <f>IF('Client Services &amp; Database Mgr'!#REF!,"AAAAAG37/+o=",0)</f>
        <v>#REF!</v>
      </c>
      <c r="IB123" t="e">
        <f>AND('Client Services &amp; Database Mgr'!#REF!,"AAAAAG37/+s=")</f>
        <v>#REF!</v>
      </c>
      <c r="IC123" t="e">
        <f>AND('Client Services &amp; Database Mgr'!#REF!,"AAAAAG37/+w=")</f>
        <v>#REF!</v>
      </c>
      <c r="ID123" t="e">
        <f>AND('Client Services &amp; Database Mgr'!#REF!,"AAAAAG37/+0=")</f>
        <v>#REF!</v>
      </c>
      <c r="IE123" t="e">
        <f>AND('Client Services &amp; Database Mgr'!#REF!,"AAAAAG37/+4=")</f>
        <v>#REF!</v>
      </c>
      <c r="IF123" t="e">
        <f>AND('Client Services &amp; Database Mgr'!#REF!,"AAAAAG37/+8=")</f>
        <v>#REF!</v>
      </c>
      <c r="IG123" t="e">
        <f>AND('Client Services &amp; Database Mgr'!#REF!,"AAAAAG37//A=")</f>
        <v>#REF!</v>
      </c>
      <c r="IH123" t="e">
        <f>AND('Client Services &amp; Database Mgr'!#REF!,"AAAAAG37//E=")</f>
        <v>#REF!</v>
      </c>
      <c r="II123" t="e">
        <f>AND('Client Services &amp; Database Mgr'!#REF!,"AAAAAG37//I=")</f>
        <v>#REF!</v>
      </c>
      <c r="IJ123" t="e">
        <f>AND('Client Services &amp; Database Mgr'!#REF!,"AAAAAG37//M=")</f>
        <v>#REF!</v>
      </c>
      <c r="IK123" t="e">
        <f>AND('Client Services &amp; Database Mgr'!#REF!,"AAAAAG37//Q=")</f>
        <v>#REF!</v>
      </c>
      <c r="IL123" t="e">
        <f>AND('Client Services &amp; Database Mgr'!#REF!,"AAAAAG37//U=")</f>
        <v>#REF!</v>
      </c>
      <c r="IM123" t="e">
        <f>AND('Client Services &amp; Database Mgr'!#REF!,"AAAAAG37//Y=")</f>
        <v>#REF!</v>
      </c>
      <c r="IN123" t="e">
        <f>AND('Client Services &amp; Database Mgr'!#REF!,"AAAAAG37//c=")</f>
        <v>#REF!</v>
      </c>
      <c r="IO123" t="e">
        <f>IF('Client Services &amp; Database Mgr'!#REF!,"AAAAAG37//g=",0)</f>
        <v>#REF!</v>
      </c>
      <c r="IP123" t="e">
        <f>AND('Client Services &amp; Database Mgr'!#REF!,"AAAAAG37//k=")</f>
        <v>#REF!</v>
      </c>
      <c r="IQ123" t="e">
        <f>AND('Client Services &amp; Database Mgr'!#REF!,"AAAAAG37//o=")</f>
        <v>#REF!</v>
      </c>
      <c r="IR123" t="e">
        <f>AND('Client Services &amp; Database Mgr'!#REF!,"AAAAAG37//s=")</f>
        <v>#REF!</v>
      </c>
      <c r="IS123" t="e">
        <f>AND('Client Services &amp; Database Mgr'!#REF!,"AAAAAG37//w=")</f>
        <v>#REF!</v>
      </c>
      <c r="IT123" t="e">
        <f>AND('Client Services &amp; Database Mgr'!#REF!,"AAAAAG37//0=")</f>
        <v>#REF!</v>
      </c>
      <c r="IU123" t="e">
        <f>AND('Client Services &amp; Database Mgr'!#REF!,"AAAAAG37//4=")</f>
        <v>#REF!</v>
      </c>
      <c r="IV123" t="e">
        <f>AND('Client Services &amp; Database Mgr'!#REF!,"AAAAAG37//8=")</f>
        <v>#REF!</v>
      </c>
    </row>
    <row r="124" spans="1:256" x14ac:dyDescent="0.2">
      <c r="A124" t="e">
        <f>AND('Client Services &amp; Database Mgr'!#REF!,"AAAAAHEe/QA=")</f>
        <v>#REF!</v>
      </c>
      <c r="B124" t="e">
        <f>AND('Client Services &amp; Database Mgr'!#REF!,"AAAAAHEe/QE=")</f>
        <v>#REF!</v>
      </c>
      <c r="C124" t="e">
        <f>AND('Client Services &amp; Database Mgr'!#REF!,"AAAAAHEe/QI=")</f>
        <v>#REF!</v>
      </c>
      <c r="D124" t="e">
        <f>AND('Client Services &amp; Database Mgr'!#REF!,"AAAAAHEe/QM=")</f>
        <v>#REF!</v>
      </c>
      <c r="E124" t="e">
        <f>AND('Client Services &amp; Database Mgr'!#REF!,"AAAAAHEe/QQ=")</f>
        <v>#REF!</v>
      </c>
      <c r="F124" t="e">
        <f>AND('Client Services &amp; Database Mgr'!#REF!,"AAAAAHEe/QU=")</f>
        <v>#REF!</v>
      </c>
      <c r="G124" t="e">
        <f>IF(Fields!#REF!,"AAAAAHEe/QY=",0)</f>
        <v>#REF!</v>
      </c>
      <c r="H124" t="e">
        <f>AND(Fields!#REF!,"AAAAAHEe/Qc=")</f>
        <v>#REF!</v>
      </c>
      <c r="I124" t="e">
        <f>AND(Fields!#REF!,"AAAAAHEe/Qg=")</f>
        <v>#REF!</v>
      </c>
      <c r="J124" t="e">
        <f>AND(Fields!#REF!,"AAAAAHEe/Qk=")</f>
        <v>#REF!</v>
      </c>
      <c r="K124" t="e">
        <f>AND(Fields!#REF!,"AAAAAHEe/Qo=")</f>
        <v>#REF!</v>
      </c>
      <c r="L124" t="e">
        <f>AND(Fields!#REF!,"AAAAAHEe/Qs=")</f>
        <v>#REF!</v>
      </c>
      <c r="M124" t="e">
        <f>AND(Fields!#REF!,"AAAAAHEe/Qw=")</f>
        <v>#REF!</v>
      </c>
      <c r="N124" t="e">
        <f>AND(Fields!#REF!,"AAAAAHEe/Q0=")</f>
        <v>#REF!</v>
      </c>
      <c r="O124" t="e">
        <f>AND(Fields!#REF!,"AAAAAHEe/Q4=")</f>
        <v>#REF!</v>
      </c>
      <c r="P124" t="e">
        <f>AND(Fields!#REF!,"AAAAAHEe/Q8=")</f>
        <v>#REF!</v>
      </c>
      <c r="Q124" t="e">
        <f>AND(Fields!#REF!,"AAAAAHEe/RA=")</f>
        <v>#REF!</v>
      </c>
      <c r="R124" t="e">
        <f>AND(Fields!#REF!,"AAAAAHEe/RE=")</f>
        <v>#REF!</v>
      </c>
      <c r="S124" t="e">
        <f>AND(Fields!#REF!,"AAAAAHEe/RI=")</f>
        <v>#REF!</v>
      </c>
      <c r="T124" t="e">
        <f>AND(Fields!#REF!,"AAAAAHEe/RM=")</f>
        <v>#REF!</v>
      </c>
      <c r="U124">
        <f>IF(Fields!486:486,"AAAAAHEe/RQ=",0)</f>
        <v>0</v>
      </c>
      <c r="V124" t="e">
        <f>AND(Fields!A486,"AAAAAHEe/RU=")</f>
        <v>#VALUE!</v>
      </c>
      <c r="W124" t="e">
        <f>AND(Fields!B486,"AAAAAHEe/RY=")</f>
        <v>#VALUE!</v>
      </c>
      <c r="X124" t="e">
        <f>AND(Fields!C486,"AAAAAHEe/Rc=")</f>
        <v>#VALUE!</v>
      </c>
      <c r="Y124" t="e">
        <f>AND(Fields!D486,"AAAAAHEe/Rg=")</f>
        <v>#VALUE!</v>
      </c>
      <c r="Z124" t="e">
        <f>AND(Fields!E486,"AAAAAHEe/Rk=")</f>
        <v>#VALUE!</v>
      </c>
      <c r="AA124" t="e">
        <f>AND(Fields!F486,"AAAAAHEe/Ro=")</f>
        <v>#VALUE!</v>
      </c>
      <c r="AB124" t="e">
        <f>AND(Fields!G486,"AAAAAHEe/Rs=")</f>
        <v>#VALUE!</v>
      </c>
      <c r="AC124" t="e">
        <f>AND(Fields!H486,"AAAAAHEe/Rw=")</f>
        <v>#VALUE!</v>
      </c>
      <c r="AD124" t="e">
        <f>AND(Fields!I486,"AAAAAHEe/R0=")</f>
        <v>#VALUE!</v>
      </c>
      <c r="AE124" t="e">
        <f>AND(Fields!J486,"AAAAAHEe/R4=")</f>
        <v>#VALUE!</v>
      </c>
      <c r="AF124" t="e">
        <f>AND(Fields!K486,"AAAAAHEe/R8=")</f>
        <v>#VALUE!</v>
      </c>
      <c r="AG124" t="e">
        <f>AND(Fields!L486,"AAAAAHEe/SA=")</f>
        <v>#VALUE!</v>
      </c>
      <c r="AH124" t="e">
        <f>AND(Fields!#REF!,"AAAAAHEe/SE=")</f>
        <v>#REF!</v>
      </c>
      <c r="AI124">
        <f>IF(Fields!487:487,"AAAAAHEe/SI=",0)</f>
        <v>0</v>
      </c>
      <c r="AJ124" t="e">
        <f>AND(Fields!#REF!,"AAAAAHEe/SM=")</f>
        <v>#REF!</v>
      </c>
      <c r="AK124" t="e">
        <f>AND(Fields!A487,"AAAAAHEe/SQ=")</f>
        <v>#VALUE!</v>
      </c>
      <c r="AL124" t="e">
        <f>AND(Fields!#REF!,"AAAAAHEe/SU=")</f>
        <v>#REF!</v>
      </c>
      <c r="AM124" t="e">
        <f>AND(Fields!C487,"AAAAAHEe/SY=")</f>
        <v>#VALUE!</v>
      </c>
      <c r="AN124" t="e">
        <f>AND(Fields!D487,"AAAAAHEe/Sc=")</f>
        <v>#VALUE!</v>
      </c>
      <c r="AO124" t="e">
        <f>AND(Fields!B487,"AAAAAHEe/Sg=")</f>
        <v>#VALUE!</v>
      </c>
      <c r="AP124" t="e">
        <f>AND(Fields!F487,"AAAAAHEe/Sk=")</f>
        <v>#VALUE!</v>
      </c>
      <c r="AQ124" t="e">
        <f>AND(Fields!G487,"AAAAAHEe/So=")</f>
        <v>#VALUE!</v>
      </c>
      <c r="AR124" t="e">
        <f>AND(Fields!H487,"AAAAAHEe/Ss=")</f>
        <v>#VALUE!</v>
      </c>
      <c r="AS124" t="e">
        <f>AND(Fields!B488,"AAAAAHEe/Sw=")</f>
        <v>#VALUE!</v>
      </c>
      <c r="AT124" t="e">
        <f>AND(Fields!F488,"AAAAAHEe/S0=")</f>
        <v>#VALUE!</v>
      </c>
      <c r="AU124" t="e">
        <f>AND(Fields!G488,"AAAAAHEe/S4=")</f>
        <v>#VALUE!</v>
      </c>
      <c r="AV124" t="e">
        <f>AND(Fields!L487,"AAAAAHEe/S8=")</f>
        <v>#VALUE!</v>
      </c>
      <c r="AW124">
        <f>IF(Fields!488:488,"AAAAAHEe/TA=",0)</f>
        <v>0</v>
      </c>
      <c r="AX124" t="e">
        <f>AND(Fields!#REF!,"AAAAAHEe/TE=")</f>
        <v>#REF!</v>
      </c>
      <c r="AY124" t="e">
        <f>AND(Fields!A488,"AAAAAHEe/TI=")</f>
        <v>#VALUE!</v>
      </c>
      <c r="AZ124" t="e">
        <f>AND(Fields!#REF!,"AAAAAHEe/TM=")</f>
        <v>#REF!</v>
      </c>
      <c r="BA124" t="e">
        <f>AND(Fields!C488,"AAAAAHEe/TQ=")</f>
        <v>#VALUE!</v>
      </c>
      <c r="BB124" t="e">
        <f>AND(Fields!D488,"AAAAAHEe/TU=")</f>
        <v>#VALUE!</v>
      </c>
      <c r="BC124" t="e">
        <f>AND(Fields!#REF!,"AAAAAHEe/TY=")</f>
        <v>#REF!</v>
      </c>
      <c r="BD124" t="e">
        <f>AND(Fields!#REF!,"AAAAAHEe/Tc=")</f>
        <v>#REF!</v>
      </c>
      <c r="BE124" t="e">
        <f>AND(Fields!#REF!,"AAAAAHEe/Tg=")</f>
        <v>#REF!</v>
      </c>
      <c r="BF124" t="e">
        <f>AND(Fields!H488,"AAAAAHEe/Tk=")</f>
        <v>#VALUE!</v>
      </c>
      <c r="BG124" t="e">
        <f>AND(Fields!I488,"AAAAAHEe/To=")</f>
        <v>#VALUE!</v>
      </c>
      <c r="BH124" t="e">
        <f>AND(Fields!J488,"AAAAAHEe/Ts=")</f>
        <v>#VALUE!</v>
      </c>
      <c r="BI124" t="e">
        <f>AND(Fields!K488,"AAAAAHEe/Tw=")</f>
        <v>#VALUE!</v>
      </c>
      <c r="BJ124" t="e">
        <f>AND(Fields!L488,"AAAAAHEe/T0=")</f>
        <v>#VALUE!</v>
      </c>
      <c r="BK124" t="e">
        <f>IF('Client Services &amp; Database Mgr'!#REF!,"AAAAAHEe/T4=",0)</f>
        <v>#REF!</v>
      </c>
      <c r="BL124" t="e">
        <f>AND('Client Services &amp; Database Mgr'!#REF!,"AAAAAHEe/T8=")</f>
        <v>#REF!</v>
      </c>
      <c r="BM124" t="e">
        <f>AND('Client Services &amp; Database Mgr'!#REF!,"AAAAAHEe/UA=")</f>
        <v>#REF!</v>
      </c>
      <c r="BN124" t="e">
        <f>AND('Client Services &amp; Database Mgr'!#REF!,"AAAAAHEe/UE=")</f>
        <v>#REF!</v>
      </c>
      <c r="BO124" t="e">
        <f>AND('Client Services &amp; Database Mgr'!#REF!,"AAAAAHEe/UI=")</f>
        <v>#REF!</v>
      </c>
      <c r="BP124" t="e">
        <f>AND('Client Services &amp; Database Mgr'!#REF!,"AAAAAHEe/UM=")</f>
        <v>#REF!</v>
      </c>
      <c r="BQ124" t="e">
        <f>AND('Client Services &amp; Database Mgr'!#REF!,"AAAAAHEe/UQ=")</f>
        <v>#REF!</v>
      </c>
      <c r="BR124" t="e">
        <f>AND('Client Services &amp; Database Mgr'!#REF!,"AAAAAHEe/UU=")</f>
        <v>#REF!</v>
      </c>
      <c r="BS124" t="e">
        <f>AND('Client Services &amp; Database Mgr'!#REF!,"AAAAAHEe/UY=")</f>
        <v>#REF!</v>
      </c>
      <c r="BT124" t="e">
        <f>AND('Client Services &amp; Database Mgr'!#REF!,"AAAAAHEe/Uc=")</f>
        <v>#REF!</v>
      </c>
      <c r="BU124" t="e">
        <f>AND('Client Services &amp; Database Mgr'!#REF!,"AAAAAHEe/Ug=")</f>
        <v>#REF!</v>
      </c>
      <c r="BV124" t="e">
        <f>AND('Client Services &amp; Database Mgr'!#REF!,"AAAAAHEe/Uk=")</f>
        <v>#REF!</v>
      </c>
      <c r="BW124" t="e">
        <f>AND('Client Services &amp; Database Mgr'!#REF!,"AAAAAHEe/Uo=")</f>
        <v>#REF!</v>
      </c>
      <c r="BX124" t="e">
        <f>AND('Client Services &amp; Database Mgr'!#REF!,"AAAAAHEe/Us=")</f>
        <v>#REF!</v>
      </c>
      <c r="BY124">
        <f>IF('Client Services &amp; Database Mgr'!46:46,"AAAAAHEe/Uw=",0)</f>
        <v>0</v>
      </c>
      <c r="BZ124" t="e">
        <f>AND('Client Services &amp; Database Mgr'!A46,"AAAAAHEe/U0=")</f>
        <v>#VALUE!</v>
      </c>
      <c r="CA124" t="e">
        <f>AND('Client Services &amp; Database Mgr'!B46,"AAAAAHEe/U4=")</f>
        <v>#VALUE!</v>
      </c>
      <c r="CB124" t="e">
        <f>AND('Client Services &amp; Database Mgr'!C46,"AAAAAHEe/U8=")</f>
        <v>#VALUE!</v>
      </c>
      <c r="CC124" t="e">
        <f>AND('Client Services &amp; Database Mgr'!D46,"AAAAAHEe/VA=")</f>
        <v>#VALUE!</v>
      </c>
      <c r="CD124" t="e">
        <f>AND('Client Services &amp; Database Mgr'!E46,"AAAAAHEe/VE=")</f>
        <v>#VALUE!</v>
      </c>
      <c r="CE124" t="e">
        <f>AND('Client Services &amp; Database Mgr'!F46,"AAAAAHEe/VI=")</f>
        <v>#VALUE!</v>
      </c>
      <c r="CF124" t="e">
        <f>AND('Client Services &amp; Database Mgr'!G46,"AAAAAHEe/VM=")</f>
        <v>#VALUE!</v>
      </c>
      <c r="CG124" t="e">
        <f>AND('Client Services &amp; Database Mgr'!H46,"AAAAAHEe/VQ=")</f>
        <v>#VALUE!</v>
      </c>
      <c r="CH124" t="e">
        <f>AND('Client Services &amp; Database Mgr'!I46,"AAAAAHEe/VU=")</f>
        <v>#VALUE!</v>
      </c>
      <c r="CI124" t="e">
        <f>AND('Client Services &amp; Database Mgr'!J46,"AAAAAHEe/VY=")</f>
        <v>#VALUE!</v>
      </c>
      <c r="CJ124" t="e">
        <f>AND('Client Services &amp; Database Mgr'!K46,"AAAAAHEe/Vc=")</f>
        <v>#VALUE!</v>
      </c>
      <c r="CK124" t="e">
        <f>AND('Client Services &amp; Database Mgr'!L46,"AAAAAHEe/Vg=")</f>
        <v>#VALUE!</v>
      </c>
      <c r="CL124" t="e">
        <f>AND('Client Services &amp; Database Mgr'!M46,"AAAAAHEe/Vk=")</f>
        <v>#VALUE!</v>
      </c>
      <c r="CM124" t="e">
        <f>IF('Client Services &amp; Database Mgr'!#REF!,"AAAAAHEe/Vo=",0)</f>
        <v>#REF!</v>
      </c>
      <c r="CN124" t="e">
        <f>AND('Client Services &amp; Database Mgr'!#REF!,"AAAAAHEe/Vs=")</f>
        <v>#REF!</v>
      </c>
      <c r="CO124" t="e">
        <f>AND('Client Services &amp; Database Mgr'!#REF!,"AAAAAHEe/Vw=")</f>
        <v>#REF!</v>
      </c>
      <c r="CP124" t="e">
        <f>AND('Client Services &amp; Database Mgr'!#REF!,"AAAAAHEe/V0=")</f>
        <v>#REF!</v>
      </c>
      <c r="CQ124" t="e">
        <f>AND('Client Services &amp; Database Mgr'!#REF!,"AAAAAHEe/V4=")</f>
        <v>#REF!</v>
      </c>
      <c r="CR124" t="e">
        <f>AND('Client Services &amp; Database Mgr'!#REF!,"AAAAAHEe/V8=")</f>
        <v>#REF!</v>
      </c>
      <c r="CS124" t="e">
        <f>AND('Client Services &amp; Database Mgr'!#REF!,"AAAAAHEe/WA=")</f>
        <v>#REF!</v>
      </c>
      <c r="CT124" t="e">
        <f>AND('Client Services &amp; Database Mgr'!#REF!,"AAAAAHEe/WE=")</f>
        <v>#REF!</v>
      </c>
      <c r="CU124" t="e">
        <f>AND('Client Services &amp; Database Mgr'!#REF!,"AAAAAHEe/WI=")</f>
        <v>#REF!</v>
      </c>
      <c r="CV124" t="e">
        <f>AND('Client Services &amp; Database Mgr'!#REF!,"AAAAAHEe/WM=")</f>
        <v>#REF!</v>
      </c>
      <c r="CW124" t="e">
        <f>AND('Client Services &amp; Database Mgr'!#REF!,"AAAAAHEe/WQ=")</f>
        <v>#REF!</v>
      </c>
      <c r="CX124" t="e">
        <f>AND('Client Services &amp; Database Mgr'!#REF!,"AAAAAHEe/WU=")</f>
        <v>#REF!</v>
      </c>
      <c r="CY124" t="e">
        <f>AND('Client Services &amp; Database Mgr'!#REF!,"AAAAAHEe/WY=")</f>
        <v>#REF!</v>
      </c>
      <c r="CZ124" t="e">
        <f>AND('Client Services &amp; Database Mgr'!#REF!,"AAAAAHEe/Wc=")</f>
        <v>#REF!</v>
      </c>
      <c r="DA124" t="e">
        <f>IF('Client Services &amp; Database Mgr'!#REF!,"AAAAAHEe/Wg=",0)</f>
        <v>#REF!</v>
      </c>
      <c r="DB124" t="e">
        <f>AND('Client Services &amp; Database Mgr'!#REF!,"AAAAAHEe/Wk=")</f>
        <v>#REF!</v>
      </c>
      <c r="DC124" t="e">
        <f>AND('Client Services &amp; Database Mgr'!#REF!,"AAAAAHEe/Wo=")</f>
        <v>#REF!</v>
      </c>
      <c r="DD124" t="e">
        <f>AND('Client Services &amp; Database Mgr'!#REF!,"AAAAAHEe/Ws=")</f>
        <v>#REF!</v>
      </c>
      <c r="DE124" t="e">
        <f>AND('Client Services &amp; Database Mgr'!#REF!,"AAAAAHEe/Ww=")</f>
        <v>#REF!</v>
      </c>
      <c r="DF124" t="e">
        <f>AND('Client Services &amp; Database Mgr'!#REF!,"AAAAAHEe/W0=")</f>
        <v>#REF!</v>
      </c>
      <c r="DG124" t="e">
        <f>AND('Client Services &amp; Database Mgr'!#REF!,"AAAAAHEe/W4=")</f>
        <v>#REF!</v>
      </c>
      <c r="DH124" t="e">
        <f>AND('Client Services &amp; Database Mgr'!#REF!,"AAAAAHEe/W8=")</f>
        <v>#REF!</v>
      </c>
      <c r="DI124" t="e">
        <f>AND('Client Services &amp; Database Mgr'!#REF!,"AAAAAHEe/XA=")</f>
        <v>#REF!</v>
      </c>
      <c r="DJ124" t="e">
        <f>AND('Client Services &amp; Database Mgr'!#REF!,"AAAAAHEe/XE=")</f>
        <v>#REF!</v>
      </c>
      <c r="DK124" t="e">
        <f>AND('Client Services &amp; Database Mgr'!#REF!,"AAAAAHEe/XI=")</f>
        <v>#REF!</v>
      </c>
      <c r="DL124" t="e">
        <f>AND('Client Services &amp; Database Mgr'!#REF!,"AAAAAHEe/XM=")</f>
        <v>#REF!</v>
      </c>
      <c r="DM124" t="e">
        <f>AND('Client Services &amp; Database Mgr'!#REF!,"AAAAAHEe/XQ=")</f>
        <v>#REF!</v>
      </c>
      <c r="DN124" t="e">
        <f>AND('Client Services &amp; Database Mgr'!#REF!,"AAAAAHEe/XU=")</f>
        <v>#REF!</v>
      </c>
      <c r="DO124" t="e">
        <f>IF('Client Services &amp; Database Mgr'!#REF!,"AAAAAHEe/XY=",0)</f>
        <v>#REF!</v>
      </c>
      <c r="DP124" t="e">
        <f>AND('Client Services &amp; Database Mgr'!#REF!,"AAAAAHEe/Xc=")</f>
        <v>#REF!</v>
      </c>
      <c r="DQ124" t="e">
        <f>AND('Client Services &amp; Database Mgr'!#REF!,"AAAAAHEe/Xg=")</f>
        <v>#REF!</v>
      </c>
      <c r="DR124" t="e">
        <f>AND('Client Services &amp; Database Mgr'!#REF!,"AAAAAHEe/Xk=")</f>
        <v>#REF!</v>
      </c>
      <c r="DS124" t="e">
        <f>AND('Client Services &amp; Database Mgr'!#REF!,"AAAAAHEe/Xo=")</f>
        <v>#REF!</v>
      </c>
      <c r="DT124" t="e">
        <f>AND('Client Services &amp; Database Mgr'!#REF!,"AAAAAHEe/Xs=")</f>
        <v>#REF!</v>
      </c>
      <c r="DU124" t="e">
        <f>AND('Client Services &amp; Database Mgr'!#REF!,"AAAAAHEe/Xw=")</f>
        <v>#REF!</v>
      </c>
      <c r="DV124" t="e">
        <f>AND('Client Services &amp; Database Mgr'!#REF!,"AAAAAHEe/X0=")</f>
        <v>#REF!</v>
      </c>
      <c r="DW124" t="e">
        <f>AND('Client Services &amp; Database Mgr'!#REF!,"AAAAAHEe/X4=")</f>
        <v>#REF!</v>
      </c>
      <c r="DX124" t="e">
        <f>AND('Client Services &amp; Database Mgr'!#REF!,"AAAAAHEe/X8=")</f>
        <v>#REF!</v>
      </c>
      <c r="DY124" t="e">
        <f>AND('Client Services &amp; Database Mgr'!#REF!,"AAAAAHEe/YA=")</f>
        <v>#REF!</v>
      </c>
      <c r="DZ124" t="e">
        <f>AND('Client Services &amp; Database Mgr'!#REF!,"AAAAAHEe/YE=")</f>
        <v>#REF!</v>
      </c>
      <c r="EA124" t="e">
        <f>AND('Client Services &amp; Database Mgr'!#REF!,"AAAAAHEe/YI=")</f>
        <v>#REF!</v>
      </c>
      <c r="EB124" t="e">
        <f>AND('Client Services &amp; Database Mgr'!#REF!,"AAAAAHEe/YM=")</f>
        <v>#REF!</v>
      </c>
      <c r="EC124" t="e">
        <f>IF('Client Services &amp; Database Mgr'!#REF!,"AAAAAHEe/YQ=",0)</f>
        <v>#REF!</v>
      </c>
      <c r="ED124" t="e">
        <f>AND('Client Services &amp; Database Mgr'!#REF!,"AAAAAHEe/YU=")</f>
        <v>#REF!</v>
      </c>
      <c r="EE124" t="e">
        <f>AND('Client Services &amp; Database Mgr'!#REF!,"AAAAAHEe/YY=")</f>
        <v>#REF!</v>
      </c>
      <c r="EF124" t="e">
        <f>AND('Client Services &amp; Database Mgr'!#REF!,"AAAAAHEe/Yc=")</f>
        <v>#REF!</v>
      </c>
      <c r="EG124" t="e">
        <f>AND('Client Services &amp; Database Mgr'!#REF!,"AAAAAHEe/Yg=")</f>
        <v>#REF!</v>
      </c>
      <c r="EH124" t="e">
        <f>AND('Client Services &amp; Database Mgr'!#REF!,"AAAAAHEe/Yk=")</f>
        <v>#REF!</v>
      </c>
      <c r="EI124" t="e">
        <f>AND('Client Services &amp; Database Mgr'!#REF!,"AAAAAHEe/Yo=")</f>
        <v>#REF!</v>
      </c>
      <c r="EJ124" t="e">
        <f>AND('Client Services &amp; Database Mgr'!#REF!,"AAAAAHEe/Ys=")</f>
        <v>#REF!</v>
      </c>
      <c r="EK124" t="e">
        <f>AND('Client Services &amp; Database Mgr'!#REF!,"AAAAAHEe/Yw=")</f>
        <v>#REF!</v>
      </c>
      <c r="EL124" t="e">
        <f>AND('Client Services &amp; Database Mgr'!#REF!,"AAAAAHEe/Y0=")</f>
        <v>#REF!</v>
      </c>
      <c r="EM124" t="e">
        <f>AND('Client Services &amp; Database Mgr'!#REF!,"AAAAAHEe/Y4=")</f>
        <v>#REF!</v>
      </c>
      <c r="EN124" t="e">
        <f>AND('Client Services &amp; Database Mgr'!#REF!,"AAAAAHEe/Y8=")</f>
        <v>#REF!</v>
      </c>
      <c r="EO124" t="e">
        <f>AND('Client Services &amp; Database Mgr'!#REF!,"AAAAAHEe/ZA=")</f>
        <v>#REF!</v>
      </c>
      <c r="EP124" t="e">
        <f>AND('Client Services &amp; Database Mgr'!#REF!,"AAAAAHEe/ZE=")</f>
        <v>#REF!</v>
      </c>
      <c r="EQ124" t="e">
        <f>IF('Client Services &amp; Database Mgr'!#REF!,"AAAAAHEe/ZI=",0)</f>
        <v>#REF!</v>
      </c>
      <c r="ER124" t="e">
        <f>AND('Client Services &amp; Database Mgr'!#REF!,"AAAAAHEe/ZM=")</f>
        <v>#REF!</v>
      </c>
      <c r="ES124" t="e">
        <f>AND('Client Services &amp; Database Mgr'!#REF!,"AAAAAHEe/ZQ=")</f>
        <v>#REF!</v>
      </c>
      <c r="ET124" t="e">
        <f>AND('Client Services &amp; Database Mgr'!#REF!,"AAAAAHEe/ZU=")</f>
        <v>#REF!</v>
      </c>
      <c r="EU124" t="e">
        <f>AND('Client Services &amp; Database Mgr'!#REF!,"AAAAAHEe/ZY=")</f>
        <v>#REF!</v>
      </c>
      <c r="EV124" t="e">
        <f>AND('Client Services &amp; Database Mgr'!#REF!,"AAAAAHEe/Zc=")</f>
        <v>#REF!</v>
      </c>
      <c r="EW124" t="e">
        <f>AND('Client Services &amp; Database Mgr'!#REF!,"AAAAAHEe/Zg=")</f>
        <v>#REF!</v>
      </c>
      <c r="EX124" t="e">
        <f>AND('Client Services &amp; Database Mgr'!#REF!,"AAAAAHEe/Zk=")</f>
        <v>#REF!</v>
      </c>
      <c r="EY124" t="e">
        <f>AND('Client Services &amp; Database Mgr'!#REF!,"AAAAAHEe/Zo=")</f>
        <v>#REF!</v>
      </c>
      <c r="EZ124" t="e">
        <f>AND('Client Services &amp; Database Mgr'!#REF!,"AAAAAHEe/Zs=")</f>
        <v>#REF!</v>
      </c>
      <c r="FA124" t="e">
        <f>AND('Client Services &amp; Database Mgr'!#REF!,"AAAAAHEe/Zw=")</f>
        <v>#REF!</v>
      </c>
      <c r="FB124" t="e">
        <f>AND('Client Services &amp; Database Mgr'!#REF!,"AAAAAHEe/Z0=")</f>
        <v>#REF!</v>
      </c>
      <c r="FC124" t="e">
        <f>AND('Client Services &amp; Database Mgr'!#REF!,"AAAAAHEe/Z4=")</f>
        <v>#REF!</v>
      </c>
      <c r="FD124" t="e">
        <f>AND('Client Services &amp; Database Mgr'!#REF!,"AAAAAHEe/Z8=")</f>
        <v>#REF!</v>
      </c>
      <c r="FE124" t="e">
        <f>IF('Client Services &amp; Database Mgr'!#REF!,"AAAAAHEe/aA=",0)</f>
        <v>#REF!</v>
      </c>
      <c r="FF124" t="e">
        <f>AND('Client Services &amp; Database Mgr'!#REF!,"AAAAAHEe/aE=")</f>
        <v>#REF!</v>
      </c>
      <c r="FG124" t="e">
        <f>AND('Client Services &amp; Database Mgr'!#REF!,"AAAAAHEe/aI=")</f>
        <v>#REF!</v>
      </c>
      <c r="FH124" t="e">
        <f>AND('Client Services &amp; Database Mgr'!#REF!,"AAAAAHEe/aM=")</f>
        <v>#REF!</v>
      </c>
      <c r="FI124" t="e">
        <f>AND('Client Services &amp; Database Mgr'!#REF!,"AAAAAHEe/aQ=")</f>
        <v>#REF!</v>
      </c>
      <c r="FJ124" t="e">
        <f>AND('Client Services &amp; Database Mgr'!#REF!,"AAAAAHEe/aU=")</f>
        <v>#REF!</v>
      </c>
      <c r="FK124" t="e">
        <f>AND('Client Services &amp; Database Mgr'!#REF!,"AAAAAHEe/aY=")</f>
        <v>#REF!</v>
      </c>
      <c r="FL124" t="e">
        <f>AND('Client Services &amp; Database Mgr'!#REF!,"AAAAAHEe/ac=")</f>
        <v>#REF!</v>
      </c>
      <c r="FM124" t="e">
        <f>AND('Client Services &amp; Database Mgr'!#REF!,"AAAAAHEe/ag=")</f>
        <v>#REF!</v>
      </c>
      <c r="FN124" t="e">
        <f>AND('Client Services &amp; Database Mgr'!#REF!,"AAAAAHEe/ak=")</f>
        <v>#REF!</v>
      </c>
      <c r="FO124" t="e">
        <f>AND('Client Services &amp; Database Mgr'!#REF!,"AAAAAHEe/ao=")</f>
        <v>#REF!</v>
      </c>
      <c r="FP124" t="e">
        <f>AND('Client Services &amp; Database Mgr'!#REF!,"AAAAAHEe/as=")</f>
        <v>#REF!</v>
      </c>
      <c r="FQ124" t="e">
        <f>AND('Client Services &amp; Database Mgr'!#REF!,"AAAAAHEe/aw=")</f>
        <v>#REF!</v>
      </c>
      <c r="FR124" t="e">
        <f>AND('Client Services &amp; Database Mgr'!#REF!,"AAAAAHEe/a0=")</f>
        <v>#REF!</v>
      </c>
      <c r="FS124">
        <f>IF('Client Services &amp; Database Mgr'!78:78,"AAAAAHEe/a4=",0)</f>
        <v>0</v>
      </c>
      <c r="FT124" t="e">
        <f>AND('Client Services &amp; Database Mgr'!A78,"AAAAAHEe/a8=")</f>
        <v>#VALUE!</v>
      </c>
      <c r="FU124" t="e">
        <f>AND('Client Services &amp; Database Mgr'!B78,"AAAAAHEe/bA=")</f>
        <v>#VALUE!</v>
      </c>
      <c r="FV124" t="e">
        <f>AND('Client Services &amp; Database Mgr'!C78,"AAAAAHEe/bE=")</f>
        <v>#VALUE!</v>
      </c>
      <c r="FW124" t="e">
        <f>AND('Client Services &amp; Database Mgr'!D78,"AAAAAHEe/bI=")</f>
        <v>#VALUE!</v>
      </c>
      <c r="FX124" t="e">
        <f>AND('Client Services &amp; Database Mgr'!E78,"AAAAAHEe/bM=")</f>
        <v>#VALUE!</v>
      </c>
      <c r="FY124" t="e">
        <f>AND('Client Services &amp; Database Mgr'!F78,"AAAAAHEe/bQ=")</f>
        <v>#VALUE!</v>
      </c>
      <c r="FZ124" t="e">
        <f>AND('Client Services &amp; Database Mgr'!G78,"AAAAAHEe/bU=")</f>
        <v>#VALUE!</v>
      </c>
      <c r="GA124" t="e">
        <f>AND('Client Services &amp; Database Mgr'!H78,"AAAAAHEe/bY=")</f>
        <v>#VALUE!</v>
      </c>
      <c r="GB124" t="e">
        <f>AND('Client Services &amp; Database Mgr'!I78,"AAAAAHEe/bc=")</f>
        <v>#VALUE!</v>
      </c>
      <c r="GC124" t="e">
        <f>AND('Client Services &amp; Database Mgr'!J78,"AAAAAHEe/bg=")</f>
        <v>#VALUE!</v>
      </c>
      <c r="GD124" t="e">
        <f>AND('Client Services &amp; Database Mgr'!K78,"AAAAAHEe/bk=")</f>
        <v>#VALUE!</v>
      </c>
      <c r="GE124" t="e">
        <f>AND('Client Services &amp; Database Mgr'!L78,"AAAAAHEe/bo=")</f>
        <v>#VALUE!</v>
      </c>
      <c r="GF124" t="e">
        <f>AND('Client Services &amp; Database Mgr'!M78,"AAAAAHEe/bs=")</f>
        <v>#VALUE!</v>
      </c>
      <c r="GG124">
        <f>IF('Client Services &amp; Database Mgr'!105:105,"AAAAAHEe/bw=",0)</f>
        <v>0</v>
      </c>
      <c r="GH124" t="e">
        <f>AND('Client Services &amp; Database Mgr'!A105,"AAAAAHEe/b0=")</f>
        <v>#VALUE!</v>
      </c>
      <c r="GI124" t="e">
        <f>AND('Client Services &amp; Database Mgr'!B105,"AAAAAHEe/b4=")</f>
        <v>#VALUE!</v>
      </c>
      <c r="GJ124" t="e">
        <f>AND('Client Services &amp; Database Mgr'!C105,"AAAAAHEe/b8=")</f>
        <v>#VALUE!</v>
      </c>
      <c r="GK124" t="e">
        <f>AND('Client Services &amp; Database Mgr'!D105,"AAAAAHEe/cA=")</f>
        <v>#VALUE!</v>
      </c>
      <c r="GL124" t="e">
        <f>AND('Client Services &amp; Database Mgr'!E105,"AAAAAHEe/cE=")</f>
        <v>#VALUE!</v>
      </c>
      <c r="GM124" t="e">
        <f>AND('Client Services &amp; Database Mgr'!F105,"AAAAAHEe/cI=")</f>
        <v>#VALUE!</v>
      </c>
      <c r="GN124" t="e">
        <f>AND('Client Services &amp; Database Mgr'!G105,"AAAAAHEe/cM=")</f>
        <v>#VALUE!</v>
      </c>
      <c r="GO124" t="e">
        <f>AND('Client Services &amp; Database Mgr'!H105,"AAAAAHEe/cQ=")</f>
        <v>#VALUE!</v>
      </c>
      <c r="GP124" t="e">
        <f>AND('Client Services &amp; Database Mgr'!I105,"AAAAAHEe/cU=")</f>
        <v>#VALUE!</v>
      </c>
      <c r="GQ124" t="e">
        <f>AND('Client Services &amp; Database Mgr'!J105,"AAAAAHEe/cY=")</f>
        <v>#VALUE!</v>
      </c>
      <c r="GR124" t="e">
        <f>AND('Client Services &amp; Database Mgr'!K105,"AAAAAHEe/cc=")</f>
        <v>#VALUE!</v>
      </c>
      <c r="GS124" t="e">
        <f>AND('Client Services &amp; Database Mgr'!L105,"AAAAAHEe/cg=")</f>
        <v>#VALUE!</v>
      </c>
      <c r="GT124" t="e">
        <f>AND('Client Services &amp; Database Mgr'!M105,"AAAAAHEe/ck=")</f>
        <v>#VALUE!</v>
      </c>
      <c r="GU124">
        <f>IF('Client Services &amp; Database Mgr'!106:106,"AAAAAHEe/co=",0)</f>
        <v>0</v>
      </c>
      <c r="GV124" t="e">
        <f>AND('Client Services &amp; Database Mgr'!#REF!,"AAAAAHEe/cs=")</f>
        <v>#REF!</v>
      </c>
      <c r="GW124" t="e">
        <f>AND('Client Services &amp; Database Mgr'!A106,"AAAAAHEe/cw=")</f>
        <v>#VALUE!</v>
      </c>
      <c r="GX124" t="e">
        <f>AND('Client Services &amp; Database Mgr'!B106,"AAAAAHEe/c0=")</f>
        <v>#VALUE!</v>
      </c>
      <c r="GY124" t="e">
        <f>AND('Client Services &amp; Database Mgr'!C106,"AAAAAHEe/c4=")</f>
        <v>#VALUE!</v>
      </c>
      <c r="GZ124" t="e">
        <f>AND('Client Services &amp; Database Mgr'!D106,"AAAAAHEe/c8=")</f>
        <v>#VALUE!</v>
      </c>
      <c r="HA124" t="e">
        <f>AND('Client Services &amp; Database Mgr'!E106,"AAAAAHEe/dA=")</f>
        <v>#VALUE!</v>
      </c>
      <c r="HB124" t="e">
        <f>AND('Client Services &amp; Database Mgr'!F106,"AAAAAHEe/dE=")</f>
        <v>#VALUE!</v>
      </c>
      <c r="HC124" t="e">
        <f>AND('Client Services &amp; Database Mgr'!G106,"AAAAAHEe/dI=")</f>
        <v>#VALUE!</v>
      </c>
      <c r="HD124" t="e">
        <f>AND('Client Services &amp; Database Mgr'!H106,"AAAAAHEe/dM=")</f>
        <v>#VALUE!</v>
      </c>
      <c r="HE124" t="e">
        <f>AND('Client Services &amp; Database Mgr'!I106,"AAAAAHEe/dQ=")</f>
        <v>#VALUE!</v>
      </c>
      <c r="HF124" t="e">
        <f>AND('Client Services &amp; Database Mgr'!J106,"AAAAAHEe/dU=")</f>
        <v>#VALUE!</v>
      </c>
      <c r="HG124" t="e">
        <f>AND('Client Services &amp; Database Mgr'!K106,"AAAAAHEe/dY=")</f>
        <v>#VALUE!</v>
      </c>
      <c r="HH124" t="e">
        <f>AND('Client Services &amp; Database Mgr'!L106,"AAAAAHEe/dc=")</f>
        <v>#VALUE!</v>
      </c>
      <c r="HI124" t="e">
        <f>IF('Client Services &amp; Database Mgr'!#REF!,"AAAAAHEe/dg=",0)</f>
        <v>#REF!</v>
      </c>
      <c r="HJ124" t="e">
        <f>AND('Client Services &amp; Database Mgr'!#REF!,"AAAAAHEe/dk=")</f>
        <v>#REF!</v>
      </c>
      <c r="HK124" t="e">
        <f>AND('Client Services &amp; Database Mgr'!#REF!,"AAAAAHEe/do=")</f>
        <v>#REF!</v>
      </c>
      <c r="HL124" t="e">
        <f>AND('Client Services &amp; Database Mgr'!#REF!,"AAAAAHEe/ds=")</f>
        <v>#REF!</v>
      </c>
      <c r="HM124" t="e">
        <f>AND('Client Services &amp; Database Mgr'!#REF!,"AAAAAHEe/dw=")</f>
        <v>#REF!</v>
      </c>
      <c r="HN124" t="e">
        <f>AND('Client Services &amp; Database Mgr'!#REF!,"AAAAAHEe/d0=")</f>
        <v>#REF!</v>
      </c>
      <c r="HO124" t="e">
        <f>AND('Client Services &amp; Database Mgr'!#REF!,"AAAAAHEe/d4=")</f>
        <v>#REF!</v>
      </c>
      <c r="HP124" t="e">
        <f>AND('Client Services &amp; Database Mgr'!#REF!,"AAAAAHEe/d8=")</f>
        <v>#REF!</v>
      </c>
      <c r="HQ124" t="e">
        <f>AND('Client Services &amp; Database Mgr'!#REF!,"AAAAAHEe/eA=")</f>
        <v>#REF!</v>
      </c>
      <c r="HR124" t="e">
        <f>AND('Client Services &amp; Database Mgr'!#REF!,"AAAAAHEe/eE=")</f>
        <v>#REF!</v>
      </c>
      <c r="HS124" t="e">
        <f>AND('Client Services &amp; Database Mgr'!#REF!,"AAAAAHEe/eI=")</f>
        <v>#REF!</v>
      </c>
      <c r="HT124" t="e">
        <f>AND('Client Services &amp; Database Mgr'!#REF!,"AAAAAHEe/eM=")</f>
        <v>#REF!</v>
      </c>
      <c r="HU124" t="e">
        <f>AND('Client Services &amp; Database Mgr'!#REF!,"AAAAAHEe/eQ=")</f>
        <v>#REF!</v>
      </c>
      <c r="HV124" t="e">
        <f>AND('Client Services &amp; Database Mgr'!#REF!,"AAAAAHEe/eU=")</f>
        <v>#REF!</v>
      </c>
      <c r="HW124">
        <f>IF('Client Services &amp; Database Mgr'!107:107,"AAAAAHEe/eY=",0)</f>
        <v>0</v>
      </c>
      <c r="HX124" t="e">
        <f>AND('Client Services &amp; Database Mgr'!#REF!,"AAAAAHEe/ec=")</f>
        <v>#REF!</v>
      </c>
      <c r="HY124" t="e">
        <f>AND('Client Services &amp; Database Mgr'!A107,"AAAAAHEe/eg=")</f>
        <v>#VALUE!</v>
      </c>
      <c r="HZ124" t="e">
        <f>AND('Client Services &amp; Database Mgr'!B107,"AAAAAHEe/ek=")</f>
        <v>#VALUE!</v>
      </c>
      <c r="IA124" t="e">
        <f>AND('Client Services &amp; Database Mgr'!C107,"AAAAAHEe/eo=")</f>
        <v>#VALUE!</v>
      </c>
      <c r="IB124" t="e">
        <f>AND('Client Services &amp; Database Mgr'!D107,"AAAAAHEe/es=")</f>
        <v>#VALUE!</v>
      </c>
      <c r="IC124" t="e">
        <f>AND('Client Services &amp; Database Mgr'!E107,"AAAAAHEe/ew=")</f>
        <v>#VALUE!</v>
      </c>
      <c r="ID124" t="e">
        <f>AND('Client Services &amp; Database Mgr'!F107,"AAAAAHEe/e0=")</f>
        <v>#VALUE!</v>
      </c>
      <c r="IE124" t="e">
        <f>AND('Client Services &amp; Database Mgr'!G107,"AAAAAHEe/e4=")</f>
        <v>#VALUE!</v>
      </c>
      <c r="IF124" t="e">
        <f>AND('Client Services &amp; Database Mgr'!H107,"AAAAAHEe/e8=")</f>
        <v>#VALUE!</v>
      </c>
      <c r="IG124" t="e">
        <f>AND('Client Services &amp; Database Mgr'!I107,"AAAAAHEe/fA=")</f>
        <v>#VALUE!</v>
      </c>
      <c r="IH124" t="e">
        <f>AND('Client Services &amp; Database Mgr'!J107,"AAAAAHEe/fE=")</f>
        <v>#VALUE!</v>
      </c>
      <c r="II124" t="e">
        <f>AND('Client Services &amp; Database Mgr'!K107,"AAAAAHEe/fI=")</f>
        <v>#VALUE!</v>
      </c>
      <c r="IJ124" t="e">
        <f>AND('Client Services &amp; Database Mgr'!L107,"AAAAAHEe/fM=")</f>
        <v>#VALUE!</v>
      </c>
      <c r="IK124" t="e">
        <f>IF('Client Services &amp; Database Mgr'!#REF!,"AAAAAHEe/fQ=",0)</f>
        <v>#REF!</v>
      </c>
      <c r="IL124" t="e">
        <f>AND('Client Services &amp; Database Mgr'!#REF!,"AAAAAHEe/fU=")</f>
        <v>#REF!</v>
      </c>
      <c r="IM124" t="e">
        <f>AND('Client Services &amp; Database Mgr'!#REF!,"AAAAAHEe/fY=")</f>
        <v>#REF!</v>
      </c>
      <c r="IN124" t="e">
        <f>AND('Client Services &amp; Database Mgr'!#REF!,"AAAAAHEe/fc=")</f>
        <v>#REF!</v>
      </c>
      <c r="IO124" t="e">
        <f>AND('Client Services &amp; Database Mgr'!#REF!,"AAAAAHEe/fg=")</f>
        <v>#REF!</v>
      </c>
      <c r="IP124" t="e">
        <f>AND('Client Services &amp; Database Mgr'!#REF!,"AAAAAHEe/fk=")</f>
        <v>#REF!</v>
      </c>
      <c r="IQ124" t="e">
        <f>AND('Client Services &amp; Database Mgr'!#REF!,"AAAAAHEe/fo=")</f>
        <v>#REF!</v>
      </c>
      <c r="IR124" t="e">
        <f>AND('Client Services &amp; Database Mgr'!#REF!,"AAAAAHEe/fs=")</f>
        <v>#REF!</v>
      </c>
      <c r="IS124" t="e">
        <f>AND('Client Services &amp; Database Mgr'!#REF!,"AAAAAHEe/fw=")</f>
        <v>#REF!</v>
      </c>
      <c r="IT124" t="e">
        <f>AND('Client Services &amp; Database Mgr'!#REF!,"AAAAAHEe/f0=")</f>
        <v>#REF!</v>
      </c>
      <c r="IU124" t="e">
        <f>AND('Client Services &amp; Database Mgr'!#REF!,"AAAAAHEe/f4=")</f>
        <v>#REF!</v>
      </c>
      <c r="IV124" t="e">
        <f>AND('Client Services &amp; Database Mgr'!#REF!,"AAAAAHEe/f8=")</f>
        <v>#REF!</v>
      </c>
    </row>
    <row r="125" spans="1:256" x14ac:dyDescent="0.2">
      <c r="A125" t="e">
        <f>AND('Client Services &amp; Database Mgr'!#REF!,"AAAAAH5fPAA=")</f>
        <v>#REF!</v>
      </c>
      <c r="B125" t="e">
        <f>AND('Client Services &amp; Database Mgr'!#REF!,"AAAAAH5fPAE=")</f>
        <v>#REF!</v>
      </c>
      <c r="C125" t="e">
        <f>IF('Client Services &amp; Database Mgr'!#REF!,"AAAAAH5fPAI=",0)</f>
        <v>#REF!</v>
      </c>
      <c r="D125" t="e">
        <f>AND('Client Services &amp; Database Mgr'!#REF!,"AAAAAH5fPAM=")</f>
        <v>#REF!</v>
      </c>
      <c r="E125" t="e">
        <f>AND('Client Services &amp; Database Mgr'!#REF!,"AAAAAH5fPAQ=")</f>
        <v>#REF!</v>
      </c>
      <c r="F125" t="e">
        <f>AND('Client Services &amp; Database Mgr'!#REF!,"AAAAAH5fPAU=")</f>
        <v>#REF!</v>
      </c>
      <c r="G125" t="e">
        <f>AND('Client Services &amp; Database Mgr'!#REF!,"AAAAAH5fPAY=")</f>
        <v>#REF!</v>
      </c>
      <c r="H125" t="e">
        <f>AND('Client Services &amp; Database Mgr'!#REF!,"AAAAAH5fPAc=")</f>
        <v>#REF!</v>
      </c>
      <c r="I125" t="e">
        <f>AND('Client Services &amp; Database Mgr'!#REF!,"AAAAAH5fPAg=")</f>
        <v>#REF!</v>
      </c>
      <c r="J125" t="e">
        <f>AND('Client Services &amp; Database Mgr'!#REF!,"AAAAAH5fPAk=")</f>
        <v>#REF!</v>
      </c>
      <c r="K125" t="e">
        <f>AND('Client Services &amp; Database Mgr'!#REF!,"AAAAAH5fPAo=")</f>
        <v>#REF!</v>
      </c>
      <c r="L125" t="e">
        <f>AND('Client Services &amp; Database Mgr'!#REF!,"AAAAAH5fPAs=")</f>
        <v>#REF!</v>
      </c>
      <c r="M125" t="e">
        <f>AND('Client Services &amp; Database Mgr'!#REF!,"AAAAAH5fPAw=")</f>
        <v>#REF!</v>
      </c>
      <c r="N125" t="e">
        <f>AND('Client Services &amp; Database Mgr'!#REF!,"AAAAAH5fPA0=")</f>
        <v>#REF!</v>
      </c>
      <c r="O125" t="e">
        <f>AND('Client Services &amp; Database Mgr'!#REF!,"AAAAAH5fPA4=")</f>
        <v>#REF!</v>
      </c>
      <c r="P125" t="e">
        <f>AND('Client Services &amp; Database Mgr'!#REF!,"AAAAAH5fPA8=")</f>
        <v>#REF!</v>
      </c>
      <c r="Q125" t="e">
        <f>IF('Client Services &amp; Database Mgr'!#REF!,"AAAAAH5fPBA=",0)</f>
        <v>#REF!</v>
      </c>
      <c r="R125" t="e">
        <f>AND('Client Services &amp; Database Mgr'!#REF!,"AAAAAH5fPBE=")</f>
        <v>#REF!</v>
      </c>
      <c r="S125" t="e">
        <f>AND('Client Services &amp; Database Mgr'!#REF!,"AAAAAH5fPBI=")</f>
        <v>#REF!</v>
      </c>
      <c r="T125" t="e">
        <f>AND('Client Services &amp; Database Mgr'!#REF!,"AAAAAH5fPBM=")</f>
        <v>#REF!</v>
      </c>
      <c r="U125" t="e">
        <f>AND('Client Services &amp; Database Mgr'!#REF!,"AAAAAH5fPBQ=")</f>
        <v>#REF!</v>
      </c>
      <c r="V125" t="e">
        <f>AND('Client Services &amp; Database Mgr'!#REF!,"AAAAAH5fPBU=")</f>
        <v>#REF!</v>
      </c>
      <c r="W125" t="e">
        <f>AND('Client Services &amp; Database Mgr'!#REF!,"AAAAAH5fPBY=")</f>
        <v>#REF!</v>
      </c>
      <c r="X125" t="e">
        <f>AND('Client Services &amp; Database Mgr'!#REF!,"AAAAAH5fPBc=")</f>
        <v>#REF!</v>
      </c>
      <c r="Y125" t="e">
        <f>AND('Client Services &amp; Database Mgr'!#REF!,"AAAAAH5fPBg=")</f>
        <v>#REF!</v>
      </c>
      <c r="Z125" t="e">
        <f>AND('Client Services &amp; Database Mgr'!#REF!,"AAAAAH5fPBk=")</f>
        <v>#REF!</v>
      </c>
      <c r="AA125" t="e">
        <f>AND('Client Services &amp; Database Mgr'!#REF!,"AAAAAH5fPBo=")</f>
        <v>#REF!</v>
      </c>
      <c r="AB125" t="e">
        <f>AND('Client Services &amp; Database Mgr'!#REF!,"AAAAAH5fPBs=")</f>
        <v>#REF!</v>
      </c>
      <c r="AC125" t="e">
        <f>AND('Client Services &amp; Database Mgr'!#REF!,"AAAAAH5fPBw=")</f>
        <v>#REF!</v>
      </c>
      <c r="AD125" t="e">
        <f>AND('Client Services &amp; Database Mgr'!#REF!,"AAAAAH5fPB0=")</f>
        <v>#REF!</v>
      </c>
      <c r="AE125" t="e">
        <f>IF('Client Services &amp; Database Mgr'!#REF!,"AAAAAH5fPB4=",0)</f>
        <v>#REF!</v>
      </c>
      <c r="AF125" t="e">
        <f>AND('Client Services &amp; Database Mgr'!#REF!,"AAAAAH5fPB8=")</f>
        <v>#REF!</v>
      </c>
      <c r="AG125" t="e">
        <f>AND('Client Services &amp; Database Mgr'!#REF!,"AAAAAH5fPCA=")</f>
        <v>#REF!</v>
      </c>
      <c r="AH125" t="e">
        <f>AND('Client Services &amp; Database Mgr'!#REF!,"AAAAAH5fPCE=")</f>
        <v>#REF!</v>
      </c>
      <c r="AI125" t="e">
        <f>AND('Client Services &amp; Database Mgr'!#REF!,"AAAAAH5fPCI=")</f>
        <v>#REF!</v>
      </c>
      <c r="AJ125" t="e">
        <f>AND('Client Services &amp; Database Mgr'!#REF!,"AAAAAH5fPCM=")</f>
        <v>#REF!</v>
      </c>
      <c r="AK125" t="e">
        <f>AND('Client Services &amp; Database Mgr'!#REF!,"AAAAAH5fPCQ=")</f>
        <v>#REF!</v>
      </c>
      <c r="AL125" t="e">
        <f>AND('Client Services &amp; Database Mgr'!#REF!,"AAAAAH5fPCU=")</f>
        <v>#REF!</v>
      </c>
      <c r="AM125" t="e">
        <f>AND('Client Services &amp; Database Mgr'!#REF!,"AAAAAH5fPCY=")</f>
        <v>#REF!</v>
      </c>
      <c r="AN125" t="e">
        <f>AND('Client Services &amp; Database Mgr'!#REF!,"AAAAAH5fPCc=")</f>
        <v>#REF!</v>
      </c>
      <c r="AO125" t="e">
        <f>AND('Client Services &amp; Database Mgr'!#REF!,"AAAAAH5fPCg=")</f>
        <v>#REF!</v>
      </c>
      <c r="AP125" t="e">
        <f>AND('Client Services &amp; Database Mgr'!#REF!,"AAAAAH5fPCk=")</f>
        <v>#REF!</v>
      </c>
      <c r="AQ125" t="e">
        <f>AND('Client Services &amp; Database Mgr'!#REF!,"AAAAAH5fPCo=")</f>
        <v>#REF!</v>
      </c>
      <c r="AR125" t="e">
        <f>AND('Client Services &amp; Database Mgr'!#REF!,"AAAAAH5fPCs=")</f>
        <v>#REF!</v>
      </c>
      <c r="AS125" t="e">
        <f>IF('Client Services &amp; Database Mgr'!#REF!,"AAAAAH5fPCw=",0)</f>
        <v>#REF!</v>
      </c>
      <c r="AT125" t="e">
        <f>AND('Client Services &amp; Database Mgr'!#REF!,"AAAAAH5fPC0=")</f>
        <v>#REF!</v>
      </c>
      <c r="AU125" t="e">
        <f>AND('Client Services &amp; Database Mgr'!#REF!,"AAAAAH5fPC4=")</f>
        <v>#REF!</v>
      </c>
      <c r="AV125" t="e">
        <f>AND('Client Services &amp; Database Mgr'!#REF!,"AAAAAH5fPC8=")</f>
        <v>#REF!</v>
      </c>
      <c r="AW125" t="e">
        <f>AND('Client Services &amp; Database Mgr'!#REF!,"AAAAAH5fPDA=")</f>
        <v>#REF!</v>
      </c>
      <c r="AX125" t="e">
        <f>AND('Client Services &amp; Database Mgr'!#REF!,"AAAAAH5fPDE=")</f>
        <v>#REF!</v>
      </c>
      <c r="AY125" t="e">
        <f>AND('Client Services &amp; Database Mgr'!#REF!,"AAAAAH5fPDI=")</f>
        <v>#REF!</v>
      </c>
      <c r="AZ125" t="e">
        <f>AND('Client Services &amp; Database Mgr'!#REF!,"AAAAAH5fPDM=")</f>
        <v>#REF!</v>
      </c>
      <c r="BA125" t="e">
        <f>AND('Client Services &amp; Database Mgr'!#REF!,"AAAAAH5fPDQ=")</f>
        <v>#REF!</v>
      </c>
      <c r="BB125" t="e">
        <f>AND('Client Services &amp; Database Mgr'!#REF!,"AAAAAH5fPDU=")</f>
        <v>#REF!</v>
      </c>
      <c r="BC125" t="e">
        <f>AND('Client Services &amp; Database Mgr'!#REF!,"AAAAAH5fPDY=")</f>
        <v>#REF!</v>
      </c>
      <c r="BD125" t="e">
        <f>AND('Client Services &amp; Database Mgr'!#REF!,"AAAAAH5fPDc=")</f>
        <v>#REF!</v>
      </c>
      <c r="BE125" t="e">
        <f>AND('Client Services &amp; Database Mgr'!#REF!,"AAAAAH5fPDg=")</f>
        <v>#REF!</v>
      </c>
      <c r="BF125" t="e">
        <f>AND('Client Services &amp; Database Mgr'!#REF!,"AAAAAH5fPDk=")</f>
        <v>#REF!</v>
      </c>
      <c r="BG125">
        <f>IF('Client Services &amp; Database Mgr'!108:108,"AAAAAH5fPDo=",0)</f>
        <v>0</v>
      </c>
      <c r="BH125" t="e">
        <f>AND('Client Services &amp; Database Mgr'!#REF!,"AAAAAH5fPDs=")</f>
        <v>#REF!</v>
      </c>
      <c r="BI125" t="e">
        <f>AND('Client Services &amp; Database Mgr'!A108,"AAAAAH5fPDw=")</f>
        <v>#VALUE!</v>
      </c>
      <c r="BJ125" t="e">
        <f>AND('Client Services &amp; Database Mgr'!B108,"AAAAAH5fPD0=")</f>
        <v>#VALUE!</v>
      </c>
      <c r="BK125" t="e">
        <f>AND('Client Services &amp; Database Mgr'!C108,"AAAAAH5fPD4=")</f>
        <v>#VALUE!</v>
      </c>
      <c r="BL125" t="e">
        <f>AND('Client Services &amp; Database Mgr'!D108,"AAAAAH5fPD8=")</f>
        <v>#VALUE!</v>
      </c>
      <c r="BM125" t="e">
        <f>AND('Client Services &amp; Database Mgr'!E108,"AAAAAH5fPEA=")</f>
        <v>#VALUE!</v>
      </c>
      <c r="BN125" t="e">
        <f>AND('Client Services &amp; Database Mgr'!F108,"AAAAAH5fPEE=")</f>
        <v>#VALUE!</v>
      </c>
      <c r="BO125" t="e">
        <f>AND('Client Services &amp; Database Mgr'!G108,"AAAAAH5fPEI=")</f>
        <v>#VALUE!</v>
      </c>
      <c r="BP125" t="e">
        <f>AND('Client Services &amp; Database Mgr'!H108,"AAAAAH5fPEM=")</f>
        <v>#VALUE!</v>
      </c>
      <c r="BQ125" t="e">
        <f>AND('Client Services &amp; Database Mgr'!I108,"AAAAAH5fPEQ=")</f>
        <v>#VALUE!</v>
      </c>
      <c r="BR125" t="e">
        <f>AND('Client Services &amp; Database Mgr'!J108,"AAAAAH5fPEU=")</f>
        <v>#VALUE!</v>
      </c>
      <c r="BS125" t="e">
        <f>AND('Client Services &amp; Database Mgr'!K108,"AAAAAH5fPEY=")</f>
        <v>#VALUE!</v>
      </c>
      <c r="BT125" t="e">
        <f>AND('Client Services &amp; Database Mgr'!L108,"AAAAAH5fPEc=")</f>
        <v>#VALUE!</v>
      </c>
      <c r="BU125">
        <f>IF('Client Services &amp; Database Mgr'!109:109,"AAAAAH5fPEg=",0)</f>
        <v>0</v>
      </c>
      <c r="BV125" t="e">
        <f>AND('Client Services &amp; Database Mgr'!#REF!,"AAAAAH5fPEk=")</f>
        <v>#REF!</v>
      </c>
      <c r="BW125" t="e">
        <f>AND('Client Services &amp; Database Mgr'!A109,"AAAAAH5fPEo=")</f>
        <v>#VALUE!</v>
      </c>
      <c r="BX125" t="e">
        <f>AND('Client Services &amp; Database Mgr'!B109,"AAAAAH5fPEs=")</f>
        <v>#VALUE!</v>
      </c>
      <c r="BY125" t="e">
        <f>AND('Client Services &amp; Database Mgr'!C109,"AAAAAH5fPEw=")</f>
        <v>#VALUE!</v>
      </c>
      <c r="BZ125" t="e">
        <f>AND('Client Services &amp; Database Mgr'!D109,"AAAAAH5fPE0=")</f>
        <v>#VALUE!</v>
      </c>
      <c r="CA125" t="e">
        <f>AND('Client Services &amp; Database Mgr'!E109,"AAAAAH5fPE4=")</f>
        <v>#VALUE!</v>
      </c>
      <c r="CB125" t="e">
        <f>AND('Client Services &amp; Database Mgr'!F109,"AAAAAH5fPE8=")</f>
        <v>#VALUE!</v>
      </c>
      <c r="CC125" t="e">
        <f>AND('Client Services &amp; Database Mgr'!G109,"AAAAAH5fPFA=")</f>
        <v>#VALUE!</v>
      </c>
      <c r="CD125" t="e">
        <f>AND('Client Services &amp; Database Mgr'!H109,"AAAAAH5fPFE=")</f>
        <v>#VALUE!</v>
      </c>
      <c r="CE125" t="e">
        <f>AND('Client Services &amp; Database Mgr'!I109,"AAAAAH5fPFI=")</f>
        <v>#VALUE!</v>
      </c>
      <c r="CF125" t="e">
        <f>AND('Client Services &amp; Database Mgr'!J109,"AAAAAH5fPFM=")</f>
        <v>#VALUE!</v>
      </c>
      <c r="CG125" t="e">
        <f>AND('Client Services &amp; Database Mgr'!K109,"AAAAAH5fPFQ=")</f>
        <v>#VALUE!</v>
      </c>
      <c r="CH125" t="e">
        <f>AND('Client Services &amp; Database Mgr'!L109,"AAAAAH5fPFU=")</f>
        <v>#VALUE!</v>
      </c>
      <c r="CI125">
        <f>IF('Client Services &amp; Database Mgr'!113:113,"AAAAAH5fPFY=",0)</f>
        <v>0</v>
      </c>
      <c r="CJ125" t="e">
        <f>AND('Client Services &amp; Database Mgr'!A113,"AAAAAH5fPFc=")</f>
        <v>#VALUE!</v>
      </c>
      <c r="CK125" t="e">
        <f>AND('Client Services &amp; Database Mgr'!B113,"AAAAAH5fPFg=")</f>
        <v>#VALUE!</v>
      </c>
      <c r="CL125" t="e">
        <f>AND('Client Services &amp; Database Mgr'!C113,"AAAAAH5fPFk=")</f>
        <v>#VALUE!</v>
      </c>
      <c r="CM125" t="e">
        <f>AND('Client Services &amp; Database Mgr'!D113,"AAAAAH5fPFo=")</f>
        <v>#VALUE!</v>
      </c>
      <c r="CN125" t="e">
        <f>AND('Client Services &amp; Database Mgr'!E113,"AAAAAH5fPFs=")</f>
        <v>#VALUE!</v>
      </c>
      <c r="CO125" t="e">
        <f>AND('Client Services &amp; Database Mgr'!F113,"AAAAAH5fPFw=")</f>
        <v>#VALUE!</v>
      </c>
      <c r="CP125" t="e">
        <f>AND('Client Services &amp; Database Mgr'!G113,"AAAAAH5fPF0=")</f>
        <v>#VALUE!</v>
      </c>
      <c r="CQ125" t="e">
        <f>AND('Client Services &amp; Database Mgr'!H113,"AAAAAH5fPF4=")</f>
        <v>#VALUE!</v>
      </c>
      <c r="CR125" t="e">
        <f>AND('Client Services &amp; Database Mgr'!I113,"AAAAAH5fPF8=")</f>
        <v>#VALUE!</v>
      </c>
      <c r="CS125" t="e">
        <f>AND('Client Services &amp; Database Mgr'!J113,"AAAAAH5fPGA=")</f>
        <v>#VALUE!</v>
      </c>
      <c r="CT125" t="e">
        <f>AND('Client Services &amp; Database Mgr'!K113,"AAAAAH5fPGE=")</f>
        <v>#VALUE!</v>
      </c>
      <c r="CU125" t="e">
        <f>AND('Client Services &amp; Database Mgr'!L113,"AAAAAH5fPGI=")</f>
        <v>#VALUE!</v>
      </c>
      <c r="CV125" t="e">
        <f>AND('Client Services &amp; Database Mgr'!M113,"AAAAAH5fPGM=")</f>
        <v>#VALUE!</v>
      </c>
      <c r="CW125" t="e">
        <f>IF('Client Services &amp; Database Mgr'!#REF!,"AAAAAH5fPGQ=",0)</f>
        <v>#REF!</v>
      </c>
      <c r="CX125" t="e">
        <f>AND('Client Services &amp; Database Mgr'!#REF!,"AAAAAH5fPGU=")</f>
        <v>#REF!</v>
      </c>
      <c r="CY125" t="e">
        <f>AND('Client Services &amp; Database Mgr'!#REF!,"AAAAAH5fPGY=")</f>
        <v>#REF!</v>
      </c>
      <c r="CZ125" t="e">
        <f>AND('Client Services &amp; Database Mgr'!#REF!,"AAAAAH5fPGc=")</f>
        <v>#REF!</v>
      </c>
      <c r="DA125" t="e">
        <f>AND('Client Services &amp; Database Mgr'!#REF!,"AAAAAH5fPGg=")</f>
        <v>#REF!</v>
      </c>
      <c r="DB125" t="e">
        <f>AND('Client Services &amp; Database Mgr'!#REF!,"AAAAAH5fPGk=")</f>
        <v>#REF!</v>
      </c>
      <c r="DC125" t="e">
        <f>AND('Client Services &amp; Database Mgr'!#REF!,"AAAAAH5fPGo=")</f>
        <v>#REF!</v>
      </c>
      <c r="DD125" t="e">
        <f>AND('Client Services &amp; Database Mgr'!#REF!,"AAAAAH5fPGs=")</f>
        <v>#REF!</v>
      </c>
      <c r="DE125" t="e">
        <f>AND('Client Services &amp; Database Mgr'!#REF!,"AAAAAH5fPGw=")</f>
        <v>#REF!</v>
      </c>
      <c r="DF125" t="e">
        <f>AND('Client Services &amp; Database Mgr'!#REF!,"AAAAAH5fPG0=")</f>
        <v>#REF!</v>
      </c>
      <c r="DG125" t="e">
        <f>AND('Client Services &amp; Database Mgr'!#REF!,"AAAAAH5fPG4=")</f>
        <v>#REF!</v>
      </c>
      <c r="DH125" t="e">
        <f>AND('Client Services &amp; Database Mgr'!#REF!,"AAAAAH5fPG8=")</f>
        <v>#REF!</v>
      </c>
      <c r="DI125" t="e">
        <f>AND('Client Services &amp; Database Mgr'!#REF!,"AAAAAH5fPHA=")</f>
        <v>#REF!</v>
      </c>
      <c r="DJ125" t="e">
        <f>AND('Client Services &amp; Database Mgr'!#REF!,"AAAAAH5fPHE=")</f>
        <v>#REF!</v>
      </c>
      <c r="DK125" t="e">
        <f>IF('Client Services &amp; Database Mgr'!#REF!,"AAAAAH5fPHI=",0)</f>
        <v>#REF!</v>
      </c>
      <c r="DL125" t="e">
        <f>AND('Client Services &amp; Database Mgr'!#REF!,"AAAAAH5fPHM=")</f>
        <v>#REF!</v>
      </c>
      <c r="DM125" t="e">
        <f>AND('Client Services &amp; Database Mgr'!#REF!,"AAAAAH5fPHQ=")</f>
        <v>#REF!</v>
      </c>
      <c r="DN125" t="e">
        <f>AND('Client Services &amp; Database Mgr'!#REF!,"AAAAAH5fPHU=")</f>
        <v>#REF!</v>
      </c>
      <c r="DO125" t="e">
        <f>AND('Client Services &amp; Database Mgr'!#REF!,"AAAAAH5fPHY=")</f>
        <v>#REF!</v>
      </c>
      <c r="DP125" t="e">
        <f>AND('Client Services &amp; Database Mgr'!#REF!,"AAAAAH5fPHc=")</f>
        <v>#REF!</v>
      </c>
      <c r="DQ125" t="e">
        <f>AND('Client Services &amp; Database Mgr'!#REF!,"AAAAAH5fPHg=")</f>
        <v>#REF!</v>
      </c>
      <c r="DR125" t="e">
        <f>AND('Client Services &amp; Database Mgr'!#REF!,"AAAAAH5fPHk=")</f>
        <v>#REF!</v>
      </c>
      <c r="DS125" t="e">
        <f>AND('Client Services &amp; Database Mgr'!#REF!,"AAAAAH5fPHo=")</f>
        <v>#REF!</v>
      </c>
      <c r="DT125" t="e">
        <f>AND('Client Services &amp; Database Mgr'!#REF!,"AAAAAH5fPHs=")</f>
        <v>#REF!</v>
      </c>
      <c r="DU125" t="e">
        <f>AND('Client Services &amp; Database Mgr'!#REF!,"AAAAAH5fPHw=")</f>
        <v>#REF!</v>
      </c>
      <c r="DV125" t="e">
        <f>AND('Client Services &amp; Database Mgr'!#REF!,"AAAAAH5fPH0=")</f>
        <v>#REF!</v>
      </c>
      <c r="DW125" t="e">
        <f>AND('Client Services &amp; Database Mgr'!#REF!,"AAAAAH5fPH4=")</f>
        <v>#REF!</v>
      </c>
      <c r="DX125" t="e">
        <f>AND('Client Services &amp; Database Mgr'!#REF!,"AAAAAH5fPH8=")</f>
        <v>#REF!</v>
      </c>
      <c r="DY125" t="e">
        <f>IF('Client Services &amp; Database Mgr'!#REF!,"AAAAAH5fPIA=",0)</f>
        <v>#REF!</v>
      </c>
      <c r="DZ125" t="e">
        <f>AND('Client Services &amp; Database Mgr'!#REF!,"AAAAAH5fPIE=")</f>
        <v>#REF!</v>
      </c>
      <c r="EA125" t="e">
        <f>AND('Client Services &amp; Database Mgr'!#REF!,"AAAAAH5fPII=")</f>
        <v>#REF!</v>
      </c>
      <c r="EB125" t="e">
        <f>AND('Client Services &amp; Database Mgr'!#REF!,"AAAAAH5fPIM=")</f>
        <v>#REF!</v>
      </c>
      <c r="EC125" t="e">
        <f>AND('Client Services &amp; Database Mgr'!#REF!,"AAAAAH5fPIQ=")</f>
        <v>#REF!</v>
      </c>
      <c r="ED125" t="e">
        <f>AND('Client Services &amp; Database Mgr'!#REF!,"AAAAAH5fPIU=")</f>
        <v>#REF!</v>
      </c>
      <c r="EE125" t="e">
        <f>AND('Client Services &amp; Database Mgr'!#REF!,"AAAAAH5fPIY=")</f>
        <v>#REF!</v>
      </c>
      <c r="EF125" t="e">
        <f>AND('Client Services &amp; Database Mgr'!#REF!,"AAAAAH5fPIc=")</f>
        <v>#REF!</v>
      </c>
      <c r="EG125" t="e">
        <f>AND('Client Services &amp; Database Mgr'!#REF!,"AAAAAH5fPIg=")</f>
        <v>#REF!</v>
      </c>
      <c r="EH125" t="e">
        <f>AND('Client Services &amp; Database Mgr'!#REF!,"AAAAAH5fPIk=")</f>
        <v>#REF!</v>
      </c>
      <c r="EI125" t="e">
        <f>AND('Client Services &amp; Database Mgr'!#REF!,"AAAAAH5fPIo=")</f>
        <v>#REF!</v>
      </c>
      <c r="EJ125" t="e">
        <f>AND('Client Services &amp; Database Mgr'!#REF!,"AAAAAH5fPIs=")</f>
        <v>#REF!</v>
      </c>
      <c r="EK125" t="e">
        <f>AND('Client Services &amp; Database Mgr'!#REF!,"AAAAAH5fPIw=")</f>
        <v>#REF!</v>
      </c>
      <c r="EL125" t="e">
        <f>AND('Client Services &amp; Database Mgr'!#REF!,"AAAAAH5fPI0=")</f>
        <v>#REF!</v>
      </c>
      <c r="EM125" t="e">
        <f>IF('Client Services &amp; Database Mgr'!#REF!,"AAAAAH5fPI4=",0)</f>
        <v>#REF!</v>
      </c>
      <c r="EN125" t="e">
        <f>AND('Client Services &amp; Database Mgr'!#REF!,"AAAAAH5fPI8=")</f>
        <v>#REF!</v>
      </c>
      <c r="EO125" t="e">
        <f>AND('Client Services &amp; Database Mgr'!#REF!,"AAAAAH5fPJA=")</f>
        <v>#REF!</v>
      </c>
      <c r="EP125" t="e">
        <f>AND('Client Services &amp; Database Mgr'!#REF!,"AAAAAH5fPJE=")</f>
        <v>#REF!</v>
      </c>
      <c r="EQ125" t="e">
        <f>AND('Client Services &amp; Database Mgr'!#REF!,"AAAAAH5fPJI=")</f>
        <v>#REF!</v>
      </c>
      <c r="ER125" t="e">
        <f>AND('Client Services &amp; Database Mgr'!#REF!,"AAAAAH5fPJM=")</f>
        <v>#REF!</v>
      </c>
      <c r="ES125" t="e">
        <f>AND('Client Services &amp; Database Mgr'!#REF!,"AAAAAH5fPJQ=")</f>
        <v>#REF!</v>
      </c>
      <c r="ET125" t="e">
        <f>AND('Client Services &amp; Database Mgr'!#REF!,"AAAAAH5fPJU=")</f>
        <v>#REF!</v>
      </c>
      <c r="EU125" t="e">
        <f>AND('Client Services &amp; Database Mgr'!#REF!,"AAAAAH5fPJY=")</f>
        <v>#REF!</v>
      </c>
      <c r="EV125" t="e">
        <f>AND('Client Services &amp; Database Mgr'!#REF!,"AAAAAH5fPJc=")</f>
        <v>#REF!</v>
      </c>
      <c r="EW125" t="e">
        <f>AND('Client Services &amp; Database Mgr'!#REF!,"AAAAAH5fPJg=")</f>
        <v>#REF!</v>
      </c>
      <c r="EX125" t="e">
        <f>AND('Client Services &amp; Database Mgr'!#REF!,"AAAAAH5fPJk=")</f>
        <v>#REF!</v>
      </c>
      <c r="EY125" t="e">
        <f>AND('Client Services &amp; Database Mgr'!#REF!,"AAAAAH5fPJo=")</f>
        <v>#REF!</v>
      </c>
      <c r="EZ125" t="e">
        <f>AND('Client Services &amp; Database Mgr'!#REF!,"AAAAAH5fPJs=")</f>
        <v>#REF!</v>
      </c>
      <c r="FA125" t="e">
        <f>IF('Client Services &amp; Database Mgr'!#REF!,"AAAAAH5fPJw=",0)</f>
        <v>#REF!</v>
      </c>
      <c r="FB125" t="e">
        <f>AND('Client Services &amp; Database Mgr'!#REF!,"AAAAAH5fPJ0=")</f>
        <v>#REF!</v>
      </c>
      <c r="FC125" t="e">
        <f>AND('Client Services &amp; Database Mgr'!#REF!,"AAAAAH5fPJ4=")</f>
        <v>#REF!</v>
      </c>
      <c r="FD125" t="e">
        <f>AND('Client Services &amp; Database Mgr'!#REF!,"AAAAAH5fPJ8=")</f>
        <v>#REF!</v>
      </c>
      <c r="FE125" t="e">
        <f>AND('Client Services &amp; Database Mgr'!#REF!,"AAAAAH5fPKA=")</f>
        <v>#REF!</v>
      </c>
      <c r="FF125" t="e">
        <f>AND('Client Services &amp; Database Mgr'!#REF!,"AAAAAH5fPKE=")</f>
        <v>#REF!</v>
      </c>
      <c r="FG125" t="e">
        <f>AND('Client Services &amp; Database Mgr'!#REF!,"AAAAAH5fPKI=")</f>
        <v>#REF!</v>
      </c>
      <c r="FH125" t="e">
        <f>AND('Client Services &amp; Database Mgr'!#REF!,"AAAAAH5fPKM=")</f>
        <v>#REF!</v>
      </c>
      <c r="FI125" t="e">
        <f>AND('Client Services &amp; Database Mgr'!#REF!,"AAAAAH5fPKQ=")</f>
        <v>#REF!</v>
      </c>
      <c r="FJ125" t="e">
        <f>AND('Client Services &amp; Database Mgr'!#REF!,"AAAAAH5fPKU=")</f>
        <v>#REF!</v>
      </c>
      <c r="FK125" t="e">
        <f>AND('Client Services &amp; Database Mgr'!#REF!,"AAAAAH5fPKY=")</f>
        <v>#REF!</v>
      </c>
      <c r="FL125" t="e">
        <f>AND('Client Services &amp; Database Mgr'!#REF!,"AAAAAH5fPKc=")</f>
        <v>#REF!</v>
      </c>
      <c r="FM125" t="e">
        <f>AND('Client Services &amp; Database Mgr'!#REF!,"AAAAAH5fPKg=")</f>
        <v>#REF!</v>
      </c>
      <c r="FN125" t="e">
        <f>AND('Client Services &amp; Database Mgr'!#REF!,"AAAAAH5fPKk=")</f>
        <v>#REF!</v>
      </c>
      <c r="FO125" t="e">
        <f>IF('Client Services &amp; Database Mgr'!#REF!,"AAAAAH5fPKo=",0)</f>
        <v>#REF!</v>
      </c>
      <c r="FP125" t="e">
        <f>AND('Client Services &amp; Database Mgr'!#REF!,"AAAAAH5fPKs=")</f>
        <v>#REF!</v>
      </c>
      <c r="FQ125" t="e">
        <f>AND('Client Services &amp; Database Mgr'!#REF!,"AAAAAH5fPKw=")</f>
        <v>#REF!</v>
      </c>
      <c r="FR125" t="e">
        <f>AND('Client Services &amp; Database Mgr'!#REF!,"AAAAAH5fPK0=")</f>
        <v>#REF!</v>
      </c>
      <c r="FS125" t="e">
        <f>AND('Client Services &amp; Database Mgr'!#REF!,"AAAAAH5fPK4=")</f>
        <v>#REF!</v>
      </c>
      <c r="FT125" t="e">
        <f>AND('Client Services &amp; Database Mgr'!#REF!,"AAAAAH5fPK8=")</f>
        <v>#REF!</v>
      </c>
      <c r="FU125" t="e">
        <f>AND('Client Services &amp; Database Mgr'!#REF!,"AAAAAH5fPLA=")</f>
        <v>#REF!</v>
      </c>
      <c r="FV125" t="e">
        <f>AND('Client Services &amp; Database Mgr'!#REF!,"AAAAAH5fPLE=")</f>
        <v>#REF!</v>
      </c>
      <c r="FW125" t="e">
        <f>AND('Client Services &amp; Database Mgr'!#REF!,"AAAAAH5fPLI=")</f>
        <v>#REF!</v>
      </c>
      <c r="FX125" t="e">
        <f>AND('Client Services &amp; Database Mgr'!#REF!,"AAAAAH5fPLM=")</f>
        <v>#REF!</v>
      </c>
      <c r="FY125" t="e">
        <f>AND('Client Services &amp; Database Mgr'!#REF!,"AAAAAH5fPLQ=")</f>
        <v>#REF!</v>
      </c>
      <c r="FZ125" t="e">
        <f>AND('Client Services &amp; Database Mgr'!#REF!,"AAAAAH5fPLU=")</f>
        <v>#REF!</v>
      </c>
      <c r="GA125" t="e">
        <f>AND('Client Services &amp; Database Mgr'!#REF!,"AAAAAH5fPLY=")</f>
        <v>#REF!</v>
      </c>
      <c r="GB125" t="e">
        <f>AND('Client Services &amp; Database Mgr'!#REF!,"AAAAAH5fPLc=")</f>
        <v>#REF!</v>
      </c>
      <c r="GC125" t="e">
        <f>IF('Client Services &amp; Database Mgr'!#REF!,"AAAAAH5fPLg=",0)</f>
        <v>#REF!</v>
      </c>
      <c r="GD125" t="e">
        <f>AND('Client Services &amp; Database Mgr'!#REF!,"AAAAAH5fPLk=")</f>
        <v>#REF!</v>
      </c>
      <c r="GE125" t="e">
        <f>AND('Client Services &amp; Database Mgr'!#REF!,"AAAAAH5fPLo=")</f>
        <v>#REF!</v>
      </c>
      <c r="GF125" t="e">
        <f>AND('Client Services &amp; Database Mgr'!#REF!,"AAAAAH5fPLs=")</f>
        <v>#REF!</v>
      </c>
      <c r="GG125" t="e">
        <f>AND('Client Services &amp; Database Mgr'!#REF!,"AAAAAH5fPLw=")</f>
        <v>#REF!</v>
      </c>
      <c r="GH125" t="e">
        <f>AND('Client Services &amp; Database Mgr'!#REF!,"AAAAAH5fPL0=")</f>
        <v>#REF!</v>
      </c>
      <c r="GI125" t="e">
        <f>AND('Client Services &amp; Database Mgr'!#REF!,"AAAAAH5fPL4=")</f>
        <v>#REF!</v>
      </c>
      <c r="GJ125" t="e">
        <f>AND('Client Services &amp; Database Mgr'!#REF!,"AAAAAH5fPL8=")</f>
        <v>#REF!</v>
      </c>
      <c r="GK125" t="e">
        <f>AND('Client Services &amp; Database Mgr'!#REF!,"AAAAAH5fPMA=")</f>
        <v>#REF!</v>
      </c>
      <c r="GL125" t="e">
        <f>AND('Client Services &amp; Database Mgr'!#REF!,"AAAAAH5fPME=")</f>
        <v>#REF!</v>
      </c>
      <c r="GM125" t="e">
        <f>AND('Client Services &amp; Database Mgr'!#REF!,"AAAAAH5fPMI=")</f>
        <v>#REF!</v>
      </c>
      <c r="GN125" t="e">
        <f>AND('Client Services &amp; Database Mgr'!#REF!,"AAAAAH5fPMM=")</f>
        <v>#REF!</v>
      </c>
      <c r="GO125" t="e">
        <f>AND('Client Services &amp; Database Mgr'!#REF!,"AAAAAH5fPMQ=")</f>
        <v>#REF!</v>
      </c>
      <c r="GP125" t="e">
        <f>AND('Client Services &amp; Database Mgr'!#REF!,"AAAAAH5fPMU=")</f>
        <v>#REF!</v>
      </c>
      <c r="GQ125" t="e">
        <f>IF('Client Services &amp; Database Mgr'!#REF!,"AAAAAH5fPMY=",0)</f>
        <v>#REF!</v>
      </c>
      <c r="GR125" t="e">
        <f>AND('Client Services &amp; Database Mgr'!#REF!,"AAAAAH5fPMc=")</f>
        <v>#REF!</v>
      </c>
      <c r="GS125" t="e">
        <f>AND('Client Services &amp; Database Mgr'!#REF!,"AAAAAH5fPMg=")</f>
        <v>#REF!</v>
      </c>
      <c r="GT125" t="e">
        <f>AND('Client Services &amp; Database Mgr'!#REF!,"AAAAAH5fPMk=")</f>
        <v>#REF!</v>
      </c>
      <c r="GU125" t="e">
        <f>AND('Client Services &amp; Database Mgr'!#REF!,"AAAAAH5fPMo=")</f>
        <v>#REF!</v>
      </c>
      <c r="GV125" t="e">
        <f>AND('Client Services &amp; Database Mgr'!#REF!,"AAAAAH5fPMs=")</f>
        <v>#REF!</v>
      </c>
      <c r="GW125" t="e">
        <f>AND('Client Services &amp; Database Mgr'!#REF!,"AAAAAH5fPMw=")</f>
        <v>#REF!</v>
      </c>
      <c r="GX125" t="e">
        <f>AND('Client Services &amp; Database Mgr'!#REF!,"AAAAAH5fPM0=")</f>
        <v>#REF!</v>
      </c>
      <c r="GY125" t="e">
        <f>AND('Client Services &amp; Database Mgr'!#REF!,"AAAAAH5fPM4=")</f>
        <v>#REF!</v>
      </c>
      <c r="GZ125" t="e">
        <f>AND('Client Services &amp; Database Mgr'!#REF!,"AAAAAH5fPM8=")</f>
        <v>#REF!</v>
      </c>
      <c r="HA125" t="e">
        <f>AND('Client Services &amp; Database Mgr'!#REF!,"AAAAAH5fPNA=")</f>
        <v>#REF!</v>
      </c>
      <c r="HB125" t="e">
        <f>AND('Client Services &amp; Database Mgr'!#REF!,"AAAAAH5fPNE=")</f>
        <v>#REF!</v>
      </c>
      <c r="HC125" t="e">
        <f>AND('Client Services &amp; Database Mgr'!#REF!,"AAAAAH5fPNI=")</f>
        <v>#REF!</v>
      </c>
      <c r="HD125" t="e">
        <f>AND('Client Services &amp; Database Mgr'!#REF!,"AAAAAH5fPNM=")</f>
        <v>#REF!</v>
      </c>
      <c r="HE125" t="e">
        <f>IF('Client Services &amp; Database Mgr'!#REF!,"AAAAAH5fPNQ=",0)</f>
        <v>#REF!</v>
      </c>
      <c r="HF125" t="e">
        <f>AND('Client Services &amp; Database Mgr'!#REF!,"AAAAAH5fPNU=")</f>
        <v>#REF!</v>
      </c>
      <c r="HG125" t="e">
        <f>AND('Client Services &amp; Database Mgr'!#REF!,"AAAAAH5fPNY=")</f>
        <v>#REF!</v>
      </c>
      <c r="HH125" t="e">
        <f>AND('Client Services &amp; Database Mgr'!#REF!,"AAAAAH5fPNc=")</f>
        <v>#REF!</v>
      </c>
      <c r="HI125" t="e">
        <f>AND('Client Services &amp; Database Mgr'!#REF!,"AAAAAH5fPNg=")</f>
        <v>#REF!</v>
      </c>
      <c r="HJ125" t="e">
        <f>AND('Client Services &amp; Database Mgr'!#REF!,"AAAAAH5fPNk=")</f>
        <v>#REF!</v>
      </c>
      <c r="HK125" t="e">
        <f>AND('Client Services &amp; Database Mgr'!#REF!,"AAAAAH5fPNo=")</f>
        <v>#REF!</v>
      </c>
      <c r="HL125" t="e">
        <f>AND('Client Services &amp; Database Mgr'!#REF!,"AAAAAH5fPNs=")</f>
        <v>#REF!</v>
      </c>
      <c r="HM125" t="e">
        <f>AND('Client Services &amp; Database Mgr'!#REF!,"AAAAAH5fPNw=")</f>
        <v>#REF!</v>
      </c>
      <c r="HN125" t="e">
        <f>AND('Client Services &amp; Database Mgr'!#REF!,"AAAAAH5fPN0=")</f>
        <v>#REF!</v>
      </c>
      <c r="HO125" t="e">
        <f>AND('Client Services &amp; Database Mgr'!#REF!,"AAAAAH5fPN4=")</f>
        <v>#REF!</v>
      </c>
      <c r="HP125" t="e">
        <f>AND('Client Services &amp; Database Mgr'!#REF!,"AAAAAH5fPN8=")</f>
        <v>#REF!</v>
      </c>
      <c r="HQ125" t="e">
        <f>AND('Client Services &amp; Database Mgr'!#REF!,"AAAAAH5fPOA=")</f>
        <v>#REF!</v>
      </c>
      <c r="HR125" t="e">
        <f>AND('Client Services &amp; Database Mgr'!#REF!,"AAAAAH5fPOE=")</f>
        <v>#REF!</v>
      </c>
      <c r="HS125">
        <f>IF('Client Services &amp; Database Mgr'!114:114,"AAAAAH5fPOI=",0)</f>
        <v>0</v>
      </c>
      <c r="HT125" t="e">
        <f>AND('Client Services &amp; Database Mgr'!A114,"AAAAAH5fPOM=")</f>
        <v>#VALUE!</v>
      </c>
      <c r="HU125" t="e">
        <f>AND('Client Services &amp; Database Mgr'!B114,"AAAAAH5fPOQ=")</f>
        <v>#VALUE!</v>
      </c>
      <c r="HV125" t="e">
        <f>AND('Client Services &amp; Database Mgr'!C114,"AAAAAH5fPOU=")</f>
        <v>#VALUE!</v>
      </c>
      <c r="HW125" t="e">
        <f>AND('Client Services &amp; Database Mgr'!D114,"AAAAAH5fPOY=")</f>
        <v>#VALUE!</v>
      </c>
      <c r="HX125" t="e">
        <f>AND('Client Services &amp; Database Mgr'!E114,"AAAAAH5fPOc=")</f>
        <v>#VALUE!</v>
      </c>
      <c r="HY125" t="e">
        <f>AND('Client Services &amp; Database Mgr'!F114,"AAAAAH5fPOg=")</f>
        <v>#VALUE!</v>
      </c>
      <c r="HZ125" t="e">
        <f>AND('Client Services &amp; Database Mgr'!G114,"AAAAAH5fPOk=")</f>
        <v>#VALUE!</v>
      </c>
      <c r="IA125" t="e">
        <f>AND('Client Services &amp; Database Mgr'!H114,"AAAAAH5fPOo=")</f>
        <v>#VALUE!</v>
      </c>
      <c r="IB125" t="e">
        <f>AND('Client Services &amp; Database Mgr'!I114,"AAAAAH5fPOs=")</f>
        <v>#VALUE!</v>
      </c>
      <c r="IC125" t="e">
        <f>AND('Client Services &amp; Database Mgr'!J114,"AAAAAH5fPOw=")</f>
        <v>#VALUE!</v>
      </c>
      <c r="ID125" t="e">
        <f>AND('Client Services &amp; Database Mgr'!K114,"AAAAAH5fPO0=")</f>
        <v>#VALUE!</v>
      </c>
      <c r="IE125" t="e">
        <f>AND('Client Services &amp; Database Mgr'!L114,"AAAAAH5fPO4=")</f>
        <v>#VALUE!</v>
      </c>
      <c r="IF125" t="e">
        <f>AND('Client Services &amp; Database Mgr'!M114,"AAAAAH5fPO8=")</f>
        <v>#VALUE!</v>
      </c>
      <c r="IG125" t="e">
        <f>IF('Client Services &amp; Database Mgr'!A:A,"AAAAAH5fPPA=",0)</f>
        <v>#VALUE!</v>
      </c>
      <c r="IH125">
        <f>IF('Client Services &amp; Database Mgr'!B:B,"AAAAAH5fPPE=",0)</f>
        <v>0</v>
      </c>
      <c r="II125">
        <f>IF('Client Services &amp; Database Mgr'!C:C,"AAAAAH5fPPI=",0)</f>
        <v>0</v>
      </c>
      <c r="IJ125">
        <f>IF('Client Services &amp; Database Mgr'!D:D,"AAAAAH5fPPM=",0)</f>
        <v>0</v>
      </c>
      <c r="IK125">
        <f>IF('Client Services &amp; Database Mgr'!E:E,"AAAAAH5fPPQ=",0)</f>
        <v>0</v>
      </c>
      <c r="IL125">
        <f>IF('Client Services &amp; Database Mgr'!F:F,"AAAAAH5fPPU=",0)</f>
        <v>0</v>
      </c>
      <c r="IM125">
        <f>IF('Client Services &amp; Database Mgr'!G:G,"AAAAAH5fPPY=",0)</f>
        <v>0</v>
      </c>
      <c r="IN125">
        <f>IF('Client Services &amp; Database Mgr'!H:H,"AAAAAH5fPPc=",0)</f>
        <v>0</v>
      </c>
      <c r="IO125">
        <f>IF('Client Services &amp; Database Mgr'!I:I,"AAAAAH5fPPg=",0)</f>
        <v>0</v>
      </c>
      <c r="IP125">
        <f>IF('Client Services &amp; Database Mgr'!J:J,"AAAAAH5fPPk=",0)</f>
        <v>0</v>
      </c>
      <c r="IQ125">
        <f>IF('Client Services &amp; Database Mgr'!K:K,"AAAAAH5fPPo=",0)</f>
        <v>0</v>
      </c>
      <c r="IR125">
        <f>IF('Client Services &amp; Database Mgr'!L:L,"AAAAAH5fPPs=",0)</f>
        <v>0</v>
      </c>
      <c r="IS125">
        <f>IF('Client Services &amp; Database Mgr'!M:M,"AAAAAH5fPPw=",0)</f>
        <v>0</v>
      </c>
      <c r="IT125">
        <f>IF('Qualification Mgr'!1:1,"AAAAAH5fPP0=",0)</f>
        <v>0</v>
      </c>
      <c r="IU125" t="e">
        <f>AND('Qualification Mgr'!#REF!,"AAAAAH5fPP4=")</f>
        <v>#REF!</v>
      </c>
      <c r="IV125" t="e">
        <f>AND('Qualification Mgr'!A1,"AAAAAH5fPP8=")</f>
        <v>#VALUE!</v>
      </c>
    </row>
    <row r="126" spans="1:256" x14ac:dyDescent="0.2">
      <c r="A126" t="e">
        <f>AND('Qualification Mgr'!C1,"AAAAAD90uwA=")</f>
        <v>#VALUE!</v>
      </c>
      <c r="B126" t="e">
        <f>AND('Qualification Mgr'!D1,"AAAAAD90uwE=")</f>
        <v>#VALUE!</v>
      </c>
      <c r="C126" t="e">
        <f>AND('Qualification Mgr'!E1,"AAAAAD90uwI=")</f>
        <v>#VALUE!</v>
      </c>
      <c r="D126" t="e">
        <f>AND('Qualification Mgr'!F1,"AAAAAD90uwM=")</f>
        <v>#VALUE!</v>
      </c>
      <c r="E126" t="e">
        <f>AND('Qualification Mgr'!G1,"AAAAAD90uwQ=")</f>
        <v>#VALUE!</v>
      </c>
      <c r="F126" t="e">
        <f>AND('Qualification Mgr'!#REF!,"AAAAAD90uwU=")</f>
        <v>#REF!</v>
      </c>
      <c r="G126" t="e">
        <f>AND('Qualification Mgr'!#REF!,"AAAAAD90uwY=")</f>
        <v>#REF!</v>
      </c>
      <c r="H126" t="e">
        <f>AND('Qualification Mgr'!#REF!,"AAAAAD90uwc=")</f>
        <v>#REF!</v>
      </c>
      <c r="I126" t="e">
        <f>AND('Qualification Mgr'!#REF!,"AAAAAD90uwg=")</f>
        <v>#REF!</v>
      </c>
      <c r="J126" t="e">
        <f>AND('Qualification Mgr'!H1,"AAAAAD90uwk=")</f>
        <v>#VALUE!</v>
      </c>
      <c r="K126" t="e">
        <f>AND('Qualification Mgr'!I1,"AAAAAD90uwo=")</f>
        <v>#VALUE!</v>
      </c>
      <c r="L126" t="e">
        <f>AND('Qualification Mgr'!J1,"AAAAAD90uws=")</f>
        <v>#VALUE!</v>
      </c>
      <c r="M126" t="e">
        <f>AND('Qualification Mgr'!K1,"AAAAAD90uww=")</f>
        <v>#VALUE!</v>
      </c>
      <c r="N126" t="e">
        <f>AND('Qualification Mgr'!L1,"AAAAAD90uw0=")</f>
        <v>#VALUE!</v>
      </c>
      <c r="O126">
        <f>IF('Qualification Mgr'!2:2,"AAAAAD90uw4=",0)</f>
        <v>0</v>
      </c>
      <c r="P126" t="e">
        <f>AND('Qualification Mgr'!A2,"AAAAAD90uw8=")</f>
        <v>#VALUE!</v>
      </c>
      <c r="Q126" t="e">
        <f>AND('Qualification Mgr'!B2,"AAAAAD90uxA=")</f>
        <v>#VALUE!</v>
      </c>
      <c r="R126" t="e">
        <f>AND('Qualification Mgr'!C2,"AAAAAD90uxE=")</f>
        <v>#VALUE!</v>
      </c>
      <c r="S126" t="e">
        <f>AND('Qualification Mgr'!D2,"AAAAAD90uxI=")</f>
        <v>#VALUE!</v>
      </c>
      <c r="T126" t="e">
        <f>AND('Qualification Mgr'!E2,"AAAAAD90uxM=")</f>
        <v>#VALUE!</v>
      </c>
      <c r="U126" t="e">
        <f>AND('Qualification Mgr'!F2,"AAAAAD90uxQ=")</f>
        <v>#VALUE!</v>
      </c>
      <c r="V126" t="e">
        <f>AND('Qualification Mgr'!G2,"AAAAAD90uxU=")</f>
        <v>#VALUE!</v>
      </c>
      <c r="W126" t="e">
        <f>AND('Qualification Mgr'!#REF!,"AAAAAD90uxY=")</f>
        <v>#REF!</v>
      </c>
      <c r="X126" t="e">
        <f>AND('Qualification Mgr'!#REF!,"AAAAAD90uxc=")</f>
        <v>#REF!</v>
      </c>
      <c r="Y126" t="e">
        <f>AND('Qualification Mgr'!#REF!,"AAAAAD90uxg=")</f>
        <v>#REF!</v>
      </c>
      <c r="Z126" t="e">
        <f>AND('Qualification Mgr'!#REF!,"AAAAAD90uxk=")</f>
        <v>#REF!</v>
      </c>
      <c r="AA126" t="e">
        <f>AND('Qualification Mgr'!H2,"AAAAAD90uxo=")</f>
        <v>#VALUE!</v>
      </c>
      <c r="AB126" t="e">
        <f>AND('Qualification Mgr'!I2,"AAAAAD90uxs=")</f>
        <v>#VALUE!</v>
      </c>
      <c r="AC126" t="e">
        <f>AND('Qualification Mgr'!J2,"AAAAAD90uxw=")</f>
        <v>#VALUE!</v>
      </c>
      <c r="AD126" t="e">
        <f>AND('Qualification Mgr'!K2,"AAAAAD90ux0=")</f>
        <v>#VALUE!</v>
      </c>
      <c r="AE126" t="e">
        <f>AND('Qualification Mgr'!L2,"AAAAAD90ux4=")</f>
        <v>#VALUE!</v>
      </c>
      <c r="AF126">
        <f>IF('Qualification Mgr'!3:3,"AAAAAD90ux8=",0)</f>
        <v>0</v>
      </c>
      <c r="AG126" t="e">
        <f>AND('Qualification Mgr'!A3,"AAAAAD90uyA=")</f>
        <v>#VALUE!</v>
      </c>
      <c r="AH126" t="e">
        <f>AND('Qualification Mgr'!B3,"AAAAAD90uyE=")</f>
        <v>#VALUE!</v>
      </c>
      <c r="AI126" t="e">
        <f>AND('Qualification Mgr'!C3,"AAAAAD90uyI=")</f>
        <v>#VALUE!</v>
      </c>
      <c r="AJ126" t="e">
        <f>AND('Qualification Mgr'!D3,"AAAAAD90uyM=")</f>
        <v>#VALUE!</v>
      </c>
      <c r="AK126" t="e">
        <f>AND('Qualification Mgr'!E3,"AAAAAD90uyQ=")</f>
        <v>#VALUE!</v>
      </c>
      <c r="AL126" t="e">
        <f>AND('Qualification Mgr'!F3,"AAAAAD90uyU=")</f>
        <v>#VALUE!</v>
      </c>
      <c r="AM126" t="e">
        <f>AND('Qualification Mgr'!G3,"AAAAAD90uyY=")</f>
        <v>#VALUE!</v>
      </c>
      <c r="AN126" t="e">
        <f>AND('Qualification Mgr'!#REF!,"AAAAAD90uyc=")</f>
        <v>#REF!</v>
      </c>
      <c r="AO126" t="e">
        <f>AND('Qualification Mgr'!#REF!,"AAAAAD90uyg=")</f>
        <v>#REF!</v>
      </c>
      <c r="AP126" t="e">
        <f>AND('Qualification Mgr'!#REF!,"AAAAAD90uyk=")</f>
        <v>#REF!</v>
      </c>
      <c r="AQ126" t="e">
        <f>AND('Qualification Mgr'!#REF!,"AAAAAD90uyo=")</f>
        <v>#REF!</v>
      </c>
      <c r="AR126" t="e">
        <f>AND('Qualification Mgr'!H3,"AAAAAD90uys=")</f>
        <v>#VALUE!</v>
      </c>
      <c r="AS126" t="e">
        <f>AND('Qualification Mgr'!I3,"AAAAAD90uyw=")</f>
        <v>#VALUE!</v>
      </c>
      <c r="AT126" t="e">
        <f>AND('Qualification Mgr'!J3,"AAAAAD90uy0=")</f>
        <v>#VALUE!</v>
      </c>
      <c r="AU126" t="e">
        <f>AND('Qualification Mgr'!K3,"AAAAAD90uy4=")</f>
        <v>#VALUE!</v>
      </c>
      <c r="AV126" t="e">
        <f>AND('Qualification Mgr'!L3,"AAAAAD90uy8=")</f>
        <v>#VALUE!</v>
      </c>
      <c r="AW126" t="e">
        <f>IF('Qualification Mgr'!#REF!,"AAAAAD90uzA=",0)</f>
        <v>#REF!</v>
      </c>
      <c r="AX126" t="e">
        <f>AND('Qualification Mgr'!#REF!,"AAAAAD90uzE=")</f>
        <v>#REF!</v>
      </c>
      <c r="AY126" t="e">
        <f>AND('Qualification Mgr'!#REF!,"AAAAAD90uzI=")</f>
        <v>#REF!</v>
      </c>
      <c r="AZ126" t="e">
        <f>AND('Qualification Mgr'!#REF!,"AAAAAD90uzM=")</f>
        <v>#REF!</v>
      </c>
      <c r="BA126" t="e">
        <f>AND('Qualification Mgr'!#REF!,"AAAAAD90uzQ=")</f>
        <v>#REF!</v>
      </c>
      <c r="BB126" t="e">
        <f>AND('Qualification Mgr'!#REF!,"AAAAAD90uzU=")</f>
        <v>#REF!</v>
      </c>
      <c r="BC126" t="e">
        <f>AND('Qualification Mgr'!#REF!,"AAAAAD90uzY=")</f>
        <v>#REF!</v>
      </c>
      <c r="BD126" t="e">
        <f>AND('Qualification Mgr'!#REF!,"AAAAAD90uzc=")</f>
        <v>#REF!</v>
      </c>
      <c r="BE126" t="e">
        <f>AND('Qualification Mgr'!#REF!,"AAAAAD90uzg=")</f>
        <v>#REF!</v>
      </c>
      <c r="BF126" t="e">
        <f>AND('Qualification Mgr'!#REF!,"AAAAAD90uzk=")</f>
        <v>#REF!</v>
      </c>
      <c r="BG126" t="e">
        <f>AND('Qualification Mgr'!#REF!,"AAAAAD90uzo=")</f>
        <v>#REF!</v>
      </c>
      <c r="BH126" t="e">
        <f>AND('Qualification Mgr'!#REF!,"AAAAAD90uzs=")</f>
        <v>#REF!</v>
      </c>
      <c r="BI126" t="e">
        <f>AND('Qualification Mgr'!#REF!,"AAAAAD90uzw=")</f>
        <v>#REF!</v>
      </c>
      <c r="BJ126" t="e">
        <f>AND('Qualification Mgr'!#REF!,"AAAAAD90uz0=")</f>
        <v>#REF!</v>
      </c>
      <c r="BK126" t="e">
        <f>AND('Qualification Mgr'!#REF!,"AAAAAD90uz4=")</f>
        <v>#REF!</v>
      </c>
      <c r="BL126" t="e">
        <f>AND('Qualification Mgr'!#REF!,"AAAAAD90uz8=")</f>
        <v>#REF!</v>
      </c>
      <c r="BM126" t="e">
        <f>AND('Qualification Mgr'!#REF!,"AAAAAD90u0A=")</f>
        <v>#REF!</v>
      </c>
      <c r="BN126" t="e">
        <f>IF('Qualification Mgr'!#REF!,"AAAAAD90u0E=",0)</f>
        <v>#REF!</v>
      </c>
      <c r="BO126" t="e">
        <f>AND('Qualification Mgr'!#REF!,"AAAAAD90u0I=")</f>
        <v>#REF!</v>
      </c>
      <c r="BP126" t="e">
        <f>AND('Qualification Mgr'!#REF!,"AAAAAD90u0M=")</f>
        <v>#REF!</v>
      </c>
      <c r="BQ126" t="e">
        <f>AND('Qualification Mgr'!#REF!,"AAAAAD90u0Q=")</f>
        <v>#REF!</v>
      </c>
      <c r="BR126" t="e">
        <f>AND('Qualification Mgr'!#REF!,"AAAAAD90u0U=")</f>
        <v>#REF!</v>
      </c>
      <c r="BS126" t="e">
        <f>AND('Qualification Mgr'!#REF!,"AAAAAD90u0Y=")</f>
        <v>#REF!</v>
      </c>
      <c r="BT126" t="e">
        <f>AND('Qualification Mgr'!#REF!,"AAAAAD90u0c=")</f>
        <v>#REF!</v>
      </c>
      <c r="BU126" t="e">
        <f>AND('Qualification Mgr'!#REF!,"AAAAAD90u0g=")</f>
        <v>#REF!</v>
      </c>
      <c r="BV126" t="e">
        <f>AND('Qualification Mgr'!#REF!,"AAAAAD90u0k=")</f>
        <v>#REF!</v>
      </c>
      <c r="BW126" t="e">
        <f>AND('Qualification Mgr'!#REF!,"AAAAAD90u0o=")</f>
        <v>#REF!</v>
      </c>
      <c r="BX126" t="e">
        <f>AND('Qualification Mgr'!#REF!,"AAAAAD90u0s=")</f>
        <v>#REF!</v>
      </c>
      <c r="BY126" t="e">
        <f>AND('Qualification Mgr'!#REF!,"AAAAAD90u0w=")</f>
        <v>#REF!</v>
      </c>
      <c r="BZ126" t="e">
        <f>AND('Qualification Mgr'!#REF!,"AAAAAD90u00=")</f>
        <v>#REF!</v>
      </c>
      <c r="CA126" t="e">
        <f>AND('Qualification Mgr'!#REF!,"AAAAAD90u04=")</f>
        <v>#REF!</v>
      </c>
      <c r="CB126" t="e">
        <f>AND('Qualification Mgr'!#REF!,"AAAAAD90u08=")</f>
        <v>#REF!</v>
      </c>
      <c r="CC126" t="e">
        <f>AND('Qualification Mgr'!#REF!,"AAAAAD90u1A=")</f>
        <v>#REF!</v>
      </c>
      <c r="CD126" t="e">
        <f>AND('Qualification Mgr'!#REF!,"AAAAAD90u1E=")</f>
        <v>#REF!</v>
      </c>
      <c r="CE126" t="e">
        <f>IF('Qualification Mgr'!#REF!,"AAAAAD90u1I=",0)</f>
        <v>#REF!</v>
      </c>
      <c r="CF126" t="e">
        <f>AND('Qualification Mgr'!#REF!,"AAAAAD90u1M=")</f>
        <v>#REF!</v>
      </c>
      <c r="CG126" t="e">
        <f>AND('Qualification Mgr'!#REF!,"AAAAAD90u1Q=")</f>
        <v>#REF!</v>
      </c>
      <c r="CH126" t="e">
        <f>AND('Qualification Mgr'!#REF!,"AAAAAD90u1U=")</f>
        <v>#REF!</v>
      </c>
      <c r="CI126" t="e">
        <f>AND('Qualification Mgr'!#REF!,"AAAAAD90u1Y=")</f>
        <v>#REF!</v>
      </c>
      <c r="CJ126" t="e">
        <f>AND('Qualification Mgr'!#REF!,"AAAAAD90u1c=")</f>
        <v>#REF!</v>
      </c>
      <c r="CK126" t="e">
        <f>AND('Qualification Mgr'!#REF!,"AAAAAD90u1g=")</f>
        <v>#REF!</v>
      </c>
      <c r="CL126" t="e">
        <f>AND('Qualification Mgr'!#REF!,"AAAAAD90u1k=")</f>
        <v>#REF!</v>
      </c>
      <c r="CM126" t="e">
        <f>AND('Qualification Mgr'!#REF!,"AAAAAD90u1o=")</f>
        <v>#REF!</v>
      </c>
      <c r="CN126" t="e">
        <f>AND('Qualification Mgr'!#REF!,"AAAAAD90u1s=")</f>
        <v>#REF!</v>
      </c>
      <c r="CO126" t="e">
        <f>AND('Qualification Mgr'!#REF!,"AAAAAD90u1w=")</f>
        <v>#REF!</v>
      </c>
      <c r="CP126" t="e">
        <f>AND('Qualification Mgr'!#REF!,"AAAAAD90u10=")</f>
        <v>#REF!</v>
      </c>
      <c r="CQ126" t="e">
        <f>AND('Qualification Mgr'!#REF!,"AAAAAD90u14=")</f>
        <v>#REF!</v>
      </c>
      <c r="CR126" t="e">
        <f>AND('Qualification Mgr'!#REF!,"AAAAAD90u18=")</f>
        <v>#REF!</v>
      </c>
      <c r="CS126" t="e">
        <f>AND('Qualification Mgr'!#REF!,"AAAAAD90u2A=")</f>
        <v>#REF!</v>
      </c>
      <c r="CT126" t="e">
        <f>AND('Qualification Mgr'!#REF!,"AAAAAD90u2E=")</f>
        <v>#REF!</v>
      </c>
      <c r="CU126" t="e">
        <f>AND('Qualification Mgr'!#REF!,"AAAAAD90u2I=")</f>
        <v>#REF!</v>
      </c>
      <c r="CV126" t="e">
        <f>IF('Qualification Mgr'!#REF!,"AAAAAD90u2M=",0)</f>
        <v>#REF!</v>
      </c>
      <c r="CW126" t="e">
        <f>AND('Qualification Mgr'!#REF!,"AAAAAD90u2Q=")</f>
        <v>#REF!</v>
      </c>
      <c r="CX126" t="e">
        <f>AND('Qualification Mgr'!#REF!,"AAAAAD90u2U=")</f>
        <v>#REF!</v>
      </c>
      <c r="CY126" t="e">
        <f>AND('Qualification Mgr'!#REF!,"AAAAAD90u2Y=")</f>
        <v>#REF!</v>
      </c>
      <c r="CZ126" t="e">
        <f>AND('Qualification Mgr'!#REF!,"AAAAAD90u2c=")</f>
        <v>#REF!</v>
      </c>
      <c r="DA126" t="e">
        <f>AND('Qualification Mgr'!#REF!,"AAAAAD90u2g=")</f>
        <v>#REF!</v>
      </c>
      <c r="DB126" t="e">
        <f>AND('Qualification Mgr'!#REF!,"AAAAAD90u2k=")</f>
        <v>#REF!</v>
      </c>
      <c r="DC126" t="e">
        <f>AND('Qualification Mgr'!#REF!,"AAAAAD90u2o=")</f>
        <v>#REF!</v>
      </c>
      <c r="DD126" t="e">
        <f>AND('Qualification Mgr'!#REF!,"AAAAAD90u2s=")</f>
        <v>#REF!</v>
      </c>
      <c r="DE126" t="e">
        <f>AND('Qualification Mgr'!#REF!,"AAAAAD90u2w=")</f>
        <v>#REF!</v>
      </c>
      <c r="DF126" t="e">
        <f>AND('Qualification Mgr'!#REF!,"AAAAAD90u20=")</f>
        <v>#REF!</v>
      </c>
      <c r="DG126" t="e">
        <f>AND('Qualification Mgr'!#REF!,"AAAAAD90u24=")</f>
        <v>#REF!</v>
      </c>
      <c r="DH126" t="e">
        <f>AND('Qualification Mgr'!#REF!,"AAAAAD90u28=")</f>
        <v>#REF!</v>
      </c>
      <c r="DI126" t="e">
        <f>AND('Qualification Mgr'!#REF!,"AAAAAD90u3A=")</f>
        <v>#REF!</v>
      </c>
      <c r="DJ126" t="e">
        <f>AND('Qualification Mgr'!#REF!,"AAAAAD90u3E=")</f>
        <v>#REF!</v>
      </c>
      <c r="DK126" t="e">
        <f>AND('Qualification Mgr'!#REF!,"AAAAAD90u3I=")</f>
        <v>#REF!</v>
      </c>
      <c r="DL126" t="e">
        <f>AND('Qualification Mgr'!#REF!,"AAAAAD90u3M=")</f>
        <v>#REF!</v>
      </c>
      <c r="DM126" t="e">
        <f>IF('Qualification Mgr'!#REF!,"AAAAAD90u3Q=",0)</f>
        <v>#REF!</v>
      </c>
      <c r="DN126" t="e">
        <f>AND('Qualification Mgr'!#REF!,"AAAAAD90u3U=")</f>
        <v>#REF!</v>
      </c>
      <c r="DO126" t="e">
        <f>AND('Qualification Mgr'!#REF!,"AAAAAD90u3Y=")</f>
        <v>#REF!</v>
      </c>
      <c r="DP126" t="e">
        <f>AND('Qualification Mgr'!#REF!,"AAAAAD90u3c=")</f>
        <v>#REF!</v>
      </c>
      <c r="DQ126" t="e">
        <f>AND('Qualification Mgr'!#REF!,"AAAAAD90u3g=")</f>
        <v>#REF!</v>
      </c>
      <c r="DR126" t="e">
        <f>AND('Qualification Mgr'!#REF!,"AAAAAD90u3k=")</f>
        <v>#REF!</v>
      </c>
      <c r="DS126" t="e">
        <f>AND('Qualification Mgr'!#REF!,"AAAAAD90u3o=")</f>
        <v>#REF!</v>
      </c>
      <c r="DT126" t="e">
        <f>AND('Qualification Mgr'!#REF!,"AAAAAD90u3s=")</f>
        <v>#REF!</v>
      </c>
      <c r="DU126" t="e">
        <f>AND('Qualification Mgr'!#REF!,"AAAAAD90u3w=")</f>
        <v>#REF!</v>
      </c>
      <c r="DV126" t="e">
        <f>AND('Qualification Mgr'!#REF!,"AAAAAD90u30=")</f>
        <v>#REF!</v>
      </c>
      <c r="DW126" t="e">
        <f>AND('Qualification Mgr'!#REF!,"AAAAAD90u34=")</f>
        <v>#REF!</v>
      </c>
      <c r="DX126" t="e">
        <f>AND('Qualification Mgr'!#REF!,"AAAAAD90u38=")</f>
        <v>#REF!</v>
      </c>
      <c r="DY126" t="e">
        <f>AND('Qualification Mgr'!#REF!,"AAAAAD90u4A=")</f>
        <v>#REF!</v>
      </c>
      <c r="DZ126" t="e">
        <f>AND('Qualification Mgr'!#REF!,"AAAAAD90u4E=")</f>
        <v>#REF!</v>
      </c>
      <c r="EA126" t="e">
        <f>AND('Qualification Mgr'!#REF!,"AAAAAD90u4I=")</f>
        <v>#REF!</v>
      </c>
      <c r="EB126" t="e">
        <f>AND('Qualification Mgr'!#REF!,"AAAAAD90u4M=")</f>
        <v>#REF!</v>
      </c>
      <c r="EC126" t="e">
        <f>AND('Qualification Mgr'!#REF!,"AAAAAD90u4Q=")</f>
        <v>#REF!</v>
      </c>
      <c r="ED126" t="e">
        <f>IF('Qualification Mgr'!#REF!,"AAAAAD90u4U=",0)</f>
        <v>#REF!</v>
      </c>
      <c r="EE126" t="e">
        <f>AND('Qualification Mgr'!#REF!,"AAAAAD90u4Y=")</f>
        <v>#REF!</v>
      </c>
      <c r="EF126" t="e">
        <f>AND('Qualification Mgr'!#REF!,"AAAAAD90u4c=")</f>
        <v>#REF!</v>
      </c>
      <c r="EG126" t="e">
        <f>AND('Qualification Mgr'!#REF!,"AAAAAD90u4g=")</f>
        <v>#REF!</v>
      </c>
      <c r="EH126" t="e">
        <f>AND('Qualification Mgr'!#REF!,"AAAAAD90u4k=")</f>
        <v>#REF!</v>
      </c>
      <c r="EI126" t="e">
        <f>AND('Qualification Mgr'!#REF!,"AAAAAD90u4o=")</f>
        <v>#REF!</v>
      </c>
      <c r="EJ126" t="e">
        <f>AND('Qualification Mgr'!#REF!,"AAAAAD90u4s=")</f>
        <v>#REF!</v>
      </c>
      <c r="EK126" t="e">
        <f>AND('Qualification Mgr'!#REF!,"AAAAAD90u4w=")</f>
        <v>#REF!</v>
      </c>
      <c r="EL126" t="e">
        <f>AND('Qualification Mgr'!#REF!,"AAAAAD90u40=")</f>
        <v>#REF!</v>
      </c>
      <c r="EM126" t="e">
        <f>AND('Qualification Mgr'!#REF!,"AAAAAD90u44=")</f>
        <v>#REF!</v>
      </c>
      <c r="EN126" t="e">
        <f>AND('Qualification Mgr'!#REF!,"AAAAAD90u48=")</f>
        <v>#REF!</v>
      </c>
      <c r="EO126" t="e">
        <f>AND('Qualification Mgr'!#REF!,"AAAAAD90u5A=")</f>
        <v>#REF!</v>
      </c>
      <c r="EP126" t="e">
        <f>AND('Qualification Mgr'!#REF!,"AAAAAD90u5E=")</f>
        <v>#REF!</v>
      </c>
      <c r="EQ126" t="e">
        <f>AND('Qualification Mgr'!#REF!,"AAAAAD90u5I=")</f>
        <v>#REF!</v>
      </c>
      <c r="ER126" t="e">
        <f>AND('Qualification Mgr'!#REF!,"AAAAAD90u5M=")</f>
        <v>#REF!</v>
      </c>
      <c r="ES126" t="e">
        <f>AND('Qualification Mgr'!#REF!,"AAAAAD90u5Q=")</f>
        <v>#REF!</v>
      </c>
      <c r="ET126" t="e">
        <f>AND('Qualification Mgr'!#REF!,"AAAAAD90u5U=")</f>
        <v>#REF!</v>
      </c>
      <c r="EU126" t="e">
        <f>IF('Qualification Mgr'!#REF!,"AAAAAD90u5Y=",0)</f>
        <v>#REF!</v>
      </c>
      <c r="EV126" t="e">
        <f>AND('Qualification Mgr'!#REF!,"AAAAAD90u5c=")</f>
        <v>#REF!</v>
      </c>
      <c r="EW126" t="e">
        <f>AND('Qualification Mgr'!#REF!,"AAAAAD90u5g=")</f>
        <v>#REF!</v>
      </c>
      <c r="EX126" t="e">
        <f>AND('Qualification Mgr'!#REF!,"AAAAAD90u5k=")</f>
        <v>#REF!</v>
      </c>
      <c r="EY126" t="e">
        <f>AND('Qualification Mgr'!#REF!,"AAAAAD90u5o=")</f>
        <v>#REF!</v>
      </c>
      <c r="EZ126" t="e">
        <f>AND('Qualification Mgr'!#REF!,"AAAAAD90u5s=")</f>
        <v>#REF!</v>
      </c>
      <c r="FA126" t="e">
        <f>AND('Qualification Mgr'!#REF!,"AAAAAD90u5w=")</f>
        <v>#REF!</v>
      </c>
      <c r="FB126" t="e">
        <f>AND('Qualification Mgr'!#REF!,"AAAAAD90u50=")</f>
        <v>#REF!</v>
      </c>
      <c r="FC126" t="e">
        <f>AND('Qualification Mgr'!#REF!,"AAAAAD90u54=")</f>
        <v>#REF!</v>
      </c>
      <c r="FD126" t="e">
        <f>AND('Qualification Mgr'!#REF!,"AAAAAD90u58=")</f>
        <v>#REF!</v>
      </c>
      <c r="FE126" t="e">
        <f>AND('Qualification Mgr'!#REF!,"AAAAAD90u6A=")</f>
        <v>#REF!</v>
      </c>
      <c r="FF126" t="e">
        <f>AND('Qualification Mgr'!#REF!,"AAAAAD90u6E=")</f>
        <v>#REF!</v>
      </c>
      <c r="FG126" t="e">
        <f>AND('Qualification Mgr'!#REF!,"AAAAAD90u6I=")</f>
        <v>#REF!</v>
      </c>
      <c r="FH126" t="e">
        <f>AND('Qualification Mgr'!#REF!,"AAAAAD90u6M=")</f>
        <v>#REF!</v>
      </c>
      <c r="FI126" t="e">
        <f>AND('Qualification Mgr'!#REF!,"AAAAAD90u6Q=")</f>
        <v>#REF!</v>
      </c>
      <c r="FJ126" t="e">
        <f>AND('Qualification Mgr'!#REF!,"AAAAAD90u6U=")</f>
        <v>#REF!</v>
      </c>
      <c r="FK126" t="e">
        <f>AND('Qualification Mgr'!#REF!,"AAAAAD90u6Y=")</f>
        <v>#REF!</v>
      </c>
      <c r="FL126" t="e">
        <f>IF('Qualification Mgr'!#REF!,"AAAAAD90u6c=",0)</f>
        <v>#REF!</v>
      </c>
      <c r="FM126" t="e">
        <f>AND('Qualification Mgr'!#REF!,"AAAAAD90u6g=")</f>
        <v>#REF!</v>
      </c>
      <c r="FN126" t="e">
        <f>AND('Qualification Mgr'!#REF!,"AAAAAD90u6k=")</f>
        <v>#REF!</v>
      </c>
      <c r="FO126" t="e">
        <f>AND('Qualification Mgr'!#REF!,"AAAAAD90u6o=")</f>
        <v>#REF!</v>
      </c>
      <c r="FP126" t="e">
        <f>AND('Qualification Mgr'!#REF!,"AAAAAD90u6s=")</f>
        <v>#REF!</v>
      </c>
      <c r="FQ126" t="e">
        <f>AND('Qualification Mgr'!#REF!,"AAAAAD90u6w=")</f>
        <v>#REF!</v>
      </c>
      <c r="FR126" t="e">
        <f>AND('Qualification Mgr'!#REF!,"AAAAAD90u60=")</f>
        <v>#REF!</v>
      </c>
      <c r="FS126" t="e">
        <f>AND('Qualification Mgr'!#REF!,"AAAAAD90u64=")</f>
        <v>#REF!</v>
      </c>
      <c r="FT126" t="e">
        <f>AND('Qualification Mgr'!#REF!,"AAAAAD90u68=")</f>
        <v>#REF!</v>
      </c>
      <c r="FU126" t="e">
        <f>AND('Qualification Mgr'!#REF!,"AAAAAD90u7A=")</f>
        <v>#REF!</v>
      </c>
      <c r="FV126" t="e">
        <f>AND('Qualification Mgr'!#REF!,"AAAAAD90u7E=")</f>
        <v>#REF!</v>
      </c>
      <c r="FW126" t="e">
        <f>AND('Qualification Mgr'!#REF!,"AAAAAD90u7I=")</f>
        <v>#REF!</v>
      </c>
      <c r="FX126" t="e">
        <f>AND('Qualification Mgr'!#REF!,"AAAAAD90u7M=")</f>
        <v>#REF!</v>
      </c>
      <c r="FY126" t="e">
        <f>AND('Qualification Mgr'!#REF!,"AAAAAD90u7Q=")</f>
        <v>#REF!</v>
      </c>
      <c r="FZ126" t="e">
        <f>AND('Qualification Mgr'!#REF!,"AAAAAD90u7U=")</f>
        <v>#REF!</v>
      </c>
      <c r="GA126" t="e">
        <f>AND('Qualification Mgr'!#REF!,"AAAAAD90u7Y=")</f>
        <v>#REF!</v>
      </c>
      <c r="GB126" t="e">
        <f>AND('Qualification Mgr'!#REF!,"AAAAAD90u7c=")</f>
        <v>#REF!</v>
      </c>
      <c r="GC126" t="e">
        <f>IF('Qualification Mgr'!#REF!,"AAAAAD90u7g=",0)</f>
        <v>#REF!</v>
      </c>
      <c r="GD126" t="e">
        <f>AND('Qualification Mgr'!#REF!,"AAAAAD90u7k=")</f>
        <v>#REF!</v>
      </c>
      <c r="GE126" t="e">
        <f>AND('Qualification Mgr'!#REF!,"AAAAAD90u7o=")</f>
        <v>#REF!</v>
      </c>
      <c r="GF126" t="e">
        <f>AND('Qualification Mgr'!#REF!,"AAAAAD90u7s=")</f>
        <v>#REF!</v>
      </c>
      <c r="GG126" t="e">
        <f>AND('Qualification Mgr'!#REF!,"AAAAAD90u7w=")</f>
        <v>#REF!</v>
      </c>
      <c r="GH126" t="e">
        <f>AND('Qualification Mgr'!#REF!,"AAAAAD90u70=")</f>
        <v>#REF!</v>
      </c>
      <c r="GI126" t="e">
        <f>AND('Qualification Mgr'!#REF!,"AAAAAD90u74=")</f>
        <v>#REF!</v>
      </c>
      <c r="GJ126" t="e">
        <f>AND('Qualification Mgr'!#REF!,"AAAAAD90u78=")</f>
        <v>#REF!</v>
      </c>
      <c r="GK126" t="e">
        <f>AND('Qualification Mgr'!#REF!,"AAAAAD90u8A=")</f>
        <v>#REF!</v>
      </c>
      <c r="GL126" t="e">
        <f>AND('Qualification Mgr'!#REF!,"AAAAAD90u8E=")</f>
        <v>#REF!</v>
      </c>
      <c r="GM126" t="e">
        <f>AND('Qualification Mgr'!#REF!,"AAAAAD90u8I=")</f>
        <v>#REF!</v>
      </c>
      <c r="GN126" t="e">
        <f>AND('Qualification Mgr'!#REF!,"AAAAAD90u8M=")</f>
        <v>#REF!</v>
      </c>
      <c r="GO126" t="e">
        <f>AND('Qualification Mgr'!#REF!,"AAAAAD90u8Q=")</f>
        <v>#REF!</v>
      </c>
      <c r="GP126" t="e">
        <f>AND('Qualification Mgr'!#REF!,"AAAAAD90u8U=")</f>
        <v>#REF!</v>
      </c>
      <c r="GQ126" t="e">
        <f>AND('Qualification Mgr'!#REF!,"AAAAAD90u8Y=")</f>
        <v>#REF!</v>
      </c>
      <c r="GR126" t="e">
        <f>AND('Qualification Mgr'!#REF!,"AAAAAD90u8c=")</f>
        <v>#REF!</v>
      </c>
      <c r="GS126" t="e">
        <f>AND('Qualification Mgr'!#REF!,"AAAAAD90u8g=")</f>
        <v>#REF!</v>
      </c>
      <c r="GT126" t="e">
        <f>IF('Qualification Mgr'!#REF!,"AAAAAD90u8k=",0)</f>
        <v>#REF!</v>
      </c>
      <c r="GU126" t="e">
        <f>AND('Qualification Mgr'!#REF!,"AAAAAD90u8o=")</f>
        <v>#REF!</v>
      </c>
      <c r="GV126" t="e">
        <f>AND('Qualification Mgr'!#REF!,"AAAAAD90u8s=")</f>
        <v>#REF!</v>
      </c>
      <c r="GW126" t="e">
        <f>AND('Qualification Mgr'!#REF!,"AAAAAD90u8w=")</f>
        <v>#REF!</v>
      </c>
      <c r="GX126" t="e">
        <f>AND('Qualification Mgr'!#REF!,"AAAAAD90u80=")</f>
        <v>#REF!</v>
      </c>
      <c r="GY126" t="e">
        <f>AND('Qualification Mgr'!#REF!,"AAAAAD90u84=")</f>
        <v>#REF!</v>
      </c>
      <c r="GZ126" t="e">
        <f>AND('Qualification Mgr'!#REF!,"AAAAAD90u88=")</f>
        <v>#REF!</v>
      </c>
      <c r="HA126" t="e">
        <f>AND('Qualification Mgr'!#REF!,"AAAAAD90u9A=")</f>
        <v>#REF!</v>
      </c>
      <c r="HB126" t="e">
        <f>AND('Qualification Mgr'!#REF!,"AAAAAD90u9E=")</f>
        <v>#REF!</v>
      </c>
      <c r="HC126" t="e">
        <f>AND('Qualification Mgr'!#REF!,"AAAAAD90u9I=")</f>
        <v>#REF!</v>
      </c>
      <c r="HD126" t="e">
        <f>AND('Qualification Mgr'!#REF!,"AAAAAD90u9M=")</f>
        <v>#REF!</v>
      </c>
      <c r="HE126" t="e">
        <f>AND('Qualification Mgr'!#REF!,"AAAAAD90u9Q=")</f>
        <v>#REF!</v>
      </c>
      <c r="HF126" t="e">
        <f>AND('Qualification Mgr'!#REF!,"AAAAAD90u9U=")</f>
        <v>#REF!</v>
      </c>
      <c r="HG126" t="e">
        <f>AND('Qualification Mgr'!#REF!,"AAAAAD90u9Y=")</f>
        <v>#REF!</v>
      </c>
      <c r="HH126" t="e">
        <f>AND('Qualification Mgr'!#REF!,"AAAAAD90u9c=")</f>
        <v>#REF!</v>
      </c>
      <c r="HI126" t="e">
        <f>AND('Qualification Mgr'!#REF!,"AAAAAD90u9g=")</f>
        <v>#REF!</v>
      </c>
      <c r="HJ126" t="e">
        <f>AND('Qualification Mgr'!#REF!,"AAAAAD90u9k=")</f>
        <v>#REF!</v>
      </c>
      <c r="HK126" t="e">
        <f>IF('Qualification Mgr'!#REF!,"AAAAAD90u9o=",0)</f>
        <v>#REF!</v>
      </c>
      <c r="HL126" t="e">
        <f>AND('Qualification Mgr'!#REF!,"AAAAAD90u9s=")</f>
        <v>#REF!</v>
      </c>
      <c r="HM126" t="e">
        <f>AND('Qualification Mgr'!#REF!,"AAAAAD90u9w=")</f>
        <v>#REF!</v>
      </c>
      <c r="HN126" t="e">
        <f>AND('Qualification Mgr'!#REF!,"AAAAAD90u90=")</f>
        <v>#REF!</v>
      </c>
      <c r="HO126" t="e">
        <f>AND('Qualification Mgr'!#REF!,"AAAAAD90u94=")</f>
        <v>#REF!</v>
      </c>
      <c r="HP126" t="e">
        <f>AND('Qualification Mgr'!#REF!,"AAAAAD90u98=")</f>
        <v>#REF!</v>
      </c>
      <c r="HQ126" t="e">
        <f>AND('Qualification Mgr'!#REF!,"AAAAAD90u+A=")</f>
        <v>#REF!</v>
      </c>
      <c r="HR126" t="e">
        <f>AND('Qualification Mgr'!#REF!,"AAAAAD90u+E=")</f>
        <v>#REF!</v>
      </c>
      <c r="HS126" t="e">
        <f>AND('Qualification Mgr'!#REF!,"AAAAAD90u+I=")</f>
        <v>#REF!</v>
      </c>
      <c r="HT126" t="e">
        <f>AND('Qualification Mgr'!#REF!,"AAAAAD90u+M=")</f>
        <v>#REF!</v>
      </c>
      <c r="HU126" t="e">
        <f>AND('Qualification Mgr'!#REF!,"AAAAAD90u+Q=")</f>
        <v>#REF!</v>
      </c>
      <c r="HV126" t="e">
        <f>AND('Qualification Mgr'!#REF!,"AAAAAD90u+U=")</f>
        <v>#REF!</v>
      </c>
      <c r="HW126" t="e">
        <f>AND('Qualification Mgr'!#REF!,"AAAAAD90u+Y=")</f>
        <v>#REF!</v>
      </c>
      <c r="HX126" t="e">
        <f>AND('Qualification Mgr'!#REF!,"AAAAAD90u+c=")</f>
        <v>#REF!</v>
      </c>
      <c r="HY126" t="e">
        <f>AND('Qualification Mgr'!#REF!,"AAAAAD90u+g=")</f>
        <v>#REF!</v>
      </c>
      <c r="HZ126" t="e">
        <f>AND('Qualification Mgr'!#REF!,"AAAAAD90u+k=")</f>
        <v>#REF!</v>
      </c>
      <c r="IA126" t="e">
        <f>AND('Qualification Mgr'!#REF!,"AAAAAD90u+o=")</f>
        <v>#REF!</v>
      </c>
      <c r="IB126" t="e">
        <f>IF('Qualification Mgr'!#REF!,"AAAAAD90u+s=",0)</f>
        <v>#REF!</v>
      </c>
      <c r="IC126" t="e">
        <f>AND('Qualification Mgr'!#REF!,"AAAAAD90u+w=")</f>
        <v>#REF!</v>
      </c>
      <c r="ID126" t="e">
        <f>AND('Qualification Mgr'!#REF!,"AAAAAD90u+0=")</f>
        <v>#REF!</v>
      </c>
      <c r="IE126" t="e">
        <f>AND('Qualification Mgr'!#REF!,"AAAAAD90u+4=")</f>
        <v>#REF!</v>
      </c>
      <c r="IF126" t="e">
        <f>AND('Qualification Mgr'!#REF!,"AAAAAD90u+8=")</f>
        <v>#REF!</v>
      </c>
      <c r="IG126" t="e">
        <f>AND('Qualification Mgr'!#REF!,"AAAAAD90u/A=")</f>
        <v>#REF!</v>
      </c>
      <c r="IH126" t="e">
        <f>AND('Qualification Mgr'!#REF!,"AAAAAD90u/E=")</f>
        <v>#REF!</v>
      </c>
      <c r="II126" t="e">
        <f>AND('Qualification Mgr'!#REF!,"AAAAAD90u/I=")</f>
        <v>#REF!</v>
      </c>
      <c r="IJ126" t="e">
        <f>AND('Qualification Mgr'!#REF!,"AAAAAD90u/M=")</f>
        <v>#REF!</v>
      </c>
      <c r="IK126" t="e">
        <f>AND('Qualification Mgr'!#REF!,"AAAAAD90u/Q=")</f>
        <v>#REF!</v>
      </c>
      <c r="IL126" t="e">
        <f>AND('Qualification Mgr'!#REF!,"AAAAAD90u/U=")</f>
        <v>#REF!</v>
      </c>
      <c r="IM126" t="e">
        <f>AND('Qualification Mgr'!#REF!,"AAAAAD90u/Y=")</f>
        <v>#REF!</v>
      </c>
      <c r="IN126" t="e">
        <f>AND('Qualification Mgr'!#REF!,"AAAAAD90u/c=")</f>
        <v>#REF!</v>
      </c>
      <c r="IO126" t="e">
        <f>AND('Qualification Mgr'!#REF!,"AAAAAD90u/g=")</f>
        <v>#REF!</v>
      </c>
      <c r="IP126" t="e">
        <f>AND('Qualification Mgr'!#REF!,"AAAAAD90u/k=")</f>
        <v>#REF!</v>
      </c>
      <c r="IQ126" t="e">
        <f>AND('Qualification Mgr'!#REF!,"AAAAAD90u/o=")</f>
        <v>#REF!</v>
      </c>
      <c r="IR126" t="e">
        <f>AND('Qualification Mgr'!#REF!,"AAAAAD90u/s=")</f>
        <v>#REF!</v>
      </c>
      <c r="IS126" t="e">
        <f>IF('Qualification Mgr'!#REF!,"AAAAAD90u/w=",0)</f>
        <v>#REF!</v>
      </c>
      <c r="IT126" t="e">
        <f>AND('Qualification Mgr'!#REF!,"AAAAAD90u/0=")</f>
        <v>#REF!</v>
      </c>
      <c r="IU126" t="e">
        <f>AND('Qualification Mgr'!#REF!,"AAAAAD90u/4=")</f>
        <v>#REF!</v>
      </c>
      <c r="IV126" t="e">
        <f>AND('Qualification Mgr'!#REF!,"AAAAAD90u/8=")</f>
        <v>#REF!</v>
      </c>
    </row>
    <row r="127" spans="1:256" x14ac:dyDescent="0.2">
      <c r="A127" t="e">
        <f>AND('Qualification Mgr'!#REF!,"AAAAAHz+nwA=")</f>
        <v>#REF!</v>
      </c>
      <c r="B127" t="e">
        <f>AND('Qualification Mgr'!#REF!,"AAAAAHz+nwE=")</f>
        <v>#REF!</v>
      </c>
      <c r="C127" t="e">
        <f>AND('Qualification Mgr'!#REF!,"AAAAAHz+nwI=")</f>
        <v>#REF!</v>
      </c>
      <c r="D127" t="e">
        <f>AND('Qualification Mgr'!#REF!,"AAAAAHz+nwM=")</f>
        <v>#REF!</v>
      </c>
      <c r="E127" t="e">
        <f>AND('Qualification Mgr'!#REF!,"AAAAAHz+nwQ=")</f>
        <v>#REF!</v>
      </c>
      <c r="F127" t="e">
        <f>AND('Qualification Mgr'!#REF!,"AAAAAHz+nwU=")</f>
        <v>#REF!</v>
      </c>
      <c r="G127" t="e">
        <f>AND('Qualification Mgr'!#REF!,"AAAAAHz+nwY=")</f>
        <v>#REF!</v>
      </c>
      <c r="H127" t="e">
        <f>AND('Qualification Mgr'!#REF!,"AAAAAHz+nwc=")</f>
        <v>#REF!</v>
      </c>
      <c r="I127" t="e">
        <f>AND('Qualification Mgr'!#REF!,"AAAAAHz+nwg=")</f>
        <v>#REF!</v>
      </c>
      <c r="J127" t="e">
        <f>AND('Qualification Mgr'!#REF!,"AAAAAHz+nwk=")</f>
        <v>#REF!</v>
      </c>
      <c r="K127" t="e">
        <f>AND('Qualification Mgr'!#REF!,"AAAAAHz+nwo=")</f>
        <v>#REF!</v>
      </c>
      <c r="L127" t="e">
        <f>AND('Qualification Mgr'!#REF!,"AAAAAHz+nws=")</f>
        <v>#REF!</v>
      </c>
      <c r="M127" t="e">
        <f>AND('Qualification Mgr'!#REF!,"AAAAAHz+nww=")</f>
        <v>#REF!</v>
      </c>
      <c r="N127" t="e">
        <f>IF('Qualification Mgr'!#REF!,"AAAAAHz+nw0=",0)</f>
        <v>#REF!</v>
      </c>
      <c r="O127" t="e">
        <f>AND('Qualification Mgr'!#REF!,"AAAAAHz+nw4=")</f>
        <v>#REF!</v>
      </c>
      <c r="P127" t="e">
        <f>AND('Qualification Mgr'!#REF!,"AAAAAHz+nw8=")</f>
        <v>#REF!</v>
      </c>
      <c r="Q127" t="e">
        <f>AND('Qualification Mgr'!#REF!,"AAAAAHz+nxA=")</f>
        <v>#REF!</v>
      </c>
      <c r="R127" t="e">
        <f>AND('Qualification Mgr'!#REF!,"AAAAAHz+nxE=")</f>
        <v>#REF!</v>
      </c>
      <c r="S127" t="e">
        <f>AND('Qualification Mgr'!#REF!,"AAAAAHz+nxI=")</f>
        <v>#REF!</v>
      </c>
      <c r="T127" t="e">
        <f>AND('Qualification Mgr'!#REF!,"AAAAAHz+nxM=")</f>
        <v>#REF!</v>
      </c>
      <c r="U127" t="e">
        <f>AND('Qualification Mgr'!#REF!,"AAAAAHz+nxQ=")</f>
        <v>#REF!</v>
      </c>
      <c r="V127" t="e">
        <f>AND('Qualification Mgr'!#REF!,"AAAAAHz+nxU=")</f>
        <v>#REF!</v>
      </c>
      <c r="W127" t="e">
        <f>AND('Qualification Mgr'!#REF!,"AAAAAHz+nxY=")</f>
        <v>#REF!</v>
      </c>
      <c r="X127" t="e">
        <f>AND('Qualification Mgr'!#REF!,"AAAAAHz+nxc=")</f>
        <v>#REF!</v>
      </c>
      <c r="Y127" t="e">
        <f>AND('Qualification Mgr'!#REF!,"AAAAAHz+nxg=")</f>
        <v>#REF!</v>
      </c>
      <c r="Z127" t="e">
        <f>AND('Qualification Mgr'!#REF!,"AAAAAHz+nxk=")</f>
        <v>#REF!</v>
      </c>
      <c r="AA127" t="e">
        <f>AND('Qualification Mgr'!#REF!,"AAAAAHz+nxo=")</f>
        <v>#REF!</v>
      </c>
      <c r="AB127" t="e">
        <f>AND('Qualification Mgr'!#REF!,"AAAAAHz+nxs=")</f>
        <v>#REF!</v>
      </c>
      <c r="AC127" t="e">
        <f>AND('Qualification Mgr'!#REF!,"AAAAAHz+nxw=")</f>
        <v>#REF!</v>
      </c>
      <c r="AD127" t="e">
        <f>AND('Qualification Mgr'!#REF!,"AAAAAHz+nx0=")</f>
        <v>#REF!</v>
      </c>
      <c r="AE127" t="e">
        <f>IF('Qualification Mgr'!#REF!,"AAAAAHz+nx4=",0)</f>
        <v>#REF!</v>
      </c>
      <c r="AF127" t="e">
        <f>AND('Qualification Mgr'!#REF!,"AAAAAHz+nx8=")</f>
        <v>#REF!</v>
      </c>
      <c r="AG127" t="e">
        <f>AND('Qualification Mgr'!#REF!,"AAAAAHz+nyA=")</f>
        <v>#REF!</v>
      </c>
      <c r="AH127" t="e">
        <f>AND('Qualification Mgr'!#REF!,"AAAAAHz+nyE=")</f>
        <v>#REF!</v>
      </c>
      <c r="AI127" t="e">
        <f>AND('Qualification Mgr'!#REF!,"AAAAAHz+nyI=")</f>
        <v>#REF!</v>
      </c>
      <c r="AJ127" t="e">
        <f>AND('Qualification Mgr'!#REF!,"AAAAAHz+nyM=")</f>
        <v>#REF!</v>
      </c>
      <c r="AK127" t="e">
        <f>AND('Qualification Mgr'!#REF!,"AAAAAHz+nyQ=")</f>
        <v>#REF!</v>
      </c>
      <c r="AL127" t="e">
        <f>AND('Qualification Mgr'!#REF!,"AAAAAHz+nyU=")</f>
        <v>#REF!</v>
      </c>
      <c r="AM127" t="e">
        <f>AND('Qualification Mgr'!#REF!,"AAAAAHz+nyY=")</f>
        <v>#REF!</v>
      </c>
      <c r="AN127" t="e">
        <f>AND('Qualification Mgr'!#REF!,"AAAAAHz+nyc=")</f>
        <v>#REF!</v>
      </c>
      <c r="AO127" t="e">
        <f>AND('Qualification Mgr'!#REF!,"AAAAAHz+nyg=")</f>
        <v>#REF!</v>
      </c>
      <c r="AP127" t="e">
        <f>AND('Qualification Mgr'!#REF!,"AAAAAHz+nyk=")</f>
        <v>#REF!</v>
      </c>
      <c r="AQ127" t="e">
        <f>AND('Qualification Mgr'!#REF!,"AAAAAHz+nyo=")</f>
        <v>#REF!</v>
      </c>
      <c r="AR127" t="e">
        <f>AND('Qualification Mgr'!#REF!,"AAAAAHz+nys=")</f>
        <v>#REF!</v>
      </c>
      <c r="AS127" t="e">
        <f>AND('Qualification Mgr'!#REF!,"AAAAAHz+nyw=")</f>
        <v>#REF!</v>
      </c>
      <c r="AT127" t="e">
        <f>AND('Qualification Mgr'!#REF!,"AAAAAHz+ny0=")</f>
        <v>#REF!</v>
      </c>
      <c r="AU127" t="e">
        <f>AND('Qualification Mgr'!#REF!,"AAAAAHz+ny4=")</f>
        <v>#REF!</v>
      </c>
      <c r="AV127" t="e">
        <f>IF('Qualification Mgr'!#REF!,"AAAAAHz+ny8=",0)</f>
        <v>#REF!</v>
      </c>
      <c r="AW127" t="e">
        <f>AND('Qualification Mgr'!#REF!,"AAAAAHz+nzA=")</f>
        <v>#REF!</v>
      </c>
      <c r="AX127" t="e">
        <f>AND('Qualification Mgr'!#REF!,"AAAAAHz+nzE=")</f>
        <v>#REF!</v>
      </c>
      <c r="AY127" t="e">
        <f>AND('Qualification Mgr'!#REF!,"AAAAAHz+nzI=")</f>
        <v>#REF!</v>
      </c>
      <c r="AZ127" t="e">
        <f>AND('Qualification Mgr'!#REF!,"AAAAAHz+nzM=")</f>
        <v>#REF!</v>
      </c>
      <c r="BA127" t="e">
        <f>AND('Qualification Mgr'!#REF!,"AAAAAHz+nzQ=")</f>
        <v>#REF!</v>
      </c>
      <c r="BB127" t="e">
        <f>AND('Qualification Mgr'!#REF!,"AAAAAHz+nzU=")</f>
        <v>#REF!</v>
      </c>
      <c r="BC127" t="e">
        <f>AND('Qualification Mgr'!#REF!,"AAAAAHz+nzY=")</f>
        <v>#REF!</v>
      </c>
      <c r="BD127" t="e">
        <f>AND('Qualification Mgr'!#REF!,"AAAAAHz+nzc=")</f>
        <v>#REF!</v>
      </c>
      <c r="BE127" t="e">
        <f>AND('Qualification Mgr'!#REF!,"AAAAAHz+nzg=")</f>
        <v>#REF!</v>
      </c>
      <c r="BF127" t="e">
        <f>AND('Qualification Mgr'!#REF!,"AAAAAHz+nzk=")</f>
        <v>#REF!</v>
      </c>
      <c r="BG127" t="e">
        <f>AND('Qualification Mgr'!#REF!,"AAAAAHz+nzo=")</f>
        <v>#REF!</v>
      </c>
      <c r="BH127" t="e">
        <f>AND('Qualification Mgr'!#REF!,"AAAAAHz+nzs=")</f>
        <v>#REF!</v>
      </c>
      <c r="BI127" t="e">
        <f>AND('Qualification Mgr'!#REF!,"AAAAAHz+nzw=")</f>
        <v>#REF!</v>
      </c>
      <c r="BJ127" t="e">
        <f>AND('Qualification Mgr'!#REF!,"AAAAAHz+nz0=")</f>
        <v>#REF!</v>
      </c>
      <c r="BK127" t="e">
        <f>AND('Qualification Mgr'!#REF!,"AAAAAHz+nz4=")</f>
        <v>#REF!</v>
      </c>
      <c r="BL127" t="e">
        <f>AND('Qualification Mgr'!#REF!,"AAAAAHz+nz8=")</f>
        <v>#REF!</v>
      </c>
      <c r="BM127" t="e">
        <f>IF('Qualification Mgr'!#REF!,"AAAAAHz+n0A=",0)</f>
        <v>#REF!</v>
      </c>
      <c r="BN127" t="e">
        <f>AND('Qualification Mgr'!#REF!,"AAAAAHz+n0E=")</f>
        <v>#REF!</v>
      </c>
      <c r="BO127" t="e">
        <f>AND('Qualification Mgr'!#REF!,"AAAAAHz+n0I=")</f>
        <v>#REF!</v>
      </c>
      <c r="BP127" t="e">
        <f>AND('Qualification Mgr'!#REF!,"AAAAAHz+n0M=")</f>
        <v>#REF!</v>
      </c>
      <c r="BQ127" t="e">
        <f>AND('Qualification Mgr'!#REF!,"AAAAAHz+n0Q=")</f>
        <v>#REF!</v>
      </c>
      <c r="BR127" t="e">
        <f>AND('Qualification Mgr'!#REF!,"AAAAAHz+n0U=")</f>
        <v>#REF!</v>
      </c>
      <c r="BS127" t="e">
        <f>AND('Qualification Mgr'!#REF!,"AAAAAHz+n0Y=")</f>
        <v>#REF!</v>
      </c>
      <c r="BT127" t="e">
        <f>AND('Qualification Mgr'!#REF!,"AAAAAHz+n0c=")</f>
        <v>#REF!</v>
      </c>
      <c r="BU127" t="e">
        <f>AND('Qualification Mgr'!#REF!,"AAAAAHz+n0g=")</f>
        <v>#REF!</v>
      </c>
      <c r="BV127" t="e">
        <f>AND('Qualification Mgr'!#REF!,"AAAAAHz+n0k=")</f>
        <v>#REF!</v>
      </c>
      <c r="BW127" t="e">
        <f>AND('Qualification Mgr'!#REF!,"AAAAAHz+n0o=")</f>
        <v>#REF!</v>
      </c>
      <c r="BX127" t="e">
        <f>AND('Qualification Mgr'!#REF!,"AAAAAHz+n0s=")</f>
        <v>#REF!</v>
      </c>
      <c r="BY127" t="e">
        <f>AND('Qualification Mgr'!#REF!,"AAAAAHz+n0w=")</f>
        <v>#REF!</v>
      </c>
      <c r="BZ127" t="e">
        <f>AND('Qualification Mgr'!#REF!,"AAAAAHz+n00=")</f>
        <v>#REF!</v>
      </c>
      <c r="CA127" t="e">
        <f>AND('Qualification Mgr'!#REF!,"AAAAAHz+n04=")</f>
        <v>#REF!</v>
      </c>
      <c r="CB127" t="e">
        <f>AND('Qualification Mgr'!#REF!,"AAAAAHz+n08=")</f>
        <v>#REF!</v>
      </c>
      <c r="CC127" t="e">
        <f>AND('Qualification Mgr'!#REF!,"AAAAAHz+n1A=")</f>
        <v>#REF!</v>
      </c>
      <c r="CD127" t="e">
        <f>IF('Qualification Mgr'!#REF!,"AAAAAHz+n1E=",0)</f>
        <v>#REF!</v>
      </c>
      <c r="CE127" t="e">
        <f>AND('Qualification Mgr'!#REF!,"AAAAAHz+n1I=")</f>
        <v>#REF!</v>
      </c>
      <c r="CF127" t="e">
        <f>AND('Qualification Mgr'!#REF!,"AAAAAHz+n1M=")</f>
        <v>#REF!</v>
      </c>
      <c r="CG127" t="e">
        <f>AND('Qualification Mgr'!#REF!,"AAAAAHz+n1Q=")</f>
        <v>#REF!</v>
      </c>
      <c r="CH127" t="e">
        <f>AND('Qualification Mgr'!#REF!,"AAAAAHz+n1U=")</f>
        <v>#REF!</v>
      </c>
      <c r="CI127" t="e">
        <f>AND('Qualification Mgr'!#REF!,"AAAAAHz+n1Y=")</f>
        <v>#REF!</v>
      </c>
      <c r="CJ127" t="e">
        <f>AND('Qualification Mgr'!#REF!,"AAAAAHz+n1c=")</f>
        <v>#REF!</v>
      </c>
      <c r="CK127" t="e">
        <f>AND('Qualification Mgr'!#REF!,"AAAAAHz+n1g=")</f>
        <v>#REF!</v>
      </c>
      <c r="CL127" t="e">
        <f>AND('Qualification Mgr'!#REF!,"AAAAAHz+n1k=")</f>
        <v>#REF!</v>
      </c>
      <c r="CM127" t="e">
        <f>AND('Qualification Mgr'!#REF!,"AAAAAHz+n1o=")</f>
        <v>#REF!</v>
      </c>
      <c r="CN127" t="e">
        <f>AND('Qualification Mgr'!#REF!,"AAAAAHz+n1s=")</f>
        <v>#REF!</v>
      </c>
      <c r="CO127" t="e">
        <f>AND('Qualification Mgr'!#REF!,"AAAAAHz+n1w=")</f>
        <v>#REF!</v>
      </c>
      <c r="CP127" t="e">
        <f>AND('Qualification Mgr'!#REF!,"AAAAAHz+n10=")</f>
        <v>#REF!</v>
      </c>
      <c r="CQ127" t="e">
        <f>AND('Qualification Mgr'!#REF!,"AAAAAHz+n14=")</f>
        <v>#REF!</v>
      </c>
      <c r="CR127" t="e">
        <f>AND('Qualification Mgr'!#REF!,"AAAAAHz+n18=")</f>
        <v>#REF!</v>
      </c>
      <c r="CS127" t="e">
        <f>AND('Qualification Mgr'!#REF!,"AAAAAHz+n2A=")</f>
        <v>#REF!</v>
      </c>
      <c r="CT127" t="e">
        <f>AND('Qualification Mgr'!#REF!,"AAAAAHz+n2E=")</f>
        <v>#REF!</v>
      </c>
      <c r="CU127" t="e">
        <f>IF('Qualification Mgr'!#REF!,"AAAAAHz+n2I=",0)</f>
        <v>#REF!</v>
      </c>
      <c r="CV127" t="e">
        <f>AND('Qualification Mgr'!#REF!,"AAAAAHz+n2M=")</f>
        <v>#REF!</v>
      </c>
      <c r="CW127" t="e">
        <f>AND('Qualification Mgr'!#REF!,"AAAAAHz+n2Q=")</f>
        <v>#REF!</v>
      </c>
      <c r="CX127" t="e">
        <f>AND('Qualification Mgr'!#REF!,"AAAAAHz+n2U=")</f>
        <v>#REF!</v>
      </c>
      <c r="CY127" t="e">
        <f>AND('Qualification Mgr'!#REF!,"AAAAAHz+n2Y=")</f>
        <v>#REF!</v>
      </c>
      <c r="CZ127" t="e">
        <f>AND('Qualification Mgr'!#REF!,"AAAAAHz+n2c=")</f>
        <v>#REF!</v>
      </c>
      <c r="DA127" t="e">
        <f>AND('Qualification Mgr'!#REF!,"AAAAAHz+n2g=")</f>
        <v>#REF!</v>
      </c>
      <c r="DB127" t="e">
        <f>AND('Qualification Mgr'!#REF!,"AAAAAHz+n2k=")</f>
        <v>#REF!</v>
      </c>
      <c r="DC127" t="e">
        <f>AND('Qualification Mgr'!#REF!,"AAAAAHz+n2o=")</f>
        <v>#REF!</v>
      </c>
      <c r="DD127" t="e">
        <f>AND('Qualification Mgr'!#REF!,"AAAAAHz+n2s=")</f>
        <v>#REF!</v>
      </c>
      <c r="DE127" t="e">
        <f>AND('Qualification Mgr'!#REF!,"AAAAAHz+n2w=")</f>
        <v>#REF!</v>
      </c>
      <c r="DF127" t="e">
        <f>AND('Qualification Mgr'!#REF!,"AAAAAHz+n20=")</f>
        <v>#REF!</v>
      </c>
      <c r="DG127" t="e">
        <f>AND('Qualification Mgr'!#REF!,"AAAAAHz+n24=")</f>
        <v>#REF!</v>
      </c>
      <c r="DH127" t="e">
        <f>AND('Qualification Mgr'!#REF!,"AAAAAHz+n28=")</f>
        <v>#REF!</v>
      </c>
      <c r="DI127" t="e">
        <f>AND('Qualification Mgr'!#REF!,"AAAAAHz+n3A=")</f>
        <v>#REF!</v>
      </c>
      <c r="DJ127" t="e">
        <f>AND('Qualification Mgr'!#REF!,"AAAAAHz+n3E=")</f>
        <v>#REF!</v>
      </c>
      <c r="DK127" t="e">
        <f>AND('Qualification Mgr'!#REF!,"AAAAAHz+n3I=")</f>
        <v>#REF!</v>
      </c>
      <c r="DL127" t="e">
        <f>IF('Qualification Mgr'!#REF!,"AAAAAHz+n3M=",0)</f>
        <v>#REF!</v>
      </c>
      <c r="DM127" t="e">
        <f>AND('Qualification Mgr'!#REF!,"AAAAAHz+n3Q=")</f>
        <v>#REF!</v>
      </c>
      <c r="DN127" t="e">
        <f>AND('Qualification Mgr'!#REF!,"AAAAAHz+n3U=")</f>
        <v>#REF!</v>
      </c>
      <c r="DO127" t="e">
        <f>AND('Qualification Mgr'!#REF!,"AAAAAHz+n3Y=")</f>
        <v>#REF!</v>
      </c>
      <c r="DP127" t="e">
        <f>AND('Qualification Mgr'!#REF!,"AAAAAHz+n3c=")</f>
        <v>#REF!</v>
      </c>
      <c r="DQ127" t="e">
        <f>AND('Qualification Mgr'!#REF!,"AAAAAHz+n3g=")</f>
        <v>#REF!</v>
      </c>
      <c r="DR127" t="e">
        <f>AND('Qualification Mgr'!#REF!,"AAAAAHz+n3k=")</f>
        <v>#REF!</v>
      </c>
      <c r="DS127" t="e">
        <f>AND('Qualification Mgr'!#REF!,"AAAAAHz+n3o=")</f>
        <v>#REF!</v>
      </c>
      <c r="DT127" t="e">
        <f>AND('Qualification Mgr'!#REF!,"AAAAAHz+n3s=")</f>
        <v>#REF!</v>
      </c>
      <c r="DU127" t="e">
        <f>AND('Qualification Mgr'!#REF!,"AAAAAHz+n3w=")</f>
        <v>#REF!</v>
      </c>
      <c r="DV127" t="e">
        <f>AND('Qualification Mgr'!#REF!,"AAAAAHz+n30=")</f>
        <v>#REF!</v>
      </c>
      <c r="DW127" t="e">
        <f>AND('Qualification Mgr'!#REF!,"AAAAAHz+n34=")</f>
        <v>#REF!</v>
      </c>
      <c r="DX127" t="e">
        <f>AND('Qualification Mgr'!#REF!,"AAAAAHz+n38=")</f>
        <v>#REF!</v>
      </c>
      <c r="DY127" t="e">
        <f>AND('Qualification Mgr'!#REF!,"AAAAAHz+n4A=")</f>
        <v>#REF!</v>
      </c>
      <c r="DZ127" t="e">
        <f>AND('Qualification Mgr'!#REF!,"AAAAAHz+n4E=")</f>
        <v>#REF!</v>
      </c>
      <c r="EA127" t="e">
        <f>AND('Qualification Mgr'!#REF!,"AAAAAHz+n4I=")</f>
        <v>#REF!</v>
      </c>
      <c r="EB127" t="e">
        <f>AND('Qualification Mgr'!#REF!,"AAAAAHz+n4M=")</f>
        <v>#REF!</v>
      </c>
      <c r="EC127" t="e">
        <f>IF('Qualification Mgr'!#REF!,"AAAAAHz+n4Q=",0)</f>
        <v>#REF!</v>
      </c>
      <c r="ED127" t="e">
        <f>AND('Qualification Mgr'!#REF!,"AAAAAHz+n4U=")</f>
        <v>#REF!</v>
      </c>
      <c r="EE127" t="e">
        <f>AND('Qualification Mgr'!#REF!,"AAAAAHz+n4Y=")</f>
        <v>#REF!</v>
      </c>
      <c r="EF127" t="e">
        <f>AND('Qualification Mgr'!#REF!,"AAAAAHz+n4c=")</f>
        <v>#REF!</v>
      </c>
      <c r="EG127" t="e">
        <f>AND('Qualification Mgr'!#REF!,"AAAAAHz+n4g=")</f>
        <v>#REF!</v>
      </c>
      <c r="EH127" t="e">
        <f>AND('Qualification Mgr'!#REF!,"AAAAAHz+n4k=")</f>
        <v>#REF!</v>
      </c>
      <c r="EI127" t="e">
        <f>AND('Qualification Mgr'!#REF!,"AAAAAHz+n4o=")</f>
        <v>#REF!</v>
      </c>
      <c r="EJ127" t="e">
        <f>AND('Qualification Mgr'!#REF!,"AAAAAHz+n4s=")</f>
        <v>#REF!</v>
      </c>
      <c r="EK127" t="e">
        <f>AND('Qualification Mgr'!#REF!,"AAAAAHz+n4w=")</f>
        <v>#REF!</v>
      </c>
      <c r="EL127" t="e">
        <f>AND('Qualification Mgr'!#REF!,"AAAAAHz+n40=")</f>
        <v>#REF!</v>
      </c>
      <c r="EM127" t="e">
        <f>AND('Qualification Mgr'!#REF!,"AAAAAHz+n44=")</f>
        <v>#REF!</v>
      </c>
      <c r="EN127" t="e">
        <f>AND('Qualification Mgr'!#REF!,"AAAAAHz+n48=")</f>
        <v>#REF!</v>
      </c>
      <c r="EO127" t="e">
        <f>AND('Qualification Mgr'!#REF!,"AAAAAHz+n5A=")</f>
        <v>#REF!</v>
      </c>
      <c r="EP127" t="e">
        <f>AND('Qualification Mgr'!#REF!,"AAAAAHz+n5E=")</f>
        <v>#REF!</v>
      </c>
      <c r="EQ127" t="e">
        <f>AND('Qualification Mgr'!#REF!,"AAAAAHz+n5I=")</f>
        <v>#REF!</v>
      </c>
      <c r="ER127" t="e">
        <f>AND('Qualification Mgr'!#REF!,"AAAAAHz+n5M=")</f>
        <v>#REF!</v>
      </c>
      <c r="ES127" t="e">
        <f>AND('Qualification Mgr'!#REF!,"AAAAAHz+n5Q=")</f>
        <v>#REF!</v>
      </c>
      <c r="ET127" t="e">
        <f>IF('Qualification Mgr'!#REF!,"AAAAAHz+n5U=",0)</f>
        <v>#REF!</v>
      </c>
      <c r="EU127" t="e">
        <f>AND('Qualification Mgr'!#REF!,"AAAAAHz+n5Y=")</f>
        <v>#REF!</v>
      </c>
      <c r="EV127" t="e">
        <f>AND('Qualification Mgr'!#REF!,"AAAAAHz+n5c=")</f>
        <v>#REF!</v>
      </c>
      <c r="EW127" t="e">
        <f>AND('Qualification Mgr'!#REF!,"AAAAAHz+n5g=")</f>
        <v>#REF!</v>
      </c>
      <c r="EX127" t="e">
        <f>AND('Qualification Mgr'!#REF!,"AAAAAHz+n5k=")</f>
        <v>#REF!</v>
      </c>
      <c r="EY127" t="e">
        <f>AND('Qualification Mgr'!#REF!,"AAAAAHz+n5o=")</f>
        <v>#REF!</v>
      </c>
      <c r="EZ127" t="e">
        <f>AND('Qualification Mgr'!#REF!,"AAAAAHz+n5s=")</f>
        <v>#REF!</v>
      </c>
      <c r="FA127" t="e">
        <f>AND('Qualification Mgr'!#REF!,"AAAAAHz+n5w=")</f>
        <v>#REF!</v>
      </c>
      <c r="FB127" t="e">
        <f>AND('Qualification Mgr'!#REF!,"AAAAAHz+n50=")</f>
        <v>#REF!</v>
      </c>
      <c r="FC127" t="e">
        <f>AND('Qualification Mgr'!#REF!,"AAAAAHz+n54=")</f>
        <v>#REF!</v>
      </c>
      <c r="FD127" t="e">
        <f>AND('Qualification Mgr'!#REF!,"AAAAAHz+n58=")</f>
        <v>#REF!</v>
      </c>
      <c r="FE127" t="e">
        <f>AND('Qualification Mgr'!#REF!,"AAAAAHz+n6A=")</f>
        <v>#REF!</v>
      </c>
      <c r="FF127" t="e">
        <f>AND('Qualification Mgr'!#REF!,"AAAAAHz+n6E=")</f>
        <v>#REF!</v>
      </c>
      <c r="FG127" t="e">
        <f>AND('Qualification Mgr'!#REF!,"AAAAAHz+n6I=")</f>
        <v>#REF!</v>
      </c>
      <c r="FH127" t="e">
        <f>AND('Qualification Mgr'!#REF!,"AAAAAHz+n6M=")</f>
        <v>#REF!</v>
      </c>
      <c r="FI127" t="e">
        <f>AND('Qualification Mgr'!#REF!,"AAAAAHz+n6Q=")</f>
        <v>#REF!</v>
      </c>
      <c r="FJ127" t="e">
        <f>AND('Qualification Mgr'!#REF!,"AAAAAHz+n6U=")</f>
        <v>#REF!</v>
      </c>
      <c r="FK127" t="e">
        <f>IF('Qualification Mgr'!#REF!,"AAAAAHz+n6Y=",0)</f>
        <v>#REF!</v>
      </c>
      <c r="FL127" t="e">
        <f>AND('Qualification Mgr'!#REF!,"AAAAAHz+n6c=")</f>
        <v>#REF!</v>
      </c>
      <c r="FM127" t="e">
        <f>AND('Qualification Mgr'!#REF!,"AAAAAHz+n6g=")</f>
        <v>#REF!</v>
      </c>
      <c r="FN127" t="e">
        <f>AND('Qualification Mgr'!#REF!,"AAAAAHz+n6k=")</f>
        <v>#REF!</v>
      </c>
      <c r="FO127" t="e">
        <f>AND('Qualification Mgr'!#REF!,"AAAAAHz+n6o=")</f>
        <v>#REF!</v>
      </c>
      <c r="FP127" t="e">
        <f>AND('Qualification Mgr'!#REF!,"AAAAAHz+n6s=")</f>
        <v>#REF!</v>
      </c>
      <c r="FQ127" t="e">
        <f>AND('Qualification Mgr'!#REF!,"AAAAAHz+n6w=")</f>
        <v>#REF!</v>
      </c>
      <c r="FR127" t="e">
        <f>AND('Qualification Mgr'!#REF!,"AAAAAHz+n60=")</f>
        <v>#REF!</v>
      </c>
      <c r="FS127" t="e">
        <f>AND('Qualification Mgr'!#REF!,"AAAAAHz+n64=")</f>
        <v>#REF!</v>
      </c>
      <c r="FT127" t="e">
        <f>AND('Qualification Mgr'!#REF!,"AAAAAHz+n68=")</f>
        <v>#REF!</v>
      </c>
      <c r="FU127" t="e">
        <f>AND('Qualification Mgr'!#REF!,"AAAAAHz+n7A=")</f>
        <v>#REF!</v>
      </c>
      <c r="FV127" t="e">
        <f>AND('Qualification Mgr'!#REF!,"AAAAAHz+n7E=")</f>
        <v>#REF!</v>
      </c>
      <c r="FW127" t="e">
        <f>AND('Qualification Mgr'!#REF!,"AAAAAHz+n7I=")</f>
        <v>#REF!</v>
      </c>
      <c r="FX127" t="e">
        <f>AND('Qualification Mgr'!#REF!,"AAAAAHz+n7M=")</f>
        <v>#REF!</v>
      </c>
      <c r="FY127" t="e">
        <f>AND('Qualification Mgr'!#REF!,"AAAAAHz+n7Q=")</f>
        <v>#REF!</v>
      </c>
      <c r="FZ127" t="e">
        <f>AND('Qualification Mgr'!#REF!,"AAAAAHz+n7U=")</f>
        <v>#REF!</v>
      </c>
      <c r="GA127" t="e">
        <f>AND('Qualification Mgr'!#REF!,"AAAAAHz+n7Y=")</f>
        <v>#REF!</v>
      </c>
      <c r="GB127" t="e">
        <f>IF('Qualification Mgr'!#REF!,"AAAAAHz+n7c=",0)</f>
        <v>#REF!</v>
      </c>
      <c r="GC127" t="e">
        <f>AND('Qualification Mgr'!#REF!,"AAAAAHz+n7g=")</f>
        <v>#REF!</v>
      </c>
      <c r="GD127" t="e">
        <f>AND('Qualification Mgr'!#REF!,"AAAAAHz+n7k=")</f>
        <v>#REF!</v>
      </c>
      <c r="GE127" t="e">
        <f>AND('Qualification Mgr'!#REF!,"AAAAAHz+n7o=")</f>
        <v>#REF!</v>
      </c>
      <c r="GF127" t="e">
        <f>AND('Qualification Mgr'!#REF!,"AAAAAHz+n7s=")</f>
        <v>#REF!</v>
      </c>
      <c r="GG127" t="e">
        <f>AND('Qualification Mgr'!#REF!,"AAAAAHz+n7w=")</f>
        <v>#REF!</v>
      </c>
      <c r="GH127" t="e">
        <f>AND('Qualification Mgr'!#REF!,"AAAAAHz+n70=")</f>
        <v>#REF!</v>
      </c>
      <c r="GI127" t="e">
        <f>AND('Qualification Mgr'!#REF!,"AAAAAHz+n74=")</f>
        <v>#REF!</v>
      </c>
      <c r="GJ127" t="e">
        <f>AND('Qualification Mgr'!#REF!,"AAAAAHz+n78=")</f>
        <v>#REF!</v>
      </c>
      <c r="GK127" t="e">
        <f>AND('Qualification Mgr'!#REF!,"AAAAAHz+n8A=")</f>
        <v>#REF!</v>
      </c>
      <c r="GL127" t="e">
        <f>AND('Qualification Mgr'!#REF!,"AAAAAHz+n8E=")</f>
        <v>#REF!</v>
      </c>
      <c r="GM127" t="e">
        <f>AND('Qualification Mgr'!#REF!,"AAAAAHz+n8I=")</f>
        <v>#REF!</v>
      </c>
      <c r="GN127" t="e">
        <f>AND('Qualification Mgr'!#REF!,"AAAAAHz+n8M=")</f>
        <v>#REF!</v>
      </c>
      <c r="GO127" t="e">
        <f>AND('Qualification Mgr'!#REF!,"AAAAAHz+n8Q=")</f>
        <v>#REF!</v>
      </c>
      <c r="GP127" t="e">
        <f>AND('Qualification Mgr'!#REF!,"AAAAAHz+n8U=")</f>
        <v>#REF!</v>
      </c>
      <c r="GQ127" t="e">
        <f>AND('Qualification Mgr'!#REF!,"AAAAAHz+n8Y=")</f>
        <v>#REF!</v>
      </c>
      <c r="GR127" t="e">
        <f>AND('Qualification Mgr'!#REF!,"AAAAAHz+n8c=")</f>
        <v>#REF!</v>
      </c>
      <c r="GS127" t="e">
        <f>IF('Qualification Mgr'!#REF!,"AAAAAHz+n8g=",0)</f>
        <v>#REF!</v>
      </c>
      <c r="GT127" t="e">
        <f>AND('Qualification Mgr'!#REF!,"AAAAAHz+n8k=")</f>
        <v>#REF!</v>
      </c>
      <c r="GU127" t="e">
        <f>AND('Qualification Mgr'!#REF!,"AAAAAHz+n8o=")</f>
        <v>#REF!</v>
      </c>
      <c r="GV127" t="e">
        <f>AND('Qualification Mgr'!#REF!,"AAAAAHz+n8s=")</f>
        <v>#REF!</v>
      </c>
      <c r="GW127" t="e">
        <f>AND('Qualification Mgr'!#REF!,"AAAAAHz+n8w=")</f>
        <v>#REF!</v>
      </c>
      <c r="GX127" t="e">
        <f>AND('Qualification Mgr'!#REF!,"AAAAAHz+n80=")</f>
        <v>#REF!</v>
      </c>
      <c r="GY127" t="e">
        <f>AND('Qualification Mgr'!#REF!,"AAAAAHz+n84=")</f>
        <v>#REF!</v>
      </c>
      <c r="GZ127" t="e">
        <f>AND('Qualification Mgr'!#REF!,"AAAAAHz+n88=")</f>
        <v>#REF!</v>
      </c>
      <c r="HA127" t="e">
        <f>AND('Qualification Mgr'!#REF!,"AAAAAHz+n9A=")</f>
        <v>#REF!</v>
      </c>
      <c r="HB127" t="e">
        <f>AND('Qualification Mgr'!#REF!,"AAAAAHz+n9E=")</f>
        <v>#REF!</v>
      </c>
      <c r="HC127" t="e">
        <f>AND('Qualification Mgr'!#REF!,"AAAAAHz+n9I=")</f>
        <v>#REF!</v>
      </c>
      <c r="HD127" t="e">
        <f>AND('Qualification Mgr'!#REF!,"AAAAAHz+n9M=")</f>
        <v>#REF!</v>
      </c>
      <c r="HE127" t="e">
        <f>AND('Qualification Mgr'!#REF!,"AAAAAHz+n9Q=")</f>
        <v>#REF!</v>
      </c>
      <c r="HF127" t="e">
        <f>AND('Qualification Mgr'!#REF!,"AAAAAHz+n9U=")</f>
        <v>#REF!</v>
      </c>
      <c r="HG127" t="e">
        <f>AND('Qualification Mgr'!#REF!,"AAAAAHz+n9Y=")</f>
        <v>#REF!</v>
      </c>
      <c r="HH127" t="e">
        <f>AND('Qualification Mgr'!#REF!,"AAAAAHz+n9c=")</f>
        <v>#REF!</v>
      </c>
      <c r="HI127" t="e">
        <f>AND('Qualification Mgr'!#REF!,"AAAAAHz+n9g=")</f>
        <v>#REF!</v>
      </c>
      <c r="HJ127" t="e">
        <f>IF('Qualification Mgr'!#REF!,"AAAAAHz+n9k=",0)</f>
        <v>#REF!</v>
      </c>
      <c r="HK127" t="e">
        <f>AND('Qualification Mgr'!#REF!,"AAAAAHz+n9o=")</f>
        <v>#REF!</v>
      </c>
      <c r="HL127" t="e">
        <f>AND('Qualification Mgr'!#REF!,"AAAAAHz+n9s=")</f>
        <v>#REF!</v>
      </c>
      <c r="HM127" t="e">
        <f>AND('Qualification Mgr'!#REF!,"AAAAAHz+n9w=")</f>
        <v>#REF!</v>
      </c>
      <c r="HN127" t="e">
        <f>AND('Qualification Mgr'!#REF!,"AAAAAHz+n90=")</f>
        <v>#REF!</v>
      </c>
      <c r="HO127" t="e">
        <f>AND('Qualification Mgr'!#REF!,"AAAAAHz+n94=")</f>
        <v>#REF!</v>
      </c>
      <c r="HP127" t="e">
        <f>AND('Qualification Mgr'!#REF!,"AAAAAHz+n98=")</f>
        <v>#REF!</v>
      </c>
      <c r="HQ127" t="e">
        <f>AND('Qualification Mgr'!#REF!,"AAAAAHz+n+A=")</f>
        <v>#REF!</v>
      </c>
      <c r="HR127" t="e">
        <f>AND('Qualification Mgr'!#REF!,"AAAAAHz+n+E=")</f>
        <v>#REF!</v>
      </c>
      <c r="HS127" t="e">
        <f>AND('Qualification Mgr'!#REF!,"AAAAAHz+n+I=")</f>
        <v>#REF!</v>
      </c>
      <c r="HT127" t="e">
        <f>AND('Qualification Mgr'!#REF!,"AAAAAHz+n+M=")</f>
        <v>#REF!</v>
      </c>
      <c r="HU127" t="e">
        <f>AND('Qualification Mgr'!#REF!,"AAAAAHz+n+Q=")</f>
        <v>#REF!</v>
      </c>
      <c r="HV127" t="e">
        <f>AND('Qualification Mgr'!#REF!,"AAAAAHz+n+U=")</f>
        <v>#REF!</v>
      </c>
      <c r="HW127" t="e">
        <f>AND('Qualification Mgr'!#REF!,"AAAAAHz+n+Y=")</f>
        <v>#REF!</v>
      </c>
      <c r="HX127" t="e">
        <f>AND('Qualification Mgr'!#REF!,"AAAAAHz+n+c=")</f>
        <v>#REF!</v>
      </c>
      <c r="HY127" t="e">
        <f>AND('Qualification Mgr'!#REF!,"AAAAAHz+n+g=")</f>
        <v>#REF!</v>
      </c>
      <c r="HZ127" t="e">
        <f>AND('Qualification Mgr'!#REF!,"AAAAAHz+n+k=")</f>
        <v>#REF!</v>
      </c>
      <c r="IA127" t="e">
        <f>IF('Qualification Mgr'!#REF!,"AAAAAHz+n+o=",0)</f>
        <v>#REF!</v>
      </c>
      <c r="IB127" t="e">
        <f>AND('Qualification Mgr'!#REF!,"AAAAAHz+n+s=")</f>
        <v>#REF!</v>
      </c>
      <c r="IC127" t="e">
        <f>AND('Qualification Mgr'!#REF!,"AAAAAHz+n+w=")</f>
        <v>#REF!</v>
      </c>
      <c r="ID127" t="e">
        <f>AND('Qualification Mgr'!#REF!,"AAAAAHz+n+0=")</f>
        <v>#REF!</v>
      </c>
      <c r="IE127" t="e">
        <f>AND('Qualification Mgr'!#REF!,"AAAAAHz+n+4=")</f>
        <v>#REF!</v>
      </c>
      <c r="IF127" t="e">
        <f>AND('Qualification Mgr'!#REF!,"AAAAAHz+n+8=")</f>
        <v>#REF!</v>
      </c>
      <c r="IG127" t="e">
        <f>AND('Qualification Mgr'!#REF!,"AAAAAHz+n/A=")</f>
        <v>#REF!</v>
      </c>
      <c r="IH127" t="e">
        <f>AND('Qualification Mgr'!#REF!,"AAAAAHz+n/E=")</f>
        <v>#REF!</v>
      </c>
      <c r="II127" t="e">
        <f>AND('Qualification Mgr'!#REF!,"AAAAAHz+n/I=")</f>
        <v>#REF!</v>
      </c>
      <c r="IJ127" t="e">
        <f>AND('Qualification Mgr'!#REF!,"AAAAAHz+n/M=")</f>
        <v>#REF!</v>
      </c>
      <c r="IK127" t="e">
        <f>AND('Qualification Mgr'!#REF!,"AAAAAHz+n/Q=")</f>
        <v>#REF!</v>
      </c>
      <c r="IL127" t="e">
        <f>AND('Qualification Mgr'!#REF!,"AAAAAHz+n/U=")</f>
        <v>#REF!</v>
      </c>
      <c r="IM127" t="e">
        <f>AND('Qualification Mgr'!#REF!,"AAAAAHz+n/Y=")</f>
        <v>#REF!</v>
      </c>
      <c r="IN127" t="e">
        <f>AND('Qualification Mgr'!#REF!,"AAAAAHz+n/c=")</f>
        <v>#REF!</v>
      </c>
      <c r="IO127" t="e">
        <f>AND('Qualification Mgr'!#REF!,"AAAAAHz+n/g=")</f>
        <v>#REF!</v>
      </c>
      <c r="IP127" t="e">
        <f>AND('Qualification Mgr'!#REF!,"AAAAAHz+n/k=")</f>
        <v>#REF!</v>
      </c>
      <c r="IQ127" t="e">
        <f>AND('Qualification Mgr'!#REF!,"AAAAAHz+n/o=")</f>
        <v>#REF!</v>
      </c>
      <c r="IR127" t="e">
        <f>IF('Qualification Mgr'!#REF!,"AAAAAHz+n/s=",0)</f>
        <v>#REF!</v>
      </c>
      <c r="IS127" t="e">
        <f>AND('Qualification Mgr'!#REF!,"AAAAAHz+n/w=")</f>
        <v>#REF!</v>
      </c>
      <c r="IT127" t="e">
        <f>AND('Qualification Mgr'!#REF!,"AAAAAHz+n/0=")</f>
        <v>#REF!</v>
      </c>
      <c r="IU127" t="e">
        <f>AND('Qualification Mgr'!#REF!,"AAAAAHz+n/4=")</f>
        <v>#REF!</v>
      </c>
      <c r="IV127" t="e">
        <f>AND('Qualification Mgr'!#REF!,"AAAAAHz+n/8=")</f>
        <v>#REF!</v>
      </c>
    </row>
    <row r="128" spans="1:256" x14ac:dyDescent="0.2">
      <c r="A128" t="e">
        <f>AND('Qualification Mgr'!#REF!,"AAAAAGVeXwA=")</f>
        <v>#REF!</v>
      </c>
      <c r="B128" t="e">
        <f>AND('Qualification Mgr'!#REF!,"AAAAAGVeXwE=")</f>
        <v>#REF!</v>
      </c>
      <c r="C128" t="e">
        <f>AND('Qualification Mgr'!#REF!,"AAAAAGVeXwI=")</f>
        <v>#REF!</v>
      </c>
      <c r="D128" t="e">
        <f>AND('Qualification Mgr'!#REF!,"AAAAAGVeXwM=")</f>
        <v>#REF!</v>
      </c>
      <c r="E128" t="e">
        <f>AND('Qualification Mgr'!#REF!,"AAAAAGVeXwQ=")</f>
        <v>#REF!</v>
      </c>
      <c r="F128" t="e">
        <f>AND('Qualification Mgr'!#REF!,"AAAAAGVeXwU=")</f>
        <v>#REF!</v>
      </c>
      <c r="G128" t="e">
        <f>AND('Qualification Mgr'!#REF!,"AAAAAGVeXwY=")</f>
        <v>#REF!</v>
      </c>
      <c r="H128" t="e">
        <f>AND('Qualification Mgr'!#REF!,"AAAAAGVeXwc=")</f>
        <v>#REF!</v>
      </c>
      <c r="I128" t="e">
        <f>AND('Qualification Mgr'!#REF!,"AAAAAGVeXwg=")</f>
        <v>#REF!</v>
      </c>
      <c r="J128" t="e">
        <f>AND('Qualification Mgr'!#REF!,"AAAAAGVeXwk=")</f>
        <v>#REF!</v>
      </c>
      <c r="K128" t="e">
        <f>AND('Qualification Mgr'!#REF!,"AAAAAGVeXwo=")</f>
        <v>#REF!</v>
      </c>
      <c r="L128" t="e">
        <f>AND('Qualification Mgr'!#REF!,"AAAAAGVeXws=")</f>
        <v>#REF!</v>
      </c>
      <c r="M128" t="e">
        <f>IF('Qualification Mgr'!#REF!,"AAAAAGVeXww=",0)</f>
        <v>#REF!</v>
      </c>
      <c r="N128" t="e">
        <f>AND('Qualification Mgr'!#REF!,"AAAAAGVeXw0=")</f>
        <v>#REF!</v>
      </c>
      <c r="O128" t="e">
        <f>AND('Qualification Mgr'!#REF!,"AAAAAGVeXw4=")</f>
        <v>#REF!</v>
      </c>
      <c r="P128" t="e">
        <f>AND('Qualification Mgr'!#REF!,"AAAAAGVeXw8=")</f>
        <v>#REF!</v>
      </c>
      <c r="Q128" t="e">
        <f>AND('Qualification Mgr'!#REF!,"AAAAAGVeXxA=")</f>
        <v>#REF!</v>
      </c>
      <c r="R128" t="e">
        <f>AND('Qualification Mgr'!#REF!,"AAAAAGVeXxE=")</f>
        <v>#REF!</v>
      </c>
      <c r="S128" t="e">
        <f>AND('Qualification Mgr'!#REF!,"AAAAAGVeXxI=")</f>
        <v>#REF!</v>
      </c>
      <c r="T128" t="e">
        <f>AND('Qualification Mgr'!#REF!,"AAAAAGVeXxM=")</f>
        <v>#REF!</v>
      </c>
      <c r="U128" t="e">
        <f>AND('Qualification Mgr'!#REF!,"AAAAAGVeXxQ=")</f>
        <v>#REF!</v>
      </c>
      <c r="V128" t="e">
        <f>AND('Qualification Mgr'!#REF!,"AAAAAGVeXxU=")</f>
        <v>#REF!</v>
      </c>
      <c r="W128" t="e">
        <f>AND('Qualification Mgr'!#REF!,"AAAAAGVeXxY=")</f>
        <v>#REF!</v>
      </c>
      <c r="X128" t="e">
        <f>AND('Qualification Mgr'!#REF!,"AAAAAGVeXxc=")</f>
        <v>#REF!</v>
      </c>
      <c r="Y128" t="e">
        <f>AND('Qualification Mgr'!#REF!,"AAAAAGVeXxg=")</f>
        <v>#REF!</v>
      </c>
      <c r="Z128" t="e">
        <f>AND('Qualification Mgr'!#REF!,"AAAAAGVeXxk=")</f>
        <v>#REF!</v>
      </c>
      <c r="AA128" t="e">
        <f>AND('Qualification Mgr'!#REF!,"AAAAAGVeXxo=")</f>
        <v>#REF!</v>
      </c>
      <c r="AB128" t="e">
        <f>AND('Qualification Mgr'!#REF!,"AAAAAGVeXxs=")</f>
        <v>#REF!</v>
      </c>
      <c r="AC128" t="e">
        <f>AND('Qualification Mgr'!#REF!,"AAAAAGVeXxw=")</f>
        <v>#REF!</v>
      </c>
      <c r="AD128">
        <f>IF('Qualification Mgr'!42:42,"AAAAAGVeXx0=",0)</f>
        <v>0</v>
      </c>
      <c r="AE128" t="e">
        <f>AND('Qualification Mgr'!A42,"AAAAAGVeXx4=")</f>
        <v>#VALUE!</v>
      </c>
      <c r="AF128" t="e">
        <f>AND('Qualification Mgr'!B42,"AAAAAGVeXx8=")</f>
        <v>#VALUE!</v>
      </c>
      <c r="AG128" t="e">
        <f>AND('Qualification Mgr'!C42,"AAAAAGVeXyA=")</f>
        <v>#VALUE!</v>
      </c>
      <c r="AH128" t="e">
        <f>AND('Qualification Mgr'!D42,"AAAAAGVeXyE=")</f>
        <v>#VALUE!</v>
      </c>
      <c r="AI128" t="e">
        <f>AND('Qualification Mgr'!E42,"AAAAAGVeXyI=")</f>
        <v>#VALUE!</v>
      </c>
      <c r="AJ128" t="e">
        <f>AND('Qualification Mgr'!F42,"AAAAAGVeXyM=")</f>
        <v>#VALUE!</v>
      </c>
      <c r="AK128" t="e">
        <f>AND('Qualification Mgr'!G42,"AAAAAGVeXyQ=")</f>
        <v>#VALUE!</v>
      </c>
      <c r="AL128" t="e">
        <f>AND('Qualification Mgr'!#REF!,"AAAAAGVeXyU=")</f>
        <v>#REF!</v>
      </c>
      <c r="AM128" t="e">
        <f>AND('Qualification Mgr'!#REF!,"AAAAAGVeXyY=")</f>
        <v>#REF!</v>
      </c>
      <c r="AN128" t="e">
        <f>AND('Qualification Mgr'!#REF!,"AAAAAGVeXyc=")</f>
        <v>#REF!</v>
      </c>
      <c r="AO128" t="e">
        <f>AND('Qualification Mgr'!#REF!,"AAAAAGVeXyg=")</f>
        <v>#REF!</v>
      </c>
      <c r="AP128" t="e">
        <f>AND('Qualification Mgr'!H42,"AAAAAGVeXyk=")</f>
        <v>#VALUE!</v>
      </c>
      <c r="AQ128" t="e">
        <f>AND('Qualification Mgr'!I42,"AAAAAGVeXyo=")</f>
        <v>#VALUE!</v>
      </c>
      <c r="AR128" t="e">
        <f>AND('Qualification Mgr'!J42,"AAAAAGVeXys=")</f>
        <v>#VALUE!</v>
      </c>
      <c r="AS128" t="e">
        <f>AND('Qualification Mgr'!K42,"AAAAAGVeXyw=")</f>
        <v>#VALUE!</v>
      </c>
      <c r="AT128" t="e">
        <f>AND('Qualification Mgr'!L42,"AAAAAGVeXy0=")</f>
        <v>#VALUE!</v>
      </c>
      <c r="AU128">
        <f>IF('Qualification Mgr'!43:43,"AAAAAGVeXy4=",0)</f>
        <v>0</v>
      </c>
      <c r="AV128" t="e">
        <f>AND('Qualification Mgr'!#REF!,"AAAAAGVeXy8=")</f>
        <v>#REF!</v>
      </c>
      <c r="AW128" t="e">
        <f>AND('Qualification Mgr'!A43,"AAAAAGVeXzA=")</f>
        <v>#VALUE!</v>
      </c>
      <c r="AX128" t="e">
        <f>AND('Qualification Mgr'!B43,"AAAAAGVeXzE=")</f>
        <v>#VALUE!</v>
      </c>
      <c r="AY128" t="e">
        <f>AND('Qualification Mgr'!C43,"AAAAAGVeXzI=")</f>
        <v>#VALUE!</v>
      </c>
      <c r="AZ128" t="e">
        <f>AND('Qualification Mgr'!D43,"AAAAAGVeXzM=")</f>
        <v>#VALUE!</v>
      </c>
      <c r="BA128" t="e">
        <f>AND('Qualification Mgr'!E43,"AAAAAGVeXzQ=")</f>
        <v>#VALUE!</v>
      </c>
      <c r="BB128" t="e">
        <f>AND('Qualification Mgr'!F43,"AAAAAGVeXzU=")</f>
        <v>#VALUE!</v>
      </c>
      <c r="BC128" t="e">
        <f>AND('Qualification Mgr'!G43,"AAAAAGVeXzY=")</f>
        <v>#VALUE!</v>
      </c>
      <c r="BD128" t="e">
        <f>AND('Qualification Mgr'!#REF!,"AAAAAGVeXzc=")</f>
        <v>#REF!</v>
      </c>
      <c r="BE128" t="e">
        <f>AND('Qualification Mgr'!#REF!,"AAAAAGVeXzg=")</f>
        <v>#REF!</v>
      </c>
      <c r="BF128" t="e">
        <f>AND('Qualification Mgr'!#REF!,"AAAAAGVeXzk=")</f>
        <v>#REF!</v>
      </c>
      <c r="BG128" t="e">
        <f>AND('Qualification Mgr'!#REF!,"AAAAAGVeXzo=")</f>
        <v>#REF!</v>
      </c>
      <c r="BH128" t="e">
        <f>AND('Qualification Mgr'!H43,"AAAAAGVeXzs=")</f>
        <v>#VALUE!</v>
      </c>
      <c r="BI128" t="e">
        <f>AND('Qualification Mgr'!I43,"AAAAAGVeXzw=")</f>
        <v>#VALUE!</v>
      </c>
      <c r="BJ128" t="e">
        <f>AND('Qualification Mgr'!J43,"AAAAAGVeXz0=")</f>
        <v>#VALUE!</v>
      </c>
      <c r="BK128" t="e">
        <f>AND('Qualification Mgr'!K43,"AAAAAGVeXz4=")</f>
        <v>#VALUE!</v>
      </c>
      <c r="BL128">
        <f>IF('Qualification Mgr'!44:44,"AAAAAGVeXz8=",0)</f>
        <v>0</v>
      </c>
      <c r="BM128" t="e">
        <f>AND('Qualification Mgr'!#REF!,"AAAAAGVeX0A=")</f>
        <v>#REF!</v>
      </c>
      <c r="BN128" t="e">
        <f>AND('Qualification Mgr'!A44,"AAAAAGVeX0E=")</f>
        <v>#VALUE!</v>
      </c>
      <c r="BO128" t="e">
        <f>AND('Qualification Mgr'!B44,"AAAAAGVeX0I=")</f>
        <v>#VALUE!</v>
      </c>
      <c r="BP128" t="e">
        <f>AND('Qualification Mgr'!C44,"AAAAAGVeX0M=")</f>
        <v>#VALUE!</v>
      </c>
      <c r="BQ128" t="e">
        <f>AND('Qualification Mgr'!D44,"AAAAAGVeX0Q=")</f>
        <v>#VALUE!</v>
      </c>
      <c r="BR128" t="e">
        <f>AND('Qualification Mgr'!E44,"AAAAAGVeX0U=")</f>
        <v>#VALUE!</v>
      </c>
      <c r="BS128" t="e">
        <f>AND('Qualification Mgr'!F44,"AAAAAGVeX0Y=")</f>
        <v>#VALUE!</v>
      </c>
      <c r="BT128" t="e">
        <f>AND('Qualification Mgr'!G44,"AAAAAGVeX0c=")</f>
        <v>#VALUE!</v>
      </c>
      <c r="BU128" t="e">
        <f>AND('Qualification Mgr'!#REF!,"AAAAAGVeX0g=")</f>
        <v>#REF!</v>
      </c>
      <c r="BV128" t="e">
        <f>AND('Qualification Mgr'!#REF!,"AAAAAGVeX0k=")</f>
        <v>#REF!</v>
      </c>
      <c r="BW128" t="e">
        <f>AND('Qualification Mgr'!#REF!,"AAAAAGVeX0o=")</f>
        <v>#REF!</v>
      </c>
      <c r="BX128" t="e">
        <f>AND('Qualification Mgr'!#REF!,"AAAAAGVeX0s=")</f>
        <v>#REF!</v>
      </c>
      <c r="BY128" t="e">
        <f>AND('Qualification Mgr'!H44,"AAAAAGVeX0w=")</f>
        <v>#VALUE!</v>
      </c>
      <c r="BZ128" t="e">
        <f>AND('Qualification Mgr'!I44,"AAAAAGVeX00=")</f>
        <v>#VALUE!</v>
      </c>
      <c r="CA128" t="e">
        <f>AND('Qualification Mgr'!J44,"AAAAAGVeX04=")</f>
        <v>#VALUE!</v>
      </c>
      <c r="CB128" t="e">
        <f>AND('Qualification Mgr'!K44,"AAAAAGVeX08=")</f>
        <v>#VALUE!</v>
      </c>
      <c r="CC128">
        <f>IF('Qualification Mgr'!45:45,"AAAAAGVeX1A=",0)</f>
        <v>0</v>
      </c>
      <c r="CD128" t="e">
        <f>AND('Qualification Mgr'!#REF!,"AAAAAGVeX1E=")</f>
        <v>#REF!</v>
      </c>
      <c r="CE128" t="e">
        <f>AND('Qualification Mgr'!C45,"AAAAAGVeX1I=")</f>
        <v>#VALUE!</v>
      </c>
      <c r="CF128" t="e">
        <f>AND('Qualification Mgr'!D45,"AAAAAGVeX1M=")</f>
        <v>#VALUE!</v>
      </c>
      <c r="CG128" t="e">
        <f>AND('Qualification Mgr'!E45,"AAAAAGVeX1Q=")</f>
        <v>#VALUE!</v>
      </c>
      <c r="CH128" t="e">
        <f>AND('Qualification Mgr'!F45,"AAAAAGVeX1U=")</f>
        <v>#VALUE!</v>
      </c>
      <c r="CI128" t="e">
        <f>AND('Qualification Mgr'!#REF!,"AAAAAGVeX1Y=")</f>
        <v>#REF!</v>
      </c>
      <c r="CJ128" t="e">
        <f>AND('Qualification Mgr'!#REF!,"AAAAAGVeX1c=")</f>
        <v>#REF!</v>
      </c>
      <c r="CK128" t="e">
        <f>AND('Qualification Mgr'!#REF!,"AAAAAGVeX1g=")</f>
        <v>#REF!</v>
      </c>
      <c r="CL128" t="e">
        <f>AND('Qualification Mgr'!#REF!,"AAAAAGVeX1k=")</f>
        <v>#REF!</v>
      </c>
      <c r="CM128" t="e">
        <f>AND('Qualification Mgr'!#REF!,"AAAAAGVeX1o=")</f>
        <v>#REF!</v>
      </c>
      <c r="CN128" t="e">
        <f>AND('Qualification Mgr'!#REF!,"AAAAAGVeX1s=")</f>
        <v>#REF!</v>
      </c>
      <c r="CO128" t="e">
        <f>AND('Qualification Mgr'!#REF!,"AAAAAGVeX1w=")</f>
        <v>#REF!</v>
      </c>
      <c r="CP128" t="e">
        <f>AND('Qualification Mgr'!H45,"AAAAAGVeX10=")</f>
        <v>#VALUE!</v>
      </c>
      <c r="CQ128" t="e">
        <f>AND('Qualification Mgr'!I45,"AAAAAGVeX14=")</f>
        <v>#VALUE!</v>
      </c>
      <c r="CR128" t="e">
        <f>AND('Qualification Mgr'!J45,"AAAAAGVeX18=")</f>
        <v>#VALUE!</v>
      </c>
      <c r="CS128" t="e">
        <f>AND('Qualification Mgr'!K45,"AAAAAGVeX2A=")</f>
        <v>#VALUE!</v>
      </c>
      <c r="CT128">
        <f>IF('Qualification Mgr'!49:49,"AAAAAGVeX2E=",0)</f>
        <v>0</v>
      </c>
      <c r="CU128" t="e">
        <f>AND('Qualification Mgr'!#REF!,"AAAAAGVeX2I=")</f>
        <v>#REF!</v>
      </c>
      <c r="CV128" t="e">
        <f>AND('Qualification Mgr'!C49,"AAAAAGVeX2M=")</f>
        <v>#VALUE!</v>
      </c>
      <c r="CW128" t="e">
        <f>AND('Qualification Mgr'!D49,"AAAAAGVeX2Q=")</f>
        <v>#VALUE!</v>
      </c>
      <c r="CX128" t="e">
        <f>AND('Qualification Mgr'!E49,"AAAAAGVeX2U=")</f>
        <v>#VALUE!</v>
      </c>
      <c r="CY128" t="e">
        <f>AND('Qualification Mgr'!F49,"AAAAAGVeX2Y=")</f>
        <v>#VALUE!</v>
      </c>
      <c r="CZ128" t="e">
        <f>AND('Qualification Mgr'!#REF!,"AAAAAGVeX2c=")</f>
        <v>#REF!</v>
      </c>
      <c r="DA128" t="e">
        <f>AND('Qualification Mgr'!#REF!,"AAAAAGVeX2g=")</f>
        <v>#REF!</v>
      </c>
      <c r="DB128" t="e">
        <f>AND('Qualification Mgr'!#REF!,"AAAAAGVeX2k=")</f>
        <v>#REF!</v>
      </c>
      <c r="DC128" t="e">
        <f>AND('Qualification Mgr'!#REF!,"AAAAAGVeX2o=")</f>
        <v>#REF!</v>
      </c>
      <c r="DD128" t="e">
        <f>AND('Qualification Mgr'!#REF!,"AAAAAGVeX2s=")</f>
        <v>#REF!</v>
      </c>
      <c r="DE128" t="e">
        <f>AND('Qualification Mgr'!#REF!,"AAAAAGVeX2w=")</f>
        <v>#REF!</v>
      </c>
      <c r="DF128" t="e">
        <f>AND('Qualification Mgr'!#REF!,"AAAAAGVeX20=")</f>
        <v>#REF!</v>
      </c>
      <c r="DG128" t="e">
        <f>AND('Qualification Mgr'!H49,"AAAAAGVeX24=")</f>
        <v>#VALUE!</v>
      </c>
      <c r="DH128" t="e">
        <f>AND('Qualification Mgr'!I49,"AAAAAGVeX28=")</f>
        <v>#VALUE!</v>
      </c>
      <c r="DI128" t="e">
        <f>AND('Qualification Mgr'!J49,"AAAAAGVeX3A=")</f>
        <v>#VALUE!</v>
      </c>
      <c r="DJ128" t="e">
        <f>AND('Qualification Mgr'!K49,"AAAAAGVeX3E=")</f>
        <v>#VALUE!</v>
      </c>
      <c r="DK128">
        <f>IF('Qualification Mgr'!53:53,"AAAAAGVeX3I=",0)</f>
        <v>0</v>
      </c>
      <c r="DL128" t="e">
        <f>AND('Qualification Mgr'!#REF!,"AAAAAGVeX3M=")</f>
        <v>#REF!</v>
      </c>
      <c r="DM128" t="e">
        <f>AND('Qualification Mgr'!C53,"AAAAAGVeX3Q=")</f>
        <v>#VALUE!</v>
      </c>
      <c r="DN128" t="e">
        <f>AND('Qualification Mgr'!D53,"AAAAAGVeX3U=")</f>
        <v>#VALUE!</v>
      </c>
      <c r="DO128" t="e">
        <f>AND('Qualification Mgr'!E53,"AAAAAGVeX3Y=")</f>
        <v>#VALUE!</v>
      </c>
      <c r="DP128" t="e">
        <f>AND('Qualification Mgr'!F53,"AAAAAGVeX3c=")</f>
        <v>#VALUE!</v>
      </c>
      <c r="DQ128" t="e">
        <f>AND('Qualification Mgr'!#REF!,"AAAAAGVeX3g=")</f>
        <v>#REF!</v>
      </c>
      <c r="DR128" t="e">
        <f>AND('Qualification Mgr'!#REF!,"AAAAAGVeX3k=")</f>
        <v>#REF!</v>
      </c>
      <c r="DS128" t="e">
        <f>AND('Qualification Mgr'!#REF!,"AAAAAGVeX3o=")</f>
        <v>#REF!</v>
      </c>
      <c r="DT128" t="e">
        <f>AND('Qualification Mgr'!#REF!,"AAAAAGVeX3s=")</f>
        <v>#REF!</v>
      </c>
      <c r="DU128" t="e">
        <f>AND('Qualification Mgr'!#REF!,"AAAAAGVeX3w=")</f>
        <v>#REF!</v>
      </c>
      <c r="DV128" t="e">
        <f>AND('Qualification Mgr'!#REF!,"AAAAAGVeX30=")</f>
        <v>#REF!</v>
      </c>
      <c r="DW128" t="e">
        <f>AND('Qualification Mgr'!#REF!,"AAAAAGVeX34=")</f>
        <v>#REF!</v>
      </c>
      <c r="DX128" t="e">
        <f>AND('Qualification Mgr'!H53,"AAAAAGVeX38=")</f>
        <v>#VALUE!</v>
      </c>
      <c r="DY128" t="e">
        <f>AND('Qualification Mgr'!I53,"AAAAAGVeX4A=")</f>
        <v>#VALUE!</v>
      </c>
      <c r="DZ128" t="e">
        <f>AND('Qualification Mgr'!J53,"AAAAAGVeX4E=")</f>
        <v>#VALUE!</v>
      </c>
      <c r="EA128" t="e">
        <f>AND('Qualification Mgr'!K53,"AAAAAGVeX4I=")</f>
        <v>#VALUE!</v>
      </c>
      <c r="EB128">
        <f>IF('Qualification Mgr'!54:54,"AAAAAGVeX4M=",0)</f>
        <v>0</v>
      </c>
      <c r="EC128" t="e">
        <f>AND('Qualification Mgr'!#REF!,"AAAAAGVeX4Q=")</f>
        <v>#REF!</v>
      </c>
      <c r="ED128" t="e">
        <f>AND('Qualification Mgr'!C54,"AAAAAGVeX4U=")</f>
        <v>#VALUE!</v>
      </c>
      <c r="EE128" t="e">
        <f>AND('Qualification Mgr'!D54,"AAAAAGVeX4Y=")</f>
        <v>#VALUE!</v>
      </c>
      <c r="EF128" t="e">
        <f>AND('Qualification Mgr'!E54,"AAAAAGVeX4c=")</f>
        <v>#VALUE!</v>
      </c>
      <c r="EG128" t="e">
        <f>AND('Qualification Mgr'!F54,"AAAAAGVeX4g=")</f>
        <v>#VALUE!</v>
      </c>
      <c r="EH128" t="e">
        <f>AND('Qualification Mgr'!#REF!,"AAAAAGVeX4k=")</f>
        <v>#REF!</v>
      </c>
      <c r="EI128" t="e">
        <f>AND('Qualification Mgr'!#REF!,"AAAAAGVeX4o=")</f>
        <v>#REF!</v>
      </c>
      <c r="EJ128" t="e">
        <f>AND('Qualification Mgr'!#REF!,"AAAAAGVeX4s=")</f>
        <v>#REF!</v>
      </c>
      <c r="EK128" t="e">
        <f>AND('Qualification Mgr'!#REF!,"AAAAAGVeX4w=")</f>
        <v>#REF!</v>
      </c>
      <c r="EL128" t="e">
        <f>AND('Qualification Mgr'!#REF!,"AAAAAGVeX40=")</f>
        <v>#REF!</v>
      </c>
      <c r="EM128" t="e">
        <f>AND('Qualification Mgr'!#REF!,"AAAAAGVeX44=")</f>
        <v>#REF!</v>
      </c>
      <c r="EN128" t="e">
        <f>AND('Qualification Mgr'!#REF!,"AAAAAGVeX48=")</f>
        <v>#REF!</v>
      </c>
      <c r="EO128" t="e">
        <f>AND('Qualification Mgr'!H54,"AAAAAGVeX5A=")</f>
        <v>#VALUE!</v>
      </c>
      <c r="EP128" t="e">
        <f>AND('Qualification Mgr'!I54,"AAAAAGVeX5E=")</f>
        <v>#VALUE!</v>
      </c>
      <c r="EQ128" t="e">
        <f>AND('Qualification Mgr'!J54,"AAAAAGVeX5I=")</f>
        <v>#VALUE!</v>
      </c>
      <c r="ER128" t="e">
        <f>AND('Qualification Mgr'!K54,"AAAAAGVeX5M=")</f>
        <v>#VALUE!</v>
      </c>
      <c r="ES128">
        <f>IF('Qualification Mgr'!55:55,"AAAAAGVeX5Q=",0)</f>
        <v>0</v>
      </c>
      <c r="ET128" t="e">
        <f>AND('Qualification Mgr'!#REF!,"AAAAAGVeX5U=")</f>
        <v>#REF!</v>
      </c>
      <c r="EU128" t="e">
        <f>AND('Qualification Mgr'!C55,"AAAAAGVeX5Y=")</f>
        <v>#VALUE!</v>
      </c>
      <c r="EV128" t="e">
        <f>AND('Qualification Mgr'!D55,"AAAAAGVeX5c=")</f>
        <v>#VALUE!</v>
      </c>
      <c r="EW128" t="e">
        <f>AND('Qualification Mgr'!E55,"AAAAAGVeX5g=")</f>
        <v>#VALUE!</v>
      </c>
      <c r="EX128" t="e">
        <f>AND('Qualification Mgr'!F55,"AAAAAGVeX5k=")</f>
        <v>#VALUE!</v>
      </c>
      <c r="EY128" t="e">
        <f>AND('Qualification Mgr'!#REF!,"AAAAAGVeX5o=")</f>
        <v>#REF!</v>
      </c>
      <c r="EZ128" t="e">
        <f>AND('Qualification Mgr'!#REF!,"AAAAAGVeX5s=")</f>
        <v>#REF!</v>
      </c>
      <c r="FA128" t="e">
        <f>AND('Qualification Mgr'!#REF!,"AAAAAGVeX5w=")</f>
        <v>#REF!</v>
      </c>
      <c r="FB128" t="e">
        <f>AND('Qualification Mgr'!#REF!,"AAAAAGVeX50=")</f>
        <v>#REF!</v>
      </c>
      <c r="FC128" t="e">
        <f>AND('Qualification Mgr'!#REF!,"AAAAAGVeX54=")</f>
        <v>#REF!</v>
      </c>
      <c r="FD128" t="e">
        <f>AND('Qualification Mgr'!#REF!,"AAAAAGVeX58=")</f>
        <v>#REF!</v>
      </c>
      <c r="FE128" t="e">
        <f>AND('Qualification Mgr'!#REF!,"AAAAAGVeX6A=")</f>
        <v>#REF!</v>
      </c>
      <c r="FF128" t="e">
        <f>AND('Qualification Mgr'!H55,"AAAAAGVeX6E=")</f>
        <v>#VALUE!</v>
      </c>
      <c r="FG128" t="e">
        <f>AND('Qualification Mgr'!I55,"AAAAAGVeX6I=")</f>
        <v>#VALUE!</v>
      </c>
      <c r="FH128" t="e">
        <f>AND('Qualification Mgr'!J55,"AAAAAGVeX6M=")</f>
        <v>#VALUE!</v>
      </c>
      <c r="FI128" t="e">
        <f>AND('Qualification Mgr'!K55,"AAAAAGVeX6Q=")</f>
        <v>#VALUE!</v>
      </c>
      <c r="FJ128">
        <f>IF('Qualification Mgr'!56:56,"AAAAAGVeX6U=",0)</f>
        <v>0</v>
      </c>
      <c r="FK128" t="e">
        <f>AND('Qualification Mgr'!#REF!,"AAAAAGVeX6Y=")</f>
        <v>#REF!</v>
      </c>
      <c r="FL128" t="e">
        <f>AND('Qualification Mgr'!C56,"AAAAAGVeX6c=")</f>
        <v>#VALUE!</v>
      </c>
      <c r="FM128" t="e">
        <f>AND('Qualification Mgr'!D56,"AAAAAGVeX6g=")</f>
        <v>#VALUE!</v>
      </c>
      <c r="FN128" t="e">
        <f>AND('Qualification Mgr'!E56,"AAAAAGVeX6k=")</f>
        <v>#VALUE!</v>
      </c>
      <c r="FO128" t="e">
        <f>AND('Qualification Mgr'!F56,"AAAAAGVeX6o=")</f>
        <v>#VALUE!</v>
      </c>
      <c r="FP128" t="e">
        <f>AND('Qualification Mgr'!#REF!,"AAAAAGVeX6s=")</f>
        <v>#REF!</v>
      </c>
      <c r="FQ128" t="e">
        <f>AND('Qualification Mgr'!#REF!,"AAAAAGVeX6w=")</f>
        <v>#REF!</v>
      </c>
      <c r="FR128" t="e">
        <f>AND('Qualification Mgr'!#REF!,"AAAAAGVeX60=")</f>
        <v>#REF!</v>
      </c>
      <c r="FS128" t="e">
        <f>AND('Qualification Mgr'!#REF!,"AAAAAGVeX64=")</f>
        <v>#REF!</v>
      </c>
      <c r="FT128" t="e">
        <f>AND('Qualification Mgr'!#REF!,"AAAAAGVeX68=")</f>
        <v>#REF!</v>
      </c>
      <c r="FU128" t="e">
        <f>AND('Qualification Mgr'!#REF!,"AAAAAGVeX7A=")</f>
        <v>#REF!</v>
      </c>
      <c r="FV128" t="e">
        <f>AND('Qualification Mgr'!#REF!,"AAAAAGVeX7E=")</f>
        <v>#REF!</v>
      </c>
      <c r="FW128" t="e">
        <f>AND('Qualification Mgr'!H56,"AAAAAGVeX7I=")</f>
        <v>#VALUE!</v>
      </c>
      <c r="FX128" t="e">
        <f>AND('Qualification Mgr'!I56,"AAAAAGVeX7M=")</f>
        <v>#VALUE!</v>
      </c>
      <c r="FY128" t="e">
        <f>AND('Qualification Mgr'!J56,"AAAAAGVeX7Q=")</f>
        <v>#VALUE!</v>
      </c>
      <c r="FZ128" t="e">
        <f>AND('Qualification Mgr'!K56,"AAAAAGVeX7U=")</f>
        <v>#VALUE!</v>
      </c>
      <c r="GA128">
        <f>IF('Qualification Mgr'!62:62,"AAAAAGVeX7Y=",0)</f>
        <v>0</v>
      </c>
      <c r="GB128" t="e">
        <f>AND('Qualification Mgr'!#REF!,"AAAAAGVeX7c=")</f>
        <v>#REF!</v>
      </c>
      <c r="GC128" t="e">
        <f>AND('Qualification Mgr'!C62,"AAAAAGVeX7g=")</f>
        <v>#VALUE!</v>
      </c>
      <c r="GD128" t="e">
        <f>AND('Qualification Mgr'!D62,"AAAAAGVeX7k=")</f>
        <v>#VALUE!</v>
      </c>
      <c r="GE128" t="e">
        <f>AND('Qualification Mgr'!E62,"AAAAAGVeX7o=")</f>
        <v>#VALUE!</v>
      </c>
      <c r="GF128" t="e">
        <f>AND('Qualification Mgr'!F62,"AAAAAGVeX7s=")</f>
        <v>#VALUE!</v>
      </c>
      <c r="GG128" t="e">
        <f>AND('Qualification Mgr'!#REF!,"AAAAAGVeX7w=")</f>
        <v>#REF!</v>
      </c>
      <c r="GH128" t="e">
        <f>AND('Qualification Mgr'!#REF!,"AAAAAGVeX70=")</f>
        <v>#REF!</v>
      </c>
      <c r="GI128" t="e">
        <f>AND('Qualification Mgr'!#REF!,"AAAAAGVeX74=")</f>
        <v>#REF!</v>
      </c>
      <c r="GJ128" t="e">
        <f>AND('Qualification Mgr'!#REF!,"AAAAAGVeX78=")</f>
        <v>#REF!</v>
      </c>
      <c r="GK128" t="e">
        <f>AND('Qualification Mgr'!#REF!,"AAAAAGVeX8A=")</f>
        <v>#REF!</v>
      </c>
      <c r="GL128" t="e">
        <f>AND('Qualification Mgr'!#REF!,"AAAAAGVeX8E=")</f>
        <v>#REF!</v>
      </c>
      <c r="GM128" t="e">
        <f>AND('Qualification Mgr'!#REF!,"AAAAAGVeX8I=")</f>
        <v>#REF!</v>
      </c>
      <c r="GN128" t="e">
        <f>AND('Qualification Mgr'!H62,"AAAAAGVeX8M=")</f>
        <v>#VALUE!</v>
      </c>
      <c r="GO128" t="e">
        <f>AND('Qualification Mgr'!I62,"AAAAAGVeX8Q=")</f>
        <v>#VALUE!</v>
      </c>
      <c r="GP128" t="e">
        <f>AND('Qualification Mgr'!J62,"AAAAAGVeX8U=")</f>
        <v>#VALUE!</v>
      </c>
      <c r="GQ128" t="e">
        <f>AND('Qualification Mgr'!K62,"AAAAAGVeX8Y=")</f>
        <v>#VALUE!</v>
      </c>
      <c r="GR128">
        <f>IF('Qualification Mgr'!63:63,"AAAAAGVeX8c=",0)</f>
        <v>0</v>
      </c>
      <c r="GS128" t="e">
        <f>AND('Qualification Mgr'!#REF!,"AAAAAGVeX8g=")</f>
        <v>#REF!</v>
      </c>
      <c r="GT128" t="e">
        <f>AND('Qualification Mgr'!C63,"AAAAAGVeX8k=")</f>
        <v>#VALUE!</v>
      </c>
      <c r="GU128" t="e">
        <f>AND('Qualification Mgr'!D63,"AAAAAGVeX8o=")</f>
        <v>#VALUE!</v>
      </c>
      <c r="GV128" t="e">
        <f>AND('Qualification Mgr'!E63,"AAAAAGVeX8s=")</f>
        <v>#VALUE!</v>
      </c>
      <c r="GW128" t="e">
        <f>AND('Qualification Mgr'!F63,"AAAAAGVeX8w=")</f>
        <v>#VALUE!</v>
      </c>
      <c r="GX128" t="e">
        <f>AND('Qualification Mgr'!#REF!,"AAAAAGVeX80=")</f>
        <v>#REF!</v>
      </c>
      <c r="GY128" t="e">
        <f>AND('Qualification Mgr'!#REF!,"AAAAAGVeX84=")</f>
        <v>#REF!</v>
      </c>
      <c r="GZ128" t="e">
        <f>AND('Qualification Mgr'!#REF!,"AAAAAGVeX88=")</f>
        <v>#REF!</v>
      </c>
      <c r="HA128" t="e">
        <f>AND('Qualification Mgr'!#REF!,"AAAAAGVeX9A=")</f>
        <v>#REF!</v>
      </c>
      <c r="HB128" t="e">
        <f>AND('Qualification Mgr'!#REF!,"AAAAAGVeX9E=")</f>
        <v>#REF!</v>
      </c>
      <c r="HC128" t="e">
        <f>AND('Qualification Mgr'!#REF!,"AAAAAGVeX9I=")</f>
        <v>#REF!</v>
      </c>
      <c r="HD128" t="e">
        <f>AND('Qualification Mgr'!#REF!,"AAAAAGVeX9M=")</f>
        <v>#REF!</v>
      </c>
      <c r="HE128" t="e">
        <f>AND('Qualification Mgr'!H63,"AAAAAGVeX9Q=")</f>
        <v>#VALUE!</v>
      </c>
      <c r="HF128" t="e">
        <f>AND('Qualification Mgr'!I63,"AAAAAGVeX9U=")</f>
        <v>#VALUE!</v>
      </c>
      <c r="HG128" t="e">
        <f>AND('Qualification Mgr'!J63,"AAAAAGVeX9Y=")</f>
        <v>#VALUE!</v>
      </c>
      <c r="HH128" t="e">
        <f>AND('Qualification Mgr'!K63,"AAAAAGVeX9c=")</f>
        <v>#VALUE!</v>
      </c>
      <c r="HI128" t="e">
        <f>IF('Qualification Mgr'!#REF!,"AAAAAGVeX9g=",0)</f>
        <v>#REF!</v>
      </c>
      <c r="HJ128" t="e">
        <f>AND('Qualification Mgr'!#REF!,"AAAAAGVeX9k=")</f>
        <v>#REF!</v>
      </c>
      <c r="HK128" t="e">
        <f>AND('Qualification Mgr'!#REF!,"AAAAAGVeX9o=")</f>
        <v>#REF!</v>
      </c>
      <c r="HL128" t="e">
        <f>AND('Qualification Mgr'!#REF!,"AAAAAGVeX9s=")</f>
        <v>#REF!</v>
      </c>
      <c r="HM128" t="e">
        <f>AND('Qualification Mgr'!#REF!,"AAAAAGVeX9w=")</f>
        <v>#REF!</v>
      </c>
      <c r="HN128" t="e">
        <f>AND('Qualification Mgr'!#REF!,"AAAAAGVeX90=")</f>
        <v>#REF!</v>
      </c>
      <c r="HO128" t="e">
        <f>AND('Qualification Mgr'!#REF!,"AAAAAGVeX94=")</f>
        <v>#REF!</v>
      </c>
      <c r="HP128" t="e">
        <f>AND('Qualification Mgr'!#REF!,"AAAAAGVeX98=")</f>
        <v>#REF!</v>
      </c>
      <c r="HQ128" t="e">
        <f>AND('Qualification Mgr'!#REF!,"AAAAAGVeX+A=")</f>
        <v>#REF!</v>
      </c>
      <c r="HR128" t="e">
        <f>AND('Qualification Mgr'!#REF!,"AAAAAGVeX+E=")</f>
        <v>#REF!</v>
      </c>
      <c r="HS128" t="e">
        <f>AND('Qualification Mgr'!#REF!,"AAAAAGVeX+I=")</f>
        <v>#REF!</v>
      </c>
      <c r="HT128" t="e">
        <f>AND('Qualification Mgr'!#REF!,"AAAAAGVeX+M=")</f>
        <v>#REF!</v>
      </c>
      <c r="HU128" t="e">
        <f>AND('Qualification Mgr'!#REF!,"AAAAAGVeX+Q=")</f>
        <v>#REF!</v>
      </c>
      <c r="HV128" t="e">
        <f>AND('Qualification Mgr'!#REF!,"AAAAAGVeX+U=")</f>
        <v>#REF!</v>
      </c>
      <c r="HW128" t="e">
        <f>AND('Qualification Mgr'!#REF!,"AAAAAGVeX+Y=")</f>
        <v>#REF!</v>
      </c>
      <c r="HX128" t="e">
        <f>AND('Qualification Mgr'!#REF!,"AAAAAGVeX+c=")</f>
        <v>#REF!</v>
      </c>
      <c r="HY128" t="e">
        <f>AND('Qualification Mgr'!#REF!,"AAAAAGVeX+g=")</f>
        <v>#REF!</v>
      </c>
      <c r="HZ128">
        <f>IF('Qualification Mgr'!65:65,"AAAAAGVeX+k=",0)</f>
        <v>0</v>
      </c>
      <c r="IA128" t="e">
        <f>AND('Qualification Mgr'!A65,"AAAAAGVeX+o=")</f>
        <v>#VALUE!</v>
      </c>
      <c r="IB128" t="e">
        <f>AND('Qualification Mgr'!B65,"AAAAAGVeX+s=")</f>
        <v>#VALUE!</v>
      </c>
      <c r="IC128" t="e">
        <f>AND('Qualification Mgr'!C65,"AAAAAGVeX+w=")</f>
        <v>#VALUE!</v>
      </c>
      <c r="ID128" t="e">
        <f>AND('Qualification Mgr'!D65,"AAAAAGVeX+0=")</f>
        <v>#VALUE!</v>
      </c>
      <c r="IE128" t="e">
        <f>AND('Qualification Mgr'!E65,"AAAAAGVeX+4=")</f>
        <v>#VALUE!</v>
      </c>
      <c r="IF128" t="e">
        <f>AND('Qualification Mgr'!F65,"AAAAAGVeX+8=")</f>
        <v>#VALUE!</v>
      </c>
      <c r="IG128" t="e">
        <f>AND('Qualification Mgr'!G65,"AAAAAGVeX/A=")</f>
        <v>#VALUE!</v>
      </c>
      <c r="IH128" t="e">
        <f>AND('Qualification Mgr'!#REF!,"AAAAAGVeX/E=")</f>
        <v>#REF!</v>
      </c>
      <c r="II128" t="e">
        <f>AND('Qualification Mgr'!#REF!,"AAAAAGVeX/I=")</f>
        <v>#REF!</v>
      </c>
      <c r="IJ128" t="e">
        <f>AND('Qualification Mgr'!#REF!,"AAAAAGVeX/M=")</f>
        <v>#REF!</v>
      </c>
      <c r="IK128" t="e">
        <f>AND('Qualification Mgr'!#REF!,"AAAAAGVeX/Q=")</f>
        <v>#REF!</v>
      </c>
      <c r="IL128" t="e">
        <f>AND('Qualification Mgr'!#REF!,"AAAAAGVeX/U=")</f>
        <v>#REF!</v>
      </c>
      <c r="IM128" t="e">
        <f>AND('Qualification Mgr'!H65,"AAAAAGVeX/Y=")</f>
        <v>#VALUE!</v>
      </c>
      <c r="IN128" t="e">
        <f>AND('Qualification Mgr'!I65,"AAAAAGVeX/c=")</f>
        <v>#VALUE!</v>
      </c>
      <c r="IO128" t="e">
        <f>AND('Qualification Mgr'!J65,"AAAAAGVeX/g=")</f>
        <v>#VALUE!</v>
      </c>
      <c r="IP128" t="e">
        <f>AND('Qualification Mgr'!K65,"AAAAAGVeX/k=")</f>
        <v>#VALUE!</v>
      </c>
      <c r="IQ128" t="e">
        <f>IF('Qualification Mgr'!#REF!,"AAAAAGVeX/o=",0)</f>
        <v>#REF!</v>
      </c>
      <c r="IR128" t="e">
        <f>AND('Qualification Mgr'!#REF!,"AAAAAGVeX/s=")</f>
        <v>#REF!</v>
      </c>
      <c r="IS128" t="e">
        <f>AND('Qualification Mgr'!#REF!,"AAAAAGVeX/w=")</f>
        <v>#REF!</v>
      </c>
      <c r="IT128" t="e">
        <f>AND('Qualification Mgr'!#REF!,"AAAAAGVeX/0=")</f>
        <v>#REF!</v>
      </c>
      <c r="IU128" t="e">
        <f>AND('Qualification Mgr'!#REF!,"AAAAAGVeX/4=")</f>
        <v>#REF!</v>
      </c>
      <c r="IV128" t="e">
        <f>AND('Qualification Mgr'!#REF!,"AAAAAGVeX/8=")</f>
        <v>#REF!</v>
      </c>
    </row>
    <row r="129" spans="1:256" x14ac:dyDescent="0.2">
      <c r="A129" t="e">
        <f>AND('Qualification Mgr'!#REF!,"AAAAAF3ecwA=")</f>
        <v>#REF!</v>
      </c>
      <c r="B129" t="e">
        <f>AND('Qualification Mgr'!#REF!,"AAAAAF3ecwE=")</f>
        <v>#REF!</v>
      </c>
      <c r="C129" t="e">
        <f>AND('Qualification Mgr'!#REF!,"AAAAAF3ecwI=")</f>
        <v>#REF!</v>
      </c>
      <c r="D129" t="e">
        <f>AND('Qualification Mgr'!#REF!,"AAAAAF3ecwM=")</f>
        <v>#REF!</v>
      </c>
      <c r="E129" t="e">
        <f>AND('Qualification Mgr'!#REF!,"AAAAAF3ecwQ=")</f>
        <v>#REF!</v>
      </c>
      <c r="F129" t="e">
        <f>AND('Qualification Mgr'!#REF!,"AAAAAF3ecwU=")</f>
        <v>#REF!</v>
      </c>
      <c r="G129" t="e">
        <f>AND('Qualification Mgr'!#REF!,"AAAAAF3ecwY=")</f>
        <v>#REF!</v>
      </c>
      <c r="H129" t="e">
        <f>AND('Qualification Mgr'!#REF!,"AAAAAF3ecwc=")</f>
        <v>#REF!</v>
      </c>
      <c r="I129" t="e">
        <f>AND('Qualification Mgr'!#REF!,"AAAAAF3ecwg=")</f>
        <v>#REF!</v>
      </c>
      <c r="J129" t="e">
        <f>AND('Qualification Mgr'!#REF!,"AAAAAF3ecwk=")</f>
        <v>#REF!</v>
      </c>
      <c r="K129" t="e">
        <f>AND('Qualification Mgr'!#REF!,"AAAAAF3ecwo=")</f>
        <v>#REF!</v>
      </c>
      <c r="L129">
        <f>IF('Qualification Mgr'!66:66,"AAAAAF3ecws=",0)</f>
        <v>0</v>
      </c>
      <c r="M129" t="e">
        <f>AND('Qualification Mgr'!#REF!,"AAAAAF3ecww=")</f>
        <v>#REF!</v>
      </c>
      <c r="N129" t="e">
        <f>AND('Qualification Mgr'!A66,"AAAAAF3ecw0=")</f>
        <v>#VALUE!</v>
      </c>
      <c r="O129" t="e">
        <f>AND('Qualification Mgr'!B66,"AAAAAF3ecw4=")</f>
        <v>#VALUE!</v>
      </c>
      <c r="P129" t="e">
        <f>AND('Qualification Mgr'!C66,"AAAAAF3ecw8=")</f>
        <v>#VALUE!</v>
      </c>
      <c r="Q129" t="e">
        <f>AND('Qualification Mgr'!D66,"AAAAAF3ecxA=")</f>
        <v>#VALUE!</v>
      </c>
      <c r="R129" t="e">
        <f>AND('Qualification Mgr'!E66,"AAAAAF3ecxE=")</f>
        <v>#VALUE!</v>
      </c>
      <c r="S129" t="e">
        <f>AND('Qualification Mgr'!F66,"AAAAAF3ecxI=")</f>
        <v>#VALUE!</v>
      </c>
      <c r="T129" t="e">
        <f>AND('Qualification Mgr'!G66,"AAAAAF3ecxM=")</f>
        <v>#VALUE!</v>
      </c>
      <c r="U129" t="e">
        <f>AND('Qualification Mgr'!#REF!,"AAAAAF3ecxQ=")</f>
        <v>#REF!</v>
      </c>
      <c r="V129" t="e">
        <f>AND('Qualification Mgr'!#REF!,"AAAAAF3ecxU=")</f>
        <v>#REF!</v>
      </c>
      <c r="W129" t="e">
        <f>AND('Qualification Mgr'!#REF!,"AAAAAF3ecxY=")</f>
        <v>#REF!</v>
      </c>
      <c r="X129" t="e">
        <f>AND('Qualification Mgr'!#REF!,"AAAAAF3ecxc=")</f>
        <v>#REF!</v>
      </c>
      <c r="Y129" t="e">
        <f>AND('Qualification Mgr'!H66,"AAAAAF3ecxg=")</f>
        <v>#VALUE!</v>
      </c>
      <c r="Z129" t="e">
        <f>AND('Qualification Mgr'!I66,"AAAAAF3ecxk=")</f>
        <v>#VALUE!</v>
      </c>
      <c r="AA129" t="e">
        <f>AND('Qualification Mgr'!J66,"AAAAAF3ecxo=")</f>
        <v>#VALUE!</v>
      </c>
      <c r="AB129" t="e">
        <f>AND('Qualification Mgr'!K66,"AAAAAF3ecxs=")</f>
        <v>#VALUE!</v>
      </c>
      <c r="AC129">
        <f>IF('Qualification Mgr'!67:67,"AAAAAF3ecxw=",0)</f>
        <v>0</v>
      </c>
      <c r="AD129" t="e">
        <f>AND('Qualification Mgr'!#REF!,"AAAAAF3ecx0=")</f>
        <v>#REF!</v>
      </c>
      <c r="AE129" t="e">
        <f>AND('Qualification Mgr'!A67,"AAAAAF3ecx4=")</f>
        <v>#VALUE!</v>
      </c>
      <c r="AF129" t="e">
        <f>AND('Qualification Mgr'!B67,"AAAAAF3ecx8=")</f>
        <v>#VALUE!</v>
      </c>
      <c r="AG129" t="e">
        <f>AND('Qualification Mgr'!C67,"AAAAAF3ecyA=")</f>
        <v>#VALUE!</v>
      </c>
      <c r="AH129" t="e">
        <f>AND('Qualification Mgr'!D67,"AAAAAF3ecyE=")</f>
        <v>#VALUE!</v>
      </c>
      <c r="AI129" t="e">
        <f>AND('Qualification Mgr'!E67,"AAAAAF3ecyI=")</f>
        <v>#VALUE!</v>
      </c>
      <c r="AJ129" t="e">
        <f>AND('Qualification Mgr'!F67,"AAAAAF3ecyM=")</f>
        <v>#VALUE!</v>
      </c>
      <c r="AK129" t="e">
        <f>AND('Qualification Mgr'!G67,"AAAAAF3ecyQ=")</f>
        <v>#VALUE!</v>
      </c>
      <c r="AL129" t="e">
        <f>AND('Qualification Mgr'!#REF!,"AAAAAF3ecyU=")</f>
        <v>#REF!</v>
      </c>
      <c r="AM129" t="e">
        <f>AND('Qualification Mgr'!#REF!,"AAAAAF3ecyY=")</f>
        <v>#REF!</v>
      </c>
      <c r="AN129" t="e">
        <f>AND('Qualification Mgr'!#REF!,"AAAAAF3ecyc=")</f>
        <v>#REF!</v>
      </c>
      <c r="AO129" t="e">
        <f>AND('Qualification Mgr'!#REF!,"AAAAAF3ecyg=")</f>
        <v>#REF!</v>
      </c>
      <c r="AP129" t="e">
        <f>AND('Qualification Mgr'!H67,"AAAAAF3ecyk=")</f>
        <v>#VALUE!</v>
      </c>
      <c r="AQ129" t="e">
        <f>AND('Qualification Mgr'!I67,"AAAAAF3ecyo=")</f>
        <v>#VALUE!</v>
      </c>
      <c r="AR129" t="e">
        <f>AND('Qualification Mgr'!J67,"AAAAAF3ecys=")</f>
        <v>#VALUE!</v>
      </c>
      <c r="AS129" t="e">
        <f>AND('Qualification Mgr'!K67,"AAAAAF3ecyw=")</f>
        <v>#VALUE!</v>
      </c>
      <c r="AT129">
        <f>IF('Qualification Mgr'!68:68,"AAAAAF3ecy0=",0)</f>
        <v>0</v>
      </c>
      <c r="AU129" t="e">
        <f>AND('Qualification Mgr'!#REF!,"AAAAAF3ecy4=")</f>
        <v>#REF!</v>
      </c>
      <c r="AV129" t="e">
        <f>AND('Qualification Mgr'!A68,"AAAAAF3ecy8=")</f>
        <v>#VALUE!</v>
      </c>
      <c r="AW129" t="e">
        <f>AND('Qualification Mgr'!B68,"AAAAAF3eczA=")</f>
        <v>#VALUE!</v>
      </c>
      <c r="AX129" t="e">
        <f>AND('Qualification Mgr'!C68,"AAAAAF3eczE=")</f>
        <v>#VALUE!</v>
      </c>
      <c r="AY129" t="e">
        <f>AND('Qualification Mgr'!D68,"AAAAAF3eczI=")</f>
        <v>#VALUE!</v>
      </c>
      <c r="AZ129" t="e">
        <f>AND('Qualification Mgr'!E68,"AAAAAF3eczM=")</f>
        <v>#VALUE!</v>
      </c>
      <c r="BA129" t="e">
        <f>AND('Qualification Mgr'!F68,"AAAAAF3eczQ=")</f>
        <v>#VALUE!</v>
      </c>
      <c r="BB129" t="e">
        <f>AND('Qualification Mgr'!G68,"AAAAAF3eczU=")</f>
        <v>#VALUE!</v>
      </c>
      <c r="BC129" t="e">
        <f>AND('Qualification Mgr'!#REF!,"AAAAAF3eczY=")</f>
        <v>#REF!</v>
      </c>
      <c r="BD129" t="e">
        <f>AND('Qualification Mgr'!#REF!,"AAAAAF3eczc=")</f>
        <v>#REF!</v>
      </c>
      <c r="BE129" t="e">
        <f>AND('Qualification Mgr'!#REF!,"AAAAAF3eczg=")</f>
        <v>#REF!</v>
      </c>
      <c r="BF129" t="e">
        <f>AND('Qualification Mgr'!#REF!,"AAAAAF3eczk=")</f>
        <v>#REF!</v>
      </c>
      <c r="BG129" t="e">
        <f>AND('Qualification Mgr'!H68,"AAAAAF3eczo=")</f>
        <v>#VALUE!</v>
      </c>
      <c r="BH129" t="e">
        <f>AND('Qualification Mgr'!I68,"AAAAAF3eczs=")</f>
        <v>#VALUE!</v>
      </c>
      <c r="BI129" t="e">
        <f>AND('Qualification Mgr'!J68,"AAAAAF3eczw=")</f>
        <v>#VALUE!</v>
      </c>
      <c r="BJ129" t="e">
        <f>AND('Qualification Mgr'!K68,"AAAAAF3ecz0=")</f>
        <v>#VALUE!</v>
      </c>
      <c r="BK129">
        <f>IF('Qualification Mgr'!69:69,"AAAAAF3ecz4=",0)</f>
        <v>0</v>
      </c>
      <c r="BL129" t="e">
        <f>AND('Qualification Mgr'!#REF!,"AAAAAF3ecz8=")</f>
        <v>#REF!</v>
      </c>
      <c r="BM129" t="e">
        <f>AND('Qualification Mgr'!A69,"AAAAAF3ec0A=")</f>
        <v>#VALUE!</v>
      </c>
      <c r="BN129" t="e">
        <f>AND('Qualification Mgr'!B69,"AAAAAF3ec0E=")</f>
        <v>#VALUE!</v>
      </c>
      <c r="BO129" t="e">
        <f>AND('Qualification Mgr'!C69,"AAAAAF3ec0I=")</f>
        <v>#VALUE!</v>
      </c>
      <c r="BP129" t="e">
        <f>AND('Qualification Mgr'!D69,"AAAAAF3ec0M=")</f>
        <v>#VALUE!</v>
      </c>
      <c r="BQ129" t="e">
        <f>AND('Qualification Mgr'!E69,"AAAAAF3ec0Q=")</f>
        <v>#VALUE!</v>
      </c>
      <c r="BR129" t="e">
        <f>AND('Qualification Mgr'!F69,"AAAAAF3ec0U=")</f>
        <v>#VALUE!</v>
      </c>
      <c r="BS129" t="e">
        <f>AND('Qualification Mgr'!G69,"AAAAAF3ec0Y=")</f>
        <v>#VALUE!</v>
      </c>
      <c r="BT129" t="e">
        <f>AND('Qualification Mgr'!#REF!,"AAAAAF3ec0c=")</f>
        <v>#REF!</v>
      </c>
      <c r="BU129" t="e">
        <f>AND('Qualification Mgr'!#REF!,"AAAAAF3ec0g=")</f>
        <v>#REF!</v>
      </c>
      <c r="BV129" t="e">
        <f>AND('Qualification Mgr'!#REF!,"AAAAAF3ec0k=")</f>
        <v>#REF!</v>
      </c>
      <c r="BW129" t="e">
        <f>AND('Qualification Mgr'!#REF!,"AAAAAF3ec0o=")</f>
        <v>#REF!</v>
      </c>
      <c r="BX129" t="e">
        <f>AND('Qualification Mgr'!H69,"AAAAAF3ec0s=")</f>
        <v>#VALUE!</v>
      </c>
      <c r="BY129" t="e">
        <f>AND('Qualification Mgr'!I69,"AAAAAF3ec0w=")</f>
        <v>#VALUE!</v>
      </c>
      <c r="BZ129" t="e">
        <f>AND('Qualification Mgr'!J69,"AAAAAF3ec00=")</f>
        <v>#VALUE!</v>
      </c>
      <c r="CA129" t="e">
        <f>AND('Qualification Mgr'!K69,"AAAAAF3ec04=")</f>
        <v>#VALUE!</v>
      </c>
      <c r="CB129">
        <f>IF('Qualification Mgr'!70:70,"AAAAAF3ec08=",0)</f>
        <v>0</v>
      </c>
      <c r="CC129" t="e">
        <f>AND('Qualification Mgr'!A70,"AAAAAF3ec1A=")</f>
        <v>#VALUE!</v>
      </c>
      <c r="CD129" t="e">
        <f>AND('Qualification Mgr'!B70,"AAAAAF3ec1E=")</f>
        <v>#VALUE!</v>
      </c>
      <c r="CE129" t="e">
        <f>AND('Qualification Mgr'!C70,"AAAAAF3ec1I=")</f>
        <v>#VALUE!</v>
      </c>
      <c r="CF129" t="e">
        <f>AND('Qualification Mgr'!D70,"AAAAAF3ec1M=")</f>
        <v>#VALUE!</v>
      </c>
      <c r="CG129" t="e">
        <f>AND('Qualification Mgr'!E70,"AAAAAF3ec1Q=")</f>
        <v>#VALUE!</v>
      </c>
      <c r="CH129" t="e">
        <f>AND('Qualification Mgr'!F70,"AAAAAF3ec1U=")</f>
        <v>#VALUE!</v>
      </c>
      <c r="CI129" t="e">
        <f>AND('Qualification Mgr'!G70,"AAAAAF3ec1Y=")</f>
        <v>#VALUE!</v>
      </c>
      <c r="CJ129" t="e">
        <f>AND('Qualification Mgr'!#REF!,"AAAAAF3ec1c=")</f>
        <v>#REF!</v>
      </c>
      <c r="CK129" t="e">
        <f>AND('Qualification Mgr'!#REF!,"AAAAAF3ec1g=")</f>
        <v>#REF!</v>
      </c>
      <c r="CL129" t="e">
        <f>AND('Qualification Mgr'!#REF!,"AAAAAF3ec1k=")</f>
        <v>#REF!</v>
      </c>
      <c r="CM129" t="e">
        <f>AND('Qualification Mgr'!#REF!,"AAAAAF3ec1o=")</f>
        <v>#REF!</v>
      </c>
      <c r="CN129" t="e">
        <f>AND('Qualification Mgr'!H70,"AAAAAF3ec1s=")</f>
        <v>#VALUE!</v>
      </c>
      <c r="CO129" t="e">
        <f>AND('Qualification Mgr'!I70,"AAAAAF3ec1w=")</f>
        <v>#VALUE!</v>
      </c>
      <c r="CP129" t="e">
        <f>AND('Qualification Mgr'!J70,"AAAAAF3ec10=")</f>
        <v>#VALUE!</v>
      </c>
      <c r="CQ129" t="e">
        <f>AND('Qualification Mgr'!K70,"AAAAAF3ec14=")</f>
        <v>#VALUE!</v>
      </c>
      <c r="CR129" t="e">
        <f>AND('Qualification Mgr'!L70,"AAAAAF3ec18=")</f>
        <v>#VALUE!</v>
      </c>
      <c r="CS129" t="e">
        <f>IF('Qualification Mgr'!#REF!,"AAAAAF3ec2A=",0)</f>
        <v>#REF!</v>
      </c>
      <c r="CT129" t="e">
        <f>AND('Qualification Mgr'!#REF!,"AAAAAF3ec2E=")</f>
        <v>#REF!</v>
      </c>
      <c r="CU129" t="e">
        <f>AND('Qualification Mgr'!#REF!,"AAAAAF3ec2I=")</f>
        <v>#REF!</v>
      </c>
      <c r="CV129" t="e">
        <f>AND('Qualification Mgr'!#REF!,"AAAAAF3ec2M=")</f>
        <v>#REF!</v>
      </c>
      <c r="CW129" t="e">
        <f>AND('Qualification Mgr'!#REF!,"AAAAAF3ec2Q=")</f>
        <v>#REF!</v>
      </c>
      <c r="CX129" t="e">
        <f>AND('Qualification Mgr'!#REF!,"AAAAAF3ec2U=")</f>
        <v>#REF!</v>
      </c>
      <c r="CY129" t="e">
        <f>AND('Qualification Mgr'!#REF!,"AAAAAF3ec2Y=")</f>
        <v>#REF!</v>
      </c>
      <c r="CZ129" t="e">
        <f>AND('Qualification Mgr'!#REF!,"AAAAAF3ec2c=")</f>
        <v>#REF!</v>
      </c>
      <c r="DA129" t="e">
        <f>AND('Qualification Mgr'!#REF!,"AAAAAF3ec2g=")</f>
        <v>#REF!</v>
      </c>
      <c r="DB129" t="e">
        <f>AND('Qualification Mgr'!#REF!,"AAAAAF3ec2k=")</f>
        <v>#REF!</v>
      </c>
      <c r="DC129" t="e">
        <f>AND('Qualification Mgr'!#REF!,"AAAAAF3ec2o=")</f>
        <v>#REF!</v>
      </c>
      <c r="DD129" t="e">
        <f>AND('Qualification Mgr'!#REF!,"AAAAAF3ec2s=")</f>
        <v>#REF!</v>
      </c>
      <c r="DE129" t="e">
        <f>AND('Qualification Mgr'!#REF!,"AAAAAF3ec2w=")</f>
        <v>#REF!</v>
      </c>
      <c r="DF129" t="e">
        <f>AND('Qualification Mgr'!#REF!,"AAAAAF3ec20=")</f>
        <v>#REF!</v>
      </c>
      <c r="DG129" t="e">
        <f>AND('Qualification Mgr'!#REF!,"AAAAAF3ec24=")</f>
        <v>#REF!</v>
      </c>
      <c r="DH129" t="e">
        <f>AND('Qualification Mgr'!#REF!,"AAAAAF3ec28=")</f>
        <v>#REF!</v>
      </c>
      <c r="DI129" t="e">
        <f>AND('Qualification Mgr'!#REF!,"AAAAAF3ec3A=")</f>
        <v>#REF!</v>
      </c>
      <c r="DJ129" t="e">
        <f>IF('Qualification Mgr'!#REF!,"AAAAAF3ec3E=",0)</f>
        <v>#REF!</v>
      </c>
      <c r="DK129" t="e">
        <f>AND('Qualification Mgr'!#REF!,"AAAAAF3ec3I=")</f>
        <v>#REF!</v>
      </c>
      <c r="DL129" t="e">
        <f>AND('Qualification Mgr'!#REF!,"AAAAAF3ec3M=")</f>
        <v>#REF!</v>
      </c>
      <c r="DM129" t="e">
        <f>AND('Qualification Mgr'!#REF!,"AAAAAF3ec3Q=")</f>
        <v>#REF!</v>
      </c>
      <c r="DN129" t="e">
        <f>AND('Qualification Mgr'!#REF!,"AAAAAF3ec3U=")</f>
        <v>#REF!</v>
      </c>
      <c r="DO129" t="e">
        <f>AND('Qualification Mgr'!#REF!,"AAAAAF3ec3Y=")</f>
        <v>#REF!</v>
      </c>
      <c r="DP129" t="e">
        <f>AND('Qualification Mgr'!#REF!,"AAAAAF3ec3c=")</f>
        <v>#REF!</v>
      </c>
      <c r="DQ129" t="e">
        <f>AND('Qualification Mgr'!#REF!,"AAAAAF3ec3g=")</f>
        <v>#REF!</v>
      </c>
      <c r="DR129" t="e">
        <f>AND('Qualification Mgr'!#REF!,"AAAAAF3ec3k=")</f>
        <v>#REF!</v>
      </c>
      <c r="DS129" t="e">
        <f>AND('Qualification Mgr'!#REF!,"AAAAAF3ec3o=")</f>
        <v>#REF!</v>
      </c>
      <c r="DT129" t="e">
        <f>AND('Qualification Mgr'!#REF!,"AAAAAF3ec3s=")</f>
        <v>#REF!</v>
      </c>
      <c r="DU129" t="e">
        <f>AND('Qualification Mgr'!#REF!,"AAAAAF3ec3w=")</f>
        <v>#REF!</v>
      </c>
      <c r="DV129" t="e">
        <f>AND('Qualification Mgr'!#REF!,"AAAAAF3ec30=")</f>
        <v>#REF!</v>
      </c>
      <c r="DW129" t="e">
        <f>AND('Qualification Mgr'!#REF!,"AAAAAF3ec34=")</f>
        <v>#REF!</v>
      </c>
      <c r="DX129" t="e">
        <f>AND('Qualification Mgr'!#REF!,"AAAAAF3ec38=")</f>
        <v>#REF!</v>
      </c>
      <c r="DY129" t="e">
        <f>AND('Qualification Mgr'!#REF!,"AAAAAF3ec4A=")</f>
        <v>#REF!</v>
      </c>
      <c r="DZ129" t="e">
        <f>AND('Qualification Mgr'!#REF!,"AAAAAF3ec4E=")</f>
        <v>#REF!</v>
      </c>
      <c r="EA129" t="e">
        <f>IF('Qualification Mgr'!#REF!,"AAAAAF3ec4I=",0)</f>
        <v>#REF!</v>
      </c>
      <c r="EB129" t="e">
        <f>AND('Qualification Mgr'!#REF!,"AAAAAF3ec4M=")</f>
        <v>#REF!</v>
      </c>
      <c r="EC129" t="e">
        <f>AND('Qualification Mgr'!#REF!,"AAAAAF3ec4Q=")</f>
        <v>#REF!</v>
      </c>
      <c r="ED129" t="e">
        <f>AND('Qualification Mgr'!#REF!,"AAAAAF3ec4U=")</f>
        <v>#REF!</v>
      </c>
      <c r="EE129" t="e">
        <f>AND('Qualification Mgr'!#REF!,"AAAAAF3ec4Y=")</f>
        <v>#REF!</v>
      </c>
      <c r="EF129" t="e">
        <f>AND('Qualification Mgr'!#REF!,"AAAAAF3ec4c=")</f>
        <v>#REF!</v>
      </c>
      <c r="EG129" t="e">
        <f>AND('Qualification Mgr'!#REF!,"AAAAAF3ec4g=")</f>
        <v>#REF!</v>
      </c>
      <c r="EH129" t="e">
        <f>AND('Qualification Mgr'!#REF!,"AAAAAF3ec4k=")</f>
        <v>#REF!</v>
      </c>
      <c r="EI129" t="e">
        <f>AND('Qualification Mgr'!#REF!,"AAAAAF3ec4o=")</f>
        <v>#REF!</v>
      </c>
      <c r="EJ129" t="e">
        <f>AND('Qualification Mgr'!#REF!,"AAAAAF3ec4s=")</f>
        <v>#REF!</v>
      </c>
      <c r="EK129" t="e">
        <f>AND('Qualification Mgr'!#REF!,"AAAAAF3ec4w=")</f>
        <v>#REF!</v>
      </c>
      <c r="EL129" t="e">
        <f>AND('Qualification Mgr'!#REF!,"AAAAAF3ec40=")</f>
        <v>#REF!</v>
      </c>
      <c r="EM129" t="e">
        <f>AND('Qualification Mgr'!#REF!,"AAAAAF3ec44=")</f>
        <v>#REF!</v>
      </c>
      <c r="EN129" t="e">
        <f>AND('Qualification Mgr'!#REF!,"AAAAAF3ec48=")</f>
        <v>#REF!</v>
      </c>
      <c r="EO129" t="e">
        <f>AND('Qualification Mgr'!#REF!,"AAAAAF3ec5A=")</f>
        <v>#REF!</v>
      </c>
      <c r="EP129" t="e">
        <f>AND('Qualification Mgr'!#REF!,"AAAAAF3ec5E=")</f>
        <v>#REF!</v>
      </c>
      <c r="EQ129" t="e">
        <f>AND('Qualification Mgr'!#REF!,"AAAAAF3ec5I=")</f>
        <v>#REF!</v>
      </c>
      <c r="ER129">
        <f>IF('Qualification Mgr'!A:A,"AAAAAF3ec5M=",0)</f>
        <v>0</v>
      </c>
      <c r="ES129">
        <f>IF('Qualification Mgr'!B:B,"AAAAAF3ec5Q=",0)</f>
        <v>0</v>
      </c>
      <c r="ET129">
        <f>IF('Qualification Mgr'!C:C,"AAAAAF3ec5U=",0)</f>
        <v>0</v>
      </c>
      <c r="EU129">
        <f>IF('Qualification Mgr'!D:D,"AAAAAF3ec5Y=",0)</f>
        <v>0</v>
      </c>
      <c r="EV129">
        <f>IF('Qualification Mgr'!E:E,"AAAAAF3ec5c=",0)</f>
        <v>0</v>
      </c>
      <c r="EW129">
        <f>IF('Qualification Mgr'!F:F,"AAAAAF3ec5g=",0)</f>
        <v>0</v>
      </c>
      <c r="EX129">
        <f>IF('Qualification Mgr'!G:G,"AAAAAF3ec5k=",0)</f>
        <v>0</v>
      </c>
      <c r="EY129" t="e">
        <f>IF('Qualification Mgr'!#REF!,"AAAAAF3ec5o=",0)</f>
        <v>#REF!</v>
      </c>
      <c r="EZ129" t="e">
        <f>IF('Qualification Mgr'!#REF!,"AAAAAF3ec5s=",0)</f>
        <v>#REF!</v>
      </c>
      <c r="FA129" t="e">
        <f>IF('Qualification Mgr'!#REF!,"AAAAAF3ec5w=",0)</f>
        <v>#REF!</v>
      </c>
      <c r="FB129" t="e">
        <f>IF('Qualification Mgr'!#REF!,"AAAAAF3ec50=",0)</f>
        <v>#REF!</v>
      </c>
      <c r="FC129">
        <f>IF('Qualification Mgr'!H:H,"AAAAAF3ec54=",0)</f>
        <v>0</v>
      </c>
      <c r="FD129">
        <f>IF('Qualification Mgr'!I:I,"AAAAAF3ec58=",0)</f>
        <v>0</v>
      </c>
      <c r="FE129">
        <f>IF('Qualification Mgr'!J:J,"AAAAAF3ec6A=",0)</f>
        <v>0</v>
      </c>
      <c r="FF129">
        <f>IF('Qualification Mgr'!K:K,"AAAAAF3ec6E=",0)</f>
        <v>0</v>
      </c>
      <c r="FG129">
        <f>IF('Qualification Mgr'!L:L,"AAAAAF3ec6I=",0)</f>
        <v>0</v>
      </c>
      <c r="FH129" t="e">
        <f>IF(#REF!,"AAAAAF3ec6M=",0)</f>
        <v>#REF!</v>
      </c>
      <c r="FI129" t="e">
        <f>AND(#REF!,"AAAAAF3ec6Q=")</f>
        <v>#REF!</v>
      </c>
      <c r="FJ129" t="e">
        <f>AND(#REF!,"AAAAAF3ec6U=")</f>
        <v>#REF!</v>
      </c>
      <c r="FK129" t="e">
        <f>AND(#REF!,"AAAAAF3ec6Y=")</f>
        <v>#REF!</v>
      </c>
      <c r="FL129" t="e">
        <f>AND(#REF!,"AAAAAF3ec6c=")</f>
        <v>#REF!</v>
      </c>
      <c r="FM129" t="e">
        <f>AND(#REF!,"AAAAAF3ec6g=")</f>
        <v>#REF!</v>
      </c>
      <c r="FN129" t="e">
        <f>AND(#REF!,"AAAAAF3ec6k=")</f>
        <v>#REF!</v>
      </c>
      <c r="FO129" t="e">
        <f>AND(#REF!,"AAAAAF3ec6o=")</f>
        <v>#REF!</v>
      </c>
      <c r="FP129" t="e">
        <f>AND(#REF!,"AAAAAF3ec6s=")</f>
        <v>#REF!</v>
      </c>
      <c r="FQ129" t="e">
        <f>AND(#REF!,"AAAAAF3ec6w=")</f>
        <v>#REF!</v>
      </c>
      <c r="FR129" t="e">
        <f>AND(#REF!,"AAAAAF3ec60=")</f>
        <v>#REF!</v>
      </c>
      <c r="FS129" t="e">
        <f>IF(#REF!,"AAAAAF3ec64=",0)</f>
        <v>#REF!</v>
      </c>
      <c r="FT129" t="e">
        <f>AND(#REF!,"AAAAAF3ec68=")</f>
        <v>#REF!</v>
      </c>
      <c r="FU129" t="e">
        <f>AND(#REF!,"AAAAAF3ec7A=")</f>
        <v>#REF!</v>
      </c>
      <c r="FV129" t="e">
        <f>AND(#REF!,"AAAAAF3ec7E=")</f>
        <v>#REF!</v>
      </c>
      <c r="FW129" t="e">
        <f>AND(#REF!,"AAAAAF3ec7I=")</f>
        <v>#REF!</v>
      </c>
      <c r="FX129" t="e">
        <f>AND(#REF!,"AAAAAF3ec7M=")</f>
        <v>#REF!</v>
      </c>
      <c r="FY129" t="e">
        <f>AND(#REF!,"AAAAAF3ec7Q=")</f>
        <v>#REF!</v>
      </c>
      <c r="FZ129" t="e">
        <f>AND(#REF!,"AAAAAF3ec7U=")</f>
        <v>#REF!</v>
      </c>
      <c r="GA129" t="e">
        <f>AND(#REF!,"AAAAAF3ec7Y=")</f>
        <v>#REF!</v>
      </c>
      <c r="GB129" t="e">
        <f>AND(#REF!,"AAAAAF3ec7c=")</f>
        <v>#REF!</v>
      </c>
      <c r="GC129" t="e">
        <f>AND(#REF!,"AAAAAF3ec7g=")</f>
        <v>#REF!</v>
      </c>
      <c r="GD129" t="e">
        <f>IF(#REF!,"AAAAAF3ec7k=",0)</f>
        <v>#REF!</v>
      </c>
      <c r="GE129" t="e">
        <f>IF(#REF!,"AAAAAF3ec7o=",0)</f>
        <v>#REF!</v>
      </c>
      <c r="GF129" t="e">
        <f>IF(#REF!,"AAAAAF3ec7s=",0)</f>
        <v>#REF!</v>
      </c>
      <c r="GG129" t="e">
        <f>IF(#REF!,"AAAAAF3ec7w=",0)</f>
        <v>#REF!</v>
      </c>
      <c r="GH129" t="e">
        <f>IF(#REF!,"AAAAAF3ec70=",0)</f>
        <v>#REF!</v>
      </c>
      <c r="GI129" t="e">
        <f>IF(#REF!,"AAAAAF3ec74=",0)</f>
        <v>#REF!</v>
      </c>
      <c r="GJ129" t="e">
        <f>IF(#REF!,"AAAAAF3ec78=",0)</f>
        <v>#REF!</v>
      </c>
      <c r="GK129" t="e">
        <f>IF(#REF!,"AAAAAF3ec8A=",0)</f>
        <v>#REF!</v>
      </c>
      <c r="GL129" t="e">
        <f>IF(#REF!,"AAAAAF3ec8E=",0)</f>
        <v>#REF!</v>
      </c>
      <c r="GM129" t="e">
        <f>IF(#REF!,"AAAAAF3ec8I=",0)</f>
        <v>#REF!</v>
      </c>
      <c r="GN129">
        <f>IF(Materials!1:1,"AAAAAF3ec8M=",0)</f>
        <v>0</v>
      </c>
      <c r="GO129" t="e">
        <f>AND(Materials!#REF!,"AAAAAF3ec8Q=")</f>
        <v>#REF!</v>
      </c>
      <c r="GP129" t="e">
        <f>AND(Materials!A1,"AAAAAF3ec8U=")</f>
        <v>#VALUE!</v>
      </c>
      <c r="GQ129" t="e">
        <f>AND(Materials!B1,"AAAAAF3ec8Y=")</f>
        <v>#VALUE!</v>
      </c>
      <c r="GR129" t="e">
        <f>AND(Materials!C1,"AAAAAF3ec8c=")</f>
        <v>#VALUE!</v>
      </c>
      <c r="GS129" t="e">
        <f>AND(Materials!D1,"AAAAAF3ec8g=")</f>
        <v>#VALUE!</v>
      </c>
      <c r="GT129" t="e">
        <f>AND(Materials!E1,"AAAAAF3ec8k=")</f>
        <v>#VALUE!</v>
      </c>
      <c r="GU129" t="e">
        <f>AND(Materials!F1,"AAAAAF3ec8o=")</f>
        <v>#VALUE!</v>
      </c>
      <c r="GV129" t="e">
        <f>AND(Materials!G1,"AAAAAF3ec8s=")</f>
        <v>#VALUE!</v>
      </c>
      <c r="GW129" t="e">
        <f>AND(Materials!#REF!,"AAAAAF3ec8w=")</f>
        <v>#REF!</v>
      </c>
      <c r="GX129" t="e">
        <f>AND(Materials!H1,"AAAAAF3ec80=")</f>
        <v>#VALUE!</v>
      </c>
      <c r="GY129" t="e">
        <f>AND(Materials!I1,"AAAAAF3ec84=")</f>
        <v>#VALUE!</v>
      </c>
      <c r="GZ129" t="e">
        <f>AND(Materials!J1,"AAAAAF3ec88=")</f>
        <v>#VALUE!</v>
      </c>
      <c r="HA129" t="e">
        <f>AND(Materials!K1,"AAAAAF3ec9A=")</f>
        <v>#VALUE!</v>
      </c>
      <c r="HB129" t="e">
        <f>AND(Materials!L1,"AAAAAF3ec9E=")</f>
        <v>#VALUE!</v>
      </c>
      <c r="HC129" t="e">
        <f>AND(Materials!M1,"AAAAAF3ec9I=")</f>
        <v>#VALUE!</v>
      </c>
      <c r="HD129" t="e">
        <f>AND(Materials!N1,"AAAAAF3ec9M=")</f>
        <v>#VALUE!</v>
      </c>
      <c r="HE129" t="e">
        <f>AND(Materials!O1,"AAAAAF3ec9Q=")</f>
        <v>#VALUE!</v>
      </c>
      <c r="HF129" t="e">
        <f>AND(Materials!P1,"AAAAAF3ec9U=")</f>
        <v>#VALUE!</v>
      </c>
      <c r="HG129" t="e">
        <f>AND(Materials!Q1,"AAAAAF3ec9Y=")</f>
        <v>#VALUE!</v>
      </c>
      <c r="HH129" t="e">
        <f>AND(Materials!R1,"AAAAAF3ec9c=")</f>
        <v>#VALUE!</v>
      </c>
      <c r="HI129" t="e">
        <f>AND(Materials!#REF!,"AAAAAF3ec9g=")</f>
        <v>#REF!</v>
      </c>
      <c r="HJ129" t="e">
        <f>AND(Materials!#REF!,"AAAAAF3ec9k=")</f>
        <v>#REF!</v>
      </c>
      <c r="HK129" t="e">
        <f>AND(Materials!#REF!,"AAAAAF3ec9o=")</f>
        <v>#REF!</v>
      </c>
      <c r="HL129" t="e">
        <f>AND(Materials!#REF!,"AAAAAF3ec9s=")</f>
        <v>#REF!</v>
      </c>
      <c r="HM129" t="e">
        <f>AND(Materials!S1,"AAAAAF3ec9w=")</f>
        <v>#VALUE!</v>
      </c>
      <c r="HN129" t="e">
        <f>AND(Materials!T1,"AAAAAF3ec90=")</f>
        <v>#VALUE!</v>
      </c>
      <c r="HO129" t="e">
        <f>AND(Materials!U1,"AAAAAF3ec94=")</f>
        <v>#VALUE!</v>
      </c>
      <c r="HP129" t="e">
        <f>AND(Materials!V1,"AAAAAF3ec98=")</f>
        <v>#VALUE!</v>
      </c>
      <c r="HQ129" t="e">
        <f>AND(Materials!W1,"AAAAAF3ec+A=")</f>
        <v>#VALUE!</v>
      </c>
      <c r="HR129" t="e">
        <f>AND(Materials!X1,"AAAAAF3ec+E=")</f>
        <v>#VALUE!</v>
      </c>
      <c r="HS129" t="e">
        <f>AND(Materials!Y1,"AAAAAF3ec+I=")</f>
        <v>#VALUE!</v>
      </c>
      <c r="HT129" t="e">
        <f>AND(Materials!Z1,"AAAAAF3ec+M=")</f>
        <v>#VALUE!</v>
      </c>
      <c r="HU129" t="e">
        <f>AND(Materials!AA1,"AAAAAF3ec+Q=")</f>
        <v>#VALUE!</v>
      </c>
      <c r="HV129">
        <f>IF(Materials!2:2,"AAAAAF3ec+U=",0)</f>
        <v>0</v>
      </c>
      <c r="HW129" t="e">
        <f>AND(Materials!A2,"AAAAAF3ec+Y=")</f>
        <v>#VALUE!</v>
      </c>
      <c r="HX129" t="e">
        <f>AND(Materials!#REF!,"AAAAAF3ec+c=")</f>
        <v>#REF!</v>
      </c>
      <c r="HY129" t="e">
        <f>AND(Materials!B2,"AAAAAF3ec+g=")</f>
        <v>#VALUE!</v>
      </c>
      <c r="HZ129" t="e">
        <f>AND(Materials!C2,"AAAAAF3ec+k=")</f>
        <v>#VALUE!</v>
      </c>
      <c r="IA129" t="e">
        <f>AND(Materials!D2,"AAAAAF3ec+o=")</f>
        <v>#VALUE!</v>
      </c>
      <c r="IB129" t="e">
        <f>AND(Materials!E2,"AAAAAF3ec+s=")</f>
        <v>#VALUE!</v>
      </c>
      <c r="IC129" t="e">
        <f>AND(Materials!F2,"AAAAAF3ec+w=")</f>
        <v>#VALUE!</v>
      </c>
      <c r="ID129" t="e">
        <f>AND(Materials!G2,"AAAAAF3ec+0=")</f>
        <v>#VALUE!</v>
      </c>
      <c r="IE129" t="e">
        <f>AND(Materials!#REF!,"AAAAAF3ec+4=")</f>
        <v>#REF!</v>
      </c>
      <c r="IF129" t="e">
        <f>AND(Materials!H2,"AAAAAF3ec+8=")</f>
        <v>#VALUE!</v>
      </c>
      <c r="IG129" t="e">
        <f>AND(Materials!I2,"AAAAAF3ec/A=")</f>
        <v>#VALUE!</v>
      </c>
      <c r="IH129" t="e">
        <f>AND(Materials!J2,"AAAAAF3ec/E=")</f>
        <v>#VALUE!</v>
      </c>
      <c r="II129" t="e">
        <f>AND(Materials!K2,"AAAAAF3ec/I=")</f>
        <v>#VALUE!</v>
      </c>
      <c r="IJ129" t="e">
        <f>AND(Materials!L2,"AAAAAF3ec/M=")</f>
        <v>#VALUE!</v>
      </c>
      <c r="IK129" t="e">
        <f>AND(Materials!M2,"AAAAAF3ec/Q=")</f>
        <v>#VALUE!</v>
      </c>
      <c r="IL129" t="e">
        <f>AND(Materials!N2,"AAAAAF3ec/U=")</f>
        <v>#VALUE!</v>
      </c>
      <c r="IM129" t="e">
        <f>AND(Materials!O2,"AAAAAF3ec/Y=")</f>
        <v>#VALUE!</v>
      </c>
      <c r="IN129" t="e">
        <f>AND(Materials!P2,"AAAAAF3ec/c=")</f>
        <v>#VALUE!</v>
      </c>
      <c r="IO129" t="e">
        <f>AND(Materials!Q2,"AAAAAF3ec/g=")</f>
        <v>#VALUE!</v>
      </c>
      <c r="IP129" t="e">
        <f>AND(Materials!R2,"AAAAAF3ec/k=")</f>
        <v>#VALUE!</v>
      </c>
      <c r="IQ129" t="e">
        <f>AND(Materials!#REF!,"AAAAAF3ec/o=")</f>
        <v>#REF!</v>
      </c>
      <c r="IR129" t="e">
        <f>AND(Materials!#REF!,"AAAAAF3ec/s=")</f>
        <v>#REF!</v>
      </c>
      <c r="IS129" t="e">
        <f>AND(Materials!#REF!,"AAAAAF3ec/w=")</f>
        <v>#REF!</v>
      </c>
      <c r="IT129" t="e">
        <f>AND(Materials!#REF!,"AAAAAF3ec/0=")</f>
        <v>#REF!</v>
      </c>
      <c r="IU129" t="e">
        <f>AND(Materials!S2,"AAAAAF3ec/4=")</f>
        <v>#VALUE!</v>
      </c>
      <c r="IV129" t="e">
        <f>AND(Materials!T2,"AAAAAF3ec/8=")</f>
        <v>#VALUE!</v>
      </c>
    </row>
    <row r="130" spans="1:256" x14ac:dyDescent="0.2">
      <c r="A130" t="e">
        <f>AND(Materials!U2,"AAAAADr+vQA=")</f>
        <v>#VALUE!</v>
      </c>
      <c r="B130" t="e">
        <f>AND(Materials!V2,"AAAAADr+vQE=")</f>
        <v>#VALUE!</v>
      </c>
      <c r="C130" t="e">
        <f>AND(Materials!W2,"AAAAADr+vQI=")</f>
        <v>#VALUE!</v>
      </c>
      <c r="D130" t="e">
        <f>AND(Materials!X2,"AAAAADr+vQM=")</f>
        <v>#VALUE!</v>
      </c>
      <c r="E130" t="e">
        <f>AND(Materials!Y2,"AAAAADr+vQQ=")</f>
        <v>#VALUE!</v>
      </c>
      <c r="F130" t="e">
        <f>AND(Materials!Z2,"AAAAADr+vQU=")</f>
        <v>#VALUE!</v>
      </c>
      <c r="G130" t="e">
        <f>AND(Materials!AA2,"AAAAADr+vQY=")</f>
        <v>#VALUE!</v>
      </c>
      <c r="H130" t="e">
        <f>IF(Materials!#REF!,"AAAAADr+vQc=",0)</f>
        <v>#REF!</v>
      </c>
      <c r="I130" t="e">
        <f>AND(Materials!#REF!,"AAAAADr+vQg=")</f>
        <v>#REF!</v>
      </c>
      <c r="J130" t="e">
        <f>AND(Materials!#REF!,"AAAAADr+vQk=")</f>
        <v>#REF!</v>
      </c>
      <c r="K130" t="e">
        <f>AND(Materials!#REF!,"AAAAADr+vQo=")</f>
        <v>#REF!</v>
      </c>
      <c r="L130" t="e">
        <f>AND(Materials!#REF!,"AAAAADr+vQs=")</f>
        <v>#REF!</v>
      </c>
      <c r="M130" t="e">
        <f>AND(Materials!#REF!,"AAAAADr+vQw=")</f>
        <v>#REF!</v>
      </c>
      <c r="N130" t="e">
        <f>AND(Materials!#REF!,"AAAAADr+vQ0=")</f>
        <v>#REF!</v>
      </c>
      <c r="O130" t="e">
        <f>AND(Materials!#REF!,"AAAAADr+vQ4=")</f>
        <v>#REF!</v>
      </c>
      <c r="P130" t="e">
        <f>AND(Materials!#REF!,"AAAAADr+vQ8=")</f>
        <v>#REF!</v>
      </c>
      <c r="Q130" t="e">
        <f>AND(Materials!#REF!,"AAAAADr+vRA=")</f>
        <v>#REF!</v>
      </c>
      <c r="R130" t="e">
        <f>AND(Materials!#REF!,"AAAAADr+vRE=")</f>
        <v>#REF!</v>
      </c>
      <c r="S130" t="e">
        <f>AND(Materials!#REF!,"AAAAADr+vRI=")</f>
        <v>#REF!</v>
      </c>
      <c r="T130" t="e">
        <f>AND(Materials!#REF!,"AAAAADr+vRM=")</f>
        <v>#REF!</v>
      </c>
      <c r="U130" t="e">
        <f>AND(Materials!#REF!,"AAAAADr+vRQ=")</f>
        <v>#REF!</v>
      </c>
      <c r="V130" t="e">
        <f>AND(Materials!#REF!,"AAAAADr+vRU=")</f>
        <v>#REF!</v>
      </c>
      <c r="W130" t="e">
        <f>AND(Materials!#REF!,"AAAAADr+vRY=")</f>
        <v>#REF!</v>
      </c>
      <c r="X130" t="e">
        <f>AND(Materials!#REF!,"AAAAADr+vRc=")</f>
        <v>#REF!</v>
      </c>
      <c r="Y130" t="e">
        <f>AND(Materials!#REF!,"AAAAADr+vRg=")</f>
        <v>#REF!</v>
      </c>
      <c r="Z130" t="e">
        <f>AND(Materials!#REF!,"AAAAADr+vRk=")</f>
        <v>#REF!</v>
      </c>
      <c r="AA130" t="e">
        <f>AND(Materials!#REF!,"AAAAADr+vRo=")</f>
        <v>#REF!</v>
      </c>
      <c r="AB130" t="e">
        <f>AND(Materials!#REF!,"AAAAADr+vRs=")</f>
        <v>#REF!</v>
      </c>
      <c r="AC130" t="e">
        <f>AND(Materials!#REF!,"AAAAADr+vRw=")</f>
        <v>#REF!</v>
      </c>
      <c r="AD130" t="e">
        <f>AND(Materials!#REF!,"AAAAADr+vR0=")</f>
        <v>#REF!</v>
      </c>
      <c r="AE130" t="e">
        <f>AND(Materials!#REF!,"AAAAADr+vR4=")</f>
        <v>#REF!</v>
      </c>
      <c r="AF130" t="e">
        <f>AND(Materials!#REF!,"AAAAADr+vR8=")</f>
        <v>#REF!</v>
      </c>
      <c r="AG130" t="e">
        <f>AND(Materials!#REF!,"AAAAADr+vSA=")</f>
        <v>#REF!</v>
      </c>
      <c r="AH130" t="e">
        <f>AND(Materials!#REF!,"AAAAADr+vSE=")</f>
        <v>#REF!</v>
      </c>
      <c r="AI130" t="e">
        <f>AND(Materials!#REF!,"AAAAADr+vSI=")</f>
        <v>#REF!</v>
      </c>
      <c r="AJ130" t="e">
        <f>AND(Materials!#REF!,"AAAAADr+vSM=")</f>
        <v>#REF!</v>
      </c>
      <c r="AK130" t="e">
        <f>AND(Materials!#REF!,"AAAAADr+vSQ=")</f>
        <v>#REF!</v>
      </c>
      <c r="AL130" t="e">
        <f>AND(Materials!#REF!,"AAAAADr+vSU=")</f>
        <v>#REF!</v>
      </c>
      <c r="AM130" t="e">
        <f>AND(Materials!#REF!,"AAAAADr+vSY=")</f>
        <v>#REF!</v>
      </c>
      <c r="AN130" t="e">
        <f>AND(Materials!#REF!,"AAAAADr+vSc=")</f>
        <v>#REF!</v>
      </c>
      <c r="AO130" t="e">
        <f>AND(Materials!#REF!,"AAAAADr+vSg=")</f>
        <v>#REF!</v>
      </c>
      <c r="AP130" t="e">
        <f>IF(Materials!#REF!,"AAAAADr+vSk=",0)</f>
        <v>#REF!</v>
      </c>
      <c r="AQ130" t="e">
        <f>AND(Materials!#REF!,"AAAAADr+vSo=")</f>
        <v>#REF!</v>
      </c>
      <c r="AR130" t="e">
        <f>AND(Materials!#REF!,"AAAAADr+vSs=")</f>
        <v>#REF!</v>
      </c>
      <c r="AS130" t="e">
        <f>AND(Materials!#REF!,"AAAAADr+vSw=")</f>
        <v>#REF!</v>
      </c>
      <c r="AT130" t="e">
        <f>AND(Materials!#REF!,"AAAAADr+vS0=")</f>
        <v>#REF!</v>
      </c>
      <c r="AU130" t="e">
        <f>AND(Materials!#REF!,"AAAAADr+vS4=")</f>
        <v>#REF!</v>
      </c>
      <c r="AV130" t="e">
        <f>AND(Materials!#REF!,"AAAAADr+vS8=")</f>
        <v>#REF!</v>
      </c>
      <c r="AW130" t="e">
        <f>AND(Materials!#REF!,"AAAAADr+vTA=")</f>
        <v>#REF!</v>
      </c>
      <c r="AX130" t="e">
        <f>AND(Materials!#REF!,"AAAAADr+vTE=")</f>
        <v>#REF!</v>
      </c>
      <c r="AY130" t="e">
        <f>AND(Materials!#REF!,"AAAAADr+vTI=")</f>
        <v>#REF!</v>
      </c>
      <c r="AZ130" t="e">
        <f>AND(Materials!#REF!,"AAAAADr+vTM=")</f>
        <v>#REF!</v>
      </c>
      <c r="BA130" t="e">
        <f>AND(Materials!#REF!,"AAAAADr+vTQ=")</f>
        <v>#REF!</v>
      </c>
      <c r="BB130" t="e">
        <f>AND(Materials!#REF!,"AAAAADr+vTU=")</f>
        <v>#REF!</v>
      </c>
      <c r="BC130" t="e">
        <f>AND(Materials!#REF!,"AAAAADr+vTY=")</f>
        <v>#REF!</v>
      </c>
      <c r="BD130" t="e">
        <f>AND(Materials!#REF!,"AAAAADr+vTc=")</f>
        <v>#REF!</v>
      </c>
      <c r="BE130" t="e">
        <f>AND(Materials!#REF!,"AAAAADr+vTg=")</f>
        <v>#REF!</v>
      </c>
      <c r="BF130" t="e">
        <f>AND(Materials!#REF!,"AAAAADr+vTk=")</f>
        <v>#REF!</v>
      </c>
      <c r="BG130" t="e">
        <f>AND(Materials!#REF!,"AAAAADr+vTo=")</f>
        <v>#REF!</v>
      </c>
      <c r="BH130" t="e">
        <f>AND(Materials!#REF!,"AAAAADr+vTs=")</f>
        <v>#REF!</v>
      </c>
      <c r="BI130" t="e">
        <f>AND(Materials!#REF!,"AAAAADr+vTw=")</f>
        <v>#REF!</v>
      </c>
      <c r="BJ130" t="e">
        <f>AND(Materials!#REF!,"AAAAADr+vT0=")</f>
        <v>#REF!</v>
      </c>
      <c r="BK130" t="e">
        <f>AND(Materials!#REF!,"AAAAADr+vT4=")</f>
        <v>#REF!</v>
      </c>
      <c r="BL130" t="e">
        <f>AND(Materials!#REF!,"AAAAADr+vT8=")</f>
        <v>#REF!</v>
      </c>
      <c r="BM130" t="e">
        <f>AND(Materials!#REF!,"AAAAADr+vUA=")</f>
        <v>#REF!</v>
      </c>
      <c r="BN130" t="e">
        <f>AND(Materials!#REF!,"AAAAADr+vUE=")</f>
        <v>#REF!</v>
      </c>
      <c r="BO130" t="e">
        <f>AND(Materials!#REF!,"AAAAADr+vUI=")</f>
        <v>#REF!</v>
      </c>
      <c r="BP130" t="e">
        <f>AND(Materials!#REF!,"AAAAADr+vUM=")</f>
        <v>#REF!</v>
      </c>
      <c r="BQ130" t="e">
        <f>AND(Materials!#REF!,"AAAAADr+vUQ=")</f>
        <v>#REF!</v>
      </c>
      <c r="BR130" t="e">
        <f>AND(Materials!#REF!,"AAAAADr+vUU=")</f>
        <v>#REF!</v>
      </c>
      <c r="BS130" t="e">
        <f>AND(Materials!#REF!,"AAAAADr+vUY=")</f>
        <v>#REF!</v>
      </c>
      <c r="BT130" t="e">
        <f>AND(Materials!#REF!,"AAAAADr+vUc=")</f>
        <v>#REF!</v>
      </c>
      <c r="BU130" t="e">
        <f>AND(Materials!#REF!,"AAAAADr+vUg=")</f>
        <v>#REF!</v>
      </c>
      <c r="BV130" t="e">
        <f>AND(Materials!#REF!,"AAAAADr+vUk=")</f>
        <v>#REF!</v>
      </c>
      <c r="BW130" t="e">
        <f>AND(Materials!#REF!,"AAAAADr+vUo=")</f>
        <v>#REF!</v>
      </c>
      <c r="BX130" t="e">
        <f>IF(Materials!#REF!,"AAAAADr+vUs=",0)</f>
        <v>#REF!</v>
      </c>
      <c r="BY130" t="e">
        <f>AND(Materials!#REF!,"AAAAADr+vUw=")</f>
        <v>#REF!</v>
      </c>
      <c r="BZ130" t="e">
        <f>AND(Materials!#REF!,"AAAAADr+vU0=")</f>
        <v>#REF!</v>
      </c>
      <c r="CA130" t="e">
        <f>AND(Materials!#REF!,"AAAAADr+vU4=")</f>
        <v>#REF!</v>
      </c>
      <c r="CB130" t="e">
        <f>AND(Materials!#REF!,"AAAAADr+vU8=")</f>
        <v>#REF!</v>
      </c>
      <c r="CC130" t="e">
        <f>AND(Materials!#REF!,"AAAAADr+vVA=")</f>
        <v>#REF!</v>
      </c>
      <c r="CD130" t="e">
        <f>AND(Materials!#REF!,"AAAAADr+vVE=")</f>
        <v>#REF!</v>
      </c>
      <c r="CE130" t="e">
        <f>AND(Materials!#REF!,"AAAAADr+vVI=")</f>
        <v>#REF!</v>
      </c>
      <c r="CF130" t="e">
        <f>AND(Materials!#REF!,"AAAAADr+vVM=")</f>
        <v>#REF!</v>
      </c>
      <c r="CG130" t="e">
        <f>AND(Materials!#REF!,"AAAAADr+vVQ=")</f>
        <v>#REF!</v>
      </c>
      <c r="CH130" t="e">
        <f>AND(Materials!#REF!,"AAAAADr+vVU=")</f>
        <v>#REF!</v>
      </c>
      <c r="CI130" t="e">
        <f>AND(Materials!#REF!,"AAAAADr+vVY=")</f>
        <v>#REF!</v>
      </c>
      <c r="CJ130" t="e">
        <f>AND(Materials!#REF!,"AAAAADr+vVc=")</f>
        <v>#REF!</v>
      </c>
      <c r="CK130" t="e">
        <f>AND(Materials!#REF!,"AAAAADr+vVg=")</f>
        <v>#REF!</v>
      </c>
      <c r="CL130" t="e">
        <f>AND(Materials!#REF!,"AAAAADr+vVk=")</f>
        <v>#REF!</v>
      </c>
      <c r="CM130" t="e">
        <f>AND(Materials!#REF!,"AAAAADr+vVo=")</f>
        <v>#REF!</v>
      </c>
      <c r="CN130" t="e">
        <f>AND(Materials!#REF!,"AAAAADr+vVs=")</f>
        <v>#REF!</v>
      </c>
      <c r="CO130" t="e">
        <f>AND(Materials!#REF!,"AAAAADr+vVw=")</f>
        <v>#REF!</v>
      </c>
      <c r="CP130" t="e">
        <f>AND(Materials!#REF!,"AAAAADr+vV0=")</f>
        <v>#REF!</v>
      </c>
      <c r="CQ130" t="e">
        <f>AND(Materials!#REF!,"AAAAADr+vV4=")</f>
        <v>#REF!</v>
      </c>
      <c r="CR130" t="e">
        <f>AND(Materials!#REF!,"AAAAADr+vV8=")</f>
        <v>#REF!</v>
      </c>
      <c r="CS130" t="e">
        <f>AND(Materials!#REF!,"AAAAADr+vWA=")</f>
        <v>#REF!</v>
      </c>
      <c r="CT130" t="e">
        <f>AND(Materials!#REF!,"AAAAADr+vWE=")</f>
        <v>#REF!</v>
      </c>
      <c r="CU130" t="e">
        <f>AND(Materials!#REF!,"AAAAADr+vWI=")</f>
        <v>#REF!</v>
      </c>
      <c r="CV130" t="e">
        <f>AND(Materials!#REF!,"AAAAADr+vWM=")</f>
        <v>#REF!</v>
      </c>
      <c r="CW130" t="e">
        <f>AND(Materials!#REF!,"AAAAADr+vWQ=")</f>
        <v>#REF!</v>
      </c>
      <c r="CX130" t="e">
        <f>AND(Materials!#REF!,"AAAAADr+vWU=")</f>
        <v>#REF!</v>
      </c>
      <c r="CY130" t="e">
        <f>AND(Materials!#REF!,"AAAAADr+vWY=")</f>
        <v>#REF!</v>
      </c>
      <c r="CZ130" t="e">
        <f>AND(Materials!#REF!,"AAAAADr+vWc=")</f>
        <v>#REF!</v>
      </c>
      <c r="DA130" t="e">
        <f>AND(Materials!#REF!,"AAAAADr+vWg=")</f>
        <v>#REF!</v>
      </c>
      <c r="DB130" t="e">
        <f>AND(Materials!#REF!,"AAAAADr+vWk=")</f>
        <v>#REF!</v>
      </c>
      <c r="DC130" t="e">
        <f>AND(Materials!#REF!,"AAAAADr+vWo=")</f>
        <v>#REF!</v>
      </c>
      <c r="DD130" t="e">
        <f>AND(Materials!#REF!,"AAAAADr+vWs=")</f>
        <v>#REF!</v>
      </c>
      <c r="DE130" t="e">
        <f>AND(Materials!#REF!,"AAAAADr+vWw=")</f>
        <v>#REF!</v>
      </c>
      <c r="DF130" t="e">
        <f>IF(Materials!#REF!,"AAAAADr+vW0=",0)</f>
        <v>#REF!</v>
      </c>
      <c r="DG130" t="e">
        <f>AND(Materials!#REF!,"AAAAADr+vW4=")</f>
        <v>#REF!</v>
      </c>
      <c r="DH130" t="e">
        <f>AND(Materials!#REF!,"AAAAADr+vW8=")</f>
        <v>#REF!</v>
      </c>
      <c r="DI130" t="e">
        <f>AND(Materials!#REF!,"AAAAADr+vXA=")</f>
        <v>#REF!</v>
      </c>
      <c r="DJ130" t="e">
        <f>AND(Materials!#REF!,"AAAAADr+vXE=")</f>
        <v>#REF!</v>
      </c>
      <c r="DK130" t="e">
        <f>AND(Materials!#REF!,"AAAAADr+vXI=")</f>
        <v>#REF!</v>
      </c>
      <c r="DL130" t="e">
        <f>AND(Materials!#REF!,"AAAAADr+vXM=")</f>
        <v>#REF!</v>
      </c>
      <c r="DM130" t="e">
        <f>AND(Materials!#REF!,"AAAAADr+vXQ=")</f>
        <v>#REF!</v>
      </c>
      <c r="DN130" t="e">
        <f>AND(Materials!#REF!,"AAAAADr+vXU=")</f>
        <v>#REF!</v>
      </c>
      <c r="DO130" t="e">
        <f>AND(Materials!#REF!,"AAAAADr+vXY=")</f>
        <v>#REF!</v>
      </c>
      <c r="DP130" t="e">
        <f>AND(Materials!#REF!,"AAAAADr+vXc=")</f>
        <v>#REF!</v>
      </c>
      <c r="DQ130" t="e">
        <f>AND(Materials!#REF!,"AAAAADr+vXg=")</f>
        <v>#REF!</v>
      </c>
      <c r="DR130" t="e">
        <f>AND(Materials!#REF!,"AAAAADr+vXk=")</f>
        <v>#REF!</v>
      </c>
      <c r="DS130" t="e">
        <f>AND(Materials!#REF!,"AAAAADr+vXo=")</f>
        <v>#REF!</v>
      </c>
      <c r="DT130" t="e">
        <f>AND(Materials!#REF!,"AAAAADr+vXs=")</f>
        <v>#REF!</v>
      </c>
      <c r="DU130" t="e">
        <f>AND(Materials!#REF!,"AAAAADr+vXw=")</f>
        <v>#REF!</v>
      </c>
      <c r="DV130" t="e">
        <f>AND(Materials!#REF!,"AAAAADr+vX0=")</f>
        <v>#REF!</v>
      </c>
      <c r="DW130" t="e">
        <f>AND(Materials!#REF!,"AAAAADr+vX4=")</f>
        <v>#REF!</v>
      </c>
      <c r="DX130" t="e">
        <f>AND(Materials!#REF!,"AAAAADr+vX8=")</f>
        <v>#REF!</v>
      </c>
      <c r="DY130" t="e">
        <f>AND(Materials!#REF!,"AAAAADr+vYA=")</f>
        <v>#REF!</v>
      </c>
      <c r="DZ130" t="e">
        <f>AND(Materials!#REF!,"AAAAADr+vYE=")</f>
        <v>#REF!</v>
      </c>
      <c r="EA130" t="e">
        <f>AND(Materials!#REF!,"AAAAADr+vYI=")</f>
        <v>#REF!</v>
      </c>
      <c r="EB130" t="e">
        <f>AND(Materials!#REF!,"AAAAADr+vYM=")</f>
        <v>#REF!</v>
      </c>
      <c r="EC130" t="e">
        <f>AND(Materials!#REF!,"AAAAADr+vYQ=")</f>
        <v>#REF!</v>
      </c>
      <c r="ED130" t="e">
        <f>AND(Materials!#REF!,"AAAAADr+vYU=")</f>
        <v>#REF!</v>
      </c>
      <c r="EE130" t="e">
        <f>AND(Materials!#REF!,"AAAAADr+vYY=")</f>
        <v>#REF!</v>
      </c>
      <c r="EF130" t="e">
        <f>AND(Materials!#REF!,"AAAAADr+vYc=")</f>
        <v>#REF!</v>
      </c>
      <c r="EG130" t="e">
        <f>AND(Materials!#REF!,"AAAAADr+vYg=")</f>
        <v>#REF!</v>
      </c>
      <c r="EH130" t="e">
        <f>AND(Materials!#REF!,"AAAAADr+vYk=")</f>
        <v>#REF!</v>
      </c>
      <c r="EI130" t="e">
        <f>AND(Materials!#REF!,"AAAAADr+vYo=")</f>
        <v>#REF!</v>
      </c>
      <c r="EJ130" t="e">
        <f>AND(Materials!#REF!,"AAAAADr+vYs=")</f>
        <v>#REF!</v>
      </c>
      <c r="EK130" t="e">
        <f>AND(Materials!#REF!,"AAAAADr+vYw=")</f>
        <v>#REF!</v>
      </c>
      <c r="EL130" t="e">
        <f>AND(Materials!#REF!,"AAAAADr+vY0=")</f>
        <v>#REF!</v>
      </c>
      <c r="EM130" t="e">
        <f>AND(Materials!#REF!,"AAAAADr+vY4=")</f>
        <v>#REF!</v>
      </c>
      <c r="EN130" t="e">
        <f>IF(Materials!#REF!,"AAAAADr+vY8=",0)</f>
        <v>#REF!</v>
      </c>
      <c r="EO130" t="e">
        <f>AND(Materials!#REF!,"AAAAADr+vZA=")</f>
        <v>#REF!</v>
      </c>
      <c r="EP130" t="e">
        <f>AND(Materials!#REF!,"AAAAADr+vZE=")</f>
        <v>#REF!</v>
      </c>
      <c r="EQ130" t="e">
        <f>AND(Materials!#REF!,"AAAAADr+vZI=")</f>
        <v>#REF!</v>
      </c>
      <c r="ER130" t="e">
        <f>AND(Materials!#REF!,"AAAAADr+vZM=")</f>
        <v>#REF!</v>
      </c>
      <c r="ES130" t="e">
        <f>AND(Materials!#REF!,"AAAAADr+vZQ=")</f>
        <v>#REF!</v>
      </c>
      <c r="ET130" t="e">
        <f>AND(Materials!#REF!,"AAAAADr+vZU=")</f>
        <v>#REF!</v>
      </c>
      <c r="EU130" t="e">
        <f>AND(Materials!#REF!,"AAAAADr+vZY=")</f>
        <v>#REF!</v>
      </c>
      <c r="EV130" t="e">
        <f>AND(Materials!#REF!,"AAAAADr+vZc=")</f>
        <v>#REF!</v>
      </c>
      <c r="EW130" t="e">
        <f>AND(Materials!#REF!,"AAAAADr+vZg=")</f>
        <v>#REF!</v>
      </c>
      <c r="EX130" t="e">
        <f>AND(Materials!#REF!,"AAAAADr+vZk=")</f>
        <v>#REF!</v>
      </c>
      <c r="EY130" t="e">
        <f>AND(Materials!#REF!,"AAAAADr+vZo=")</f>
        <v>#REF!</v>
      </c>
      <c r="EZ130" t="e">
        <f>AND(Materials!#REF!,"AAAAADr+vZs=")</f>
        <v>#REF!</v>
      </c>
      <c r="FA130" t="e">
        <f>AND(Materials!#REF!,"AAAAADr+vZw=")</f>
        <v>#REF!</v>
      </c>
      <c r="FB130" t="e">
        <f>AND(Materials!#REF!,"AAAAADr+vZ0=")</f>
        <v>#REF!</v>
      </c>
      <c r="FC130" t="e">
        <f>AND(Materials!#REF!,"AAAAADr+vZ4=")</f>
        <v>#REF!</v>
      </c>
      <c r="FD130" t="e">
        <f>AND(Materials!#REF!,"AAAAADr+vZ8=")</f>
        <v>#REF!</v>
      </c>
      <c r="FE130" t="e">
        <f>AND(Materials!#REF!,"AAAAADr+vaA=")</f>
        <v>#REF!</v>
      </c>
      <c r="FF130" t="e">
        <f>AND(Materials!#REF!,"AAAAADr+vaE=")</f>
        <v>#REF!</v>
      </c>
      <c r="FG130" t="e">
        <f>AND(Materials!#REF!,"AAAAADr+vaI=")</f>
        <v>#REF!</v>
      </c>
      <c r="FH130" t="e">
        <f>AND(Materials!#REF!,"AAAAADr+vaM=")</f>
        <v>#REF!</v>
      </c>
      <c r="FI130" t="e">
        <f>AND(Materials!#REF!,"AAAAADr+vaQ=")</f>
        <v>#REF!</v>
      </c>
      <c r="FJ130" t="e">
        <f>AND(Materials!#REF!,"AAAAADr+vaU=")</f>
        <v>#REF!</v>
      </c>
      <c r="FK130" t="e">
        <f>AND(Materials!#REF!,"AAAAADr+vaY=")</f>
        <v>#REF!</v>
      </c>
      <c r="FL130" t="e">
        <f>AND(Materials!#REF!,"AAAAADr+vac=")</f>
        <v>#REF!</v>
      </c>
      <c r="FM130" t="e">
        <f>AND(Materials!#REF!,"AAAAADr+vag=")</f>
        <v>#REF!</v>
      </c>
      <c r="FN130" t="e">
        <f>AND(Materials!#REF!,"AAAAADr+vak=")</f>
        <v>#REF!</v>
      </c>
      <c r="FO130" t="e">
        <f>AND(Materials!#REF!,"AAAAADr+vao=")</f>
        <v>#REF!</v>
      </c>
      <c r="FP130" t="e">
        <f>AND(Materials!#REF!,"AAAAADr+vas=")</f>
        <v>#REF!</v>
      </c>
      <c r="FQ130" t="e">
        <f>AND(Materials!#REF!,"AAAAADr+vaw=")</f>
        <v>#REF!</v>
      </c>
      <c r="FR130" t="e">
        <f>AND(Materials!#REF!,"AAAAADr+va0=")</f>
        <v>#REF!</v>
      </c>
      <c r="FS130" t="e">
        <f>AND(Materials!#REF!,"AAAAADr+va4=")</f>
        <v>#REF!</v>
      </c>
      <c r="FT130" t="e">
        <f>AND(Materials!#REF!,"AAAAADr+va8=")</f>
        <v>#REF!</v>
      </c>
      <c r="FU130" t="e">
        <f>AND(Materials!#REF!,"AAAAADr+vbA=")</f>
        <v>#REF!</v>
      </c>
      <c r="FV130" t="e">
        <f>IF(Materials!#REF!,"AAAAADr+vbE=",0)</f>
        <v>#REF!</v>
      </c>
      <c r="FW130" t="e">
        <f>AND(Materials!#REF!,"AAAAADr+vbI=")</f>
        <v>#REF!</v>
      </c>
      <c r="FX130" t="e">
        <f>AND(Materials!#REF!,"AAAAADr+vbM=")</f>
        <v>#REF!</v>
      </c>
      <c r="FY130" t="e">
        <f>AND(Materials!#REF!,"AAAAADr+vbQ=")</f>
        <v>#REF!</v>
      </c>
      <c r="FZ130" t="e">
        <f>AND(Materials!#REF!,"AAAAADr+vbU=")</f>
        <v>#REF!</v>
      </c>
      <c r="GA130" t="e">
        <f>AND(Materials!#REF!,"AAAAADr+vbY=")</f>
        <v>#REF!</v>
      </c>
      <c r="GB130" t="e">
        <f>AND(Materials!#REF!,"AAAAADr+vbc=")</f>
        <v>#REF!</v>
      </c>
      <c r="GC130" t="e">
        <f>AND(Materials!#REF!,"AAAAADr+vbg=")</f>
        <v>#REF!</v>
      </c>
      <c r="GD130" t="e">
        <f>AND(Materials!#REF!,"AAAAADr+vbk=")</f>
        <v>#REF!</v>
      </c>
      <c r="GE130" t="e">
        <f>AND(Materials!#REF!,"AAAAADr+vbo=")</f>
        <v>#REF!</v>
      </c>
      <c r="GF130" t="e">
        <f>AND(Materials!#REF!,"AAAAADr+vbs=")</f>
        <v>#REF!</v>
      </c>
      <c r="GG130" t="e">
        <f>AND(Materials!#REF!,"AAAAADr+vbw=")</f>
        <v>#REF!</v>
      </c>
      <c r="GH130" t="e">
        <f>AND(Materials!#REF!,"AAAAADr+vb0=")</f>
        <v>#REF!</v>
      </c>
      <c r="GI130" t="e">
        <f>AND(Materials!#REF!,"AAAAADr+vb4=")</f>
        <v>#REF!</v>
      </c>
      <c r="GJ130" t="e">
        <f>AND(Materials!#REF!,"AAAAADr+vb8=")</f>
        <v>#REF!</v>
      </c>
      <c r="GK130" t="e">
        <f>AND(Materials!#REF!,"AAAAADr+vcA=")</f>
        <v>#REF!</v>
      </c>
      <c r="GL130" t="e">
        <f>AND(Materials!#REF!,"AAAAADr+vcE=")</f>
        <v>#REF!</v>
      </c>
      <c r="GM130" t="e">
        <f>AND(Materials!#REF!,"AAAAADr+vcI=")</f>
        <v>#REF!</v>
      </c>
      <c r="GN130" t="e">
        <f>AND(Materials!#REF!,"AAAAADr+vcM=")</f>
        <v>#REF!</v>
      </c>
      <c r="GO130" t="e">
        <f>AND(Materials!#REF!,"AAAAADr+vcQ=")</f>
        <v>#REF!</v>
      </c>
      <c r="GP130" t="e">
        <f>AND(Materials!#REF!,"AAAAADr+vcU=")</f>
        <v>#REF!</v>
      </c>
      <c r="GQ130" t="e">
        <f>AND(Materials!#REF!,"AAAAADr+vcY=")</f>
        <v>#REF!</v>
      </c>
      <c r="GR130" t="e">
        <f>AND(Materials!#REF!,"AAAAADr+vcc=")</f>
        <v>#REF!</v>
      </c>
      <c r="GS130" t="e">
        <f>AND(Materials!#REF!,"AAAAADr+vcg=")</f>
        <v>#REF!</v>
      </c>
      <c r="GT130" t="e">
        <f>AND(Materials!#REF!,"AAAAADr+vck=")</f>
        <v>#REF!</v>
      </c>
      <c r="GU130" t="e">
        <f>AND(Materials!#REF!,"AAAAADr+vco=")</f>
        <v>#REF!</v>
      </c>
      <c r="GV130" t="e">
        <f>AND(Materials!#REF!,"AAAAADr+vcs=")</f>
        <v>#REF!</v>
      </c>
      <c r="GW130" t="e">
        <f>AND(Materials!#REF!,"AAAAADr+vcw=")</f>
        <v>#REF!</v>
      </c>
      <c r="GX130" t="e">
        <f>AND(Materials!#REF!,"AAAAADr+vc0=")</f>
        <v>#REF!</v>
      </c>
      <c r="GY130" t="e">
        <f>AND(Materials!#REF!,"AAAAADr+vc4=")</f>
        <v>#REF!</v>
      </c>
      <c r="GZ130" t="e">
        <f>AND(Materials!#REF!,"AAAAADr+vc8=")</f>
        <v>#REF!</v>
      </c>
      <c r="HA130" t="e">
        <f>AND(Materials!#REF!,"AAAAADr+vdA=")</f>
        <v>#REF!</v>
      </c>
      <c r="HB130" t="e">
        <f>AND(Materials!#REF!,"AAAAADr+vdE=")</f>
        <v>#REF!</v>
      </c>
      <c r="HC130" t="e">
        <f>AND(Materials!#REF!,"AAAAADr+vdI=")</f>
        <v>#REF!</v>
      </c>
      <c r="HD130" t="e">
        <f>IF(Materials!#REF!,"AAAAADr+vdM=",0)</f>
        <v>#REF!</v>
      </c>
      <c r="HE130" t="e">
        <f>AND(Materials!#REF!,"AAAAADr+vdQ=")</f>
        <v>#REF!</v>
      </c>
      <c r="HF130" t="e">
        <f>AND(Materials!#REF!,"AAAAADr+vdU=")</f>
        <v>#REF!</v>
      </c>
      <c r="HG130" t="e">
        <f>AND(Materials!#REF!,"AAAAADr+vdY=")</f>
        <v>#REF!</v>
      </c>
      <c r="HH130" t="e">
        <f>AND(Materials!#REF!,"AAAAADr+vdc=")</f>
        <v>#REF!</v>
      </c>
      <c r="HI130" t="e">
        <f>AND(Materials!#REF!,"AAAAADr+vdg=")</f>
        <v>#REF!</v>
      </c>
      <c r="HJ130" t="e">
        <f>AND(Materials!#REF!,"AAAAADr+vdk=")</f>
        <v>#REF!</v>
      </c>
      <c r="HK130" t="e">
        <f>AND(Materials!#REF!,"AAAAADr+vdo=")</f>
        <v>#REF!</v>
      </c>
      <c r="HL130" t="e">
        <f>AND(Materials!#REF!,"AAAAADr+vds=")</f>
        <v>#REF!</v>
      </c>
      <c r="HM130" t="e">
        <f>AND(Materials!#REF!,"AAAAADr+vdw=")</f>
        <v>#REF!</v>
      </c>
      <c r="HN130" t="e">
        <f>AND(Materials!#REF!,"AAAAADr+vd0=")</f>
        <v>#REF!</v>
      </c>
      <c r="HO130" t="e">
        <f>AND(Materials!#REF!,"AAAAADr+vd4=")</f>
        <v>#REF!</v>
      </c>
      <c r="HP130" t="e">
        <f>AND(Materials!#REF!,"AAAAADr+vd8=")</f>
        <v>#REF!</v>
      </c>
      <c r="HQ130" t="e">
        <f>AND(Materials!#REF!,"AAAAADr+veA=")</f>
        <v>#REF!</v>
      </c>
      <c r="HR130" t="e">
        <f>AND(Materials!#REF!,"AAAAADr+veE=")</f>
        <v>#REF!</v>
      </c>
      <c r="HS130" t="e">
        <f>AND(Materials!#REF!,"AAAAADr+veI=")</f>
        <v>#REF!</v>
      </c>
      <c r="HT130" t="e">
        <f>AND(Materials!#REF!,"AAAAADr+veM=")</f>
        <v>#REF!</v>
      </c>
      <c r="HU130" t="e">
        <f>AND(Materials!#REF!,"AAAAADr+veQ=")</f>
        <v>#REF!</v>
      </c>
      <c r="HV130" t="e">
        <f>AND(Materials!#REF!,"AAAAADr+veU=")</f>
        <v>#REF!</v>
      </c>
      <c r="HW130" t="e">
        <f>AND(Materials!#REF!,"AAAAADr+veY=")</f>
        <v>#REF!</v>
      </c>
      <c r="HX130" t="e">
        <f>AND(Materials!#REF!,"AAAAADr+vec=")</f>
        <v>#REF!</v>
      </c>
      <c r="HY130" t="e">
        <f>AND(Materials!#REF!,"AAAAADr+veg=")</f>
        <v>#REF!</v>
      </c>
      <c r="HZ130" t="e">
        <f>AND(Materials!#REF!,"AAAAADr+vek=")</f>
        <v>#REF!</v>
      </c>
      <c r="IA130" t="e">
        <f>AND(Materials!#REF!,"AAAAADr+veo=")</f>
        <v>#REF!</v>
      </c>
      <c r="IB130" t="e">
        <f>AND(Materials!#REF!,"AAAAADr+ves=")</f>
        <v>#REF!</v>
      </c>
      <c r="IC130" t="e">
        <f>AND(Materials!#REF!,"AAAAADr+vew=")</f>
        <v>#REF!</v>
      </c>
      <c r="ID130" t="e">
        <f>AND(Materials!#REF!,"AAAAADr+ve0=")</f>
        <v>#REF!</v>
      </c>
      <c r="IE130" t="e">
        <f>AND(Materials!#REF!,"AAAAADr+ve4=")</f>
        <v>#REF!</v>
      </c>
      <c r="IF130" t="e">
        <f>AND(Materials!#REF!,"AAAAADr+ve8=")</f>
        <v>#REF!</v>
      </c>
      <c r="IG130" t="e">
        <f>AND(Materials!#REF!,"AAAAADr+vfA=")</f>
        <v>#REF!</v>
      </c>
      <c r="IH130" t="e">
        <f>AND(Materials!#REF!,"AAAAADr+vfE=")</f>
        <v>#REF!</v>
      </c>
      <c r="II130" t="e">
        <f>AND(Materials!#REF!,"AAAAADr+vfI=")</f>
        <v>#REF!</v>
      </c>
      <c r="IJ130" t="e">
        <f>AND(Materials!#REF!,"AAAAADr+vfM=")</f>
        <v>#REF!</v>
      </c>
      <c r="IK130" t="e">
        <f>AND(Materials!#REF!,"AAAAADr+vfQ=")</f>
        <v>#REF!</v>
      </c>
      <c r="IL130" t="e">
        <f>IF(Materials!#REF!,"AAAAADr+vfU=",0)</f>
        <v>#REF!</v>
      </c>
      <c r="IM130" t="e">
        <f>AND(Materials!#REF!,"AAAAADr+vfY=")</f>
        <v>#REF!</v>
      </c>
      <c r="IN130" t="e">
        <f>AND(Materials!#REF!,"AAAAADr+vfc=")</f>
        <v>#REF!</v>
      </c>
      <c r="IO130" t="e">
        <f>AND(Materials!#REF!,"AAAAADr+vfg=")</f>
        <v>#REF!</v>
      </c>
      <c r="IP130" t="e">
        <f>AND(Materials!#REF!,"AAAAADr+vfk=")</f>
        <v>#REF!</v>
      </c>
      <c r="IQ130" t="e">
        <f>AND(Materials!#REF!,"AAAAADr+vfo=")</f>
        <v>#REF!</v>
      </c>
      <c r="IR130" t="e">
        <f>AND(Materials!#REF!,"AAAAADr+vfs=")</f>
        <v>#REF!</v>
      </c>
      <c r="IS130" t="e">
        <f>AND(Materials!#REF!,"AAAAADr+vfw=")</f>
        <v>#REF!</v>
      </c>
      <c r="IT130" t="e">
        <f>AND(Materials!#REF!,"AAAAADr+vf0=")</f>
        <v>#REF!</v>
      </c>
      <c r="IU130" t="e">
        <f>AND(Materials!#REF!,"AAAAADr+vf4=")</f>
        <v>#REF!</v>
      </c>
      <c r="IV130" t="e">
        <f>AND(Materials!#REF!,"AAAAADr+vf8=")</f>
        <v>#REF!</v>
      </c>
    </row>
    <row r="131" spans="1:256" x14ac:dyDescent="0.2">
      <c r="A131" t="e">
        <f>AND(Materials!#REF!,"AAAAAGXztwA=")</f>
        <v>#REF!</v>
      </c>
      <c r="B131" t="e">
        <f>AND(Materials!#REF!,"AAAAAGXztwE=")</f>
        <v>#REF!</v>
      </c>
      <c r="C131" t="e">
        <f>AND(Materials!#REF!,"AAAAAGXztwI=")</f>
        <v>#REF!</v>
      </c>
      <c r="D131" t="e">
        <f>AND(Materials!#REF!,"AAAAAGXztwM=")</f>
        <v>#REF!</v>
      </c>
      <c r="E131" t="e">
        <f>AND(Materials!#REF!,"AAAAAGXztwQ=")</f>
        <v>#REF!</v>
      </c>
      <c r="F131" t="e">
        <f>AND(Materials!#REF!,"AAAAAGXztwU=")</f>
        <v>#REF!</v>
      </c>
      <c r="G131" t="e">
        <f>AND(Materials!#REF!,"AAAAAGXztwY=")</f>
        <v>#REF!</v>
      </c>
      <c r="H131" t="e">
        <f>AND(Materials!#REF!,"AAAAAGXztwc=")</f>
        <v>#REF!</v>
      </c>
      <c r="I131" t="e">
        <f>AND(Materials!#REF!,"AAAAAGXztwg=")</f>
        <v>#REF!</v>
      </c>
      <c r="J131" t="e">
        <f>AND(Materials!#REF!,"AAAAAGXztwk=")</f>
        <v>#REF!</v>
      </c>
      <c r="K131" t="e">
        <f>AND(Materials!#REF!,"AAAAAGXztwo=")</f>
        <v>#REF!</v>
      </c>
      <c r="L131" t="e">
        <f>AND(Materials!#REF!,"AAAAAGXztws=")</f>
        <v>#REF!</v>
      </c>
      <c r="M131" t="e">
        <f>AND(Materials!#REF!,"AAAAAGXztww=")</f>
        <v>#REF!</v>
      </c>
      <c r="N131" t="e">
        <f>AND(Materials!#REF!,"AAAAAGXztw0=")</f>
        <v>#REF!</v>
      </c>
      <c r="O131" t="e">
        <f>AND(Materials!#REF!,"AAAAAGXztw4=")</f>
        <v>#REF!</v>
      </c>
      <c r="P131" t="e">
        <f>AND(Materials!#REF!,"AAAAAGXztw8=")</f>
        <v>#REF!</v>
      </c>
      <c r="Q131" t="e">
        <f>AND(Materials!#REF!,"AAAAAGXztxA=")</f>
        <v>#REF!</v>
      </c>
      <c r="R131" t="e">
        <f>AND(Materials!#REF!,"AAAAAGXztxE=")</f>
        <v>#REF!</v>
      </c>
      <c r="S131" t="e">
        <f>AND(Materials!#REF!,"AAAAAGXztxI=")</f>
        <v>#REF!</v>
      </c>
      <c r="T131" t="e">
        <f>AND(Materials!#REF!,"AAAAAGXztxM=")</f>
        <v>#REF!</v>
      </c>
      <c r="U131" t="e">
        <f>AND(Materials!#REF!,"AAAAAGXztxQ=")</f>
        <v>#REF!</v>
      </c>
      <c r="V131" t="e">
        <f>AND(Materials!#REF!,"AAAAAGXztxU=")</f>
        <v>#REF!</v>
      </c>
      <c r="W131" t="e">
        <f>AND(Materials!#REF!,"AAAAAGXztxY=")</f>
        <v>#REF!</v>
      </c>
      <c r="X131" t="e">
        <f>IF(Materials!#REF!,"AAAAAGXztxc=",0)</f>
        <v>#REF!</v>
      </c>
      <c r="Y131" t="e">
        <f>AND(Materials!#REF!,"AAAAAGXztxg=")</f>
        <v>#REF!</v>
      </c>
      <c r="Z131" t="e">
        <f>AND(Materials!#REF!,"AAAAAGXztxk=")</f>
        <v>#REF!</v>
      </c>
      <c r="AA131" t="e">
        <f>AND(Materials!#REF!,"AAAAAGXztxo=")</f>
        <v>#REF!</v>
      </c>
      <c r="AB131" t="e">
        <f>AND(Materials!#REF!,"AAAAAGXztxs=")</f>
        <v>#REF!</v>
      </c>
      <c r="AC131" t="e">
        <f>AND(Materials!#REF!,"AAAAAGXztxw=")</f>
        <v>#REF!</v>
      </c>
      <c r="AD131" t="e">
        <f>AND(Materials!#REF!,"AAAAAGXztx0=")</f>
        <v>#REF!</v>
      </c>
      <c r="AE131" t="e">
        <f>AND(Materials!#REF!,"AAAAAGXztx4=")</f>
        <v>#REF!</v>
      </c>
      <c r="AF131" t="e">
        <f>AND(Materials!#REF!,"AAAAAGXztx8=")</f>
        <v>#REF!</v>
      </c>
      <c r="AG131" t="e">
        <f>AND(Materials!#REF!,"AAAAAGXztyA=")</f>
        <v>#REF!</v>
      </c>
      <c r="AH131" t="e">
        <f>AND(Materials!#REF!,"AAAAAGXztyE=")</f>
        <v>#REF!</v>
      </c>
      <c r="AI131" t="e">
        <f>AND(Materials!#REF!,"AAAAAGXztyI=")</f>
        <v>#REF!</v>
      </c>
      <c r="AJ131" t="e">
        <f>AND(Materials!#REF!,"AAAAAGXztyM=")</f>
        <v>#REF!</v>
      </c>
      <c r="AK131" t="e">
        <f>AND(Materials!#REF!,"AAAAAGXztyQ=")</f>
        <v>#REF!</v>
      </c>
      <c r="AL131" t="e">
        <f>AND(Materials!#REF!,"AAAAAGXztyU=")</f>
        <v>#REF!</v>
      </c>
      <c r="AM131" t="e">
        <f>AND(Materials!#REF!,"AAAAAGXztyY=")</f>
        <v>#REF!</v>
      </c>
      <c r="AN131" t="e">
        <f>AND(Materials!#REF!,"AAAAAGXztyc=")</f>
        <v>#REF!</v>
      </c>
      <c r="AO131" t="e">
        <f>AND(Materials!#REF!,"AAAAAGXztyg=")</f>
        <v>#REF!</v>
      </c>
      <c r="AP131" t="e">
        <f>AND(Materials!#REF!,"AAAAAGXztyk=")</f>
        <v>#REF!</v>
      </c>
      <c r="AQ131" t="e">
        <f>AND(Materials!#REF!,"AAAAAGXztyo=")</f>
        <v>#REF!</v>
      </c>
      <c r="AR131" t="e">
        <f>AND(Materials!#REF!,"AAAAAGXztys=")</f>
        <v>#REF!</v>
      </c>
      <c r="AS131" t="e">
        <f>AND(Materials!#REF!,"AAAAAGXztyw=")</f>
        <v>#REF!</v>
      </c>
      <c r="AT131" t="e">
        <f>AND(Materials!#REF!,"AAAAAGXzty0=")</f>
        <v>#REF!</v>
      </c>
      <c r="AU131" t="e">
        <f>AND(Materials!#REF!,"AAAAAGXzty4=")</f>
        <v>#REF!</v>
      </c>
      <c r="AV131" t="e">
        <f>AND(Materials!#REF!,"AAAAAGXzty8=")</f>
        <v>#REF!</v>
      </c>
      <c r="AW131" t="e">
        <f>AND(Materials!#REF!,"AAAAAGXztzA=")</f>
        <v>#REF!</v>
      </c>
      <c r="AX131" t="e">
        <f>AND(Materials!#REF!,"AAAAAGXztzE=")</f>
        <v>#REF!</v>
      </c>
      <c r="AY131" t="e">
        <f>AND(Materials!#REF!,"AAAAAGXztzI=")</f>
        <v>#REF!</v>
      </c>
      <c r="AZ131" t="e">
        <f>AND(Materials!#REF!,"AAAAAGXztzM=")</f>
        <v>#REF!</v>
      </c>
      <c r="BA131" t="e">
        <f>AND(Materials!#REF!,"AAAAAGXztzQ=")</f>
        <v>#REF!</v>
      </c>
      <c r="BB131" t="e">
        <f>AND(Materials!#REF!,"AAAAAGXztzU=")</f>
        <v>#REF!</v>
      </c>
      <c r="BC131" t="e">
        <f>AND(Materials!#REF!,"AAAAAGXztzY=")</f>
        <v>#REF!</v>
      </c>
      <c r="BD131" t="e">
        <f>AND(Materials!#REF!,"AAAAAGXztzc=")</f>
        <v>#REF!</v>
      </c>
      <c r="BE131" t="e">
        <f>AND(Materials!#REF!,"AAAAAGXztzg=")</f>
        <v>#REF!</v>
      </c>
      <c r="BF131" t="e">
        <f>IF(Materials!#REF!,"AAAAAGXztzk=",0)</f>
        <v>#REF!</v>
      </c>
      <c r="BG131" t="e">
        <f>AND(Materials!#REF!,"AAAAAGXztzo=")</f>
        <v>#REF!</v>
      </c>
      <c r="BH131" t="e">
        <f>AND(Materials!#REF!,"AAAAAGXztzs=")</f>
        <v>#REF!</v>
      </c>
      <c r="BI131" t="e">
        <f>AND(Materials!#REF!,"AAAAAGXztzw=")</f>
        <v>#REF!</v>
      </c>
      <c r="BJ131" t="e">
        <f>AND(Materials!#REF!,"AAAAAGXztz0=")</f>
        <v>#REF!</v>
      </c>
      <c r="BK131" t="e">
        <f>AND(Materials!#REF!,"AAAAAGXztz4=")</f>
        <v>#REF!</v>
      </c>
      <c r="BL131" t="e">
        <f>AND(Materials!#REF!,"AAAAAGXztz8=")</f>
        <v>#REF!</v>
      </c>
      <c r="BM131" t="e">
        <f>AND(Materials!#REF!,"AAAAAGXzt0A=")</f>
        <v>#REF!</v>
      </c>
      <c r="BN131" t="e">
        <f>AND(Materials!#REF!,"AAAAAGXzt0E=")</f>
        <v>#REF!</v>
      </c>
      <c r="BO131" t="e">
        <f>AND(Materials!#REF!,"AAAAAGXzt0I=")</f>
        <v>#REF!</v>
      </c>
      <c r="BP131" t="e">
        <f>AND(Materials!#REF!,"AAAAAGXzt0M=")</f>
        <v>#REF!</v>
      </c>
      <c r="BQ131" t="e">
        <f>AND(Materials!#REF!,"AAAAAGXzt0Q=")</f>
        <v>#REF!</v>
      </c>
      <c r="BR131" t="e">
        <f>AND(Materials!#REF!,"AAAAAGXzt0U=")</f>
        <v>#REF!</v>
      </c>
      <c r="BS131" t="e">
        <f>AND(Materials!#REF!,"AAAAAGXzt0Y=")</f>
        <v>#REF!</v>
      </c>
      <c r="BT131" t="e">
        <f>AND(Materials!#REF!,"AAAAAGXzt0c=")</f>
        <v>#REF!</v>
      </c>
      <c r="BU131" t="e">
        <f>AND(Materials!#REF!,"AAAAAGXzt0g=")</f>
        <v>#REF!</v>
      </c>
      <c r="BV131" t="e">
        <f>AND(Materials!#REF!,"AAAAAGXzt0k=")</f>
        <v>#REF!</v>
      </c>
      <c r="BW131" t="e">
        <f>AND(Materials!#REF!,"AAAAAGXzt0o=")</f>
        <v>#REF!</v>
      </c>
      <c r="BX131" t="e">
        <f>AND(Materials!#REF!,"AAAAAGXzt0s=")</f>
        <v>#REF!</v>
      </c>
      <c r="BY131" t="e">
        <f>AND(Materials!#REF!,"AAAAAGXzt0w=")</f>
        <v>#REF!</v>
      </c>
      <c r="BZ131" t="e">
        <f>AND(Materials!#REF!,"AAAAAGXzt00=")</f>
        <v>#REF!</v>
      </c>
      <c r="CA131" t="e">
        <f>AND(Materials!#REF!,"AAAAAGXzt04=")</f>
        <v>#REF!</v>
      </c>
      <c r="CB131" t="e">
        <f>AND(Materials!#REF!,"AAAAAGXzt08=")</f>
        <v>#REF!</v>
      </c>
      <c r="CC131" t="e">
        <f>AND(Materials!#REF!,"AAAAAGXzt1A=")</f>
        <v>#REF!</v>
      </c>
      <c r="CD131" t="e">
        <f>AND(Materials!#REF!,"AAAAAGXzt1E=")</f>
        <v>#REF!</v>
      </c>
      <c r="CE131" t="e">
        <f>AND(Materials!#REF!,"AAAAAGXzt1I=")</f>
        <v>#REF!</v>
      </c>
      <c r="CF131" t="e">
        <f>AND(Materials!#REF!,"AAAAAGXzt1M=")</f>
        <v>#REF!</v>
      </c>
      <c r="CG131" t="e">
        <f>AND(Materials!#REF!,"AAAAAGXzt1Q=")</f>
        <v>#REF!</v>
      </c>
      <c r="CH131" t="e">
        <f>AND(Materials!#REF!,"AAAAAGXzt1U=")</f>
        <v>#REF!</v>
      </c>
      <c r="CI131" t="e">
        <f>AND(Materials!#REF!,"AAAAAGXzt1Y=")</f>
        <v>#REF!</v>
      </c>
      <c r="CJ131" t="e">
        <f>AND(Materials!#REF!,"AAAAAGXzt1c=")</f>
        <v>#REF!</v>
      </c>
      <c r="CK131" t="e">
        <f>AND(Materials!#REF!,"AAAAAGXzt1g=")</f>
        <v>#REF!</v>
      </c>
      <c r="CL131" t="e">
        <f>AND(Materials!#REF!,"AAAAAGXzt1k=")</f>
        <v>#REF!</v>
      </c>
      <c r="CM131" t="e">
        <f>AND(Materials!#REF!,"AAAAAGXzt1o=")</f>
        <v>#REF!</v>
      </c>
      <c r="CN131" t="e">
        <f>IF(Materials!#REF!,"AAAAAGXzt1s=",0)</f>
        <v>#REF!</v>
      </c>
      <c r="CO131" t="e">
        <f>AND(Materials!#REF!,"AAAAAGXzt1w=")</f>
        <v>#REF!</v>
      </c>
      <c r="CP131" t="e">
        <f>AND(Materials!#REF!,"AAAAAGXzt10=")</f>
        <v>#REF!</v>
      </c>
      <c r="CQ131" t="e">
        <f>AND(Materials!#REF!,"AAAAAGXzt14=")</f>
        <v>#REF!</v>
      </c>
      <c r="CR131" t="e">
        <f>AND(Materials!#REF!,"AAAAAGXzt18=")</f>
        <v>#REF!</v>
      </c>
      <c r="CS131" t="e">
        <f>AND(Materials!#REF!,"AAAAAGXzt2A=")</f>
        <v>#REF!</v>
      </c>
      <c r="CT131" t="e">
        <f>AND(Materials!#REF!,"AAAAAGXzt2E=")</f>
        <v>#REF!</v>
      </c>
      <c r="CU131" t="e">
        <f>AND(Materials!#REF!,"AAAAAGXzt2I=")</f>
        <v>#REF!</v>
      </c>
      <c r="CV131" t="e">
        <f>AND(Materials!#REF!,"AAAAAGXzt2M=")</f>
        <v>#REF!</v>
      </c>
      <c r="CW131" t="e">
        <f>AND(Materials!#REF!,"AAAAAGXzt2Q=")</f>
        <v>#REF!</v>
      </c>
      <c r="CX131" t="e">
        <f>AND(Materials!#REF!,"AAAAAGXzt2U=")</f>
        <v>#REF!</v>
      </c>
      <c r="CY131" t="e">
        <f>AND(Materials!#REF!,"AAAAAGXzt2Y=")</f>
        <v>#REF!</v>
      </c>
      <c r="CZ131" t="e">
        <f>AND(Materials!#REF!,"AAAAAGXzt2c=")</f>
        <v>#REF!</v>
      </c>
      <c r="DA131" t="e">
        <f>AND(Materials!#REF!,"AAAAAGXzt2g=")</f>
        <v>#REF!</v>
      </c>
      <c r="DB131" t="e">
        <f>AND(Materials!#REF!,"AAAAAGXzt2k=")</f>
        <v>#REF!</v>
      </c>
      <c r="DC131" t="e">
        <f>AND(Materials!#REF!,"AAAAAGXzt2o=")</f>
        <v>#REF!</v>
      </c>
      <c r="DD131" t="e">
        <f>AND(Materials!#REF!,"AAAAAGXzt2s=")</f>
        <v>#REF!</v>
      </c>
      <c r="DE131" t="e">
        <f>AND(Materials!#REF!,"AAAAAGXzt2w=")</f>
        <v>#REF!</v>
      </c>
      <c r="DF131" t="e">
        <f>AND(Materials!#REF!,"AAAAAGXzt20=")</f>
        <v>#REF!</v>
      </c>
      <c r="DG131" t="e">
        <f>AND(Materials!#REF!,"AAAAAGXzt24=")</f>
        <v>#REF!</v>
      </c>
      <c r="DH131" t="e">
        <f>AND(Materials!#REF!,"AAAAAGXzt28=")</f>
        <v>#REF!</v>
      </c>
      <c r="DI131" t="e">
        <f>AND(Materials!#REF!,"AAAAAGXzt3A=")</f>
        <v>#REF!</v>
      </c>
      <c r="DJ131" t="e">
        <f>AND(Materials!#REF!,"AAAAAGXzt3E=")</f>
        <v>#REF!</v>
      </c>
      <c r="DK131" t="e">
        <f>AND(Materials!#REF!,"AAAAAGXzt3I=")</f>
        <v>#REF!</v>
      </c>
      <c r="DL131" t="e">
        <f>AND(Materials!#REF!,"AAAAAGXzt3M=")</f>
        <v>#REF!</v>
      </c>
      <c r="DM131" t="e">
        <f>AND(Materials!#REF!,"AAAAAGXzt3Q=")</f>
        <v>#REF!</v>
      </c>
      <c r="DN131" t="e">
        <f>AND(Materials!#REF!,"AAAAAGXzt3U=")</f>
        <v>#REF!</v>
      </c>
      <c r="DO131" t="e">
        <f>AND(Materials!#REF!,"AAAAAGXzt3Y=")</f>
        <v>#REF!</v>
      </c>
      <c r="DP131" t="e">
        <f>AND(Materials!#REF!,"AAAAAGXzt3c=")</f>
        <v>#REF!</v>
      </c>
      <c r="DQ131" t="e">
        <f>AND(Materials!#REF!,"AAAAAGXzt3g=")</f>
        <v>#REF!</v>
      </c>
      <c r="DR131" t="e">
        <f>AND(Materials!#REF!,"AAAAAGXzt3k=")</f>
        <v>#REF!</v>
      </c>
      <c r="DS131" t="e">
        <f>AND(Materials!#REF!,"AAAAAGXzt3o=")</f>
        <v>#REF!</v>
      </c>
      <c r="DT131" t="e">
        <f>AND(Materials!#REF!,"AAAAAGXzt3s=")</f>
        <v>#REF!</v>
      </c>
      <c r="DU131" t="e">
        <f>AND(Materials!#REF!,"AAAAAGXzt3w=")</f>
        <v>#REF!</v>
      </c>
      <c r="DV131" t="e">
        <f>IF(Materials!#REF!,"AAAAAGXzt30=",0)</f>
        <v>#REF!</v>
      </c>
      <c r="DW131" t="e">
        <f>AND(Materials!#REF!,"AAAAAGXzt34=")</f>
        <v>#REF!</v>
      </c>
      <c r="DX131" t="e">
        <f>AND(Materials!#REF!,"AAAAAGXzt38=")</f>
        <v>#REF!</v>
      </c>
      <c r="DY131" t="e">
        <f>AND(Materials!#REF!,"AAAAAGXzt4A=")</f>
        <v>#REF!</v>
      </c>
      <c r="DZ131" t="e">
        <f>AND(Materials!#REF!,"AAAAAGXzt4E=")</f>
        <v>#REF!</v>
      </c>
      <c r="EA131" t="e">
        <f>AND(Materials!#REF!,"AAAAAGXzt4I=")</f>
        <v>#REF!</v>
      </c>
      <c r="EB131" t="e">
        <f>AND(Materials!#REF!,"AAAAAGXzt4M=")</f>
        <v>#REF!</v>
      </c>
      <c r="EC131" t="e">
        <f>AND(Materials!#REF!,"AAAAAGXzt4Q=")</f>
        <v>#REF!</v>
      </c>
      <c r="ED131" t="e">
        <f>AND(Materials!#REF!,"AAAAAGXzt4U=")</f>
        <v>#REF!</v>
      </c>
      <c r="EE131" t="e">
        <f>AND(Materials!#REF!,"AAAAAGXzt4Y=")</f>
        <v>#REF!</v>
      </c>
      <c r="EF131" t="e">
        <f>AND(Materials!#REF!,"AAAAAGXzt4c=")</f>
        <v>#REF!</v>
      </c>
      <c r="EG131" t="e">
        <f>AND(Materials!#REF!,"AAAAAGXzt4g=")</f>
        <v>#REF!</v>
      </c>
      <c r="EH131" t="e">
        <f>AND(Materials!#REF!,"AAAAAGXzt4k=")</f>
        <v>#REF!</v>
      </c>
      <c r="EI131" t="e">
        <f>AND(Materials!#REF!,"AAAAAGXzt4o=")</f>
        <v>#REF!</v>
      </c>
      <c r="EJ131" t="e">
        <f>AND(Materials!#REF!,"AAAAAGXzt4s=")</f>
        <v>#REF!</v>
      </c>
      <c r="EK131" t="e">
        <f>AND(Materials!#REF!,"AAAAAGXzt4w=")</f>
        <v>#REF!</v>
      </c>
      <c r="EL131" t="e">
        <f>AND(Materials!#REF!,"AAAAAGXzt40=")</f>
        <v>#REF!</v>
      </c>
      <c r="EM131" t="e">
        <f>AND(Materials!#REF!,"AAAAAGXzt44=")</f>
        <v>#REF!</v>
      </c>
      <c r="EN131" t="e">
        <f>AND(Materials!#REF!,"AAAAAGXzt48=")</f>
        <v>#REF!</v>
      </c>
      <c r="EO131" t="e">
        <f>AND(Materials!#REF!,"AAAAAGXzt5A=")</f>
        <v>#REF!</v>
      </c>
      <c r="EP131" t="e">
        <f>AND(Materials!#REF!,"AAAAAGXzt5E=")</f>
        <v>#REF!</v>
      </c>
      <c r="EQ131" t="e">
        <f>AND(Materials!#REF!,"AAAAAGXzt5I=")</f>
        <v>#REF!</v>
      </c>
      <c r="ER131" t="e">
        <f>AND(Materials!#REF!,"AAAAAGXzt5M=")</f>
        <v>#REF!</v>
      </c>
      <c r="ES131" t="e">
        <f>AND(Materials!#REF!,"AAAAAGXzt5Q=")</f>
        <v>#REF!</v>
      </c>
      <c r="ET131" t="e">
        <f>AND(Materials!#REF!,"AAAAAGXzt5U=")</f>
        <v>#REF!</v>
      </c>
      <c r="EU131" t="e">
        <f>AND(Materials!#REF!,"AAAAAGXzt5Y=")</f>
        <v>#REF!</v>
      </c>
      <c r="EV131" t="e">
        <f>AND(Materials!#REF!,"AAAAAGXzt5c=")</f>
        <v>#REF!</v>
      </c>
      <c r="EW131" t="e">
        <f>AND(Materials!#REF!,"AAAAAGXzt5g=")</f>
        <v>#REF!</v>
      </c>
      <c r="EX131" t="e">
        <f>AND(Materials!#REF!,"AAAAAGXzt5k=")</f>
        <v>#REF!</v>
      </c>
      <c r="EY131" t="e">
        <f>AND(Materials!#REF!,"AAAAAGXzt5o=")</f>
        <v>#REF!</v>
      </c>
      <c r="EZ131" t="e">
        <f>AND(Materials!#REF!,"AAAAAGXzt5s=")</f>
        <v>#REF!</v>
      </c>
      <c r="FA131" t="e">
        <f>AND(Materials!#REF!,"AAAAAGXzt5w=")</f>
        <v>#REF!</v>
      </c>
      <c r="FB131" t="e">
        <f>AND(Materials!#REF!,"AAAAAGXzt50=")</f>
        <v>#REF!</v>
      </c>
      <c r="FC131" t="e">
        <f>AND(Materials!#REF!,"AAAAAGXzt54=")</f>
        <v>#REF!</v>
      </c>
      <c r="FD131" t="e">
        <f>IF(Materials!#REF!,"AAAAAGXzt58=",0)</f>
        <v>#REF!</v>
      </c>
      <c r="FE131" t="e">
        <f>AND(Materials!#REF!,"AAAAAGXzt6A=")</f>
        <v>#REF!</v>
      </c>
      <c r="FF131" t="e">
        <f>AND(Materials!#REF!,"AAAAAGXzt6E=")</f>
        <v>#REF!</v>
      </c>
      <c r="FG131" t="e">
        <f>AND(Materials!#REF!,"AAAAAGXzt6I=")</f>
        <v>#REF!</v>
      </c>
      <c r="FH131" t="e">
        <f>AND(Materials!#REF!,"AAAAAGXzt6M=")</f>
        <v>#REF!</v>
      </c>
      <c r="FI131" t="e">
        <f>AND(Materials!#REF!,"AAAAAGXzt6Q=")</f>
        <v>#REF!</v>
      </c>
      <c r="FJ131" t="e">
        <f>AND(Materials!#REF!,"AAAAAGXzt6U=")</f>
        <v>#REF!</v>
      </c>
      <c r="FK131" t="e">
        <f>AND(Materials!#REF!,"AAAAAGXzt6Y=")</f>
        <v>#REF!</v>
      </c>
      <c r="FL131" t="e">
        <f>AND(Materials!#REF!,"AAAAAGXzt6c=")</f>
        <v>#REF!</v>
      </c>
      <c r="FM131" t="e">
        <f>AND(Materials!#REF!,"AAAAAGXzt6g=")</f>
        <v>#REF!</v>
      </c>
      <c r="FN131" t="e">
        <f>AND(Materials!#REF!,"AAAAAGXzt6k=")</f>
        <v>#REF!</v>
      </c>
      <c r="FO131" t="e">
        <f>AND(Materials!#REF!,"AAAAAGXzt6o=")</f>
        <v>#REF!</v>
      </c>
      <c r="FP131" t="e">
        <f>AND(Materials!#REF!,"AAAAAGXzt6s=")</f>
        <v>#REF!</v>
      </c>
      <c r="FQ131" t="e">
        <f>AND(Materials!#REF!,"AAAAAGXzt6w=")</f>
        <v>#REF!</v>
      </c>
      <c r="FR131" t="e">
        <f>AND(Materials!#REF!,"AAAAAGXzt60=")</f>
        <v>#REF!</v>
      </c>
      <c r="FS131" t="e">
        <f>AND(Materials!#REF!,"AAAAAGXzt64=")</f>
        <v>#REF!</v>
      </c>
      <c r="FT131" t="e">
        <f>AND(Materials!#REF!,"AAAAAGXzt68=")</f>
        <v>#REF!</v>
      </c>
      <c r="FU131" t="e">
        <f>AND(Materials!#REF!,"AAAAAGXzt7A=")</f>
        <v>#REF!</v>
      </c>
      <c r="FV131" t="e">
        <f>AND(Materials!#REF!,"AAAAAGXzt7E=")</f>
        <v>#REF!</v>
      </c>
      <c r="FW131" t="e">
        <f>AND(Materials!#REF!,"AAAAAGXzt7I=")</f>
        <v>#REF!</v>
      </c>
      <c r="FX131" t="e">
        <f>AND(Materials!#REF!,"AAAAAGXzt7M=")</f>
        <v>#REF!</v>
      </c>
      <c r="FY131" t="e">
        <f>AND(Materials!#REF!,"AAAAAGXzt7Q=")</f>
        <v>#REF!</v>
      </c>
      <c r="FZ131" t="e">
        <f>AND(Materials!#REF!,"AAAAAGXzt7U=")</f>
        <v>#REF!</v>
      </c>
      <c r="GA131" t="e">
        <f>AND(Materials!#REF!,"AAAAAGXzt7Y=")</f>
        <v>#REF!</v>
      </c>
      <c r="GB131" t="e">
        <f>AND(Materials!#REF!,"AAAAAGXzt7c=")</f>
        <v>#REF!</v>
      </c>
      <c r="GC131" t="e">
        <f>AND(Materials!#REF!,"AAAAAGXzt7g=")</f>
        <v>#REF!</v>
      </c>
      <c r="GD131" t="e">
        <f>AND(Materials!#REF!,"AAAAAGXzt7k=")</f>
        <v>#REF!</v>
      </c>
      <c r="GE131" t="e">
        <f>AND(Materials!#REF!,"AAAAAGXzt7o=")</f>
        <v>#REF!</v>
      </c>
      <c r="GF131" t="e">
        <f>AND(Materials!#REF!,"AAAAAGXzt7s=")</f>
        <v>#REF!</v>
      </c>
      <c r="GG131" t="e">
        <f>AND(Materials!#REF!,"AAAAAGXzt7w=")</f>
        <v>#REF!</v>
      </c>
      <c r="GH131" t="e">
        <f>AND(Materials!#REF!,"AAAAAGXzt70=")</f>
        <v>#REF!</v>
      </c>
      <c r="GI131" t="e">
        <f>AND(Materials!#REF!,"AAAAAGXzt74=")</f>
        <v>#REF!</v>
      </c>
      <c r="GJ131" t="e">
        <f>AND(Materials!#REF!,"AAAAAGXzt78=")</f>
        <v>#REF!</v>
      </c>
      <c r="GK131" t="e">
        <f>AND(Materials!#REF!,"AAAAAGXzt8A=")</f>
        <v>#REF!</v>
      </c>
      <c r="GL131" t="e">
        <f>IF(Materials!#REF!,"AAAAAGXzt8E=",0)</f>
        <v>#REF!</v>
      </c>
      <c r="GM131" t="e">
        <f>AND(Materials!#REF!,"AAAAAGXzt8I=")</f>
        <v>#REF!</v>
      </c>
      <c r="GN131" t="e">
        <f>AND(Materials!#REF!,"AAAAAGXzt8M=")</f>
        <v>#REF!</v>
      </c>
      <c r="GO131" t="e">
        <f>AND(Materials!#REF!,"AAAAAGXzt8Q=")</f>
        <v>#REF!</v>
      </c>
      <c r="GP131" t="e">
        <f>AND(Materials!#REF!,"AAAAAGXzt8U=")</f>
        <v>#REF!</v>
      </c>
      <c r="GQ131" t="e">
        <f>AND(Materials!#REF!,"AAAAAGXzt8Y=")</f>
        <v>#REF!</v>
      </c>
      <c r="GR131" t="e">
        <f>AND(Materials!#REF!,"AAAAAGXzt8c=")</f>
        <v>#REF!</v>
      </c>
      <c r="GS131" t="e">
        <f>AND(Materials!#REF!,"AAAAAGXzt8g=")</f>
        <v>#REF!</v>
      </c>
      <c r="GT131" t="e">
        <f>AND(Materials!#REF!,"AAAAAGXzt8k=")</f>
        <v>#REF!</v>
      </c>
      <c r="GU131" t="e">
        <f>AND(Materials!#REF!,"AAAAAGXzt8o=")</f>
        <v>#REF!</v>
      </c>
      <c r="GV131" t="e">
        <f>AND(Materials!#REF!,"AAAAAGXzt8s=")</f>
        <v>#REF!</v>
      </c>
      <c r="GW131" t="e">
        <f>AND(Materials!#REF!,"AAAAAGXzt8w=")</f>
        <v>#REF!</v>
      </c>
      <c r="GX131" t="e">
        <f>AND(Materials!#REF!,"AAAAAGXzt80=")</f>
        <v>#REF!</v>
      </c>
      <c r="GY131" t="e">
        <f>AND(Materials!#REF!,"AAAAAGXzt84=")</f>
        <v>#REF!</v>
      </c>
      <c r="GZ131" t="e">
        <f>AND(Materials!#REF!,"AAAAAGXzt88=")</f>
        <v>#REF!</v>
      </c>
      <c r="HA131" t="e">
        <f>AND(Materials!#REF!,"AAAAAGXzt9A=")</f>
        <v>#REF!</v>
      </c>
      <c r="HB131" t="e">
        <f>AND(Materials!#REF!,"AAAAAGXzt9E=")</f>
        <v>#REF!</v>
      </c>
      <c r="HC131" t="e">
        <f>AND(Materials!#REF!,"AAAAAGXzt9I=")</f>
        <v>#REF!</v>
      </c>
      <c r="HD131" t="e">
        <f>AND(Materials!#REF!,"AAAAAGXzt9M=")</f>
        <v>#REF!</v>
      </c>
      <c r="HE131" t="e">
        <f>AND(Materials!#REF!,"AAAAAGXzt9Q=")</f>
        <v>#REF!</v>
      </c>
      <c r="HF131" t="e">
        <f>AND(Materials!#REF!,"AAAAAGXzt9U=")</f>
        <v>#REF!</v>
      </c>
      <c r="HG131" t="e">
        <f>AND(Materials!#REF!,"AAAAAGXzt9Y=")</f>
        <v>#REF!</v>
      </c>
      <c r="HH131" t="e">
        <f>AND(Materials!#REF!,"AAAAAGXzt9c=")</f>
        <v>#REF!</v>
      </c>
      <c r="HI131" t="e">
        <f>AND(Materials!#REF!,"AAAAAGXzt9g=")</f>
        <v>#REF!</v>
      </c>
      <c r="HJ131" t="e">
        <f>AND(Materials!#REF!,"AAAAAGXzt9k=")</f>
        <v>#REF!</v>
      </c>
      <c r="HK131" t="e">
        <f>AND(Materials!#REF!,"AAAAAGXzt9o=")</f>
        <v>#REF!</v>
      </c>
      <c r="HL131" t="e">
        <f>AND(Materials!#REF!,"AAAAAGXzt9s=")</f>
        <v>#REF!</v>
      </c>
      <c r="HM131" t="e">
        <f>AND(Materials!#REF!,"AAAAAGXzt9w=")</f>
        <v>#REF!</v>
      </c>
      <c r="HN131" t="e">
        <f>AND(Materials!#REF!,"AAAAAGXzt90=")</f>
        <v>#REF!</v>
      </c>
      <c r="HO131" t="e">
        <f>AND(Materials!#REF!,"AAAAAGXzt94=")</f>
        <v>#REF!</v>
      </c>
      <c r="HP131" t="e">
        <f>AND(Materials!#REF!,"AAAAAGXzt98=")</f>
        <v>#REF!</v>
      </c>
      <c r="HQ131" t="e">
        <f>AND(Materials!#REF!,"AAAAAGXzt+A=")</f>
        <v>#REF!</v>
      </c>
      <c r="HR131" t="e">
        <f>AND(Materials!#REF!,"AAAAAGXzt+E=")</f>
        <v>#REF!</v>
      </c>
      <c r="HS131" t="e">
        <f>AND(Materials!#REF!,"AAAAAGXzt+I=")</f>
        <v>#REF!</v>
      </c>
      <c r="HT131" t="e">
        <f>IF(Materials!#REF!,"AAAAAGXzt+M=",0)</f>
        <v>#REF!</v>
      </c>
      <c r="HU131" t="e">
        <f>AND(Materials!#REF!,"AAAAAGXzt+Q=")</f>
        <v>#REF!</v>
      </c>
      <c r="HV131" t="e">
        <f>AND(Materials!#REF!,"AAAAAGXzt+U=")</f>
        <v>#REF!</v>
      </c>
      <c r="HW131" t="e">
        <f>AND(Materials!#REF!,"AAAAAGXzt+Y=")</f>
        <v>#REF!</v>
      </c>
      <c r="HX131" t="e">
        <f>AND(Materials!#REF!,"AAAAAGXzt+c=")</f>
        <v>#REF!</v>
      </c>
      <c r="HY131" t="e">
        <f>AND(Materials!#REF!,"AAAAAGXzt+g=")</f>
        <v>#REF!</v>
      </c>
      <c r="HZ131" t="e">
        <f>AND(Materials!#REF!,"AAAAAGXzt+k=")</f>
        <v>#REF!</v>
      </c>
      <c r="IA131" t="e">
        <f>AND(Materials!#REF!,"AAAAAGXzt+o=")</f>
        <v>#REF!</v>
      </c>
      <c r="IB131" t="e">
        <f>AND(Materials!#REF!,"AAAAAGXzt+s=")</f>
        <v>#REF!</v>
      </c>
      <c r="IC131" t="e">
        <f>AND(Materials!#REF!,"AAAAAGXzt+w=")</f>
        <v>#REF!</v>
      </c>
      <c r="ID131" t="e">
        <f>AND(Materials!#REF!,"AAAAAGXzt+0=")</f>
        <v>#REF!</v>
      </c>
      <c r="IE131" t="e">
        <f>AND(Materials!#REF!,"AAAAAGXzt+4=")</f>
        <v>#REF!</v>
      </c>
      <c r="IF131" t="e">
        <f>AND(Materials!#REF!,"AAAAAGXzt+8=")</f>
        <v>#REF!</v>
      </c>
      <c r="IG131" t="e">
        <f>AND(Materials!#REF!,"AAAAAGXzt/A=")</f>
        <v>#REF!</v>
      </c>
      <c r="IH131" t="e">
        <f>AND(Materials!#REF!,"AAAAAGXzt/E=")</f>
        <v>#REF!</v>
      </c>
      <c r="II131" t="e">
        <f>AND(Materials!#REF!,"AAAAAGXzt/I=")</f>
        <v>#REF!</v>
      </c>
      <c r="IJ131" t="e">
        <f>AND(Materials!#REF!,"AAAAAGXzt/M=")</f>
        <v>#REF!</v>
      </c>
      <c r="IK131" t="e">
        <f>AND(Materials!#REF!,"AAAAAGXzt/Q=")</f>
        <v>#REF!</v>
      </c>
      <c r="IL131" t="e">
        <f>AND(Materials!#REF!,"AAAAAGXzt/U=")</f>
        <v>#REF!</v>
      </c>
      <c r="IM131" t="e">
        <f>AND(Materials!#REF!,"AAAAAGXzt/Y=")</f>
        <v>#REF!</v>
      </c>
      <c r="IN131" t="e">
        <f>AND(Materials!#REF!,"AAAAAGXzt/c=")</f>
        <v>#REF!</v>
      </c>
      <c r="IO131" t="e">
        <f>AND(Materials!#REF!,"AAAAAGXzt/g=")</f>
        <v>#REF!</v>
      </c>
      <c r="IP131" t="e">
        <f>AND(Materials!#REF!,"AAAAAGXzt/k=")</f>
        <v>#REF!</v>
      </c>
      <c r="IQ131" t="e">
        <f>AND(Materials!#REF!,"AAAAAGXzt/o=")</f>
        <v>#REF!</v>
      </c>
      <c r="IR131" t="e">
        <f>AND(Materials!#REF!,"AAAAAGXzt/s=")</f>
        <v>#REF!</v>
      </c>
      <c r="IS131" t="e">
        <f>AND(Materials!#REF!,"AAAAAGXzt/w=")</f>
        <v>#REF!</v>
      </c>
      <c r="IT131" t="e">
        <f>AND(Materials!#REF!,"AAAAAGXzt/0=")</f>
        <v>#REF!</v>
      </c>
      <c r="IU131" t="e">
        <f>AND(Materials!#REF!,"AAAAAGXzt/4=")</f>
        <v>#REF!</v>
      </c>
      <c r="IV131" t="e">
        <f>AND(Materials!#REF!,"AAAAAGXzt/8=")</f>
        <v>#REF!</v>
      </c>
    </row>
    <row r="132" spans="1:256" x14ac:dyDescent="0.2">
      <c r="A132" t="e">
        <f>AND(Materials!#REF!,"AAAAAHvv9wA=")</f>
        <v>#REF!</v>
      </c>
      <c r="B132" t="e">
        <f>AND(Materials!#REF!,"AAAAAHvv9wE=")</f>
        <v>#REF!</v>
      </c>
      <c r="C132" t="e">
        <f>AND(Materials!#REF!,"AAAAAHvv9wI=")</f>
        <v>#REF!</v>
      </c>
      <c r="D132" t="e">
        <f>AND(Materials!#REF!,"AAAAAHvv9wM=")</f>
        <v>#REF!</v>
      </c>
      <c r="E132" t="e">
        <f>AND(Materials!#REF!,"AAAAAHvv9wQ=")</f>
        <v>#REF!</v>
      </c>
      <c r="F132" t="e">
        <f>IF(Materials!#REF!,"AAAAAHvv9wU=",0)</f>
        <v>#REF!</v>
      </c>
      <c r="G132" t="e">
        <f>AND(Materials!#REF!,"AAAAAHvv9wY=")</f>
        <v>#REF!</v>
      </c>
      <c r="H132" t="e">
        <f>AND(Materials!#REF!,"AAAAAHvv9wc=")</f>
        <v>#REF!</v>
      </c>
      <c r="I132" t="e">
        <f>AND(Materials!#REF!,"AAAAAHvv9wg=")</f>
        <v>#REF!</v>
      </c>
      <c r="J132" t="e">
        <f>AND(Materials!#REF!,"AAAAAHvv9wk=")</f>
        <v>#REF!</v>
      </c>
      <c r="K132" t="e">
        <f>AND(Materials!#REF!,"AAAAAHvv9wo=")</f>
        <v>#REF!</v>
      </c>
      <c r="L132" t="e">
        <f>AND(Materials!#REF!,"AAAAAHvv9ws=")</f>
        <v>#REF!</v>
      </c>
      <c r="M132" t="e">
        <f>AND(Materials!#REF!,"AAAAAHvv9ww=")</f>
        <v>#REF!</v>
      </c>
      <c r="N132" t="e">
        <f>AND(Materials!#REF!,"AAAAAHvv9w0=")</f>
        <v>#REF!</v>
      </c>
      <c r="O132" t="e">
        <f>AND(Materials!#REF!,"AAAAAHvv9w4=")</f>
        <v>#REF!</v>
      </c>
      <c r="P132" t="e">
        <f>AND(Materials!#REF!,"AAAAAHvv9w8=")</f>
        <v>#REF!</v>
      </c>
      <c r="Q132" t="e">
        <f>AND(Materials!#REF!,"AAAAAHvv9xA=")</f>
        <v>#REF!</v>
      </c>
      <c r="R132" t="e">
        <f>AND(Materials!#REF!,"AAAAAHvv9xE=")</f>
        <v>#REF!</v>
      </c>
      <c r="S132" t="e">
        <f>AND(Materials!#REF!,"AAAAAHvv9xI=")</f>
        <v>#REF!</v>
      </c>
      <c r="T132" t="e">
        <f>AND(Materials!#REF!,"AAAAAHvv9xM=")</f>
        <v>#REF!</v>
      </c>
      <c r="U132" t="e">
        <f>AND(Materials!#REF!,"AAAAAHvv9xQ=")</f>
        <v>#REF!</v>
      </c>
      <c r="V132" t="e">
        <f>AND(Materials!#REF!,"AAAAAHvv9xU=")</f>
        <v>#REF!</v>
      </c>
      <c r="W132" t="e">
        <f>AND(Materials!#REF!,"AAAAAHvv9xY=")</f>
        <v>#REF!</v>
      </c>
      <c r="X132" t="e">
        <f>AND(Materials!#REF!,"AAAAAHvv9xc=")</f>
        <v>#REF!</v>
      </c>
      <c r="Y132" t="e">
        <f>AND(Materials!#REF!,"AAAAAHvv9xg=")</f>
        <v>#REF!</v>
      </c>
      <c r="Z132" t="e">
        <f>AND(Materials!#REF!,"AAAAAHvv9xk=")</f>
        <v>#REF!</v>
      </c>
      <c r="AA132" t="e">
        <f>AND(Materials!#REF!,"AAAAAHvv9xo=")</f>
        <v>#REF!</v>
      </c>
      <c r="AB132" t="e">
        <f>AND(Materials!#REF!,"AAAAAHvv9xs=")</f>
        <v>#REF!</v>
      </c>
      <c r="AC132" t="e">
        <f>AND(Materials!#REF!,"AAAAAHvv9xw=")</f>
        <v>#REF!</v>
      </c>
      <c r="AD132" t="e">
        <f>AND(Materials!#REF!,"AAAAAHvv9x0=")</f>
        <v>#REF!</v>
      </c>
      <c r="AE132" t="e">
        <f>AND(Materials!#REF!,"AAAAAHvv9x4=")</f>
        <v>#REF!</v>
      </c>
      <c r="AF132" t="e">
        <f>AND(Materials!#REF!,"AAAAAHvv9x8=")</f>
        <v>#REF!</v>
      </c>
      <c r="AG132" t="e">
        <f>AND(Materials!#REF!,"AAAAAHvv9yA=")</f>
        <v>#REF!</v>
      </c>
      <c r="AH132" t="e">
        <f>AND(Materials!#REF!,"AAAAAHvv9yE=")</f>
        <v>#REF!</v>
      </c>
      <c r="AI132" t="e">
        <f>AND(Materials!#REF!,"AAAAAHvv9yI=")</f>
        <v>#REF!</v>
      </c>
      <c r="AJ132" t="e">
        <f>AND(Materials!#REF!,"AAAAAHvv9yM=")</f>
        <v>#REF!</v>
      </c>
      <c r="AK132" t="e">
        <f>AND(Materials!#REF!,"AAAAAHvv9yQ=")</f>
        <v>#REF!</v>
      </c>
      <c r="AL132" t="e">
        <f>AND(Materials!#REF!,"AAAAAHvv9yU=")</f>
        <v>#REF!</v>
      </c>
      <c r="AM132" t="e">
        <f>AND(Materials!#REF!,"AAAAAHvv9yY=")</f>
        <v>#REF!</v>
      </c>
      <c r="AN132" t="e">
        <f>IF(Materials!#REF!,"AAAAAHvv9yc=",0)</f>
        <v>#REF!</v>
      </c>
      <c r="AO132" t="e">
        <f>AND(Materials!#REF!,"AAAAAHvv9yg=")</f>
        <v>#REF!</v>
      </c>
      <c r="AP132" t="e">
        <f>AND(Materials!#REF!,"AAAAAHvv9yk=")</f>
        <v>#REF!</v>
      </c>
      <c r="AQ132" t="e">
        <f>AND(Materials!#REF!,"AAAAAHvv9yo=")</f>
        <v>#REF!</v>
      </c>
      <c r="AR132" t="e">
        <f>AND(Materials!#REF!,"AAAAAHvv9ys=")</f>
        <v>#REF!</v>
      </c>
      <c r="AS132" t="e">
        <f>AND(Materials!#REF!,"AAAAAHvv9yw=")</f>
        <v>#REF!</v>
      </c>
      <c r="AT132" t="e">
        <f>AND(Materials!#REF!,"AAAAAHvv9y0=")</f>
        <v>#REF!</v>
      </c>
      <c r="AU132" t="e">
        <f>AND(Materials!#REF!,"AAAAAHvv9y4=")</f>
        <v>#REF!</v>
      </c>
      <c r="AV132" t="e">
        <f>AND(Materials!#REF!,"AAAAAHvv9y8=")</f>
        <v>#REF!</v>
      </c>
      <c r="AW132" t="e">
        <f>AND(Materials!#REF!,"AAAAAHvv9zA=")</f>
        <v>#REF!</v>
      </c>
      <c r="AX132" t="e">
        <f>AND(Materials!#REF!,"AAAAAHvv9zE=")</f>
        <v>#REF!</v>
      </c>
      <c r="AY132" t="e">
        <f>AND(Materials!#REF!,"AAAAAHvv9zI=")</f>
        <v>#REF!</v>
      </c>
      <c r="AZ132" t="e">
        <f>AND(Materials!#REF!,"AAAAAHvv9zM=")</f>
        <v>#REF!</v>
      </c>
      <c r="BA132" t="e">
        <f>AND(Materials!#REF!,"AAAAAHvv9zQ=")</f>
        <v>#REF!</v>
      </c>
      <c r="BB132" t="e">
        <f>AND(Materials!#REF!,"AAAAAHvv9zU=")</f>
        <v>#REF!</v>
      </c>
      <c r="BC132" t="e">
        <f>AND(Materials!#REF!,"AAAAAHvv9zY=")</f>
        <v>#REF!</v>
      </c>
      <c r="BD132" t="e">
        <f>AND(Materials!#REF!,"AAAAAHvv9zc=")</f>
        <v>#REF!</v>
      </c>
      <c r="BE132" t="e">
        <f>AND(Materials!#REF!,"AAAAAHvv9zg=")</f>
        <v>#REF!</v>
      </c>
      <c r="BF132" t="e">
        <f>AND(Materials!#REF!,"AAAAAHvv9zk=")</f>
        <v>#REF!</v>
      </c>
      <c r="BG132" t="e">
        <f>AND(Materials!#REF!,"AAAAAHvv9zo=")</f>
        <v>#REF!</v>
      </c>
      <c r="BH132" t="e">
        <f>AND(Materials!#REF!,"AAAAAHvv9zs=")</f>
        <v>#REF!</v>
      </c>
      <c r="BI132" t="e">
        <f>AND(Materials!#REF!,"AAAAAHvv9zw=")</f>
        <v>#REF!</v>
      </c>
      <c r="BJ132" t="e">
        <f>AND(Materials!#REF!,"AAAAAHvv9z0=")</f>
        <v>#REF!</v>
      </c>
      <c r="BK132" t="e">
        <f>AND(Materials!#REF!,"AAAAAHvv9z4=")</f>
        <v>#REF!</v>
      </c>
      <c r="BL132" t="e">
        <f>AND(Materials!#REF!,"AAAAAHvv9z8=")</f>
        <v>#REF!</v>
      </c>
      <c r="BM132" t="e">
        <f>AND(Materials!#REF!,"AAAAAHvv90A=")</f>
        <v>#REF!</v>
      </c>
      <c r="BN132" t="e">
        <f>AND(Materials!#REF!,"AAAAAHvv90E=")</f>
        <v>#REF!</v>
      </c>
      <c r="BO132" t="e">
        <f>AND(Materials!#REF!,"AAAAAHvv90I=")</f>
        <v>#REF!</v>
      </c>
      <c r="BP132" t="e">
        <f>AND(Materials!#REF!,"AAAAAHvv90M=")</f>
        <v>#REF!</v>
      </c>
      <c r="BQ132" t="e">
        <f>AND(Materials!#REF!,"AAAAAHvv90Q=")</f>
        <v>#REF!</v>
      </c>
      <c r="BR132" t="e">
        <f>AND(Materials!#REF!,"AAAAAHvv90U=")</f>
        <v>#REF!</v>
      </c>
      <c r="BS132" t="e">
        <f>AND(Materials!#REF!,"AAAAAHvv90Y=")</f>
        <v>#REF!</v>
      </c>
      <c r="BT132" t="e">
        <f>AND(Materials!#REF!,"AAAAAHvv90c=")</f>
        <v>#REF!</v>
      </c>
      <c r="BU132" t="e">
        <f>AND(Materials!#REF!,"AAAAAHvv90g=")</f>
        <v>#REF!</v>
      </c>
      <c r="BV132" t="e">
        <f>IF(Materials!#REF!,"AAAAAHvv90k=",0)</f>
        <v>#REF!</v>
      </c>
      <c r="BW132" t="e">
        <f>AND(Materials!#REF!,"AAAAAHvv90o=")</f>
        <v>#REF!</v>
      </c>
      <c r="BX132" t="e">
        <f>AND(Materials!#REF!,"AAAAAHvv90s=")</f>
        <v>#REF!</v>
      </c>
      <c r="BY132" t="e">
        <f>AND(Materials!#REF!,"AAAAAHvv90w=")</f>
        <v>#REF!</v>
      </c>
      <c r="BZ132" t="e">
        <f>AND(Materials!#REF!,"AAAAAHvv900=")</f>
        <v>#REF!</v>
      </c>
      <c r="CA132" t="e">
        <f>AND(Materials!#REF!,"AAAAAHvv904=")</f>
        <v>#REF!</v>
      </c>
      <c r="CB132" t="e">
        <f>AND(Materials!#REF!,"AAAAAHvv908=")</f>
        <v>#REF!</v>
      </c>
      <c r="CC132" t="e">
        <f>AND(Materials!#REF!,"AAAAAHvv91A=")</f>
        <v>#REF!</v>
      </c>
      <c r="CD132" t="e">
        <f>AND(Materials!#REF!,"AAAAAHvv91E=")</f>
        <v>#REF!</v>
      </c>
      <c r="CE132" t="e">
        <f>AND(Materials!#REF!,"AAAAAHvv91I=")</f>
        <v>#REF!</v>
      </c>
      <c r="CF132" t="e">
        <f>AND(Materials!#REF!,"AAAAAHvv91M=")</f>
        <v>#REF!</v>
      </c>
      <c r="CG132" t="e">
        <f>AND(Materials!#REF!,"AAAAAHvv91Q=")</f>
        <v>#REF!</v>
      </c>
      <c r="CH132" t="e">
        <f>AND(Materials!#REF!,"AAAAAHvv91U=")</f>
        <v>#REF!</v>
      </c>
      <c r="CI132" t="e">
        <f>AND(Materials!#REF!,"AAAAAHvv91Y=")</f>
        <v>#REF!</v>
      </c>
      <c r="CJ132" t="e">
        <f>AND(Materials!#REF!,"AAAAAHvv91c=")</f>
        <v>#REF!</v>
      </c>
      <c r="CK132" t="e">
        <f>AND(Materials!#REF!,"AAAAAHvv91g=")</f>
        <v>#REF!</v>
      </c>
      <c r="CL132" t="e">
        <f>AND(Materials!#REF!,"AAAAAHvv91k=")</f>
        <v>#REF!</v>
      </c>
      <c r="CM132" t="e">
        <f>AND(Materials!#REF!,"AAAAAHvv91o=")</f>
        <v>#REF!</v>
      </c>
      <c r="CN132" t="e">
        <f>AND(Materials!#REF!,"AAAAAHvv91s=")</f>
        <v>#REF!</v>
      </c>
      <c r="CO132" t="e">
        <f>AND(Materials!#REF!,"AAAAAHvv91w=")</f>
        <v>#REF!</v>
      </c>
      <c r="CP132" t="e">
        <f>AND(Materials!#REF!,"AAAAAHvv910=")</f>
        <v>#REF!</v>
      </c>
      <c r="CQ132" t="e">
        <f>AND(Materials!#REF!,"AAAAAHvv914=")</f>
        <v>#REF!</v>
      </c>
      <c r="CR132" t="e">
        <f>AND(Materials!#REF!,"AAAAAHvv918=")</f>
        <v>#REF!</v>
      </c>
      <c r="CS132" t="e">
        <f>AND(Materials!#REF!,"AAAAAHvv92A=")</f>
        <v>#REF!</v>
      </c>
      <c r="CT132" t="e">
        <f>AND(Materials!#REF!,"AAAAAHvv92E=")</f>
        <v>#REF!</v>
      </c>
      <c r="CU132" t="e">
        <f>AND(Materials!#REF!,"AAAAAHvv92I=")</f>
        <v>#REF!</v>
      </c>
      <c r="CV132" t="e">
        <f>AND(Materials!#REF!,"AAAAAHvv92M=")</f>
        <v>#REF!</v>
      </c>
      <c r="CW132" t="e">
        <f>AND(Materials!#REF!,"AAAAAHvv92Q=")</f>
        <v>#REF!</v>
      </c>
      <c r="CX132" t="e">
        <f>AND(Materials!#REF!,"AAAAAHvv92U=")</f>
        <v>#REF!</v>
      </c>
      <c r="CY132" t="e">
        <f>AND(Materials!#REF!,"AAAAAHvv92Y=")</f>
        <v>#REF!</v>
      </c>
      <c r="CZ132" t="e">
        <f>AND(Materials!#REF!,"AAAAAHvv92c=")</f>
        <v>#REF!</v>
      </c>
      <c r="DA132" t="e">
        <f>AND(Materials!#REF!,"AAAAAHvv92g=")</f>
        <v>#REF!</v>
      </c>
      <c r="DB132" t="e">
        <f>AND(Materials!#REF!,"AAAAAHvv92k=")</f>
        <v>#REF!</v>
      </c>
      <c r="DC132" t="e">
        <f>AND(Materials!#REF!,"AAAAAHvv92o=")</f>
        <v>#REF!</v>
      </c>
      <c r="DD132" t="e">
        <f>IF(Materials!#REF!,"AAAAAHvv92s=",0)</f>
        <v>#REF!</v>
      </c>
      <c r="DE132" t="e">
        <f>AND(Materials!#REF!,"AAAAAHvv92w=")</f>
        <v>#REF!</v>
      </c>
      <c r="DF132" t="e">
        <f>AND(Materials!#REF!,"AAAAAHvv920=")</f>
        <v>#REF!</v>
      </c>
      <c r="DG132" t="e">
        <f>AND(Materials!#REF!,"AAAAAHvv924=")</f>
        <v>#REF!</v>
      </c>
      <c r="DH132" t="e">
        <f>AND(Materials!#REF!,"AAAAAHvv928=")</f>
        <v>#REF!</v>
      </c>
      <c r="DI132" t="e">
        <f>AND(Materials!#REF!,"AAAAAHvv93A=")</f>
        <v>#REF!</v>
      </c>
      <c r="DJ132" t="e">
        <f>AND(Materials!#REF!,"AAAAAHvv93E=")</f>
        <v>#REF!</v>
      </c>
      <c r="DK132" t="e">
        <f>AND(Materials!#REF!,"AAAAAHvv93I=")</f>
        <v>#REF!</v>
      </c>
      <c r="DL132" t="e">
        <f>AND(Materials!#REF!,"AAAAAHvv93M=")</f>
        <v>#REF!</v>
      </c>
      <c r="DM132" t="e">
        <f>AND(Materials!#REF!,"AAAAAHvv93Q=")</f>
        <v>#REF!</v>
      </c>
      <c r="DN132" t="e">
        <f>AND(Materials!#REF!,"AAAAAHvv93U=")</f>
        <v>#REF!</v>
      </c>
      <c r="DO132" t="e">
        <f>AND(Materials!#REF!,"AAAAAHvv93Y=")</f>
        <v>#REF!</v>
      </c>
      <c r="DP132" t="e">
        <f>AND(Materials!#REF!,"AAAAAHvv93c=")</f>
        <v>#REF!</v>
      </c>
      <c r="DQ132" t="e">
        <f>AND(Materials!#REF!,"AAAAAHvv93g=")</f>
        <v>#REF!</v>
      </c>
      <c r="DR132" t="e">
        <f>AND(Materials!#REF!,"AAAAAHvv93k=")</f>
        <v>#REF!</v>
      </c>
      <c r="DS132" t="e">
        <f>AND(Materials!#REF!,"AAAAAHvv93o=")</f>
        <v>#REF!</v>
      </c>
      <c r="DT132" t="e">
        <f>AND(Materials!#REF!,"AAAAAHvv93s=")</f>
        <v>#REF!</v>
      </c>
      <c r="DU132" t="e">
        <f>AND(Materials!#REF!,"AAAAAHvv93w=")</f>
        <v>#REF!</v>
      </c>
      <c r="DV132" t="e">
        <f>AND(Materials!#REF!,"AAAAAHvv930=")</f>
        <v>#REF!</v>
      </c>
      <c r="DW132" t="e">
        <f>AND(Materials!#REF!,"AAAAAHvv934=")</f>
        <v>#REF!</v>
      </c>
      <c r="DX132" t="e">
        <f>AND(Materials!#REF!,"AAAAAHvv938=")</f>
        <v>#REF!</v>
      </c>
      <c r="DY132" t="e">
        <f>AND(Materials!#REF!,"AAAAAHvv94A=")</f>
        <v>#REF!</v>
      </c>
      <c r="DZ132" t="e">
        <f>AND(Materials!#REF!,"AAAAAHvv94E=")</f>
        <v>#REF!</v>
      </c>
      <c r="EA132" t="e">
        <f>AND(Materials!#REF!,"AAAAAHvv94I=")</f>
        <v>#REF!</v>
      </c>
      <c r="EB132" t="e">
        <f>AND(Materials!#REF!,"AAAAAHvv94M=")</f>
        <v>#REF!</v>
      </c>
      <c r="EC132" t="e">
        <f>AND(Materials!#REF!,"AAAAAHvv94Q=")</f>
        <v>#REF!</v>
      </c>
      <c r="ED132" t="e">
        <f>AND(Materials!#REF!,"AAAAAHvv94U=")</f>
        <v>#REF!</v>
      </c>
      <c r="EE132" t="e">
        <f>AND(Materials!#REF!,"AAAAAHvv94Y=")</f>
        <v>#REF!</v>
      </c>
      <c r="EF132" t="e">
        <f>AND(Materials!#REF!,"AAAAAHvv94c=")</f>
        <v>#REF!</v>
      </c>
      <c r="EG132" t="e">
        <f>AND(Materials!#REF!,"AAAAAHvv94g=")</f>
        <v>#REF!</v>
      </c>
      <c r="EH132" t="e">
        <f>AND(Materials!#REF!,"AAAAAHvv94k=")</f>
        <v>#REF!</v>
      </c>
      <c r="EI132" t="e">
        <f>AND(Materials!#REF!,"AAAAAHvv94o=")</f>
        <v>#REF!</v>
      </c>
      <c r="EJ132" t="e">
        <f>AND(Materials!#REF!,"AAAAAHvv94s=")</f>
        <v>#REF!</v>
      </c>
      <c r="EK132" t="e">
        <f>AND(Materials!#REF!,"AAAAAHvv94w=")</f>
        <v>#REF!</v>
      </c>
      <c r="EL132" t="e">
        <f>IF(Materials!#REF!,"AAAAAHvv940=",0)</f>
        <v>#REF!</v>
      </c>
      <c r="EM132" t="e">
        <f>AND(Materials!#REF!,"AAAAAHvv944=")</f>
        <v>#REF!</v>
      </c>
      <c r="EN132" t="e">
        <f>AND(Materials!#REF!,"AAAAAHvv948=")</f>
        <v>#REF!</v>
      </c>
      <c r="EO132" t="e">
        <f>AND(Materials!#REF!,"AAAAAHvv95A=")</f>
        <v>#REF!</v>
      </c>
      <c r="EP132" t="e">
        <f>AND(Materials!#REF!,"AAAAAHvv95E=")</f>
        <v>#REF!</v>
      </c>
      <c r="EQ132" t="e">
        <f>AND(Materials!#REF!,"AAAAAHvv95I=")</f>
        <v>#REF!</v>
      </c>
      <c r="ER132" t="e">
        <f>AND(Materials!#REF!,"AAAAAHvv95M=")</f>
        <v>#REF!</v>
      </c>
      <c r="ES132" t="e">
        <f>AND(Materials!#REF!,"AAAAAHvv95Q=")</f>
        <v>#REF!</v>
      </c>
      <c r="ET132" t="e">
        <f>AND(Materials!#REF!,"AAAAAHvv95U=")</f>
        <v>#REF!</v>
      </c>
      <c r="EU132" t="e">
        <f>AND(Materials!#REF!,"AAAAAHvv95Y=")</f>
        <v>#REF!</v>
      </c>
      <c r="EV132" t="e">
        <f>AND(Materials!#REF!,"AAAAAHvv95c=")</f>
        <v>#REF!</v>
      </c>
      <c r="EW132" t="e">
        <f>AND(Materials!#REF!,"AAAAAHvv95g=")</f>
        <v>#REF!</v>
      </c>
      <c r="EX132" t="e">
        <f>AND(Materials!#REF!,"AAAAAHvv95k=")</f>
        <v>#REF!</v>
      </c>
      <c r="EY132" t="e">
        <f>AND(Materials!#REF!,"AAAAAHvv95o=")</f>
        <v>#REF!</v>
      </c>
      <c r="EZ132" t="e">
        <f>AND(Materials!#REF!,"AAAAAHvv95s=")</f>
        <v>#REF!</v>
      </c>
      <c r="FA132" t="e">
        <f>AND(Materials!#REF!,"AAAAAHvv95w=")</f>
        <v>#REF!</v>
      </c>
      <c r="FB132" t="e">
        <f>AND(Materials!#REF!,"AAAAAHvv950=")</f>
        <v>#REF!</v>
      </c>
      <c r="FC132" t="e">
        <f>AND(Materials!#REF!,"AAAAAHvv954=")</f>
        <v>#REF!</v>
      </c>
      <c r="FD132" t="e">
        <f>AND(Materials!#REF!,"AAAAAHvv958=")</f>
        <v>#REF!</v>
      </c>
      <c r="FE132" t="e">
        <f>AND(Materials!#REF!,"AAAAAHvv96A=")</f>
        <v>#REF!</v>
      </c>
      <c r="FF132" t="e">
        <f>AND(Materials!#REF!,"AAAAAHvv96E=")</f>
        <v>#REF!</v>
      </c>
      <c r="FG132" t="e">
        <f>AND(Materials!#REF!,"AAAAAHvv96I=")</f>
        <v>#REF!</v>
      </c>
      <c r="FH132" t="e">
        <f>AND(Materials!#REF!,"AAAAAHvv96M=")</f>
        <v>#REF!</v>
      </c>
      <c r="FI132" t="e">
        <f>AND(Materials!#REF!,"AAAAAHvv96Q=")</f>
        <v>#REF!</v>
      </c>
      <c r="FJ132" t="e">
        <f>AND(Materials!#REF!,"AAAAAHvv96U=")</f>
        <v>#REF!</v>
      </c>
      <c r="FK132" t="e">
        <f>AND(Materials!#REF!,"AAAAAHvv96Y=")</f>
        <v>#REF!</v>
      </c>
      <c r="FL132" t="e">
        <f>AND(Materials!#REF!,"AAAAAHvv96c=")</f>
        <v>#REF!</v>
      </c>
      <c r="FM132" t="e">
        <f>AND(Materials!#REF!,"AAAAAHvv96g=")</f>
        <v>#REF!</v>
      </c>
      <c r="FN132" t="e">
        <f>AND(Materials!#REF!,"AAAAAHvv96k=")</f>
        <v>#REF!</v>
      </c>
      <c r="FO132" t="e">
        <f>AND(Materials!#REF!,"AAAAAHvv96o=")</f>
        <v>#REF!</v>
      </c>
      <c r="FP132" t="e">
        <f>AND(Materials!#REF!,"AAAAAHvv96s=")</f>
        <v>#REF!</v>
      </c>
      <c r="FQ132" t="e">
        <f>AND(Materials!#REF!,"AAAAAHvv96w=")</f>
        <v>#REF!</v>
      </c>
      <c r="FR132" t="e">
        <f>AND(Materials!#REF!,"AAAAAHvv960=")</f>
        <v>#REF!</v>
      </c>
      <c r="FS132" t="e">
        <f>AND(Materials!#REF!,"AAAAAHvv964=")</f>
        <v>#REF!</v>
      </c>
      <c r="FT132" t="e">
        <f>IF(Materials!#REF!,"AAAAAHvv968=",0)</f>
        <v>#REF!</v>
      </c>
      <c r="FU132" t="e">
        <f>AND(Materials!#REF!,"AAAAAHvv97A=")</f>
        <v>#REF!</v>
      </c>
      <c r="FV132" t="e">
        <f>AND(Materials!#REF!,"AAAAAHvv97E=")</f>
        <v>#REF!</v>
      </c>
      <c r="FW132" t="e">
        <f>AND(Materials!#REF!,"AAAAAHvv97I=")</f>
        <v>#REF!</v>
      </c>
      <c r="FX132" t="e">
        <f>AND(Materials!#REF!,"AAAAAHvv97M=")</f>
        <v>#REF!</v>
      </c>
      <c r="FY132" t="e">
        <f>AND(Materials!#REF!,"AAAAAHvv97Q=")</f>
        <v>#REF!</v>
      </c>
      <c r="FZ132" t="e">
        <f>AND(Materials!#REF!,"AAAAAHvv97U=")</f>
        <v>#REF!</v>
      </c>
      <c r="GA132" t="e">
        <f>AND(Materials!#REF!,"AAAAAHvv97Y=")</f>
        <v>#REF!</v>
      </c>
      <c r="GB132" t="e">
        <f>AND(Materials!#REF!,"AAAAAHvv97c=")</f>
        <v>#REF!</v>
      </c>
      <c r="GC132" t="e">
        <f>AND(Materials!#REF!,"AAAAAHvv97g=")</f>
        <v>#REF!</v>
      </c>
      <c r="GD132" t="e">
        <f>AND(Materials!#REF!,"AAAAAHvv97k=")</f>
        <v>#REF!</v>
      </c>
      <c r="GE132" t="e">
        <f>AND(Materials!#REF!,"AAAAAHvv97o=")</f>
        <v>#REF!</v>
      </c>
      <c r="GF132" t="e">
        <f>AND(Materials!#REF!,"AAAAAHvv97s=")</f>
        <v>#REF!</v>
      </c>
      <c r="GG132" t="e">
        <f>AND(Materials!#REF!,"AAAAAHvv97w=")</f>
        <v>#REF!</v>
      </c>
      <c r="GH132" t="e">
        <f>AND(Materials!#REF!,"AAAAAHvv970=")</f>
        <v>#REF!</v>
      </c>
      <c r="GI132" t="e">
        <f>AND(Materials!#REF!,"AAAAAHvv974=")</f>
        <v>#REF!</v>
      </c>
      <c r="GJ132" t="e">
        <f>AND(Materials!#REF!,"AAAAAHvv978=")</f>
        <v>#REF!</v>
      </c>
      <c r="GK132" t="e">
        <f>AND(Materials!#REF!,"AAAAAHvv98A=")</f>
        <v>#REF!</v>
      </c>
      <c r="GL132" t="e">
        <f>AND(Materials!#REF!,"AAAAAHvv98E=")</f>
        <v>#REF!</v>
      </c>
      <c r="GM132" t="e">
        <f>AND(Materials!#REF!,"AAAAAHvv98I=")</f>
        <v>#REF!</v>
      </c>
      <c r="GN132" t="e">
        <f>AND(Materials!#REF!,"AAAAAHvv98M=")</f>
        <v>#REF!</v>
      </c>
      <c r="GO132" t="e">
        <f>AND(Materials!#REF!,"AAAAAHvv98Q=")</f>
        <v>#REF!</v>
      </c>
      <c r="GP132" t="e">
        <f>AND(Materials!#REF!,"AAAAAHvv98U=")</f>
        <v>#REF!</v>
      </c>
      <c r="GQ132" t="e">
        <f>AND(Materials!#REF!,"AAAAAHvv98Y=")</f>
        <v>#REF!</v>
      </c>
      <c r="GR132" t="e">
        <f>AND(Materials!#REF!,"AAAAAHvv98c=")</f>
        <v>#REF!</v>
      </c>
      <c r="GS132" t="e">
        <f>AND(Materials!#REF!,"AAAAAHvv98g=")</f>
        <v>#REF!</v>
      </c>
      <c r="GT132" t="e">
        <f>AND(Materials!#REF!,"AAAAAHvv98k=")</f>
        <v>#REF!</v>
      </c>
      <c r="GU132" t="e">
        <f>AND(Materials!#REF!,"AAAAAHvv98o=")</f>
        <v>#REF!</v>
      </c>
      <c r="GV132" t="e">
        <f>AND(Materials!#REF!,"AAAAAHvv98s=")</f>
        <v>#REF!</v>
      </c>
      <c r="GW132" t="e">
        <f>AND(Materials!#REF!,"AAAAAHvv98w=")</f>
        <v>#REF!</v>
      </c>
      <c r="GX132" t="e">
        <f>AND(Materials!#REF!,"AAAAAHvv980=")</f>
        <v>#REF!</v>
      </c>
      <c r="GY132" t="e">
        <f>AND(Materials!#REF!,"AAAAAHvv984=")</f>
        <v>#REF!</v>
      </c>
      <c r="GZ132" t="e">
        <f>AND(Materials!#REF!,"AAAAAHvv988=")</f>
        <v>#REF!</v>
      </c>
      <c r="HA132" t="e">
        <f>AND(Materials!#REF!,"AAAAAHvv99A=")</f>
        <v>#REF!</v>
      </c>
      <c r="HB132">
        <f>IF(Materials!3:3,"AAAAAHvv99E=",0)</f>
        <v>0</v>
      </c>
      <c r="HC132" t="e">
        <f>AND(Materials!#REF!,"AAAAAHvv99I=")</f>
        <v>#REF!</v>
      </c>
      <c r="HD132" t="e">
        <f>AND(Materials!A3,"AAAAAHvv99M=")</f>
        <v>#VALUE!</v>
      </c>
      <c r="HE132" t="e">
        <f>AND(Materials!B3,"AAAAAHvv99Q=")</f>
        <v>#VALUE!</v>
      </c>
      <c r="HF132" t="e">
        <f>AND(Materials!C3,"AAAAAHvv99U=")</f>
        <v>#VALUE!</v>
      </c>
      <c r="HG132" t="e">
        <f>AND(Materials!D3,"AAAAAHvv99Y=")</f>
        <v>#VALUE!</v>
      </c>
      <c r="HH132" t="e">
        <f>AND(Materials!E3,"AAAAAHvv99c=")</f>
        <v>#VALUE!</v>
      </c>
      <c r="HI132" t="e">
        <f>AND(Materials!F3,"AAAAAHvv99g=")</f>
        <v>#VALUE!</v>
      </c>
      <c r="HJ132" t="e">
        <f>AND(Materials!G3,"AAAAAHvv99k=")</f>
        <v>#VALUE!</v>
      </c>
      <c r="HK132" t="e">
        <f>AND(Materials!#REF!,"AAAAAHvv99o=")</f>
        <v>#REF!</v>
      </c>
      <c r="HL132" t="e">
        <f>AND(Materials!H3,"AAAAAHvv99s=")</f>
        <v>#VALUE!</v>
      </c>
      <c r="HM132" t="e">
        <f>AND(Materials!I3,"AAAAAHvv99w=")</f>
        <v>#VALUE!</v>
      </c>
      <c r="HN132" t="e">
        <f>AND(Materials!J3,"AAAAAHvv990=")</f>
        <v>#VALUE!</v>
      </c>
      <c r="HO132" t="e">
        <f>AND(Materials!K3,"AAAAAHvv994=")</f>
        <v>#VALUE!</v>
      </c>
      <c r="HP132" t="e">
        <f>AND(Materials!L3,"AAAAAHvv998=")</f>
        <v>#VALUE!</v>
      </c>
      <c r="HQ132" t="e">
        <f>AND(Materials!M3,"AAAAAHvv9+A=")</f>
        <v>#VALUE!</v>
      </c>
      <c r="HR132" t="e">
        <f>AND(Materials!N3,"AAAAAHvv9+E=")</f>
        <v>#VALUE!</v>
      </c>
      <c r="HS132" t="e">
        <f>AND(Materials!O3,"AAAAAHvv9+I=")</f>
        <v>#VALUE!</v>
      </c>
      <c r="HT132" t="e">
        <f>AND(Materials!P3,"AAAAAHvv9+M=")</f>
        <v>#VALUE!</v>
      </c>
      <c r="HU132" t="e">
        <f>AND(Materials!Q3,"AAAAAHvv9+Q=")</f>
        <v>#VALUE!</v>
      </c>
      <c r="HV132" t="e">
        <f>AND(Materials!R3,"AAAAAHvv9+U=")</f>
        <v>#VALUE!</v>
      </c>
      <c r="HW132" t="e">
        <f>AND(Materials!#REF!,"AAAAAHvv9+Y=")</f>
        <v>#REF!</v>
      </c>
      <c r="HX132" t="e">
        <f>AND(Materials!#REF!,"AAAAAHvv9+c=")</f>
        <v>#REF!</v>
      </c>
      <c r="HY132" t="e">
        <f>AND(Materials!#REF!,"AAAAAHvv9+g=")</f>
        <v>#REF!</v>
      </c>
      <c r="HZ132" t="e">
        <f>AND(Materials!#REF!,"AAAAAHvv9+k=")</f>
        <v>#REF!</v>
      </c>
      <c r="IA132" t="e">
        <f>AND(Materials!S3,"AAAAAHvv9+o=")</f>
        <v>#VALUE!</v>
      </c>
      <c r="IB132" t="e">
        <f>AND(Materials!T3,"AAAAAHvv9+s=")</f>
        <v>#VALUE!</v>
      </c>
      <c r="IC132" t="e">
        <f>AND(Materials!U3,"AAAAAHvv9+w=")</f>
        <v>#VALUE!</v>
      </c>
      <c r="ID132" t="e">
        <f>AND(Materials!V3,"AAAAAHvv9+0=")</f>
        <v>#VALUE!</v>
      </c>
      <c r="IE132" t="e">
        <f>AND(Materials!W3,"AAAAAHvv9+4=")</f>
        <v>#VALUE!</v>
      </c>
      <c r="IF132" t="e">
        <f>AND(Materials!X3,"AAAAAHvv9+8=")</f>
        <v>#VALUE!</v>
      </c>
      <c r="IG132" t="e">
        <f>AND(Materials!Y3,"AAAAAHvv9/A=")</f>
        <v>#VALUE!</v>
      </c>
      <c r="IH132" t="e">
        <f>AND(Materials!Z3,"AAAAAHvv9/E=")</f>
        <v>#VALUE!</v>
      </c>
      <c r="II132" t="e">
        <f>AND(Materials!AA3,"AAAAAHvv9/I=")</f>
        <v>#VALUE!</v>
      </c>
      <c r="IJ132">
        <f>IF(Materials!7:7,"AAAAAHvv9/M=",0)</f>
        <v>0</v>
      </c>
      <c r="IK132" t="e">
        <f>AND(Materials!#REF!,"AAAAAHvv9/Q=")</f>
        <v>#REF!</v>
      </c>
      <c r="IL132" t="e">
        <f>AND(Materials!A7,"AAAAAHvv9/U=")</f>
        <v>#VALUE!</v>
      </c>
      <c r="IM132" t="e">
        <f>AND(Materials!B7,"AAAAAHvv9/Y=")</f>
        <v>#VALUE!</v>
      </c>
      <c r="IN132" t="e">
        <f>AND(Materials!C7,"AAAAAHvv9/c=")</f>
        <v>#VALUE!</v>
      </c>
      <c r="IO132" t="e">
        <f>AND(Materials!D7,"AAAAAHvv9/g=")</f>
        <v>#VALUE!</v>
      </c>
      <c r="IP132" t="e">
        <f>AND(Materials!#REF!,"AAAAAHvv9/k=")</f>
        <v>#REF!</v>
      </c>
      <c r="IQ132" t="e">
        <f>AND(Materials!E7,"AAAAAHvv9/o=")</f>
        <v>#VALUE!</v>
      </c>
      <c r="IR132" t="e">
        <f>AND(Materials!F7,"AAAAAHvv9/s=")</f>
        <v>#VALUE!</v>
      </c>
      <c r="IS132" t="e">
        <f>AND(Materials!G7,"AAAAAHvv9/w=")</f>
        <v>#VALUE!</v>
      </c>
      <c r="IT132" t="e">
        <f>AND(Materials!#REF!,"AAAAAHvv9/0=")</f>
        <v>#REF!</v>
      </c>
      <c r="IU132" t="e">
        <f>AND(Materials!H7,"AAAAAHvv9/4=")</f>
        <v>#VALUE!</v>
      </c>
      <c r="IV132" t="e">
        <f>AND(Materials!I7,"AAAAAHvv9/8=")</f>
        <v>#VALUE!</v>
      </c>
    </row>
    <row r="133" spans="1:256" x14ac:dyDescent="0.2">
      <c r="A133" t="e">
        <f>AND(Materials!J7,"AAAAAHfb7QA=")</f>
        <v>#VALUE!</v>
      </c>
      <c r="B133" t="e">
        <f>AND(Materials!K7,"AAAAAHfb7QE=")</f>
        <v>#VALUE!</v>
      </c>
      <c r="C133" t="e">
        <f>AND(Materials!L7,"AAAAAHfb7QI=")</f>
        <v>#VALUE!</v>
      </c>
      <c r="D133" t="e">
        <f>AND(Materials!S7,"AAAAAHfb7QM=")</f>
        <v>#VALUE!</v>
      </c>
      <c r="E133" t="e">
        <f>AND(Materials!T7,"AAAAAHfb7QQ=")</f>
        <v>#VALUE!</v>
      </c>
      <c r="F133" t="e">
        <f>AND(Materials!Q7,"AAAAAHfb7QU=")</f>
        <v>#VALUE!</v>
      </c>
      <c r="G133" t="e">
        <f>AND(Materials!R7,"AAAAAHfb7QY=")</f>
        <v>#VALUE!</v>
      </c>
      <c r="H133" t="e">
        <f>AND(Materials!#REF!,"AAAAAHfb7Qc=")</f>
        <v>#REF!</v>
      </c>
      <c r="I133" t="e">
        <f>AND(Materials!#REF!,"AAAAAHfb7Qg=")</f>
        <v>#REF!</v>
      </c>
      <c r="J133" t="e">
        <f>AND(Materials!#REF!,"AAAAAHfb7Qk=")</f>
        <v>#REF!</v>
      </c>
      <c r="K133" t="e">
        <f>AND(Materials!#REF!,"AAAAAHfb7Qo=")</f>
        <v>#REF!</v>
      </c>
      <c r="L133" t="e">
        <f>AND(Materials!#REF!,"AAAAAHfb7Qs=")</f>
        <v>#REF!</v>
      </c>
      <c r="M133" t="e">
        <f>AND(Materials!#REF!,"AAAAAHfb7Qw=")</f>
        <v>#REF!</v>
      </c>
      <c r="N133" t="e">
        <f>AND(Materials!#REF!,"AAAAAHfb7Q0=")</f>
        <v>#REF!</v>
      </c>
      <c r="O133" t="e">
        <f>AND(Materials!#REF!,"AAAAAHfb7Q4=")</f>
        <v>#REF!</v>
      </c>
      <c r="P133" t="e">
        <f>AND(Materials!U7,"AAAAAHfb7Q8=")</f>
        <v>#VALUE!</v>
      </c>
      <c r="Q133" t="e">
        <f>AND(Materials!V7,"AAAAAHfb7RA=")</f>
        <v>#VALUE!</v>
      </c>
      <c r="R133" t="e">
        <f>AND(Materials!W7,"AAAAAHfb7RE=")</f>
        <v>#VALUE!</v>
      </c>
      <c r="S133" t="e">
        <f>AND(Materials!X7,"AAAAAHfb7RI=")</f>
        <v>#VALUE!</v>
      </c>
      <c r="T133" t="e">
        <f>AND(Materials!Y7,"AAAAAHfb7RM=")</f>
        <v>#VALUE!</v>
      </c>
      <c r="U133" t="e">
        <f>AND(Materials!Z7,"AAAAAHfb7RQ=")</f>
        <v>#VALUE!</v>
      </c>
      <c r="V133">
        <f>IF(Materials!10:10,"AAAAAHfb7RU=",0)</f>
        <v>0</v>
      </c>
      <c r="W133" t="e">
        <f>AND(Materials!#REF!,"AAAAAHfb7RY=")</f>
        <v>#REF!</v>
      </c>
      <c r="X133" t="e">
        <f>AND(Materials!A10,"AAAAAHfb7Rc=")</f>
        <v>#VALUE!</v>
      </c>
      <c r="Y133" t="e">
        <f>AND(Materials!B10,"AAAAAHfb7Rg=")</f>
        <v>#VALUE!</v>
      </c>
      <c r="Z133" t="e">
        <f>AND(Materials!C10,"AAAAAHfb7Rk=")</f>
        <v>#VALUE!</v>
      </c>
      <c r="AA133" t="e">
        <f>AND(Materials!D10,"AAAAAHfb7Ro=")</f>
        <v>#VALUE!</v>
      </c>
      <c r="AB133" t="e">
        <f>AND(Materials!#REF!,"AAAAAHfb7Rs=")</f>
        <v>#REF!</v>
      </c>
      <c r="AC133" t="e">
        <f>AND(Materials!E10,"AAAAAHfb7Rw=")</f>
        <v>#VALUE!</v>
      </c>
      <c r="AD133" t="e">
        <f>AND(Materials!F10,"AAAAAHfb7R0=")</f>
        <v>#VALUE!</v>
      </c>
      <c r="AE133" t="e">
        <f>AND(Materials!G10,"AAAAAHfb7R4=")</f>
        <v>#VALUE!</v>
      </c>
      <c r="AF133" t="e">
        <f>AND(Materials!#REF!,"AAAAAHfb7R8=")</f>
        <v>#REF!</v>
      </c>
      <c r="AG133" t="e">
        <f>AND(Materials!H10,"AAAAAHfb7SA=")</f>
        <v>#VALUE!</v>
      </c>
      <c r="AH133" t="e">
        <f>AND(Materials!I10,"AAAAAHfb7SE=")</f>
        <v>#VALUE!</v>
      </c>
      <c r="AI133" t="e">
        <f>AND(Materials!J10,"AAAAAHfb7SI=")</f>
        <v>#VALUE!</v>
      </c>
      <c r="AJ133" t="e">
        <f>AND(Materials!K10,"AAAAAHfb7SM=")</f>
        <v>#VALUE!</v>
      </c>
      <c r="AK133" t="e">
        <f>AND(Materials!L10,"AAAAAHfb7SQ=")</f>
        <v>#VALUE!</v>
      </c>
      <c r="AL133" t="e">
        <f>AND(Materials!S10,"AAAAAHfb7SU=")</f>
        <v>#VALUE!</v>
      </c>
      <c r="AM133" t="e">
        <f>AND(Materials!T10,"AAAAAHfb7SY=")</f>
        <v>#VALUE!</v>
      </c>
      <c r="AN133" t="e">
        <f>AND(Materials!Q10,"AAAAAHfb7Sc=")</f>
        <v>#VALUE!</v>
      </c>
      <c r="AO133" t="e">
        <f>AND(Materials!R10,"AAAAAHfb7Sg=")</f>
        <v>#VALUE!</v>
      </c>
      <c r="AP133" t="e">
        <f>AND(Materials!#REF!,"AAAAAHfb7Sk=")</f>
        <v>#REF!</v>
      </c>
      <c r="AQ133" t="e">
        <f>AND(Materials!#REF!,"AAAAAHfb7So=")</f>
        <v>#REF!</v>
      </c>
      <c r="AR133" t="e">
        <f>AND(Materials!#REF!,"AAAAAHfb7Ss=")</f>
        <v>#REF!</v>
      </c>
      <c r="AS133" t="e">
        <f>AND(Materials!#REF!,"AAAAAHfb7Sw=")</f>
        <v>#REF!</v>
      </c>
      <c r="AT133" t="e">
        <f>AND(Materials!#REF!,"AAAAAHfb7S0=")</f>
        <v>#REF!</v>
      </c>
      <c r="AU133" t="e">
        <f>AND(Materials!#REF!,"AAAAAHfb7S4=")</f>
        <v>#REF!</v>
      </c>
      <c r="AV133" t="e">
        <f>AND(Materials!#REF!,"AAAAAHfb7S8=")</f>
        <v>#REF!</v>
      </c>
      <c r="AW133" t="e">
        <f>AND(Materials!#REF!,"AAAAAHfb7TA=")</f>
        <v>#REF!</v>
      </c>
      <c r="AX133" t="e">
        <f>AND(Materials!U10,"AAAAAHfb7TE=")</f>
        <v>#VALUE!</v>
      </c>
      <c r="AY133" t="e">
        <f>AND(Materials!V10,"AAAAAHfb7TI=")</f>
        <v>#VALUE!</v>
      </c>
      <c r="AZ133" t="e">
        <f>AND(Materials!W10,"AAAAAHfb7TM=")</f>
        <v>#VALUE!</v>
      </c>
      <c r="BA133" t="e">
        <f>AND(Materials!X10,"AAAAAHfb7TQ=")</f>
        <v>#VALUE!</v>
      </c>
      <c r="BB133" t="e">
        <f>AND(Materials!Y10,"AAAAAHfb7TU=")</f>
        <v>#VALUE!</v>
      </c>
      <c r="BC133" t="e">
        <f>AND(Materials!Z10,"AAAAAHfb7TY=")</f>
        <v>#VALUE!</v>
      </c>
      <c r="BD133">
        <f>IF(Materials!8:8,"AAAAAHfb7Tc=",0)</f>
        <v>0</v>
      </c>
      <c r="BE133" t="e">
        <f>AND(Materials!#REF!,"AAAAAHfb7Tg=")</f>
        <v>#REF!</v>
      </c>
      <c r="BF133" t="e">
        <f>AND(Materials!A8,"AAAAAHfb7Tk=")</f>
        <v>#VALUE!</v>
      </c>
      <c r="BG133" t="e">
        <f>AND(Materials!B8,"AAAAAHfb7To=")</f>
        <v>#VALUE!</v>
      </c>
      <c r="BH133" t="e">
        <f>AND(Materials!C8,"AAAAAHfb7Ts=")</f>
        <v>#VALUE!</v>
      </c>
      <c r="BI133" t="e">
        <f>AND(Materials!D8,"AAAAAHfb7Tw=")</f>
        <v>#VALUE!</v>
      </c>
      <c r="BJ133" t="e">
        <f>AND(Materials!#REF!,"AAAAAHfb7T0=")</f>
        <v>#REF!</v>
      </c>
      <c r="BK133" t="e">
        <f>AND(Materials!E8,"AAAAAHfb7T4=")</f>
        <v>#VALUE!</v>
      </c>
      <c r="BL133" t="e">
        <f>AND(Materials!F8,"AAAAAHfb7T8=")</f>
        <v>#VALUE!</v>
      </c>
      <c r="BM133" t="e">
        <f>AND(Materials!G8,"AAAAAHfb7UA=")</f>
        <v>#VALUE!</v>
      </c>
      <c r="BN133" t="e">
        <f>AND(Materials!#REF!,"AAAAAHfb7UE=")</f>
        <v>#REF!</v>
      </c>
      <c r="BO133" t="e">
        <f>AND(Materials!H8,"AAAAAHfb7UI=")</f>
        <v>#VALUE!</v>
      </c>
      <c r="BP133" t="e">
        <f>AND(Materials!I8,"AAAAAHfb7UM=")</f>
        <v>#VALUE!</v>
      </c>
      <c r="BQ133" t="e">
        <f>AND(Materials!J8,"AAAAAHfb7UQ=")</f>
        <v>#VALUE!</v>
      </c>
      <c r="BR133" t="e">
        <f>AND(Materials!K8,"AAAAAHfb7UU=")</f>
        <v>#VALUE!</v>
      </c>
      <c r="BS133" t="e">
        <f>AND(Materials!L8,"AAAAAHfb7UY=")</f>
        <v>#VALUE!</v>
      </c>
      <c r="BT133" t="e">
        <f>AND(Materials!S8,"AAAAAHfb7Uc=")</f>
        <v>#VALUE!</v>
      </c>
      <c r="BU133" t="e">
        <f>AND(Materials!T8,"AAAAAHfb7Ug=")</f>
        <v>#VALUE!</v>
      </c>
      <c r="BV133" t="e">
        <f>AND(Materials!Q8,"AAAAAHfb7Uk=")</f>
        <v>#VALUE!</v>
      </c>
      <c r="BW133" t="e">
        <f>AND(Materials!R8,"AAAAAHfb7Uo=")</f>
        <v>#VALUE!</v>
      </c>
      <c r="BX133" t="e">
        <f>AND(Materials!#REF!,"AAAAAHfb7Us=")</f>
        <v>#REF!</v>
      </c>
      <c r="BY133" t="e">
        <f>AND(Materials!#REF!,"AAAAAHfb7Uw=")</f>
        <v>#REF!</v>
      </c>
      <c r="BZ133" t="e">
        <f>AND(Materials!#REF!,"AAAAAHfb7U0=")</f>
        <v>#REF!</v>
      </c>
      <c r="CA133" t="e">
        <f>AND(Materials!#REF!,"AAAAAHfb7U4=")</f>
        <v>#REF!</v>
      </c>
      <c r="CB133" t="e">
        <f>AND(Materials!#REF!,"AAAAAHfb7U8=")</f>
        <v>#REF!</v>
      </c>
      <c r="CC133" t="e">
        <f>AND(Materials!#REF!,"AAAAAHfb7VA=")</f>
        <v>#REF!</v>
      </c>
      <c r="CD133" t="e">
        <f>AND(Materials!#REF!,"AAAAAHfb7VE=")</f>
        <v>#REF!</v>
      </c>
      <c r="CE133" t="e">
        <f>AND(Materials!#REF!,"AAAAAHfb7VI=")</f>
        <v>#REF!</v>
      </c>
      <c r="CF133" t="e">
        <f>AND(Materials!U8,"AAAAAHfb7VM=")</f>
        <v>#VALUE!</v>
      </c>
      <c r="CG133" t="e">
        <f>AND(Materials!V8,"AAAAAHfb7VQ=")</f>
        <v>#VALUE!</v>
      </c>
      <c r="CH133" t="e">
        <f>AND(Materials!W8,"AAAAAHfb7VU=")</f>
        <v>#VALUE!</v>
      </c>
      <c r="CI133" t="e">
        <f>AND(Materials!X8,"AAAAAHfb7VY=")</f>
        <v>#VALUE!</v>
      </c>
      <c r="CJ133" t="e">
        <f>AND(Materials!Y8,"AAAAAHfb7Vc=")</f>
        <v>#VALUE!</v>
      </c>
      <c r="CK133" t="e">
        <f>AND(Materials!Z8,"AAAAAHfb7Vg=")</f>
        <v>#VALUE!</v>
      </c>
      <c r="CL133">
        <f>IF(Materials!9:9,"AAAAAHfb7Vk=",0)</f>
        <v>0</v>
      </c>
      <c r="CM133" t="e">
        <f>AND(Materials!#REF!,"AAAAAHfb7Vo=")</f>
        <v>#REF!</v>
      </c>
      <c r="CN133" t="e">
        <f>AND(Materials!A9,"AAAAAHfb7Vs=")</f>
        <v>#VALUE!</v>
      </c>
      <c r="CO133" t="e">
        <f>AND(Materials!B9,"AAAAAHfb7Vw=")</f>
        <v>#VALUE!</v>
      </c>
      <c r="CP133" t="e">
        <f>AND(Materials!C9,"AAAAAHfb7V0=")</f>
        <v>#VALUE!</v>
      </c>
      <c r="CQ133" t="e">
        <f>AND(Materials!D9,"AAAAAHfb7V4=")</f>
        <v>#VALUE!</v>
      </c>
      <c r="CR133" t="e">
        <f>AND(Materials!#REF!,"AAAAAHfb7V8=")</f>
        <v>#REF!</v>
      </c>
      <c r="CS133" t="e">
        <f>AND(Materials!E9,"AAAAAHfb7WA=")</f>
        <v>#VALUE!</v>
      </c>
      <c r="CT133" t="e">
        <f>AND(Materials!F9,"AAAAAHfb7WE=")</f>
        <v>#VALUE!</v>
      </c>
      <c r="CU133" t="e">
        <f>AND(Materials!G9,"AAAAAHfb7WI=")</f>
        <v>#VALUE!</v>
      </c>
      <c r="CV133" t="e">
        <f>AND(Materials!#REF!,"AAAAAHfb7WM=")</f>
        <v>#REF!</v>
      </c>
      <c r="CW133" t="e">
        <f>AND(Materials!H9,"AAAAAHfb7WQ=")</f>
        <v>#VALUE!</v>
      </c>
      <c r="CX133" t="e">
        <f>AND(Materials!I9,"AAAAAHfb7WU=")</f>
        <v>#VALUE!</v>
      </c>
      <c r="CY133" t="e">
        <f>AND(Materials!J9,"AAAAAHfb7WY=")</f>
        <v>#VALUE!</v>
      </c>
      <c r="CZ133" t="e">
        <f>AND(Materials!K9,"AAAAAHfb7Wc=")</f>
        <v>#VALUE!</v>
      </c>
      <c r="DA133" t="e">
        <f>AND(Materials!L9,"AAAAAHfb7Wg=")</f>
        <v>#VALUE!</v>
      </c>
      <c r="DB133" t="e">
        <f>AND(Materials!S9,"AAAAAHfb7Wk=")</f>
        <v>#VALUE!</v>
      </c>
      <c r="DC133" t="e">
        <f>AND(Materials!T9,"AAAAAHfb7Wo=")</f>
        <v>#VALUE!</v>
      </c>
      <c r="DD133" t="e">
        <f>AND(Materials!Q9,"AAAAAHfb7Ws=")</f>
        <v>#VALUE!</v>
      </c>
      <c r="DE133" t="e">
        <f>AND(Materials!R9,"AAAAAHfb7Ww=")</f>
        <v>#VALUE!</v>
      </c>
      <c r="DF133" t="e">
        <f>AND(Materials!#REF!,"AAAAAHfb7W0=")</f>
        <v>#REF!</v>
      </c>
      <c r="DG133" t="e">
        <f>AND(Materials!#REF!,"AAAAAHfb7W4=")</f>
        <v>#REF!</v>
      </c>
      <c r="DH133" t="e">
        <f>AND(Materials!#REF!,"AAAAAHfb7W8=")</f>
        <v>#REF!</v>
      </c>
      <c r="DI133" t="e">
        <f>AND(Materials!#REF!,"AAAAAHfb7XA=")</f>
        <v>#REF!</v>
      </c>
      <c r="DJ133" t="e">
        <f>AND(Materials!#REF!,"AAAAAHfb7XE=")</f>
        <v>#REF!</v>
      </c>
      <c r="DK133" t="e">
        <f>AND(Materials!#REF!,"AAAAAHfb7XI=")</f>
        <v>#REF!</v>
      </c>
      <c r="DL133" t="e">
        <f>AND(Materials!#REF!,"AAAAAHfb7XM=")</f>
        <v>#REF!</v>
      </c>
      <c r="DM133" t="e">
        <f>AND(Materials!#REF!,"AAAAAHfb7XQ=")</f>
        <v>#REF!</v>
      </c>
      <c r="DN133" t="e">
        <f>AND(Materials!U9,"AAAAAHfb7XU=")</f>
        <v>#VALUE!</v>
      </c>
      <c r="DO133" t="e">
        <f>AND(Materials!V9,"AAAAAHfb7XY=")</f>
        <v>#VALUE!</v>
      </c>
      <c r="DP133" t="e">
        <f>AND(Materials!W9,"AAAAAHfb7Xc=")</f>
        <v>#VALUE!</v>
      </c>
      <c r="DQ133" t="e">
        <f>AND(Materials!X9,"AAAAAHfb7Xg=")</f>
        <v>#VALUE!</v>
      </c>
      <c r="DR133" t="e">
        <f>AND(Materials!Y9,"AAAAAHfb7Xk=")</f>
        <v>#VALUE!</v>
      </c>
      <c r="DS133" t="e">
        <f>AND(Materials!Z9,"AAAAAHfb7Xo=")</f>
        <v>#VALUE!</v>
      </c>
      <c r="DT133" t="e">
        <f>IF(Materials!#REF!,"AAAAAHfb7Xs=",0)</f>
        <v>#REF!</v>
      </c>
      <c r="DU133" t="e">
        <f>AND(Materials!#REF!,"AAAAAHfb7Xw=")</f>
        <v>#REF!</v>
      </c>
      <c r="DV133" t="e">
        <f>AND(Materials!#REF!,"AAAAAHfb7X0=")</f>
        <v>#REF!</v>
      </c>
      <c r="DW133" t="e">
        <f>AND(Materials!#REF!,"AAAAAHfb7X4=")</f>
        <v>#REF!</v>
      </c>
      <c r="DX133" t="e">
        <f>AND(Materials!#REF!,"AAAAAHfb7X8=")</f>
        <v>#REF!</v>
      </c>
      <c r="DY133" t="e">
        <f>AND(Materials!#REF!,"AAAAAHfb7YA=")</f>
        <v>#REF!</v>
      </c>
      <c r="DZ133" t="e">
        <f>AND(Materials!#REF!,"AAAAAHfb7YE=")</f>
        <v>#REF!</v>
      </c>
      <c r="EA133" t="e">
        <f>AND(Materials!#REF!,"AAAAAHfb7YI=")</f>
        <v>#REF!</v>
      </c>
      <c r="EB133" t="e">
        <f>AND(Materials!#REF!,"AAAAAHfb7YM=")</f>
        <v>#REF!</v>
      </c>
      <c r="EC133" t="e">
        <f>AND(Materials!#REF!,"AAAAAHfb7YQ=")</f>
        <v>#REF!</v>
      </c>
      <c r="ED133" t="e">
        <f>AND(Materials!#REF!,"AAAAAHfb7YU=")</f>
        <v>#REF!</v>
      </c>
      <c r="EE133" t="e">
        <f>AND(Materials!#REF!,"AAAAAHfb7YY=")</f>
        <v>#REF!</v>
      </c>
      <c r="EF133" t="e">
        <f>AND(Materials!#REF!,"AAAAAHfb7Yc=")</f>
        <v>#REF!</v>
      </c>
      <c r="EG133" t="e">
        <f>AND(Materials!#REF!,"AAAAAHfb7Yg=")</f>
        <v>#REF!</v>
      </c>
      <c r="EH133" t="e">
        <f>AND(Materials!#REF!,"AAAAAHfb7Yk=")</f>
        <v>#REF!</v>
      </c>
      <c r="EI133" t="e">
        <f>AND(Materials!#REF!,"AAAAAHfb7Yo=")</f>
        <v>#REF!</v>
      </c>
      <c r="EJ133" t="e">
        <f>AND(Materials!#REF!,"AAAAAHfb7Ys=")</f>
        <v>#REF!</v>
      </c>
      <c r="EK133" t="e">
        <f>AND(Materials!#REF!,"AAAAAHfb7Yw=")</f>
        <v>#REF!</v>
      </c>
      <c r="EL133" t="e">
        <f>AND(Materials!#REF!,"AAAAAHfb7Y0=")</f>
        <v>#REF!</v>
      </c>
      <c r="EM133" t="e">
        <f>AND(Materials!#REF!,"AAAAAHfb7Y4=")</f>
        <v>#REF!</v>
      </c>
      <c r="EN133" t="e">
        <f>AND(Materials!#REF!,"AAAAAHfb7Y8=")</f>
        <v>#REF!</v>
      </c>
      <c r="EO133" t="e">
        <f>AND(Materials!#REF!,"AAAAAHfb7ZA=")</f>
        <v>#REF!</v>
      </c>
      <c r="EP133" t="e">
        <f>AND(Materials!#REF!,"AAAAAHfb7ZE=")</f>
        <v>#REF!</v>
      </c>
      <c r="EQ133" t="e">
        <f>AND(Materials!#REF!,"AAAAAHfb7ZI=")</f>
        <v>#REF!</v>
      </c>
      <c r="ER133" t="e">
        <f>AND(Materials!#REF!,"AAAAAHfb7ZM=")</f>
        <v>#REF!</v>
      </c>
      <c r="ES133" t="e">
        <f>AND(Materials!#REF!,"AAAAAHfb7ZQ=")</f>
        <v>#REF!</v>
      </c>
      <c r="ET133" t="e">
        <f>AND(Materials!#REF!,"AAAAAHfb7ZU=")</f>
        <v>#REF!</v>
      </c>
      <c r="EU133" t="e">
        <f>AND(Materials!#REF!,"AAAAAHfb7ZY=")</f>
        <v>#REF!</v>
      </c>
      <c r="EV133" t="e">
        <f>AND(Materials!#REF!,"AAAAAHfb7Zc=")</f>
        <v>#REF!</v>
      </c>
      <c r="EW133" t="e">
        <f>AND(Materials!#REF!,"AAAAAHfb7Zg=")</f>
        <v>#REF!</v>
      </c>
      <c r="EX133" t="e">
        <f>AND(Materials!#REF!,"AAAAAHfb7Zk=")</f>
        <v>#REF!</v>
      </c>
      <c r="EY133" t="e">
        <f>AND(Materials!#REF!,"AAAAAHfb7Zo=")</f>
        <v>#REF!</v>
      </c>
      <c r="EZ133" t="e">
        <f>AND(Materials!#REF!,"AAAAAHfb7Zs=")</f>
        <v>#REF!</v>
      </c>
      <c r="FA133" t="e">
        <f>AND(Materials!#REF!,"AAAAAHfb7Zw=")</f>
        <v>#REF!</v>
      </c>
      <c r="FB133" t="e">
        <f>IF(Materials!#REF!,"AAAAAHfb7Z0=",0)</f>
        <v>#REF!</v>
      </c>
      <c r="FC133" t="e">
        <f>AND(Materials!#REF!,"AAAAAHfb7Z4=")</f>
        <v>#REF!</v>
      </c>
      <c r="FD133" t="e">
        <f>AND(Materials!#REF!,"AAAAAHfb7Z8=")</f>
        <v>#REF!</v>
      </c>
      <c r="FE133" t="e">
        <f>AND(Materials!#REF!,"AAAAAHfb7aA=")</f>
        <v>#REF!</v>
      </c>
      <c r="FF133" t="e">
        <f>AND(Materials!#REF!,"AAAAAHfb7aE=")</f>
        <v>#REF!</v>
      </c>
      <c r="FG133" t="e">
        <f>AND(Materials!#REF!,"AAAAAHfb7aI=")</f>
        <v>#REF!</v>
      </c>
      <c r="FH133" t="e">
        <f>AND(Materials!#REF!,"AAAAAHfb7aM=")</f>
        <v>#REF!</v>
      </c>
      <c r="FI133" t="e">
        <f>AND(Materials!#REF!,"AAAAAHfb7aQ=")</f>
        <v>#REF!</v>
      </c>
      <c r="FJ133" t="e">
        <f>AND(Materials!#REF!,"AAAAAHfb7aU=")</f>
        <v>#REF!</v>
      </c>
      <c r="FK133" t="e">
        <f>AND(Materials!#REF!,"AAAAAHfb7aY=")</f>
        <v>#REF!</v>
      </c>
      <c r="FL133" t="e">
        <f>AND(Materials!#REF!,"AAAAAHfb7ac=")</f>
        <v>#REF!</v>
      </c>
      <c r="FM133" t="e">
        <f>AND(Materials!#REF!,"AAAAAHfb7ag=")</f>
        <v>#REF!</v>
      </c>
      <c r="FN133" t="e">
        <f>AND(Materials!#REF!,"AAAAAHfb7ak=")</f>
        <v>#REF!</v>
      </c>
      <c r="FO133" t="e">
        <f>AND(Materials!#REF!,"AAAAAHfb7ao=")</f>
        <v>#REF!</v>
      </c>
      <c r="FP133" t="e">
        <f>AND(Materials!#REF!,"AAAAAHfb7as=")</f>
        <v>#REF!</v>
      </c>
      <c r="FQ133" t="e">
        <f>AND(Materials!#REF!,"AAAAAHfb7aw=")</f>
        <v>#REF!</v>
      </c>
      <c r="FR133" t="e">
        <f>AND(Materials!#REF!,"AAAAAHfb7a0=")</f>
        <v>#REF!</v>
      </c>
      <c r="FS133" t="e">
        <f>AND(Materials!#REF!,"AAAAAHfb7a4=")</f>
        <v>#REF!</v>
      </c>
      <c r="FT133" t="e">
        <f>AND(Materials!#REF!,"AAAAAHfb7a8=")</f>
        <v>#REF!</v>
      </c>
      <c r="FU133" t="e">
        <f>AND(Materials!#REF!,"AAAAAHfb7bA=")</f>
        <v>#REF!</v>
      </c>
      <c r="FV133" t="e">
        <f>AND(Materials!#REF!,"AAAAAHfb7bE=")</f>
        <v>#REF!</v>
      </c>
      <c r="FW133" t="e">
        <f>AND(Materials!#REF!,"AAAAAHfb7bI=")</f>
        <v>#REF!</v>
      </c>
      <c r="FX133" t="e">
        <f>AND(Materials!#REF!,"AAAAAHfb7bM=")</f>
        <v>#REF!</v>
      </c>
      <c r="FY133" t="e">
        <f>AND(Materials!#REF!,"AAAAAHfb7bQ=")</f>
        <v>#REF!</v>
      </c>
      <c r="FZ133" t="e">
        <f>AND(Materials!#REF!,"AAAAAHfb7bU=")</f>
        <v>#REF!</v>
      </c>
      <c r="GA133" t="e">
        <f>AND(Materials!#REF!,"AAAAAHfb7bY=")</f>
        <v>#REF!</v>
      </c>
      <c r="GB133" t="e">
        <f>AND(Materials!#REF!,"AAAAAHfb7bc=")</f>
        <v>#REF!</v>
      </c>
      <c r="GC133" t="e">
        <f>AND(Materials!#REF!,"AAAAAHfb7bg=")</f>
        <v>#REF!</v>
      </c>
      <c r="GD133" t="e">
        <f>AND(Materials!#REF!,"AAAAAHfb7bk=")</f>
        <v>#REF!</v>
      </c>
      <c r="GE133" t="e">
        <f>AND(Materials!#REF!,"AAAAAHfb7bo=")</f>
        <v>#REF!</v>
      </c>
      <c r="GF133" t="e">
        <f>AND(Materials!#REF!,"AAAAAHfb7bs=")</f>
        <v>#REF!</v>
      </c>
      <c r="GG133" t="e">
        <f>AND(Materials!#REF!,"AAAAAHfb7bw=")</f>
        <v>#REF!</v>
      </c>
      <c r="GH133" t="e">
        <f>AND(Materials!#REF!,"AAAAAHfb7b0=")</f>
        <v>#REF!</v>
      </c>
      <c r="GI133" t="e">
        <f>AND(Materials!#REF!,"AAAAAHfb7b4=")</f>
        <v>#REF!</v>
      </c>
      <c r="GJ133">
        <f>IF(Materials!15:15,"AAAAAHfb7b8=",0)</f>
        <v>0</v>
      </c>
      <c r="GK133" t="e">
        <f>AND(Materials!#REF!,"AAAAAHfb7cA=")</f>
        <v>#REF!</v>
      </c>
      <c r="GL133" t="e">
        <f>AND(Materials!A15,"AAAAAHfb7cE=")</f>
        <v>#VALUE!</v>
      </c>
      <c r="GM133" t="e">
        <f>AND(Materials!B15,"AAAAAHfb7cI=")</f>
        <v>#VALUE!</v>
      </c>
      <c r="GN133" t="e">
        <f>AND(Materials!C15,"AAAAAHfb7cM=")</f>
        <v>#VALUE!</v>
      </c>
      <c r="GO133" t="e">
        <f>AND(Materials!D15,"AAAAAHfb7cQ=")</f>
        <v>#VALUE!</v>
      </c>
      <c r="GP133" t="e">
        <f>AND(Materials!#REF!,"AAAAAHfb7cU=")</f>
        <v>#REF!</v>
      </c>
      <c r="GQ133" t="e">
        <f>AND(Materials!E15,"AAAAAHfb7cY=")</f>
        <v>#VALUE!</v>
      </c>
      <c r="GR133" t="e">
        <f>AND(Materials!F15,"AAAAAHfb7cc=")</f>
        <v>#VALUE!</v>
      </c>
      <c r="GS133" t="e">
        <f>AND(Materials!G15,"AAAAAHfb7cg=")</f>
        <v>#VALUE!</v>
      </c>
      <c r="GT133" t="e">
        <f>AND(Materials!#REF!,"AAAAAHfb7ck=")</f>
        <v>#REF!</v>
      </c>
      <c r="GU133" t="e">
        <f>AND(Materials!H15,"AAAAAHfb7co=")</f>
        <v>#VALUE!</v>
      </c>
      <c r="GV133" t="e">
        <f>AND(Materials!I15,"AAAAAHfb7cs=")</f>
        <v>#VALUE!</v>
      </c>
      <c r="GW133" t="e">
        <f>AND(Materials!J15,"AAAAAHfb7cw=")</f>
        <v>#VALUE!</v>
      </c>
      <c r="GX133" t="e">
        <f>AND(Materials!K15,"AAAAAHfb7c0=")</f>
        <v>#VALUE!</v>
      </c>
      <c r="GY133" t="e">
        <f>AND(Materials!L15,"AAAAAHfb7c4=")</f>
        <v>#VALUE!</v>
      </c>
      <c r="GZ133" t="e">
        <f>AND(Materials!S15,"AAAAAHfb7c8=")</f>
        <v>#VALUE!</v>
      </c>
      <c r="HA133" t="e">
        <f>AND(Materials!T15,"AAAAAHfb7dA=")</f>
        <v>#VALUE!</v>
      </c>
      <c r="HB133" t="e">
        <f>AND(Materials!Q15,"AAAAAHfb7dE=")</f>
        <v>#VALUE!</v>
      </c>
      <c r="HC133" t="e">
        <f>AND(Materials!R15,"AAAAAHfb7dI=")</f>
        <v>#VALUE!</v>
      </c>
      <c r="HD133" t="e">
        <f>AND(Materials!#REF!,"AAAAAHfb7dM=")</f>
        <v>#REF!</v>
      </c>
      <c r="HE133" t="e">
        <f>AND(Materials!#REF!,"AAAAAHfb7dQ=")</f>
        <v>#REF!</v>
      </c>
      <c r="HF133" t="e">
        <f>AND(Materials!#REF!,"AAAAAHfb7dU=")</f>
        <v>#REF!</v>
      </c>
      <c r="HG133" t="e">
        <f>AND(Materials!#REF!,"AAAAAHfb7dY=")</f>
        <v>#REF!</v>
      </c>
      <c r="HH133" t="e">
        <f>AND(Materials!#REF!,"AAAAAHfb7dc=")</f>
        <v>#REF!</v>
      </c>
      <c r="HI133" t="e">
        <f>AND(Materials!#REF!,"AAAAAHfb7dg=")</f>
        <v>#REF!</v>
      </c>
      <c r="HJ133" t="e">
        <f>AND(Materials!#REF!,"AAAAAHfb7dk=")</f>
        <v>#REF!</v>
      </c>
      <c r="HK133" t="e">
        <f>AND(Materials!#REF!,"AAAAAHfb7do=")</f>
        <v>#REF!</v>
      </c>
      <c r="HL133" t="e">
        <f>AND(Materials!U15,"AAAAAHfb7ds=")</f>
        <v>#VALUE!</v>
      </c>
      <c r="HM133" t="e">
        <f>AND(Materials!V15,"AAAAAHfb7dw=")</f>
        <v>#VALUE!</v>
      </c>
      <c r="HN133" t="e">
        <f>AND(Materials!W15,"AAAAAHfb7d0=")</f>
        <v>#VALUE!</v>
      </c>
      <c r="HO133" t="e">
        <f>AND(Materials!X15,"AAAAAHfb7d4=")</f>
        <v>#VALUE!</v>
      </c>
      <c r="HP133" t="e">
        <f>AND(Materials!Y15,"AAAAAHfb7d8=")</f>
        <v>#VALUE!</v>
      </c>
      <c r="HQ133" t="e">
        <f>AND(Materials!Z15,"AAAAAHfb7eA=")</f>
        <v>#VALUE!</v>
      </c>
      <c r="HR133">
        <f>IF(Materials!13:13,"AAAAAHfb7eE=",0)</f>
        <v>0</v>
      </c>
      <c r="HS133" t="e">
        <f>AND(Materials!#REF!,"AAAAAHfb7eI=")</f>
        <v>#REF!</v>
      </c>
      <c r="HT133" t="e">
        <f>AND(Materials!A13,"AAAAAHfb7eM=")</f>
        <v>#VALUE!</v>
      </c>
      <c r="HU133" t="e">
        <f>AND(Materials!B13,"AAAAAHfb7eQ=")</f>
        <v>#VALUE!</v>
      </c>
      <c r="HV133" t="e">
        <f>AND(Materials!C13,"AAAAAHfb7eU=")</f>
        <v>#VALUE!</v>
      </c>
      <c r="HW133" t="e">
        <f>AND(Materials!D13,"AAAAAHfb7eY=")</f>
        <v>#VALUE!</v>
      </c>
      <c r="HX133" t="e">
        <f>AND(Materials!#REF!,"AAAAAHfb7ec=")</f>
        <v>#REF!</v>
      </c>
      <c r="HY133" t="e">
        <f>AND(Materials!E13,"AAAAAHfb7eg=")</f>
        <v>#VALUE!</v>
      </c>
      <c r="HZ133" t="e">
        <f>AND(Materials!F13,"AAAAAHfb7ek=")</f>
        <v>#VALUE!</v>
      </c>
      <c r="IA133" t="e">
        <f>AND(Materials!G13,"AAAAAHfb7eo=")</f>
        <v>#VALUE!</v>
      </c>
      <c r="IB133" t="e">
        <f>AND(Materials!#REF!,"AAAAAHfb7es=")</f>
        <v>#REF!</v>
      </c>
      <c r="IC133" t="e">
        <f>AND(Materials!H13,"AAAAAHfb7ew=")</f>
        <v>#VALUE!</v>
      </c>
      <c r="ID133" t="e">
        <f>AND(Materials!I13,"AAAAAHfb7e0=")</f>
        <v>#VALUE!</v>
      </c>
      <c r="IE133" t="e">
        <f>AND(Materials!J13,"AAAAAHfb7e4=")</f>
        <v>#VALUE!</v>
      </c>
      <c r="IF133" t="e">
        <f>AND(Materials!K13,"AAAAAHfb7e8=")</f>
        <v>#VALUE!</v>
      </c>
      <c r="IG133" t="e">
        <f>AND(Materials!L13,"AAAAAHfb7fA=")</f>
        <v>#VALUE!</v>
      </c>
      <c r="IH133" t="e">
        <f>AND(Materials!S13,"AAAAAHfb7fE=")</f>
        <v>#VALUE!</v>
      </c>
      <c r="II133" t="e">
        <f>AND(Materials!T13,"AAAAAHfb7fI=")</f>
        <v>#VALUE!</v>
      </c>
      <c r="IJ133" t="e">
        <f>AND(Materials!Q13,"AAAAAHfb7fM=")</f>
        <v>#VALUE!</v>
      </c>
      <c r="IK133" t="e">
        <f>AND(Materials!R13,"AAAAAHfb7fQ=")</f>
        <v>#VALUE!</v>
      </c>
      <c r="IL133" t="e">
        <f>AND(Materials!#REF!,"AAAAAHfb7fU=")</f>
        <v>#REF!</v>
      </c>
      <c r="IM133" t="e">
        <f>AND(Materials!#REF!,"AAAAAHfb7fY=")</f>
        <v>#REF!</v>
      </c>
      <c r="IN133" t="e">
        <f>AND(Materials!#REF!,"AAAAAHfb7fc=")</f>
        <v>#REF!</v>
      </c>
      <c r="IO133" t="e">
        <f>AND(Materials!#REF!,"AAAAAHfb7fg=")</f>
        <v>#REF!</v>
      </c>
      <c r="IP133" t="e">
        <f>AND(Materials!#REF!,"AAAAAHfb7fk=")</f>
        <v>#REF!</v>
      </c>
      <c r="IQ133" t="e">
        <f>AND(Materials!#REF!,"AAAAAHfb7fo=")</f>
        <v>#REF!</v>
      </c>
      <c r="IR133" t="e">
        <f>AND(Materials!#REF!,"AAAAAHfb7fs=")</f>
        <v>#REF!</v>
      </c>
      <c r="IS133" t="e">
        <f>AND(Materials!#REF!,"AAAAAHfb7fw=")</f>
        <v>#REF!</v>
      </c>
      <c r="IT133" t="e">
        <f>AND(Materials!U13,"AAAAAHfb7f0=")</f>
        <v>#VALUE!</v>
      </c>
      <c r="IU133" t="e">
        <f>AND(Materials!V13,"AAAAAHfb7f4=")</f>
        <v>#VALUE!</v>
      </c>
      <c r="IV133" t="e">
        <f>AND(Materials!W13,"AAAAAHfb7f8=")</f>
        <v>#VALUE!</v>
      </c>
    </row>
    <row r="134" spans="1:256" x14ac:dyDescent="0.2">
      <c r="A134" t="e">
        <f>AND(Materials!X13,"AAAAAFvd8wA=")</f>
        <v>#VALUE!</v>
      </c>
      <c r="B134" t="e">
        <f>AND(Materials!Y13,"AAAAAFvd8wE=")</f>
        <v>#VALUE!</v>
      </c>
      <c r="C134" t="e">
        <f>AND(Materials!Z13,"AAAAAFvd8wI=")</f>
        <v>#VALUE!</v>
      </c>
      <c r="D134" t="e">
        <f>IF(Materials!#REF!,"AAAAAFvd8wM=",0)</f>
        <v>#REF!</v>
      </c>
      <c r="E134" t="e">
        <f>AND(Materials!#REF!,"AAAAAFvd8wQ=")</f>
        <v>#REF!</v>
      </c>
      <c r="F134" t="e">
        <f>AND(Materials!#REF!,"AAAAAFvd8wU=")</f>
        <v>#REF!</v>
      </c>
      <c r="G134" t="e">
        <f>AND(Materials!#REF!,"AAAAAFvd8wY=")</f>
        <v>#REF!</v>
      </c>
      <c r="H134" t="e">
        <f>AND(Materials!#REF!,"AAAAAFvd8wc=")</f>
        <v>#REF!</v>
      </c>
      <c r="I134" t="e">
        <f>AND(Materials!#REF!,"AAAAAFvd8wg=")</f>
        <v>#REF!</v>
      </c>
      <c r="J134" t="e">
        <f>AND(Materials!#REF!,"AAAAAFvd8wk=")</f>
        <v>#REF!</v>
      </c>
      <c r="K134" t="e">
        <f>AND(Materials!#REF!,"AAAAAFvd8wo=")</f>
        <v>#REF!</v>
      </c>
      <c r="L134" t="e">
        <f>AND(Materials!#REF!,"AAAAAFvd8ws=")</f>
        <v>#REF!</v>
      </c>
      <c r="M134" t="e">
        <f>AND(Materials!#REF!,"AAAAAFvd8ww=")</f>
        <v>#REF!</v>
      </c>
      <c r="N134" t="e">
        <f>AND(Materials!#REF!,"AAAAAFvd8w0=")</f>
        <v>#REF!</v>
      </c>
      <c r="O134" t="e">
        <f>AND(Materials!#REF!,"AAAAAFvd8w4=")</f>
        <v>#REF!</v>
      </c>
      <c r="P134" t="e">
        <f>AND(Materials!#REF!,"AAAAAFvd8w8=")</f>
        <v>#REF!</v>
      </c>
      <c r="Q134" t="e">
        <f>AND(Materials!#REF!,"AAAAAFvd8xA=")</f>
        <v>#REF!</v>
      </c>
      <c r="R134" t="e">
        <f>AND(Materials!#REF!,"AAAAAFvd8xE=")</f>
        <v>#REF!</v>
      </c>
      <c r="S134" t="e">
        <f>AND(Materials!#REF!,"AAAAAFvd8xI=")</f>
        <v>#REF!</v>
      </c>
      <c r="T134" t="e">
        <f>AND(Materials!#REF!,"AAAAAFvd8xM=")</f>
        <v>#REF!</v>
      </c>
      <c r="U134" t="e">
        <f>AND(Materials!#REF!,"AAAAAFvd8xQ=")</f>
        <v>#REF!</v>
      </c>
      <c r="V134" t="e">
        <f>AND(Materials!#REF!,"AAAAAFvd8xU=")</f>
        <v>#REF!</v>
      </c>
      <c r="W134" t="e">
        <f>AND(Materials!#REF!,"AAAAAFvd8xY=")</f>
        <v>#REF!</v>
      </c>
      <c r="X134" t="e">
        <f>AND(Materials!#REF!,"AAAAAFvd8xc=")</f>
        <v>#REF!</v>
      </c>
      <c r="Y134" t="e">
        <f>AND(Materials!#REF!,"AAAAAFvd8xg=")</f>
        <v>#REF!</v>
      </c>
      <c r="Z134" t="e">
        <f>AND(Materials!#REF!,"AAAAAFvd8xk=")</f>
        <v>#REF!</v>
      </c>
      <c r="AA134" t="e">
        <f>AND(Materials!#REF!,"AAAAAFvd8xo=")</f>
        <v>#REF!</v>
      </c>
      <c r="AB134" t="e">
        <f>AND(Materials!#REF!,"AAAAAFvd8xs=")</f>
        <v>#REF!</v>
      </c>
      <c r="AC134" t="e">
        <f>AND(Materials!#REF!,"AAAAAFvd8xw=")</f>
        <v>#REF!</v>
      </c>
      <c r="AD134" t="e">
        <f>AND(Materials!#REF!,"AAAAAFvd8x0=")</f>
        <v>#REF!</v>
      </c>
      <c r="AE134" t="e">
        <f>AND(Materials!#REF!,"AAAAAFvd8x4=")</f>
        <v>#REF!</v>
      </c>
      <c r="AF134" t="e">
        <f>AND(Materials!#REF!,"AAAAAFvd8x8=")</f>
        <v>#REF!</v>
      </c>
      <c r="AG134" t="e">
        <f>AND(Materials!#REF!,"AAAAAFvd8yA=")</f>
        <v>#REF!</v>
      </c>
      <c r="AH134" t="e">
        <f>AND(Materials!#REF!,"AAAAAFvd8yE=")</f>
        <v>#REF!</v>
      </c>
      <c r="AI134" t="e">
        <f>AND(Materials!#REF!,"AAAAAFvd8yI=")</f>
        <v>#REF!</v>
      </c>
      <c r="AJ134" t="e">
        <f>AND(Materials!#REF!,"AAAAAFvd8yM=")</f>
        <v>#REF!</v>
      </c>
      <c r="AK134" t="e">
        <f>AND(Materials!#REF!,"AAAAAFvd8yQ=")</f>
        <v>#REF!</v>
      </c>
      <c r="AL134">
        <f>IF(Materials!12:12,"AAAAAFvd8yU=",0)</f>
        <v>0</v>
      </c>
      <c r="AM134" t="e">
        <f>AND(Materials!#REF!,"AAAAAFvd8yY=")</f>
        <v>#REF!</v>
      </c>
      <c r="AN134" t="e">
        <f>AND(Materials!A12,"AAAAAFvd8yc=")</f>
        <v>#VALUE!</v>
      </c>
      <c r="AO134" t="e">
        <f>AND(Materials!B12,"AAAAAFvd8yg=")</f>
        <v>#VALUE!</v>
      </c>
      <c r="AP134" t="e">
        <f>AND(Materials!C12,"AAAAAFvd8yk=")</f>
        <v>#VALUE!</v>
      </c>
      <c r="AQ134" t="e">
        <f>AND(Materials!D12,"AAAAAFvd8yo=")</f>
        <v>#VALUE!</v>
      </c>
      <c r="AR134" t="e">
        <f>AND(Materials!#REF!,"AAAAAFvd8ys=")</f>
        <v>#REF!</v>
      </c>
      <c r="AS134" t="e">
        <f>AND(Materials!E12,"AAAAAFvd8yw=")</f>
        <v>#VALUE!</v>
      </c>
      <c r="AT134" t="e">
        <f>AND(Materials!F12,"AAAAAFvd8y0=")</f>
        <v>#VALUE!</v>
      </c>
      <c r="AU134" t="e">
        <f>AND(Materials!G12,"AAAAAFvd8y4=")</f>
        <v>#VALUE!</v>
      </c>
      <c r="AV134" t="e">
        <f>AND(Materials!#REF!,"AAAAAFvd8y8=")</f>
        <v>#REF!</v>
      </c>
      <c r="AW134" t="e">
        <f>AND(Materials!H12,"AAAAAFvd8zA=")</f>
        <v>#VALUE!</v>
      </c>
      <c r="AX134" t="e">
        <f>AND(Materials!I12,"AAAAAFvd8zE=")</f>
        <v>#VALUE!</v>
      </c>
      <c r="AY134" t="e">
        <f>AND(Materials!J12,"AAAAAFvd8zI=")</f>
        <v>#VALUE!</v>
      </c>
      <c r="AZ134" t="e">
        <f>AND(Materials!K12,"AAAAAFvd8zM=")</f>
        <v>#VALUE!</v>
      </c>
      <c r="BA134" t="e">
        <f>AND(Materials!L12,"AAAAAFvd8zQ=")</f>
        <v>#VALUE!</v>
      </c>
      <c r="BB134" t="e">
        <f>AND(Materials!S12,"AAAAAFvd8zU=")</f>
        <v>#VALUE!</v>
      </c>
      <c r="BC134" t="e">
        <f>AND(Materials!T12,"AAAAAFvd8zY=")</f>
        <v>#VALUE!</v>
      </c>
      <c r="BD134" t="e">
        <f>AND(Materials!Q12,"AAAAAFvd8zc=")</f>
        <v>#VALUE!</v>
      </c>
      <c r="BE134" t="e">
        <f>AND(Materials!R12,"AAAAAFvd8zg=")</f>
        <v>#VALUE!</v>
      </c>
      <c r="BF134" t="e">
        <f>AND(Materials!#REF!,"AAAAAFvd8zk=")</f>
        <v>#REF!</v>
      </c>
      <c r="BG134" t="e">
        <f>AND(Materials!#REF!,"AAAAAFvd8zo=")</f>
        <v>#REF!</v>
      </c>
      <c r="BH134" t="e">
        <f>AND(Materials!#REF!,"AAAAAFvd8zs=")</f>
        <v>#REF!</v>
      </c>
      <c r="BI134" t="e">
        <f>AND(Materials!#REF!,"AAAAAFvd8zw=")</f>
        <v>#REF!</v>
      </c>
      <c r="BJ134" t="e">
        <f>AND(Materials!#REF!,"AAAAAFvd8z0=")</f>
        <v>#REF!</v>
      </c>
      <c r="BK134" t="e">
        <f>AND(Materials!#REF!,"AAAAAFvd8z4=")</f>
        <v>#REF!</v>
      </c>
      <c r="BL134" t="e">
        <f>AND(Materials!#REF!,"AAAAAFvd8z8=")</f>
        <v>#REF!</v>
      </c>
      <c r="BM134" t="e">
        <f>AND(Materials!#REF!,"AAAAAFvd80A=")</f>
        <v>#REF!</v>
      </c>
      <c r="BN134" t="e">
        <f>AND(Materials!U12,"AAAAAFvd80E=")</f>
        <v>#VALUE!</v>
      </c>
      <c r="BO134" t="e">
        <f>AND(Materials!V12,"AAAAAFvd80I=")</f>
        <v>#VALUE!</v>
      </c>
      <c r="BP134" t="e">
        <f>AND(Materials!W12,"AAAAAFvd80M=")</f>
        <v>#VALUE!</v>
      </c>
      <c r="BQ134" t="e">
        <f>AND(Materials!X12,"AAAAAFvd80Q=")</f>
        <v>#VALUE!</v>
      </c>
      <c r="BR134" t="e">
        <f>AND(Materials!Y12,"AAAAAFvd80U=")</f>
        <v>#VALUE!</v>
      </c>
      <c r="BS134" t="e">
        <f>AND(Materials!Z12,"AAAAAFvd80Y=")</f>
        <v>#VALUE!</v>
      </c>
      <c r="BT134">
        <f>IF(Materials!11:11,"AAAAAFvd80c=",0)</f>
        <v>0</v>
      </c>
      <c r="BU134" t="e">
        <f>AND(Materials!#REF!,"AAAAAFvd80g=")</f>
        <v>#REF!</v>
      </c>
      <c r="BV134" t="e">
        <f>AND(Materials!A11,"AAAAAFvd80k=")</f>
        <v>#VALUE!</v>
      </c>
      <c r="BW134" t="e">
        <f>AND(Materials!B11,"AAAAAFvd80o=")</f>
        <v>#VALUE!</v>
      </c>
      <c r="BX134" t="e">
        <f>AND(Materials!C11,"AAAAAFvd80s=")</f>
        <v>#VALUE!</v>
      </c>
      <c r="BY134" t="e">
        <f>AND(Materials!D11,"AAAAAFvd80w=")</f>
        <v>#VALUE!</v>
      </c>
      <c r="BZ134" t="e">
        <f>AND(Materials!#REF!,"AAAAAFvd800=")</f>
        <v>#REF!</v>
      </c>
      <c r="CA134" t="e">
        <f>AND(Materials!E11,"AAAAAFvd804=")</f>
        <v>#VALUE!</v>
      </c>
      <c r="CB134" t="e">
        <f>AND(Materials!F11,"AAAAAFvd808=")</f>
        <v>#VALUE!</v>
      </c>
      <c r="CC134" t="e">
        <f>AND(Materials!G11,"AAAAAFvd81A=")</f>
        <v>#VALUE!</v>
      </c>
      <c r="CD134" t="e">
        <f>AND(Materials!#REF!,"AAAAAFvd81E=")</f>
        <v>#REF!</v>
      </c>
      <c r="CE134" t="e">
        <f>AND(Materials!H11,"AAAAAFvd81I=")</f>
        <v>#VALUE!</v>
      </c>
      <c r="CF134" t="e">
        <f>AND(Materials!I11,"AAAAAFvd81M=")</f>
        <v>#VALUE!</v>
      </c>
      <c r="CG134" t="e">
        <f>AND(Materials!J11,"AAAAAFvd81Q=")</f>
        <v>#VALUE!</v>
      </c>
      <c r="CH134" t="e">
        <f>AND(Materials!K11,"AAAAAFvd81U=")</f>
        <v>#VALUE!</v>
      </c>
      <c r="CI134" t="e">
        <f>AND(Materials!L11,"AAAAAFvd81Y=")</f>
        <v>#VALUE!</v>
      </c>
      <c r="CJ134" t="e">
        <f>AND(Materials!S11,"AAAAAFvd81c=")</f>
        <v>#VALUE!</v>
      </c>
      <c r="CK134" t="e">
        <f>AND(Materials!T11,"AAAAAFvd81g=")</f>
        <v>#VALUE!</v>
      </c>
      <c r="CL134" t="e">
        <f>AND(Materials!Q11,"AAAAAFvd81k=")</f>
        <v>#VALUE!</v>
      </c>
      <c r="CM134" t="e">
        <f>AND(Materials!R11,"AAAAAFvd81o=")</f>
        <v>#VALUE!</v>
      </c>
      <c r="CN134" t="e">
        <f>AND(Materials!#REF!,"AAAAAFvd81s=")</f>
        <v>#REF!</v>
      </c>
      <c r="CO134" t="e">
        <f>AND(Materials!#REF!,"AAAAAFvd81w=")</f>
        <v>#REF!</v>
      </c>
      <c r="CP134" t="e">
        <f>AND(Materials!#REF!,"AAAAAFvd810=")</f>
        <v>#REF!</v>
      </c>
      <c r="CQ134" t="e">
        <f>AND(Materials!#REF!,"AAAAAFvd814=")</f>
        <v>#REF!</v>
      </c>
      <c r="CR134" t="e">
        <f>AND(Materials!#REF!,"AAAAAFvd818=")</f>
        <v>#REF!</v>
      </c>
      <c r="CS134" t="e">
        <f>AND(Materials!#REF!,"AAAAAFvd82A=")</f>
        <v>#REF!</v>
      </c>
      <c r="CT134" t="e">
        <f>AND(Materials!#REF!,"AAAAAFvd82E=")</f>
        <v>#REF!</v>
      </c>
      <c r="CU134" t="e">
        <f>AND(Materials!#REF!,"AAAAAFvd82I=")</f>
        <v>#REF!</v>
      </c>
      <c r="CV134" t="e">
        <f>AND(Materials!U11,"AAAAAFvd82M=")</f>
        <v>#VALUE!</v>
      </c>
      <c r="CW134" t="e">
        <f>AND(Materials!V11,"AAAAAFvd82Q=")</f>
        <v>#VALUE!</v>
      </c>
      <c r="CX134" t="e">
        <f>AND(Materials!W11,"AAAAAFvd82U=")</f>
        <v>#VALUE!</v>
      </c>
      <c r="CY134" t="e">
        <f>AND(Materials!X11,"AAAAAFvd82Y=")</f>
        <v>#VALUE!</v>
      </c>
      <c r="CZ134" t="e">
        <f>AND(Materials!Y11,"AAAAAFvd82c=")</f>
        <v>#VALUE!</v>
      </c>
      <c r="DA134" t="e">
        <f>AND(Materials!Z11,"AAAAAFvd82g=")</f>
        <v>#VALUE!</v>
      </c>
      <c r="DB134" t="e">
        <f>IF(Materials!#REF!,"AAAAAFvd82k=",0)</f>
        <v>#REF!</v>
      </c>
      <c r="DC134" t="e">
        <f>AND(Materials!#REF!,"AAAAAFvd82o=")</f>
        <v>#REF!</v>
      </c>
      <c r="DD134" t="e">
        <f>AND(Materials!#REF!,"AAAAAFvd82s=")</f>
        <v>#REF!</v>
      </c>
      <c r="DE134" t="e">
        <f>AND(Materials!#REF!,"AAAAAFvd82w=")</f>
        <v>#REF!</v>
      </c>
      <c r="DF134" t="e">
        <f>AND(Materials!#REF!,"AAAAAFvd820=")</f>
        <v>#REF!</v>
      </c>
      <c r="DG134" t="e">
        <f>AND(Materials!#REF!,"AAAAAFvd824=")</f>
        <v>#REF!</v>
      </c>
      <c r="DH134" t="e">
        <f>AND(Materials!#REF!,"AAAAAFvd828=")</f>
        <v>#REF!</v>
      </c>
      <c r="DI134" t="e">
        <f>AND(Materials!#REF!,"AAAAAFvd83A=")</f>
        <v>#REF!</v>
      </c>
      <c r="DJ134" t="e">
        <f>AND(Materials!#REF!,"AAAAAFvd83E=")</f>
        <v>#REF!</v>
      </c>
      <c r="DK134" t="e">
        <f>AND(Materials!#REF!,"AAAAAFvd83I=")</f>
        <v>#REF!</v>
      </c>
      <c r="DL134" t="e">
        <f>AND(Materials!#REF!,"AAAAAFvd83M=")</f>
        <v>#REF!</v>
      </c>
      <c r="DM134" t="e">
        <f>AND(Materials!#REF!,"AAAAAFvd83Q=")</f>
        <v>#REF!</v>
      </c>
      <c r="DN134" t="e">
        <f>AND(Materials!#REF!,"AAAAAFvd83U=")</f>
        <v>#REF!</v>
      </c>
      <c r="DO134" t="e">
        <f>AND(Materials!#REF!,"AAAAAFvd83Y=")</f>
        <v>#REF!</v>
      </c>
      <c r="DP134" t="e">
        <f>AND(Materials!#REF!,"AAAAAFvd83c=")</f>
        <v>#REF!</v>
      </c>
      <c r="DQ134" t="e">
        <f>AND(Materials!#REF!,"AAAAAFvd83g=")</f>
        <v>#REF!</v>
      </c>
      <c r="DR134" t="e">
        <f>AND(Materials!#REF!,"AAAAAFvd83k=")</f>
        <v>#REF!</v>
      </c>
      <c r="DS134" t="e">
        <f>AND(Materials!#REF!,"AAAAAFvd83o=")</f>
        <v>#REF!</v>
      </c>
      <c r="DT134" t="e">
        <f>AND(Materials!#REF!,"AAAAAFvd83s=")</f>
        <v>#REF!</v>
      </c>
      <c r="DU134" t="e">
        <f>AND(Materials!#REF!,"AAAAAFvd83w=")</f>
        <v>#REF!</v>
      </c>
      <c r="DV134" t="e">
        <f>AND(Materials!#REF!,"AAAAAFvd830=")</f>
        <v>#REF!</v>
      </c>
      <c r="DW134" t="e">
        <f>AND(Materials!#REF!,"AAAAAFvd834=")</f>
        <v>#REF!</v>
      </c>
      <c r="DX134" t="e">
        <f>AND(Materials!#REF!,"AAAAAFvd838=")</f>
        <v>#REF!</v>
      </c>
      <c r="DY134" t="e">
        <f>AND(Materials!#REF!,"AAAAAFvd84A=")</f>
        <v>#REF!</v>
      </c>
      <c r="DZ134" t="e">
        <f>AND(Materials!#REF!,"AAAAAFvd84E=")</f>
        <v>#REF!</v>
      </c>
      <c r="EA134" t="e">
        <f>AND(Materials!#REF!,"AAAAAFvd84I=")</f>
        <v>#REF!</v>
      </c>
      <c r="EB134" t="e">
        <f>AND(Materials!#REF!,"AAAAAFvd84M=")</f>
        <v>#REF!</v>
      </c>
      <c r="EC134" t="e">
        <f>AND(Materials!#REF!,"AAAAAFvd84Q=")</f>
        <v>#REF!</v>
      </c>
      <c r="ED134" t="e">
        <f>AND(Materials!#REF!,"AAAAAFvd84U=")</f>
        <v>#REF!</v>
      </c>
      <c r="EE134" t="e">
        <f>AND(Materials!#REF!,"AAAAAFvd84Y=")</f>
        <v>#REF!</v>
      </c>
      <c r="EF134" t="e">
        <f>AND(Materials!#REF!,"AAAAAFvd84c=")</f>
        <v>#REF!</v>
      </c>
      <c r="EG134" t="e">
        <f>AND(Materials!#REF!,"AAAAAFvd84g=")</f>
        <v>#REF!</v>
      </c>
      <c r="EH134" t="e">
        <f>AND(Materials!#REF!,"AAAAAFvd84k=")</f>
        <v>#REF!</v>
      </c>
      <c r="EI134" t="e">
        <f>AND(Materials!#REF!,"AAAAAFvd84o=")</f>
        <v>#REF!</v>
      </c>
      <c r="EJ134">
        <f>IF(Materials!14:14,"AAAAAFvd84s=",0)</f>
        <v>0</v>
      </c>
      <c r="EK134" t="e">
        <f>AND(Materials!#REF!,"AAAAAFvd84w=")</f>
        <v>#REF!</v>
      </c>
      <c r="EL134" t="e">
        <f>AND(Materials!A14,"AAAAAFvd840=")</f>
        <v>#VALUE!</v>
      </c>
      <c r="EM134" t="e">
        <f>AND(Materials!B14,"AAAAAFvd844=")</f>
        <v>#VALUE!</v>
      </c>
      <c r="EN134" t="e">
        <f>AND(Materials!C14,"AAAAAFvd848=")</f>
        <v>#VALUE!</v>
      </c>
      <c r="EO134" t="e">
        <f>AND(Materials!D14,"AAAAAFvd85A=")</f>
        <v>#VALUE!</v>
      </c>
      <c r="EP134" t="e">
        <f>AND(Materials!#REF!,"AAAAAFvd85E=")</f>
        <v>#REF!</v>
      </c>
      <c r="EQ134" t="e">
        <f>AND(Materials!E14,"AAAAAFvd85I=")</f>
        <v>#VALUE!</v>
      </c>
      <c r="ER134" t="e">
        <f>AND(Materials!F14,"AAAAAFvd85M=")</f>
        <v>#VALUE!</v>
      </c>
      <c r="ES134" t="e">
        <f>AND(Materials!G14,"AAAAAFvd85Q=")</f>
        <v>#VALUE!</v>
      </c>
      <c r="ET134" t="e">
        <f>AND(Materials!#REF!,"AAAAAFvd85U=")</f>
        <v>#REF!</v>
      </c>
      <c r="EU134" t="e">
        <f>AND(Materials!H14,"AAAAAFvd85Y=")</f>
        <v>#VALUE!</v>
      </c>
      <c r="EV134" t="e">
        <f>AND(Materials!I14,"AAAAAFvd85c=")</f>
        <v>#VALUE!</v>
      </c>
      <c r="EW134" t="e">
        <f>AND(Materials!J14,"AAAAAFvd85g=")</f>
        <v>#VALUE!</v>
      </c>
      <c r="EX134" t="e">
        <f>AND(Materials!K14,"AAAAAFvd85k=")</f>
        <v>#VALUE!</v>
      </c>
      <c r="EY134" t="e">
        <f>AND(Materials!L14,"AAAAAFvd85o=")</f>
        <v>#VALUE!</v>
      </c>
      <c r="EZ134" t="e">
        <f>AND(Materials!S14,"AAAAAFvd85s=")</f>
        <v>#VALUE!</v>
      </c>
      <c r="FA134" t="e">
        <f>AND(Materials!T14,"AAAAAFvd85w=")</f>
        <v>#VALUE!</v>
      </c>
      <c r="FB134" t="e">
        <f>AND(Materials!Q14,"AAAAAFvd850=")</f>
        <v>#VALUE!</v>
      </c>
      <c r="FC134" t="e">
        <f>AND(Materials!R14,"AAAAAFvd854=")</f>
        <v>#VALUE!</v>
      </c>
      <c r="FD134" t="e">
        <f>AND(Materials!#REF!,"AAAAAFvd858=")</f>
        <v>#REF!</v>
      </c>
      <c r="FE134" t="e">
        <f>AND(Materials!#REF!,"AAAAAFvd86A=")</f>
        <v>#REF!</v>
      </c>
      <c r="FF134" t="e">
        <f>AND(Materials!#REF!,"AAAAAFvd86E=")</f>
        <v>#REF!</v>
      </c>
      <c r="FG134" t="e">
        <f>AND(Materials!#REF!,"AAAAAFvd86I=")</f>
        <v>#REF!</v>
      </c>
      <c r="FH134" t="e">
        <f>AND(Materials!#REF!,"AAAAAFvd86M=")</f>
        <v>#REF!</v>
      </c>
      <c r="FI134" t="e">
        <f>AND(Materials!#REF!,"AAAAAFvd86Q=")</f>
        <v>#REF!</v>
      </c>
      <c r="FJ134" t="e">
        <f>AND(Materials!#REF!,"AAAAAFvd86U=")</f>
        <v>#REF!</v>
      </c>
      <c r="FK134" t="e">
        <f>AND(Materials!#REF!,"AAAAAFvd86Y=")</f>
        <v>#REF!</v>
      </c>
      <c r="FL134" t="e">
        <f>AND(Materials!U14,"AAAAAFvd86c=")</f>
        <v>#VALUE!</v>
      </c>
      <c r="FM134" t="e">
        <f>AND(Materials!V14,"AAAAAFvd86g=")</f>
        <v>#VALUE!</v>
      </c>
      <c r="FN134" t="e">
        <f>AND(Materials!W14,"AAAAAFvd86k=")</f>
        <v>#VALUE!</v>
      </c>
      <c r="FO134" t="e">
        <f>AND(Materials!X14,"AAAAAFvd86o=")</f>
        <v>#VALUE!</v>
      </c>
      <c r="FP134" t="e">
        <f>AND(Materials!Y14,"AAAAAFvd86s=")</f>
        <v>#VALUE!</v>
      </c>
      <c r="FQ134" t="e">
        <f>AND(Materials!Z14,"AAAAAFvd86w=")</f>
        <v>#VALUE!</v>
      </c>
      <c r="FR134" t="e">
        <f>IF(Materials!#REF!,"AAAAAFvd860=",0)</f>
        <v>#REF!</v>
      </c>
      <c r="FS134" t="e">
        <f>AND(Materials!#REF!,"AAAAAFvd864=")</f>
        <v>#REF!</v>
      </c>
      <c r="FT134" t="e">
        <f>AND(Materials!#REF!,"AAAAAFvd868=")</f>
        <v>#REF!</v>
      </c>
      <c r="FU134" t="e">
        <f>AND(Materials!#REF!,"AAAAAFvd87A=")</f>
        <v>#REF!</v>
      </c>
      <c r="FV134" t="e">
        <f>AND(Materials!#REF!,"AAAAAFvd87E=")</f>
        <v>#REF!</v>
      </c>
      <c r="FW134" t="e">
        <f>AND(Materials!#REF!,"AAAAAFvd87I=")</f>
        <v>#REF!</v>
      </c>
      <c r="FX134" t="e">
        <f>AND(Materials!#REF!,"AAAAAFvd87M=")</f>
        <v>#REF!</v>
      </c>
      <c r="FY134" t="e">
        <f>AND(Materials!#REF!,"AAAAAFvd87Q=")</f>
        <v>#REF!</v>
      </c>
      <c r="FZ134" t="e">
        <f>AND(Materials!#REF!,"AAAAAFvd87U=")</f>
        <v>#REF!</v>
      </c>
      <c r="GA134" t="e">
        <f>AND(Materials!#REF!,"AAAAAFvd87Y=")</f>
        <v>#REF!</v>
      </c>
      <c r="GB134" t="e">
        <f>AND(Materials!#REF!,"AAAAAFvd87c=")</f>
        <v>#REF!</v>
      </c>
      <c r="GC134" t="e">
        <f>AND(Materials!#REF!,"AAAAAFvd87g=")</f>
        <v>#REF!</v>
      </c>
      <c r="GD134" t="e">
        <f>AND(Materials!#REF!,"AAAAAFvd87k=")</f>
        <v>#REF!</v>
      </c>
      <c r="GE134" t="e">
        <f>AND(Materials!#REF!,"AAAAAFvd87o=")</f>
        <v>#REF!</v>
      </c>
      <c r="GF134" t="e">
        <f>AND(Materials!#REF!,"AAAAAFvd87s=")</f>
        <v>#REF!</v>
      </c>
      <c r="GG134" t="e">
        <f>AND(Materials!#REF!,"AAAAAFvd87w=")</f>
        <v>#REF!</v>
      </c>
      <c r="GH134" t="e">
        <f>AND(Materials!#REF!,"AAAAAFvd870=")</f>
        <v>#REF!</v>
      </c>
      <c r="GI134" t="e">
        <f>AND(Materials!#REF!,"AAAAAFvd874=")</f>
        <v>#REF!</v>
      </c>
      <c r="GJ134" t="e">
        <f>AND(Materials!#REF!,"AAAAAFvd878=")</f>
        <v>#REF!</v>
      </c>
      <c r="GK134" t="e">
        <f>AND(Materials!#REF!,"AAAAAFvd88A=")</f>
        <v>#REF!</v>
      </c>
      <c r="GL134" t="e">
        <f>AND(Materials!#REF!,"AAAAAFvd88E=")</f>
        <v>#REF!</v>
      </c>
      <c r="GM134" t="e">
        <f>AND(Materials!#REF!,"AAAAAFvd88I=")</f>
        <v>#REF!</v>
      </c>
      <c r="GN134" t="e">
        <f>AND(Materials!#REF!,"AAAAAFvd88M=")</f>
        <v>#REF!</v>
      </c>
      <c r="GO134" t="e">
        <f>AND(Materials!#REF!,"AAAAAFvd88Q=")</f>
        <v>#REF!</v>
      </c>
      <c r="GP134" t="e">
        <f>AND(Materials!#REF!,"AAAAAFvd88U=")</f>
        <v>#REF!</v>
      </c>
      <c r="GQ134" t="e">
        <f>AND(Materials!#REF!,"AAAAAFvd88Y=")</f>
        <v>#REF!</v>
      </c>
      <c r="GR134" t="e">
        <f>AND(Materials!#REF!,"AAAAAFvd88c=")</f>
        <v>#REF!</v>
      </c>
      <c r="GS134" t="e">
        <f>AND(Materials!#REF!,"AAAAAFvd88g=")</f>
        <v>#REF!</v>
      </c>
      <c r="GT134" t="e">
        <f>AND(Materials!#REF!,"AAAAAFvd88k=")</f>
        <v>#REF!</v>
      </c>
      <c r="GU134" t="e">
        <f>AND(Materials!#REF!,"AAAAAFvd88o=")</f>
        <v>#REF!</v>
      </c>
      <c r="GV134" t="e">
        <f>AND(Materials!#REF!,"AAAAAFvd88s=")</f>
        <v>#REF!</v>
      </c>
      <c r="GW134" t="e">
        <f>AND(Materials!#REF!,"AAAAAFvd88w=")</f>
        <v>#REF!</v>
      </c>
      <c r="GX134" t="e">
        <f>AND(Materials!#REF!,"AAAAAFvd880=")</f>
        <v>#REF!</v>
      </c>
      <c r="GY134" t="e">
        <f>AND(Materials!#REF!,"AAAAAFvd884=")</f>
        <v>#REF!</v>
      </c>
      <c r="GZ134">
        <f>IF(Materials!16:16,"AAAAAFvd888=",0)</f>
        <v>0</v>
      </c>
      <c r="HA134" t="e">
        <f>AND(Materials!#REF!,"AAAAAFvd89A=")</f>
        <v>#REF!</v>
      </c>
      <c r="HB134" t="e">
        <f>AND(Materials!A16,"AAAAAFvd89E=")</f>
        <v>#VALUE!</v>
      </c>
      <c r="HC134" t="e">
        <f>AND(Materials!B16,"AAAAAFvd89I=")</f>
        <v>#VALUE!</v>
      </c>
      <c r="HD134" t="e">
        <f>AND(Materials!C16,"AAAAAFvd89M=")</f>
        <v>#VALUE!</v>
      </c>
      <c r="HE134" t="e">
        <f>AND(Materials!D16,"AAAAAFvd89Q=")</f>
        <v>#VALUE!</v>
      </c>
      <c r="HF134" t="e">
        <f>AND(Materials!#REF!,"AAAAAFvd89U=")</f>
        <v>#REF!</v>
      </c>
      <c r="HG134" t="e">
        <f>AND(Materials!E16,"AAAAAFvd89Y=")</f>
        <v>#VALUE!</v>
      </c>
      <c r="HH134" t="e">
        <f>AND(Materials!F16,"AAAAAFvd89c=")</f>
        <v>#VALUE!</v>
      </c>
      <c r="HI134" t="e">
        <f>AND(Materials!G16,"AAAAAFvd89g=")</f>
        <v>#VALUE!</v>
      </c>
      <c r="HJ134" t="e">
        <f>AND(Materials!#REF!,"AAAAAFvd89k=")</f>
        <v>#REF!</v>
      </c>
      <c r="HK134" t="e">
        <f>AND(Materials!H16,"AAAAAFvd89o=")</f>
        <v>#VALUE!</v>
      </c>
      <c r="HL134" t="e">
        <f>AND(Materials!I16,"AAAAAFvd89s=")</f>
        <v>#VALUE!</v>
      </c>
      <c r="HM134" t="e">
        <f>AND(Materials!J16,"AAAAAFvd89w=")</f>
        <v>#VALUE!</v>
      </c>
      <c r="HN134" t="e">
        <f>AND(Materials!K16,"AAAAAFvd890=")</f>
        <v>#VALUE!</v>
      </c>
      <c r="HO134" t="e">
        <f>AND(Materials!L16,"AAAAAFvd894=")</f>
        <v>#VALUE!</v>
      </c>
      <c r="HP134" t="e">
        <f>AND(Materials!S16,"AAAAAFvd898=")</f>
        <v>#VALUE!</v>
      </c>
      <c r="HQ134" t="e">
        <f>AND(Materials!T16,"AAAAAFvd8+A=")</f>
        <v>#VALUE!</v>
      </c>
      <c r="HR134" t="e">
        <f>AND(Materials!Q16,"AAAAAFvd8+E=")</f>
        <v>#VALUE!</v>
      </c>
      <c r="HS134" t="e">
        <f>AND(Materials!R16,"AAAAAFvd8+I=")</f>
        <v>#VALUE!</v>
      </c>
      <c r="HT134" t="e">
        <f>AND(Materials!#REF!,"AAAAAFvd8+M=")</f>
        <v>#REF!</v>
      </c>
      <c r="HU134" t="e">
        <f>AND(Materials!#REF!,"AAAAAFvd8+Q=")</f>
        <v>#REF!</v>
      </c>
      <c r="HV134" t="e">
        <f>AND(Materials!#REF!,"AAAAAFvd8+U=")</f>
        <v>#REF!</v>
      </c>
      <c r="HW134" t="e">
        <f>AND(Materials!#REF!,"AAAAAFvd8+Y=")</f>
        <v>#REF!</v>
      </c>
      <c r="HX134" t="e">
        <f>AND(Materials!#REF!,"AAAAAFvd8+c=")</f>
        <v>#REF!</v>
      </c>
      <c r="HY134" t="e">
        <f>AND(Materials!#REF!,"AAAAAFvd8+g=")</f>
        <v>#REF!</v>
      </c>
      <c r="HZ134" t="e">
        <f>AND(Materials!#REF!,"AAAAAFvd8+k=")</f>
        <v>#REF!</v>
      </c>
      <c r="IA134" t="e">
        <f>AND(Materials!#REF!,"AAAAAFvd8+o=")</f>
        <v>#REF!</v>
      </c>
      <c r="IB134" t="e">
        <f>AND(Materials!U16,"AAAAAFvd8+s=")</f>
        <v>#VALUE!</v>
      </c>
      <c r="IC134" t="e">
        <f>AND(Materials!V16,"AAAAAFvd8+w=")</f>
        <v>#VALUE!</v>
      </c>
      <c r="ID134" t="e">
        <f>AND(Materials!W16,"AAAAAFvd8+0=")</f>
        <v>#VALUE!</v>
      </c>
      <c r="IE134" t="e">
        <f>AND(Materials!X16,"AAAAAFvd8+4=")</f>
        <v>#VALUE!</v>
      </c>
      <c r="IF134" t="e">
        <f>AND(Materials!Y16,"AAAAAFvd8+8=")</f>
        <v>#VALUE!</v>
      </c>
      <c r="IG134" t="e">
        <f>AND(Materials!Z16,"AAAAAFvd8/A=")</f>
        <v>#VALUE!</v>
      </c>
      <c r="IH134">
        <f>IF(Materials!17:17,"AAAAAFvd8/E=",0)</f>
        <v>0</v>
      </c>
      <c r="II134" t="e">
        <f>AND(Materials!#REF!,"AAAAAFvd8/I=")</f>
        <v>#REF!</v>
      </c>
      <c r="IJ134" t="e">
        <f>AND(Materials!A17,"AAAAAFvd8/M=")</f>
        <v>#VALUE!</v>
      </c>
      <c r="IK134" t="e">
        <f>AND(Materials!B17,"AAAAAFvd8/Q=")</f>
        <v>#VALUE!</v>
      </c>
      <c r="IL134" t="e">
        <f>AND(Materials!C17,"AAAAAFvd8/U=")</f>
        <v>#VALUE!</v>
      </c>
      <c r="IM134" t="e">
        <f>AND(Materials!D17,"AAAAAFvd8/Y=")</f>
        <v>#VALUE!</v>
      </c>
      <c r="IN134" t="e">
        <f>AND(Materials!#REF!,"AAAAAFvd8/c=")</f>
        <v>#REF!</v>
      </c>
      <c r="IO134" t="e">
        <f>AND(Materials!E17,"AAAAAFvd8/g=")</f>
        <v>#VALUE!</v>
      </c>
      <c r="IP134" t="e">
        <f>AND(Materials!F17,"AAAAAFvd8/k=")</f>
        <v>#VALUE!</v>
      </c>
      <c r="IQ134" t="e">
        <f>AND(Materials!G17,"AAAAAFvd8/o=")</f>
        <v>#VALUE!</v>
      </c>
      <c r="IR134" t="e">
        <f>AND(Materials!#REF!,"AAAAAFvd8/s=")</f>
        <v>#REF!</v>
      </c>
      <c r="IS134" t="e">
        <f>AND(Materials!H17,"AAAAAFvd8/w=")</f>
        <v>#VALUE!</v>
      </c>
      <c r="IT134" t="e">
        <f>AND(Materials!I17,"AAAAAFvd8/0=")</f>
        <v>#VALUE!</v>
      </c>
      <c r="IU134" t="e">
        <f>AND(Materials!J17,"AAAAAFvd8/4=")</f>
        <v>#VALUE!</v>
      </c>
      <c r="IV134" t="e">
        <f>AND(Materials!K17,"AAAAAFvd8/8=")</f>
        <v>#VALUE!</v>
      </c>
    </row>
    <row r="135" spans="1:256" x14ac:dyDescent="0.2">
      <c r="A135" t="e">
        <f>AND(Materials!L17,"AAAAAFNOtgA=")</f>
        <v>#VALUE!</v>
      </c>
      <c r="B135" t="e">
        <f>AND(Materials!S17,"AAAAAFNOtgE=")</f>
        <v>#VALUE!</v>
      </c>
      <c r="C135" t="e">
        <f>AND(Materials!T17,"AAAAAFNOtgI=")</f>
        <v>#VALUE!</v>
      </c>
      <c r="D135" t="e">
        <f>AND(Materials!Q17,"AAAAAFNOtgM=")</f>
        <v>#VALUE!</v>
      </c>
      <c r="E135" t="e">
        <f>AND(Materials!R17,"AAAAAFNOtgQ=")</f>
        <v>#VALUE!</v>
      </c>
      <c r="F135" t="e">
        <f>AND(Materials!#REF!,"AAAAAFNOtgU=")</f>
        <v>#REF!</v>
      </c>
      <c r="G135" t="e">
        <f>AND(Materials!#REF!,"AAAAAFNOtgY=")</f>
        <v>#REF!</v>
      </c>
      <c r="H135" t="e">
        <f>AND(Materials!#REF!,"AAAAAFNOtgc=")</f>
        <v>#REF!</v>
      </c>
      <c r="I135" t="e">
        <f>AND(Materials!#REF!,"AAAAAFNOtgg=")</f>
        <v>#REF!</v>
      </c>
      <c r="J135" t="e">
        <f>AND(Materials!#REF!,"AAAAAFNOtgk=")</f>
        <v>#REF!</v>
      </c>
      <c r="K135" t="e">
        <f>AND(Materials!#REF!,"AAAAAFNOtgo=")</f>
        <v>#REF!</v>
      </c>
      <c r="L135" t="e">
        <f>AND(Materials!#REF!,"AAAAAFNOtgs=")</f>
        <v>#REF!</v>
      </c>
      <c r="M135" t="e">
        <f>AND(Materials!#REF!,"AAAAAFNOtgw=")</f>
        <v>#REF!</v>
      </c>
      <c r="N135" t="e">
        <f>AND(Materials!U17,"AAAAAFNOtg0=")</f>
        <v>#VALUE!</v>
      </c>
      <c r="O135" t="e">
        <f>AND(Materials!V17,"AAAAAFNOtg4=")</f>
        <v>#VALUE!</v>
      </c>
      <c r="P135" t="e">
        <f>AND(Materials!W17,"AAAAAFNOtg8=")</f>
        <v>#VALUE!</v>
      </c>
      <c r="Q135" t="e">
        <f>AND(Materials!X17,"AAAAAFNOthA=")</f>
        <v>#VALUE!</v>
      </c>
      <c r="R135" t="e">
        <f>AND(Materials!Y17,"AAAAAFNOthE=")</f>
        <v>#VALUE!</v>
      </c>
      <c r="S135" t="e">
        <f>AND(Materials!Z17,"AAAAAFNOthI=")</f>
        <v>#VALUE!</v>
      </c>
      <c r="T135">
        <f>IF(Materials!18:18,"AAAAAFNOthM=",0)</f>
        <v>0</v>
      </c>
      <c r="U135" t="e">
        <f>AND(Materials!#REF!,"AAAAAFNOthQ=")</f>
        <v>#REF!</v>
      </c>
      <c r="V135" t="e">
        <f>AND(Materials!A18,"AAAAAFNOthU=")</f>
        <v>#VALUE!</v>
      </c>
      <c r="W135" t="e">
        <f>AND(Materials!B18,"AAAAAFNOthY=")</f>
        <v>#VALUE!</v>
      </c>
      <c r="X135" t="e">
        <f>AND(Materials!C18,"AAAAAFNOthc=")</f>
        <v>#VALUE!</v>
      </c>
      <c r="Y135" t="e">
        <f>AND(Materials!D18,"AAAAAFNOthg=")</f>
        <v>#VALUE!</v>
      </c>
      <c r="Z135" t="e">
        <f>AND(Materials!#REF!,"AAAAAFNOthk=")</f>
        <v>#REF!</v>
      </c>
      <c r="AA135" t="e">
        <f>AND(Materials!E18,"AAAAAFNOtho=")</f>
        <v>#VALUE!</v>
      </c>
      <c r="AB135" t="e">
        <f>AND(Materials!F18,"AAAAAFNOths=")</f>
        <v>#VALUE!</v>
      </c>
      <c r="AC135" t="e">
        <f>AND(Materials!G18,"AAAAAFNOthw=")</f>
        <v>#VALUE!</v>
      </c>
      <c r="AD135" t="e">
        <f>AND(Materials!#REF!,"AAAAAFNOth0=")</f>
        <v>#REF!</v>
      </c>
      <c r="AE135" t="e">
        <f>AND(Materials!H18,"AAAAAFNOth4=")</f>
        <v>#VALUE!</v>
      </c>
      <c r="AF135" t="e">
        <f>AND(Materials!I18,"AAAAAFNOth8=")</f>
        <v>#VALUE!</v>
      </c>
      <c r="AG135" t="e">
        <f>AND(Materials!J18,"AAAAAFNOtiA=")</f>
        <v>#VALUE!</v>
      </c>
      <c r="AH135" t="e">
        <f>AND(Materials!K18,"AAAAAFNOtiE=")</f>
        <v>#VALUE!</v>
      </c>
      <c r="AI135" t="e">
        <f>AND(Materials!L18,"AAAAAFNOtiI=")</f>
        <v>#VALUE!</v>
      </c>
      <c r="AJ135" t="e">
        <f>AND(Materials!S18,"AAAAAFNOtiM=")</f>
        <v>#VALUE!</v>
      </c>
      <c r="AK135" t="e">
        <f>AND(Materials!T18,"AAAAAFNOtiQ=")</f>
        <v>#VALUE!</v>
      </c>
      <c r="AL135" t="e">
        <f>AND(Materials!Q18,"AAAAAFNOtiU=")</f>
        <v>#VALUE!</v>
      </c>
      <c r="AM135" t="e">
        <f>AND(Materials!R18,"AAAAAFNOtiY=")</f>
        <v>#VALUE!</v>
      </c>
      <c r="AN135" t="e">
        <f>AND(Materials!#REF!,"AAAAAFNOtic=")</f>
        <v>#REF!</v>
      </c>
      <c r="AO135" t="e">
        <f>AND(Materials!#REF!,"AAAAAFNOtig=")</f>
        <v>#REF!</v>
      </c>
      <c r="AP135" t="e">
        <f>AND(Materials!#REF!,"AAAAAFNOtik=")</f>
        <v>#REF!</v>
      </c>
      <c r="AQ135" t="e">
        <f>AND(Materials!#REF!,"AAAAAFNOtio=")</f>
        <v>#REF!</v>
      </c>
      <c r="AR135" t="e">
        <f>AND(Materials!#REF!,"AAAAAFNOtis=")</f>
        <v>#REF!</v>
      </c>
      <c r="AS135" t="e">
        <f>AND(Materials!#REF!,"AAAAAFNOtiw=")</f>
        <v>#REF!</v>
      </c>
      <c r="AT135" t="e">
        <f>AND(Materials!#REF!,"AAAAAFNOti0=")</f>
        <v>#REF!</v>
      </c>
      <c r="AU135" t="e">
        <f>AND(Materials!#REF!,"AAAAAFNOti4=")</f>
        <v>#REF!</v>
      </c>
      <c r="AV135" t="e">
        <f>AND(Materials!U18,"AAAAAFNOti8=")</f>
        <v>#VALUE!</v>
      </c>
      <c r="AW135" t="e">
        <f>AND(Materials!V18,"AAAAAFNOtjA=")</f>
        <v>#VALUE!</v>
      </c>
      <c r="AX135" t="e">
        <f>AND(Materials!W18,"AAAAAFNOtjE=")</f>
        <v>#VALUE!</v>
      </c>
      <c r="AY135" t="e">
        <f>AND(Materials!X18,"AAAAAFNOtjI=")</f>
        <v>#VALUE!</v>
      </c>
      <c r="AZ135" t="e">
        <f>AND(Materials!Y18,"AAAAAFNOtjM=")</f>
        <v>#VALUE!</v>
      </c>
      <c r="BA135" t="e">
        <f>AND(Materials!Z18,"AAAAAFNOtjQ=")</f>
        <v>#VALUE!</v>
      </c>
      <c r="BB135" t="e">
        <f>IF(Materials!#REF!,"AAAAAFNOtjU=",0)</f>
        <v>#REF!</v>
      </c>
      <c r="BC135" t="e">
        <f>AND(Materials!#REF!,"AAAAAFNOtjY=")</f>
        <v>#REF!</v>
      </c>
      <c r="BD135" t="e">
        <f>AND(Materials!#REF!,"AAAAAFNOtjc=")</f>
        <v>#REF!</v>
      </c>
      <c r="BE135" t="e">
        <f>AND(Materials!#REF!,"AAAAAFNOtjg=")</f>
        <v>#REF!</v>
      </c>
      <c r="BF135" t="e">
        <f>AND(Materials!#REF!,"AAAAAFNOtjk=")</f>
        <v>#REF!</v>
      </c>
      <c r="BG135" t="e">
        <f>AND(Materials!#REF!,"AAAAAFNOtjo=")</f>
        <v>#REF!</v>
      </c>
      <c r="BH135" t="e">
        <f>AND(Materials!#REF!,"AAAAAFNOtjs=")</f>
        <v>#REF!</v>
      </c>
      <c r="BI135" t="e">
        <f>AND(Materials!#REF!,"AAAAAFNOtjw=")</f>
        <v>#REF!</v>
      </c>
      <c r="BJ135" t="e">
        <f>AND(Materials!#REF!,"AAAAAFNOtj0=")</f>
        <v>#REF!</v>
      </c>
      <c r="BK135" t="e">
        <f>AND(Materials!#REF!,"AAAAAFNOtj4=")</f>
        <v>#REF!</v>
      </c>
      <c r="BL135" t="e">
        <f>AND(Materials!#REF!,"AAAAAFNOtj8=")</f>
        <v>#REF!</v>
      </c>
      <c r="BM135" t="e">
        <f>AND(Materials!#REF!,"AAAAAFNOtkA=")</f>
        <v>#REF!</v>
      </c>
      <c r="BN135" t="e">
        <f>AND(Materials!#REF!,"AAAAAFNOtkE=")</f>
        <v>#REF!</v>
      </c>
      <c r="BO135" t="e">
        <f>AND(Materials!#REF!,"AAAAAFNOtkI=")</f>
        <v>#REF!</v>
      </c>
      <c r="BP135" t="e">
        <f>AND(Materials!#REF!,"AAAAAFNOtkM=")</f>
        <v>#REF!</v>
      </c>
      <c r="BQ135" t="e">
        <f>AND(Materials!#REF!,"AAAAAFNOtkQ=")</f>
        <v>#REF!</v>
      </c>
      <c r="BR135" t="e">
        <f>AND(Materials!#REF!,"AAAAAFNOtkU=")</f>
        <v>#REF!</v>
      </c>
      <c r="BS135" t="e">
        <f>AND(Materials!#REF!,"AAAAAFNOtkY=")</f>
        <v>#REF!</v>
      </c>
      <c r="BT135" t="e">
        <f>AND(Materials!#REF!,"AAAAAFNOtkc=")</f>
        <v>#REF!</v>
      </c>
      <c r="BU135" t="e">
        <f>AND(Materials!#REF!,"AAAAAFNOtkg=")</f>
        <v>#REF!</v>
      </c>
      <c r="BV135" t="e">
        <f>AND(Materials!#REF!,"AAAAAFNOtkk=")</f>
        <v>#REF!</v>
      </c>
      <c r="BW135" t="e">
        <f>AND(Materials!#REF!,"AAAAAFNOtko=")</f>
        <v>#REF!</v>
      </c>
      <c r="BX135" t="e">
        <f>AND(Materials!#REF!,"AAAAAFNOtks=")</f>
        <v>#REF!</v>
      </c>
      <c r="BY135" t="e">
        <f>AND(Materials!#REF!,"AAAAAFNOtkw=")</f>
        <v>#REF!</v>
      </c>
      <c r="BZ135" t="e">
        <f>AND(Materials!#REF!,"AAAAAFNOtk0=")</f>
        <v>#REF!</v>
      </c>
      <c r="CA135" t="e">
        <f>AND(Materials!#REF!,"AAAAAFNOtk4=")</f>
        <v>#REF!</v>
      </c>
      <c r="CB135" t="e">
        <f>AND(Materials!#REF!,"AAAAAFNOtk8=")</f>
        <v>#REF!</v>
      </c>
      <c r="CC135" t="e">
        <f>AND(Materials!#REF!,"AAAAAFNOtlA=")</f>
        <v>#REF!</v>
      </c>
      <c r="CD135" t="e">
        <f>AND(Materials!#REF!,"AAAAAFNOtlE=")</f>
        <v>#REF!</v>
      </c>
      <c r="CE135" t="e">
        <f>AND(Materials!#REF!,"AAAAAFNOtlI=")</f>
        <v>#REF!</v>
      </c>
      <c r="CF135" t="e">
        <f>AND(Materials!#REF!,"AAAAAFNOtlM=")</f>
        <v>#REF!</v>
      </c>
      <c r="CG135" t="e">
        <f>AND(Materials!#REF!,"AAAAAFNOtlQ=")</f>
        <v>#REF!</v>
      </c>
      <c r="CH135" t="e">
        <f>AND(Materials!#REF!,"AAAAAFNOtlU=")</f>
        <v>#REF!</v>
      </c>
      <c r="CI135" t="e">
        <f>AND(Materials!#REF!,"AAAAAFNOtlY=")</f>
        <v>#REF!</v>
      </c>
      <c r="CJ135">
        <f>IF(Materials!19:19,"AAAAAFNOtlc=",0)</f>
        <v>0</v>
      </c>
      <c r="CK135" t="e">
        <f>AND(Materials!#REF!,"AAAAAFNOtlg=")</f>
        <v>#REF!</v>
      </c>
      <c r="CL135" t="e">
        <f>AND(Materials!A19,"AAAAAFNOtlk=")</f>
        <v>#VALUE!</v>
      </c>
      <c r="CM135" t="e">
        <f>AND(Materials!B19,"AAAAAFNOtlo=")</f>
        <v>#VALUE!</v>
      </c>
      <c r="CN135" t="e">
        <f>AND(Materials!C19,"AAAAAFNOtls=")</f>
        <v>#VALUE!</v>
      </c>
      <c r="CO135" t="e">
        <f>AND(Materials!D19,"AAAAAFNOtlw=")</f>
        <v>#VALUE!</v>
      </c>
      <c r="CP135" t="e">
        <f>AND(Materials!#REF!,"AAAAAFNOtl0=")</f>
        <v>#REF!</v>
      </c>
      <c r="CQ135" t="e">
        <f>AND(Materials!E19,"AAAAAFNOtl4=")</f>
        <v>#VALUE!</v>
      </c>
      <c r="CR135" t="e">
        <f>AND(Materials!F19,"AAAAAFNOtl8=")</f>
        <v>#VALUE!</v>
      </c>
      <c r="CS135" t="e">
        <f>AND(Materials!G19,"AAAAAFNOtmA=")</f>
        <v>#VALUE!</v>
      </c>
      <c r="CT135" t="e">
        <f>AND(Materials!#REF!,"AAAAAFNOtmE=")</f>
        <v>#REF!</v>
      </c>
      <c r="CU135" t="e">
        <f>AND(Materials!H19,"AAAAAFNOtmI=")</f>
        <v>#VALUE!</v>
      </c>
      <c r="CV135" t="e">
        <f>AND(Materials!I19,"AAAAAFNOtmM=")</f>
        <v>#VALUE!</v>
      </c>
      <c r="CW135" t="e">
        <f>AND(Materials!J19,"AAAAAFNOtmQ=")</f>
        <v>#VALUE!</v>
      </c>
      <c r="CX135" t="e">
        <f>AND(Materials!K19,"AAAAAFNOtmU=")</f>
        <v>#VALUE!</v>
      </c>
      <c r="CY135" t="e">
        <f>AND(Materials!L19,"AAAAAFNOtmY=")</f>
        <v>#VALUE!</v>
      </c>
      <c r="CZ135" t="e">
        <f>AND(Materials!S19,"AAAAAFNOtmc=")</f>
        <v>#VALUE!</v>
      </c>
      <c r="DA135" t="e">
        <f>AND(Materials!T19,"AAAAAFNOtmg=")</f>
        <v>#VALUE!</v>
      </c>
      <c r="DB135" t="e">
        <f>AND(Materials!Q19,"AAAAAFNOtmk=")</f>
        <v>#VALUE!</v>
      </c>
      <c r="DC135" t="e">
        <f>AND(Materials!R19,"AAAAAFNOtmo=")</f>
        <v>#VALUE!</v>
      </c>
      <c r="DD135" t="e">
        <f>AND(Materials!#REF!,"AAAAAFNOtms=")</f>
        <v>#REF!</v>
      </c>
      <c r="DE135" t="e">
        <f>AND(Materials!#REF!,"AAAAAFNOtmw=")</f>
        <v>#REF!</v>
      </c>
      <c r="DF135" t="e">
        <f>AND(Materials!#REF!,"AAAAAFNOtm0=")</f>
        <v>#REF!</v>
      </c>
      <c r="DG135" t="e">
        <f>AND(Materials!#REF!,"AAAAAFNOtm4=")</f>
        <v>#REF!</v>
      </c>
      <c r="DH135" t="e">
        <f>AND(Materials!#REF!,"AAAAAFNOtm8=")</f>
        <v>#REF!</v>
      </c>
      <c r="DI135" t="e">
        <f>AND(Materials!#REF!,"AAAAAFNOtnA=")</f>
        <v>#REF!</v>
      </c>
      <c r="DJ135" t="e">
        <f>AND(Materials!#REF!,"AAAAAFNOtnE=")</f>
        <v>#REF!</v>
      </c>
      <c r="DK135" t="e">
        <f>AND(Materials!#REF!,"AAAAAFNOtnI=")</f>
        <v>#REF!</v>
      </c>
      <c r="DL135" t="e">
        <f>AND(Materials!U19,"AAAAAFNOtnM=")</f>
        <v>#VALUE!</v>
      </c>
      <c r="DM135" t="e">
        <f>AND(Materials!V19,"AAAAAFNOtnQ=")</f>
        <v>#VALUE!</v>
      </c>
      <c r="DN135" t="e">
        <f>AND(Materials!W19,"AAAAAFNOtnU=")</f>
        <v>#VALUE!</v>
      </c>
      <c r="DO135" t="e">
        <f>AND(Materials!X19,"AAAAAFNOtnY=")</f>
        <v>#VALUE!</v>
      </c>
      <c r="DP135" t="e">
        <f>AND(Materials!Y19,"AAAAAFNOtnc=")</f>
        <v>#VALUE!</v>
      </c>
      <c r="DQ135" t="e">
        <f>AND(Materials!Z19,"AAAAAFNOtng=")</f>
        <v>#VALUE!</v>
      </c>
      <c r="DR135">
        <f>IF(Materials!20:20,"AAAAAFNOtnk=",0)</f>
        <v>0</v>
      </c>
      <c r="DS135" t="e">
        <f>AND(Materials!#REF!,"AAAAAFNOtno=")</f>
        <v>#REF!</v>
      </c>
      <c r="DT135" t="e">
        <f>AND(Materials!A20,"AAAAAFNOtns=")</f>
        <v>#VALUE!</v>
      </c>
      <c r="DU135" t="e">
        <f>AND(Materials!B20,"AAAAAFNOtnw=")</f>
        <v>#VALUE!</v>
      </c>
      <c r="DV135" t="e">
        <f>AND(Materials!C20,"AAAAAFNOtn0=")</f>
        <v>#VALUE!</v>
      </c>
      <c r="DW135" t="e">
        <f>AND(Materials!D20,"AAAAAFNOtn4=")</f>
        <v>#VALUE!</v>
      </c>
      <c r="DX135" t="e">
        <f>AND(Materials!#REF!,"AAAAAFNOtn8=")</f>
        <v>#REF!</v>
      </c>
      <c r="DY135" t="e">
        <f>AND(Materials!E20,"AAAAAFNOtoA=")</f>
        <v>#VALUE!</v>
      </c>
      <c r="DZ135" t="e">
        <f>AND(Materials!F20,"AAAAAFNOtoE=")</f>
        <v>#VALUE!</v>
      </c>
      <c r="EA135" t="e">
        <f>AND(Materials!G20,"AAAAAFNOtoI=")</f>
        <v>#VALUE!</v>
      </c>
      <c r="EB135" t="e">
        <f>AND(Materials!#REF!,"AAAAAFNOtoM=")</f>
        <v>#REF!</v>
      </c>
      <c r="EC135" t="e">
        <f>AND(Materials!H20,"AAAAAFNOtoQ=")</f>
        <v>#VALUE!</v>
      </c>
      <c r="ED135" t="e">
        <f>AND(Materials!I20,"AAAAAFNOtoU=")</f>
        <v>#VALUE!</v>
      </c>
      <c r="EE135" t="e">
        <f>AND(Materials!J20,"AAAAAFNOtoY=")</f>
        <v>#VALUE!</v>
      </c>
      <c r="EF135" t="e">
        <f>AND(Materials!K20,"AAAAAFNOtoc=")</f>
        <v>#VALUE!</v>
      </c>
      <c r="EG135" t="e">
        <f>AND(Materials!L20,"AAAAAFNOtog=")</f>
        <v>#VALUE!</v>
      </c>
      <c r="EH135" t="e">
        <f>AND(Materials!S20,"AAAAAFNOtok=")</f>
        <v>#VALUE!</v>
      </c>
      <c r="EI135" t="e">
        <f>AND(Materials!T20,"AAAAAFNOtoo=")</f>
        <v>#VALUE!</v>
      </c>
      <c r="EJ135" t="e">
        <f>AND(Materials!Q20,"AAAAAFNOtos=")</f>
        <v>#VALUE!</v>
      </c>
      <c r="EK135" t="e">
        <f>AND(Materials!R20,"AAAAAFNOtow=")</f>
        <v>#VALUE!</v>
      </c>
      <c r="EL135" t="e">
        <f>AND(Materials!#REF!,"AAAAAFNOto0=")</f>
        <v>#REF!</v>
      </c>
      <c r="EM135" t="e">
        <f>AND(Materials!#REF!,"AAAAAFNOto4=")</f>
        <v>#REF!</v>
      </c>
      <c r="EN135" t="e">
        <f>AND(Materials!#REF!,"AAAAAFNOto8=")</f>
        <v>#REF!</v>
      </c>
      <c r="EO135" t="e">
        <f>AND(Materials!#REF!,"AAAAAFNOtpA=")</f>
        <v>#REF!</v>
      </c>
      <c r="EP135" t="e">
        <f>AND(Materials!#REF!,"AAAAAFNOtpE=")</f>
        <v>#REF!</v>
      </c>
      <c r="EQ135" t="e">
        <f>AND(Materials!#REF!,"AAAAAFNOtpI=")</f>
        <v>#REF!</v>
      </c>
      <c r="ER135" t="e">
        <f>AND(Materials!#REF!,"AAAAAFNOtpM=")</f>
        <v>#REF!</v>
      </c>
      <c r="ES135" t="e">
        <f>AND(Materials!#REF!,"AAAAAFNOtpQ=")</f>
        <v>#REF!</v>
      </c>
      <c r="ET135" t="e">
        <f>AND(Materials!U20,"AAAAAFNOtpU=")</f>
        <v>#VALUE!</v>
      </c>
      <c r="EU135" t="e">
        <f>AND(Materials!V20,"AAAAAFNOtpY=")</f>
        <v>#VALUE!</v>
      </c>
      <c r="EV135" t="e">
        <f>AND(Materials!W20,"AAAAAFNOtpc=")</f>
        <v>#VALUE!</v>
      </c>
      <c r="EW135" t="e">
        <f>AND(Materials!X20,"AAAAAFNOtpg=")</f>
        <v>#VALUE!</v>
      </c>
      <c r="EX135" t="e">
        <f>AND(Materials!Y20,"AAAAAFNOtpk=")</f>
        <v>#VALUE!</v>
      </c>
      <c r="EY135" t="e">
        <f>AND(Materials!Z20,"AAAAAFNOtpo=")</f>
        <v>#VALUE!</v>
      </c>
      <c r="EZ135" t="e">
        <f>IF(Materials!#REF!,"AAAAAFNOtps=",0)</f>
        <v>#REF!</v>
      </c>
      <c r="FA135">
        <f>IF(Materials!A:A,"AAAAAFNOtpw=",0)</f>
        <v>0</v>
      </c>
      <c r="FB135">
        <f>IF(Materials!B:B,"AAAAAFNOtp0=",0)</f>
        <v>0</v>
      </c>
      <c r="FC135">
        <f>IF(Materials!C:C,"AAAAAFNOtp4=",0)</f>
        <v>0</v>
      </c>
      <c r="FD135">
        <f>IF(Materials!D:D,"AAAAAFNOtp8=",0)</f>
        <v>0</v>
      </c>
      <c r="FE135">
        <f>IF(Materials!E:E,"AAAAAFNOtqA=",0)</f>
        <v>0</v>
      </c>
      <c r="FF135">
        <f>IF(Materials!F:F,"AAAAAFNOtqE=",0)</f>
        <v>0</v>
      </c>
      <c r="FG135">
        <f>IF(Materials!G:G,"AAAAAFNOtqI=",0)</f>
        <v>0</v>
      </c>
      <c r="FH135" t="e">
        <f>IF(Materials!#REF!,"AAAAAFNOtqM=",0)</f>
        <v>#REF!</v>
      </c>
      <c r="FI135">
        <f>IF(Materials!H:H,"AAAAAFNOtqQ=",0)</f>
        <v>0</v>
      </c>
      <c r="FJ135">
        <f>IF(Materials!I:I,"AAAAAFNOtqU=",0)</f>
        <v>0</v>
      </c>
      <c r="FK135">
        <f>IF(Materials!J:J,"AAAAAFNOtqY=",0)</f>
        <v>0</v>
      </c>
      <c r="FL135">
        <f>IF(Materials!K:K,"AAAAAFNOtqc=",0)</f>
        <v>0</v>
      </c>
      <c r="FM135">
        <f>IF(Materials!L:L,"AAAAAFNOtqg=",0)</f>
        <v>0</v>
      </c>
      <c r="FN135">
        <f>IF(Materials!M:M,"AAAAAFNOtqk=",0)</f>
        <v>0</v>
      </c>
      <c r="FO135">
        <f>IF(Materials!N:N,"AAAAAFNOtqo=",0)</f>
        <v>0</v>
      </c>
      <c r="FP135">
        <f>IF(Materials!O:O,"AAAAAFNOtqs=",0)</f>
        <v>0</v>
      </c>
      <c r="FQ135">
        <f>IF(Materials!P:P,"AAAAAFNOtqw=",0)</f>
        <v>0</v>
      </c>
      <c r="FR135">
        <f>IF(Materials!Q:Q,"AAAAAFNOtq0=",0)</f>
        <v>0</v>
      </c>
      <c r="FS135">
        <f>IF(Materials!R:R,"AAAAAFNOtq4=",0)</f>
        <v>0</v>
      </c>
      <c r="FT135" t="e">
        <f>IF(Materials!#REF!,"AAAAAFNOtq8=",0)</f>
        <v>#REF!</v>
      </c>
      <c r="FU135" t="e">
        <f>IF(Materials!#REF!,"AAAAAFNOtrA=",0)</f>
        <v>#REF!</v>
      </c>
      <c r="FV135" t="e">
        <f>IF(Materials!#REF!,"AAAAAFNOtrE=",0)</f>
        <v>#REF!</v>
      </c>
      <c r="FW135" t="e">
        <f>IF(Materials!#REF!,"AAAAAFNOtrI=",0)</f>
        <v>#REF!</v>
      </c>
      <c r="FX135">
        <f>IF(Materials!S:S,"AAAAAFNOtrM=",0)</f>
        <v>0</v>
      </c>
      <c r="FY135">
        <f>IF(Materials!T:T,"AAAAAFNOtrQ=",0)</f>
        <v>0</v>
      </c>
      <c r="FZ135">
        <f>IF(Materials!U:U,"AAAAAFNOtrU=",0)</f>
        <v>0</v>
      </c>
      <c r="GA135">
        <f>IF(Materials!V:V,"AAAAAFNOtrY=",0)</f>
        <v>0</v>
      </c>
      <c r="GB135">
        <f>IF(Materials!W:W,"AAAAAFNOtrc=",0)</f>
        <v>0</v>
      </c>
      <c r="GC135">
        <f>IF(Materials!X:X,"AAAAAFNOtrg=",0)</f>
        <v>0</v>
      </c>
      <c r="GD135">
        <f>IF(Materials!Y:Y,"AAAAAFNOtrk=",0)</f>
        <v>0</v>
      </c>
      <c r="GE135">
        <f>IF(Materials!Z:Z,"AAAAAFNOtro=",0)</f>
        <v>0</v>
      </c>
      <c r="GF135">
        <f>IF(Materials!AA:AA,"AAAAAFNOtrs=",0)</f>
        <v>0</v>
      </c>
      <c r="GG135">
        <f>IF('Badge Ticket Formats'!1:1,"AAAAAFNOtrw=",0)</f>
        <v>0</v>
      </c>
      <c r="GH135" t="e">
        <f>AND('Badge Ticket Formats'!#REF!,"AAAAAFNOtr0=")</f>
        <v>#REF!</v>
      </c>
      <c r="GI135" t="e">
        <f>AND('Badge Ticket Formats'!A1,"AAAAAFNOtr4=")</f>
        <v>#VALUE!</v>
      </c>
      <c r="GJ135" t="e">
        <f>AND('Badge Ticket Formats'!B1,"AAAAAFNOtr8=")</f>
        <v>#VALUE!</v>
      </c>
      <c r="GK135" t="e">
        <f>AND('Badge Ticket Formats'!C1,"AAAAAFNOtsA=")</f>
        <v>#VALUE!</v>
      </c>
      <c r="GL135" t="e">
        <f>AND('Badge Ticket Formats'!D1,"AAAAAFNOtsE=")</f>
        <v>#VALUE!</v>
      </c>
      <c r="GM135" t="e">
        <f>AND('Badge Ticket Formats'!E1,"AAAAAFNOtsI=")</f>
        <v>#VALUE!</v>
      </c>
      <c r="GN135" t="e">
        <f>AND('Badge Ticket Formats'!F1,"AAAAAFNOtsM=")</f>
        <v>#VALUE!</v>
      </c>
      <c r="GO135" t="e">
        <f>AND('Badge Ticket Formats'!G1,"AAAAAFNOtsQ=")</f>
        <v>#VALUE!</v>
      </c>
      <c r="GP135" t="e">
        <f>AND('Badge Ticket Formats'!H1,"AAAAAFNOtsU=")</f>
        <v>#VALUE!</v>
      </c>
      <c r="GQ135" t="e">
        <f>AND('Badge Ticket Formats'!I1,"AAAAAFNOtsY=")</f>
        <v>#VALUE!</v>
      </c>
      <c r="GR135" t="e">
        <f>AND('Badge Ticket Formats'!J1,"AAAAAFNOtsc=")</f>
        <v>#VALUE!</v>
      </c>
      <c r="GS135" t="e">
        <f>AND('Badge Ticket Formats'!K1,"AAAAAFNOtsg=")</f>
        <v>#VALUE!</v>
      </c>
      <c r="GT135" t="e">
        <f>AND('Badge Ticket Formats'!L1,"AAAAAFNOtsk=")</f>
        <v>#VALUE!</v>
      </c>
      <c r="GU135">
        <f>IF('Badge Ticket Formats'!2:2,"AAAAAFNOtso=",0)</f>
        <v>0</v>
      </c>
      <c r="GV135" t="e">
        <f>AND('Badge Ticket Formats'!A2,"AAAAAFNOtss=")</f>
        <v>#VALUE!</v>
      </c>
      <c r="GW135" t="e">
        <f>AND('Badge Ticket Formats'!B2,"AAAAAFNOtsw=")</f>
        <v>#VALUE!</v>
      </c>
      <c r="GX135" t="e">
        <f>AND('Badge Ticket Formats'!C2,"AAAAAFNOts0=")</f>
        <v>#VALUE!</v>
      </c>
      <c r="GY135" t="e">
        <f>AND('Badge Ticket Formats'!D2,"AAAAAFNOts4=")</f>
        <v>#VALUE!</v>
      </c>
      <c r="GZ135" t="e">
        <f>AND('Badge Ticket Formats'!E2,"AAAAAFNOts8=")</f>
        <v>#VALUE!</v>
      </c>
      <c r="HA135" t="e">
        <f>AND('Badge Ticket Formats'!F2,"AAAAAFNOttA=")</f>
        <v>#VALUE!</v>
      </c>
      <c r="HB135" t="e">
        <f>AND('Badge Ticket Formats'!G2,"AAAAAFNOttE=")</f>
        <v>#VALUE!</v>
      </c>
      <c r="HC135" t="e">
        <f>AND('Badge Ticket Formats'!H2,"AAAAAFNOttI=")</f>
        <v>#VALUE!</v>
      </c>
      <c r="HD135" t="e">
        <f>AND('Badge Ticket Formats'!I2,"AAAAAFNOttM=")</f>
        <v>#VALUE!</v>
      </c>
      <c r="HE135" t="e">
        <f>AND('Badge Ticket Formats'!J2,"AAAAAFNOttQ=")</f>
        <v>#VALUE!</v>
      </c>
      <c r="HF135" t="e">
        <f>AND('Badge Ticket Formats'!K2,"AAAAAFNOttU=")</f>
        <v>#VALUE!</v>
      </c>
      <c r="HG135" t="e">
        <f>AND('Badge Ticket Formats'!L2,"AAAAAFNOttY=")</f>
        <v>#VALUE!</v>
      </c>
      <c r="HH135" t="e">
        <f>AND('Badge Ticket Formats'!M2,"AAAAAFNOttc=")</f>
        <v>#VALUE!</v>
      </c>
      <c r="HI135" t="e">
        <f>IF('Badge Ticket Formats'!#REF!,"AAAAAFNOttg=",0)</f>
        <v>#REF!</v>
      </c>
      <c r="HJ135" t="e">
        <f>AND('Badge Ticket Formats'!#REF!,"AAAAAFNOttk=")</f>
        <v>#REF!</v>
      </c>
      <c r="HK135" t="e">
        <f>AND('Badge Ticket Formats'!#REF!,"AAAAAFNOtto=")</f>
        <v>#REF!</v>
      </c>
      <c r="HL135" t="e">
        <f>AND('Badge Ticket Formats'!#REF!,"AAAAAFNOtts=")</f>
        <v>#REF!</v>
      </c>
      <c r="HM135" t="e">
        <f>AND('Badge Ticket Formats'!#REF!,"AAAAAFNOttw=")</f>
        <v>#REF!</v>
      </c>
      <c r="HN135" t="e">
        <f>AND('Badge Ticket Formats'!#REF!,"AAAAAFNOtt0=")</f>
        <v>#REF!</v>
      </c>
      <c r="HO135" t="e">
        <f>AND('Badge Ticket Formats'!#REF!,"AAAAAFNOtt4=")</f>
        <v>#REF!</v>
      </c>
      <c r="HP135" t="e">
        <f>AND('Badge Ticket Formats'!#REF!,"AAAAAFNOtt8=")</f>
        <v>#REF!</v>
      </c>
      <c r="HQ135" t="e">
        <f>AND('Badge Ticket Formats'!#REF!,"AAAAAFNOtuA=")</f>
        <v>#REF!</v>
      </c>
      <c r="HR135" t="e">
        <f>AND('Badge Ticket Formats'!#REF!,"AAAAAFNOtuE=")</f>
        <v>#REF!</v>
      </c>
      <c r="HS135" t="e">
        <f>AND('Badge Ticket Formats'!#REF!,"AAAAAFNOtuI=")</f>
        <v>#REF!</v>
      </c>
      <c r="HT135" t="e">
        <f>AND('Badge Ticket Formats'!#REF!,"AAAAAFNOtuM=")</f>
        <v>#REF!</v>
      </c>
      <c r="HU135" t="e">
        <f>AND('Badge Ticket Formats'!#REF!,"AAAAAFNOtuQ=")</f>
        <v>#REF!</v>
      </c>
      <c r="HV135" t="e">
        <f>AND('Badge Ticket Formats'!#REF!,"AAAAAFNOtuU=")</f>
        <v>#REF!</v>
      </c>
      <c r="HW135" t="e">
        <f>IF('Badge Ticket Formats'!#REF!,"AAAAAFNOtuY=",0)</f>
        <v>#REF!</v>
      </c>
      <c r="HX135" t="e">
        <f>AND('Badge Ticket Formats'!#REF!,"AAAAAFNOtuc=")</f>
        <v>#REF!</v>
      </c>
      <c r="HY135" t="e">
        <f>AND('Badge Ticket Formats'!#REF!,"AAAAAFNOtug=")</f>
        <v>#REF!</v>
      </c>
      <c r="HZ135" t="e">
        <f>AND('Badge Ticket Formats'!#REF!,"AAAAAFNOtuk=")</f>
        <v>#REF!</v>
      </c>
      <c r="IA135" t="e">
        <f>AND('Badge Ticket Formats'!#REF!,"AAAAAFNOtuo=")</f>
        <v>#REF!</v>
      </c>
      <c r="IB135" t="e">
        <f>AND('Badge Ticket Formats'!#REF!,"AAAAAFNOtus=")</f>
        <v>#REF!</v>
      </c>
      <c r="IC135" t="e">
        <f>AND('Badge Ticket Formats'!#REF!,"AAAAAFNOtuw=")</f>
        <v>#REF!</v>
      </c>
      <c r="ID135" t="e">
        <f>AND('Badge Ticket Formats'!#REF!,"AAAAAFNOtu0=")</f>
        <v>#REF!</v>
      </c>
      <c r="IE135" t="e">
        <f>AND('Badge Ticket Formats'!#REF!,"AAAAAFNOtu4=")</f>
        <v>#REF!</v>
      </c>
      <c r="IF135" t="e">
        <f>AND('Badge Ticket Formats'!#REF!,"AAAAAFNOtu8=")</f>
        <v>#REF!</v>
      </c>
      <c r="IG135" t="e">
        <f>AND('Badge Ticket Formats'!#REF!,"AAAAAFNOtvA=")</f>
        <v>#REF!</v>
      </c>
      <c r="IH135" t="e">
        <f>AND('Badge Ticket Formats'!#REF!,"AAAAAFNOtvE=")</f>
        <v>#REF!</v>
      </c>
      <c r="II135" t="e">
        <f>AND('Badge Ticket Formats'!#REF!,"AAAAAFNOtvI=")</f>
        <v>#REF!</v>
      </c>
      <c r="IJ135" t="e">
        <f>AND('Badge Ticket Formats'!#REF!,"AAAAAFNOtvM=")</f>
        <v>#REF!</v>
      </c>
      <c r="IK135" t="e">
        <f>IF('Badge Ticket Formats'!#REF!,"AAAAAFNOtvQ=",0)</f>
        <v>#REF!</v>
      </c>
      <c r="IL135" t="e">
        <f>AND('Badge Ticket Formats'!#REF!,"AAAAAFNOtvU=")</f>
        <v>#REF!</v>
      </c>
      <c r="IM135" t="e">
        <f>AND('Badge Ticket Formats'!#REF!,"AAAAAFNOtvY=")</f>
        <v>#REF!</v>
      </c>
      <c r="IN135" t="e">
        <f>AND('Badge Ticket Formats'!#REF!,"AAAAAFNOtvc=")</f>
        <v>#REF!</v>
      </c>
      <c r="IO135" t="e">
        <f>AND('Badge Ticket Formats'!#REF!,"AAAAAFNOtvg=")</f>
        <v>#REF!</v>
      </c>
      <c r="IP135" t="e">
        <f>AND('Badge Ticket Formats'!#REF!,"AAAAAFNOtvk=")</f>
        <v>#REF!</v>
      </c>
      <c r="IQ135" t="e">
        <f>AND('Badge Ticket Formats'!#REF!,"AAAAAFNOtvo=")</f>
        <v>#REF!</v>
      </c>
      <c r="IR135" t="e">
        <f>AND('Badge Ticket Formats'!#REF!,"AAAAAFNOtvs=")</f>
        <v>#REF!</v>
      </c>
      <c r="IS135" t="e">
        <f>AND('Badge Ticket Formats'!#REF!,"AAAAAFNOtvw=")</f>
        <v>#REF!</v>
      </c>
      <c r="IT135" t="e">
        <f>AND('Badge Ticket Formats'!#REF!,"AAAAAFNOtv0=")</f>
        <v>#REF!</v>
      </c>
      <c r="IU135" t="e">
        <f>AND('Badge Ticket Formats'!#REF!,"AAAAAFNOtv4=")</f>
        <v>#REF!</v>
      </c>
      <c r="IV135" t="e">
        <f>AND('Badge Ticket Formats'!#REF!,"AAAAAFNOtv8=")</f>
        <v>#REF!</v>
      </c>
    </row>
    <row r="136" spans="1:256" x14ac:dyDescent="0.2">
      <c r="A136" t="e">
        <f>AND('Badge Ticket Formats'!#REF!,"AAAAAF7/9wA=")</f>
        <v>#REF!</v>
      </c>
      <c r="B136" t="e">
        <f>AND('Badge Ticket Formats'!#REF!,"AAAAAF7/9wE=")</f>
        <v>#REF!</v>
      </c>
      <c r="C136" t="e">
        <f>IF('Badge Ticket Formats'!#REF!,"AAAAAF7/9wI=",0)</f>
        <v>#REF!</v>
      </c>
      <c r="D136" t="e">
        <f>AND('Badge Ticket Formats'!#REF!,"AAAAAF7/9wM=")</f>
        <v>#REF!</v>
      </c>
      <c r="E136" t="e">
        <f>AND('Badge Ticket Formats'!#REF!,"AAAAAF7/9wQ=")</f>
        <v>#REF!</v>
      </c>
      <c r="F136" t="e">
        <f>AND('Badge Ticket Formats'!#REF!,"AAAAAF7/9wU=")</f>
        <v>#REF!</v>
      </c>
      <c r="G136" t="e">
        <f>AND('Badge Ticket Formats'!#REF!,"AAAAAF7/9wY=")</f>
        <v>#REF!</v>
      </c>
      <c r="H136" t="e">
        <f>AND('Badge Ticket Formats'!#REF!,"AAAAAF7/9wc=")</f>
        <v>#REF!</v>
      </c>
      <c r="I136" t="e">
        <f>AND('Badge Ticket Formats'!#REF!,"AAAAAF7/9wg=")</f>
        <v>#REF!</v>
      </c>
      <c r="J136" t="e">
        <f>AND('Badge Ticket Formats'!#REF!,"AAAAAF7/9wk=")</f>
        <v>#REF!</v>
      </c>
      <c r="K136" t="e">
        <f>AND('Badge Ticket Formats'!#REF!,"AAAAAF7/9wo=")</f>
        <v>#REF!</v>
      </c>
      <c r="L136" t="e">
        <f>AND('Badge Ticket Formats'!#REF!,"AAAAAF7/9ws=")</f>
        <v>#REF!</v>
      </c>
      <c r="M136" t="e">
        <f>AND('Badge Ticket Formats'!#REF!,"AAAAAF7/9ww=")</f>
        <v>#REF!</v>
      </c>
      <c r="N136" t="e">
        <f>AND('Badge Ticket Formats'!#REF!,"AAAAAF7/9w0=")</f>
        <v>#REF!</v>
      </c>
      <c r="O136" t="e">
        <f>AND('Badge Ticket Formats'!#REF!,"AAAAAF7/9w4=")</f>
        <v>#REF!</v>
      </c>
      <c r="P136" t="e">
        <f>AND('Badge Ticket Formats'!#REF!,"AAAAAF7/9w8=")</f>
        <v>#REF!</v>
      </c>
      <c r="Q136" t="e">
        <f>IF('Badge Ticket Formats'!#REF!,"AAAAAF7/9xA=",0)</f>
        <v>#REF!</v>
      </c>
      <c r="R136" t="e">
        <f>AND('Badge Ticket Formats'!#REF!,"AAAAAF7/9xE=")</f>
        <v>#REF!</v>
      </c>
      <c r="S136" t="e">
        <f>AND('Badge Ticket Formats'!#REF!,"AAAAAF7/9xI=")</f>
        <v>#REF!</v>
      </c>
      <c r="T136" t="e">
        <f>AND('Badge Ticket Formats'!#REF!,"AAAAAF7/9xM=")</f>
        <v>#REF!</v>
      </c>
      <c r="U136" t="e">
        <f>AND('Badge Ticket Formats'!#REF!,"AAAAAF7/9xQ=")</f>
        <v>#REF!</v>
      </c>
      <c r="V136" t="e">
        <f>AND('Badge Ticket Formats'!#REF!,"AAAAAF7/9xU=")</f>
        <v>#REF!</v>
      </c>
      <c r="W136" t="e">
        <f>AND('Badge Ticket Formats'!#REF!,"AAAAAF7/9xY=")</f>
        <v>#REF!</v>
      </c>
      <c r="X136" t="e">
        <f>AND('Badge Ticket Formats'!#REF!,"AAAAAF7/9xc=")</f>
        <v>#REF!</v>
      </c>
      <c r="Y136" t="e">
        <f>AND('Badge Ticket Formats'!#REF!,"AAAAAF7/9xg=")</f>
        <v>#REF!</v>
      </c>
      <c r="Z136" t="e">
        <f>AND('Badge Ticket Formats'!#REF!,"AAAAAF7/9xk=")</f>
        <v>#REF!</v>
      </c>
      <c r="AA136" t="e">
        <f>AND('Badge Ticket Formats'!#REF!,"AAAAAF7/9xo=")</f>
        <v>#REF!</v>
      </c>
      <c r="AB136" t="e">
        <f>AND('Badge Ticket Formats'!#REF!,"AAAAAF7/9xs=")</f>
        <v>#REF!</v>
      </c>
      <c r="AC136" t="e">
        <f>AND('Badge Ticket Formats'!#REF!,"AAAAAF7/9xw=")</f>
        <v>#REF!</v>
      </c>
      <c r="AD136" t="e">
        <f>AND('Badge Ticket Formats'!#REF!,"AAAAAF7/9x0=")</f>
        <v>#REF!</v>
      </c>
      <c r="AE136" t="e">
        <f>IF('Badge Ticket Formats'!#REF!,"AAAAAF7/9x4=",0)</f>
        <v>#REF!</v>
      </c>
      <c r="AF136" t="e">
        <f>AND('Badge Ticket Formats'!#REF!,"AAAAAF7/9x8=")</f>
        <v>#REF!</v>
      </c>
      <c r="AG136" t="e">
        <f>AND('Badge Ticket Formats'!#REF!,"AAAAAF7/9yA=")</f>
        <v>#REF!</v>
      </c>
      <c r="AH136" t="e">
        <f>AND('Badge Ticket Formats'!#REF!,"AAAAAF7/9yE=")</f>
        <v>#REF!</v>
      </c>
      <c r="AI136" t="e">
        <f>AND('Badge Ticket Formats'!#REF!,"AAAAAF7/9yI=")</f>
        <v>#REF!</v>
      </c>
      <c r="AJ136" t="e">
        <f>AND('Badge Ticket Formats'!#REF!,"AAAAAF7/9yM=")</f>
        <v>#REF!</v>
      </c>
      <c r="AK136" t="e">
        <f>AND('Badge Ticket Formats'!#REF!,"AAAAAF7/9yQ=")</f>
        <v>#REF!</v>
      </c>
      <c r="AL136" t="e">
        <f>AND('Badge Ticket Formats'!#REF!,"AAAAAF7/9yU=")</f>
        <v>#REF!</v>
      </c>
      <c r="AM136" t="e">
        <f>AND('Badge Ticket Formats'!#REF!,"AAAAAF7/9yY=")</f>
        <v>#REF!</v>
      </c>
      <c r="AN136" t="e">
        <f>AND('Badge Ticket Formats'!#REF!,"AAAAAF7/9yc=")</f>
        <v>#REF!</v>
      </c>
      <c r="AO136" t="e">
        <f>AND('Badge Ticket Formats'!#REF!,"AAAAAF7/9yg=")</f>
        <v>#REF!</v>
      </c>
      <c r="AP136" t="e">
        <f>AND('Badge Ticket Formats'!#REF!,"AAAAAF7/9yk=")</f>
        <v>#REF!</v>
      </c>
      <c r="AQ136" t="e">
        <f>AND('Badge Ticket Formats'!#REF!,"AAAAAF7/9yo=")</f>
        <v>#REF!</v>
      </c>
      <c r="AR136" t="e">
        <f>AND('Badge Ticket Formats'!#REF!,"AAAAAF7/9ys=")</f>
        <v>#REF!</v>
      </c>
      <c r="AS136" t="e">
        <f>IF('Badge Ticket Formats'!#REF!,"AAAAAF7/9yw=",0)</f>
        <v>#REF!</v>
      </c>
      <c r="AT136" t="e">
        <f>AND('Badge Ticket Formats'!#REF!,"AAAAAF7/9y0=")</f>
        <v>#REF!</v>
      </c>
      <c r="AU136" t="e">
        <f>AND('Badge Ticket Formats'!#REF!,"AAAAAF7/9y4=")</f>
        <v>#REF!</v>
      </c>
      <c r="AV136" t="e">
        <f>AND('Badge Ticket Formats'!#REF!,"AAAAAF7/9y8=")</f>
        <v>#REF!</v>
      </c>
      <c r="AW136" t="e">
        <f>AND('Badge Ticket Formats'!#REF!,"AAAAAF7/9zA=")</f>
        <v>#REF!</v>
      </c>
      <c r="AX136" t="e">
        <f>AND('Badge Ticket Formats'!#REF!,"AAAAAF7/9zE=")</f>
        <v>#REF!</v>
      </c>
      <c r="AY136" t="e">
        <f>AND('Badge Ticket Formats'!#REF!,"AAAAAF7/9zI=")</f>
        <v>#REF!</v>
      </c>
      <c r="AZ136" t="e">
        <f>AND('Badge Ticket Formats'!#REF!,"AAAAAF7/9zM=")</f>
        <v>#REF!</v>
      </c>
      <c r="BA136" t="e">
        <f>AND('Badge Ticket Formats'!#REF!,"AAAAAF7/9zQ=")</f>
        <v>#REF!</v>
      </c>
      <c r="BB136" t="e">
        <f>AND('Badge Ticket Formats'!#REF!,"AAAAAF7/9zU=")</f>
        <v>#REF!</v>
      </c>
      <c r="BC136" t="e">
        <f>AND('Badge Ticket Formats'!#REF!,"AAAAAF7/9zY=")</f>
        <v>#REF!</v>
      </c>
      <c r="BD136" t="e">
        <f>AND('Badge Ticket Formats'!#REF!,"AAAAAF7/9zc=")</f>
        <v>#REF!</v>
      </c>
      <c r="BE136" t="e">
        <f>AND('Badge Ticket Formats'!#REF!,"AAAAAF7/9zg=")</f>
        <v>#REF!</v>
      </c>
      <c r="BF136" t="e">
        <f>AND('Badge Ticket Formats'!#REF!,"AAAAAF7/9zk=")</f>
        <v>#REF!</v>
      </c>
      <c r="BG136" t="e">
        <f>IF('Badge Ticket Formats'!#REF!,"AAAAAF7/9zo=",0)</f>
        <v>#REF!</v>
      </c>
      <c r="BH136" t="e">
        <f>AND('Badge Ticket Formats'!#REF!,"AAAAAF7/9zs=")</f>
        <v>#REF!</v>
      </c>
      <c r="BI136" t="e">
        <f>AND('Badge Ticket Formats'!#REF!,"AAAAAF7/9zw=")</f>
        <v>#REF!</v>
      </c>
      <c r="BJ136" t="e">
        <f>AND('Badge Ticket Formats'!#REF!,"AAAAAF7/9z0=")</f>
        <v>#REF!</v>
      </c>
      <c r="BK136" t="e">
        <f>AND('Badge Ticket Formats'!#REF!,"AAAAAF7/9z4=")</f>
        <v>#REF!</v>
      </c>
      <c r="BL136" t="e">
        <f>AND('Badge Ticket Formats'!#REF!,"AAAAAF7/9z8=")</f>
        <v>#REF!</v>
      </c>
      <c r="BM136" t="e">
        <f>AND('Badge Ticket Formats'!#REF!,"AAAAAF7/90A=")</f>
        <v>#REF!</v>
      </c>
      <c r="BN136" t="e">
        <f>AND('Badge Ticket Formats'!#REF!,"AAAAAF7/90E=")</f>
        <v>#REF!</v>
      </c>
      <c r="BO136" t="e">
        <f>AND('Badge Ticket Formats'!#REF!,"AAAAAF7/90I=")</f>
        <v>#REF!</v>
      </c>
      <c r="BP136" t="e">
        <f>AND('Badge Ticket Formats'!#REF!,"AAAAAF7/90M=")</f>
        <v>#REF!</v>
      </c>
      <c r="BQ136" t="e">
        <f>AND('Badge Ticket Formats'!#REF!,"AAAAAF7/90Q=")</f>
        <v>#REF!</v>
      </c>
      <c r="BR136" t="e">
        <f>AND('Badge Ticket Formats'!#REF!,"AAAAAF7/90U=")</f>
        <v>#REF!</v>
      </c>
      <c r="BS136" t="e">
        <f>AND('Badge Ticket Formats'!#REF!,"AAAAAF7/90Y=")</f>
        <v>#REF!</v>
      </c>
      <c r="BT136" t="e">
        <f>AND('Badge Ticket Formats'!#REF!,"AAAAAF7/90c=")</f>
        <v>#REF!</v>
      </c>
      <c r="BU136" t="e">
        <f>IF('Badge Ticket Formats'!#REF!,"AAAAAF7/90g=",0)</f>
        <v>#REF!</v>
      </c>
      <c r="BV136" t="e">
        <f>AND('Badge Ticket Formats'!#REF!,"AAAAAF7/90k=")</f>
        <v>#REF!</v>
      </c>
      <c r="BW136" t="e">
        <f>AND('Badge Ticket Formats'!#REF!,"AAAAAF7/90o=")</f>
        <v>#REF!</v>
      </c>
      <c r="BX136" t="e">
        <f>AND('Badge Ticket Formats'!#REF!,"AAAAAF7/90s=")</f>
        <v>#REF!</v>
      </c>
      <c r="BY136" t="e">
        <f>AND('Badge Ticket Formats'!#REF!,"AAAAAF7/90w=")</f>
        <v>#REF!</v>
      </c>
      <c r="BZ136" t="e">
        <f>AND('Badge Ticket Formats'!#REF!,"AAAAAF7/900=")</f>
        <v>#REF!</v>
      </c>
      <c r="CA136" t="e">
        <f>AND('Badge Ticket Formats'!#REF!,"AAAAAF7/904=")</f>
        <v>#REF!</v>
      </c>
      <c r="CB136" t="e">
        <f>AND('Badge Ticket Formats'!#REF!,"AAAAAF7/908=")</f>
        <v>#REF!</v>
      </c>
      <c r="CC136" t="e">
        <f>AND('Badge Ticket Formats'!#REF!,"AAAAAF7/91A=")</f>
        <v>#REF!</v>
      </c>
      <c r="CD136" t="e">
        <f>AND('Badge Ticket Formats'!#REF!,"AAAAAF7/91E=")</f>
        <v>#REF!</v>
      </c>
      <c r="CE136" t="e">
        <f>AND('Badge Ticket Formats'!#REF!,"AAAAAF7/91I=")</f>
        <v>#REF!</v>
      </c>
      <c r="CF136" t="e">
        <f>AND('Badge Ticket Formats'!#REF!,"AAAAAF7/91M=")</f>
        <v>#REF!</v>
      </c>
      <c r="CG136" t="e">
        <f>AND('Badge Ticket Formats'!#REF!,"AAAAAF7/91Q=")</f>
        <v>#REF!</v>
      </c>
      <c r="CH136" t="e">
        <f>AND('Badge Ticket Formats'!#REF!,"AAAAAF7/91U=")</f>
        <v>#REF!</v>
      </c>
      <c r="CI136" t="e">
        <f>IF('Badge Ticket Formats'!#REF!,"AAAAAF7/91Y=",0)</f>
        <v>#REF!</v>
      </c>
      <c r="CJ136" t="e">
        <f>AND('Badge Ticket Formats'!#REF!,"AAAAAF7/91c=")</f>
        <v>#REF!</v>
      </c>
      <c r="CK136" t="e">
        <f>AND('Badge Ticket Formats'!#REF!,"AAAAAF7/91g=")</f>
        <v>#REF!</v>
      </c>
      <c r="CL136" t="e">
        <f>AND('Badge Ticket Formats'!#REF!,"AAAAAF7/91k=")</f>
        <v>#REF!</v>
      </c>
      <c r="CM136" t="e">
        <f>AND('Badge Ticket Formats'!#REF!,"AAAAAF7/91o=")</f>
        <v>#REF!</v>
      </c>
      <c r="CN136" t="e">
        <f>AND('Badge Ticket Formats'!#REF!,"AAAAAF7/91s=")</f>
        <v>#REF!</v>
      </c>
      <c r="CO136" t="e">
        <f>AND('Badge Ticket Formats'!#REF!,"AAAAAF7/91w=")</f>
        <v>#REF!</v>
      </c>
      <c r="CP136" t="e">
        <f>AND('Badge Ticket Formats'!#REF!,"AAAAAF7/910=")</f>
        <v>#REF!</v>
      </c>
      <c r="CQ136" t="e">
        <f>AND('Badge Ticket Formats'!#REF!,"AAAAAF7/914=")</f>
        <v>#REF!</v>
      </c>
      <c r="CR136" t="e">
        <f>AND('Badge Ticket Formats'!#REF!,"AAAAAF7/918=")</f>
        <v>#REF!</v>
      </c>
      <c r="CS136" t="e">
        <f>AND('Badge Ticket Formats'!#REF!,"AAAAAF7/92A=")</f>
        <v>#REF!</v>
      </c>
      <c r="CT136" t="e">
        <f>AND('Badge Ticket Formats'!#REF!,"AAAAAF7/92E=")</f>
        <v>#REF!</v>
      </c>
      <c r="CU136" t="e">
        <f>AND('Badge Ticket Formats'!#REF!,"AAAAAF7/92I=")</f>
        <v>#REF!</v>
      </c>
      <c r="CV136" t="e">
        <f>AND('Badge Ticket Formats'!#REF!,"AAAAAF7/92M=")</f>
        <v>#REF!</v>
      </c>
      <c r="CW136">
        <f>IF('Badge Ticket Formats'!10:10,"AAAAAF7/92Q=",0)</f>
        <v>0</v>
      </c>
      <c r="CX136" t="e">
        <f>AND('Badge Ticket Formats'!A10,"AAAAAF7/92U=")</f>
        <v>#VALUE!</v>
      </c>
      <c r="CY136" t="e">
        <f>AND('Badge Ticket Formats'!B10,"AAAAAF7/92Y=")</f>
        <v>#VALUE!</v>
      </c>
      <c r="CZ136" t="e">
        <f>AND('Badge Ticket Formats'!C10,"AAAAAF7/92c=")</f>
        <v>#VALUE!</v>
      </c>
      <c r="DA136" t="e">
        <f>AND('Badge Ticket Formats'!D10,"AAAAAF7/92g=")</f>
        <v>#VALUE!</v>
      </c>
      <c r="DB136" t="e">
        <f>AND('Badge Ticket Formats'!E10,"AAAAAF7/92k=")</f>
        <v>#VALUE!</v>
      </c>
      <c r="DC136" t="e">
        <f>AND('Badge Ticket Formats'!F10,"AAAAAF7/92o=")</f>
        <v>#VALUE!</v>
      </c>
      <c r="DD136" t="e">
        <f>AND('Badge Ticket Formats'!G10,"AAAAAF7/92s=")</f>
        <v>#VALUE!</v>
      </c>
      <c r="DE136" t="e">
        <f>AND('Badge Ticket Formats'!H10,"AAAAAF7/92w=")</f>
        <v>#VALUE!</v>
      </c>
      <c r="DF136" t="e">
        <f>AND('Badge Ticket Formats'!I10,"AAAAAF7/920=")</f>
        <v>#VALUE!</v>
      </c>
      <c r="DG136" t="e">
        <f>AND('Badge Ticket Formats'!J10,"AAAAAF7/924=")</f>
        <v>#VALUE!</v>
      </c>
      <c r="DH136" t="e">
        <f>AND('Badge Ticket Formats'!K10,"AAAAAF7/928=")</f>
        <v>#VALUE!</v>
      </c>
      <c r="DI136" t="e">
        <f>AND('Badge Ticket Formats'!L10,"AAAAAF7/93A=")</f>
        <v>#VALUE!</v>
      </c>
      <c r="DJ136" t="e">
        <f>AND('Badge Ticket Formats'!M10,"AAAAAF7/93E=")</f>
        <v>#VALUE!</v>
      </c>
      <c r="DK136">
        <f>IF('Badge Ticket Formats'!23:23,"AAAAAF7/93I=",0)</f>
        <v>0</v>
      </c>
      <c r="DL136" t="e">
        <f>AND('Badge Ticket Formats'!#REF!,"AAAAAF7/93M=")</f>
        <v>#REF!</v>
      </c>
      <c r="DM136" t="e">
        <f>AND('Badge Ticket Formats'!#REF!,"AAAAAF7/93Q=")</f>
        <v>#REF!</v>
      </c>
      <c r="DN136" t="e">
        <f>AND('Badge Ticket Formats'!C23,"AAAAAF7/93U=")</f>
        <v>#VALUE!</v>
      </c>
      <c r="DO136" t="e">
        <f>AND('Badge Ticket Formats'!B23,"AAAAAF7/93Y=")</f>
        <v>#VALUE!</v>
      </c>
      <c r="DP136" t="e">
        <f>AND('Badge Ticket Formats'!#REF!,"AAAAAF7/93c=")</f>
        <v>#REF!</v>
      </c>
      <c r="DQ136" t="e">
        <f>AND('Badge Ticket Formats'!D23,"AAAAAF7/93g=")</f>
        <v>#VALUE!</v>
      </c>
      <c r="DR136" t="e">
        <f>AND('Badge Ticket Formats'!E23,"AAAAAF7/93k=")</f>
        <v>#VALUE!</v>
      </c>
      <c r="DS136" t="e">
        <f>AND('Badge Ticket Formats'!F23,"AAAAAF7/93o=")</f>
        <v>#VALUE!</v>
      </c>
      <c r="DT136" t="e">
        <f>AND('Badge Ticket Formats'!G23,"AAAAAF7/93s=")</f>
        <v>#VALUE!</v>
      </c>
      <c r="DU136" t="e">
        <f>AND('Badge Ticket Formats'!H23,"AAAAAF7/93w=")</f>
        <v>#VALUE!</v>
      </c>
      <c r="DV136" t="e">
        <f>AND('Badge Ticket Formats'!I23,"AAAAAF7/930=")</f>
        <v>#VALUE!</v>
      </c>
      <c r="DW136" t="e">
        <f>AND('Badge Ticket Formats'!J23,"AAAAAF7/934=")</f>
        <v>#VALUE!</v>
      </c>
      <c r="DX136" t="e">
        <f>AND('Badge Ticket Formats'!K23,"AAAAAF7/938=")</f>
        <v>#VALUE!</v>
      </c>
      <c r="DY136" t="e">
        <f>IF('Badge Ticket Formats'!#REF!,"AAAAAF7/94A=",0)</f>
        <v>#REF!</v>
      </c>
      <c r="DZ136" t="e">
        <f>AND('Badge Ticket Formats'!#REF!,"AAAAAF7/94E=")</f>
        <v>#REF!</v>
      </c>
      <c r="EA136" t="e">
        <f>AND('Badge Ticket Formats'!#REF!,"AAAAAF7/94I=")</f>
        <v>#REF!</v>
      </c>
      <c r="EB136" t="e">
        <f>AND('Badge Ticket Formats'!#REF!,"AAAAAF7/94M=")</f>
        <v>#REF!</v>
      </c>
      <c r="EC136" t="e">
        <f>AND('Badge Ticket Formats'!#REF!,"AAAAAF7/94Q=")</f>
        <v>#REF!</v>
      </c>
      <c r="ED136" t="e">
        <f>AND('Badge Ticket Formats'!#REF!,"AAAAAF7/94U=")</f>
        <v>#REF!</v>
      </c>
      <c r="EE136" t="e">
        <f>AND('Badge Ticket Formats'!#REF!,"AAAAAF7/94Y=")</f>
        <v>#REF!</v>
      </c>
      <c r="EF136" t="e">
        <f>AND('Badge Ticket Formats'!#REF!,"AAAAAF7/94c=")</f>
        <v>#REF!</v>
      </c>
      <c r="EG136" t="e">
        <f>AND('Badge Ticket Formats'!#REF!,"AAAAAF7/94g=")</f>
        <v>#REF!</v>
      </c>
      <c r="EH136" t="e">
        <f>AND('Badge Ticket Formats'!#REF!,"AAAAAF7/94k=")</f>
        <v>#REF!</v>
      </c>
      <c r="EI136" t="e">
        <f>AND('Badge Ticket Formats'!#REF!,"AAAAAF7/94o=")</f>
        <v>#REF!</v>
      </c>
      <c r="EJ136" t="e">
        <f>AND('Badge Ticket Formats'!#REF!,"AAAAAF7/94s=")</f>
        <v>#REF!</v>
      </c>
      <c r="EK136" t="e">
        <f>AND('Badge Ticket Formats'!#REF!,"AAAAAF7/94w=")</f>
        <v>#REF!</v>
      </c>
      <c r="EL136" t="e">
        <f>AND('Badge Ticket Formats'!#REF!,"AAAAAF7/940=")</f>
        <v>#REF!</v>
      </c>
      <c r="EM136" t="e">
        <f>IF('Badge Ticket Formats'!#REF!,"AAAAAF7/944=",0)</f>
        <v>#REF!</v>
      </c>
      <c r="EN136" t="e">
        <f>AND('Badge Ticket Formats'!#REF!,"AAAAAF7/948=")</f>
        <v>#REF!</v>
      </c>
      <c r="EO136" t="e">
        <f>AND('Badge Ticket Formats'!#REF!,"AAAAAF7/95A=")</f>
        <v>#REF!</v>
      </c>
      <c r="EP136" t="e">
        <f>AND('Badge Ticket Formats'!#REF!,"AAAAAF7/95E=")</f>
        <v>#REF!</v>
      </c>
      <c r="EQ136" t="e">
        <f>AND('Badge Ticket Formats'!#REF!,"AAAAAF7/95I=")</f>
        <v>#REF!</v>
      </c>
      <c r="ER136" t="e">
        <f>AND('Badge Ticket Formats'!#REF!,"AAAAAF7/95M=")</f>
        <v>#REF!</v>
      </c>
      <c r="ES136" t="e">
        <f>AND('Badge Ticket Formats'!#REF!,"AAAAAF7/95Q=")</f>
        <v>#REF!</v>
      </c>
      <c r="ET136" t="e">
        <f>AND('Badge Ticket Formats'!#REF!,"AAAAAF7/95U=")</f>
        <v>#REF!</v>
      </c>
      <c r="EU136" t="e">
        <f>AND('Badge Ticket Formats'!#REF!,"AAAAAF7/95Y=")</f>
        <v>#REF!</v>
      </c>
      <c r="EV136" t="e">
        <f>AND('Badge Ticket Formats'!#REF!,"AAAAAF7/95c=")</f>
        <v>#REF!</v>
      </c>
      <c r="EW136" t="e">
        <f>AND('Badge Ticket Formats'!#REF!,"AAAAAF7/95g=")</f>
        <v>#REF!</v>
      </c>
      <c r="EX136" t="e">
        <f>AND('Badge Ticket Formats'!#REF!,"AAAAAF7/95k=")</f>
        <v>#REF!</v>
      </c>
      <c r="EY136" t="e">
        <f>AND('Badge Ticket Formats'!#REF!,"AAAAAF7/95o=")</f>
        <v>#REF!</v>
      </c>
      <c r="EZ136" t="e">
        <f>AND('Badge Ticket Formats'!#REF!,"AAAAAF7/95s=")</f>
        <v>#REF!</v>
      </c>
      <c r="FA136">
        <f>IF('Badge Ticket Formats'!34:34,"AAAAAF7/95w=",0)</f>
        <v>0</v>
      </c>
      <c r="FB136" t="e">
        <f>AND('Badge Ticket Formats'!#REF!,"AAAAAF7/950=")</f>
        <v>#REF!</v>
      </c>
      <c r="FC136" t="e">
        <f>AND('Badge Ticket Formats'!#REF!,"AAAAAF7/954=")</f>
        <v>#REF!</v>
      </c>
      <c r="FD136" t="e">
        <f>AND('Badge Ticket Formats'!#REF!,"AAAAAF7/958=")</f>
        <v>#REF!</v>
      </c>
      <c r="FE136" t="e">
        <f>AND('Badge Ticket Formats'!A34,"AAAAAF7/96A=")</f>
        <v>#VALUE!</v>
      </c>
      <c r="FF136" t="e">
        <f>AND('Badge Ticket Formats'!B34,"AAAAAF7/96E=")</f>
        <v>#VALUE!</v>
      </c>
      <c r="FG136" t="e">
        <f>AND('Badge Ticket Formats'!C34,"AAAAAF7/96I=")</f>
        <v>#VALUE!</v>
      </c>
      <c r="FH136" t="e">
        <f>AND('Badge Ticket Formats'!D34,"AAAAAF7/96M=")</f>
        <v>#VALUE!</v>
      </c>
      <c r="FI136" t="e">
        <f>AND('Badge Ticket Formats'!E34,"AAAAAF7/96Q=")</f>
        <v>#VALUE!</v>
      </c>
      <c r="FJ136" t="e">
        <f>AND('Badge Ticket Formats'!F34,"AAAAAF7/96U=")</f>
        <v>#VALUE!</v>
      </c>
      <c r="FK136" t="e">
        <f>AND('Badge Ticket Formats'!G34,"AAAAAF7/96Y=")</f>
        <v>#VALUE!</v>
      </c>
      <c r="FL136" t="e">
        <f>AND('Badge Ticket Formats'!H34,"AAAAAF7/96c=")</f>
        <v>#VALUE!</v>
      </c>
      <c r="FM136" t="e">
        <f>AND('Badge Ticket Formats'!I34,"AAAAAF7/96g=")</f>
        <v>#VALUE!</v>
      </c>
      <c r="FN136" t="e">
        <f>AND('Badge Ticket Formats'!J34,"AAAAAF7/96k=")</f>
        <v>#VALUE!</v>
      </c>
      <c r="FO136" t="e">
        <f>IF('Badge Ticket Formats'!#REF!,"AAAAAF7/96o=",0)</f>
        <v>#REF!</v>
      </c>
      <c r="FP136" t="e">
        <f>AND('Badge Ticket Formats'!#REF!,"AAAAAF7/96s=")</f>
        <v>#REF!</v>
      </c>
      <c r="FQ136" t="e">
        <f>AND('Badge Ticket Formats'!#REF!,"AAAAAF7/96w=")</f>
        <v>#REF!</v>
      </c>
      <c r="FR136" t="e">
        <f>AND('Badge Ticket Formats'!#REF!,"AAAAAF7/960=")</f>
        <v>#REF!</v>
      </c>
      <c r="FS136" t="e">
        <f>AND('Badge Ticket Formats'!#REF!,"AAAAAF7/964=")</f>
        <v>#REF!</v>
      </c>
      <c r="FT136" t="e">
        <f>AND('Badge Ticket Formats'!#REF!,"AAAAAF7/968=")</f>
        <v>#REF!</v>
      </c>
      <c r="FU136" t="e">
        <f>AND('Badge Ticket Formats'!#REF!,"AAAAAF7/97A=")</f>
        <v>#REF!</v>
      </c>
      <c r="FV136" t="e">
        <f>AND('Badge Ticket Formats'!#REF!,"AAAAAF7/97E=")</f>
        <v>#REF!</v>
      </c>
      <c r="FW136" t="e">
        <f>AND('Badge Ticket Formats'!#REF!,"AAAAAF7/97I=")</f>
        <v>#REF!</v>
      </c>
      <c r="FX136" t="e">
        <f>AND('Badge Ticket Formats'!#REF!,"AAAAAF7/97M=")</f>
        <v>#REF!</v>
      </c>
      <c r="FY136" t="e">
        <f>AND('Badge Ticket Formats'!#REF!,"AAAAAF7/97Q=")</f>
        <v>#REF!</v>
      </c>
      <c r="FZ136" t="e">
        <f>AND('Badge Ticket Formats'!#REF!,"AAAAAF7/97U=")</f>
        <v>#REF!</v>
      </c>
      <c r="GA136" t="e">
        <f>AND('Badge Ticket Formats'!#REF!,"AAAAAF7/97Y=")</f>
        <v>#REF!</v>
      </c>
      <c r="GB136" t="e">
        <f>AND('Badge Ticket Formats'!#REF!,"AAAAAF7/97c=")</f>
        <v>#REF!</v>
      </c>
      <c r="GC136" t="e">
        <f>IF('Badge Ticket Formats'!#REF!,"AAAAAF7/97g=",0)</f>
        <v>#REF!</v>
      </c>
      <c r="GD136" t="e">
        <f>AND('Badge Ticket Formats'!#REF!,"AAAAAF7/97k=")</f>
        <v>#REF!</v>
      </c>
      <c r="GE136" t="e">
        <f>AND('Badge Ticket Formats'!#REF!,"AAAAAF7/97o=")</f>
        <v>#REF!</v>
      </c>
      <c r="GF136" t="e">
        <f>AND('Badge Ticket Formats'!#REF!,"AAAAAF7/97s=")</f>
        <v>#REF!</v>
      </c>
      <c r="GG136" t="e">
        <f>AND('Badge Ticket Formats'!#REF!,"AAAAAF7/97w=")</f>
        <v>#REF!</v>
      </c>
      <c r="GH136" t="e">
        <f>AND('Badge Ticket Formats'!#REF!,"AAAAAF7/970=")</f>
        <v>#REF!</v>
      </c>
      <c r="GI136" t="e">
        <f>AND('Badge Ticket Formats'!#REF!,"AAAAAF7/974=")</f>
        <v>#REF!</v>
      </c>
      <c r="GJ136" t="e">
        <f>AND('Badge Ticket Formats'!#REF!,"AAAAAF7/978=")</f>
        <v>#REF!</v>
      </c>
      <c r="GK136" t="e">
        <f>AND('Badge Ticket Formats'!#REF!,"AAAAAF7/98A=")</f>
        <v>#REF!</v>
      </c>
      <c r="GL136" t="e">
        <f>AND('Badge Ticket Formats'!#REF!,"AAAAAF7/98E=")</f>
        <v>#REF!</v>
      </c>
      <c r="GM136" t="e">
        <f>AND('Badge Ticket Formats'!#REF!,"AAAAAF7/98I=")</f>
        <v>#REF!</v>
      </c>
      <c r="GN136" t="e">
        <f>AND('Badge Ticket Formats'!#REF!,"AAAAAF7/98M=")</f>
        <v>#REF!</v>
      </c>
      <c r="GO136" t="e">
        <f>AND('Badge Ticket Formats'!#REF!,"AAAAAF7/98Q=")</f>
        <v>#REF!</v>
      </c>
      <c r="GP136" t="e">
        <f>AND('Badge Ticket Formats'!#REF!,"AAAAAF7/98U=")</f>
        <v>#REF!</v>
      </c>
      <c r="GQ136" t="e">
        <f>IF('Badge Ticket Formats'!#REF!,"AAAAAF7/98Y=",0)</f>
        <v>#REF!</v>
      </c>
      <c r="GR136" t="e">
        <f>AND('Badge Ticket Formats'!#REF!,"AAAAAF7/98c=")</f>
        <v>#REF!</v>
      </c>
      <c r="GS136" t="e">
        <f>AND('Badge Ticket Formats'!#REF!,"AAAAAF7/98g=")</f>
        <v>#REF!</v>
      </c>
      <c r="GT136" t="e">
        <f>AND('Badge Ticket Formats'!#REF!,"AAAAAF7/98k=")</f>
        <v>#REF!</v>
      </c>
      <c r="GU136" t="e">
        <f>AND('Badge Ticket Formats'!#REF!,"AAAAAF7/98o=")</f>
        <v>#REF!</v>
      </c>
      <c r="GV136" t="e">
        <f>AND('Badge Ticket Formats'!#REF!,"AAAAAF7/98s=")</f>
        <v>#REF!</v>
      </c>
      <c r="GW136" t="e">
        <f>AND('Badge Ticket Formats'!#REF!,"AAAAAF7/98w=")</f>
        <v>#REF!</v>
      </c>
      <c r="GX136" t="e">
        <f>AND('Badge Ticket Formats'!#REF!,"AAAAAF7/980=")</f>
        <v>#REF!</v>
      </c>
      <c r="GY136" t="e">
        <f>AND('Badge Ticket Formats'!#REF!,"AAAAAF7/984=")</f>
        <v>#REF!</v>
      </c>
      <c r="GZ136" t="e">
        <f>AND('Badge Ticket Formats'!#REF!,"AAAAAF7/988=")</f>
        <v>#REF!</v>
      </c>
      <c r="HA136" t="e">
        <f>AND('Badge Ticket Formats'!#REF!,"AAAAAF7/99A=")</f>
        <v>#REF!</v>
      </c>
      <c r="HB136" t="e">
        <f>AND('Badge Ticket Formats'!#REF!,"AAAAAF7/99E=")</f>
        <v>#REF!</v>
      </c>
      <c r="HC136" t="e">
        <f>AND('Badge Ticket Formats'!#REF!,"AAAAAF7/99I=")</f>
        <v>#REF!</v>
      </c>
      <c r="HD136" t="e">
        <f>AND('Badge Ticket Formats'!#REF!,"AAAAAF7/99M=")</f>
        <v>#REF!</v>
      </c>
      <c r="HE136" t="e">
        <f>IF('Badge Ticket Formats'!#REF!,"AAAAAF7/99Q=",0)</f>
        <v>#REF!</v>
      </c>
      <c r="HF136" t="e">
        <f>AND('Badge Ticket Formats'!#REF!,"AAAAAF7/99U=")</f>
        <v>#REF!</v>
      </c>
      <c r="HG136" t="e">
        <f>AND('Badge Ticket Formats'!#REF!,"AAAAAF7/99Y=")</f>
        <v>#REF!</v>
      </c>
      <c r="HH136" t="e">
        <f>AND('Badge Ticket Formats'!#REF!,"AAAAAF7/99c=")</f>
        <v>#REF!</v>
      </c>
      <c r="HI136" t="e">
        <f>AND('Badge Ticket Formats'!#REF!,"AAAAAF7/99g=")</f>
        <v>#REF!</v>
      </c>
      <c r="HJ136" t="e">
        <f>AND('Badge Ticket Formats'!#REF!,"AAAAAF7/99k=")</f>
        <v>#REF!</v>
      </c>
      <c r="HK136" t="e">
        <f>AND('Badge Ticket Formats'!#REF!,"AAAAAF7/99o=")</f>
        <v>#REF!</v>
      </c>
      <c r="HL136" t="e">
        <f>AND('Badge Ticket Formats'!#REF!,"AAAAAF7/99s=")</f>
        <v>#REF!</v>
      </c>
      <c r="HM136" t="e">
        <f>AND('Badge Ticket Formats'!#REF!,"AAAAAF7/99w=")</f>
        <v>#REF!</v>
      </c>
      <c r="HN136" t="e">
        <f>AND('Badge Ticket Formats'!#REF!,"AAAAAF7/990=")</f>
        <v>#REF!</v>
      </c>
      <c r="HO136" t="e">
        <f>AND('Badge Ticket Formats'!#REF!,"AAAAAF7/994=")</f>
        <v>#REF!</v>
      </c>
      <c r="HP136" t="e">
        <f>AND('Badge Ticket Formats'!#REF!,"AAAAAF7/998=")</f>
        <v>#REF!</v>
      </c>
      <c r="HQ136" t="e">
        <f>AND('Badge Ticket Formats'!#REF!,"AAAAAF7/9+A=")</f>
        <v>#REF!</v>
      </c>
      <c r="HR136" t="e">
        <f>AND('Badge Ticket Formats'!#REF!,"AAAAAF7/9+E=")</f>
        <v>#REF!</v>
      </c>
      <c r="HS136" t="e">
        <f>IF('Badge Ticket Formats'!#REF!,"AAAAAF7/9+I=",0)</f>
        <v>#REF!</v>
      </c>
      <c r="HT136" t="e">
        <f>AND('Badge Ticket Formats'!#REF!,"AAAAAF7/9+M=")</f>
        <v>#REF!</v>
      </c>
      <c r="HU136" t="e">
        <f>AND('Badge Ticket Formats'!#REF!,"AAAAAF7/9+Q=")</f>
        <v>#REF!</v>
      </c>
      <c r="HV136" t="e">
        <f>AND('Badge Ticket Formats'!#REF!,"AAAAAF7/9+U=")</f>
        <v>#REF!</v>
      </c>
      <c r="HW136" t="e">
        <f>AND('Badge Ticket Formats'!#REF!,"AAAAAF7/9+Y=")</f>
        <v>#REF!</v>
      </c>
      <c r="HX136" t="e">
        <f>AND('Badge Ticket Formats'!#REF!,"AAAAAF7/9+c=")</f>
        <v>#REF!</v>
      </c>
      <c r="HY136" t="e">
        <f>AND('Badge Ticket Formats'!#REF!,"AAAAAF7/9+g=")</f>
        <v>#REF!</v>
      </c>
      <c r="HZ136" t="e">
        <f>AND('Badge Ticket Formats'!#REF!,"AAAAAF7/9+k=")</f>
        <v>#REF!</v>
      </c>
      <c r="IA136" t="e">
        <f>AND('Badge Ticket Formats'!#REF!,"AAAAAF7/9+o=")</f>
        <v>#REF!</v>
      </c>
      <c r="IB136" t="e">
        <f>AND('Badge Ticket Formats'!#REF!,"AAAAAF7/9+s=")</f>
        <v>#REF!</v>
      </c>
      <c r="IC136" t="e">
        <f>AND('Badge Ticket Formats'!#REF!,"AAAAAF7/9+w=")</f>
        <v>#REF!</v>
      </c>
      <c r="ID136" t="e">
        <f>AND('Badge Ticket Formats'!#REF!,"AAAAAF7/9+0=")</f>
        <v>#REF!</v>
      </c>
      <c r="IE136" t="e">
        <f>AND('Badge Ticket Formats'!#REF!,"AAAAAF7/9+4=")</f>
        <v>#REF!</v>
      </c>
      <c r="IF136" t="e">
        <f>AND('Badge Ticket Formats'!#REF!,"AAAAAF7/9+8=")</f>
        <v>#REF!</v>
      </c>
      <c r="IG136" t="e">
        <f>IF('Badge Ticket Formats'!#REF!,"AAAAAF7/9/A=",0)</f>
        <v>#REF!</v>
      </c>
      <c r="IH136" t="e">
        <f>AND('Badge Ticket Formats'!#REF!,"AAAAAF7/9/E=")</f>
        <v>#REF!</v>
      </c>
      <c r="II136" t="e">
        <f>AND('Badge Ticket Formats'!#REF!,"AAAAAF7/9/I=")</f>
        <v>#REF!</v>
      </c>
      <c r="IJ136" t="e">
        <f>AND('Badge Ticket Formats'!#REF!,"AAAAAF7/9/M=")</f>
        <v>#REF!</v>
      </c>
      <c r="IK136" t="e">
        <f>AND('Badge Ticket Formats'!#REF!,"AAAAAF7/9/Q=")</f>
        <v>#REF!</v>
      </c>
      <c r="IL136" t="e">
        <f>AND('Badge Ticket Formats'!#REF!,"AAAAAF7/9/U=")</f>
        <v>#REF!</v>
      </c>
      <c r="IM136" t="e">
        <f>AND('Badge Ticket Formats'!#REF!,"AAAAAF7/9/Y=")</f>
        <v>#REF!</v>
      </c>
      <c r="IN136" t="e">
        <f>AND('Badge Ticket Formats'!#REF!,"AAAAAF7/9/c=")</f>
        <v>#REF!</v>
      </c>
      <c r="IO136" t="e">
        <f>AND('Badge Ticket Formats'!#REF!,"AAAAAF7/9/g=")</f>
        <v>#REF!</v>
      </c>
      <c r="IP136" t="e">
        <f>AND('Badge Ticket Formats'!#REF!,"AAAAAF7/9/k=")</f>
        <v>#REF!</v>
      </c>
      <c r="IQ136" t="e">
        <f>AND('Badge Ticket Formats'!#REF!,"AAAAAF7/9/o=")</f>
        <v>#REF!</v>
      </c>
      <c r="IR136" t="e">
        <f>AND('Badge Ticket Formats'!#REF!,"AAAAAF7/9/s=")</f>
        <v>#REF!</v>
      </c>
      <c r="IS136" t="e">
        <f>AND('Badge Ticket Formats'!#REF!,"AAAAAF7/9/w=")</f>
        <v>#REF!</v>
      </c>
      <c r="IT136" t="e">
        <f>AND('Badge Ticket Formats'!#REF!,"AAAAAF7/9/0=")</f>
        <v>#REF!</v>
      </c>
      <c r="IU136" t="e">
        <f>IF('Badge Ticket Formats'!#REF!,"AAAAAF7/9/4=",0)</f>
        <v>#REF!</v>
      </c>
      <c r="IV136" t="e">
        <f>AND('Badge Ticket Formats'!#REF!,"AAAAAF7/9/8=")</f>
        <v>#REF!</v>
      </c>
    </row>
    <row r="137" spans="1:256" x14ac:dyDescent="0.2">
      <c r="A137" t="e">
        <f>AND('Badge Ticket Formats'!#REF!,"AAAAAG5+vwA=")</f>
        <v>#REF!</v>
      </c>
      <c r="B137" t="e">
        <f>AND('Badge Ticket Formats'!#REF!,"AAAAAG5+vwE=")</f>
        <v>#REF!</v>
      </c>
      <c r="C137" t="e">
        <f>AND('Badge Ticket Formats'!#REF!,"AAAAAG5+vwI=")</f>
        <v>#REF!</v>
      </c>
      <c r="D137" t="e">
        <f>AND('Badge Ticket Formats'!#REF!,"AAAAAG5+vwM=")</f>
        <v>#REF!</v>
      </c>
      <c r="E137" t="e">
        <f>AND('Badge Ticket Formats'!#REF!,"AAAAAG5+vwQ=")</f>
        <v>#REF!</v>
      </c>
      <c r="F137" t="e">
        <f>AND('Badge Ticket Formats'!#REF!,"AAAAAG5+vwU=")</f>
        <v>#REF!</v>
      </c>
      <c r="G137" t="e">
        <f>AND('Badge Ticket Formats'!#REF!,"AAAAAG5+vwY=")</f>
        <v>#REF!</v>
      </c>
      <c r="H137" t="e">
        <f>AND('Badge Ticket Formats'!#REF!,"AAAAAG5+vwc=")</f>
        <v>#REF!</v>
      </c>
      <c r="I137" t="e">
        <f>AND('Badge Ticket Formats'!#REF!,"AAAAAG5+vwg=")</f>
        <v>#REF!</v>
      </c>
      <c r="J137" t="e">
        <f>AND('Badge Ticket Formats'!#REF!,"AAAAAG5+vwk=")</f>
        <v>#REF!</v>
      </c>
      <c r="K137" t="e">
        <f>AND('Badge Ticket Formats'!#REF!,"AAAAAG5+vwo=")</f>
        <v>#REF!</v>
      </c>
      <c r="L137" t="e">
        <f>AND('Badge Ticket Formats'!#REF!,"AAAAAG5+vws=")</f>
        <v>#REF!</v>
      </c>
      <c r="M137">
        <f>IF('Badge Ticket Formats'!35:35,"AAAAAG5+vww=",0)</f>
        <v>0</v>
      </c>
      <c r="N137" t="e">
        <f>AND('Badge Ticket Formats'!#REF!,"AAAAAG5+vw0=")</f>
        <v>#REF!</v>
      </c>
      <c r="O137" t="e">
        <f>AND('Badge Ticket Formats'!#REF!,"AAAAAG5+vw4=")</f>
        <v>#REF!</v>
      </c>
      <c r="P137" t="e">
        <f>AND('Badge Ticket Formats'!#REF!,"AAAAAG5+vw8=")</f>
        <v>#REF!</v>
      </c>
      <c r="Q137" t="e">
        <f>AND('Badge Ticket Formats'!A35,"AAAAAG5+vxA=")</f>
        <v>#VALUE!</v>
      </c>
      <c r="R137" t="e">
        <f>AND('Badge Ticket Formats'!B35,"AAAAAG5+vxE=")</f>
        <v>#VALUE!</v>
      </c>
      <c r="S137" t="e">
        <f>AND('Badge Ticket Formats'!C35,"AAAAAG5+vxI=")</f>
        <v>#VALUE!</v>
      </c>
      <c r="T137" t="e">
        <f>AND('Badge Ticket Formats'!D35,"AAAAAG5+vxM=")</f>
        <v>#VALUE!</v>
      </c>
      <c r="U137" t="e">
        <f>AND('Badge Ticket Formats'!E35,"AAAAAG5+vxQ=")</f>
        <v>#VALUE!</v>
      </c>
      <c r="V137" t="e">
        <f>AND('Badge Ticket Formats'!F35,"AAAAAG5+vxU=")</f>
        <v>#VALUE!</v>
      </c>
      <c r="W137" t="e">
        <f>AND('Badge Ticket Formats'!G35,"AAAAAG5+vxY=")</f>
        <v>#VALUE!</v>
      </c>
      <c r="X137" t="e">
        <f>AND('Badge Ticket Formats'!H35,"AAAAAG5+vxc=")</f>
        <v>#VALUE!</v>
      </c>
      <c r="Y137" t="e">
        <f>AND('Badge Ticket Formats'!I35,"AAAAAG5+vxg=")</f>
        <v>#VALUE!</v>
      </c>
      <c r="Z137" t="e">
        <f>AND('Badge Ticket Formats'!J35,"AAAAAG5+vxk=")</f>
        <v>#VALUE!</v>
      </c>
      <c r="AA137">
        <f>IF('Badge Ticket Formats'!36:36,"AAAAAG5+vxo=",0)</f>
        <v>0</v>
      </c>
      <c r="AB137" t="e">
        <f>AND('Badge Ticket Formats'!#REF!,"AAAAAG5+vxs=")</f>
        <v>#REF!</v>
      </c>
      <c r="AC137" t="e">
        <f>AND('Badge Ticket Formats'!#REF!,"AAAAAG5+vxw=")</f>
        <v>#REF!</v>
      </c>
      <c r="AD137" t="e">
        <f>AND('Badge Ticket Formats'!#REF!,"AAAAAG5+vx0=")</f>
        <v>#REF!</v>
      </c>
      <c r="AE137" t="e">
        <f>AND('Badge Ticket Formats'!A36,"AAAAAG5+vx4=")</f>
        <v>#VALUE!</v>
      </c>
      <c r="AF137" t="e">
        <f>AND('Badge Ticket Formats'!B36,"AAAAAG5+vx8=")</f>
        <v>#VALUE!</v>
      </c>
      <c r="AG137" t="e">
        <f>AND('Badge Ticket Formats'!C36,"AAAAAG5+vyA=")</f>
        <v>#VALUE!</v>
      </c>
      <c r="AH137" t="e">
        <f>AND('Badge Ticket Formats'!D36,"AAAAAG5+vyE=")</f>
        <v>#VALUE!</v>
      </c>
      <c r="AI137" t="e">
        <f>AND('Badge Ticket Formats'!E36,"AAAAAG5+vyI=")</f>
        <v>#VALUE!</v>
      </c>
      <c r="AJ137" t="e">
        <f>AND('Badge Ticket Formats'!G36,"AAAAAG5+vyM=")</f>
        <v>#VALUE!</v>
      </c>
      <c r="AK137" t="e">
        <f>AND('Badge Ticket Formats'!H36,"AAAAAG5+vyQ=")</f>
        <v>#VALUE!</v>
      </c>
      <c r="AL137" t="e">
        <f>AND('Badge Ticket Formats'!#REF!,"AAAAAG5+vyU=")</f>
        <v>#REF!</v>
      </c>
      <c r="AM137" t="e">
        <f>AND('Badge Ticket Formats'!J36,"AAAAAG5+vyY=")</f>
        <v>#VALUE!</v>
      </c>
      <c r="AN137" t="e">
        <f>AND('Badge Ticket Formats'!K36,"AAAAAG5+vyc=")</f>
        <v>#VALUE!</v>
      </c>
      <c r="AO137">
        <f>IF('Badge Ticket Formats'!37:37,"AAAAAG5+vyg=",0)</f>
        <v>0</v>
      </c>
      <c r="AP137" t="e">
        <f>AND('Badge Ticket Formats'!#REF!,"AAAAAG5+vyk=")</f>
        <v>#REF!</v>
      </c>
      <c r="AQ137" t="e">
        <f>AND('Badge Ticket Formats'!#REF!,"AAAAAG5+vyo=")</f>
        <v>#REF!</v>
      </c>
      <c r="AR137" t="e">
        <f>AND('Badge Ticket Formats'!#REF!,"AAAAAG5+vys=")</f>
        <v>#REF!</v>
      </c>
      <c r="AS137" t="e">
        <f>AND('Badge Ticket Formats'!A37,"AAAAAG5+vyw=")</f>
        <v>#VALUE!</v>
      </c>
      <c r="AT137" t="e">
        <f>AND('Badge Ticket Formats'!B37,"AAAAAG5+vy0=")</f>
        <v>#VALUE!</v>
      </c>
      <c r="AU137" t="e">
        <f>AND('Badge Ticket Formats'!C37,"AAAAAG5+vy4=")</f>
        <v>#VALUE!</v>
      </c>
      <c r="AV137" t="e">
        <f>AND('Badge Ticket Formats'!D38,"AAAAAG5+vy8=")</f>
        <v>#VALUE!</v>
      </c>
      <c r="AW137" t="e">
        <f>AND('Badge Ticket Formats'!E38,"AAAAAG5+vzA=")</f>
        <v>#VALUE!</v>
      </c>
      <c r="AX137" t="e">
        <f>AND('Badge Ticket Formats'!G40,"AAAAAG5+vzE=")</f>
        <v>#VALUE!</v>
      </c>
      <c r="AY137" t="e">
        <f>AND('Badge Ticket Formats'!H40,"AAAAAG5+vzI=")</f>
        <v>#VALUE!</v>
      </c>
      <c r="AZ137" t="e">
        <f>AND('Badge Ticket Formats'!#REF!,"AAAAAG5+vzM=")</f>
        <v>#REF!</v>
      </c>
      <c r="BA137" t="e">
        <f>AND('Badge Ticket Formats'!#REF!,"AAAAAG5+vzQ=")</f>
        <v>#REF!</v>
      </c>
      <c r="BB137" t="e">
        <f>AND('Badge Ticket Formats'!#REF!,"AAAAAG5+vzU=")</f>
        <v>#REF!</v>
      </c>
      <c r="BC137">
        <f>IF('Badge Ticket Formats'!38:38,"AAAAAG5+vzY=",0)</f>
        <v>0</v>
      </c>
      <c r="BD137" t="e">
        <f>AND('Badge Ticket Formats'!#REF!,"AAAAAG5+vzc=")</f>
        <v>#REF!</v>
      </c>
      <c r="BE137" t="e">
        <f>AND('Badge Ticket Formats'!#REF!,"AAAAAG5+vzg=")</f>
        <v>#REF!</v>
      </c>
      <c r="BF137" t="e">
        <f>AND('Badge Ticket Formats'!#REF!,"AAAAAG5+vzk=")</f>
        <v>#REF!</v>
      </c>
      <c r="BG137" t="e">
        <f>AND('Badge Ticket Formats'!#REF!,"AAAAAG5+vzo=")</f>
        <v>#REF!</v>
      </c>
      <c r="BH137" t="e">
        <f>AND('Badge Ticket Formats'!#REF!,"AAAAAG5+vzs=")</f>
        <v>#REF!</v>
      </c>
      <c r="BI137" t="e">
        <f>AND('Badge Ticket Formats'!C38,"AAAAAG5+vzw=")</f>
        <v>#VALUE!</v>
      </c>
      <c r="BJ137" t="e">
        <f>AND('Badge Ticket Formats'!D39,"AAAAAG5+vz0=")</f>
        <v>#VALUE!</v>
      </c>
      <c r="BK137" t="e">
        <f>AND('Badge Ticket Formats'!E39,"AAAAAG5+vz4=")</f>
        <v>#VALUE!</v>
      </c>
      <c r="BL137" t="e">
        <f>AND('Badge Ticket Formats'!G41,"AAAAAG5+vz8=")</f>
        <v>#VALUE!</v>
      </c>
      <c r="BM137" t="e">
        <f>AND('Badge Ticket Formats'!H41,"AAAAAG5+v0A=")</f>
        <v>#VALUE!</v>
      </c>
      <c r="BN137" t="e">
        <f>AND('Badge Ticket Formats'!#REF!,"AAAAAG5+v0E=")</f>
        <v>#REF!</v>
      </c>
      <c r="BO137" t="e">
        <f>AND('Badge Ticket Formats'!#REF!,"AAAAAG5+v0I=")</f>
        <v>#REF!</v>
      </c>
      <c r="BP137" t="e">
        <f>AND('Badge Ticket Formats'!#REF!,"AAAAAG5+v0M=")</f>
        <v>#REF!</v>
      </c>
      <c r="BQ137">
        <f>IF('Badge Ticket Formats'!39:39,"AAAAAG5+v0Q=",0)</f>
        <v>0</v>
      </c>
      <c r="BR137" t="e">
        <f>AND('Badge Ticket Formats'!#REF!,"AAAAAG5+v0U=")</f>
        <v>#REF!</v>
      </c>
      <c r="BS137" t="e">
        <f>AND('Badge Ticket Formats'!#REF!,"AAAAAG5+v0Y=")</f>
        <v>#REF!</v>
      </c>
      <c r="BT137" t="e">
        <f>AND('Badge Ticket Formats'!#REF!,"AAAAAG5+v0c=")</f>
        <v>#REF!</v>
      </c>
      <c r="BU137" t="e">
        <f>AND('Badge Ticket Formats'!A38,"AAAAAG5+v0g=")</f>
        <v>#VALUE!</v>
      </c>
      <c r="BV137" t="e">
        <f>AND('Badge Ticket Formats'!B38,"AAAAAG5+v0k=")</f>
        <v>#VALUE!</v>
      </c>
      <c r="BW137" t="e">
        <f>AND('Badge Ticket Formats'!C39,"AAAAAG5+v0o=")</f>
        <v>#VALUE!</v>
      </c>
      <c r="BX137" t="e">
        <f>AND('Badge Ticket Formats'!D40,"AAAAAG5+v0s=")</f>
        <v>#VALUE!</v>
      </c>
      <c r="BY137" t="e">
        <f>AND('Badge Ticket Formats'!E40,"AAAAAG5+v0w=")</f>
        <v>#VALUE!</v>
      </c>
      <c r="BZ137" t="e">
        <f>AND('Badge Ticket Formats'!G42,"AAAAAG5+v00=")</f>
        <v>#VALUE!</v>
      </c>
      <c r="CA137" t="e">
        <f>AND('Badge Ticket Formats'!H42,"AAAAAG5+v04=")</f>
        <v>#VALUE!</v>
      </c>
      <c r="CB137" t="e">
        <f>AND('Badge Ticket Formats'!#REF!,"AAAAAG5+v08=")</f>
        <v>#REF!</v>
      </c>
      <c r="CC137" t="e">
        <f>AND('Badge Ticket Formats'!#REF!,"AAAAAG5+v1A=")</f>
        <v>#REF!</v>
      </c>
      <c r="CD137" t="e">
        <f>AND('Badge Ticket Formats'!#REF!,"AAAAAG5+v1E=")</f>
        <v>#REF!</v>
      </c>
      <c r="CE137">
        <f>IF('Badge Ticket Formats'!40:40,"AAAAAG5+v1I=",0)</f>
        <v>0</v>
      </c>
      <c r="CF137" t="e">
        <f>AND('Badge Ticket Formats'!#REF!,"AAAAAG5+v1M=")</f>
        <v>#REF!</v>
      </c>
      <c r="CG137" t="e">
        <f>AND('Badge Ticket Formats'!#REF!,"AAAAAG5+v1Q=")</f>
        <v>#REF!</v>
      </c>
      <c r="CH137" t="e">
        <f>AND('Badge Ticket Formats'!#REF!,"AAAAAG5+v1U=")</f>
        <v>#REF!</v>
      </c>
      <c r="CI137" t="e">
        <f>AND('Badge Ticket Formats'!A39,"AAAAAG5+v1Y=")</f>
        <v>#VALUE!</v>
      </c>
      <c r="CJ137" t="e">
        <f>AND('Badge Ticket Formats'!B39,"AAAAAG5+v1c=")</f>
        <v>#VALUE!</v>
      </c>
      <c r="CK137" t="e">
        <f>AND('Badge Ticket Formats'!C40,"AAAAAG5+v1g=")</f>
        <v>#VALUE!</v>
      </c>
      <c r="CL137" t="e">
        <f>AND('Badge Ticket Formats'!D41,"AAAAAG5+v1k=")</f>
        <v>#VALUE!</v>
      </c>
      <c r="CM137" t="e">
        <f>AND('Badge Ticket Formats'!E41,"AAAAAG5+v1o=")</f>
        <v>#VALUE!</v>
      </c>
      <c r="CN137" t="e">
        <f>AND('Badge Ticket Formats'!J37,"AAAAAG5+v1s=")</f>
        <v>#VALUE!</v>
      </c>
      <c r="CO137" t="e">
        <f>AND('Badge Ticket Formats'!K37,"AAAAAG5+v1w=")</f>
        <v>#VALUE!</v>
      </c>
      <c r="CP137" t="e">
        <f>AND('Badge Ticket Formats'!#REF!,"AAAAAG5+v10=")</f>
        <v>#REF!</v>
      </c>
      <c r="CQ137" t="e">
        <f>AND('Badge Ticket Formats'!#REF!,"AAAAAG5+v14=")</f>
        <v>#REF!</v>
      </c>
      <c r="CR137" t="e">
        <f>AND('Badge Ticket Formats'!#REF!,"AAAAAG5+v18=")</f>
        <v>#REF!</v>
      </c>
      <c r="CS137">
        <f>IF('Badge Ticket Formats'!41:41,"AAAAAG5+v2A=",0)</f>
        <v>0</v>
      </c>
      <c r="CT137" t="e">
        <f>AND('Badge Ticket Formats'!#REF!,"AAAAAG5+v2E=")</f>
        <v>#REF!</v>
      </c>
      <c r="CU137" t="e">
        <f>AND('Badge Ticket Formats'!#REF!,"AAAAAG5+v2I=")</f>
        <v>#REF!</v>
      </c>
      <c r="CV137" t="e">
        <f>AND('Badge Ticket Formats'!#REF!,"AAAAAG5+v2M=")</f>
        <v>#REF!</v>
      </c>
      <c r="CW137" t="e">
        <f>AND('Badge Ticket Formats'!A40,"AAAAAG5+v2Q=")</f>
        <v>#VALUE!</v>
      </c>
      <c r="CX137" t="e">
        <f>AND('Badge Ticket Formats'!B40,"AAAAAG5+v2U=")</f>
        <v>#VALUE!</v>
      </c>
      <c r="CY137" t="e">
        <f>AND('Badge Ticket Formats'!C41,"AAAAAG5+v2Y=")</f>
        <v>#VALUE!</v>
      </c>
      <c r="CZ137" t="e">
        <f>AND('Badge Ticket Formats'!D42,"AAAAAG5+v2c=")</f>
        <v>#VALUE!</v>
      </c>
      <c r="DA137" t="e">
        <f>AND('Badge Ticket Formats'!E42,"AAAAAG5+v2g=")</f>
        <v>#VALUE!</v>
      </c>
      <c r="DB137" t="e">
        <f>AND('Badge Ticket Formats'!J38,"AAAAAG5+v2k=")</f>
        <v>#VALUE!</v>
      </c>
      <c r="DC137" t="e">
        <f>AND('Badge Ticket Formats'!K38,"AAAAAG5+v2o=")</f>
        <v>#VALUE!</v>
      </c>
      <c r="DD137" t="e">
        <f>AND('Badge Ticket Formats'!#REF!,"AAAAAG5+v2s=")</f>
        <v>#REF!</v>
      </c>
      <c r="DE137" t="e">
        <f>AND('Badge Ticket Formats'!J40,"AAAAAG5+v2w=")</f>
        <v>#VALUE!</v>
      </c>
      <c r="DF137" t="e">
        <f>AND('Badge Ticket Formats'!K40,"AAAAAG5+v20=")</f>
        <v>#VALUE!</v>
      </c>
      <c r="DG137">
        <f>IF('Badge Ticket Formats'!42:42,"AAAAAG5+v24=",0)</f>
        <v>0</v>
      </c>
      <c r="DH137" t="e">
        <f>AND('Badge Ticket Formats'!#REF!,"AAAAAG5+v28=")</f>
        <v>#REF!</v>
      </c>
      <c r="DI137" t="e">
        <f>AND('Badge Ticket Formats'!#REF!,"AAAAAG5+v3A=")</f>
        <v>#REF!</v>
      </c>
      <c r="DJ137" t="e">
        <f>AND('Badge Ticket Formats'!#REF!,"AAAAAG5+v3E=")</f>
        <v>#REF!</v>
      </c>
      <c r="DK137" t="e">
        <f>AND('Badge Ticket Formats'!A41,"AAAAAG5+v3I=")</f>
        <v>#VALUE!</v>
      </c>
      <c r="DL137" t="e">
        <f>AND('Badge Ticket Formats'!B41,"AAAAAG5+v3M=")</f>
        <v>#VALUE!</v>
      </c>
      <c r="DM137" t="e">
        <f>AND('Badge Ticket Formats'!C42,"AAAAAG5+v3Q=")</f>
        <v>#VALUE!</v>
      </c>
      <c r="DN137" t="e">
        <f>AND('Badge Ticket Formats'!G37,"AAAAAG5+v3U=")</f>
        <v>#VALUE!</v>
      </c>
      <c r="DO137" t="e">
        <f>AND('Badge Ticket Formats'!H37,"AAAAAG5+v3Y=")</f>
        <v>#VALUE!</v>
      </c>
      <c r="DP137" t="e">
        <f>AND('Badge Ticket Formats'!J39,"AAAAAG5+v3c=")</f>
        <v>#VALUE!</v>
      </c>
      <c r="DQ137" t="e">
        <f>AND('Badge Ticket Formats'!K39,"AAAAAG5+v3g=")</f>
        <v>#VALUE!</v>
      </c>
      <c r="DR137" t="e">
        <f>AND('Badge Ticket Formats'!#REF!,"AAAAAG5+v3k=")</f>
        <v>#REF!</v>
      </c>
      <c r="DS137" t="e">
        <f>AND('Badge Ticket Formats'!J41,"AAAAAG5+v3o=")</f>
        <v>#VALUE!</v>
      </c>
      <c r="DT137" t="e">
        <f>AND('Badge Ticket Formats'!K41,"AAAAAG5+v3s=")</f>
        <v>#VALUE!</v>
      </c>
      <c r="DU137" t="e">
        <f>IF('Badge Ticket Formats'!#REF!,"AAAAAG5+v3w=",0)</f>
        <v>#REF!</v>
      </c>
      <c r="DV137" t="e">
        <f>AND('Badge Ticket Formats'!#REF!,"AAAAAG5+v30=")</f>
        <v>#REF!</v>
      </c>
      <c r="DW137" t="e">
        <f>AND('Badge Ticket Formats'!#REF!,"AAAAAG5+v34=")</f>
        <v>#REF!</v>
      </c>
      <c r="DX137" t="e">
        <f>AND('Badge Ticket Formats'!#REF!,"AAAAAG5+v38=")</f>
        <v>#REF!</v>
      </c>
      <c r="DY137" t="e">
        <f>AND('Badge Ticket Formats'!A42,"AAAAAG5+v4A=")</f>
        <v>#VALUE!</v>
      </c>
      <c r="DZ137" t="e">
        <f>AND('Badge Ticket Formats'!B42,"AAAAAG5+v4E=")</f>
        <v>#VALUE!</v>
      </c>
      <c r="EA137" t="e">
        <f>AND('Badge Ticket Formats'!#REF!,"AAAAAG5+v4I=")</f>
        <v>#REF!</v>
      </c>
      <c r="EB137" t="e">
        <f>AND('Badge Ticket Formats'!G38,"AAAAAG5+v4M=")</f>
        <v>#VALUE!</v>
      </c>
      <c r="EC137" t="e">
        <f>AND('Badge Ticket Formats'!H38,"AAAAAG5+v4Q=")</f>
        <v>#VALUE!</v>
      </c>
      <c r="ED137" t="e">
        <f>AND('Badge Ticket Formats'!#REF!,"AAAAAG5+v4U=")</f>
        <v>#REF!</v>
      </c>
      <c r="EE137" t="e">
        <f>AND('Badge Ticket Formats'!#REF!,"AAAAAG5+v4Y=")</f>
        <v>#REF!</v>
      </c>
      <c r="EF137" t="e">
        <f>AND('Badge Ticket Formats'!#REF!,"AAAAAG5+v4c=")</f>
        <v>#REF!</v>
      </c>
      <c r="EG137" t="e">
        <f>AND('Badge Ticket Formats'!J42,"AAAAAG5+v4g=")</f>
        <v>#VALUE!</v>
      </c>
      <c r="EH137" t="e">
        <f>AND('Badge Ticket Formats'!K42,"AAAAAG5+v4k=")</f>
        <v>#VALUE!</v>
      </c>
      <c r="EI137" t="e">
        <f>IF('Badge Ticket Formats'!#REF!,"AAAAAG5+v4o=",0)</f>
        <v>#REF!</v>
      </c>
      <c r="EJ137" t="e">
        <f>AND('Badge Ticket Formats'!#REF!,"AAAAAG5+v4s=")</f>
        <v>#REF!</v>
      </c>
      <c r="EK137" t="e">
        <f>AND('Badge Ticket Formats'!#REF!,"AAAAAG5+v4w=")</f>
        <v>#REF!</v>
      </c>
      <c r="EL137" t="e">
        <f>AND('Badge Ticket Formats'!#REF!,"AAAAAG5+v40=")</f>
        <v>#REF!</v>
      </c>
      <c r="EM137" t="e">
        <f>AND('Badge Ticket Formats'!#REF!,"AAAAAG5+v44=")</f>
        <v>#REF!</v>
      </c>
      <c r="EN137" t="e">
        <f>AND('Badge Ticket Formats'!E37,"AAAAAG5+v48=")</f>
        <v>#VALUE!</v>
      </c>
      <c r="EO137" t="e">
        <f>AND('Badge Ticket Formats'!#REF!,"AAAAAG5+v5A=")</f>
        <v>#REF!</v>
      </c>
      <c r="EP137" t="e">
        <f>AND('Badge Ticket Formats'!G39,"AAAAAG5+v5E=")</f>
        <v>#VALUE!</v>
      </c>
      <c r="EQ137" t="e">
        <f>AND('Badge Ticket Formats'!H39,"AAAAAG5+v5I=")</f>
        <v>#VALUE!</v>
      </c>
      <c r="ER137" t="e">
        <f>AND('Badge Ticket Formats'!#REF!,"AAAAAG5+v5M=")</f>
        <v>#REF!</v>
      </c>
      <c r="ES137" t="e">
        <f>AND('Badge Ticket Formats'!#REF!,"AAAAAG5+v5Q=")</f>
        <v>#REF!</v>
      </c>
      <c r="ET137" t="e">
        <f>AND('Badge Ticket Formats'!#REF!,"AAAAAG5+v5U=")</f>
        <v>#REF!</v>
      </c>
      <c r="EU137" t="e">
        <f>AND('Badge Ticket Formats'!#REF!,"AAAAAG5+v5Y=")</f>
        <v>#REF!</v>
      </c>
      <c r="EV137" t="e">
        <f>AND('Badge Ticket Formats'!#REF!,"AAAAAG5+v5c=")</f>
        <v>#REF!</v>
      </c>
      <c r="EW137">
        <f>IF('Badge Ticket Formats'!43:43,"AAAAAG5+v5g=",0)</f>
        <v>0</v>
      </c>
      <c r="EX137" t="e">
        <f>AND('Badge Ticket Formats'!#REF!,"AAAAAG5+v5k=")</f>
        <v>#REF!</v>
      </c>
      <c r="EY137" t="e">
        <f>AND('Badge Ticket Formats'!A43,"AAAAAG5+v5o=")</f>
        <v>#VALUE!</v>
      </c>
      <c r="EZ137" t="e">
        <f>AND('Badge Ticket Formats'!B43,"AAAAAG5+v5s=")</f>
        <v>#VALUE!</v>
      </c>
      <c r="FA137" t="e">
        <f>AND('Badge Ticket Formats'!C43,"AAAAAG5+v5w=")</f>
        <v>#VALUE!</v>
      </c>
      <c r="FB137" t="e">
        <f>AND('Badge Ticket Formats'!D43,"AAAAAG5+v50=")</f>
        <v>#VALUE!</v>
      </c>
      <c r="FC137" t="e">
        <f>AND('Badge Ticket Formats'!E43,"AAAAAG5+v54=")</f>
        <v>#VALUE!</v>
      </c>
      <c r="FD137" t="e">
        <f>AND('Badge Ticket Formats'!F43,"AAAAAG5+v58=")</f>
        <v>#VALUE!</v>
      </c>
      <c r="FE137" t="e">
        <f>AND('Badge Ticket Formats'!G43,"AAAAAG5+v6A=")</f>
        <v>#VALUE!</v>
      </c>
      <c r="FF137" t="e">
        <f>AND('Badge Ticket Formats'!H43,"AAAAAG5+v6E=")</f>
        <v>#VALUE!</v>
      </c>
      <c r="FG137" t="e">
        <f>AND('Badge Ticket Formats'!I43,"AAAAAG5+v6I=")</f>
        <v>#VALUE!</v>
      </c>
      <c r="FH137" t="e">
        <f>AND('Badge Ticket Formats'!J43,"AAAAAG5+v6M=")</f>
        <v>#VALUE!</v>
      </c>
      <c r="FI137" t="e">
        <f>AND('Badge Ticket Formats'!K43,"AAAAAG5+v6Q=")</f>
        <v>#VALUE!</v>
      </c>
      <c r="FJ137" t="e">
        <f>AND('Badge Ticket Formats'!L43,"AAAAAG5+v6U=")</f>
        <v>#VALUE!</v>
      </c>
      <c r="FK137" t="e">
        <f>IF('Badge Ticket Formats'!#REF!,"AAAAAG5+v6Y=",0)</f>
        <v>#REF!</v>
      </c>
      <c r="FL137" t="e">
        <f>AND('Badge Ticket Formats'!#REF!,"AAAAAG5+v6c=")</f>
        <v>#REF!</v>
      </c>
      <c r="FM137" t="e">
        <f>AND('Badge Ticket Formats'!#REF!,"AAAAAG5+v6g=")</f>
        <v>#REF!</v>
      </c>
      <c r="FN137" t="e">
        <f>AND('Badge Ticket Formats'!#REF!,"AAAAAG5+v6k=")</f>
        <v>#REF!</v>
      </c>
      <c r="FO137" t="e">
        <f>AND('Badge Ticket Formats'!#REF!,"AAAAAG5+v6o=")</f>
        <v>#REF!</v>
      </c>
      <c r="FP137" t="e">
        <f>AND('Badge Ticket Formats'!#REF!,"AAAAAG5+v6s=")</f>
        <v>#REF!</v>
      </c>
      <c r="FQ137" t="e">
        <f>AND('Badge Ticket Formats'!#REF!,"AAAAAG5+v6w=")</f>
        <v>#REF!</v>
      </c>
      <c r="FR137" t="e">
        <f>AND('Badge Ticket Formats'!#REF!,"AAAAAG5+v60=")</f>
        <v>#REF!</v>
      </c>
      <c r="FS137" t="e">
        <f>AND('Badge Ticket Formats'!#REF!,"AAAAAG5+v64=")</f>
        <v>#REF!</v>
      </c>
      <c r="FT137" t="e">
        <f>AND('Badge Ticket Formats'!#REF!,"AAAAAG5+v68=")</f>
        <v>#REF!</v>
      </c>
      <c r="FU137" t="e">
        <f>AND('Badge Ticket Formats'!#REF!,"AAAAAG5+v7A=")</f>
        <v>#REF!</v>
      </c>
      <c r="FV137" t="e">
        <f>AND('Badge Ticket Formats'!#REF!,"AAAAAG5+v7E=")</f>
        <v>#REF!</v>
      </c>
      <c r="FW137" t="e">
        <f>AND('Badge Ticket Formats'!#REF!,"AAAAAG5+v7I=")</f>
        <v>#REF!</v>
      </c>
      <c r="FX137" t="e">
        <f>AND('Badge Ticket Formats'!#REF!,"AAAAAG5+v7M=")</f>
        <v>#REF!</v>
      </c>
      <c r="FY137">
        <f>IF('Badge Ticket Formats'!44:44,"AAAAAG5+v7Q=",0)</f>
        <v>0</v>
      </c>
      <c r="FZ137" t="e">
        <f>AND('Badge Ticket Formats'!#REF!,"AAAAAG5+v7U=")</f>
        <v>#REF!</v>
      </c>
      <c r="GA137" t="e">
        <f>AND('Badge Ticket Formats'!A44,"AAAAAG5+v7Y=")</f>
        <v>#VALUE!</v>
      </c>
      <c r="GB137" t="e">
        <f>AND('Badge Ticket Formats'!B44,"AAAAAG5+v7c=")</f>
        <v>#VALUE!</v>
      </c>
      <c r="GC137" t="e">
        <f>AND('Badge Ticket Formats'!C44,"AAAAAG5+v7g=")</f>
        <v>#VALUE!</v>
      </c>
      <c r="GD137" t="e">
        <f>AND('Badge Ticket Formats'!D44,"AAAAAG5+v7k=")</f>
        <v>#VALUE!</v>
      </c>
      <c r="GE137" t="e">
        <f>AND('Badge Ticket Formats'!E44,"AAAAAG5+v7o=")</f>
        <v>#VALUE!</v>
      </c>
      <c r="GF137" t="e">
        <f>AND('Badge Ticket Formats'!F44,"AAAAAG5+v7s=")</f>
        <v>#VALUE!</v>
      </c>
      <c r="GG137" t="e">
        <f>AND('Badge Ticket Formats'!G44,"AAAAAG5+v7w=")</f>
        <v>#VALUE!</v>
      </c>
      <c r="GH137" t="e">
        <f>AND('Badge Ticket Formats'!H44,"AAAAAG5+v70=")</f>
        <v>#VALUE!</v>
      </c>
      <c r="GI137" t="e">
        <f>AND('Badge Ticket Formats'!I44,"AAAAAG5+v74=")</f>
        <v>#VALUE!</v>
      </c>
      <c r="GJ137" t="e">
        <f>AND('Badge Ticket Formats'!J44,"AAAAAG5+v78=")</f>
        <v>#VALUE!</v>
      </c>
      <c r="GK137" t="e">
        <f>AND('Badge Ticket Formats'!K44,"AAAAAG5+v8A=")</f>
        <v>#VALUE!</v>
      </c>
      <c r="GL137" t="e">
        <f>AND('Badge Ticket Formats'!L44,"AAAAAG5+v8E=")</f>
        <v>#VALUE!</v>
      </c>
      <c r="GM137" t="e">
        <f>IF('Badge Ticket Formats'!#REF!,"AAAAAG5+v8I=",0)</f>
        <v>#REF!</v>
      </c>
      <c r="GN137" t="e">
        <f>AND('Badge Ticket Formats'!#REF!,"AAAAAG5+v8M=")</f>
        <v>#REF!</v>
      </c>
      <c r="GO137" t="e">
        <f>AND('Badge Ticket Formats'!#REF!,"AAAAAG5+v8Q=")</f>
        <v>#REF!</v>
      </c>
      <c r="GP137" t="e">
        <f>AND('Badge Ticket Formats'!#REF!,"AAAAAG5+v8U=")</f>
        <v>#REF!</v>
      </c>
      <c r="GQ137" t="e">
        <f>AND('Badge Ticket Formats'!#REF!,"AAAAAG5+v8Y=")</f>
        <v>#REF!</v>
      </c>
      <c r="GR137" t="e">
        <f>AND('Badge Ticket Formats'!#REF!,"AAAAAG5+v8c=")</f>
        <v>#REF!</v>
      </c>
      <c r="GS137" t="e">
        <f>AND('Badge Ticket Formats'!#REF!,"AAAAAG5+v8g=")</f>
        <v>#REF!</v>
      </c>
      <c r="GT137" t="e">
        <f>AND('Badge Ticket Formats'!#REF!,"AAAAAG5+v8k=")</f>
        <v>#REF!</v>
      </c>
      <c r="GU137" t="e">
        <f>AND('Badge Ticket Formats'!#REF!,"AAAAAG5+v8o=")</f>
        <v>#REF!</v>
      </c>
      <c r="GV137" t="e">
        <f>AND('Badge Ticket Formats'!#REF!,"AAAAAG5+v8s=")</f>
        <v>#REF!</v>
      </c>
      <c r="GW137" t="e">
        <f>AND('Badge Ticket Formats'!#REF!,"AAAAAG5+v8w=")</f>
        <v>#REF!</v>
      </c>
      <c r="GX137" t="e">
        <f>AND('Badge Ticket Formats'!#REF!,"AAAAAG5+v80=")</f>
        <v>#REF!</v>
      </c>
      <c r="GY137" t="e">
        <f>AND('Badge Ticket Formats'!#REF!,"AAAAAG5+v84=")</f>
        <v>#REF!</v>
      </c>
      <c r="GZ137" t="e">
        <f>AND('Badge Ticket Formats'!#REF!,"AAAAAG5+v88=")</f>
        <v>#REF!</v>
      </c>
      <c r="HA137">
        <f>IF('Badge Ticket Formats'!46:46,"AAAAAG5+v9A=",0)</f>
        <v>0</v>
      </c>
      <c r="HB137" t="e">
        <f>AND('Badge Ticket Formats'!#REF!,"AAAAAG5+v9E=")</f>
        <v>#REF!</v>
      </c>
      <c r="HC137" t="e">
        <f>AND('Badge Ticket Formats'!A46,"AAAAAG5+v9I=")</f>
        <v>#VALUE!</v>
      </c>
      <c r="HD137" t="e">
        <f>AND('Badge Ticket Formats'!B46,"AAAAAG5+v9M=")</f>
        <v>#VALUE!</v>
      </c>
      <c r="HE137" t="e">
        <f>AND('Badge Ticket Formats'!C46,"AAAAAG5+v9Q=")</f>
        <v>#VALUE!</v>
      </c>
      <c r="HF137" t="e">
        <f>AND('Badge Ticket Formats'!D46,"AAAAAG5+v9U=")</f>
        <v>#VALUE!</v>
      </c>
      <c r="HG137" t="e">
        <f>AND('Badge Ticket Formats'!E46,"AAAAAG5+v9Y=")</f>
        <v>#VALUE!</v>
      </c>
      <c r="HH137" t="e">
        <f>AND('Badge Ticket Formats'!F46,"AAAAAG5+v9c=")</f>
        <v>#VALUE!</v>
      </c>
      <c r="HI137" t="e">
        <f>AND('Badge Ticket Formats'!G46,"AAAAAG5+v9g=")</f>
        <v>#VALUE!</v>
      </c>
      <c r="HJ137" t="e">
        <f>AND('Badge Ticket Formats'!H46,"AAAAAG5+v9k=")</f>
        <v>#VALUE!</v>
      </c>
      <c r="HK137" t="e">
        <f>AND('Badge Ticket Formats'!I46,"AAAAAG5+v9o=")</f>
        <v>#VALUE!</v>
      </c>
      <c r="HL137" t="e">
        <f>AND('Badge Ticket Formats'!J46,"AAAAAG5+v9s=")</f>
        <v>#VALUE!</v>
      </c>
      <c r="HM137" t="e">
        <f>AND('Badge Ticket Formats'!K46,"AAAAAG5+v9w=")</f>
        <v>#VALUE!</v>
      </c>
      <c r="HN137" t="e">
        <f>AND('Badge Ticket Formats'!L46,"AAAAAG5+v90=")</f>
        <v>#VALUE!</v>
      </c>
      <c r="HO137">
        <f>IF('Badge Ticket Formats'!47:47,"AAAAAG5+v94=",0)</f>
        <v>0</v>
      </c>
      <c r="HP137" t="e">
        <f>AND('Badge Ticket Formats'!#REF!,"AAAAAG5+v98=")</f>
        <v>#REF!</v>
      </c>
      <c r="HQ137" t="e">
        <f>AND('Badge Ticket Formats'!A47,"AAAAAG5+v+A=")</f>
        <v>#VALUE!</v>
      </c>
      <c r="HR137" t="e">
        <f>AND('Badge Ticket Formats'!B47,"AAAAAG5+v+E=")</f>
        <v>#VALUE!</v>
      </c>
      <c r="HS137" t="e">
        <f>AND('Badge Ticket Formats'!C47,"AAAAAG5+v+I=")</f>
        <v>#VALUE!</v>
      </c>
      <c r="HT137" t="e">
        <f>AND('Badge Ticket Formats'!D47,"AAAAAG5+v+M=")</f>
        <v>#VALUE!</v>
      </c>
      <c r="HU137" t="e">
        <f>AND('Badge Ticket Formats'!E47,"AAAAAG5+v+Q=")</f>
        <v>#VALUE!</v>
      </c>
      <c r="HV137" t="e">
        <f>AND('Badge Ticket Formats'!F47,"AAAAAG5+v+U=")</f>
        <v>#VALUE!</v>
      </c>
      <c r="HW137" t="e">
        <f>AND('Badge Ticket Formats'!G47,"AAAAAG5+v+Y=")</f>
        <v>#VALUE!</v>
      </c>
      <c r="HX137" t="e">
        <f>AND('Badge Ticket Formats'!H47,"AAAAAG5+v+c=")</f>
        <v>#VALUE!</v>
      </c>
      <c r="HY137" t="e">
        <f>AND('Badge Ticket Formats'!I47,"AAAAAG5+v+g=")</f>
        <v>#VALUE!</v>
      </c>
      <c r="HZ137" t="e">
        <f>AND('Badge Ticket Formats'!J47,"AAAAAG5+v+k=")</f>
        <v>#VALUE!</v>
      </c>
      <c r="IA137" t="e">
        <f>AND('Badge Ticket Formats'!K47,"AAAAAG5+v+o=")</f>
        <v>#VALUE!</v>
      </c>
      <c r="IB137" t="e">
        <f>AND('Badge Ticket Formats'!L47,"AAAAAG5+v+s=")</f>
        <v>#VALUE!</v>
      </c>
      <c r="IC137">
        <f>IF('Badge Ticket Formats'!48:48,"AAAAAG5+v+w=",0)</f>
        <v>0</v>
      </c>
      <c r="ID137" t="e">
        <f>AND('Badge Ticket Formats'!#REF!,"AAAAAG5+v+0=")</f>
        <v>#REF!</v>
      </c>
      <c r="IE137" t="e">
        <f>AND('Badge Ticket Formats'!A48,"AAAAAG5+v+4=")</f>
        <v>#VALUE!</v>
      </c>
      <c r="IF137" t="e">
        <f>AND('Badge Ticket Formats'!B48,"AAAAAG5+v+8=")</f>
        <v>#VALUE!</v>
      </c>
      <c r="IG137" t="e">
        <f>AND('Badge Ticket Formats'!C48,"AAAAAG5+v/A=")</f>
        <v>#VALUE!</v>
      </c>
      <c r="IH137" t="e">
        <f>AND('Badge Ticket Formats'!D48,"AAAAAG5+v/E=")</f>
        <v>#VALUE!</v>
      </c>
      <c r="II137" t="e">
        <f>AND('Badge Ticket Formats'!E48,"AAAAAG5+v/I=")</f>
        <v>#VALUE!</v>
      </c>
      <c r="IJ137" t="e">
        <f>AND('Badge Ticket Formats'!F48,"AAAAAG5+v/M=")</f>
        <v>#VALUE!</v>
      </c>
      <c r="IK137" t="e">
        <f>AND('Badge Ticket Formats'!G48,"AAAAAG5+v/Q=")</f>
        <v>#VALUE!</v>
      </c>
      <c r="IL137" t="e">
        <f>AND('Badge Ticket Formats'!H48,"AAAAAG5+v/U=")</f>
        <v>#VALUE!</v>
      </c>
      <c r="IM137" t="e">
        <f>AND('Badge Ticket Formats'!I48,"AAAAAG5+v/Y=")</f>
        <v>#VALUE!</v>
      </c>
      <c r="IN137" t="e">
        <f>AND('Badge Ticket Formats'!J48,"AAAAAG5+v/c=")</f>
        <v>#VALUE!</v>
      </c>
      <c r="IO137" t="e">
        <f>AND('Badge Ticket Formats'!K48,"AAAAAG5+v/g=")</f>
        <v>#VALUE!</v>
      </c>
      <c r="IP137" t="e">
        <f>AND('Badge Ticket Formats'!L48,"AAAAAG5+v/k=")</f>
        <v>#VALUE!</v>
      </c>
      <c r="IQ137">
        <f>IF('Badge Ticket Formats'!50:50,"AAAAAG5+v/o=",0)</f>
        <v>0</v>
      </c>
      <c r="IR137" t="e">
        <f>AND('Badge Ticket Formats'!#REF!,"AAAAAG5+v/s=")</f>
        <v>#REF!</v>
      </c>
      <c r="IS137" t="e">
        <f>AND('Badge Ticket Formats'!A50,"AAAAAG5+v/w=")</f>
        <v>#VALUE!</v>
      </c>
      <c r="IT137" t="e">
        <f>AND('Badge Ticket Formats'!B50,"AAAAAG5+v/0=")</f>
        <v>#VALUE!</v>
      </c>
      <c r="IU137" t="e">
        <f>AND('Badge Ticket Formats'!C50,"AAAAAG5+v/4=")</f>
        <v>#VALUE!</v>
      </c>
      <c r="IV137" t="e">
        <f>AND('Badge Ticket Formats'!D50,"AAAAAG5+v/8=")</f>
        <v>#VALUE!</v>
      </c>
    </row>
    <row r="138" spans="1:256" x14ac:dyDescent="0.2">
      <c r="A138" t="e">
        <f>AND('Badge Ticket Formats'!E50,"AAAAAG11ngA=")</f>
        <v>#VALUE!</v>
      </c>
      <c r="B138" t="e">
        <f>AND('Badge Ticket Formats'!F50,"AAAAAG11ngE=")</f>
        <v>#VALUE!</v>
      </c>
      <c r="C138" t="e">
        <f>AND('Badge Ticket Formats'!G50,"AAAAAG11ngI=")</f>
        <v>#VALUE!</v>
      </c>
      <c r="D138" t="e">
        <f>AND('Badge Ticket Formats'!H49,"AAAAAG11ngM=")</f>
        <v>#VALUE!</v>
      </c>
      <c r="E138" t="e">
        <f>AND('Badge Ticket Formats'!I49,"AAAAAG11ngQ=")</f>
        <v>#VALUE!</v>
      </c>
      <c r="F138" t="e">
        <f>AND('Badge Ticket Formats'!J49,"AAAAAG11ngU=")</f>
        <v>#VALUE!</v>
      </c>
      <c r="G138" t="e">
        <f>AND('Badge Ticket Formats'!K49,"AAAAAG11ngY=")</f>
        <v>#VALUE!</v>
      </c>
      <c r="H138" t="e">
        <f>AND('Badge Ticket Formats'!L49,"AAAAAG11ngc=")</f>
        <v>#VALUE!</v>
      </c>
      <c r="I138" t="e">
        <f>IF('Badge Ticket Formats'!#REF!,"AAAAAG11ngg=",0)</f>
        <v>#REF!</v>
      </c>
      <c r="J138" t="e">
        <f>AND('Badge Ticket Formats'!#REF!,"AAAAAG11ngk=")</f>
        <v>#REF!</v>
      </c>
      <c r="K138" t="e">
        <f>AND('Badge Ticket Formats'!#REF!,"AAAAAG11ngo=")</f>
        <v>#REF!</v>
      </c>
      <c r="L138" t="e">
        <f>AND('Badge Ticket Formats'!#REF!,"AAAAAG11ngs=")</f>
        <v>#REF!</v>
      </c>
      <c r="M138" t="e">
        <f>AND('Badge Ticket Formats'!#REF!,"AAAAAG11ngw=")</f>
        <v>#REF!</v>
      </c>
      <c r="N138" t="e">
        <f>AND('Badge Ticket Formats'!#REF!,"AAAAAG11ng0=")</f>
        <v>#REF!</v>
      </c>
      <c r="O138" t="e">
        <f>AND('Badge Ticket Formats'!#REF!,"AAAAAG11ng4=")</f>
        <v>#REF!</v>
      </c>
      <c r="P138" t="e">
        <f>AND('Badge Ticket Formats'!#REF!,"AAAAAG11ng8=")</f>
        <v>#REF!</v>
      </c>
      <c r="Q138" t="e">
        <f>AND('Badge Ticket Formats'!#REF!,"AAAAAG11nhA=")</f>
        <v>#REF!</v>
      </c>
      <c r="R138" t="e">
        <f>AND('Badge Ticket Formats'!#REF!,"AAAAAG11nhE=")</f>
        <v>#REF!</v>
      </c>
      <c r="S138" t="e">
        <f>AND('Badge Ticket Formats'!#REF!,"AAAAAG11nhI=")</f>
        <v>#REF!</v>
      </c>
      <c r="T138" t="e">
        <f>AND('Badge Ticket Formats'!#REF!,"AAAAAG11nhM=")</f>
        <v>#REF!</v>
      </c>
      <c r="U138" t="e">
        <f>AND('Badge Ticket Formats'!#REF!,"AAAAAG11nhQ=")</f>
        <v>#REF!</v>
      </c>
      <c r="V138" t="e">
        <f>AND('Badge Ticket Formats'!#REF!,"AAAAAG11nhU=")</f>
        <v>#REF!</v>
      </c>
      <c r="W138">
        <f>IF('Badge Ticket Formats'!51:51,"AAAAAG11nhY=",0)</f>
        <v>0</v>
      </c>
      <c r="X138" t="e">
        <f>AND('Badge Ticket Formats'!#REF!,"AAAAAG11nhc=")</f>
        <v>#REF!</v>
      </c>
      <c r="Y138" t="e">
        <f>AND('Badge Ticket Formats'!A51,"AAAAAG11nhg=")</f>
        <v>#VALUE!</v>
      </c>
      <c r="Z138" t="e">
        <f>AND('Badge Ticket Formats'!B51,"AAAAAG11nhk=")</f>
        <v>#VALUE!</v>
      </c>
      <c r="AA138" t="e">
        <f>AND('Badge Ticket Formats'!C51,"AAAAAG11nho=")</f>
        <v>#VALUE!</v>
      </c>
      <c r="AB138" t="e">
        <f>AND('Badge Ticket Formats'!D51,"AAAAAG11nhs=")</f>
        <v>#VALUE!</v>
      </c>
      <c r="AC138" t="e">
        <f>AND('Badge Ticket Formats'!E51,"AAAAAG11nhw=")</f>
        <v>#VALUE!</v>
      </c>
      <c r="AD138" t="e">
        <f>AND('Badge Ticket Formats'!F51,"AAAAAG11nh0=")</f>
        <v>#VALUE!</v>
      </c>
      <c r="AE138" t="e">
        <f>AND('Badge Ticket Formats'!G51,"AAAAAG11nh4=")</f>
        <v>#VALUE!</v>
      </c>
      <c r="AF138" t="e">
        <f>AND('Badge Ticket Formats'!H50,"AAAAAG11nh8=")</f>
        <v>#VALUE!</v>
      </c>
      <c r="AG138" t="e">
        <f>AND('Badge Ticket Formats'!I50,"AAAAAG11niA=")</f>
        <v>#VALUE!</v>
      </c>
      <c r="AH138" t="e">
        <f>AND('Badge Ticket Formats'!J50,"AAAAAG11niE=")</f>
        <v>#VALUE!</v>
      </c>
      <c r="AI138" t="e">
        <f>AND('Badge Ticket Formats'!K50,"AAAAAG11niI=")</f>
        <v>#VALUE!</v>
      </c>
      <c r="AJ138" t="e">
        <f>AND('Badge Ticket Formats'!L50,"AAAAAG11niM=")</f>
        <v>#VALUE!</v>
      </c>
      <c r="AK138">
        <f>IF('Badge Ticket Formats'!52:52,"AAAAAG11niQ=",0)</f>
        <v>0</v>
      </c>
      <c r="AL138" t="e">
        <f>AND('Badge Ticket Formats'!#REF!,"AAAAAG11niU=")</f>
        <v>#REF!</v>
      </c>
      <c r="AM138" t="e">
        <f>AND('Badge Ticket Formats'!A52,"AAAAAG11niY=")</f>
        <v>#VALUE!</v>
      </c>
      <c r="AN138" t="e">
        <f>AND('Badge Ticket Formats'!B52,"AAAAAG11nic=")</f>
        <v>#VALUE!</v>
      </c>
      <c r="AO138" t="e">
        <f>AND('Badge Ticket Formats'!C52,"AAAAAG11nig=")</f>
        <v>#VALUE!</v>
      </c>
      <c r="AP138" t="e">
        <f>AND('Badge Ticket Formats'!D52,"AAAAAG11nik=")</f>
        <v>#VALUE!</v>
      </c>
      <c r="AQ138" t="e">
        <f>AND('Badge Ticket Formats'!E52,"AAAAAG11nio=")</f>
        <v>#VALUE!</v>
      </c>
      <c r="AR138" t="e">
        <f>AND('Badge Ticket Formats'!F52,"AAAAAG11nis=")</f>
        <v>#VALUE!</v>
      </c>
      <c r="AS138" t="e">
        <f>AND('Badge Ticket Formats'!G52,"AAAAAG11niw=")</f>
        <v>#VALUE!</v>
      </c>
      <c r="AT138" t="e">
        <f>AND('Badge Ticket Formats'!H51,"AAAAAG11ni0=")</f>
        <v>#VALUE!</v>
      </c>
      <c r="AU138" t="e">
        <f>AND('Badge Ticket Formats'!I51,"AAAAAG11ni4=")</f>
        <v>#VALUE!</v>
      </c>
      <c r="AV138" t="e">
        <f>AND('Badge Ticket Formats'!J51,"AAAAAG11ni8=")</f>
        <v>#VALUE!</v>
      </c>
      <c r="AW138" t="e">
        <f>AND('Badge Ticket Formats'!K51,"AAAAAG11njA=")</f>
        <v>#VALUE!</v>
      </c>
      <c r="AX138" t="e">
        <f>AND('Badge Ticket Formats'!L51,"AAAAAG11njE=")</f>
        <v>#VALUE!</v>
      </c>
      <c r="AY138" t="e">
        <f>IF('Badge Ticket Formats'!#REF!,"AAAAAG11njI=",0)</f>
        <v>#REF!</v>
      </c>
      <c r="AZ138" t="e">
        <f>AND('Badge Ticket Formats'!#REF!,"AAAAAG11njM=")</f>
        <v>#REF!</v>
      </c>
      <c r="BA138" t="e">
        <f>AND('Badge Ticket Formats'!#REF!,"AAAAAG11njQ=")</f>
        <v>#REF!</v>
      </c>
      <c r="BB138" t="e">
        <f>AND('Badge Ticket Formats'!#REF!,"AAAAAG11njU=")</f>
        <v>#REF!</v>
      </c>
      <c r="BC138" t="e">
        <f>AND('Badge Ticket Formats'!#REF!,"AAAAAG11njY=")</f>
        <v>#REF!</v>
      </c>
      <c r="BD138" t="e">
        <f>AND('Badge Ticket Formats'!#REF!,"AAAAAG11njc=")</f>
        <v>#REF!</v>
      </c>
      <c r="BE138" t="e">
        <f>AND('Badge Ticket Formats'!#REF!,"AAAAAG11njg=")</f>
        <v>#REF!</v>
      </c>
      <c r="BF138" t="e">
        <f>AND('Badge Ticket Formats'!#REF!,"AAAAAG11njk=")</f>
        <v>#REF!</v>
      </c>
      <c r="BG138" t="e">
        <f>AND('Badge Ticket Formats'!#REF!,"AAAAAG11njo=")</f>
        <v>#REF!</v>
      </c>
      <c r="BH138" t="e">
        <f>AND('Badge Ticket Formats'!H52,"AAAAAG11njs=")</f>
        <v>#VALUE!</v>
      </c>
      <c r="BI138" t="e">
        <f>AND('Badge Ticket Formats'!I52,"AAAAAG11njw=")</f>
        <v>#VALUE!</v>
      </c>
      <c r="BJ138" t="e">
        <f>AND('Badge Ticket Formats'!J52,"AAAAAG11nj0=")</f>
        <v>#VALUE!</v>
      </c>
      <c r="BK138" t="e">
        <f>AND('Badge Ticket Formats'!K52,"AAAAAG11nj4=")</f>
        <v>#VALUE!</v>
      </c>
      <c r="BL138" t="e">
        <f>AND('Badge Ticket Formats'!L52,"AAAAAG11nj8=")</f>
        <v>#VALUE!</v>
      </c>
      <c r="BM138" t="e">
        <f>IF('Badge Ticket Formats'!#REF!,"AAAAAG11nkA=",0)</f>
        <v>#REF!</v>
      </c>
      <c r="BN138" t="e">
        <f>AND('Badge Ticket Formats'!#REF!,"AAAAAG11nkE=")</f>
        <v>#REF!</v>
      </c>
      <c r="BO138" t="e">
        <f>AND('Badge Ticket Formats'!#REF!,"AAAAAG11nkI=")</f>
        <v>#REF!</v>
      </c>
      <c r="BP138" t="e">
        <f>AND('Badge Ticket Formats'!#REF!,"AAAAAG11nkM=")</f>
        <v>#REF!</v>
      </c>
      <c r="BQ138" t="e">
        <f>AND('Badge Ticket Formats'!#REF!,"AAAAAG11nkQ=")</f>
        <v>#REF!</v>
      </c>
      <c r="BR138" t="e">
        <f>AND('Badge Ticket Formats'!#REF!,"AAAAAG11nkU=")</f>
        <v>#REF!</v>
      </c>
      <c r="BS138" t="e">
        <f>AND('Badge Ticket Formats'!#REF!,"AAAAAG11nkY=")</f>
        <v>#REF!</v>
      </c>
      <c r="BT138" t="e">
        <f>AND('Badge Ticket Formats'!#REF!,"AAAAAG11nkc=")</f>
        <v>#REF!</v>
      </c>
      <c r="BU138" t="e">
        <f>AND('Badge Ticket Formats'!#REF!,"AAAAAG11nkg=")</f>
        <v>#REF!</v>
      </c>
      <c r="BV138" t="e">
        <f>AND('Badge Ticket Formats'!#REF!,"AAAAAG11nkk=")</f>
        <v>#REF!</v>
      </c>
      <c r="BW138" t="e">
        <f>AND('Badge Ticket Formats'!#REF!,"AAAAAG11nko=")</f>
        <v>#REF!</v>
      </c>
      <c r="BX138" t="e">
        <f>AND('Badge Ticket Formats'!#REF!,"AAAAAG11nks=")</f>
        <v>#REF!</v>
      </c>
      <c r="BY138" t="e">
        <f>AND('Badge Ticket Formats'!#REF!,"AAAAAG11nkw=")</f>
        <v>#REF!</v>
      </c>
      <c r="BZ138" t="e">
        <f>AND('Badge Ticket Formats'!#REF!,"AAAAAG11nk0=")</f>
        <v>#REF!</v>
      </c>
      <c r="CA138" t="e">
        <f>IF('Badge Ticket Formats'!#REF!,"AAAAAG11nk4=",0)</f>
        <v>#REF!</v>
      </c>
      <c r="CB138" t="e">
        <f>AND('Badge Ticket Formats'!#REF!,"AAAAAG11nk8=")</f>
        <v>#REF!</v>
      </c>
      <c r="CC138" t="e">
        <f>AND('Badge Ticket Formats'!#REF!,"AAAAAG11nlA=")</f>
        <v>#REF!</v>
      </c>
      <c r="CD138" t="e">
        <f>AND('Badge Ticket Formats'!#REF!,"AAAAAG11nlE=")</f>
        <v>#REF!</v>
      </c>
      <c r="CE138" t="e">
        <f>AND('Badge Ticket Formats'!#REF!,"AAAAAG11nlI=")</f>
        <v>#REF!</v>
      </c>
      <c r="CF138" t="e">
        <f>AND('Badge Ticket Formats'!#REF!,"AAAAAG11nlM=")</f>
        <v>#REF!</v>
      </c>
      <c r="CG138" t="e">
        <f>AND('Badge Ticket Formats'!#REF!,"AAAAAG11nlQ=")</f>
        <v>#REF!</v>
      </c>
      <c r="CH138" t="e">
        <f>AND('Badge Ticket Formats'!#REF!,"AAAAAG11nlU=")</f>
        <v>#REF!</v>
      </c>
      <c r="CI138" t="e">
        <f>AND('Badge Ticket Formats'!#REF!,"AAAAAG11nlY=")</f>
        <v>#REF!</v>
      </c>
      <c r="CJ138" t="e">
        <f>AND('Badge Ticket Formats'!#REF!,"AAAAAG11nlc=")</f>
        <v>#REF!</v>
      </c>
      <c r="CK138" t="e">
        <f>AND('Badge Ticket Formats'!#REF!,"AAAAAG11nlg=")</f>
        <v>#REF!</v>
      </c>
      <c r="CL138" t="e">
        <f>AND('Badge Ticket Formats'!#REF!,"AAAAAG11nlk=")</f>
        <v>#REF!</v>
      </c>
      <c r="CM138" t="e">
        <f>AND('Badge Ticket Formats'!#REF!,"AAAAAG11nlo=")</f>
        <v>#REF!</v>
      </c>
      <c r="CN138" t="e">
        <f>AND('Badge Ticket Formats'!#REF!,"AAAAAG11nls=")</f>
        <v>#REF!</v>
      </c>
      <c r="CO138" t="e">
        <f>IF('Badge Ticket Formats'!#REF!,"AAAAAG11nlw=",0)</f>
        <v>#REF!</v>
      </c>
      <c r="CP138" t="e">
        <f>AND('Badge Ticket Formats'!#REF!,"AAAAAG11nl0=")</f>
        <v>#REF!</v>
      </c>
      <c r="CQ138" t="e">
        <f>AND('Badge Ticket Formats'!#REF!,"AAAAAG11nl4=")</f>
        <v>#REF!</v>
      </c>
      <c r="CR138" t="e">
        <f>AND('Badge Ticket Formats'!#REF!,"AAAAAG11nl8=")</f>
        <v>#REF!</v>
      </c>
      <c r="CS138" t="e">
        <f>AND('Badge Ticket Formats'!#REF!,"AAAAAG11nmA=")</f>
        <v>#REF!</v>
      </c>
      <c r="CT138" t="e">
        <f>AND('Badge Ticket Formats'!#REF!,"AAAAAG11nmE=")</f>
        <v>#REF!</v>
      </c>
      <c r="CU138" t="e">
        <f>AND('Badge Ticket Formats'!#REF!,"AAAAAG11nmI=")</f>
        <v>#REF!</v>
      </c>
      <c r="CV138" t="e">
        <f>AND('Badge Ticket Formats'!#REF!,"AAAAAG11nmM=")</f>
        <v>#REF!</v>
      </c>
      <c r="CW138" t="e">
        <f>AND('Badge Ticket Formats'!#REF!,"AAAAAG11nmQ=")</f>
        <v>#REF!</v>
      </c>
      <c r="CX138" t="e">
        <f>AND('Badge Ticket Formats'!#REF!,"AAAAAG11nmU=")</f>
        <v>#REF!</v>
      </c>
      <c r="CY138" t="e">
        <f>AND('Badge Ticket Formats'!#REF!,"AAAAAG11nmY=")</f>
        <v>#REF!</v>
      </c>
      <c r="CZ138" t="e">
        <f>AND('Badge Ticket Formats'!#REF!,"AAAAAG11nmc=")</f>
        <v>#REF!</v>
      </c>
      <c r="DA138" t="e">
        <f>AND('Badge Ticket Formats'!#REF!,"AAAAAG11nmg=")</f>
        <v>#REF!</v>
      </c>
      <c r="DB138" t="e">
        <f>AND('Badge Ticket Formats'!#REF!,"AAAAAG11nmk=")</f>
        <v>#REF!</v>
      </c>
      <c r="DC138" t="e">
        <f>IF('Badge Ticket Formats'!#REF!,"AAAAAG11nmo=",0)</f>
        <v>#REF!</v>
      </c>
      <c r="DD138" t="e">
        <f>AND('Badge Ticket Formats'!#REF!,"AAAAAG11nms=")</f>
        <v>#REF!</v>
      </c>
      <c r="DE138" t="e">
        <f>AND('Badge Ticket Formats'!#REF!,"AAAAAG11nmw=")</f>
        <v>#REF!</v>
      </c>
      <c r="DF138" t="e">
        <f>AND('Badge Ticket Formats'!#REF!,"AAAAAG11nm0=")</f>
        <v>#REF!</v>
      </c>
      <c r="DG138" t="e">
        <f>AND('Badge Ticket Formats'!#REF!,"AAAAAG11nm4=")</f>
        <v>#REF!</v>
      </c>
      <c r="DH138" t="e">
        <f>AND('Badge Ticket Formats'!#REF!,"AAAAAG11nm8=")</f>
        <v>#REF!</v>
      </c>
      <c r="DI138" t="e">
        <f>AND('Badge Ticket Formats'!#REF!,"AAAAAG11nnA=")</f>
        <v>#REF!</v>
      </c>
      <c r="DJ138" t="e">
        <f>AND('Badge Ticket Formats'!#REF!,"AAAAAG11nnE=")</f>
        <v>#REF!</v>
      </c>
      <c r="DK138" t="e">
        <f>AND('Badge Ticket Formats'!#REF!,"AAAAAG11nnI=")</f>
        <v>#REF!</v>
      </c>
      <c r="DL138" t="e">
        <f>AND('Badge Ticket Formats'!#REF!,"AAAAAG11nnM=")</f>
        <v>#REF!</v>
      </c>
      <c r="DM138" t="e">
        <f>AND('Badge Ticket Formats'!#REF!,"AAAAAG11nnQ=")</f>
        <v>#REF!</v>
      </c>
      <c r="DN138" t="e">
        <f>AND('Badge Ticket Formats'!#REF!,"AAAAAG11nnU=")</f>
        <v>#REF!</v>
      </c>
      <c r="DO138" t="e">
        <f>AND('Badge Ticket Formats'!#REF!,"AAAAAG11nnY=")</f>
        <v>#REF!</v>
      </c>
      <c r="DP138" t="e">
        <f>AND('Badge Ticket Formats'!#REF!,"AAAAAG11nnc=")</f>
        <v>#REF!</v>
      </c>
      <c r="DQ138" t="e">
        <f>IF('Badge Ticket Formats'!#REF!,"AAAAAG11nng=",0)</f>
        <v>#REF!</v>
      </c>
      <c r="DR138" t="e">
        <f>AND('Badge Ticket Formats'!#REF!,"AAAAAG11nnk=")</f>
        <v>#REF!</v>
      </c>
      <c r="DS138" t="e">
        <f>AND('Badge Ticket Formats'!#REF!,"AAAAAG11nno=")</f>
        <v>#REF!</v>
      </c>
      <c r="DT138" t="e">
        <f>AND('Badge Ticket Formats'!#REF!,"AAAAAG11nns=")</f>
        <v>#REF!</v>
      </c>
      <c r="DU138" t="e">
        <f>AND('Badge Ticket Formats'!#REF!,"AAAAAG11nnw=")</f>
        <v>#REF!</v>
      </c>
      <c r="DV138" t="e">
        <f>AND('Badge Ticket Formats'!#REF!,"AAAAAG11nn0=")</f>
        <v>#REF!</v>
      </c>
      <c r="DW138" t="e">
        <f>AND('Badge Ticket Formats'!#REF!,"AAAAAG11nn4=")</f>
        <v>#REF!</v>
      </c>
      <c r="DX138" t="e">
        <f>AND('Badge Ticket Formats'!#REF!,"AAAAAG11nn8=")</f>
        <v>#REF!</v>
      </c>
      <c r="DY138" t="e">
        <f>AND('Badge Ticket Formats'!#REF!,"AAAAAG11noA=")</f>
        <v>#REF!</v>
      </c>
      <c r="DZ138" t="e">
        <f>AND('Badge Ticket Formats'!#REF!,"AAAAAG11noE=")</f>
        <v>#REF!</v>
      </c>
      <c r="EA138" t="e">
        <f>AND('Badge Ticket Formats'!#REF!,"AAAAAG11noI=")</f>
        <v>#REF!</v>
      </c>
      <c r="EB138" t="e">
        <f>AND('Badge Ticket Formats'!#REF!,"AAAAAG11noM=")</f>
        <v>#REF!</v>
      </c>
      <c r="EC138" t="e">
        <f>AND('Badge Ticket Formats'!#REF!,"AAAAAG11noQ=")</f>
        <v>#REF!</v>
      </c>
      <c r="ED138" t="e">
        <f>AND('Badge Ticket Formats'!#REF!,"AAAAAG11noU=")</f>
        <v>#REF!</v>
      </c>
      <c r="EE138" t="e">
        <f>IF('Badge Ticket Formats'!#REF!,"AAAAAG11noY=",0)</f>
        <v>#REF!</v>
      </c>
      <c r="EF138" t="e">
        <f>AND('Badge Ticket Formats'!#REF!,"AAAAAG11noc=")</f>
        <v>#REF!</v>
      </c>
      <c r="EG138" t="e">
        <f>AND('Badge Ticket Formats'!#REF!,"AAAAAG11nog=")</f>
        <v>#REF!</v>
      </c>
      <c r="EH138" t="e">
        <f>AND('Badge Ticket Formats'!#REF!,"AAAAAG11nok=")</f>
        <v>#REF!</v>
      </c>
      <c r="EI138" t="e">
        <f>AND('Badge Ticket Formats'!#REF!,"AAAAAG11noo=")</f>
        <v>#REF!</v>
      </c>
      <c r="EJ138" t="e">
        <f>AND('Badge Ticket Formats'!#REF!,"AAAAAG11nos=")</f>
        <v>#REF!</v>
      </c>
      <c r="EK138" t="e">
        <f>AND('Badge Ticket Formats'!#REF!,"AAAAAG11now=")</f>
        <v>#REF!</v>
      </c>
      <c r="EL138" t="e">
        <f>AND('Badge Ticket Formats'!#REF!,"AAAAAG11no0=")</f>
        <v>#REF!</v>
      </c>
      <c r="EM138" t="e">
        <f>AND('Badge Ticket Formats'!#REF!,"AAAAAG11no4=")</f>
        <v>#REF!</v>
      </c>
      <c r="EN138" t="e">
        <f>AND('Badge Ticket Formats'!#REF!,"AAAAAG11no8=")</f>
        <v>#REF!</v>
      </c>
      <c r="EO138" t="e">
        <f>AND('Badge Ticket Formats'!#REF!,"AAAAAG11npA=")</f>
        <v>#REF!</v>
      </c>
      <c r="EP138" t="e">
        <f>AND('Badge Ticket Formats'!#REF!,"AAAAAG11npE=")</f>
        <v>#REF!</v>
      </c>
      <c r="EQ138" t="e">
        <f>AND('Badge Ticket Formats'!#REF!,"AAAAAG11npI=")</f>
        <v>#REF!</v>
      </c>
      <c r="ER138" t="e">
        <f>AND('Badge Ticket Formats'!#REF!,"AAAAAG11npM=")</f>
        <v>#REF!</v>
      </c>
      <c r="ES138">
        <f>IF('Badge Ticket Formats'!54:54,"AAAAAG11npQ=",0)</f>
        <v>0</v>
      </c>
      <c r="ET138" t="e">
        <f>AND('Badge Ticket Formats'!#REF!,"AAAAAG11npU=")</f>
        <v>#REF!</v>
      </c>
      <c r="EU138" t="e">
        <f>AND('Badge Ticket Formats'!A54,"AAAAAG11npY=")</f>
        <v>#VALUE!</v>
      </c>
      <c r="EV138" t="e">
        <f>AND('Badge Ticket Formats'!B54,"AAAAAG11npc=")</f>
        <v>#VALUE!</v>
      </c>
      <c r="EW138" t="e">
        <f>AND('Badge Ticket Formats'!C54,"AAAAAG11npg=")</f>
        <v>#VALUE!</v>
      </c>
      <c r="EX138" t="e">
        <f>AND('Badge Ticket Formats'!D54,"AAAAAG11npk=")</f>
        <v>#VALUE!</v>
      </c>
      <c r="EY138" t="e">
        <f>AND('Badge Ticket Formats'!E54,"AAAAAG11npo=")</f>
        <v>#VALUE!</v>
      </c>
      <c r="EZ138" t="e">
        <f>AND('Badge Ticket Formats'!F54,"AAAAAG11nps=")</f>
        <v>#VALUE!</v>
      </c>
      <c r="FA138" t="e">
        <f>AND('Badge Ticket Formats'!G54,"AAAAAG11npw=")</f>
        <v>#VALUE!</v>
      </c>
      <c r="FB138" t="e">
        <f>AND('Badge Ticket Formats'!H54,"AAAAAG11np0=")</f>
        <v>#VALUE!</v>
      </c>
      <c r="FC138" t="e">
        <f>AND('Badge Ticket Formats'!I54,"AAAAAG11np4=")</f>
        <v>#VALUE!</v>
      </c>
      <c r="FD138" t="e">
        <f>AND('Badge Ticket Formats'!J54,"AAAAAG11np8=")</f>
        <v>#VALUE!</v>
      </c>
      <c r="FE138" t="e">
        <f>AND('Badge Ticket Formats'!K54,"AAAAAG11nqA=")</f>
        <v>#VALUE!</v>
      </c>
      <c r="FF138" t="e">
        <f>AND('Badge Ticket Formats'!L54,"AAAAAG11nqE=")</f>
        <v>#VALUE!</v>
      </c>
      <c r="FG138">
        <f>IF('Badge Ticket Formats'!55:55,"AAAAAG11nqI=",0)</f>
        <v>0</v>
      </c>
      <c r="FH138" t="e">
        <f>AND('Badge Ticket Formats'!A55,"AAAAAG11nqM=")</f>
        <v>#VALUE!</v>
      </c>
      <c r="FI138" t="e">
        <f>AND('Badge Ticket Formats'!B55,"AAAAAG11nqQ=")</f>
        <v>#VALUE!</v>
      </c>
      <c r="FJ138" t="e">
        <f>AND('Badge Ticket Formats'!C55,"AAAAAG11nqU=")</f>
        <v>#VALUE!</v>
      </c>
      <c r="FK138" t="e">
        <f>AND('Badge Ticket Formats'!D55,"AAAAAG11nqY=")</f>
        <v>#VALUE!</v>
      </c>
      <c r="FL138" t="e">
        <f>AND('Badge Ticket Formats'!E55,"AAAAAG11nqc=")</f>
        <v>#VALUE!</v>
      </c>
      <c r="FM138" t="e">
        <f>AND('Badge Ticket Formats'!F55,"AAAAAG11nqg=")</f>
        <v>#VALUE!</v>
      </c>
      <c r="FN138" t="e">
        <f>AND('Badge Ticket Formats'!G55,"AAAAAG11nqk=")</f>
        <v>#VALUE!</v>
      </c>
      <c r="FO138" t="e">
        <f>AND('Badge Ticket Formats'!H55,"AAAAAG11nqo=")</f>
        <v>#VALUE!</v>
      </c>
      <c r="FP138" t="e">
        <f>AND('Badge Ticket Formats'!I55,"AAAAAG11nqs=")</f>
        <v>#VALUE!</v>
      </c>
      <c r="FQ138" t="e">
        <f>AND('Badge Ticket Formats'!J55,"AAAAAG11nqw=")</f>
        <v>#VALUE!</v>
      </c>
      <c r="FR138" t="e">
        <f>AND('Badge Ticket Formats'!K55,"AAAAAG11nq0=")</f>
        <v>#VALUE!</v>
      </c>
      <c r="FS138" t="e">
        <f>AND('Badge Ticket Formats'!L55,"AAAAAG11nq4=")</f>
        <v>#VALUE!</v>
      </c>
      <c r="FT138" t="e">
        <f>AND('Badge Ticket Formats'!M55,"AAAAAG11nq8=")</f>
        <v>#VALUE!</v>
      </c>
      <c r="FU138" t="e">
        <f>IF('Badge Ticket Formats'!#REF!,"AAAAAG11nrA=",0)</f>
        <v>#REF!</v>
      </c>
      <c r="FV138" t="e">
        <f>AND('Badge Ticket Formats'!#REF!,"AAAAAG11nrE=")</f>
        <v>#REF!</v>
      </c>
      <c r="FW138" t="e">
        <f>AND('Badge Ticket Formats'!#REF!,"AAAAAG11nrI=")</f>
        <v>#REF!</v>
      </c>
      <c r="FX138" t="e">
        <f>AND('Badge Ticket Formats'!#REF!,"AAAAAG11nrM=")</f>
        <v>#REF!</v>
      </c>
      <c r="FY138" t="e">
        <f>AND('Badge Ticket Formats'!#REF!,"AAAAAG11nrQ=")</f>
        <v>#REF!</v>
      </c>
      <c r="FZ138" t="e">
        <f>AND('Badge Ticket Formats'!#REF!,"AAAAAG11nrU=")</f>
        <v>#REF!</v>
      </c>
      <c r="GA138" t="e">
        <f>AND('Badge Ticket Formats'!#REF!,"AAAAAG11nrY=")</f>
        <v>#REF!</v>
      </c>
      <c r="GB138" t="e">
        <f>AND('Badge Ticket Formats'!#REF!,"AAAAAG11nrc=")</f>
        <v>#REF!</v>
      </c>
      <c r="GC138" t="e">
        <f>AND('Badge Ticket Formats'!#REF!,"AAAAAG11nrg=")</f>
        <v>#REF!</v>
      </c>
      <c r="GD138" t="e">
        <f>AND('Badge Ticket Formats'!#REF!,"AAAAAG11nrk=")</f>
        <v>#REF!</v>
      </c>
      <c r="GE138" t="e">
        <f>AND('Badge Ticket Formats'!#REF!,"AAAAAG11nro=")</f>
        <v>#REF!</v>
      </c>
      <c r="GF138" t="e">
        <f>AND('Badge Ticket Formats'!#REF!,"AAAAAG11nrs=")</f>
        <v>#REF!</v>
      </c>
      <c r="GG138" t="e">
        <f>AND('Badge Ticket Formats'!#REF!,"AAAAAG11nrw=")</f>
        <v>#REF!</v>
      </c>
      <c r="GH138" t="e">
        <f>AND('Badge Ticket Formats'!#REF!,"AAAAAG11nr0=")</f>
        <v>#REF!</v>
      </c>
      <c r="GI138" t="e">
        <f>IF('Badge Ticket Formats'!#REF!,"AAAAAG11nr4=",0)</f>
        <v>#REF!</v>
      </c>
      <c r="GJ138" t="e">
        <f>AND('Badge Ticket Formats'!#REF!,"AAAAAG11nr8=")</f>
        <v>#REF!</v>
      </c>
      <c r="GK138" t="e">
        <f>AND('Badge Ticket Formats'!#REF!,"AAAAAG11nsA=")</f>
        <v>#REF!</v>
      </c>
      <c r="GL138" t="e">
        <f>AND('Badge Ticket Formats'!#REF!,"AAAAAG11nsE=")</f>
        <v>#REF!</v>
      </c>
      <c r="GM138" t="e">
        <f>AND('Badge Ticket Formats'!#REF!,"AAAAAG11nsI=")</f>
        <v>#REF!</v>
      </c>
      <c r="GN138" t="e">
        <f>AND('Badge Ticket Formats'!#REF!,"AAAAAG11nsM=")</f>
        <v>#REF!</v>
      </c>
      <c r="GO138" t="e">
        <f>AND('Badge Ticket Formats'!#REF!,"AAAAAG11nsQ=")</f>
        <v>#REF!</v>
      </c>
      <c r="GP138" t="e">
        <f>AND('Badge Ticket Formats'!#REF!,"AAAAAG11nsU=")</f>
        <v>#REF!</v>
      </c>
      <c r="GQ138" t="e">
        <f>AND('Badge Ticket Formats'!#REF!,"AAAAAG11nsY=")</f>
        <v>#REF!</v>
      </c>
      <c r="GR138" t="e">
        <f>AND('Badge Ticket Formats'!#REF!,"AAAAAG11nsc=")</f>
        <v>#REF!</v>
      </c>
      <c r="GS138" t="e">
        <f>AND('Badge Ticket Formats'!#REF!,"AAAAAG11nsg=")</f>
        <v>#REF!</v>
      </c>
      <c r="GT138" t="e">
        <f>AND('Badge Ticket Formats'!#REF!,"AAAAAG11nsk=")</f>
        <v>#REF!</v>
      </c>
      <c r="GU138" t="e">
        <f>AND('Badge Ticket Formats'!#REF!,"AAAAAG11nso=")</f>
        <v>#REF!</v>
      </c>
      <c r="GV138" t="e">
        <f>AND('Badge Ticket Formats'!#REF!,"AAAAAG11nss=")</f>
        <v>#REF!</v>
      </c>
      <c r="GW138" t="e">
        <f>IF('Badge Ticket Formats'!#REF!,"AAAAAG11nsw=",0)</f>
        <v>#REF!</v>
      </c>
      <c r="GX138" t="e">
        <f>AND('Badge Ticket Formats'!#REF!,"AAAAAG11ns0=")</f>
        <v>#REF!</v>
      </c>
      <c r="GY138" t="e">
        <f>AND('Badge Ticket Formats'!#REF!,"AAAAAG11ns4=")</f>
        <v>#REF!</v>
      </c>
      <c r="GZ138" t="e">
        <f>AND('Badge Ticket Formats'!#REF!,"AAAAAG11ns8=")</f>
        <v>#REF!</v>
      </c>
      <c r="HA138" t="e">
        <f>AND('Badge Ticket Formats'!#REF!,"AAAAAG11ntA=")</f>
        <v>#REF!</v>
      </c>
      <c r="HB138" t="e">
        <f>AND('Badge Ticket Formats'!#REF!,"AAAAAG11ntE=")</f>
        <v>#REF!</v>
      </c>
      <c r="HC138" t="e">
        <f>AND('Badge Ticket Formats'!#REF!,"AAAAAG11ntI=")</f>
        <v>#REF!</v>
      </c>
      <c r="HD138" t="e">
        <f>AND('Badge Ticket Formats'!#REF!,"AAAAAG11ntM=")</f>
        <v>#REF!</v>
      </c>
      <c r="HE138" t="e">
        <f>AND('Badge Ticket Formats'!#REF!,"AAAAAG11ntQ=")</f>
        <v>#REF!</v>
      </c>
      <c r="HF138" t="e">
        <f>AND('Badge Ticket Formats'!#REF!,"AAAAAG11ntU=")</f>
        <v>#REF!</v>
      </c>
      <c r="HG138" t="e">
        <f>AND('Badge Ticket Formats'!#REF!,"AAAAAG11ntY=")</f>
        <v>#REF!</v>
      </c>
      <c r="HH138" t="e">
        <f>AND('Badge Ticket Formats'!#REF!,"AAAAAG11ntc=")</f>
        <v>#REF!</v>
      </c>
      <c r="HI138" t="e">
        <f>AND('Badge Ticket Formats'!#REF!,"AAAAAG11ntg=")</f>
        <v>#REF!</v>
      </c>
      <c r="HJ138" t="e">
        <f>AND('Badge Ticket Formats'!#REF!,"AAAAAG11ntk=")</f>
        <v>#REF!</v>
      </c>
      <c r="HK138" t="e">
        <f>IF('Badge Ticket Formats'!#REF!,"AAAAAG11nto=",0)</f>
        <v>#REF!</v>
      </c>
      <c r="HL138" t="e">
        <f>AND('Badge Ticket Formats'!#REF!,"AAAAAG11nts=")</f>
        <v>#REF!</v>
      </c>
      <c r="HM138" t="e">
        <f>AND('Badge Ticket Formats'!#REF!,"AAAAAG11ntw=")</f>
        <v>#REF!</v>
      </c>
      <c r="HN138" t="e">
        <f>AND('Badge Ticket Formats'!#REF!,"AAAAAG11nt0=")</f>
        <v>#REF!</v>
      </c>
      <c r="HO138" t="e">
        <f>AND('Badge Ticket Formats'!#REF!,"AAAAAG11nt4=")</f>
        <v>#REF!</v>
      </c>
      <c r="HP138" t="e">
        <f>AND('Badge Ticket Formats'!#REF!,"AAAAAG11nt8=")</f>
        <v>#REF!</v>
      </c>
      <c r="HQ138" t="e">
        <f>AND('Badge Ticket Formats'!#REF!,"AAAAAG11nuA=")</f>
        <v>#REF!</v>
      </c>
      <c r="HR138" t="e">
        <f>AND('Badge Ticket Formats'!#REF!,"AAAAAG11nuE=")</f>
        <v>#REF!</v>
      </c>
      <c r="HS138" t="e">
        <f>AND('Badge Ticket Formats'!#REF!,"AAAAAG11nuI=")</f>
        <v>#REF!</v>
      </c>
      <c r="HT138" t="e">
        <f>AND('Badge Ticket Formats'!#REF!,"AAAAAG11nuM=")</f>
        <v>#REF!</v>
      </c>
      <c r="HU138" t="e">
        <f>AND('Badge Ticket Formats'!#REF!,"AAAAAG11nuQ=")</f>
        <v>#REF!</v>
      </c>
      <c r="HV138" t="e">
        <f>AND('Badge Ticket Formats'!#REF!,"AAAAAG11nuU=")</f>
        <v>#REF!</v>
      </c>
      <c r="HW138" t="e">
        <f>AND('Badge Ticket Formats'!#REF!,"AAAAAG11nuY=")</f>
        <v>#REF!</v>
      </c>
      <c r="HX138" t="e">
        <f>AND('Badge Ticket Formats'!#REF!,"AAAAAG11nuc=")</f>
        <v>#REF!</v>
      </c>
      <c r="HY138" t="e">
        <f>IF('Badge Ticket Formats'!#REF!,"AAAAAG11nug=",0)</f>
        <v>#REF!</v>
      </c>
      <c r="HZ138" t="e">
        <f>AND('Badge Ticket Formats'!#REF!,"AAAAAG11nuk=")</f>
        <v>#REF!</v>
      </c>
      <c r="IA138" t="e">
        <f>AND('Badge Ticket Formats'!#REF!,"AAAAAG11nuo=")</f>
        <v>#REF!</v>
      </c>
      <c r="IB138" t="e">
        <f>AND('Badge Ticket Formats'!#REF!,"AAAAAG11nus=")</f>
        <v>#REF!</v>
      </c>
      <c r="IC138" t="e">
        <f>AND('Badge Ticket Formats'!#REF!,"AAAAAG11nuw=")</f>
        <v>#REF!</v>
      </c>
      <c r="ID138" t="e">
        <f>AND('Badge Ticket Formats'!#REF!,"AAAAAG11nu0=")</f>
        <v>#REF!</v>
      </c>
      <c r="IE138" t="e">
        <f>AND('Badge Ticket Formats'!#REF!,"AAAAAG11nu4=")</f>
        <v>#REF!</v>
      </c>
      <c r="IF138" t="e">
        <f>AND('Badge Ticket Formats'!#REF!,"AAAAAG11nu8=")</f>
        <v>#REF!</v>
      </c>
      <c r="IG138" t="e">
        <f>AND('Badge Ticket Formats'!#REF!,"AAAAAG11nvA=")</f>
        <v>#REF!</v>
      </c>
      <c r="IH138" t="e">
        <f>AND('Badge Ticket Formats'!#REF!,"AAAAAG11nvE=")</f>
        <v>#REF!</v>
      </c>
      <c r="II138" t="e">
        <f>AND('Badge Ticket Formats'!#REF!,"AAAAAG11nvI=")</f>
        <v>#REF!</v>
      </c>
      <c r="IJ138" t="e">
        <f>AND('Badge Ticket Formats'!#REF!,"AAAAAG11nvM=")</f>
        <v>#REF!</v>
      </c>
      <c r="IK138" t="e">
        <f>AND('Badge Ticket Formats'!#REF!,"AAAAAG11nvQ=")</f>
        <v>#REF!</v>
      </c>
      <c r="IL138" t="e">
        <f>AND('Badge Ticket Formats'!#REF!,"AAAAAG11nvU=")</f>
        <v>#REF!</v>
      </c>
      <c r="IM138" t="e">
        <f>IF('Badge Ticket Formats'!#REF!,"AAAAAG11nvY=",0)</f>
        <v>#REF!</v>
      </c>
      <c r="IN138" t="e">
        <f>AND('Badge Ticket Formats'!#REF!,"AAAAAG11nvc=")</f>
        <v>#REF!</v>
      </c>
      <c r="IO138" t="e">
        <f>AND('Badge Ticket Formats'!#REF!,"AAAAAG11nvg=")</f>
        <v>#REF!</v>
      </c>
      <c r="IP138" t="e">
        <f>AND('Badge Ticket Formats'!#REF!,"AAAAAG11nvk=")</f>
        <v>#REF!</v>
      </c>
      <c r="IQ138" t="e">
        <f>AND('Badge Ticket Formats'!#REF!,"AAAAAG11nvo=")</f>
        <v>#REF!</v>
      </c>
      <c r="IR138" t="e">
        <f>AND('Badge Ticket Formats'!#REF!,"AAAAAG11nvs=")</f>
        <v>#REF!</v>
      </c>
      <c r="IS138" t="e">
        <f>AND('Badge Ticket Formats'!#REF!,"AAAAAG11nvw=")</f>
        <v>#REF!</v>
      </c>
      <c r="IT138" t="e">
        <f>AND('Badge Ticket Formats'!#REF!,"AAAAAG11nv0=")</f>
        <v>#REF!</v>
      </c>
      <c r="IU138" t="e">
        <f>AND('Badge Ticket Formats'!#REF!,"AAAAAG11nv4=")</f>
        <v>#REF!</v>
      </c>
      <c r="IV138" t="e">
        <f>AND('Badge Ticket Formats'!#REF!,"AAAAAG11nv8=")</f>
        <v>#REF!</v>
      </c>
    </row>
    <row r="139" spans="1:256" x14ac:dyDescent="0.2">
      <c r="A139" t="e">
        <f>AND('Badge Ticket Formats'!#REF!,"AAAAAHTPtwA=")</f>
        <v>#REF!</v>
      </c>
      <c r="B139" t="e">
        <f>AND('Badge Ticket Formats'!#REF!,"AAAAAHTPtwE=")</f>
        <v>#REF!</v>
      </c>
      <c r="C139" t="e">
        <f>AND('Badge Ticket Formats'!#REF!,"AAAAAHTPtwI=")</f>
        <v>#REF!</v>
      </c>
      <c r="D139" t="e">
        <f>AND('Badge Ticket Formats'!#REF!,"AAAAAHTPtwM=")</f>
        <v>#REF!</v>
      </c>
      <c r="E139" t="e">
        <f>IF('Badge Ticket Formats'!#REF!,"AAAAAHTPtwQ=",0)</f>
        <v>#REF!</v>
      </c>
      <c r="F139" t="e">
        <f>AND('Badge Ticket Formats'!#REF!,"AAAAAHTPtwU=")</f>
        <v>#REF!</v>
      </c>
      <c r="G139" t="e">
        <f>AND('Badge Ticket Formats'!#REF!,"AAAAAHTPtwY=")</f>
        <v>#REF!</v>
      </c>
      <c r="H139" t="e">
        <f>AND('Badge Ticket Formats'!#REF!,"AAAAAHTPtwc=")</f>
        <v>#REF!</v>
      </c>
      <c r="I139" t="e">
        <f>AND('Badge Ticket Formats'!#REF!,"AAAAAHTPtwg=")</f>
        <v>#REF!</v>
      </c>
      <c r="J139" t="e">
        <f>AND('Badge Ticket Formats'!#REF!,"AAAAAHTPtwk=")</f>
        <v>#REF!</v>
      </c>
      <c r="K139" t="e">
        <f>AND('Badge Ticket Formats'!#REF!,"AAAAAHTPtwo=")</f>
        <v>#REF!</v>
      </c>
      <c r="L139" t="e">
        <f>AND('Badge Ticket Formats'!#REF!,"AAAAAHTPtws=")</f>
        <v>#REF!</v>
      </c>
      <c r="M139" t="e">
        <f>AND('Badge Ticket Formats'!#REF!,"AAAAAHTPtww=")</f>
        <v>#REF!</v>
      </c>
      <c r="N139" t="e">
        <f>AND('Badge Ticket Formats'!#REF!,"AAAAAHTPtw0=")</f>
        <v>#REF!</v>
      </c>
      <c r="O139" t="e">
        <f>AND('Badge Ticket Formats'!#REF!,"AAAAAHTPtw4=")</f>
        <v>#REF!</v>
      </c>
      <c r="P139" t="e">
        <f>AND('Badge Ticket Formats'!#REF!,"AAAAAHTPtw8=")</f>
        <v>#REF!</v>
      </c>
      <c r="Q139" t="e">
        <f>AND('Badge Ticket Formats'!#REF!,"AAAAAHTPtxA=")</f>
        <v>#REF!</v>
      </c>
      <c r="R139" t="e">
        <f>AND('Badge Ticket Formats'!#REF!,"AAAAAHTPtxE=")</f>
        <v>#REF!</v>
      </c>
      <c r="S139" t="e">
        <f>IF('Badge Ticket Formats'!#REF!,"AAAAAHTPtxI=",0)</f>
        <v>#REF!</v>
      </c>
      <c r="T139" t="e">
        <f>AND('Badge Ticket Formats'!#REF!,"AAAAAHTPtxM=")</f>
        <v>#REF!</v>
      </c>
      <c r="U139" t="e">
        <f>AND('Badge Ticket Formats'!#REF!,"AAAAAHTPtxQ=")</f>
        <v>#REF!</v>
      </c>
      <c r="V139" t="e">
        <f>AND('Badge Ticket Formats'!#REF!,"AAAAAHTPtxU=")</f>
        <v>#REF!</v>
      </c>
      <c r="W139" t="e">
        <f>AND('Badge Ticket Formats'!#REF!,"AAAAAHTPtxY=")</f>
        <v>#REF!</v>
      </c>
      <c r="X139" t="e">
        <f>AND('Badge Ticket Formats'!#REF!,"AAAAAHTPtxc=")</f>
        <v>#REF!</v>
      </c>
      <c r="Y139" t="e">
        <f>AND('Badge Ticket Formats'!#REF!,"AAAAAHTPtxg=")</f>
        <v>#REF!</v>
      </c>
      <c r="Z139" t="e">
        <f>AND('Badge Ticket Formats'!#REF!,"AAAAAHTPtxk=")</f>
        <v>#REF!</v>
      </c>
      <c r="AA139" t="e">
        <f>AND('Badge Ticket Formats'!#REF!,"AAAAAHTPtxo=")</f>
        <v>#REF!</v>
      </c>
      <c r="AB139" t="e">
        <f>AND('Badge Ticket Formats'!#REF!,"AAAAAHTPtxs=")</f>
        <v>#REF!</v>
      </c>
      <c r="AC139" t="e">
        <f>AND('Badge Ticket Formats'!#REF!,"AAAAAHTPtxw=")</f>
        <v>#REF!</v>
      </c>
      <c r="AD139" t="e">
        <f>AND('Badge Ticket Formats'!#REF!,"AAAAAHTPtx0=")</f>
        <v>#REF!</v>
      </c>
      <c r="AE139" t="e">
        <f>AND('Badge Ticket Formats'!#REF!,"AAAAAHTPtx4=")</f>
        <v>#REF!</v>
      </c>
      <c r="AF139" t="e">
        <f>AND('Badge Ticket Formats'!#REF!,"AAAAAHTPtx8=")</f>
        <v>#REF!</v>
      </c>
      <c r="AG139" t="e">
        <f>IF('Badge Ticket Formats'!#REF!,"AAAAAHTPtyA=",0)</f>
        <v>#REF!</v>
      </c>
      <c r="AH139" t="e">
        <f>AND('Badge Ticket Formats'!#REF!,"AAAAAHTPtyE=")</f>
        <v>#REF!</v>
      </c>
      <c r="AI139" t="e">
        <f>AND('Badge Ticket Formats'!#REF!,"AAAAAHTPtyI=")</f>
        <v>#REF!</v>
      </c>
      <c r="AJ139" t="e">
        <f>AND('Badge Ticket Formats'!#REF!,"AAAAAHTPtyM=")</f>
        <v>#REF!</v>
      </c>
      <c r="AK139" t="e">
        <f>AND('Badge Ticket Formats'!#REF!,"AAAAAHTPtyQ=")</f>
        <v>#REF!</v>
      </c>
      <c r="AL139" t="e">
        <f>AND('Badge Ticket Formats'!#REF!,"AAAAAHTPtyU=")</f>
        <v>#REF!</v>
      </c>
      <c r="AM139" t="e">
        <f>AND('Badge Ticket Formats'!#REF!,"AAAAAHTPtyY=")</f>
        <v>#REF!</v>
      </c>
      <c r="AN139" t="e">
        <f>AND('Badge Ticket Formats'!#REF!,"AAAAAHTPtyc=")</f>
        <v>#REF!</v>
      </c>
      <c r="AO139" t="e">
        <f>AND('Badge Ticket Formats'!#REF!,"AAAAAHTPtyg=")</f>
        <v>#REF!</v>
      </c>
      <c r="AP139" t="e">
        <f>AND('Badge Ticket Formats'!#REF!,"AAAAAHTPtyk=")</f>
        <v>#REF!</v>
      </c>
      <c r="AQ139" t="e">
        <f>AND('Badge Ticket Formats'!#REF!,"AAAAAHTPtyo=")</f>
        <v>#REF!</v>
      </c>
      <c r="AR139" t="e">
        <f>AND('Badge Ticket Formats'!#REF!,"AAAAAHTPtys=")</f>
        <v>#REF!</v>
      </c>
      <c r="AS139" t="e">
        <f>AND('Badge Ticket Formats'!#REF!,"AAAAAHTPtyw=")</f>
        <v>#REF!</v>
      </c>
      <c r="AT139" t="e">
        <f>AND('Badge Ticket Formats'!#REF!,"AAAAAHTPty0=")</f>
        <v>#REF!</v>
      </c>
      <c r="AU139" t="e">
        <f>IF('Badge Ticket Formats'!#REF!,"AAAAAHTPty4=",0)</f>
        <v>#REF!</v>
      </c>
      <c r="AV139" t="e">
        <f>AND('Badge Ticket Formats'!#REF!,"AAAAAHTPty8=")</f>
        <v>#REF!</v>
      </c>
      <c r="AW139" t="e">
        <f>AND('Badge Ticket Formats'!#REF!,"AAAAAHTPtzA=")</f>
        <v>#REF!</v>
      </c>
      <c r="AX139" t="e">
        <f>AND('Badge Ticket Formats'!#REF!,"AAAAAHTPtzE=")</f>
        <v>#REF!</v>
      </c>
      <c r="AY139" t="e">
        <f>AND('Badge Ticket Formats'!#REF!,"AAAAAHTPtzI=")</f>
        <v>#REF!</v>
      </c>
      <c r="AZ139" t="e">
        <f>AND('Badge Ticket Formats'!#REF!,"AAAAAHTPtzM=")</f>
        <v>#REF!</v>
      </c>
      <c r="BA139" t="e">
        <f>AND('Badge Ticket Formats'!#REF!,"AAAAAHTPtzQ=")</f>
        <v>#REF!</v>
      </c>
      <c r="BB139" t="e">
        <f>AND('Badge Ticket Formats'!#REF!,"AAAAAHTPtzU=")</f>
        <v>#REF!</v>
      </c>
      <c r="BC139" t="e">
        <f>AND('Badge Ticket Formats'!#REF!,"AAAAAHTPtzY=")</f>
        <v>#REF!</v>
      </c>
      <c r="BD139" t="e">
        <f>AND('Badge Ticket Formats'!#REF!,"AAAAAHTPtzc=")</f>
        <v>#REF!</v>
      </c>
      <c r="BE139" t="e">
        <f>AND('Badge Ticket Formats'!#REF!,"AAAAAHTPtzg=")</f>
        <v>#REF!</v>
      </c>
      <c r="BF139" t="e">
        <f>AND('Badge Ticket Formats'!#REF!,"AAAAAHTPtzk=")</f>
        <v>#REF!</v>
      </c>
      <c r="BG139" t="e">
        <f>AND('Badge Ticket Formats'!#REF!,"AAAAAHTPtzo=")</f>
        <v>#REF!</v>
      </c>
      <c r="BH139" t="e">
        <f>AND('Badge Ticket Formats'!#REF!,"AAAAAHTPtzs=")</f>
        <v>#REF!</v>
      </c>
      <c r="BI139" t="e">
        <f>IF('Badge Ticket Formats'!#REF!,"AAAAAHTPtzw=",0)</f>
        <v>#REF!</v>
      </c>
      <c r="BJ139" t="e">
        <f>AND('Badge Ticket Formats'!#REF!,"AAAAAHTPtz0=")</f>
        <v>#REF!</v>
      </c>
      <c r="BK139" t="e">
        <f>AND('Badge Ticket Formats'!#REF!,"AAAAAHTPtz4=")</f>
        <v>#REF!</v>
      </c>
      <c r="BL139" t="e">
        <f>AND('Badge Ticket Formats'!#REF!,"AAAAAHTPtz8=")</f>
        <v>#REF!</v>
      </c>
      <c r="BM139" t="e">
        <f>AND('Badge Ticket Formats'!#REF!,"AAAAAHTPt0A=")</f>
        <v>#REF!</v>
      </c>
      <c r="BN139" t="e">
        <f>AND('Badge Ticket Formats'!#REF!,"AAAAAHTPt0E=")</f>
        <v>#REF!</v>
      </c>
      <c r="BO139" t="e">
        <f>AND('Badge Ticket Formats'!#REF!,"AAAAAHTPt0I=")</f>
        <v>#REF!</v>
      </c>
      <c r="BP139" t="e">
        <f>AND('Badge Ticket Formats'!#REF!,"AAAAAHTPt0M=")</f>
        <v>#REF!</v>
      </c>
      <c r="BQ139" t="e">
        <f>AND('Badge Ticket Formats'!#REF!,"AAAAAHTPt0Q=")</f>
        <v>#REF!</v>
      </c>
      <c r="BR139" t="e">
        <f>AND('Badge Ticket Formats'!#REF!,"AAAAAHTPt0U=")</f>
        <v>#REF!</v>
      </c>
      <c r="BS139" t="e">
        <f>AND('Badge Ticket Formats'!#REF!,"AAAAAHTPt0Y=")</f>
        <v>#REF!</v>
      </c>
      <c r="BT139" t="e">
        <f>AND('Badge Ticket Formats'!#REF!,"AAAAAHTPt0c=")</f>
        <v>#REF!</v>
      </c>
      <c r="BU139" t="e">
        <f>AND('Badge Ticket Formats'!#REF!,"AAAAAHTPt0g=")</f>
        <v>#REF!</v>
      </c>
      <c r="BV139" t="e">
        <f>AND('Badge Ticket Formats'!#REF!,"AAAAAHTPt0k=")</f>
        <v>#REF!</v>
      </c>
      <c r="BW139" t="e">
        <f>IF('Badge Ticket Formats'!#REF!,"AAAAAHTPt0o=",0)</f>
        <v>#REF!</v>
      </c>
      <c r="BX139" t="e">
        <f>AND('Badge Ticket Formats'!#REF!,"AAAAAHTPt0s=")</f>
        <v>#REF!</v>
      </c>
      <c r="BY139" t="e">
        <f>AND('Badge Ticket Formats'!#REF!,"AAAAAHTPt0w=")</f>
        <v>#REF!</v>
      </c>
      <c r="BZ139" t="e">
        <f>AND('Badge Ticket Formats'!#REF!,"AAAAAHTPt00=")</f>
        <v>#REF!</v>
      </c>
      <c r="CA139" t="e">
        <f>AND('Badge Ticket Formats'!#REF!,"AAAAAHTPt04=")</f>
        <v>#REF!</v>
      </c>
      <c r="CB139" t="e">
        <f>AND('Badge Ticket Formats'!#REF!,"AAAAAHTPt08=")</f>
        <v>#REF!</v>
      </c>
      <c r="CC139" t="e">
        <f>AND('Badge Ticket Formats'!#REF!,"AAAAAHTPt1A=")</f>
        <v>#REF!</v>
      </c>
      <c r="CD139" t="e">
        <f>AND('Badge Ticket Formats'!#REF!,"AAAAAHTPt1E=")</f>
        <v>#REF!</v>
      </c>
      <c r="CE139" t="e">
        <f>AND('Badge Ticket Formats'!#REF!,"AAAAAHTPt1I=")</f>
        <v>#REF!</v>
      </c>
      <c r="CF139" t="e">
        <f>AND('Badge Ticket Formats'!#REF!,"AAAAAHTPt1M=")</f>
        <v>#REF!</v>
      </c>
      <c r="CG139" t="e">
        <f>AND('Badge Ticket Formats'!#REF!,"AAAAAHTPt1Q=")</f>
        <v>#REF!</v>
      </c>
      <c r="CH139" t="e">
        <f>AND('Badge Ticket Formats'!#REF!,"AAAAAHTPt1U=")</f>
        <v>#REF!</v>
      </c>
      <c r="CI139" t="e">
        <f>AND('Badge Ticket Formats'!#REF!,"AAAAAHTPt1Y=")</f>
        <v>#REF!</v>
      </c>
      <c r="CJ139" t="e">
        <f>AND('Badge Ticket Formats'!#REF!,"AAAAAHTPt1c=")</f>
        <v>#REF!</v>
      </c>
      <c r="CK139" t="e">
        <f>IF('Badge Ticket Formats'!#REF!,"AAAAAHTPt1g=",0)</f>
        <v>#REF!</v>
      </c>
      <c r="CL139" t="e">
        <f>AND('Badge Ticket Formats'!#REF!,"AAAAAHTPt1k=")</f>
        <v>#REF!</v>
      </c>
      <c r="CM139" t="e">
        <f>AND('Badge Ticket Formats'!#REF!,"AAAAAHTPt1o=")</f>
        <v>#REF!</v>
      </c>
      <c r="CN139" t="e">
        <f>AND('Badge Ticket Formats'!#REF!,"AAAAAHTPt1s=")</f>
        <v>#REF!</v>
      </c>
      <c r="CO139" t="e">
        <f>AND('Badge Ticket Formats'!#REF!,"AAAAAHTPt1w=")</f>
        <v>#REF!</v>
      </c>
      <c r="CP139" t="e">
        <f>AND('Badge Ticket Formats'!#REF!,"AAAAAHTPt10=")</f>
        <v>#REF!</v>
      </c>
      <c r="CQ139" t="e">
        <f>AND('Badge Ticket Formats'!#REF!,"AAAAAHTPt14=")</f>
        <v>#REF!</v>
      </c>
      <c r="CR139" t="e">
        <f>AND('Badge Ticket Formats'!#REF!,"AAAAAHTPt18=")</f>
        <v>#REF!</v>
      </c>
      <c r="CS139" t="e">
        <f>AND('Badge Ticket Formats'!#REF!,"AAAAAHTPt2A=")</f>
        <v>#REF!</v>
      </c>
      <c r="CT139" t="e">
        <f>AND('Badge Ticket Formats'!#REF!,"AAAAAHTPt2E=")</f>
        <v>#REF!</v>
      </c>
      <c r="CU139" t="e">
        <f>AND('Badge Ticket Formats'!#REF!,"AAAAAHTPt2I=")</f>
        <v>#REF!</v>
      </c>
      <c r="CV139" t="e">
        <f>AND('Badge Ticket Formats'!#REF!,"AAAAAHTPt2M=")</f>
        <v>#REF!</v>
      </c>
      <c r="CW139" t="e">
        <f>AND('Badge Ticket Formats'!#REF!,"AAAAAHTPt2Q=")</f>
        <v>#REF!</v>
      </c>
      <c r="CX139" t="e">
        <f>AND('Badge Ticket Formats'!#REF!,"AAAAAHTPt2U=")</f>
        <v>#REF!</v>
      </c>
      <c r="CY139" t="e">
        <f>IF('Badge Ticket Formats'!#REF!,"AAAAAHTPt2Y=",0)</f>
        <v>#REF!</v>
      </c>
      <c r="CZ139" t="e">
        <f>AND('Badge Ticket Formats'!#REF!,"AAAAAHTPt2c=")</f>
        <v>#REF!</v>
      </c>
      <c r="DA139" t="e">
        <f>AND('Badge Ticket Formats'!#REF!,"AAAAAHTPt2g=")</f>
        <v>#REF!</v>
      </c>
      <c r="DB139" t="e">
        <f>AND('Badge Ticket Formats'!#REF!,"AAAAAHTPt2k=")</f>
        <v>#REF!</v>
      </c>
      <c r="DC139" t="e">
        <f>AND('Badge Ticket Formats'!#REF!,"AAAAAHTPt2o=")</f>
        <v>#REF!</v>
      </c>
      <c r="DD139" t="e">
        <f>AND('Badge Ticket Formats'!#REF!,"AAAAAHTPt2s=")</f>
        <v>#REF!</v>
      </c>
      <c r="DE139" t="e">
        <f>AND('Badge Ticket Formats'!#REF!,"AAAAAHTPt2w=")</f>
        <v>#REF!</v>
      </c>
      <c r="DF139" t="e">
        <f>AND('Badge Ticket Formats'!#REF!,"AAAAAHTPt20=")</f>
        <v>#REF!</v>
      </c>
      <c r="DG139" t="e">
        <f>AND('Badge Ticket Formats'!#REF!,"AAAAAHTPt24=")</f>
        <v>#REF!</v>
      </c>
      <c r="DH139" t="e">
        <f>AND('Badge Ticket Formats'!#REF!,"AAAAAHTPt28=")</f>
        <v>#REF!</v>
      </c>
      <c r="DI139" t="e">
        <f>AND('Badge Ticket Formats'!#REF!,"AAAAAHTPt3A=")</f>
        <v>#REF!</v>
      </c>
      <c r="DJ139" t="e">
        <f>AND('Badge Ticket Formats'!#REF!,"AAAAAHTPt3E=")</f>
        <v>#REF!</v>
      </c>
      <c r="DK139" t="e">
        <f>AND('Badge Ticket Formats'!#REF!,"AAAAAHTPt3I=")</f>
        <v>#REF!</v>
      </c>
      <c r="DL139" t="e">
        <f>AND('Badge Ticket Formats'!#REF!,"AAAAAHTPt3M=")</f>
        <v>#REF!</v>
      </c>
      <c r="DM139" t="e">
        <f>IF('Badge Ticket Formats'!#REF!,"AAAAAHTPt3Q=",0)</f>
        <v>#REF!</v>
      </c>
      <c r="DN139" t="e">
        <f>AND('Badge Ticket Formats'!#REF!,"AAAAAHTPt3U=")</f>
        <v>#REF!</v>
      </c>
      <c r="DO139" t="e">
        <f>AND('Badge Ticket Formats'!#REF!,"AAAAAHTPt3Y=")</f>
        <v>#REF!</v>
      </c>
      <c r="DP139" t="e">
        <f>AND('Badge Ticket Formats'!#REF!,"AAAAAHTPt3c=")</f>
        <v>#REF!</v>
      </c>
      <c r="DQ139" t="e">
        <f>AND('Badge Ticket Formats'!#REF!,"AAAAAHTPt3g=")</f>
        <v>#REF!</v>
      </c>
      <c r="DR139" t="e">
        <f>AND('Badge Ticket Formats'!#REF!,"AAAAAHTPt3k=")</f>
        <v>#REF!</v>
      </c>
      <c r="DS139" t="e">
        <f>AND('Badge Ticket Formats'!#REF!,"AAAAAHTPt3o=")</f>
        <v>#REF!</v>
      </c>
      <c r="DT139" t="e">
        <f>AND('Badge Ticket Formats'!#REF!,"AAAAAHTPt3s=")</f>
        <v>#REF!</v>
      </c>
      <c r="DU139" t="e">
        <f>AND('Badge Ticket Formats'!#REF!,"AAAAAHTPt3w=")</f>
        <v>#REF!</v>
      </c>
      <c r="DV139" t="e">
        <f>AND('Badge Ticket Formats'!#REF!,"AAAAAHTPt30=")</f>
        <v>#REF!</v>
      </c>
      <c r="DW139" t="e">
        <f>AND('Badge Ticket Formats'!#REF!,"AAAAAHTPt34=")</f>
        <v>#REF!</v>
      </c>
      <c r="DX139" t="e">
        <f>AND('Badge Ticket Formats'!#REF!,"AAAAAHTPt38=")</f>
        <v>#REF!</v>
      </c>
      <c r="DY139" t="e">
        <f>AND('Badge Ticket Formats'!#REF!,"AAAAAHTPt4A=")</f>
        <v>#REF!</v>
      </c>
      <c r="DZ139" t="e">
        <f>AND('Badge Ticket Formats'!#REF!,"AAAAAHTPt4E=")</f>
        <v>#REF!</v>
      </c>
      <c r="EA139" t="e">
        <f>IF('Badge Ticket Formats'!#REF!,"AAAAAHTPt4I=",0)</f>
        <v>#REF!</v>
      </c>
      <c r="EB139" t="e">
        <f>AND('Badge Ticket Formats'!#REF!,"AAAAAHTPt4M=")</f>
        <v>#REF!</v>
      </c>
      <c r="EC139" t="e">
        <f>AND('Badge Ticket Formats'!#REF!,"AAAAAHTPt4Q=")</f>
        <v>#REF!</v>
      </c>
      <c r="ED139" t="e">
        <f>AND('Badge Ticket Formats'!#REF!,"AAAAAHTPt4U=")</f>
        <v>#REF!</v>
      </c>
      <c r="EE139" t="e">
        <f>AND('Badge Ticket Formats'!#REF!,"AAAAAHTPt4Y=")</f>
        <v>#REF!</v>
      </c>
      <c r="EF139" t="e">
        <f>AND('Badge Ticket Formats'!#REF!,"AAAAAHTPt4c=")</f>
        <v>#REF!</v>
      </c>
      <c r="EG139" t="e">
        <f>AND('Badge Ticket Formats'!#REF!,"AAAAAHTPt4g=")</f>
        <v>#REF!</v>
      </c>
      <c r="EH139" t="e">
        <f>AND('Badge Ticket Formats'!#REF!,"AAAAAHTPt4k=")</f>
        <v>#REF!</v>
      </c>
      <c r="EI139" t="e">
        <f>AND('Badge Ticket Formats'!#REF!,"AAAAAHTPt4o=")</f>
        <v>#REF!</v>
      </c>
      <c r="EJ139" t="e">
        <f>AND('Badge Ticket Formats'!#REF!,"AAAAAHTPt4s=")</f>
        <v>#REF!</v>
      </c>
      <c r="EK139" t="e">
        <f>AND('Badge Ticket Formats'!#REF!,"AAAAAHTPt4w=")</f>
        <v>#REF!</v>
      </c>
      <c r="EL139" t="e">
        <f>AND('Badge Ticket Formats'!#REF!,"AAAAAHTPt40=")</f>
        <v>#REF!</v>
      </c>
      <c r="EM139" t="e">
        <f>AND('Badge Ticket Formats'!#REF!,"AAAAAHTPt44=")</f>
        <v>#REF!</v>
      </c>
      <c r="EN139" t="e">
        <f>AND('Badge Ticket Formats'!#REF!,"AAAAAHTPt48=")</f>
        <v>#REF!</v>
      </c>
      <c r="EO139" t="e">
        <f>IF('Badge Ticket Formats'!#REF!,"AAAAAHTPt5A=",0)</f>
        <v>#REF!</v>
      </c>
      <c r="EP139" t="e">
        <f>AND('Badge Ticket Formats'!#REF!,"AAAAAHTPt5E=")</f>
        <v>#REF!</v>
      </c>
      <c r="EQ139" t="e">
        <f>AND('Badge Ticket Formats'!#REF!,"AAAAAHTPt5I=")</f>
        <v>#REF!</v>
      </c>
      <c r="ER139" t="e">
        <f>AND('Badge Ticket Formats'!#REF!,"AAAAAHTPt5M=")</f>
        <v>#REF!</v>
      </c>
      <c r="ES139" t="e">
        <f>AND('Badge Ticket Formats'!#REF!,"AAAAAHTPt5Q=")</f>
        <v>#REF!</v>
      </c>
      <c r="ET139" t="e">
        <f>AND('Badge Ticket Formats'!#REF!,"AAAAAHTPt5U=")</f>
        <v>#REF!</v>
      </c>
      <c r="EU139" t="e">
        <f>AND('Badge Ticket Formats'!#REF!,"AAAAAHTPt5Y=")</f>
        <v>#REF!</v>
      </c>
      <c r="EV139" t="e">
        <f>AND('Badge Ticket Formats'!#REF!,"AAAAAHTPt5c=")</f>
        <v>#REF!</v>
      </c>
      <c r="EW139" t="e">
        <f>AND('Badge Ticket Formats'!#REF!,"AAAAAHTPt5g=")</f>
        <v>#REF!</v>
      </c>
      <c r="EX139" t="e">
        <f>AND('Badge Ticket Formats'!#REF!,"AAAAAHTPt5k=")</f>
        <v>#REF!</v>
      </c>
      <c r="EY139" t="e">
        <f>AND('Badge Ticket Formats'!#REF!,"AAAAAHTPt5o=")</f>
        <v>#REF!</v>
      </c>
      <c r="EZ139" t="e">
        <f>AND('Badge Ticket Formats'!#REF!,"AAAAAHTPt5s=")</f>
        <v>#REF!</v>
      </c>
      <c r="FA139" t="e">
        <f>AND('Badge Ticket Formats'!#REF!,"AAAAAHTPt5w=")</f>
        <v>#REF!</v>
      </c>
      <c r="FB139" t="e">
        <f>AND('Badge Ticket Formats'!#REF!,"AAAAAHTPt50=")</f>
        <v>#REF!</v>
      </c>
      <c r="FC139" t="e">
        <f>IF('Badge Ticket Formats'!#REF!,"AAAAAHTPt54=",0)</f>
        <v>#REF!</v>
      </c>
      <c r="FD139" t="e">
        <f>AND('Badge Ticket Formats'!#REF!,"AAAAAHTPt58=")</f>
        <v>#REF!</v>
      </c>
      <c r="FE139" t="e">
        <f>AND('Badge Ticket Formats'!#REF!,"AAAAAHTPt6A=")</f>
        <v>#REF!</v>
      </c>
      <c r="FF139" t="e">
        <f>AND('Badge Ticket Formats'!#REF!,"AAAAAHTPt6E=")</f>
        <v>#REF!</v>
      </c>
      <c r="FG139" t="e">
        <f>AND('Badge Ticket Formats'!#REF!,"AAAAAHTPt6I=")</f>
        <v>#REF!</v>
      </c>
      <c r="FH139" t="e">
        <f>AND('Badge Ticket Formats'!#REF!,"AAAAAHTPt6M=")</f>
        <v>#REF!</v>
      </c>
      <c r="FI139" t="e">
        <f>AND('Badge Ticket Formats'!#REF!,"AAAAAHTPt6Q=")</f>
        <v>#REF!</v>
      </c>
      <c r="FJ139" t="e">
        <f>AND('Badge Ticket Formats'!#REF!,"AAAAAHTPt6U=")</f>
        <v>#REF!</v>
      </c>
      <c r="FK139" t="e">
        <f>AND('Badge Ticket Formats'!#REF!,"AAAAAHTPt6Y=")</f>
        <v>#REF!</v>
      </c>
      <c r="FL139" t="e">
        <f>AND('Badge Ticket Formats'!#REF!,"AAAAAHTPt6c=")</f>
        <v>#REF!</v>
      </c>
      <c r="FM139" t="e">
        <f>AND('Badge Ticket Formats'!#REF!,"AAAAAHTPt6g=")</f>
        <v>#REF!</v>
      </c>
      <c r="FN139" t="e">
        <f>AND('Badge Ticket Formats'!#REF!,"AAAAAHTPt6k=")</f>
        <v>#REF!</v>
      </c>
      <c r="FO139" t="e">
        <f>AND('Badge Ticket Formats'!#REF!,"AAAAAHTPt6o=")</f>
        <v>#REF!</v>
      </c>
      <c r="FP139" t="e">
        <f>AND('Badge Ticket Formats'!#REF!,"AAAAAHTPt6s=")</f>
        <v>#REF!</v>
      </c>
      <c r="FQ139" t="e">
        <f>IF('Badge Ticket Formats'!#REF!,"AAAAAHTPt6w=",0)</f>
        <v>#REF!</v>
      </c>
      <c r="FR139" t="e">
        <f>AND('Badge Ticket Formats'!#REF!,"AAAAAHTPt60=")</f>
        <v>#REF!</v>
      </c>
      <c r="FS139" t="e">
        <f>AND('Badge Ticket Formats'!#REF!,"AAAAAHTPt64=")</f>
        <v>#REF!</v>
      </c>
      <c r="FT139" t="e">
        <f>AND('Badge Ticket Formats'!#REF!,"AAAAAHTPt68=")</f>
        <v>#REF!</v>
      </c>
      <c r="FU139" t="e">
        <f>AND('Badge Ticket Formats'!#REF!,"AAAAAHTPt7A=")</f>
        <v>#REF!</v>
      </c>
      <c r="FV139" t="e">
        <f>AND('Badge Ticket Formats'!#REF!,"AAAAAHTPt7E=")</f>
        <v>#REF!</v>
      </c>
      <c r="FW139" t="e">
        <f>AND('Badge Ticket Formats'!#REF!,"AAAAAHTPt7I=")</f>
        <v>#REF!</v>
      </c>
      <c r="FX139" t="e">
        <f>AND('Badge Ticket Formats'!#REF!,"AAAAAHTPt7M=")</f>
        <v>#REF!</v>
      </c>
      <c r="FY139" t="e">
        <f>AND('Badge Ticket Formats'!#REF!,"AAAAAHTPt7Q=")</f>
        <v>#REF!</v>
      </c>
      <c r="FZ139" t="e">
        <f>AND('Badge Ticket Formats'!#REF!,"AAAAAHTPt7U=")</f>
        <v>#REF!</v>
      </c>
      <c r="GA139" t="e">
        <f>AND('Badge Ticket Formats'!#REF!,"AAAAAHTPt7Y=")</f>
        <v>#REF!</v>
      </c>
      <c r="GB139" t="e">
        <f>AND('Badge Ticket Formats'!#REF!,"AAAAAHTPt7c=")</f>
        <v>#REF!</v>
      </c>
      <c r="GC139" t="e">
        <f>AND('Badge Ticket Formats'!#REF!,"AAAAAHTPt7g=")</f>
        <v>#REF!</v>
      </c>
      <c r="GD139" t="e">
        <f>AND('Badge Ticket Formats'!#REF!,"AAAAAHTPt7k=")</f>
        <v>#REF!</v>
      </c>
      <c r="GE139" t="e">
        <f>IF('Badge Ticket Formats'!#REF!,"AAAAAHTPt7o=",0)</f>
        <v>#REF!</v>
      </c>
      <c r="GF139" t="e">
        <f>AND('Badge Ticket Formats'!#REF!,"AAAAAHTPt7s=")</f>
        <v>#REF!</v>
      </c>
      <c r="GG139" t="e">
        <f>AND('Badge Ticket Formats'!#REF!,"AAAAAHTPt7w=")</f>
        <v>#REF!</v>
      </c>
      <c r="GH139" t="e">
        <f>AND('Badge Ticket Formats'!#REF!,"AAAAAHTPt70=")</f>
        <v>#REF!</v>
      </c>
      <c r="GI139" t="e">
        <f>AND('Badge Ticket Formats'!#REF!,"AAAAAHTPt74=")</f>
        <v>#REF!</v>
      </c>
      <c r="GJ139" t="e">
        <f>AND('Badge Ticket Formats'!#REF!,"AAAAAHTPt78=")</f>
        <v>#REF!</v>
      </c>
      <c r="GK139" t="e">
        <f>AND('Badge Ticket Formats'!#REF!,"AAAAAHTPt8A=")</f>
        <v>#REF!</v>
      </c>
      <c r="GL139" t="e">
        <f>AND('Badge Ticket Formats'!#REF!,"AAAAAHTPt8E=")</f>
        <v>#REF!</v>
      </c>
      <c r="GM139" t="e">
        <f>AND('Badge Ticket Formats'!#REF!,"AAAAAHTPt8I=")</f>
        <v>#REF!</v>
      </c>
      <c r="GN139" t="e">
        <f>AND('Badge Ticket Formats'!#REF!,"AAAAAHTPt8M=")</f>
        <v>#REF!</v>
      </c>
      <c r="GO139" t="e">
        <f>AND('Badge Ticket Formats'!#REF!,"AAAAAHTPt8Q=")</f>
        <v>#REF!</v>
      </c>
      <c r="GP139" t="e">
        <f>AND('Badge Ticket Formats'!#REF!,"AAAAAHTPt8U=")</f>
        <v>#REF!</v>
      </c>
      <c r="GQ139" t="e">
        <f>AND('Badge Ticket Formats'!#REF!,"AAAAAHTPt8Y=")</f>
        <v>#REF!</v>
      </c>
      <c r="GR139" t="e">
        <f>AND('Badge Ticket Formats'!#REF!,"AAAAAHTPt8c=")</f>
        <v>#REF!</v>
      </c>
      <c r="GS139" t="e">
        <f>IF('Badge Ticket Formats'!#REF!,"AAAAAHTPt8g=",0)</f>
        <v>#REF!</v>
      </c>
      <c r="GT139" t="e">
        <f>AND('Badge Ticket Formats'!#REF!,"AAAAAHTPt8k=")</f>
        <v>#REF!</v>
      </c>
      <c r="GU139" t="e">
        <f>AND('Badge Ticket Formats'!#REF!,"AAAAAHTPt8o=")</f>
        <v>#REF!</v>
      </c>
      <c r="GV139" t="e">
        <f>AND('Badge Ticket Formats'!#REF!,"AAAAAHTPt8s=")</f>
        <v>#REF!</v>
      </c>
      <c r="GW139" t="e">
        <f>AND('Badge Ticket Formats'!#REF!,"AAAAAHTPt8w=")</f>
        <v>#REF!</v>
      </c>
      <c r="GX139" t="e">
        <f>AND('Badge Ticket Formats'!#REF!,"AAAAAHTPt80=")</f>
        <v>#REF!</v>
      </c>
      <c r="GY139" t="e">
        <f>AND('Badge Ticket Formats'!#REF!,"AAAAAHTPt84=")</f>
        <v>#REF!</v>
      </c>
      <c r="GZ139" t="e">
        <f>AND('Badge Ticket Formats'!#REF!,"AAAAAHTPt88=")</f>
        <v>#REF!</v>
      </c>
      <c r="HA139" t="e">
        <f>AND('Badge Ticket Formats'!#REF!,"AAAAAHTPt9A=")</f>
        <v>#REF!</v>
      </c>
      <c r="HB139" t="e">
        <f>AND('Badge Ticket Formats'!#REF!,"AAAAAHTPt9E=")</f>
        <v>#REF!</v>
      </c>
      <c r="HC139" t="e">
        <f>AND('Badge Ticket Formats'!#REF!,"AAAAAHTPt9I=")</f>
        <v>#REF!</v>
      </c>
      <c r="HD139" t="e">
        <f>AND('Badge Ticket Formats'!#REF!,"AAAAAHTPt9M=")</f>
        <v>#REF!</v>
      </c>
      <c r="HE139" t="e">
        <f>AND('Badge Ticket Formats'!#REF!,"AAAAAHTPt9Q=")</f>
        <v>#REF!</v>
      </c>
      <c r="HF139" t="e">
        <f>AND('Badge Ticket Formats'!#REF!,"AAAAAHTPt9U=")</f>
        <v>#REF!</v>
      </c>
      <c r="HG139" t="e">
        <f>IF('Badge Ticket Formats'!#REF!,"AAAAAHTPt9Y=",0)</f>
        <v>#REF!</v>
      </c>
      <c r="HH139" t="e">
        <f>AND('Badge Ticket Formats'!#REF!,"AAAAAHTPt9c=")</f>
        <v>#REF!</v>
      </c>
      <c r="HI139" t="e">
        <f>AND('Badge Ticket Formats'!#REF!,"AAAAAHTPt9g=")</f>
        <v>#REF!</v>
      </c>
      <c r="HJ139" t="e">
        <f>AND('Badge Ticket Formats'!#REF!,"AAAAAHTPt9k=")</f>
        <v>#REF!</v>
      </c>
      <c r="HK139" t="e">
        <f>AND('Badge Ticket Formats'!#REF!,"AAAAAHTPt9o=")</f>
        <v>#REF!</v>
      </c>
      <c r="HL139" t="e">
        <f>AND('Badge Ticket Formats'!#REF!,"AAAAAHTPt9s=")</f>
        <v>#REF!</v>
      </c>
      <c r="HM139" t="e">
        <f>AND('Badge Ticket Formats'!#REF!,"AAAAAHTPt9w=")</f>
        <v>#REF!</v>
      </c>
      <c r="HN139" t="e">
        <f>AND('Badge Ticket Formats'!#REF!,"AAAAAHTPt90=")</f>
        <v>#REF!</v>
      </c>
      <c r="HO139" t="e">
        <f>AND('Badge Ticket Formats'!#REF!,"AAAAAHTPt94=")</f>
        <v>#REF!</v>
      </c>
      <c r="HP139" t="e">
        <f>AND('Badge Ticket Formats'!#REF!,"AAAAAHTPt98=")</f>
        <v>#REF!</v>
      </c>
      <c r="HQ139" t="e">
        <f>AND('Badge Ticket Formats'!#REF!,"AAAAAHTPt+A=")</f>
        <v>#REF!</v>
      </c>
      <c r="HR139" t="e">
        <f>AND('Badge Ticket Formats'!#REF!,"AAAAAHTPt+E=")</f>
        <v>#REF!</v>
      </c>
      <c r="HS139" t="e">
        <f>AND('Badge Ticket Formats'!#REF!,"AAAAAHTPt+I=")</f>
        <v>#REF!</v>
      </c>
      <c r="HT139" t="e">
        <f>AND('Badge Ticket Formats'!#REF!,"AAAAAHTPt+M=")</f>
        <v>#REF!</v>
      </c>
      <c r="HU139" t="e">
        <f>IF('Badge Ticket Formats'!#REF!,"AAAAAHTPt+Q=",0)</f>
        <v>#REF!</v>
      </c>
      <c r="HV139" t="e">
        <f>AND('Badge Ticket Formats'!#REF!,"AAAAAHTPt+U=")</f>
        <v>#REF!</v>
      </c>
      <c r="HW139" t="e">
        <f>AND('Badge Ticket Formats'!#REF!,"AAAAAHTPt+Y=")</f>
        <v>#REF!</v>
      </c>
      <c r="HX139" t="e">
        <f>AND('Badge Ticket Formats'!#REF!,"AAAAAHTPt+c=")</f>
        <v>#REF!</v>
      </c>
      <c r="HY139" t="e">
        <f>AND('Badge Ticket Formats'!#REF!,"AAAAAHTPt+g=")</f>
        <v>#REF!</v>
      </c>
      <c r="HZ139" t="e">
        <f>AND('Badge Ticket Formats'!#REF!,"AAAAAHTPt+k=")</f>
        <v>#REF!</v>
      </c>
      <c r="IA139" t="e">
        <f>AND('Badge Ticket Formats'!#REF!,"AAAAAHTPt+o=")</f>
        <v>#REF!</v>
      </c>
      <c r="IB139" t="e">
        <f>AND('Badge Ticket Formats'!#REF!,"AAAAAHTPt+s=")</f>
        <v>#REF!</v>
      </c>
      <c r="IC139" t="e">
        <f>AND('Badge Ticket Formats'!#REF!,"AAAAAHTPt+w=")</f>
        <v>#REF!</v>
      </c>
      <c r="ID139" t="e">
        <f>AND('Badge Ticket Formats'!#REF!,"AAAAAHTPt+0=")</f>
        <v>#REF!</v>
      </c>
      <c r="IE139" t="e">
        <f>AND('Badge Ticket Formats'!#REF!,"AAAAAHTPt+4=")</f>
        <v>#REF!</v>
      </c>
      <c r="IF139" t="e">
        <f>AND('Badge Ticket Formats'!#REF!,"AAAAAHTPt+8=")</f>
        <v>#REF!</v>
      </c>
      <c r="IG139" t="e">
        <f>AND('Badge Ticket Formats'!#REF!,"AAAAAHTPt/A=")</f>
        <v>#REF!</v>
      </c>
      <c r="IH139" t="e">
        <f>AND('Badge Ticket Formats'!#REF!,"AAAAAHTPt/E=")</f>
        <v>#REF!</v>
      </c>
      <c r="II139" t="e">
        <f>IF('Badge Ticket Formats'!#REF!,"AAAAAHTPt/I=",0)</f>
        <v>#REF!</v>
      </c>
      <c r="IJ139" t="e">
        <f>AND('Badge Ticket Formats'!#REF!,"AAAAAHTPt/M=")</f>
        <v>#REF!</v>
      </c>
      <c r="IK139" t="e">
        <f>AND('Badge Ticket Formats'!#REF!,"AAAAAHTPt/Q=")</f>
        <v>#REF!</v>
      </c>
      <c r="IL139" t="e">
        <f>AND('Badge Ticket Formats'!#REF!,"AAAAAHTPt/U=")</f>
        <v>#REF!</v>
      </c>
      <c r="IM139" t="e">
        <f>AND('Badge Ticket Formats'!#REF!,"AAAAAHTPt/Y=")</f>
        <v>#REF!</v>
      </c>
      <c r="IN139" t="e">
        <f>AND('Badge Ticket Formats'!#REF!,"AAAAAHTPt/c=")</f>
        <v>#REF!</v>
      </c>
      <c r="IO139" t="e">
        <f>AND('Badge Ticket Formats'!#REF!,"AAAAAHTPt/g=")</f>
        <v>#REF!</v>
      </c>
      <c r="IP139" t="e">
        <f>AND('Badge Ticket Formats'!#REF!,"AAAAAHTPt/k=")</f>
        <v>#REF!</v>
      </c>
      <c r="IQ139" t="e">
        <f>AND('Badge Ticket Formats'!#REF!,"AAAAAHTPt/o=")</f>
        <v>#REF!</v>
      </c>
      <c r="IR139" t="e">
        <f>AND('Badge Ticket Formats'!#REF!,"AAAAAHTPt/s=")</f>
        <v>#REF!</v>
      </c>
      <c r="IS139" t="e">
        <f>AND('Badge Ticket Formats'!#REF!,"AAAAAHTPt/w=")</f>
        <v>#REF!</v>
      </c>
      <c r="IT139" t="e">
        <f>AND('Badge Ticket Formats'!#REF!,"AAAAAHTPt/0=")</f>
        <v>#REF!</v>
      </c>
      <c r="IU139" t="e">
        <f>AND('Badge Ticket Formats'!#REF!,"AAAAAHTPt/4=")</f>
        <v>#REF!</v>
      </c>
      <c r="IV139" t="e">
        <f>AND('Badge Ticket Formats'!#REF!,"AAAAAHTPt/8=")</f>
        <v>#REF!</v>
      </c>
    </row>
    <row r="140" spans="1:256" x14ac:dyDescent="0.2">
      <c r="A140" t="e">
        <f>IF('Badge Ticket Formats'!#REF!,"AAAAAHt66AA=",0)</f>
        <v>#REF!</v>
      </c>
      <c r="B140" t="e">
        <f>AND('Badge Ticket Formats'!#REF!,"AAAAAHt66AE=")</f>
        <v>#REF!</v>
      </c>
      <c r="C140" t="e">
        <f>AND('Badge Ticket Formats'!#REF!,"AAAAAHt66AI=")</f>
        <v>#REF!</v>
      </c>
      <c r="D140" t="e">
        <f>AND('Badge Ticket Formats'!#REF!,"AAAAAHt66AM=")</f>
        <v>#REF!</v>
      </c>
      <c r="E140" t="e">
        <f>AND('Badge Ticket Formats'!#REF!,"AAAAAHt66AQ=")</f>
        <v>#REF!</v>
      </c>
      <c r="F140" t="e">
        <f>AND('Badge Ticket Formats'!#REF!,"AAAAAHt66AU=")</f>
        <v>#REF!</v>
      </c>
      <c r="G140" t="e">
        <f>AND('Badge Ticket Formats'!#REF!,"AAAAAHt66AY=")</f>
        <v>#REF!</v>
      </c>
      <c r="H140" t="e">
        <f>AND('Badge Ticket Formats'!#REF!,"AAAAAHt66Ac=")</f>
        <v>#REF!</v>
      </c>
      <c r="I140" t="e">
        <f>AND('Badge Ticket Formats'!#REF!,"AAAAAHt66Ag=")</f>
        <v>#REF!</v>
      </c>
      <c r="J140" t="e">
        <f>AND('Badge Ticket Formats'!#REF!,"AAAAAHt66Ak=")</f>
        <v>#REF!</v>
      </c>
      <c r="K140" t="e">
        <f>AND('Badge Ticket Formats'!#REF!,"AAAAAHt66Ao=")</f>
        <v>#REF!</v>
      </c>
      <c r="L140" t="e">
        <f>AND('Badge Ticket Formats'!#REF!,"AAAAAHt66As=")</f>
        <v>#REF!</v>
      </c>
      <c r="M140" t="e">
        <f>AND('Badge Ticket Formats'!#REF!,"AAAAAHt66Aw=")</f>
        <v>#REF!</v>
      </c>
      <c r="N140" t="e">
        <f>AND('Badge Ticket Formats'!#REF!,"AAAAAHt66A0=")</f>
        <v>#REF!</v>
      </c>
      <c r="O140" t="e">
        <f>IF('Badge Ticket Formats'!#REF!,"AAAAAHt66A4=",0)</f>
        <v>#REF!</v>
      </c>
      <c r="P140" t="e">
        <f>AND('Badge Ticket Formats'!#REF!,"AAAAAHt66A8=")</f>
        <v>#REF!</v>
      </c>
      <c r="Q140" t="e">
        <f>AND('Badge Ticket Formats'!#REF!,"AAAAAHt66BA=")</f>
        <v>#REF!</v>
      </c>
      <c r="R140" t="e">
        <f>AND('Badge Ticket Formats'!#REF!,"AAAAAHt66BE=")</f>
        <v>#REF!</v>
      </c>
      <c r="S140" t="e">
        <f>AND('Badge Ticket Formats'!#REF!,"AAAAAHt66BI=")</f>
        <v>#REF!</v>
      </c>
      <c r="T140" t="e">
        <f>AND('Badge Ticket Formats'!#REF!,"AAAAAHt66BM=")</f>
        <v>#REF!</v>
      </c>
      <c r="U140" t="e">
        <f>AND('Badge Ticket Formats'!#REF!,"AAAAAHt66BQ=")</f>
        <v>#REF!</v>
      </c>
      <c r="V140" t="e">
        <f>AND('Badge Ticket Formats'!#REF!,"AAAAAHt66BU=")</f>
        <v>#REF!</v>
      </c>
      <c r="W140" t="e">
        <f>AND('Badge Ticket Formats'!#REF!,"AAAAAHt66BY=")</f>
        <v>#REF!</v>
      </c>
      <c r="X140" t="e">
        <f>AND('Badge Ticket Formats'!#REF!,"AAAAAHt66Bc=")</f>
        <v>#REF!</v>
      </c>
      <c r="Y140" t="e">
        <f>AND('Badge Ticket Formats'!#REF!,"AAAAAHt66Bg=")</f>
        <v>#REF!</v>
      </c>
      <c r="Z140" t="e">
        <f>AND('Badge Ticket Formats'!#REF!,"AAAAAHt66Bk=")</f>
        <v>#REF!</v>
      </c>
      <c r="AA140" t="e">
        <f>AND('Badge Ticket Formats'!#REF!,"AAAAAHt66Bo=")</f>
        <v>#REF!</v>
      </c>
      <c r="AB140" t="e">
        <f>AND('Badge Ticket Formats'!#REF!,"AAAAAHt66Bs=")</f>
        <v>#REF!</v>
      </c>
      <c r="AC140" t="e">
        <f>IF('Badge Ticket Formats'!#REF!,"AAAAAHt66Bw=",0)</f>
        <v>#REF!</v>
      </c>
      <c r="AD140" t="e">
        <f>AND('Badge Ticket Formats'!#REF!,"AAAAAHt66B0=")</f>
        <v>#REF!</v>
      </c>
      <c r="AE140" t="e">
        <f>AND('Badge Ticket Formats'!#REF!,"AAAAAHt66B4=")</f>
        <v>#REF!</v>
      </c>
      <c r="AF140" t="e">
        <f>AND('Badge Ticket Formats'!#REF!,"AAAAAHt66B8=")</f>
        <v>#REF!</v>
      </c>
      <c r="AG140" t="e">
        <f>AND('Badge Ticket Formats'!#REF!,"AAAAAHt66CA=")</f>
        <v>#REF!</v>
      </c>
      <c r="AH140" t="e">
        <f>AND('Badge Ticket Formats'!#REF!,"AAAAAHt66CE=")</f>
        <v>#REF!</v>
      </c>
      <c r="AI140" t="e">
        <f>AND('Badge Ticket Formats'!#REF!,"AAAAAHt66CI=")</f>
        <v>#REF!</v>
      </c>
      <c r="AJ140" t="e">
        <f>AND('Badge Ticket Formats'!#REF!,"AAAAAHt66CM=")</f>
        <v>#REF!</v>
      </c>
      <c r="AK140" t="e">
        <f>AND('Badge Ticket Formats'!#REF!,"AAAAAHt66CQ=")</f>
        <v>#REF!</v>
      </c>
      <c r="AL140" t="e">
        <f>AND('Badge Ticket Formats'!#REF!,"AAAAAHt66CU=")</f>
        <v>#REF!</v>
      </c>
      <c r="AM140" t="e">
        <f>AND('Badge Ticket Formats'!#REF!,"AAAAAHt66CY=")</f>
        <v>#REF!</v>
      </c>
      <c r="AN140" t="e">
        <f>AND('Badge Ticket Formats'!#REF!,"AAAAAHt66Cc=")</f>
        <v>#REF!</v>
      </c>
      <c r="AO140" t="e">
        <f>AND('Badge Ticket Formats'!#REF!,"AAAAAHt66Cg=")</f>
        <v>#REF!</v>
      </c>
      <c r="AP140" t="e">
        <f>AND('Badge Ticket Formats'!#REF!,"AAAAAHt66Ck=")</f>
        <v>#REF!</v>
      </c>
      <c r="AQ140" t="e">
        <f>IF('Badge Ticket Formats'!#REF!,"AAAAAHt66Co=",0)</f>
        <v>#REF!</v>
      </c>
      <c r="AR140" t="e">
        <f>AND('Badge Ticket Formats'!#REF!,"AAAAAHt66Cs=")</f>
        <v>#REF!</v>
      </c>
      <c r="AS140" t="e">
        <f>AND('Badge Ticket Formats'!#REF!,"AAAAAHt66Cw=")</f>
        <v>#REF!</v>
      </c>
      <c r="AT140" t="e">
        <f>AND('Badge Ticket Formats'!#REF!,"AAAAAHt66C0=")</f>
        <v>#REF!</v>
      </c>
      <c r="AU140" t="e">
        <f>AND('Badge Ticket Formats'!#REF!,"AAAAAHt66C4=")</f>
        <v>#REF!</v>
      </c>
      <c r="AV140" t="e">
        <f>AND('Badge Ticket Formats'!#REF!,"AAAAAHt66C8=")</f>
        <v>#REF!</v>
      </c>
      <c r="AW140" t="e">
        <f>AND('Badge Ticket Formats'!#REF!,"AAAAAHt66DA=")</f>
        <v>#REF!</v>
      </c>
      <c r="AX140" t="e">
        <f>AND('Badge Ticket Formats'!#REF!,"AAAAAHt66DE=")</f>
        <v>#REF!</v>
      </c>
      <c r="AY140" t="e">
        <f>AND('Badge Ticket Formats'!#REF!,"AAAAAHt66DI=")</f>
        <v>#REF!</v>
      </c>
      <c r="AZ140" t="e">
        <f>AND('Badge Ticket Formats'!#REF!,"AAAAAHt66DM=")</f>
        <v>#REF!</v>
      </c>
      <c r="BA140" t="e">
        <f>AND('Badge Ticket Formats'!#REF!,"AAAAAHt66DQ=")</f>
        <v>#REF!</v>
      </c>
      <c r="BB140" t="e">
        <f>AND('Badge Ticket Formats'!#REF!,"AAAAAHt66DU=")</f>
        <v>#REF!</v>
      </c>
      <c r="BC140" t="e">
        <f>AND('Badge Ticket Formats'!#REF!,"AAAAAHt66DY=")</f>
        <v>#REF!</v>
      </c>
      <c r="BD140" t="e">
        <f>AND('Badge Ticket Formats'!#REF!,"AAAAAHt66Dc=")</f>
        <v>#REF!</v>
      </c>
      <c r="BE140" t="e">
        <f>IF('Badge Ticket Formats'!#REF!,"AAAAAHt66Dg=",0)</f>
        <v>#REF!</v>
      </c>
      <c r="BF140" t="e">
        <f>AND('Badge Ticket Formats'!#REF!,"AAAAAHt66Dk=")</f>
        <v>#REF!</v>
      </c>
      <c r="BG140" t="e">
        <f>AND('Badge Ticket Formats'!#REF!,"AAAAAHt66Do=")</f>
        <v>#REF!</v>
      </c>
      <c r="BH140" t="e">
        <f>AND('Badge Ticket Formats'!#REF!,"AAAAAHt66Ds=")</f>
        <v>#REF!</v>
      </c>
      <c r="BI140" t="e">
        <f>AND('Badge Ticket Formats'!#REF!,"AAAAAHt66Dw=")</f>
        <v>#REF!</v>
      </c>
      <c r="BJ140" t="e">
        <f>AND('Badge Ticket Formats'!#REF!,"AAAAAHt66D0=")</f>
        <v>#REF!</v>
      </c>
      <c r="BK140" t="e">
        <f>AND('Badge Ticket Formats'!#REF!,"AAAAAHt66D4=")</f>
        <v>#REF!</v>
      </c>
      <c r="BL140" t="e">
        <f>AND('Badge Ticket Formats'!#REF!,"AAAAAHt66D8=")</f>
        <v>#REF!</v>
      </c>
      <c r="BM140" t="e">
        <f>AND('Badge Ticket Formats'!#REF!,"AAAAAHt66EA=")</f>
        <v>#REF!</v>
      </c>
      <c r="BN140" t="e">
        <f>AND('Badge Ticket Formats'!#REF!,"AAAAAHt66EE=")</f>
        <v>#REF!</v>
      </c>
      <c r="BO140" t="e">
        <f>AND('Badge Ticket Formats'!#REF!,"AAAAAHt66EI=")</f>
        <v>#REF!</v>
      </c>
      <c r="BP140" t="e">
        <f>AND('Badge Ticket Formats'!#REF!,"AAAAAHt66EM=")</f>
        <v>#REF!</v>
      </c>
      <c r="BQ140" t="e">
        <f>AND('Badge Ticket Formats'!#REF!,"AAAAAHt66EQ=")</f>
        <v>#REF!</v>
      </c>
      <c r="BR140" t="e">
        <f>AND('Badge Ticket Formats'!#REF!,"AAAAAHt66EU=")</f>
        <v>#REF!</v>
      </c>
      <c r="BS140" t="e">
        <f>IF('Badge Ticket Formats'!#REF!,"AAAAAHt66EY=",0)</f>
        <v>#REF!</v>
      </c>
      <c r="BT140" t="e">
        <f>AND('Badge Ticket Formats'!#REF!,"AAAAAHt66Ec=")</f>
        <v>#REF!</v>
      </c>
      <c r="BU140" t="e">
        <f>AND('Badge Ticket Formats'!#REF!,"AAAAAHt66Eg=")</f>
        <v>#REF!</v>
      </c>
      <c r="BV140" t="e">
        <f>AND('Badge Ticket Formats'!#REF!,"AAAAAHt66Ek=")</f>
        <v>#REF!</v>
      </c>
      <c r="BW140" t="e">
        <f>AND('Badge Ticket Formats'!#REF!,"AAAAAHt66Eo=")</f>
        <v>#REF!</v>
      </c>
      <c r="BX140" t="e">
        <f>AND('Badge Ticket Formats'!#REF!,"AAAAAHt66Es=")</f>
        <v>#REF!</v>
      </c>
      <c r="BY140" t="e">
        <f>AND('Badge Ticket Formats'!#REF!,"AAAAAHt66Ew=")</f>
        <v>#REF!</v>
      </c>
      <c r="BZ140" t="e">
        <f>AND('Badge Ticket Formats'!#REF!,"AAAAAHt66E0=")</f>
        <v>#REF!</v>
      </c>
      <c r="CA140" t="e">
        <f>AND('Badge Ticket Formats'!#REF!,"AAAAAHt66E4=")</f>
        <v>#REF!</v>
      </c>
      <c r="CB140" t="e">
        <f>AND('Badge Ticket Formats'!#REF!,"AAAAAHt66E8=")</f>
        <v>#REF!</v>
      </c>
      <c r="CC140" t="e">
        <f>AND('Badge Ticket Formats'!#REF!,"AAAAAHt66FA=")</f>
        <v>#REF!</v>
      </c>
      <c r="CD140" t="e">
        <f>AND('Badge Ticket Formats'!#REF!,"AAAAAHt66FE=")</f>
        <v>#REF!</v>
      </c>
      <c r="CE140" t="e">
        <f>AND('Badge Ticket Formats'!#REF!,"AAAAAHt66FI=")</f>
        <v>#REF!</v>
      </c>
      <c r="CF140" t="e">
        <f>AND('Badge Ticket Formats'!#REF!,"AAAAAHt66FM=")</f>
        <v>#REF!</v>
      </c>
      <c r="CG140" t="e">
        <f>IF('Badge Ticket Formats'!#REF!,"AAAAAHt66FQ=",0)</f>
        <v>#REF!</v>
      </c>
      <c r="CH140" t="e">
        <f>AND('Badge Ticket Formats'!#REF!,"AAAAAHt66FU=")</f>
        <v>#REF!</v>
      </c>
      <c r="CI140" t="e">
        <f>AND('Badge Ticket Formats'!#REF!,"AAAAAHt66FY=")</f>
        <v>#REF!</v>
      </c>
      <c r="CJ140" t="e">
        <f>AND('Badge Ticket Formats'!#REF!,"AAAAAHt66Fc=")</f>
        <v>#REF!</v>
      </c>
      <c r="CK140" t="e">
        <f>AND('Badge Ticket Formats'!#REF!,"AAAAAHt66Fg=")</f>
        <v>#REF!</v>
      </c>
      <c r="CL140" t="e">
        <f>AND('Badge Ticket Formats'!#REF!,"AAAAAHt66Fk=")</f>
        <v>#REF!</v>
      </c>
      <c r="CM140" t="e">
        <f>AND('Badge Ticket Formats'!#REF!,"AAAAAHt66Fo=")</f>
        <v>#REF!</v>
      </c>
      <c r="CN140" t="e">
        <f>AND('Badge Ticket Formats'!#REF!,"AAAAAHt66Fs=")</f>
        <v>#REF!</v>
      </c>
      <c r="CO140" t="e">
        <f>AND('Badge Ticket Formats'!#REF!,"AAAAAHt66Fw=")</f>
        <v>#REF!</v>
      </c>
      <c r="CP140" t="e">
        <f>AND('Badge Ticket Formats'!#REF!,"AAAAAHt66F0=")</f>
        <v>#REF!</v>
      </c>
      <c r="CQ140" t="e">
        <f>AND('Badge Ticket Formats'!#REF!,"AAAAAHt66F4=")</f>
        <v>#REF!</v>
      </c>
      <c r="CR140" t="e">
        <f>AND('Badge Ticket Formats'!#REF!,"AAAAAHt66F8=")</f>
        <v>#REF!</v>
      </c>
      <c r="CS140" t="e">
        <f>AND('Badge Ticket Formats'!#REF!,"AAAAAHt66GA=")</f>
        <v>#REF!</v>
      </c>
      <c r="CT140" t="e">
        <f>AND('Badge Ticket Formats'!#REF!,"AAAAAHt66GE=")</f>
        <v>#REF!</v>
      </c>
      <c r="CU140" t="e">
        <f>IF('Badge Ticket Formats'!#REF!,"AAAAAHt66GI=",0)</f>
        <v>#REF!</v>
      </c>
      <c r="CV140" t="e">
        <f>AND('Badge Ticket Formats'!#REF!,"AAAAAHt66GM=")</f>
        <v>#REF!</v>
      </c>
      <c r="CW140" t="e">
        <f>AND('Badge Ticket Formats'!#REF!,"AAAAAHt66GQ=")</f>
        <v>#REF!</v>
      </c>
      <c r="CX140" t="e">
        <f>AND('Badge Ticket Formats'!#REF!,"AAAAAHt66GU=")</f>
        <v>#REF!</v>
      </c>
      <c r="CY140" t="e">
        <f>AND('Badge Ticket Formats'!#REF!,"AAAAAHt66GY=")</f>
        <v>#REF!</v>
      </c>
      <c r="CZ140" t="e">
        <f>AND('Badge Ticket Formats'!#REF!,"AAAAAHt66Gc=")</f>
        <v>#REF!</v>
      </c>
      <c r="DA140" t="e">
        <f>AND('Badge Ticket Formats'!#REF!,"AAAAAHt66Gg=")</f>
        <v>#REF!</v>
      </c>
      <c r="DB140" t="e">
        <f>AND('Badge Ticket Formats'!#REF!,"AAAAAHt66Gk=")</f>
        <v>#REF!</v>
      </c>
      <c r="DC140" t="e">
        <f>AND('Badge Ticket Formats'!#REF!,"AAAAAHt66Go=")</f>
        <v>#REF!</v>
      </c>
      <c r="DD140" t="e">
        <f>AND('Badge Ticket Formats'!#REF!,"AAAAAHt66Gs=")</f>
        <v>#REF!</v>
      </c>
      <c r="DE140" t="e">
        <f>AND('Badge Ticket Formats'!#REF!,"AAAAAHt66Gw=")</f>
        <v>#REF!</v>
      </c>
      <c r="DF140" t="e">
        <f>AND('Badge Ticket Formats'!#REF!,"AAAAAHt66G0=")</f>
        <v>#REF!</v>
      </c>
      <c r="DG140" t="e">
        <f>AND('Badge Ticket Formats'!#REF!,"AAAAAHt66G4=")</f>
        <v>#REF!</v>
      </c>
      <c r="DH140" t="e">
        <f>AND('Badge Ticket Formats'!#REF!,"AAAAAHt66G8=")</f>
        <v>#REF!</v>
      </c>
      <c r="DI140" t="e">
        <f>IF('Badge Ticket Formats'!#REF!,"AAAAAHt66HA=",0)</f>
        <v>#REF!</v>
      </c>
      <c r="DJ140" t="e">
        <f>AND('Badge Ticket Formats'!#REF!,"AAAAAHt66HE=")</f>
        <v>#REF!</v>
      </c>
      <c r="DK140" t="e">
        <f>AND('Badge Ticket Formats'!#REF!,"AAAAAHt66HI=")</f>
        <v>#REF!</v>
      </c>
      <c r="DL140" t="e">
        <f>AND('Badge Ticket Formats'!#REF!,"AAAAAHt66HM=")</f>
        <v>#REF!</v>
      </c>
      <c r="DM140" t="e">
        <f>AND('Badge Ticket Formats'!#REF!,"AAAAAHt66HQ=")</f>
        <v>#REF!</v>
      </c>
      <c r="DN140" t="e">
        <f>AND('Badge Ticket Formats'!#REF!,"AAAAAHt66HU=")</f>
        <v>#REF!</v>
      </c>
      <c r="DO140" t="e">
        <f>AND('Badge Ticket Formats'!#REF!,"AAAAAHt66HY=")</f>
        <v>#REF!</v>
      </c>
      <c r="DP140" t="e">
        <f>AND('Badge Ticket Formats'!#REF!,"AAAAAHt66Hc=")</f>
        <v>#REF!</v>
      </c>
      <c r="DQ140" t="e">
        <f>AND('Badge Ticket Formats'!#REF!,"AAAAAHt66Hg=")</f>
        <v>#REF!</v>
      </c>
      <c r="DR140" t="e">
        <f>AND('Badge Ticket Formats'!#REF!,"AAAAAHt66Hk=")</f>
        <v>#REF!</v>
      </c>
      <c r="DS140" t="e">
        <f>AND('Badge Ticket Formats'!#REF!,"AAAAAHt66Ho=")</f>
        <v>#REF!</v>
      </c>
      <c r="DT140" t="e">
        <f>AND('Badge Ticket Formats'!#REF!,"AAAAAHt66Hs=")</f>
        <v>#REF!</v>
      </c>
      <c r="DU140" t="e">
        <f>AND('Badge Ticket Formats'!#REF!,"AAAAAHt66Hw=")</f>
        <v>#REF!</v>
      </c>
      <c r="DV140" t="e">
        <f>AND('Badge Ticket Formats'!#REF!,"AAAAAHt66H0=")</f>
        <v>#REF!</v>
      </c>
      <c r="DW140" t="e">
        <f>IF('Badge Ticket Formats'!#REF!,"AAAAAHt66H4=",0)</f>
        <v>#REF!</v>
      </c>
      <c r="DX140" t="e">
        <f>AND('Badge Ticket Formats'!#REF!,"AAAAAHt66H8=")</f>
        <v>#REF!</v>
      </c>
      <c r="DY140" t="e">
        <f>AND('Badge Ticket Formats'!#REF!,"AAAAAHt66IA=")</f>
        <v>#REF!</v>
      </c>
      <c r="DZ140" t="e">
        <f>AND('Badge Ticket Formats'!#REF!,"AAAAAHt66IE=")</f>
        <v>#REF!</v>
      </c>
      <c r="EA140" t="e">
        <f>AND('Badge Ticket Formats'!#REF!,"AAAAAHt66II=")</f>
        <v>#REF!</v>
      </c>
      <c r="EB140" t="e">
        <f>AND('Badge Ticket Formats'!#REF!,"AAAAAHt66IM=")</f>
        <v>#REF!</v>
      </c>
      <c r="EC140" t="e">
        <f>AND('Badge Ticket Formats'!#REF!,"AAAAAHt66IQ=")</f>
        <v>#REF!</v>
      </c>
      <c r="ED140" t="e">
        <f>AND('Badge Ticket Formats'!#REF!,"AAAAAHt66IU=")</f>
        <v>#REF!</v>
      </c>
      <c r="EE140" t="e">
        <f>AND('Badge Ticket Formats'!#REF!,"AAAAAHt66IY=")</f>
        <v>#REF!</v>
      </c>
      <c r="EF140" t="e">
        <f>AND('Badge Ticket Formats'!#REF!,"AAAAAHt66Ic=")</f>
        <v>#REF!</v>
      </c>
      <c r="EG140" t="e">
        <f>AND('Badge Ticket Formats'!#REF!,"AAAAAHt66Ig=")</f>
        <v>#REF!</v>
      </c>
      <c r="EH140" t="e">
        <f>AND('Badge Ticket Formats'!#REF!,"AAAAAHt66Ik=")</f>
        <v>#REF!</v>
      </c>
      <c r="EI140" t="e">
        <f>AND('Badge Ticket Formats'!#REF!,"AAAAAHt66Io=")</f>
        <v>#REF!</v>
      </c>
      <c r="EJ140" t="e">
        <f>AND('Badge Ticket Formats'!#REF!,"AAAAAHt66Is=")</f>
        <v>#REF!</v>
      </c>
      <c r="EK140" t="e">
        <f>IF('Badge Ticket Formats'!#REF!,"AAAAAHt66Iw=",0)</f>
        <v>#REF!</v>
      </c>
      <c r="EL140" t="e">
        <f>AND('Badge Ticket Formats'!#REF!,"AAAAAHt66I0=")</f>
        <v>#REF!</v>
      </c>
      <c r="EM140" t="e">
        <f>AND('Badge Ticket Formats'!#REF!,"AAAAAHt66I4=")</f>
        <v>#REF!</v>
      </c>
      <c r="EN140" t="e">
        <f>AND('Badge Ticket Formats'!#REF!,"AAAAAHt66I8=")</f>
        <v>#REF!</v>
      </c>
      <c r="EO140" t="e">
        <f>AND('Badge Ticket Formats'!#REF!,"AAAAAHt66JA=")</f>
        <v>#REF!</v>
      </c>
      <c r="EP140" t="e">
        <f>AND('Badge Ticket Formats'!#REF!,"AAAAAHt66JE=")</f>
        <v>#REF!</v>
      </c>
      <c r="EQ140" t="e">
        <f>AND('Badge Ticket Formats'!#REF!,"AAAAAHt66JI=")</f>
        <v>#REF!</v>
      </c>
      <c r="ER140" t="e">
        <f>AND('Badge Ticket Formats'!#REF!,"AAAAAHt66JM=")</f>
        <v>#REF!</v>
      </c>
      <c r="ES140" t="e">
        <f>AND('Badge Ticket Formats'!#REF!,"AAAAAHt66JQ=")</f>
        <v>#REF!</v>
      </c>
      <c r="ET140" t="e">
        <f>AND('Badge Ticket Formats'!#REF!,"AAAAAHt66JU=")</f>
        <v>#REF!</v>
      </c>
      <c r="EU140" t="e">
        <f>AND('Badge Ticket Formats'!#REF!,"AAAAAHt66JY=")</f>
        <v>#REF!</v>
      </c>
      <c r="EV140" t="e">
        <f>AND('Badge Ticket Formats'!#REF!,"AAAAAHt66Jc=")</f>
        <v>#REF!</v>
      </c>
      <c r="EW140" t="e">
        <f>AND('Badge Ticket Formats'!#REF!,"AAAAAHt66Jg=")</f>
        <v>#REF!</v>
      </c>
      <c r="EX140" t="e">
        <f>AND('Badge Ticket Formats'!#REF!,"AAAAAHt66Jk=")</f>
        <v>#REF!</v>
      </c>
      <c r="EY140" t="e">
        <f>IF('Badge Ticket Formats'!#REF!,"AAAAAHt66Jo=",0)</f>
        <v>#REF!</v>
      </c>
      <c r="EZ140" t="e">
        <f>AND('Badge Ticket Formats'!#REF!,"AAAAAHt66Js=")</f>
        <v>#REF!</v>
      </c>
      <c r="FA140" t="e">
        <f>AND('Badge Ticket Formats'!#REF!,"AAAAAHt66Jw=")</f>
        <v>#REF!</v>
      </c>
      <c r="FB140" t="e">
        <f>AND('Badge Ticket Formats'!#REF!,"AAAAAHt66J0=")</f>
        <v>#REF!</v>
      </c>
      <c r="FC140" t="e">
        <f>AND('Badge Ticket Formats'!#REF!,"AAAAAHt66J4=")</f>
        <v>#REF!</v>
      </c>
      <c r="FD140" t="e">
        <f>AND('Badge Ticket Formats'!#REF!,"AAAAAHt66J8=")</f>
        <v>#REF!</v>
      </c>
      <c r="FE140" t="e">
        <f>AND('Badge Ticket Formats'!#REF!,"AAAAAHt66KA=")</f>
        <v>#REF!</v>
      </c>
      <c r="FF140" t="e">
        <f>AND('Badge Ticket Formats'!#REF!,"AAAAAHt66KE=")</f>
        <v>#REF!</v>
      </c>
      <c r="FG140" t="e">
        <f>AND('Badge Ticket Formats'!#REF!,"AAAAAHt66KI=")</f>
        <v>#REF!</v>
      </c>
      <c r="FH140" t="e">
        <f>AND('Badge Ticket Formats'!#REF!,"AAAAAHt66KM=")</f>
        <v>#REF!</v>
      </c>
      <c r="FI140" t="e">
        <f>AND('Badge Ticket Formats'!#REF!,"AAAAAHt66KQ=")</f>
        <v>#REF!</v>
      </c>
      <c r="FJ140" t="e">
        <f>AND('Badge Ticket Formats'!#REF!,"AAAAAHt66KU=")</f>
        <v>#REF!</v>
      </c>
      <c r="FK140" t="e">
        <f>AND('Badge Ticket Formats'!#REF!,"AAAAAHt66KY=")</f>
        <v>#REF!</v>
      </c>
      <c r="FL140" t="e">
        <f>AND('Badge Ticket Formats'!#REF!,"AAAAAHt66Kc=")</f>
        <v>#REF!</v>
      </c>
      <c r="FM140" t="e">
        <f>IF('Badge Ticket Formats'!#REF!,"AAAAAHt66Kg=",0)</f>
        <v>#REF!</v>
      </c>
      <c r="FN140" t="e">
        <f>AND('Badge Ticket Formats'!#REF!,"AAAAAHt66Kk=")</f>
        <v>#REF!</v>
      </c>
      <c r="FO140" t="e">
        <f>AND('Badge Ticket Formats'!#REF!,"AAAAAHt66Ko=")</f>
        <v>#REF!</v>
      </c>
      <c r="FP140" t="e">
        <f>AND('Badge Ticket Formats'!#REF!,"AAAAAHt66Ks=")</f>
        <v>#REF!</v>
      </c>
      <c r="FQ140" t="e">
        <f>AND('Badge Ticket Formats'!#REF!,"AAAAAHt66Kw=")</f>
        <v>#REF!</v>
      </c>
      <c r="FR140" t="e">
        <f>AND('Badge Ticket Formats'!#REF!,"AAAAAHt66K0=")</f>
        <v>#REF!</v>
      </c>
      <c r="FS140" t="e">
        <f>AND('Badge Ticket Formats'!#REF!,"AAAAAHt66K4=")</f>
        <v>#REF!</v>
      </c>
      <c r="FT140" t="e">
        <f>AND('Badge Ticket Formats'!#REF!,"AAAAAHt66K8=")</f>
        <v>#REF!</v>
      </c>
      <c r="FU140" t="e">
        <f>AND('Badge Ticket Formats'!#REF!,"AAAAAHt66LA=")</f>
        <v>#REF!</v>
      </c>
      <c r="FV140" t="e">
        <f>AND('Badge Ticket Formats'!#REF!,"AAAAAHt66LE=")</f>
        <v>#REF!</v>
      </c>
      <c r="FW140" t="e">
        <f>AND('Badge Ticket Formats'!#REF!,"AAAAAHt66LI=")</f>
        <v>#REF!</v>
      </c>
      <c r="FX140" t="e">
        <f>AND('Badge Ticket Formats'!#REF!,"AAAAAHt66LM=")</f>
        <v>#REF!</v>
      </c>
      <c r="FY140" t="e">
        <f>AND('Badge Ticket Formats'!#REF!,"AAAAAHt66LQ=")</f>
        <v>#REF!</v>
      </c>
      <c r="FZ140" t="e">
        <f>AND('Badge Ticket Formats'!#REF!,"AAAAAHt66LU=")</f>
        <v>#REF!</v>
      </c>
      <c r="GA140" t="e">
        <f>IF('Badge Ticket Formats'!#REF!,"AAAAAHt66LY=",0)</f>
        <v>#REF!</v>
      </c>
      <c r="GB140" t="e">
        <f>AND('Badge Ticket Formats'!#REF!,"AAAAAHt66Lc=")</f>
        <v>#REF!</v>
      </c>
      <c r="GC140" t="e">
        <f>AND('Badge Ticket Formats'!#REF!,"AAAAAHt66Lg=")</f>
        <v>#REF!</v>
      </c>
      <c r="GD140" t="e">
        <f>AND('Badge Ticket Formats'!#REF!,"AAAAAHt66Lk=")</f>
        <v>#REF!</v>
      </c>
      <c r="GE140" t="e">
        <f>AND('Badge Ticket Formats'!#REF!,"AAAAAHt66Lo=")</f>
        <v>#REF!</v>
      </c>
      <c r="GF140" t="e">
        <f>AND('Badge Ticket Formats'!#REF!,"AAAAAHt66Ls=")</f>
        <v>#REF!</v>
      </c>
      <c r="GG140" t="e">
        <f>AND('Badge Ticket Formats'!#REF!,"AAAAAHt66Lw=")</f>
        <v>#REF!</v>
      </c>
      <c r="GH140" t="e">
        <f>AND('Badge Ticket Formats'!#REF!,"AAAAAHt66L0=")</f>
        <v>#REF!</v>
      </c>
      <c r="GI140" t="e">
        <f>AND('Badge Ticket Formats'!#REF!,"AAAAAHt66L4=")</f>
        <v>#REF!</v>
      </c>
      <c r="GJ140" t="e">
        <f>AND('Badge Ticket Formats'!#REF!,"AAAAAHt66L8=")</f>
        <v>#REF!</v>
      </c>
      <c r="GK140" t="e">
        <f>AND('Badge Ticket Formats'!#REF!,"AAAAAHt66MA=")</f>
        <v>#REF!</v>
      </c>
      <c r="GL140" t="e">
        <f>AND('Badge Ticket Formats'!#REF!,"AAAAAHt66ME=")</f>
        <v>#REF!</v>
      </c>
      <c r="GM140" t="e">
        <f>AND('Badge Ticket Formats'!#REF!,"AAAAAHt66MI=")</f>
        <v>#REF!</v>
      </c>
      <c r="GN140" t="e">
        <f>AND('Badge Ticket Formats'!#REF!,"AAAAAHt66MM=")</f>
        <v>#REF!</v>
      </c>
      <c r="GO140" t="e">
        <f>IF('Badge Ticket Formats'!#REF!,"AAAAAHt66MQ=",0)</f>
        <v>#REF!</v>
      </c>
      <c r="GP140" t="e">
        <f>AND('Badge Ticket Formats'!#REF!,"AAAAAHt66MU=")</f>
        <v>#REF!</v>
      </c>
      <c r="GQ140" t="e">
        <f>AND('Badge Ticket Formats'!#REF!,"AAAAAHt66MY=")</f>
        <v>#REF!</v>
      </c>
      <c r="GR140" t="e">
        <f>AND('Badge Ticket Formats'!#REF!,"AAAAAHt66Mc=")</f>
        <v>#REF!</v>
      </c>
      <c r="GS140" t="e">
        <f>AND('Badge Ticket Formats'!#REF!,"AAAAAHt66Mg=")</f>
        <v>#REF!</v>
      </c>
      <c r="GT140" t="e">
        <f>AND('Badge Ticket Formats'!#REF!,"AAAAAHt66Mk=")</f>
        <v>#REF!</v>
      </c>
      <c r="GU140" t="e">
        <f>AND('Badge Ticket Formats'!#REF!,"AAAAAHt66Mo=")</f>
        <v>#REF!</v>
      </c>
      <c r="GV140" t="e">
        <f>AND('Badge Ticket Formats'!#REF!,"AAAAAHt66Ms=")</f>
        <v>#REF!</v>
      </c>
      <c r="GW140" t="e">
        <f>AND('Badge Ticket Formats'!#REF!,"AAAAAHt66Mw=")</f>
        <v>#REF!</v>
      </c>
      <c r="GX140" t="e">
        <f>AND('Badge Ticket Formats'!#REF!,"AAAAAHt66M0=")</f>
        <v>#REF!</v>
      </c>
      <c r="GY140" t="e">
        <f>AND('Badge Ticket Formats'!#REF!,"AAAAAHt66M4=")</f>
        <v>#REF!</v>
      </c>
      <c r="GZ140" t="e">
        <f>AND('Badge Ticket Formats'!#REF!,"AAAAAHt66M8=")</f>
        <v>#REF!</v>
      </c>
      <c r="HA140" t="e">
        <f>AND('Badge Ticket Formats'!#REF!,"AAAAAHt66NA=")</f>
        <v>#REF!</v>
      </c>
      <c r="HB140" t="e">
        <f>AND('Badge Ticket Formats'!#REF!,"AAAAAHt66NE=")</f>
        <v>#REF!</v>
      </c>
      <c r="HC140" t="e">
        <f>IF('Badge Ticket Formats'!#REF!,"AAAAAHt66NI=",0)</f>
        <v>#REF!</v>
      </c>
      <c r="HD140" t="e">
        <f>AND('Badge Ticket Formats'!#REF!,"AAAAAHt66NM=")</f>
        <v>#REF!</v>
      </c>
      <c r="HE140" t="e">
        <f>AND('Badge Ticket Formats'!#REF!,"AAAAAHt66NQ=")</f>
        <v>#REF!</v>
      </c>
      <c r="HF140" t="e">
        <f>AND('Badge Ticket Formats'!#REF!,"AAAAAHt66NU=")</f>
        <v>#REF!</v>
      </c>
      <c r="HG140" t="e">
        <f>AND('Badge Ticket Formats'!#REF!,"AAAAAHt66NY=")</f>
        <v>#REF!</v>
      </c>
      <c r="HH140" t="e">
        <f>AND('Badge Ticket Formats'!#REF!,"AAAAAHt66Nc=")</f>
        <v>#REF!</v>
      </c>
      <c r="HI140" t="e">
        <f>AND('Badge Ticket Formats'!#REF!,"AAAAAHt66Ng=")</f>
        <v>#REF!</v>
      </c>
      <c r="HJ140" t="e">
        <f>AND('Badge Ticket Formats'!#REF!,"AAAAAHt66Nk=")</f>
        <v>#REF!</v>
      </c>
      <c r="HK140" t="e">
        <f>AND('Badge Ticket Formats'!#REF!,"AAAAAHt66No=")</f>
        <v>#REF!</v>
      </c>
      <c r="HL140" t="e">
        <f>AND('Badge Ticket Formats'!#REF!,"AAAAAHt66Ns=")</f>
        <v>#REF!</v>
      </c>
      <c r="HM140" t="e">
        <f>AND('Badge Ticket Formats'!#REF!,"AAAAAHt66Nw=")</f>
        <v>#REF!</v>
      </c>
      <c r="HN140" t="e">
        <f>AND('Badge Ticket Formats'!#REF!,"AAAAAHt66N0=")</f>
        <v>#REF!</v>
      </c>
      <c r="HO140" t="e">
        <f>AND('Badge Ticket Formats'!#REF!,"AAAAAHt66N4=")</f>
        <v>#REF!</v>
      </c>
      <c r="HP140" t="e">
        <f>AND('Badge Ticket Formats'!#REF!,"AAAAAHt66N8=")</f>
        <v>#REF!</v>
      </c>
      <c r="HQ140" t="e">
        <f>IF('Badge Ticket Formats'!#REF!,"AAAAAHt66OA=",0)</f>
        <v>#REF!</v>
      </c>
      <c r="HR140" t="e">
        <f>AND('Badge Ticket Formats'!#REF!,"AAAAAHt66OE=")</f>
        <v>#REF!</v>
      </c>
      <c r="HS140" t="e">
        <f>AND('Badge Ticket Formats'!#REF!,"AAAAAHt66OI=")</f>
        <v>#REF!</v>
      </c>
      <c r="HT140" t="e">
        <f>AND('Badge Ticket Formats'!#REF!,"AAAAAHt66OM=")</f>
        <v>#REF!</v>
      </c>
      <c r="HU140" t="e">
        <f>AND('Badge Ticket Formats'!#REF!,"AAAAAHt66OQ=")</f>
        <v>#REF!</v>
      </c>
      <c r="HV140" t="e">
        <f>AND('Badge Ticket Formats'!#REF!,"AAAAAHt66OU=")</f>
        <v>#REF!</v>
      </c>
      <c r="HW140" t="e">
        <f>AND('Badge Ticket Formats'!#REF!,"AAAAAHt66OY=")</f>
        <v>#REF!</v>
      </c>
      <c r="HX140" t="e">
        <f>AND('Badge Ticket Formats'!#REF!,"AAAAAHt66Oc=")</f>
        <v>#REF!</v>
      </c>
      <c r="HY140" t="e">
        <f>AND('Badge Ticket Formats'!#REF!,"AAAAAHt66Og=")</f>
        <v>#REF!</v>
      </c>
      <c r="HZ140" t="e">
        <f>AND('Badge Ticket Formats'!#REF!,"AAAAAHt66Ok=")</f>
        <v>#REF!</v>
      </c>
      <c r="IA140" t="e">
        <f>AND('Badge Ticket Formats'!#REF!,"AAAAAHt66Oo=")</f>
        <v>#REF!</v>
      </c>
      <c r="IB140" t="e">
        <f>AND('Badge Ticket Formats'!#REF!,"AAAAAHt66Os=")</f>
        <v>#REF!</v>
      </c>
      <c r="IC140" t="e">
        <f>AND('Badge Ticket Formats'!#REF!,"AAAAAHt66Ow=")</f>
        <v>#REF!</v>
      </c>
      <c r="ID140" t="e">
        <f>AND('Badge Ticket Formats'!#REF!,"AAAAAHt66O0=")</f>
        <v>#REF!</v>
      </c>
      <c r="IE140" t="e">
        <f>IF('Badge Ticket Formats'!#REF!,"AAAAAHt66O4=",0)</f>
        <v>#REF!</v>
      </c>
      <c r="IF140" t="e">
        <f>AND('Badge Ticket Formats'!#REF!,"AAAAAHt66O8=")</f>
        <v>#REF!</v>
      </c>
      <c r="IG140" t="e">
        <f>AND('Badge Ticket Formats'!#REF!,"AAAAAHt66PA=")</f>
        <v>#REF!</v>
      </c>
      <c r="IH140" t="e">
        <f>AND('Badge Ticket Formats'!#REF!,"AAAAAHt66PE=")</f>
        <v>#REF!</v>
      </c>
      <c r="II140" t="e">
        <f>AND('Badge Ticket Formats'!#REF!,"AAAAAHt66PI=")</f>
        <v>#REF!</v>
      </c>
      <c r="IJ140" t="e">
        <f>AND('Badge Ticket Formats'!#REF!,"AAAAAHt66PM=")</f>
        <v>#REF!</v>
      </c>
      <c r="IK140" t="e">
        <f>AND('Badge Ticket Formats'!#REF!,"AAAAAHt66PQ=")</f>
        <v>#REF!</v>
      </c>
      <c r="IL140" t="e">
        <f>AND('Badge Ticket Formats'!#REF!,"AAAAAHt66PU=")</f>
        <v>#REF!</v>
      </c>
      <c r="IM140" t="e">
        <f>AND('Badge Ticket Formats'!#REF!,"AAAAAHt66PY=")</f>
        <v>#REF!</v>
      </c>
      <c r="IN140" t="e">
        <f>AND('Badge Ticket Formats'!#REF!,"AAAAAHt66Pc=")</f>
        <v>#REF!</v>
      </c>
      <c r="IO140" t="e">
        <f>AND('Badge Ticket Formats'!#REF!,"AAAAAHt66Pg=")</f>
        <v>#REF!</v>
      </c>
      <c r="IP140" t="e">
        <f>AND('Badge Ticket Formats'!#REF!,"AAAAAHt66Pk=")</f>
        <v>#REF!</v>
      </c>
      <c r="IQ140" t="e">
        <f>AND('Badge Ticket Formats'!#REF!,"AAAAAHt66Po=")</f>
        <v>#REF!</v>
      </c>
      <c r="IR140" t="e">
        <f>AND('Badge Ticket Formats'!#REF!,"AAAAAHt66Ps=")</f>
        <v>#REF!</v>
      </c>
      <c r="IS140" t="e">
        <f>IF('Badge Ticket Formats'!#REF!,"AAAAAHt66Pw=",0)</f>
        <v>#REF!</v>
      </c>
      <c r="IT140" t="e">
        <f>AND('Badge Ticket Formats'!#REF!,"AAAAAHt66P0=")</f>
        <v>#REF!</v>
      </c>
      <c r="IU140" t="e">
        <f>AND('Badge Ticket Formats'!#REF!,"AAAAAHt66P4=")</f>
        <v>#REF!</v>
      </c>
      <c r="IV140" t="e">
        <f>AND('Badge Ticket Formats'!#REF!,"AAAAAHt66P8=")</f>
        <v>#REF!</v>
      </c>
    </row>
    <row r="141" spans="1:256" x14ac:dyDescent="0.2">
      <c r="A141" t="e">
        <f>AND('Badge Ticket Formats'!#REF!,"AAAAAHv3NwA=")</f>
        <v>#REF!</v>
      </c>
      <c r="B141" t="e">
        <f>AND('Badge Ticket Formats'!#REF!,"AAAAAHv3NwE=")</f>
        <v>#REF!</v>
      </c>
      <c r="C141" t="e">
        <f>AND('Badge Ticket Formats'!#REF!,"AAAAAHv3NwI=")</f>
        <v>#REF!</v>
      </c>
      <c r="D141" t="e">
        <f>AND('Badge Ticket Formats'!#REF!,"AAAAAHv3NwM=")</f>
        <v>#REF!</v>
      </c>
      <c r="E141" t="e">
        <f>AND('Badge Ticket Formats'!#REF!,"AAAAAHv3NwQ=")</f>
        <v>#REF!</v>
      </c>
      <c r="F141" t="e">
        <f>AND('Badge Ticket Formats'!#REF!,"AAAAAHv3NwU=")</f>
        <v>#REF!</v>
      </c>
      <c r="G141" t="e">
        <f>AND('Badge Ticket Formats'!#REF!,"AAAAAHv3NwY=")</f>
        <v>#REF!</v>
      </c>
      <c r="H141" t="e">
        <f>AND('Badge Ticket Formats'!#REF!,"AAAAAHv3Nwc=")</f>
        <v>#REF!</v>
      </c>
      <c r="I141" t="e">
        <f>AND('Badge Ticket Formats'!#REF!,"AAAAAHv3Nwg=")</f>
        <v>#REF!</v>
      </c>
      <c r="J141" t="e">
        <f>AND('Badge Ticket Formats'!#REF!,"AAAAAHv3Nwk=")</f>
        <v>#REF!</v>
      </c>
      <c r="K141" t="e">
        <f>IF('Badge Ticket Formats'!#REF!,"AAAAAHv3Nwo=",0)</f>
        <v>#REF!</v>
      </c>
      <c r="L141" t="e">
        <f>AND('Badge Ticket Formats'!#REF!,"AAAAAHv3Nws=")</f>
        <v>#REF!</v>
      </c>
      <c r="M141" t="e">
        <f>AND('Badge Ticket Formats'!#REF!,"AAAAAHv3Nww=")</f>
        <v>#REF!</v>
      </c>
      <c r="N141" t="e">
        <f>AND('Badge Ticket Formats'!#REF!,"AAAAAHv3Nw0=")</f>
        <v>#REF!</v>
      </c>
      <c r="O141" t="e">
        <f>AND('Badge Ticket Formats'!#REF!,"AAAAAHv3Nw4=")</f>
        <v>#REF!</v>
      </c>
      <c r="P141" t="e">
        <f>AND('Badge Ticket Formats'!#REF!,"AAAAAHv3Nw8=")</f>
        <v>#REF!</v>
      </c>
      <c r="Q141" t="e">
        <f>AND('Badge Ticket Formats'!#REF!,"AAAAAHv3NxA=")</f>
        <v>#REF!</v>
      </c>
      <c r="R141" t="e">
        <f>AND('Badge Ticket Formats'!#REF!,"AAAAAHv3NxE=")</f>
        <v>#REF!</v>
      </c>
      <c r="S141" t="e">
        <f>AND('Badge Ticket Formats'!#REF!,"AAAAAHv3NxI=")</f>
        <v>#REF!</v>
      </c>
      <c r="T141" t="e">
        <f>AND('Badge Ticket Formats'!#REF!,"AAAAAHv3NxM=")</f>
        <v>#REF!</v>
      </c>
      <c r="U141" t="e">
        <f>AND('Badge Ticket Formats'!#REF!,"AAAAAHv3NxQ=")</f>
        <v>#REF!</v>
      </c>
      <c r="V141" t="e">
        <f>AND('Badge Ticket Formats'!#REF!,"AAAAAHv3NxU=")</f>
        <v>#REF!</v>
      </c>
      <c r="W141" t="e">
        <f>AND('Badge Ticket Formats'!#REF!,"AAAAAHv3NxY=")</f>
        <v>#REF!</v>
      </c>
      <c r="X141" t="e">
        <f>AND('Badge Ticket Formats'!#REF!,"AAAAAHv3Nxc=")</f>
        <v>#REF!</v>
      </c>
      <c r="Y141" t="e">
        <f>IF('Badge Ticket Formats'!#REF!,"AAAAAHv3Nxg=",0)</f>
        <v>#REF!</v>
      </c>
      <c r="Z141" t="e">
        <f>AND('Badge Ticket Formats'!#REF!,"AAAAAHv3Nxk=")</f>
        <v>#REF!</v>
      </c>
      <c r="AA141" t="e">
        <f>AND('Badge Ticket Formats'!#REF!,"AAAAAHv3Nxo=")</f>
        <v>#REF!</v>
      </c>
      <c r="AB141" t="e">
        <f>AND('Badge Ticket Formats'!#REF!,"AAAAAHv3Nxs=")</f>
        <v>#REF!</v>
      </c>
      <c r="AC141" t="e">
        <f>AND('Badge Ticket Formats'!#REF!,"AAAAAHv3Nxw=")</f>
        <v>#REF!</v>
      </c>
      <c r="AD141" t="e">
        <f>AND('Badge Ticket Formats'!#REF!,"AAAAAHv3Nx0=")</f>
        <v>#REF!</v>
      </c>
      <c r="AE141" t="e">
        <f>AND('Badge Ticket Formats'!#REF!,"AAAAAHv3Nx4=")</f>
        <v>#REF!</v>
      </c>
      <c r="AF141" t="e">
        <f>AND('Badge Ticket Formats'!#REF!,"AAAAAHv3Nx8=")</f>
        <v>#REF!</v>
      </c>
      <c r="AG141" t="e">
        <f>AND('Badge Ticket Formats'!#REF!,"AAAAAHv3NyA=")</f>
        <v>#REF!</v>
      </c>
      <c r="AH141" t="e">
        <f>AND('Badge Ticket Formats'!#REF!,"AAAAAHv3NyE=")</f>
        <v>#REF!</v>
      </c>
      <c r="AI141" t="e">
        <f>AND('Badge Ticket Formats'!#REF!,"AAAAAHv3NyI=")</f>
        <v>#REF!</v>
      </c>
      <c r="AJ141" t="e">
        <f>AND('Badge Ticket Formats'!#REF!,"AAAAAHv3NyM=")</f>
        <v>#REF!</v>
      </c>
      <c r="AK141" t="e">
        <f>AND('Badge Ticket Formats'!#REF!,"AAAAAHv3NyQ=")</f>
        <v>#REF!</v>
      </c>
      <c r="AL141" t="e">
        <f>AND('Badge Ticket Formats'!#REF!,"AAAAAHv3NyU=")</f>
        <v>#REF!</v>
      </c>
      <c r="AM141" t="e">
        <f>IF('Badge Ticket Formats'!#REF!,"AAAAAHv3NyY=",0)</f>
        <v>#REF!</v>
      </c>
      <c r="AN141" t="e">
        <f>AND('Badge Ticket Formats'!#REF!,"AAAAAHv3Nyc=")</f>
        <v>#REF!</v>
      </c>
      <c r="AO141" t="e">
        <f>AND('Badge Ticket Formats'!#REF!,"AAAAAHv3Nyg=")</f>
        <v>#REF!</v>
      </c>
      <c r="AP141" t="e">
        <f>AND('Badge Ticket Formats'!#REF!,"AAAAAHv3Nyk=")</f>
        <v>#REF!</v>
      </c>
      <c r="AQ141" t="e">
        <f>AND('Badge Ticket Formats'!#REF!,"AAAAAHv3Nyo=")</f>
        <v>#REF!</v>
      </c>
      <c r="AR141" t="e">
        <f>AND('Badge Ticket Formats'!#REF!,"AAAAAHv3Nys=")</f>
        <v>#REF!</v>
      </c>
      <c r="AS141" t="e">
        <f>AND('Badge Ticket Formats'!#REF!,"AAAAAHv3Nyw=")</f>
        <v>#REF!</v>
      </c>
      <c r="AT141" t="e">
        <f>AND('Badge Ticket Formats'!#REF!,"AAAAAHv3Ny0=")</f>
        <v>#REF!</v>
      </c>
      <c r="AU141" t="e">
        <f>AND('Badge Ticket Formats'!#REF!,"AAAAAHv3Ny4=")</f>
        <v>#REF!</v>
      </c>
      <c r="AV141" t="e">
        <f>AND('Badge Ticket Formats'!#REF!,"AAAAAHv3Ny8=")</f>
        <v>#REF!</v>
      </c>
      <c r="AW141" t="e">
        <f>AND('Badge Ticket Formats'!#REF!,"AAAAAHv3NzA=")</f>
        <v>#REF!</v>
      </c>
      <c r="AX141" t="e">
        <f>AND('Badge Ticket Formats'!#REF!,"AAAAAHv3NzE=")</f>
        <v>#REF!</v>
      </c>
      <c r="AY141" t="e">
        <f>AND('Badge Ticket Formats'!#REF!,"AAAAAHv3NzI=")</f>
        <v>#REF!</v>
      </c>
      <c r="AZ141" t="e">
        <f>AND('Badge Ticket Formats'!#REF!,"AAAAAHv3NzM=")</f>
        <v>#REF!</v>
      </c>
      <c r="BA141" t="e">
        <f>IF('Badge Ticket Formats'!#REF!,"AAAAAHv3NzQ=",0)</f>
        <v>#REF!</v>
      </c>
      <c r="BB141" t="e">
        <f>AND('Badge Ticket Formats'!#REF!,"AAAAAHv3NzU=")</f>
        <v>#REF!</v>
      </c>
      <c r="BC141" t="e">
        <f>AND('Badge Ticket Formats'!#REF!,"AAAAAHv3NzY=")</f>
        <v>#REF!</v>
      </c>
      <c r="BD141" t="e">
        <f>AND('Badge Ticket Formats'!#REF!,"AAAAAHv3Nzc=")</f>
        <v>#REF!</v>
      </c>
      <c r="BE141" t="e">
        <f>AND('Badge Ticket Formats'!#REF!,"AAAAAHv3Nzg=")</f>
        <v>#REF!</v>
      </c>
      <c r="BF141" t="e">
        <f>AND('Badge Ticket Formats'!#REF!,"AAAAAHv3Nzk=")</f>
        <v>#REF!</v>
      </c>
      <c r="BG141" t="e">
        <f>AND('Badge Ticket Formats'!#REF!,"AAAAAHv3Nzo=")</f>
        <v>#REF!</v>
      </c>
      <c r="BH141" t="e">
        <f>AND('Badge Ticket Formats'!#REF!,"AAAAAHv3Nzs=")</f>
        <v>#REF!</v>
      </c>
      <c r="BI141" t="e">
        <f>AND('Badge Ticket Formats'!#REF!,"AAAAAHv3Nzw=")</f>
        <v>#REF!</v>
      </c>
      <c r="BJ141" t="e">
        <f>AND('Badge Ticket Formats'!#REF!,"AAAAAHv3Nz0=")</f>
        <v>#REF!</v>
      </c>
      <c r="BK141" t="e">
        <f>AND('Badge Ticket Formats'!#REF!,"AAAAAHv3Nz4=")</f>
        <v>#REF!</v>
      </c>
      <c r="BL141" t="e">
        <f>AND('Badge Ticket Formats'!#REF!,"AAAAAHv3Nz8=")</f>
        <v>#REF!</v>
      </c>
      <c r="BM141" t="e">
        <f>AND('Badge Ticket Formats'!#REF!,"AAAAAHv3N0A=")</f>
        <v>#REF!</v>
      </c>
      <c r="BN141" t="e">
        <f>AND('Badge Ticket Formats'!#REF!,"AAAAAHv3N0E=")</f>
        <v>#REF!</v>
      </c>
      <c r="BO141" t="e">
        <f>IF('Badge Ticket Formats'!#REF!,"AAAAAHv3N0I=",0)</f>
        <v>#REF!</v>
      </c>
      <c r="BP141" t="e">
        <f>AND('Badge Ticket Formats'!#REF!,"AAAAAHv3N0M=")</f>
        <v>#REF!</v>
      </c>
      <c r="BQ141" t="e">
        <f>AND('Badge Ticket Formats'!#REF!,"AAAAAHv3N0Q=")</f>
        <v>#REF!</v>
      </c>
      <c r="BR141" t="e">
        <f>AND('Badge Ticket Formats'!#REF!,"AAAAAHv3N0U=")</f>
        <v>#REF!</v>
      </c>
      <c r="BS141" t="e">
        <f>AND('Badge Ticket Formats'!#REF!,"AAAAAHv3N0Y=")</f>
        <v>#REF!</v>
      </c>
      <c r="BT141" t="e">
        <f>AND('Badge Ticket Formats'!#REF!,"AAAAAHv3N0c=")</f>
        <v>#REF!</v>
      </c>
      <c r="BU141" t="e">
        <f>AND('Badge Ticket Formats'!#REF!,"AAAAAHv3N0g=")</f>
        <v>#REF!</v>
      </c>
      <c r="BV141" t="e">
        <f>AND('Badge Ticket Formats'!#REF!,"AAAAAHv3N0k=")</f>
        <v>#REF!</v>
      </c>
      <c r="BW141" t="e">
        <f>AND('Badge Ticket Formats'!#REF!,"AAAAAHv3N0o=")</f>
        <v>#REF!</v>
      </c>
      <c r="BX141" t="e">
        <f>AND('Badge Ticket Formats'!#REF!,"AAAAAHv3N0s=")</f>
        <v>#REF!</v>
      </c>
      <c r="BY141" t="e">
        <f>AND('Badge Ticket Formats'!#REF!,"AAAAAHv3N0w=")</f>
        <v>#REF!</v>
      </c>
      <c r="BZ141" t="e">
        <f>AND('Badge Ticket Formats'!#REF!,"AAAAAHv3N00=")</f>
        <v>#REF!</v>
      </c>
      <c r="CA141" t="e">
        <f>AND('Badge Ticket Formats'!#REF!,"AAAAAHv3N04=")</f>
        <v>#REF!</v>
      </c>
      <c r="CB141" t="e">
        <f>AND('Badge Ticket Formats'!#REF!,"AAAAAHv3N08=")</f>
        <v>#REF!</v>
      </c>
      <c r="CC141" t="e">
        <f>IF('Badge Ticket Formats'!#REF!,"AAAAAHv3N1A=",0)</f>
        <v>#REF!</v>
      </c>
      <c r="CD141" t="e">
        <f>AND('Badge Ticket Formats'!#REF!,"AAAAAHv3N1E=")</f>
        <v>#REF!</v>
      </c>
      <c r="CE141" t="e">
        <f>AND('Badge Ticket Formats'!#REF!,"AAAAAHv3N1I=")</f>
        <v>#REF!</v>
      </c>
      <c r="CF141" t="e">
        <f>AND('Badge Ticket Formats'!#REF!,"AAAAAHv3N1M=")</f>
        <v>#REF!</v>
      </c>
      <c r="CG141" t="e">
        <f>AND('Badge Ticket Formats'!#REF!,"AAAAAHv3N1Q=")</f>
        <v>#REF!</v>
      </c>
      <c r="CH141" t="e">
        <f>AND('Badge Ticket Formats'!#REF!,"AAAAAHv3N1U=")</f>
        <v>#REF!</v>
      </c>
      <c r="CI141" t="e">
        <f>AND('Badge Ticket Formats'!#REF!,"AAAAAHv3N1Y=")</f>
        <v>#REF!</v>
      </c>
      <c r="CJ141" t="e">
        <f>AND('Badge Ticket Formats'!#REF!,"AAAAAHv3N1c=")</f>
        <v>#REF!</v>
      </c>
      <c r="CK141" t="e">
        <f>AND('Badge Ticket Formats'!#REF!,"AAAAAHv3N1g=")</f>
        <v>#REF!</v>
      </c>
      <c r="CL141" t="e">
        <f>AND('Badge Ticket Formats'!#REF!,"AAAAAHv3N1k=")</f>
        <v>#REF!</v>
      </c>
      <c r="CM141" t="e">
        <f>AND('Badge Ticket Formats'!#REF!,"AAAAAHv3N1o=")</f>
        <v>#REF!</v>
      </c>
      <c r="CN141" t="e">
        <f>AND('Badge Ticket Formats'!#REF!,"AAAAAHv3N1s=")</f>
        <v>#REF!</v>
      </c>
      <c r="CO141" t="e">
        <f>AND('Badge Ticket Formats'!#REF!,"AAAAAHv3N1w=")</f>
        <v>#REF!</v>
      </c>
      <c r="CP141" t="e">
        <f>AND('Badge Ticket Formats'!#REF!,"AAAAAHv3N10=")</f>
        <v>#REF!</v>
      </c>
      <c r="CQ141" t="e">
        <f>IF('Badge Ticket Formats'!#REF!,"AAAAAHv3N14=",0)</f>
        <v>#REF!</v>
      </c>
      <c r="CR141" t="e">
        <f>AND('Badge Ticket Formats'!#REF!,"AAAAAHv3N18=")</f>
        <v>#REF!</v>
      </c>
      <c r="CS141" t="e">
        <f>AND('Badge Ticket Formats'!#REF!,"AAAAAHv3N2A=")</f>
        <v>#REF!</v>
      </c>
      <c r="CT141" t="e">
        <f>AND('Badge Ticket Formats'!#REF!,"AAAAAHv3N2E=")</f>
        <v>#REF!</v>
      </c>
      <c r="CU141" t="e">
        <f>AND('Badge Ticket Formats'!#REF!,"AAAAAHv3N2I=")</f>
        <v>#REF!</v>
      </c>
      <c r="CV141" t="e">
        <f>AND('Badge Ticket Formats'!#REF!,"AAAAAHv3N2M=")</f>
        <v>#REF!</v>
      </c>
      <c r="CW141" t="e">
        <f>AND('Badge Ticket Formats'!#REF!,"AAAAAHv3N2Q=")</f>
        <v>#REF!</v>
      </c>
      <c r="CX141" t="e">
        <f>AND('Badge Ticket Formats'!#REF!,"AAAAAHv3N2U=")</f>
        <v>#REF!</v>
      </c>
      <c r="CY141" t="e">
        <f>AND('Badge Ticket Formats'!#REF!,"AAAAAHv3N2Y=")</f>
        <v>#REF!</v>
      </c>
      <c r="CZ141" t="e">
        <f>AND('Badge Ticket Formats'!#REF!,"AAAAAHv3N2c=")</f>
        <v>#REF!</v>
      </c>
      <c r="DA141" t="e">
        <f>AND('Badge Ticket Formats'!#REF!,"AAAAAHv3N2g=")</f>
        <v>#REF!</v>
      </c>
      <c r="DB141" t="e">
        <f>AND('Badge Ticket Formats'!#REF!,"AAAAAHv3N2k=")</f>
        <v>#REF!</v>
      </c>
      <c r="DC141" t="e">
        <f>AND('Badge Ticket Formats'!#REF!,"AAAAAHv3N2o=")</f>
        <v>#REF!</v>
      </c>
      <c r="DD141" t="e">
        <f>AND('Badge Ticket Formats'!#REF!,"AAAAAHv3N2s=")</f>
        <v>#REF!</v>
      </c>
      <c r="DE141" t="e">
        <f>IF('Badge Ticket Formats'!#REF!,"AAAAAHv3N2w=",0)</f>
        <v>#REF!</v>
      </c>
      <c r="DF141" t="e">
        <f>AND('Badge Ticket Formats'!#REF!,"AAAAAHv3N20=")</f>
        <v>#REF!</v>
      </c>
      <c r="DG141" t="e">
        <f>AND('Badge Ticket Formats'!#REF!,"AAAAAHv3N24=")</f>
        <v>#REF!</v>
      </c>
      <c r="DH141" t="e">
        <f>AND('Badge Ticket Formats'!#REF!,"AAAAAHv3N28=")</f>
        <v>#REF!</v>
      </c>
      <c r="DI141" t="e">
        <f>AND('Badge Ticket Formats'!#REF!,"AAAAAHv3N3A=")</f>
        <v>#REF!</v>
      </c>
      <c r="DJ141" t="e">
        <f>AND('Badge Ticket Formats'!#REF!,"AAAAAHv3N3E=")</f>
        <v>#REF!</v>
      </c>
      <c r="DK141" t="e">
        <f>AND('Badge Ticket Formats'!#REF!,"AAAAAHv3N3I=")</f>
        <v>#REF!</v>
      </c>
      <c r="DL141" t="e">
        <f>AND('Badge Ticket Formats'!#REF!,"AAAAAHv3N3M=")</f>
        <v>#REF!</v>
      </c>
      <c r="DM141" t="e">
        <f>AND('Badge Ticket Formats'!#REF!,"AAAAAHv3N3Q=")</f>
        <v>#REF!</v>
      </c>
      <c r="DN141" t="e">
        <f>AND('Badge Ticket Formats'!#REF!,"AAAAAHv3N3U=")</f>
        <v>#REF!</v>
      </c>
      <c r="DO141" t="e">
        <f>AND('Badge Ticket Formats'!#REF!,"AAAAAHv3N3Y=")</f>
        <v>#REF!</v>
      </c>
      <c r="DP141" t="e">
        <f>AND('Badge Ticket Formats'!#REF!,"AAAAAHv3N3c=")</f>
        <v>#REF!</v>
      </c>
      <c r="DQ141" t="e">
        <f>AND('Badge Ticket Formats'!#REF!,"AAAAAHv3N3g=")</f>
        <v>#REF!</v>
      </c>
      <c r="DR141" t="e">
        <f>AND('Badge Ticket Formats'!#REF!,"AAAAAHv3N3k=")</f>
        <v>#REF!</v>
      </c>
      <c r="DS141" t="e">
        <f>IF('Badge Ticket Formats'!#REF!,"AAAAAHv3N3o=",0)</f>
        <v>#REF!</v>
      </c>
      <c r="DT141" t="e">
        <f>AND('Badge Ticket Formats'!#REF!,"AAAAAHv3N3s=")</f>
        <v>#REF!</v>
      </c>
      <c r="DU141" t="e">
        <f>AND('Badge Ticket Formats'!#REF!,"AAAAAHv3N3w=")</f>
        <v>#REF!</v>
      </c>
      <c r="DV141" t="e">
        <f>AND('Badge Ticket Formats'!#REF!,"AAAAAHv3N30=")</f>
        <v>#REF!</v>
      </c>
      <c r="DW141" t="e">
        <f>AND('Badge Ticket Formats'!#REF!,"AAAAAHv3N34=")</f>
        <v>#REF!</v>
      </c>
      <c r="DX141" t="e">
        <f>AND('Badge Ticket Formats'!#REF!,"AAAAAHv3N38=")</f>
        <v>#REF!</v>
      </c>
      <c r="DY141" t="e">
        <f>AND('Badge Ticket Formats'!#REF!,"AAAAAHv3N4A=")</f>
        <v>#REF!</v>
      </c>
      <c r="DZ141" t="e">
        <f>AND('Badge Ticket Formats'!#REF!,"AAAAAHv3N4E=")</f>
        <v>#REF!</v>
      </c>
      <c r="EA141" t="e">
        <f>AND('Badge Ticket Formats'!#REF!,"AAAAAHv3N4I=")</f>
        <v>#REF!</v>
      </c>
      <c r="EB141" t="e">
        <f>AND('Badge Ticket Formats'!#REF!,"AAAAAHv3N4M=")</f>
        <v>#REF!</v>
      </c>
      <c r="EC141" t="e">
        <f>AND('Badge Ticket Formats'!#REF!,"AAAAAHv3N4Q=")</f>
        <v>#REF!</v>
      </c>
      <c r="ED141" t="e">
        <f>AND('Badge Ticket Formats'!#REF!,"AAAAAHv3N4U=")</f>
        <v>#REF!</v>
      </c>
      <c r="EE141" t="e">
        <f>AND('Badge Ticket Formats'!#REF!,"AAAAAHv3N4Y=")</f>
        <v>#REF!</v>
      </c>
      <c r="EF141" t="e">
        <f>AND('Badge Ticket Formats'!#REF!,"AAAAAHv3N4c=")</f>
        <v>#REF!</v>
      </c>
      <c r="EG141" t="e">
        <f>IF('Badge Ticket Formats'!#REF!,"AAAAAHv3N4g=",0)</f>
        <v>#REF!</v>
      </c>
      <c r="EH141" t="e">
        <f>AND('Badge Ticket Formats'!#REF!,"AAAAAHv3N4k=")</f>
        <v>#REF!</v>
      </c>
      <c r="EI141" t="e">
        <f>AND('Badge Ticket Formats'!#REF!,"AAAAAHv3N4o=")</f>
        <v>#REF!</v>
      </c>
      <c r="EJ141" t="e">
        <f>AND('Badge Ticket Formats'!#REF!,"AAAAAHv3N4s=")</f>
        <v>#REF!</v>
      </c>
      <c r="EK141" t="e">
        <f>AND('Badge Ticket Formats'!#REF!,"AAAAAHv3N4w=")</f>
        <v>#REF!</v>
      </c>
      <c r="EL141" t="e">
        <f>AND('Badge Ticket Formats'!#REF!,"AAAAAHv3N40=")</f>
        <v>#REF!</v>
      </c>
      <c r="EM141" t="e">
        <f>AND('Badge Ticket Formats'!#REF!,"AAAAAHv3N44=")</f>
        <v>#REF!</v>
      </c>
      <c r="EN141" t="e">
        <f>AND('Badge Ticket Formats'!#REF!,"AAAAAHv3N48=")</f>
        <v>#REF!</v>
      </c>
      <c r="EO141" t="e">
        <f>AND('Badge Ticket Formats'!#REF!,"AAAAAHv3N5A=")</f>
        <v>#REF!</v>
      </c>
      <c r="EP141" t="e">
        <f>AND('Badge Ticket Formats'!#REF!,"AAAAAHv3N5E=")</f>
        <v>#REF!</v>
      </c>
      <c r="EQ141" t="e">
        <f>AND('Badge Ticket Formats'!#REF!,"AAAAAHv3N5I=")</f>
        <v>#REF!</v>
      </c>
      <c r="ER141" t="e">
        <f>AND('Badge Ticket Formats'!#REF!,"AAAAAHv3N5M=")</f>
        <v>#REF!</v>
      </c>
      <c r="ES141" t="e">
        <f>AND('Badge Ticket Formats'!#REF!,"AAAAAHv3N5Q=")</f>
        <v>#REF!</v>
      </c>
      <c r="ET141" t="e">
        <f>AND('Badge Ticket Formats'!#REF!,"AAAAAHv3N5U=")</f>
        <v>#REF!</v>
      </c>
      <c r="EU141" t="e">
        <f>IF('Badge Ticket Formats'!#REF!,"AAAAAHv3N5Y=",0)</f>
        <v>#REF!</v>
      </c>
      <c r="EV141" t="e">
        <f>AND('Badge Ticket Formats'!#REF!,"AAAAAHv3N5c=")</f>
        <v>#REF!</v>
      </c>
      <c r="EW141" t="e">
        <f>AND('Badge Ticket Formats'!#REF!,"AAAAAHv3N5g=")</f>
        <v>#REF!</v>
      </c>
      <c r="EX141" t="e">
        <f>AND('Badge Ticket Formats'!#REF!,"AAAAAHv3N5k=")</f>
        <v>#REF!</v>
      </c>
      <c r="EY141" t="e">
        <f>AND('Badge Ticket Formats'!#REF!,"AAAAAHv3N5o=")</f>
        <v>#REF!</v>
      </c>
      <c r="EZ141" t="e">
        <f>AND('Badge Ticket Formats'!#REF!,"AAAAAHv3N5s=")</f>
        <v>#REF!</v>
      </c>
      <c r="FA141" t="e">
        <f>AND('Badge Ticket Formats'!#REF!,"AAAAAHv3N5w=")</f>
        <v>#REF!</v>
      </c>
      <c r="FB141" t="e">
        <f>AND('Badge Ticket Formats'!#REF!,"AAAAAHv3N50=")</f>
        <v>#REF!</v>
      </c>
      <c r="FC141" t="e">
        <f>AND('Badge Ticket Formats'!#REF!,"AAAAAHv3N54=")</f>
        <v>#REF!</v>
      </c>
      <c r="FD141" t="e">
        <f>AND('Badge Ticket Formats'!#REF!,"AAAAAHv3N58=")</f>
        <v>#REF!</v>
      </c>
      <c r="FE141" t="e">
        <f>AND('Badge Ticket Formats'!#REF!,"AAAAAHv3N6A=")</f>
        <v>#REF!</v>
      </c>
      <c r="FF141" t="e">
        <f>AND('Badge Ticket Formats'!#REF!,"AAAAAHv3N6E=")</f>
        <v>#REF!</v>
      </c>
      <c r="FG141" t="e">
        <f>AND('Badge Ticket Formats'!#REF!,"AAAAAHv3N6I=")</f>
        <v>#REF!</v>
      </c>
      <c r="FH141" t="e">
        <f>AND('Badge Ticket Formats'!#REF!,"AAAAAHv3N6M=")</f>
        <v>#REF!</v>
      </c>
      <c r="FI141" t="e">
        <f>IF('Badge Ticket Formats'!#REF!,"AAAAAHv3N6Q=",0)</f>
        <v>#REF!</v>
      </c>
      <c r="FJ141" t="e">
        <f>AND('Badge Ticket Formats'!#REF!,"AAAAAHv3N6U=")</f>
        <v>#REF!</v>
      </c>
      <c r="FK141" t="e">
        <f>AND('Badge Ticket Formats'!#REF!,"AAAAAHv3N6Y=")</f>
        <v>#REF!</v>
      </c>
      <c r="FL141" t="e">
        <f>AND('Badge Ticket Formats'!#REF!,"AAAAAHv3N6c=")</f>
        <v>#REF!</v>
      </c>
      <c r="FM141" t="e">
        <f>AND('Badge Ticket Formats'!#REF!,"AAAAAHv3N6g=")</f>
        <v>#REF!</v>
      </c>
      <c r="FN141" t="e">
        <f>AND('Badge Ticket Formats'!#REF!,"AAAAAHv3N6k=")</f>
        <v>#REF!</v>
      </c>
      <c r="FO141" t="e">
        <f>AND('Badge Ticket Formats'!#REF!,"AAAAAHv3N6o=")</f>
        <v>#REF!</v>
      </c>
      <c r="FP141" t="e">
        <f>AND('Badge Ticket Formats'!#REF!,"AAAAAHv3N6s=")</f>
        <v>#REF!</v>
      </c>
      <c r="FQ141" t="e">
        <f>AND('Badge Ticket Formats'!#REF!,"AAAAAHv3N6w=")</f>
        <v>#REF!</v>
      </c>
      <c r="FR141" t="e">
        <f>AND('Badge Ticket Formats'!#REF!,"AAAAAHv3N60=")</f>
        <v>#REF!</v>
      </c>
      <c r="FS141" t="e">
        <f>AND('Badge Ticket Formats'!#REF!,"AAAAAHv3N64=")</f>
        <v>#REF!</v>
      </c>
      <c r="FT141" t="e">
        <f>AND('Badge Ticket Formats'!#REF!,"AAAAAHv3N68=")</f>
        <v>#REF!</v>
      </c>
      <c r="FU141" t="e">
        <f>AND('Badge Ticket Formats'!#REF!,"AAAAAHv3N7A=")</f>
        <v>#REF!</v>
      </c>
      <c r="FV141" t="e">
        <f>AND('Badge Ticket Formats'!#REF!,"AAAAAHv3N7E=")</f>
        <v>#REF!</v>
      </c>
      <c r="FW141" t="e">
        <f>IF('Badge Ticket Formats'!#REF!,"AAAAAHv3N7I=",0)</f>
        <v>#REF!</v>
      </c>
      <c r="FX141" t="e">
        <f>AND('Badge Ticket Formats'!#REF!,"AAAAAHv3N7M=")</f>
        <v>#REF!</v>
      </c>
      <c r="FY141" t="e">
        <f>AND('Badge Ticket Formats'!#REF!,"AAAAAHv3N7Q=")</f>
        <v>#REF!</v>
      </c>
      <c r="FZ141" t="e">
        <f>AND('Badge Ticket Formats'!#REF!,"AAAAAHv3N7U=")</f>
        <v>#REF!</v>
      </c>
      <c r="GA141" t="e">
        <f>AND('Badge Ticket Formats'!#REF!,"AAAAAHv3N7Y=")</f>
        <v>#REF!</v>
      </c>
      <c r="GB141" t="e">
        <f>AND('Badge Ticket Formats'!#REF!,"AAAAAHv3N7c=")</f>
        <v>#REF!</v>
      </c>
      <c r="GC141" t="e">
        <f>AND('Badge Ticket Formats'!#REF!,"AAAAAHv3N7g=")</f>
        <v>#REF!</v>
      </c>
      <c r="GD141" t="e">
        <f>AND('Badge Ticket Formats'!#REF!,"AAAAAHv3N7k=")</f>
        <v>#REF!</v>
      </c>
      <c r="GE141" t="e">
        <f>AND('Badge Ticket Formats'!#REF!,"AAAAAHv3N7o=")</f>
        <v>#REF!</v>
      </c>
      <c r="GF141" t="e">
        <f>AND('Badge Ticket Formats'!#REF!,"AAAAAHv3N7s=")</f>
        <v>#REF!</v>
      </c>
      <c r="GG141" t="e">
        <f>AND('Badge Ticket Formats'!#REF!,"AAAAAHv3N7w=")</f>
        <v>#REF!</v>
      </c>
      <c r="GH141" t="e">
        <f>AND('Badge Ticket Formats'!#REF!,"AAAAAHv3N70=")</f>
        <v>#REF!</v>
      </c>
      <c r="GI141" t="e">
        <f>AND('Badge Ticket Formats'!#REF!,"AAAAAHv3N74=")</f>
        <v>#REF!</v>
      </c>
      <c r="GJ141" t="e">
        <f>AND('Badge Ticket Formats'!#REF!,"AAAAAHv3N78=")</f>
        <v>#REF!</v>
      </c>
      <c r="GK141" t="e">
        <f>IF('Badge Ticket Formats'!#REF!,"AAAAAHv3N8A=",0)</f>
        <v>#REF!</v>
      </c>
      <c r="GL141" t="e">
        <f>AND('Badge Ticket Formats'!#REF!,"AAAAAHv3N8E=")</f>
        <v>#REF!</v>
      </c>
      <c r="GM141" t="e">
        <f>AND('Badge Ticket Formats'!#REF!,"AAAAAHv3N8I=")</f>
        <v>#REF!</v>
      </c>
      <c r="GN141" t="e">
        <f>AND('Badge Ticket Formats'!#REF!,"AAAAAHv3N8M=")</f>
        <v>#REF!</v>
      </c>
      <c r="GO141" t="e">
        <f>AND('Badge Ticket Formats'!#REF!,"AAAAAHv3N8Q=")</f>
        <v>#REF!</v>
      </c>
      <c r="GP141" t="e">
        <f>AND('Badge Ticket Formats'!#REF!,"AAAAAHv3N8U=")</f>
        <v>#REF!</v>
      </c>
      <c r="GQ141" t="e">
        <f>AND('Badge Ticket Formats'!#REF!,"AAAAAHv3N8Y=")</f>
        <v>#REF!</v>
      </c>
      <c r="GR141" t="e">
        <f>AND('Badge Ticket Formats'!#REF!,"AAAAAHv3N8c=")</f>
        <v>#REF!</v>
      </c>
      <c r="GS141" t="e">
        <f>AND('Badge Ticket Formats'!#REF!,"AAAAAHv3N8g=")</f>
        <v>#REF!</v>
      </c>
      <c r="GT141" t="e">
        <f>AND('Badge Ticket Formats'!#REF!,"AAAAAHv3N8k=")</f>
        <v>#REF!</v>
      </c>
      <c r="GU141" t="e">
        <f>AND('Badge Ticket Formats'!#REF!,"AAAAAHv3N8o=")</f>
        <v>#REF!</v>
      </c>
      <c r="GV141" t="e">
        <f>AND('Badge Ticket Formats'!#REF!,"AAAAAHv3N8s=")</f>
        <v>#REF!</v>
      </c>
      <c r="GW141" t="e">
        <f>AND('Badge Ticket Formats'!#REF!,"AAAAAHv3N8w=")</f>
        <v>#REF!</v>
      </c>
      <c r="GX141" t="e">
        <f>AND('Badge Ticket Formats'!#REF!,"AAAAAHv3N80=")</f>
        <v>#REF!</v>
      </c>
      <c r="GY141" t="e">
        <f>IF('Badge Ticket Formats'!#REF!,"AAAAAHv3N84=",0)</f>
        <v>#REF!</v>
      </c>
      <c r="GZ141" t="e">
        <f>AND('Badge Ticket Formats'!#REF!,"AAAAAHv3N88=")</f>
        <v>#REF!</v>
      </c>
      <c r="HA141" t="e">
        <f>AND('Badge Ticket Formats'!#REF!,"AAAAAHv3N9A=")</f>
        <v>#REF!</v>
      </c>
      <c r="HB141" t="e">
        <f>AND('Badge Ticket Formats'!#REF!,"AAAAAHv3N9E=")</f>
        <v>#REF!</v>
      </c>
      <c r="HC141" t="e">
        <f>AND('Badge Ticket Formats'!#REF!,"AAAAAHv3N9I=")</f>
        <v>#REF!</v>
      </c>
      <c r="HD141" t="e">
        <f>AND('Badge Ticket Formats'!#REF!,"AAAAAHv3N9M=")</f>
        <v>#REF!</v>
      </c>
      <c r="HE141" t="e">
        <f>AND('Badge Ticket Formats'!#REF!,"AAAAAHv3N9Q=")</f>
        <v>#REF!</v>
      </c>
      <c r="HF141" t="e">
        <f>AND('Badge Ticket Formats'!#REF!,"AAAAAHv3N9U=")</f>
        <v>#REF!</v>
      </c>
      <c r="HG141" t="e">
        <f>AND('Badge Ticket Formats'!#REF!,"AAAAAHv3N9Y=")</f>
        <v>#REF!</v>
      </c>
      <c r="HH141" t="e">
        <f>AND('Badge Ticket Formats'!#REF!,"AAAAAHv3N9c=")</f>
        <v>#REF!</v>
      </c>
      <c r="HI141" t="e">
        <f>AND('Badge Ticket Formats'!#REF!,"AAAAAHv3N9g=")</f>
        <v>#REF!</v>
      </c>
      <c r="HJ141" t="e">
        <f>AND('Badge Ticket Formats'!#REF!,"AAAAAHv3N9k=")</f>
        <v>#REF!</v>
      </c>
      <c r="HK141" t="e">
        <f>AND('Badge Ticket Formats'!#REF!,"AAAAAHv3N9o=")</f>
        <v>#REF!</v>
      </c>
      <c r="HL141" t="e">
        <f>AND('Badge Ticket Formats'!#REF!,"AAAAAHv3N9s=")</f>
        <v>#REF!</v>
      </c>
      <c r="HM141" t="e">
        <f>IF('Badge Ticket Formats'!#REF!,"AAAAAHv3N9w=",0)</f>
        <v>#REF!</v>
      </c>
      <c r="HN141" t="e">
        <f>AND('Badge Ticket Formats'!#REF!,"AAAAAHv3N90=")</f>
        <v>#REF!</v>
      </c>
      <c r="HO141" t="e">
        <f>AND('Badge Ticket Formats'!#REF!,"AAAAAHv3N94=")</f>
        <v>#REF!</v>
      </c>
      <c r="HP141" t="e">
        <f>AND('Badge Ticket Formats'!#REF!,"AAAAAHv3N98=")</f>
        <v>#REF!</v>
      </c>
      <c r="HQ141" t="e">
        <f>AND('Badge Ticket Formats'!#REF!,"AAAAAHv3N+A=")</f>
        <v>#REF!</v>
      </c>
      <c r="HR141" t="e">
        <f>AND('Badge Ticket Formats'!#REF!,"AAAAAHv3N+E=")</f>
        <v>#REF!</v>
      </c>
      <c r="HS141" t="e">
        <f>AND('Badge Ticket Formats'!#REF!,"AAAAAHv3N+I=")</f>
        <v>#REF!</v>
      </c>
      <c r="HT141" t="e">
        <f>AND('Badge Ticket Formats'!#REF!,"AAAAAHv3N+M=")</f>
        <v>#REF!</v>
      </c>
      <c r="HU141" t="e">
        <f>AND('Badge Ticket Formats'!#REF!,"AAAAAHv3N+Q=")</f>
        <v>#REF!</v>
      </c>
      <c r="HV141" t="e">
        <f>AND('Badge Ticket Formats'!#REF!,"AAAAAHv3N+U=")</f>
        <v>#REF!</v>
      </c>
      <c r="HW141" t="e">
        <f>AND('Badge Ticket Formats'!#REF!,"AAAAAHv3N+Y=")</f>
        <v>#REF!</v>
      </c>
      <c r="HX141" t="e">
        <f>AND('Badge Ticket Formats'!#REF!,"AAAAAHv3N+c=")</f>
        <v>#REF!</v>
      </c>
      <c r="HY141" t="e">
        <f>AND('Badge Ticket Formats'!#REF!,"AAAAAHv3N+g=")</f>
        <v>#REF!</v>
      </c>
      <c r="HZ141" t="e">
        <f>AND('Badge Ticket Formats'!#REF!,"AAAAAHv3N+k=")</f>
        <v>#REF!</v>
      </c>
      <c r="IA141" t="e">
        <f>IF('Badge Ticket Formats'!#REF!,"AAAAAHv3N+o=",0)</f>
        <v>#REF!</v>
      </c>
      <c r="IB141" t="e">
        <f>AND('Badge Ticket Formats'!#REF!,"AAAAAHv3N+s=")</f>
        <v>#REF!</v>
      </c>
      <c r="IC141" t="e">
        <f>AND('Badge Ticket Formats'!#REF!,"AAAAAHv3N+w=")</f>
        <v>#REF!</v>
      </c>
      <c r="ID141" t="e">
        <f>AND('Badge Ticket Formats'!#REF!,"AAAAAHv3N+0=")</f>
        <v>#REF!</v>
      </c>
      <c r="IE141" t="e">
        <f>AND('Badge Ticket Formats'!#REF!,"AAAAAHv3N+4=")</f>
        <v>#REF!</v>
      </c>
      <c r="IF141" t="e">
        <f>AND('Badge Ticket Formats'!#REF!,"AAAAAHv3N+8=")</f>
        <v>#REF!</v>
      </c>
      <c r="IG141" t="e">
        <f>AND('Badge Ticket Formats'!#REF!,"AAAAAHv3N/A=")</f>
        <v>#REF!</v>
      </c>
      <c r="IH141" t="e">
        <f>AND('Badge Ticket Formats'!#REF!,"AAAAAHv3N/E=")</f>
        <v>#REF!</v>
      </c>
      <c r="II141" t="e">
        <f>AND('Badge Ticket Formats'!#REF!,"AAAAAHv3N/I=")</f>
        <v>#REF!</v>
      </c>
      <c r="IJ141" t="e">
        <f>AND('Badge Ticket Formats'!#REF!,"AAAAAHv3N/M=")</f>
        <v>#REF!</v>
      </c>
      <c r="IK141" t="e">
        <f>AND('Badge Ticket Formats'!#REF!,"AAAAAHv3N/Q=")</f>
        <v>#REF!</v>
      </c>
      <c r="IL141" t="e">
        <f>AND('Badge Ticket Formats'!#REF!,"AAAAAHv3N/U=")</f>
        <v>#REF!</v>
      </c>
      <c r="IM141" t="e">
        <f>AND('Badge Ticket Formats'!#REF!,"AAAAAHv3N/Y=")</f>
        <v>#REF!</v>
      </c>
      <c r="IN141" t="e">
        <f>AND('Badge Ticket Formats'!#REF!,"AAAAAHv3N/c=")</f>
        <v>#REF!</v>
      </c>
      <c r="IO141" t="e">
        <f>IF('Badge Ticket Formats'!#REF!,"AAAAAHv3N/g=",0)</f>
        <v>#REF!</v>
      </c>
      <c r="IP141" t="e">
        <f>AND('Badge Ticket Formats'!#REF!,"AAAAAHv3N/k=")</f>
        <v>#REF!</v>
      </c>
      <c r="IQ141" t="e">
        <f>AND('Badge Ticket Formats'!#REF!,"AAAAAHv3N/o=")</f>
        <v>#REF!</v>
      </c>
      <c r="IR141" t="e">
        <f>AND('Badge Ticket Formats'!#REF!,"AAAAAHv3N/s=")</f>
        <v>#REF!</v>
      </c>
      <c r="IS141" t="e">
        <f>AND('Badge Ticket Formats'!#REF!,"AAAAAHv3N/w=")</f>
        <v>#REF!</v>
      </c>
      <c r="IT141" t="e">
        <f>AND('Badge Ticket Formats'!#REF!,"AAAAAHv3N/0=")</f>
        <v>#REF!</v>
      </c>
      <c r="IU141" t="e">
        <f>AND('Badge Ticket Formats'!#REF!,"AAAAAHv3N/4=")</f>
        <v>#REF!</v>
      </c>
      <c r="IV141" t="e">
        <f>AND('Badge Ticket Formats'!#REF!,"AAAAAHv3N/8=")</f>
        <v>#REF!</v>
      </c>
    </row>
    <row r="142" spans="1:256" x14ac:dyDescent="0.2">
      <c r="A142" t="e">
        <f>AND('Badge Ticket Formats'!#REF!,"AAAAAH3e+QA=")</f>
        <v>#REF!</v>
      </c>
      <c r="B142" t="e">
        <f>AND('Badge Ticket Formats'!#REF!,"AAAAAH3e+QE=")</f>
        <v>#REF!</v>
      </c>
      <c r="C142" t="e">
        <f>AND('Badge Ticket Formats'!#REF!,"AAAAAH3e+QI=")</f>
        <v>#REF!</v>
      </c>
      <c r="D142" t="e">
        <f>AND('Badge Ticket Formats'!#REF!,"AAAAAH3e+QM=")</f>
        <v>#REF!</v>
      </c>
      <c r="E142" t="e">
        <f>AND('Badge Ticket Formats'!#REF!,"AAAAAH3e+QQ=")</f>
        <v>#REF!</v>
      </c>
      <c r="F142" t="e">
        <f>AND('Badge Ticket Formats'!#REF!,"AAAAAH3e+QU=")</f>
        <v>#REF!</v>
      </c>
      <c r="G142" t="e">
        <f>IF('Badge Ticket Formats'!#REF!,"AAAAAH3e+QY=",0)</f>
        <v>#REF!</v>
      </c>
      <c r="H142" t="e">
        <f>AND('Badge Ticket Formats'!#REF!,"AAAAAH3e+Qc=")</f>
        <v>#REF!</v>
      </c>
      <c r="I142" t="e">
        <f>AND('Badge Ticket Formats'!#REF!,"AAAAAH3e+Qg=")</f>
        <v>#REF!</v>
      </c>
      <c r="J142" t="e">
        <f>AND('Badge Ticket Formats'!#REF!,"AAAAAH3e+Qk=")</f>
        <v>#REF!</v>
      </c>
      <c r="K142" t="e">
        <f>AND('Badge Ticket Formats'!#REF!,"AAAAAH3e+Qo=")</f>
        <v>#REF!</v>
      </c>
      <c r="L142" t="e">
        <f>AND('Badge Ticket Formats'!#REF!,"AAAAAH3e+Qs=")</f>
        <v>#REF!</v>
      </c>
      <c r="M142" t="e">
        <f>AND('Badge Ticket Formats'!#REF!,"AAAAAH3e+Qw=")</f>
        <v>#REF!</v>
      </c>
      <c r="N142" t="e">
        <f>AND('Badge Ticket Formats'!#REF!,"AAAAAH3e+Q0=")</f>
        <v>#REF!</v>
      </c>
      <c r="O142" t="e">
        <f>AND('Badge Ticket Formats'!#REF!,"AAAAAH3e+Q4=")</f>
        <v>#REF!</v>
      </c>
      <c r="P142" t="e">
        <f>AND('Badge Ticket Formats'!#REF!,"AAAAAH3e+Q8=")</f>
        <v>#REF!</v>
      </c>
      <c r="Q142" t="e">
        <f>AND('Badge Ticket Formats'!#REF!,"AAAAAH3e+RA=")</f>
        <v>#REF!</v>
      </c>
      <c r="R142" t="e">
        <f>AND('Badge Ticket Formats'!#REF!,"AAAAAH3e+RE=")</f>
        <v>#REF!</v>
      </c>
      <c r="S142" t="e">
        <f>AND('Badge Ticket Formats'!#REF!,"AAAAAH3e+RI=")</f>
        <v>#REF!</v>
      </c>
      <c r="T142" t="e">
        <f>AND('Badge Ticket Formats'!#REF!,"AAAAAH3e+RM=")</f>
        <v>#REF!</v>
      </c>
      <c r="U142" t="e">
        <f>IF('Badge Ticket Formats'!#REF!,"AAAAAH3e+RQ=",0)</f>
        <v>#REF!</v>
      </c>
      <c r="V142" t="e">
        <f>AND('Badge Ticket Formats'!#REF!,"AAAAAH3e+RU=")</f>
        <v>#REF!</v>
      </c>
      <c r="W142" t="e">
        <f>AND('Badge Ticket Formats'!#REF!,"AAAAAH3e+RY=")</f>
        <v>#REF!</v>
      </c>
      <c r="X142" t="e">
        <f>AND('Badge Ticket Formats'!#REF!,"AAAAAH3e+Rc=")</f>
        <v>#REF!</v>
      </c>
      <c r="Y142" t="e">
        <f>AND('Badge Ticket Formats'!#REF!,"AAAAAH3e+Rg=")</f>
        <v>#REF!</v>
      </c>
      <c r="Z142" t="e">
        <f>AND('Badge Ticket Formats'!#REF!,"AAAAAH3e+Rk=")</f>
        <v>#REF!</v>
      </c>
      <c r="AA142" t="e">
        <f>AND('Badge Ticket Formats'!#REF!,"AAAAAH3e+Ro=")</f>
        <v>#REF!</v>
      </c>
      <c r="AB142" t="e">
        <f>AND('Badge Ticket Formats'!#REF!,"AAAAAH3e+Rs=")</f>
        <v>#REF!</v>
      </c>
      <c r="AC142" t="e">
        <f>AND('Badge Ticket Formats'!#REF!,"AAAAAH3e+Rw=")</f>
        <v>#REF!</v>
      </c>
      <c r="AD142" t="e">
        <f>AND('Badge Ticket Formats'!#REF!,"AAAAAH3e+R0=")</f>
        <v>#REF!</v>
      </c>
      <c r="AE142" t="e">
        <f>AND('Badge Ticket Formats'!#REF!,"AAAAAH3e+R4=")</f>
        <v>#REF!</v>
      </c>
      <c r="AF142" t="e">
        <f>AND('Badge Ticket Formats'!#REF!,"AAAAAH3e+R8=")</f>
        <v>#REF!</v>
      </c>
      <c r="AG142" t="e">
        <f>AND('Badge Ticket Formats'!#REF!,"AAAAAH3e+SA=")</f>
        <v>#REF!</v>
      </c>
      <c r="AH142" t="e">
        <f>AND('Badge Ticket Formats'!#REF!,"AAAAAH3e+SE=")</f>
        <v>#REF!</v>
      </c>
      <c r="AI142" t="e">
        <f>IF('Badge Ticket Formats'!#REF!,"AAAAAH3e+SI=",0)</f>
        <v>#REF!</v>
      </c>
      <c r="AJ142" t="e">
        <f>AND('Badge Ticket Formats'!#REF!,"AAAAAH3e+SM=")</f>
        <v>#REF!</v>
      </c>
      <c r="AK142" t="e">
        <f>AND('Badge Ticket Formats'!#REF!,"AAAAAH3e+SQ=")</f>
        <v>#REF!</v>
      </c>
      <c r="AL142" t="e">
        <f>AND('Badge Ticket Formats'!#REF!,"AAAAAH3e+SU=")</f>
        <v>#REF!</v>
      </c>
      <c r="AM142" t="e">
        <f>AND('Badge Ticket Formats'!#REF!,"AAAAAH3e+SY=")</f>
        <v>#REF!</v>
      </c>
      <c r="AN142" t="e">
        <f>AND('Badge Ticket Formats'!#REF!,"AAAAAH3e+Sc=")</f>
        <v>#REF!</v>
      </c>
      <c r="AO142" t="e">
        <f>AND('Badge Ticket Formats'!#REF!,"AAAAAH3e+Sg=")</f>
        <v>#REF!</v>
      </c>
      <c r="AP142" t="e">
        <f>AND('Badge Ticket Formats'!#REF!,"AAAAAH3e+Sk=")</f>
        <v>#REF!</v>
      </c>
      <c r="AQ142" t="e">
        <f>AND('Badge Ticket Formats'!#REF!,"AAAAAH3e+So=")</f>
        <v>#REF!</v>
      </c>
      <c r="AR142" t="e">
        <f>AND('Badge Ticket Formats'!#REF!,"AAAAAH3e+Ss=")</f>
        <v>#REF!</v>
      </c>
      <c r="AS142" t="e">
        <f>AND('Badge Ticket Formats'!#REF!,"AAAAAH3e+Sw=")</f>
        <v>#REF!</v>
      </c>
      <c r="AT142" t="e">
        <f>AND('Badge Ticket Formats'!#REF!,"AAAAAH3e+S0=")</f>
        <v>#REF!</v>
      </c>
      <c r="AU142" t="e">
        <f>AND('Badge Ticket Formats'!#REF!,"AAAAAH3e+S4=")</f>
        <v>#REF!</v>
      </c>
      <c r="AV142" t="e">
        <f>AND('Badge Ticket Formats'!#REF!,"AAAAAH3e+S8=")</f>
        <v>#REF!</v>
      </c>
      <c r="AW142" t="e">
        <f>IF('Badge Ticket Formats'!#REF!,"AAAAAH3e+TA=",0)</f>
        <v>#REF!</v>
      </c>
      <c r="AX142" t="e">
        <f>AND('Badge Ticket Formats'!#REF!,"AAAAAH3e+TE=")</f>
        <v>#REF!</v>
      </c>
      <c r="AY142" t="e">
        <f>AND('Badge Ticket Formats'!#REF!,"AAAAAH3e+TI=")</f>
        <v>#REF!</v>
      </c>
      <c r="AZ142" t="e">
        <f>AND('Badge Ticket Formats'!#REF!,"AAAAAH3e+TM=")</f>
        <v>#REF!</v>
      </c>
      <c r="BA142" t="e">
        <f>AND('Badge Ticket Formats'!#REF!,"AAAAAH3e+TQ=")</f>
        <v>#REF!</v>
      </c>
      <c r="BB142" t="e">
        <f>AND('Badge Ticket Formats'!#REF!,"AAAAAH3e+TU=")</f>
        <v>#REF!</v>
      </c>
      <c r="BC142" t="e">
        <f>AND('Badge Ticket Formats'!#REF!,"AAAAAH3e+TY=")</f>
        <v>#REF!</v>
      </c>
      <c r="BD142" t="e">
        <f>AND('Badge Ticket Formats'!#REF!,"AAAAAH3e+Tc=")</f>
        <v>#REF!</v>
      </c>
      <c r="BE142" t="e">
        <f>AND('Badge Ticket Formats'!#REF!,"AAAAAH3e+Tg=")</f>
        <v>#REF!</v>
      </c>
      <c r="BF142" t="e">
        <f>AND('Badge Ticket Formats'!#REF!,"AAAAAH3e+Tk=")</f>
        <v>#REF!</v>
      </c>
      <c r="BG142" t="e">
        <f>AND('Badge Ticket Formats'!#REF!,"AAAAAH3e+To=")</f>
        <v>#REF!</v>
      </c>
      <c r="BH142" t="e">
        <f>AND('Badge Ticket Formats'!#REF!,"AAAAAH3e+Ts=")</f>
        <v>#REF!</v>
      </c>
      <c r="BI142" t="e">
        <f>AND('Badge Ticket Formats'!#REF!,"AAAAAH3e+Tw=")</f>
        <v>#REF!</v>
      </c>
      <c r="BJ142" t="e">
        <f>AND('Badge Ticket Formats'!#REF!,"AAAAAH3e+T0=")</f>
        <v>#REF!</v>
      </c>
      <c r="BK142" t="e">
        <f>IF('Badge Ticket Formats'!#REF!,"AAAAAH3e+T4=",0)</f>
        <v>#REF!</v>
      </c>
      <c r="BL142" t="e">
        <f>AND('Badge Ticket Formats'!#REF!,"AAAAAH3e+T8=")</f>
        <v>#REF!</v>
      </c>
      <c r="BM142" t="e">
        <f>AND('Badge Ticket Formats'!#REF!,"AAAAAH3e+UA=")</f>
        <v>#REF!</v>
      </c>
      <c r="BN142" t="e">
        <f>AND('Badge Ticket Formats'!#REF!,"AAAAAH3e+UE=")</f>
        <v>#REF!</v>
      </c>
      <c r="BO142" t="e">
        <f>AND('Badge Ticket Formats'!#REF!,"AAAAAH3e+UI=")</f>
        <v>#REF!</v>
      </c>
      <c r="BP142" t="e">
        <f>AND('Badge Ticket Formats'!#REF!,"AAAAAH3e+UM=")</f>
        <v>#REF!</v>
      </c>
      <c r="BQ142" t="e">
        <f>AND('Badge Ticket Formats'!#REF!,"AAAAAH3e+UQ=")</f>
        <v>#REF!</v>
      </c>
      <c r="BR142" t="e">
        <f>AND('Badge Ticket Formats'!#REF!,"AAAAAH3e+UU=")</f>
        <v>#REF!</v>
      </c>
      <c r="BS142" t="e">
        <f>AND('Badge Ticket Formats'!#REF!,"AAAAAH3e+UY=")</f>
        <v>#REF!</v>
      </c>
      <c r="BT142" t="e">
        <f>AND('Badge Ticket Formats'!#REF!,"AAAAAH3e+Uc=")</f>
        <v>#REF!</v>
      </c>
      <c r="BU142" t="e">
        <f>AND('Badge Ticket Formats'!#REF!,"AAAAAH3e+Ug=")</f>
        <v>#REF!</v>
      </c>
      <c r="BV142" t="e">
        <f>AND('Badge Ticket Formats'!#REF!,"AAAAAH3e+Uk=")</f>
        <v>#REF!</v>
      </c>
      <c r="BW142" t="e">
        <f>AND('Badge Ticket Formats'!#REF!,"AAAAAH3e+Uo=")</f>
        <v>#REF!</v>
      </c>
      <c r="BX142" t="e">
        <f>AND('Badge Ticket Formats'!#REF!,"AAAAAH3e+Us=")</f>
        <v>#REF!</v>
      </c>
      <c r="BY142" t="e">
        <f>IF('Badge Ticket Formats'!#REF!,"AAAAAH3e+Uw=",0)</f>
        <v>#REF!</v>
      </c>
      <c r="BZ142" t="e">
        <f>AND('Badge Ticket Formats'!#REF!,"AAAAAH3e+U0=")</f>
        <v>#REF!</v>
      </c>
      <c r="CA142" t="e">
        <f>AND('Badge Ticket Formats'!#REF!,"AAAAAH3e+U4=")</f>
        <v>#REF!</v>
      </c>
      <c r="CB142" t="e">
        <f>AND('Badge Ticket Formats'!#REF!,"AAAAAH3e+U8=")</f>
        <v>#REF!</v>
      </c>
      <c r="CC142" t="e">
        <f>AND('Badge Ticket Formats'!#REF!,"AAAAAH3e+VA=")</f>
        <v>#REF!</v>
      </c>
      <c r="CD142" t="e">
        <f>AND('Badge Ticket Formats'!#REF!,"AAAAAH3e+VE=")</f>
        <v>#REF!</v>
      </c>
      <c r="CE142" t="e">
        <f>AND('Badge Ticket Formats'!#REF!,"AAAAAH3e+VI=")</f>
        <v>#REF!</v>
      </c>
      <c r="CF142" t="e">
        <f>AND('Badge Ticket Formats'!#REF!,"AAAAAH3e+VM=")</f>
        <v>#REF!</v>
      </c>
      <c r="CG142" t="e">
        <f>AND('Badge Ticket Formats'!#REF!,"AAAAAH3e+VQ=")</f>
        <v>#REF!</v>
      </c>
      <c r="CH142" t="e">
        <f>AND('Badge Ticket Formats'!#REF!,"AAAAAH3e+VU=")</f>
        <v>#REF!</v>
      </c>
      <c r="CI142" t="e">
        <f>AND('Badge Ticket Formats'!#REF!,"AAAAAH3e+VY=")</f>
        <v>#REF!</v>
      </c>
      <c r="CJ142" t="e">
        <f>AND('Badge Ticket Formats'!#REF!,"AAAAAH3e+Vc=")</f>
        <v>#REF!</v>
      </c>
      <c r="CK142" t="e">
        <f>AND('Badge Ticket Formats'!#REF!,"AAAAAH3e+Vg=")</f>
        <v>#REF!</v>
      </c>
      <c r="CL142" t="e">
        <f>AND('Badge Ticket Formats'!#REF!,"AAAAAH3e+Vk=")</f>
        <v>#REF!</v>
      </c>
      <c r="CM142" t="e">
        <f>IF('Badge Ticket Formats'!#REF!,"AAAAAH3e+Vo=",0)</f>
        <v>#REF!</v>
      </c>
      <c r="CN142" t="e">
        <f>AND('Badge Ticket Formats'!#REF!,"AAAAAH3e+Vs=")</f>
        <v>#REF!</v>
      </c>
      <c r="CO142" t="e">
        <f>AND('Badge Ticket Formats'!#REF!,"AAAAAH3e+Vw=")</f>
        <v>#REF!</v>
      </c>
      <c r="CP142" t="e">
        <f>AND('Badge Ticket Formats'!#REF!,"AAAAAH3e+V0=")</f>
        <v>#REF!</v>
      </c>
      <c r="CQ142" t="e">
        <f>AND('Badge Ticket Formats'!#REF!,"AAAAAH3e+V4=")</f>
        <v>#REF!</v>
      </c>
      <c r="CR142" t="e">
        <f>AND('Badge Ticket Formats'!#REF!,"AAAAAH3e+V8=")</f>
        <v>#REF!</v>
      </c>
      <c r="CS142" t="e">
        <f>AND('Badge Ticket Formats'!#REF!,"AAAAAH3e+WA=")</f>
        <v>#REF!</v>
      </c>
      <c r="CT142" t="e">
        <f>AND('Badge Ticket Formats'!#REF!,"AAAAAH3e+WE=")</f>
        <v>#REF!</v>
      </c>
      <c r="CU142" t="e">
        <f>AND('Badge Ticket Formats'!#REF!,"AAAAAH3e+WI=")</f>
        <v>#REF!</v>
      </c>
      <c r="CV142" t="e">
        <f>AND('Badge Ticket Formats'!#REF!,"AAAAAH3e+WM=")</f>
        <v>#REF!</v>
      </c>
      <c r="CW142" t="e">
        <f>AND('Badge Ticket Formats'!#REF!,"AAAAAH3e+WQ=")</f>
        <v>#REF!</v>
      </c>
      <c r="CX142" t="e">
        <f>AND('Badge Ticket Formats'!#REF!,"AAAAAH3e+WU=")</f>
        <v>#REF!</v>
      </c>
      <c r="CY142" t="e">
        <f>AND('Badge Ticket Formats'!#REF!,"AAAAAH3e+WY=")</f>
        <v>#REF!</v>
      </c>
      <c r="CZ142" t="e">
        <f>AND('Badge Ticket Formats'!#REF!,"AAAAAH3e+Wc=")</f>
        <v>#REF!</v>
      </c>
      <c r="DA142" t="e">
        <f>IF('Badge Ticket Formats'!#REF!,"AAAAAH3e+Wg=",0)</f>
        <v>#REF!</v>
      </c>
      <c r="DB142" t="e">
        <f>AND('Badge Ticket Formats'!#REF!,"AAAAAH3e+Wk=")</f>
        <v>#REF!</v>
      </c>
      <c r="DC142" t="e">
        <f>AND('Badge Ticket Formats'!#REF!,"AAAAAH3e+Wo=")</f>
        <v>#REF!</v>
      </c>
      <c r="DD142" t="e">
        <f>AND('Badge Ticket Formats'!#REF!,"AAAAAH3e+Ws=")</f>
        <v>#REF!</v>
      </c>
      <c r="DE142" t="e">
        <f>AND('Badge Ticket Formats'!#REF!,"AAAAAH3e+Ww=")</f>
        <v>#REF!</v>
      </c>
      <c r="DF142" t="e">
        <f>AND('Badge Ticket Formats'!#REF!,"AAAAAH3e+W0=")</f>
        <v>#REF!</v>
      </c>
      <c r="DG142" t="e">
        <f>AND('Badge Ticket Formats'!#REF!,"AAAAAH3e+W4=")</f>
        <v>#REF!</v>
      </c>
      <c r="DH142" t="e">
        <f>AND('Badge Ticket Formats'!#REF!,"AAAAAH3e+W8=")</f>
        <v>#REF!</v>
      </c>
      <c r="DI142" t="e">
        <f>AND('Badge Ticket Formats'!#REF!,"AAAAAH3e+XA=")</f>
        <v>#REF!</v>
      </c>
      <c r="DJ142" t="e">
        <f>AND('Badge Ticket Formats'!#REF!,"AAAAAH3e+XE=")</f>
        <v>#REF!</v>
      </c>
      <c r="DK142" t="e">
        <f>AND('Badge Ticket Formats'!#REF!,"AAAAAH3e+XI=")</f>
        <v>#REF!</v>
      </c>
      <c r="DL142" t="e">
        <f>AND('Badge Ticket Formats'!#REF!,"AAAAAH3e+XM=")</f>
        <v>#REF!</v>
      </c>
      <c r="DM142" t="e">
        <f>AND('Badge Ticket Formats'!#REF!,"AAAAAH3e+XQ=")</f>
        <v>#REF!</v>
      </c>
      <c r="DN142" t="e">
        <f>AND('Badge Ticket Formats'!#REF!,"AAAAAH3e+XU=")</f>
        <v>#REF!</v>
      </c>
      <c r="DO142" t="e">
        <f>IF('Badge Ticket Formats'!#REF!,"AAAAAH3e+XY=",0)</f>
        <v>#REF!</v>
      </c>
      <c r="DP142" t="e">
        <f>AND('Badge Ticket Formats'!#REF!,"AAAAAH3e+Xc=")</f>
        <v>#REF!</v>
      </c>
      <c r="DQ142" t="e">
        <f>AND('Badge Ticket Formats'!#REF!,"AAAAAH3e+Xg=")</f>
        <v>#REF!</v>
      </c>
      <c r="DR142" t="e">
        <f>AND('Badge Ticket Formats'!#REF!,"AAAAAH3e+Xk=")</f>
        <v>#REF!</v>
      </c>
      <c r="DS142" t="e">
        <f>AND('Badge Ticket Formats'!#REF!,"AAAAAH3e+Xo=")</f>
        <v>#REF!</v>
      </c>
      <c r="DT142" t="e">
        <f>AND('Badge Ticket Formats'!#REF!,"AAAAAH3e+Xs=")</f>
        <v>#REF!</v>
      </c>
      <c r="DU142" t="e">
        <f>AND('Badge Ticket Formats'!#REF!,"AAAAAH3e+Xw=")</f>
        <v>#REF!</v>
      </c>
      <c r="DV142" t="e">
        <f>AND('Badge Ticket Formats'!#REF!,"AAAAAH3e+X0=")</f>
        <v>#REF!</v>
      </c>
      <c r="DW142" t="e">
        <f>AND('Badge Ticket Formats'!#REF!,"AAAAAH3e+X4=")</f>
        <v>#REF!</v>
      </c>
      <c r="DX142" t="e">
        <f>AND('Badge Ticket Formats'!#REF!,"AAAAAH3e+X8=")</f>
        <v>#REF!</v>
      </c>
      <c r="DY142" t="e">
        <f>AND('Badge Ticket Formats'!#REF!,"AAAAAH3e+YA=")</f>
        <v>#REF!</v>
      </c>
      <c r="DZ142" t="e">
        <f>AND('Badge Ticket Formats'!#REF!,"AAAAAH3e+YE=")</f>
        <v>#REF!</v>
      </c>
      <c r="EA142" t="e">
        <f>AND('Badge Ticket Formats'!#REF!,"AAAAAH3e+YI=")</f>
        <v>#REF!</v>
      </c>
      <c r="EB142" t="e">
        <f>AND('Badge Ticket Formats'!#REF!,"AAAAAH3e+YM=")</f>
        <v>#REF!</v>
      </c>
      <c r="EC142" t="e">
        <f>IF('Badge Ticket Formats'!#REF!,"AAAAAH3e+YQ=",0)</f>
        <v>#REF!</v>
      </c>
      <c r="ED142" t="e">
        <f>AND('Badge Ticket Formats'!#REF!,"AAAAAH3e+YU=")</f>
        <v>#REF!</v>
      </c>
      <c r="EE142" t="e">
        <f>AND('Badge Ticket Formats'!#REF!,"AAAAAH3e+YY=")</f>
        <v>#REF!</v>
      </c>
      <c r="EF142" t="e">
        <f>AND('Badge Ticket Formats'!#REF!,"AAAAAH3e+Yc=")</f>
        <v>#REF!</v>
      </c>
      <c r="EG142" t="e">
        <f>AND('Badge Ticket Formats'!#REF!,"AAAAAH3e+Yg=")</f>
        <v>#REF!</v>
      </c>
      <c r="EH142" t="e">
        <f>AND('Badge Ticket Formats'!#REF!,"AAAAAH3e+Yk=")</f>
        <v>#REF!</v>
      </c>
      <c r="EI142" t="e">
        <f>AND('Badge Ticket Formats'!#REF!,"AAAAAH3e+Yo=")</f>
        <v>#REF!</v>
      </c>
      <c r="EJ142" t="e">
        <f>AND('Badge Ticket Formats'!#REF!,"AAAAAH3e+Ys=")</f>
        <v>#REF!</v>
      </c>
      <c r="EK142" t="e">
        <f>AND('Badge Ticket Formats'!#REF!,"AAAAAH3e+Yw=")</f>
        <v>#REF!</v>
      </c>
      <c r="EL142" t="e">
        <f>AND('Badge Ticket Formats'!#REF!,"AAAAAH3e+Y0=")</f>
        <v>#REF!</v>
      </c>
      <c r="EM142" t="e">
        <f>AND('Badge Ticket Formats'!#REF!,"AAAAAH3e+Y4=")</f>
        <v>#REF!</v>
      </c>
      <c r="EN142" t="e">
        <f>AND('Badge Ticket Formats'!#REF!,"AAAAAH3e+Y8=")</f>
        <v>#REF!</v>
      </c>
      <c r="EO142" t="e">
        <f>AND('Badge Ticket Formats'!#REF!,"AAAAAH3e+ZA=")</f>
        <v>#REF!</v>
      </c>
      <c r="EP142" t="e">
        <f>AND('Badge Ticket Formats'!#REF!,"AAAAAH3e+ZE=")</f>
        <v>#REF!</v>
      </c>
      <c r="EQ142" t="e">
        <f>IF('Badge Ticket Formats'!#REF!,"AAAAAH3e+ZI=",0)</f>
        <v>#REF!</v>
      </c>
      <c r="ER142" t="e">
        <f>AND('Badge Ticket Formats'!#REF!,"AAAAAH3e+ZM=")</f>
        <v>#REF!</v>
      </c>
      <c r="ES142" t="e">
        <f>AND('Badge Ticket Formats'!#REF!,"AAAAAH3e+ZQ=")</f>
        <v>#REF!</v>
      </c>
      <c r="ET142" t="e">
        <f>AND('Badge Ticket Formats'!#REF!,"AAAAAH3e+ZU=")</f>
        <v>#REF!</v>
      </c>
      <c r="EU142" t="e">
        <f>AND('Badge Ticket Formats'!#REF!,"AAAAAH3e+ZY=")</f>
        <v>#REF!</v>
      </c>
      <c r="EV142" t="e">
        <f>AND('Badge Ticket Formats'!#REF!,"AAAAAH3e+Zc=")</f>
        <v>#REF!</v>
      </c>
      <c r="EW142" t="e">
        <f>AND('Badge Ticket Formats'!#REF!,"AAAAAH3e+Zg=")</f>
        <v>#REF!</v>
      </c>
      <c r="EX142" t="e">
        <f>AND('Badge Ticket Formats'!#REF!,"AAAAAH3e+Zk=")</f>
        <v>#REF!</v>
      </c>
      <c r="EY142" t="e">
        <f>AND('Badge Ticket Formats'!#REF!,"AAAAAH3e+Zo=")</f>
        <v>#REF!</v>
      </c>
      <c r="EZ142" t="e">
        <f>AND('Badge Ticket Formats'!#REF!,"AAAAAH3e+Zs=")</f>
        <v>#REF!</v>
      </c>
      <c r="FA142" t="e">
        <f>AND('Badge Ticket Formats'!#REF!,"AAAAAH3e+Zw=")</f>
        <v>#REF!</v>
      </c>
      <c r="FB142" t="e">
        <f>AND('Badge Ticket Formats'!#REF!,"AAAAAH3e+Z0=")</f>
        <v>#REF!</v>
      </c>
      <c r="FC142" t="e">
        <f>AND('Badge Ticket Formats'!#REF!,"AAAAAH3e+Z4=")</f>
        <v>#REF!</v>
      </c>
      <c r="FD142" t="e">
        <f>AND('Badge Ticket Formats'!#REF!,"AAAAAH3e+Z8=")</f>
        <v>#REF!</v>
      </c>
      <c r="FE142" t="e">
        <f>IF('Badge Ticket Formats'!#REF!,"AAAAAH3e+aA=",0)</f>
        <v>#REF!</v>
      </c>
      <c r="FF142" t="e">
        <f>AND('Badge Ticket Formats'!#REF!,"AAAAAH3e+aE=")</f>
        <v>#REF!</v>
      </c>
      <c r="FG142" t="e">
        <f>AND('Badge Ticket Formats'!#REF!,"AAAAAH3e+aI=")</f>
        <v>#REF!</v>
      </c>
      <c r="FH142" t="e">
        <f>AND('Badge Ticket Formats'!#REF!,"AAAAAH3e+aM=")</f>
        <v>#REF!</v>
      </c>
      <c r="FI142" t="e">
        <f>AND('Badge Ticket Formats'!#REF!,"AAAAAH3e+aQ=")</f>
        <v>#REF!</v>
      </c>
      <c r="FJ142" t="e">
        <f>AND('Badge Ticket Formats'!#REF!,"AAAAAH3e+aU=")</f>
        <v>#REF!</v>
      </c>
      <c r="FK142" t="e">
        <f>AND('Badge Ticket Formats'!#REF!,"AAAAAH3e+aY=")</f>
        <v>#REF!</v>
      </c>
      <c r="FL142" t="e">
        <f>AND('Badge Ticket Formats'!#REF!,"AAAAAH3e+ac=")</f>
        <v>#REF!</v>
      </c>
      <c r="FM142" t="e">
        <f>AND('Badge Ticket Formats'!#REF!,"AAAAAH3e+ag=")</f>
        <v>#REF!</v>
      </c>
      <c r="FN142" t="e">
        <f>AND('Badge Ticket Formats'!#REF!,"AAAAAH3e+ak=")</f>
        <v>#REF!</v>
      </c>
      <c r="FO142" t="e">
        <f>AND('Badge Ticket Formats'!#REF!,"AAAAAH3e+ao=")</f>
        <v>#REF!</v>
      </c>
      <c r="FP142" t="e">
        <f>AND('Badge Ticket Formats'!#REF!,"AAAAAH3e+as=")</f>
        <v>#REF!</v>
      </c>
      <c r="FQ142" t="e">
        <f>AND('Badge Ticket Formats'!#REF!,"AAAAAH3e+aw=")</f>
        <v>#REF!</v>
      </c>
      <c r="FR142" t="e">
        <f>AND('Badge Ticket Formats'!#REF!,"AAAAAH3e+a0=")</f>
        <v>#REF!</v>
      </c>
      <c r="FS142" t="e">
        <f>IF('Badge Ticket Formats'!#REF!,"AAAAAH3e+a4=",0)</f>
        <v>#REF!</v>
      </c>
      <c r="FT142" t="e">
        <f>AND('Badge Ticket Formats'!#REF!,"AAAAAH3e+a8=")</f>
        <v>#REF!</v>
      </c>
      <c r="FU142" t="e">
        <f>AND('Badge Ticket Formats'!#REF!,"AAAAAH3e+bA=")</f>
        <v>#REF!</v>
      </c>
      <c r="FV142" t="e">
        <f>AND('Badge Ticket Formats'!#REF!,"AAAAAH3e+bE=")</f>
        <v>#REF!</v>
      </c>
      <c r="FW142" t="e">
        <f>AND('Badge Ticket Formats'!#REF!,"AAAAAH3e+bI=")</f>
        <v>#REF!</v>
      </c>
      <c r="FX142" t="e">
        <f>AND('Badge Ticket Formats'!#REF!,"AAAAAH3e+bM=")</f>
        <v>#REF!</v>
      </c>
      <c r="FY142" t="e">
        <f>AND('Badge Ticket Formats'!#REF!,"AAAAAH3e+bQ=")</f>
        <v>#REF!</v>
      </c>
      <c r="FZ142" t="e">
        <f>AND('Badge Ticket Formats'!#REF!,"AAAAAH3e+bU=")</f>
        <v>#REF!</v>
      </c>
      <c r="GA142" t="e">
        <f>AND('Badge Ticket Formats'!#REF!,"AAAAAH3e+bY=")</f>
        <v>#REF!</v>
      </c>
      <c r="GB142" t="e">
        <f>AND('Badge Ticket Formats'!#REF!,"AAAAAH3e+bc=")</f>
        <v>#REF!</v>
      </c>
      <c r="GC142" t="e">
        <f>AND('Badge Ticket Formats'!#REF!,"AAAAAH3e+bg=")</f>
        <v>#REF!</v>
      </c>
      <c r="GD142" t="e">
        <f>AND('Badge Ticket Formats'!#REF!,"AAAAAH3e+bk=")</f>
        <v>#REF!</v>
      </c>
      <c r="GE142" t="e">
        <f>AND('Badge Ticket Formats'!#REF!,"AAAAAH3e+bo=")</f>
        <v>#REF!</v>
      </c>
      <c r="GF142" t="e">
        <f>AND('Badge Ticket Formats'!#REF!,"AAAAAH3e+bs=")</f>
        <v>#REF!</v>
      </c>
      <c r="GG142" t="e">
        <f>IF('Badge Ticket Formats'!#REF!,"AAAAAH3e+bw=",0)</f>
        <v>#REF!</v>
      </c>
      <c r="GH142" t="e">
        <f>AND('Badge Ticket Formats'!#REF!,"AAAAAH3e+b0=")</f>
        <v>#REF!</v>
      </c>
      <c r="GI142" t="e">
        <f>AND('Badge Ticket Formats'!#REF!,"AAAAAH3e+b4=")</f>
        <v>#REF!</v>
      </c>
      <c r="GJ142" t="e">
        <f>AND('Badge Ticket Formats'!#REF!,"AAAAAH3e+b8=")</f>
        <v>#REF!</v>
      </c>
      <c r="GK142" t="e">
        <f>AND('Badge Ticket Formats'!#REF!,"AAAAAH3e+cA=")</f>
        <v>#REF!</v>
      </c>
      <c r="GL142" t="e">
        <f>AND('Badge Ticket Formats'!#REF!,"AAAAAH3e+cE=")</f>
        <v>#REF!</v>
      </c>
      <c r="GM142" t="e">
        <f>AND('Badge Ticket Formats'!#REF!,"AAAAAH3e+cI=")</f>
        <v>#REF!</v>
      </c>
      <c r="GN142" t="e">
        <f>AND('Badge Ticket Formats'!#REF!,"AAAAAH3e+cM=")</f>
        <v>#REF!</v>
      </c>
      <c r="GO142" t="e">
        <f>AND('Badge Ticket Formats'!#REF!,"AAAAAH3e+cQ=")</f>
        <v>#REF!</v>
      </c>
      <c r="GP142" t="e">
        <f>AND('Badge Ticket Formats'!#REF!,"AAAAAH3e+cU=")</f>
        <v>#REF!</v>
      </c>
      <c r="GQ142" t="e">
        <f>AND('Badge Ticket Formats'!#REF!,"AAAAAH3e+cY=")</f>
        <v>#REF!</v>
      </c>
      <c r="GR142" t="e">
        <f>AND('Badge Ticket Formats'!#REF!,"AAAAAH3e+cc=")</f>
        <v>#REF!</v>
      </c>
      <c r="GS142" t="e">
        <f>AND('Badge Ticket Formats'!#REF!,"AAAAAH3e+cg=")</f>
        <v>#REF!</v>
      </c>
      <c r="GT142" t="e">
        <f>AND('Badge Ticket Formats'!#REF!,"AAAAAH3e+ck=")</f>
        <v>#REF!</v>
      </c>
      <c r="GU142" t="e">
        <f>IF('Badge Ticket Formats'!#REF!,"AAAAAH3e+co=",0)</f>
        <v>#REF!</v>
      </c>
      <c r="GV142" t="e">
        <f>AND('Badge Ticket Formats'!#REF!,"AAAAAH3e+cs=")</f>
        <v>#REF!</v>
      </c>
      <c r="GW142" t="e">
        <f>AND('Badge Ticket Formats'!#REF!,"AAAAAH3e+cw=")</f>
        <v>#REF!</v>
      </c>
      <c r="GX142" t="e">
        <f>AND('Badge Ticket Formats'!#REF!,"AAAAAH3e+c0=")</f>
        <v>#REF!</v>
      </c>
      <c r="GY142" t="e">
        <f>AND('Badge Ticket Formats'!#REF!,"AAAAAH3e+c4=")</f>
        <v>#REF!</v>
      </c>
      <c r="GZ142" t="e">
        <f>AND('Badge Ticket Formats'!#REF!,"AAAAAH3e+c8=")</f>
        <v>#REF!</v>
      </c>
      <c r="HA142" t="e">
        <f>AND('Badge Ticket Formats'!#REF!,"AAAAAH3e+dA=")</f>
        <v>#REF!</v>
      </c>
      <c r="HB142" t="e">
        <f>AND('Badge Ticket Formats'!#REF!,"AAAAAH3e+dE=")</f>
        <v>#REF!</v>
      </c>
      <c r="HC142" t="e">
        <f>AND('Badge Ticket Formats'!#REF!,"AAAAAH3e+dI=")</f>
        <v>#REF!</v>
      </c>
      <c r="HD142" t="e">
        <f>AND('Badge Ticket Formats'!#REF!,"AAAAAH3e+dM=")</f>
        <v>#REF!</v>
      </c>
      <c r="HE142" t="e">
        <f>AND('Badge Ticket Formats'!#REF!,"AAAAAH3e+dQ=")</f>
        <v>#REF!</v>
      </c>
      <c r="HF142" t="e">
        <f>AND('Badge Ticket Formats'!#REF!,"AAAAAH3e+dU=")</f>
        <v>#REF!</v>
      </c>
      <c r="HG142" t="e">
        <f>AND('Badge Ticket Formats'!#REF!,"AAAAAH3e+dY=")</f>
        <v>#REF!</v>
      </c>
      <c r="HH142" t="e">
        <f>AND('Badge Ticket Formats'!#REF!,"AAAAAH3e+dc=")</f>
        <v>#REF!</v>
      </c>
      <c r="HI142" t="e">
        <f>IF('Badge Ticket Formats'!#REF!,"AAAAAH3e+dg=",0)</f>
        <v>#REF!</v>
      </c>
      <c r="HJ142" t="e">
        <f>AND('Badge Ticket Formats'!#REF!,"AAAAAH3e+dk=")</f>
        <v>#REF!</v>
      </c>
      <c r="HK142" t="e">
        <f>AND('Badge Ticket Formats'!#REF!,"AAAAAH3e+do=")</f>
        <v>#REF!</v>
      </c>
      <c r="HL142" t="e">
        <f>AND('Badge Ticket Formats'!#REF!,"AAAAAH3e+ds=")</f>
        <v>#REF!</v>
      </c>
      <c r="HM142" t="e">
        <f>AND('Badge Ticket Formats'!#REF!,"AAAAAH3e+dw=")</f>
        <v>#REF!</v>
      </c>
      <c r="HN142" t="e">
        <f>AND('Badge Ticket Formats'!#REF!,"AAAAAH3e+d0=")</f>
        <v>#REF!</v>
      </c>
      <c r="HO142" t="e">
        <f>AND('Badge Ticket Formats'!#REF!,"AAAAAH3e+d4=")</f>
        <v>#REF!</v>
      </c>
      <c r="HP142" t="e">
        <f>AND('Badge Ticket Formats'!#REF!,"AAAAAH3e+d8=")</f>
        <v>#REF!</v>
      </c>
      <c r="HQ142" t="e">
        <f>AND('Badge Ticket Formats'!#REF!,"AAAAAH3e+eA=")</f>
        <v>#REF!</v>
      </c>
      <c r="HR142" t="e">
        <f>AND('Badge Ticket Formats'!#REF!,"AAAAAH3e+eE=")</f>
        <v>#REF!</v>
      </c>
      <c r="HS142" t="e">
        <f>AND('Badge Ticket Formats'!#REF!,"AAAAAH3e+eI=")</f>
        <v>#REF!</v>
      </c>
      <c r="HT142" t="e">
        <f>AND('Badge Ticket Formats'!#REF!,"AAAAAH3e+eM=")</f>
        <v>#REF!</v>
      </c>
      <c r="HU142" t="e">
        <f>AND('Badge Ticket Formats'!#REF!,"AAAAAH3e+eQ=")</f>
        <v>#REF!</v>
      </c>
      <c r="HV142" t="e">
        <f>AND('Badge Ticket Formats'!#REF!,"AAAAAH3e+eU=")</f>
        <v>#REF!</v>
      </c>
      <c r="HW142" t="e">
        <f>IF('Badge Ticket Formats'!#REF!,"AAAAAH3e+eY=",0)</f>
        <v>#REF!</v>
      </c>
      <c r="HX142" t="e">
        <f>AND('Badge Ticket Formats'!#REF!,"AAAAAH3e+ec=")</f>
        <v>#REF!</v>
      </c>
      <c r="HY142" t="e">
        <f>AND('Badge Ticket Formats'!#REF!,"AAAAAH3e+eg=")</f>
        <v>#REF!</v>
      </c>
      <c r="HZ142" t="e">
        <f>AND('Badge Ticket Formats'!#REF!,"AAAAAH3e+ek=")</f>
        <v>#REF!</v>
      </c>
      <c r="IA142" t="e">
        <f>AND('Badge Ticket Formats'!#REF!,"AAAAAH3e+eo=")</f>
        <v>#REF!</v>
      </c>
      <c r="IB142" t="e">
        <f>AND('Badge Ticket Formats'!#REF!,"AAAAAH3e+es=")</f>
        <v>#REF!</v>
      </c>
      <c r="IC142" t="e">
        <f>AND('Badge Ticket Formats'!#REF!,"AAAAAH3e+ew=")</f>
        <v>#REF!</v>
      </c>
      <c r="ID142" t="e">
        <f>AND('Badge Ticket Formats'!#REF!,"AAAAAH3e+e0=")</f>
        <v>#REF!</v>
      </c>
      <c r="IE142" t="e">
        <f>AND('Badge Ticket Formats'!#REF!,"AAAAAH3e+e4=")</f>
        <v>#REF!</v>
      </c>
      <c r="IF142" t="e">
        <f>AND('Badge Ticket Formats'!#REF!,"AAAAAH3e+e8=")</f>
        <v>#REF!</v>
      </c>
      <c r="IG142" t="e">
        <f>AND('Badge Ticket Formats'!#REF!,"AAAAAH3e+fA=")</f>
        <v>#REF!</v>
      </c>
      <c r="IH142" t="e">
        <f>AND('Badge Ticket Formats'!#REF!,"AAAAAH3e+fE=")</f>
        <v>#REF!</v>
      </c>
      <c r="II142" t="e">
        <f>AND('Badge Ticket Formats'!#REF!,"AAAAAH3e+fI=")</f>
        <v>#REF!</v>
      </c>
      <c r="IJ142" t="e">
        <f>AND('Badge Ticket Formats'!#REF!,"AAAAAH3e+fM=")</f>
        <v>#REF!</v>
      </c>
      <c r="IK142" t="e">
        <f>IF('Badge Ticket Formats'!#REF!,"AAAAAH3e+fQ=",0)</f>
        <v>#REF!</v>
      </c>
      <c r="IL142" t="e">
        <f>AND('Badge Ticket Formats'!#REF!,"AAAAAH3e+fU=")</f>
        <v>#REF!</v>
      </c>
      <c r="IM142" t="e">
        <f>AND('Badge Ticket Formats'!#REF!,"AAAAAH3e+fY=")</f>
        <v>#REF!</v>
      </c>
      <c r="IN142" t="e">
        <f>AND('Badge Ticket Formats'!#REF!,"AAAAAH3e+fc=")</f>
        <v>#REF!</v>
      </c>
      <c r="IO142" t="e">
        <f>AND('Badge Ticket Formats'!#REF!,"AAAAAH3e+fg=")</f>
        <v>#REF!</v>
      </c>
      <c r="IP142" t="e">
        <f>AND('Badge Ticket Formats'!#REF!,"AAAAAH3e+fk=")</f>
        <v>#REF!</v>
      </c>
      <c r="IQ142" t="e">
        <f>AND('Badge Ticket Formats'!#REF!,"AAAAAH3e+fo=")</f>
        <v>#REF!</v>
      </c>
      <c r="IR142" t="e">
        <f>AND('Badge Ticket Formats'!#REF!,"AAAAAH3e+fs=")</f>
        <v>#REF!</v>
      </c>
      <c r="IS142" t="e">
        <f>AND('Badge Ticket Formats'!#REF!,"AAAAAH3e+fw=")</f>
        <v>#REF!</v>
      </c>
      <c r="IT142" t="e">
        <f>AND('Badge Ticket Formats'!#REF!,"AAAAAH3e+f0=")</f>
        <v>#REF!</v>
      </c>
      <c r="IU142" t="e">
        <f>AND('Badge Ticket Formats'!#REF!,"AAAAAH3e+f4=")</f>
        <v>#REF!</v>
      </c>
      <c r="IV142" t="e">
        <f>AND('Badge Ticket Formats'!#REF!,"AAAAAH3e+f8=")</f>
        <v>#REF!</v>
      </c>
    </row>
    <row r="143" spans="1:256" x14ac:dyDescent="0.2">
      <c r="A143" t="e">
        <f>AND('Badge Ticket Formats'!#REF!,"AAAAACW8swA=")</f>
        <v>#REF!</v>
      </c>
      <c r="B143" t="e">
        <f>AND('Badge Ticket Formats'!#REF!,"AAAAACW8swE=")</f>
        <v>#REF!</v>
      </c>
      <c r="C143" t="e">
        <f>IF('Badge Ticket Formats'!#REF!,"AAAAACW8swI=",0)</f>
        <v>#REF!</v>
      </c>
      <c r="D143" t="e">
        <f>AND('Badge Ticket Formats'!#REF!,"AAAAACW8swM=")</f>
        <v>#REF!</v>
      </c>
      <c r="E143" t="e">
        <f>AND('Badge Ticket Formats'!#REF!,"AAAAACW8swQ=")</f>
        <v>#REF!</v>
      </c>
      <c r="F143" t="e">
        <f>AND('Badge Ticket Formats'!#REF!,"AAAAACW8swU=")</f>
        <v>#REF!</v>
      </c>
      <c r="G143" t="e">
        <f>AND('Badge Ticket Formats'!#REF!,"AAAAACW8swY=")</f>
        <v>#REF!</v>
      </c>
      <c r="H143" t="e">
        <f>AND('Badge Ticket Formats'!#REF!,"AAAAACW8swc=")</f>
        <v>#REF!</v>
      </c>
      <c r="I143" t="e">
        <f>AND('Badge Ticket Formats'!#REF!,"AAAAACW8swg=")</f>
        <v>#REF!</v>
      </c>
      <c r="J143" t="e">
        <f>AND('Badge Ticket Formats'!#REF!,"AAAAACW8swk=")</f>
        <v>#REF!</v>
      </c>
      <c r="K143" t="e">
        <f>AND('Badge Ticket Formats'!#REF!,"AAAAACW8swo=")</f>
        <v>#REF!</v>
      </c>
      <c r="L143" t="e">
        <f>AND('Badge Ticket Formats'!#REF!,"AAAAACW8sws=")</f>
        <v>#REF!</v>
      </c>
      <c r="M143" t="e">
        <f>AND('Badge Ticket Formats'!#REF!,"AAAAACW8sww=")</f>
        <v>#REF!</v>
      </c>
      <c r="N143" t="e">
        <f>AND('Badge Ticket Formats'!#REF!,"AAAAACW8sw0=")</f>
        <v>#REF!</v>
      </c>
      <c r="O143" t="e">
        <f>AND('Badge Ticket Formats'!#REF!,"AAAAACW8sw4=")</f>
        <v>#REF!</v>
      </c>
      <c r="P143" t="e">
        <f>AND('Badge Ticket Formats'!#REF!,"AAAAACW8sw8=")</f>
        <v>#REF!</v>
      </c>
      <c r="Q143" t="e">
        <f>IF('Badge Ticket Formats'!#REF!,"AAAAACW8sxA=",0)</f>
        <v>#REF!</v>
      </c>
      <c r="R143" t="e">
        <f>AND('Badge Ticket Formats'!#REF!,"AAAAACW8sxE=")</f>
        <v>#REF!</v>
      </c>
      <c r="S143" t="e">
        <f>AND('Badge Ticket Formats'!#REF!,"AAAAACW8sxI=")</f>
        <v>#REF!</v>
      </c>
      <c r="T143" t="e">
        <f>AND('Badge Ticket Formats'!#REF!,"AAAAACW8sxM=")</f>
        <v>#REF!</v>
      </c>
      <c r="U143" t="e">
        <f>AND('Badge Ticket Formats'!#REF!,"AAAAACW8sxQ=")</f>
        <v>#REF!</v>
      </c>
      <c r="V143" t="e">
        <f>AND('Badge Ticket Formats'!#REF!,"AAAAACW8sxU=")</f>
        <v>#REF!</v>
      </c>
      <c r="W143" t="e">
        <f>AND('Badge Ticket Formats'!#REF!,"AAAAACW8sxY=")</f>
        <v>#REF!</v>
      </c>
      <c r="X143" t="e">
        <f>AND('Badge Ticket Formats'!#REF!,"AAAAACW8sxc=")</f>
        <v>#REF!</v>
      </c>
      <c r="Y143" t="e">
        <f>AND('Badge Ticket Formats'!#REF!,"AAAAACW8sxg=")</f>
        <v>#REF!</v>
      </c>
      <c r="Z143" t="e">
        <f>AND('Badge Ticket Formats'!#REF!,"AAAAACW8sxk=")</f>
        <v>#REF!</v>
      </c>
      <c r="AA143" t="e">
        <f>AND('Badge Ticket Formats'!#REF!,"AAAAACW8sxo=")</f>
        <v>#REF!</v>
      </c>
      <c r="AB143" t="e">
        <f>AND('Badge Ticket Formats'!#REF!,"AAAAACW8sxs=")</f>
        <v>#REF!</v>
      </c>
      <c r="AC143" t="e">
        <f>AND('Badge Ticket Formats'!#REF!,"AAAAACW8sxw=")</f>
        <v>#REF!</v>
      </c>
      <c r="AD143" t="e">
        <f>AND('Badge Ticket Formats'!#REF!,"AAAAACW8sx0=")</f>
        <v>#REF!</v>
      </c>
      <c r="AE143" t="e">
        <f>IF('Badge Ticket Formats'!#REF!,"AAAAACW8sx4=",0)</f>
        <v>#REF!</v>
      </c>
      <c r="AF143" t="e">
        <f>AND('Badge Ticket Formats'!#REF!,"AAAAACW8sx8=")</f>
        <v>#REF!</v>
      </c>
      <c r="AG143" t="e">
        <f>AND('Badge Ticket Formats'!#REF!,"AAAAACW8syA=")</f>
        <v>#REF!</v>
      </c>
      <c r="AH143" t="e">
        <f>AND('Badge Ticket Formats'!#REF!,"AAAAACW8syE=")</f>
        <v>#REF!</v>
      </c>
      <c r="AI143" t="e">
        <f>AND('Badge Ticket Formats'!#REF!,"AAAAACW8syI=")</f>
        <v>#REF!</v>
      </c>
      <c r="AJ143" t="e">
        <f>AND('Badge Ticket Formats'!#REF!,"AAAAACW8syM=")</f>
        <v>#REF!</v>
      </c>
      <c r="AK143" t="e">
        <f>AND('Badge Ticket Formats'!#REF!,"AAAAACW8syQ=")</f>
        <v>#REF!</v>
      </c>
      <c r="AL143" t="e">
        <f>AND('Badge Ticket Formats'!#REF!,"AAAAACW8syU=")</f>
        <v>#REF!</v>
      </c>
      <c r="AM143" t="e">
        <f>AND('Badge Ticket Formats'!#REF!,"AAAAACW8syY=")</f>
        <v>#REF!</v>
      </c>
      <c r="AN143" t="e">
        <f>AND('Badge Ticket Formats'!#REF!,"AAAAACW8syc=")</f>
        <v>#REF!</v>
      </c>
      <c r="AO143" t="e">
        <f>AND('Badge Ticket Formats'!#REF!,"AAAAACW8syg=")</f>
        <v>#REF!</v>
      </c>
      <c r="AP143" t="e">
        <f>AND('Badge Ticket Formats'!#REF!,"AAAAACW8syk=")</f>
        <v>#REF!</v>
      </c>
      <c r="AQ143" t="e">
        <f>AND('Badge Ticket Formats'!#REF!,"AAAAACW8syo=")</f>
        <v>#REF!</v>
      </c>
      <c r="AR143" t="e">
        <f>AND('Badge Ticket Formats'!#REF!,"AAAAACW8sys=")</f>
        <v>#REF!</v>
      </c>
      <c r="AS143" t="e">
        <f>IF('Badge Ticket Formats'!#REF!,"AAAAACW8syw=",0)</f>
        <v>#REF!</v>
      </c>
      <c r="AT143" t="e">
        <f>AND('Badge Ticket Formats'!#REF!,"AAAAACW8sy0=")</f>
        <v>#REF!</v>
      </c>
      <c r="AU143" t="e">
        <f>AND('Badge Ticket Formats'!#REF!,"AAAAACW8sy4=")</f>
        <v>#REF!</v>
      </c>
      <c r="AV143" t="e">
        <f>AND('Badge Ticket Formats'!#REF!,"AAAAACW8sy8=")</f>
        <v>#REF!</v>
      </c>
      <c r="AW143" t="e">
        <f>AND('Badge Ticket Formats'!#REF!,"AAAAACW8szA=")</f>
        <v>#REF!</v>
      </c>
      <c r="AX143" t="e">
        <f>AND('Badge Ticket Formats'!#REF!,"AAAAACW8szE=")</f>
        <v>#REF!</v>
      </c>
      <c r="AY143" t="e">
        <f>AND('Badge Ticket Formats'!#REF!,"AAAAACW8szI=")</f>
        <v>#REF!</v>
      </c>
      <c r="AZ143" t="e">
        <f>AND('Badge Ticket Formats'!#REF!,"AAAAACW8szM=")</f>
        <v>#REF!</v>
      </c>
      <c r="BA143" t="e">
        <f>AND('Badge Ticket Formats'!#REF!,"AAAAACW8szQ=")</f>
        <v>#REF!</v>
      </c>
      <c r="BB143" t="e">
        <f>AND('Badge Ticket Formats'!#REF!,"AAAAACW8szU=")</f>
        <v>#REF!</v>
      </c>
      <c r="BC143" t="e">
        <f>AND('Badge Ticket Formats'!#REF!,"AAAAACW8szY=")</f>
        <v>#REF!</v>
      </c>
      <c r="BD143" t="e">
        <f>AND('Badge Ticket Formats'!#REF!,"AAAAACW8szc=")</f>
        <v>#REF!</v>
      </c>
      <c r="BE143" t="e">
        <f>AND('Badge Ticket Formats'!#REF!,"AAAAACW8szg=")</f>
        <v>#REF!</v>
      </c>
      <c r="BF143" t="e">
        <f>AND('Badge Ticket Formats'!#REF!,"AAAAACW8szk=")</f>
        <v>#REF!</v>
      </c>
      <c r="BG143" t="e">
        <f>IF('Badge Ticket Formats'!#REF!,"AAAAACW8szo=",0)</f>
        <v>#REF!</v>
      </c>
      <c r="BH143" t="e">
        <f>AND('Badge Ticket Formats'!#REF!,"AAAAACW8szs=")</f>
        <v>#REF!</v>
      </c>
      <c r="BI143" t="e">
        <f>AND('Badge Ticket Formats'!#REF!,"AAAAACW8szw=")</f>
        <v>#REF!</v>
      </c>
      <c r="BJ143" t="e">
        <f>AND('Badge Ticket Formats'!#REF!,"AAAAACW8sz0=")</f>
        <v>#REF!</v>
      </c>
      <c r="BK143" t="e">
        <f>AND('Badge Ticket Formats'!#REF!,"AAAAACW8sz4=")</f>
        <v>#REF!</v>
      </c>
      <c r="BL143" t="e">
        <f>AND('Badge Ticket Formats'!#REF!,"AAAAACW8sz8=")</f>
        <v>#REF!</v>
      </c>
      <c r="BM143" t="e">
        <f>AND('Badge Ticket Formats'!#REF!,"AAAAACW8s0A=")</f>
        <v>#REF!</v>
      </c>
      <c r="BN143" t="e">
        <f>AND('Badge Ticket Formats'!#REF!,"AAAAACW8s0E=")</f>
        <v>#REF!</v>
      </c>
      <c r="BO143" t="e">
        <f>AND('Badge Ticket Formats'!#REF!,"AAAAACW8s0I=")</f>
        <v>#REF!</v>
      </c>
      <c r="BP143" t="e">
        <f>AND('Badge Ticket Formats'!#REF!,"AAAAACW8s0M=")</f>
        <v>#REF!</v>
      </c>
      <c r="BQ143" t="e">
        <f>AND('Badge Ticket Formats'!#REF!,"AAAAACW8s0Q=")</f>
        <v>#REF!</v>
      </c>
      <c r="BR143" t="e">
        <f>AND('Badge Ticket Formats'!#REF!,"AAAAACW8s0U=")</f>
        <v>#REF!</v>
      </c>
      <c r="BS143" t="e">
        <f>AND('Badge Ticket Formats'!#REF!,"AAAAACW8s0Y=")</f>
        <v>#REF!</v>
      </c>
      <c r="BT143" t="e">
        <f>AND('Badge Ticket Formats'!#REF!,"AAAAACW8s0c=")</f>
        <v>#REF!</v>
      </c>
      <c r="BU143" t="e">
        <f>IF('Badge Ticket Formats'!#REF!,"AAAAACW8s0g=",0)</f>
        <v>#REF!</v>
      </c>
      <c r="BV143" t="e">
        <f>AND('Badge Ticket Formats'!#REF!,"AAAAACW8s0k=")</f>
        <v>#REF!</v>
      </c>
      <c r="BW143" t="e">
        <f>AND('Badge Ticket Formats'!#REF!,"AAAAACW8s0o=")</f>
        <v>#REF!</v>
      </c>
      <c r="BX143" t="e">
        <f>AND('Badge Ticket Formats'!#REF!,"AAAAACW8s0s=")</f>
        <v>#REF!</v>
      </c>
      <c r="BY143" t="e">
        <f>AND('Badge Ticket Formats'!#REF!,"AAAAACW8s0w=")</f>
        <v>#REF!</v>
      </c>
      <c r="BZ143" t="e">
        <f>AND('Badge Ticket Formats'!#REF!,"AAAAACW8s00=")</f>
        <v>#REF!</v>
      </c>
      <c r="CA143" t="e">
        <f>AND('Badge Ticket Formats'!#REF!,"AAAAACW8s04=")</f>
        <v>#REF!</v>
      </c>
      <c r="CB143" t="e">
        <f>AND('Badge Ticket Formats'!#REF!,"AAAAACW8s08=")</f>
        <v>#REF!</v>
      </c>
      <c r="CC143" t="e">
        <f>AND('Badge Ticket Formats'!#REF!,"AAAAACW8s1A=")</f>
        <v>#REF!</v>
      </c>
      <c r="CD143" t="e">
        <f>AND('Badge Ticket Formats'!#REF!,"AAAAACW8s1E=")</f>
        <v>#REF!</v>
      </c>
      <c r="CE143" t="e">
        <f>AND('Badge Ticket Formats'!#REF!,"AAAAACW8s1I=")</f>
        <v>#REF!</v>
      </c>
      <c r="CF143" t="e">
        <f>AND('Badge Ticket Formats'!#REF!,"AAAAACW8s1M=")</f>
        <v>#REF!</v>
      </c>
      <c r="CG143" t="e">
        <f>AND('Badge Ticket Formats'!#REF!,"AAAAACW8s1Q=")</f>
        <v>#REF!</v>
      </c>
      <c r="CH143" t="e">
        <f>AND('Badge Ticket Formats'!#REF!,"AAAAACW8s1U=")</f>
        <v>#REF!</v>
      </c>
      <c r="CI143" t="e">
        <f>IF('Badge Ticket Formats'!#REF!,"AAAAACW8s1Y=",0)</f>
        <v>#REF!</v>
      </c>
      <c r="CJ143" t="e">
        <f>AND('Badge Ticket Formats'!#REF!,"AAAAACW8s1c=")</f>
        <v>#REF!</v>
      </c>
      <c r="CK143" t="e">
        <f>AND('Badge Ticket Formats'!#REF!,"AAAAACW8s1g=")</f>
        <v>#REF!</v>
      </c>
      <c r="CL143" t="e">
        <f>AND('Badge Ticket Formats'!#REF!,"AAAAACW8s1k=")</f>
        <v>#REF!</v>
      </c>
      <c r="CM143" t="e">
        <f>AND('Badge Ticket Formats'!#REF!,"AAAAACW8s1o=")</f>
        <v>#REF!</v>
      </c>
      <c r="CN143" t="e">
        <f>AND('Badge Ticket Formats'!#REF!,"AAAAACW8s1s=")</f>
        <v>#REF!</v>
      </c>
      <c r="CO143" t="e">
        <f>AND('Badge Ticket Formats'!#REF!,"AAAAACW8s1w=")</f>
        <v>#REF!</v>
      </c>
      <c r="CP143" t="e">
        <f>AND('Badge Ticket Formats'!#REF!,"AAAAACW8s10=")</f>
        <v>#REF!</v>
      </c>
      <c r="CQ143" t="e">
        <f>AND('Badge Ticket Formats'!#REF!,"AAAAACW8s14=")</f>
        <v>#REF!</v>
      </c>
      <c r="CR143" t="e">
        <f>AND('Badge Ticket Formats'!#REF!,"AAAAACW8s18=")</f>
        <v>#REF!</v>
      </c>
      <c r="CS143" t="e">
        <f>AND('Badge Ticket Formats'!#REF!,"AAAAACW8s2A=")</f>
        <v>#REF!</v>
      </c>
      <c r="CT143" t="e">
        <f>AND('Badge Ticket Formats'!#REF!,"AAAAACW8s2E=")</f>
        <v>#REF!</v>
      </c>
      <c r="CU143" t="e">
        <f>AND('Badge Ticket Formats'!#REF!,"AAAAACW8s2I=")</f>
        <v>#REF!</v>
      </c>
      <c r="CV143" t="e">
        <f>AND('Badge Ticket Formats'!#REF!,"AAAAACW8s2M=")</f>
        <v>#REF!</v>
      </c>
      <c r="CW143" t="e">
        <f>IF('Badge Ticket Formats'!#REF!,"AAAAACW8s2Q=",0)</f>
        <v>#REF!</v>
      </c>
      <c r="CX143" t="e">
        <f>AND('Badge Ticket Formats'!#REF!,"AAAAACW8s2U=")</f>
        <v>#REF!</v>
      </c>
      <c r="CY143" t="e">
        <f>AND('Badge Ticket Formats'!#REF!,"AAAAACW8s2Y=")</f>
        <v>#REF!</v>
      </c>
      <c r="CZ143" t="e">
        <f>AND('Badge Ticket Formats'!#REF!,"AAAAACW8s2c=")</f>
        <v>#REF!</v>
      </c>
      <c r="DA143" t="e">
        <f>AND('Badge Ticket Formats'!#REF!,"AAAAACW8s2g=")</f>
        <v>#REF!</v>
      </c>
      <c r="DB143" t="e">
        <f>AND('Badge Ticket Formats'!#REF!,"AAAAACW8s2k=")</f>
        <v>#REF!</v>
      </c>
      <c r="DC143" t="e">
        <f>AND('Badge Ticket Formats'!#REF!,"AAAAACW8s2o=")</f>
        <v>#REF!</v>
      </c>
      <c r="DD143" t="e">
        <f>AND('Badge Ticket Formats'!#REF!,"AAAAACW8s2s=")</f>
        <v>#REF!</v>
      </c>
      <c r="DE143" t="e">
        <f>AND('Badge Ticket Formats'!#REF!,"AAAAACW8s2w=")</f>
        <v>#REF!</v>
      </c>
      <c r="DF143" t="e">
        <f>AND('Badge Ticket Formats'!#REF!,"AAAAACW8s20=")</f>
        <v>#REF!</v>
      </c>
      <c r="DG143" t="e">
        <f>AND('Badge Ticket Formats'!#REF!,"AAAAACW8s24=")</f>
        <v>#REF!</v>
      </c>
      <c r="DH143" t="e">
        <f>AND('Badge Ticket Formats'!#REF!,"AAAAACW8s28=")</f>
        <v>#REF!</v>
      </c>
      <c r="DI143" t="e">
        <f>AND('Badge Ticket Formats'!#REF!,"AAAAACW8s3A=")</f>
        <v>#REF!</v>
      </c>
      <c r="DJ143" t="e">
        <f>AND('Badge Ticket Formats'!#REF!,"AAAAACW8s3E=")</f>
        <v>#REF!</v>
      </c>
      <c r="DK143" t="e">
        <f>IF('Badge Ticket Formats'!#REF!,"AAAAACW8s3I=",0)</f>
        <v>#REF!</v>
      </c>
      <c r="DL143" t="e">
        <f>AND('Badge Ticket Formats'!#REF!,"AAAAACW8s3M=")</f>
        <v>#REF!</v>
      </c>
      <c r="DM143" t="e">
        <f>AND('Badge Ticket Formats'!#REF!,"AAAAACW8s3Q=")</f>
        <v>#REF!</v>
      </c>
      <c r="DN143" t="e">
        <f>AND('Badge Ticket Formats'!#REF!,"AAAAACW8s3U=")</f>
        <v>#REF!</v>
      </c>
      <c r="DO143" t="e">
        <f>AND('Badge Ticket Formats'!#REF!,"AAAAACW8s3Y=")</f>
        <v>#REF!</v>
      </c>
      <c r="DP143" t="e">
        <f>AND('Badge Ticket Formats'!#REF!,"AAAAACW8s3c=")</f>
        <v>#REF!</v>
      </c>
      <c r="DQ143" t="e">
        <f>AND('Badge Ticket Formats'!#REF!,"AAAAACW8s3g=")</f>
        <v>#REF!</v>
      </c>
      <c r="DR143" t="e">
        <f>AND('Badge Ticket Formats'!#REF!,"AAAAACW8s3k=")</f>
        <v>#REF!</v>
      </c>
      <c r="DS143" t="e">
        <f>AND('Badge Ticket Formats'!#REF!,"AAAAACW8s3o=")</f>
        <v>#REF!</v>
      </c>
      <c r="DT143" t="e">
        <f>AND('Badge Ticket Formats'!#REF!,"AAAAACW8s3s=")</f>
        <v>#REF!</v>
      </c>
      <c r="DU143" t="e">
        <f>AND('Badge Ticket Formats'!#REF!,"AAAAACW8s3w=")</f>
        <v>#REF!</v>
      </c>
      <c r="DV143" t="e">
        <f>AND('Badge Ticket Formats'!#REF!,"AAAAACW8s30=")</f>
        <v>#REF!</v>
      </c>
      <c r="DW143" t="e">
        <f>AND('Badge Ticket Formats'!#REF!,"AAAAACW8s34=")</f>
        <v>#REF!</v>
      </c>
      <c r="DX143" t="e">
        <f>AND('Badge Ticket Formats'!#REF!,"AAAAACW8s38=")</f>
        <v>#REF!</v>
      </c>
      <c r="DY143" t="e">
        <f>IF('Badge Ticket Formats'!#REF!,"AAAAACW8s4A=",0)</f>
        <v>#REF!</v>
      </c>
      <c r="DZ143" t="e">
        <f>AND('Badge Ticket Formats'!#REF!,"AAAAACW8s4E=")</f>
        <v>#REF!</v>
      </c>
      <c r="EA143" t="e">
        <f>AND('Badge Ticket Formats'!#REF!,"AAAAACW8s4I=")</f>
        <v>#REF!</v>
      </c>
      <c r="EB143" t="e">
        <f>AND('Badge Ticket Formats'!#REF!,"AAAAACW8s4M=")</f>
        <v>#REF!</v>
      </c>
      <c r="EC143" t="e">
        <f>AND('Badge Ticket Formats'!#REF!,"AAAAACW8s4Q=")</f>
        <v>#REF!</v>
      </c>
      <c r="ED143" t="e">
        <f>AND('Badge Ticket Formats'!#REF!,"AAAAACW8s4U=")</f>
        <v>#REF!</v>
      </c>
      <c r="EE143" t="e">
        <f>AND('Badge Ticket Formats'!#REF!,"AAAAACW8s4Y=")</f>
        <v>#REF!</v>
      </c>
      <c r="EF143" t="e">
        <f>AND('Badge Ticket Formats'!#REF!,"AAAAACW8s4c=")</f>
        <v>#REF!</v>
      </c>
      <c r="EG143" t="e">
        <f>AND('Badge Ticket Formats'!#REF!,"AAAAACW8s4g=")</f>
        <v>#REF!</v>
      </c>
      <c r="EH143" t="e">
        <f>AND('Badge Ticket Formats'!#REF!,"AAAAACW8s4k=")</f>
        <v>#REF!</v>
      </c>
      <c r="EI143" t="e">
        <f>AND('Badge Ticket Formats'!#REF!,"AAAAACW8s4o=")</f>
        <v>#REF!</v>
      </c>
      <c r="EJ143" t="e">
        <f>AND('Badge Ticket Formats'!#REF!,"AAAAACW8s4s=")</f>
        <v>#REF!</v>
      </c>
      <c r="EK143" t="e">
        <f>AND('Badge Ticket Formats'!#REF!,"AAAAACW8s4w=")</f>
        <v>#REF!</v>
      </c>
      <c r="EL143" t="e">
        <f>AND('Badge Ticket Formats'!#REF!,"AAAAACW8s40=")</f>
        <v>#REF!</v>
      </c>
      <c r="EM143" t="e">
        <f>IF('Badge Ticket Formats'!#REF!,"AAAAACW8s44=",0)</f>
        <v>#REF!</v>
      </c>
      <c r="EN143" t="e">
        <f>AND('Badge Ticket Formats'!#REF!,"AAAAACW8s48=")</f>
        <v>#REF!</v>
      </c>
      <c r="EO143" t="e">
        <f>AND('Badge Ticket Formats'!#REF!,"AAAAACW8s5A=")</f>
        <v>#REF!</v>
      </c>
      <c r="EP143" t="e">
        <f>AND('Badge Ticket Formats'!#REF!,"AAAAACW8s5E=")</f>
        <v>#REF!</v>
      </c>
      <c r="EQ143" t="e">
        <f>AND('Badge Ticket Formats'!#REF!,"AAAAACW8s5I=")</f>
        <v>#REF!</v>
      </c>
      <c r="ER143" t="e">
        <f>AND('Badge Ticket Formats'!#REF!,"AAAAACW8s5M=")</f>
        <v>#REF!</v>
      </c>
      <c r="ES143" t="e">
        <f>AND('Badge Ticket Formats'!#REF!,"AAAAACW8s5Q=")</f>
        <v>#REF!</v>
      </c>
      <c r="ET143" t="e">
        <f>AND('Badge Ticket Formats'!#REF!,"AAAAACW8s5U=")</f>
        <v>#REF!</v>
      </c>
      <c r="EU143" t="e">
        <f>AND('Badge Ticket Formats'!#REF!,"AAAAACW8s5Y=")</f>
        <v>#REF!</v>
      </c>
      <c r="EV143" t="e">
        <f>AND('Badge Ticket Formats'!#REF!,"AAAAACW8s5c=")</f>
        <v>#REF!</v>
      </c>
      <c r="EW143" t="e">
        <f>AND('Badge Ticket Formats'!#REF!,"AAAAACW8s5g=")</f>
        <v>#REF!</v>
      </c>
      <c r="EX143" t="e">
        <f>AND('Badge Ticket Formats'!#REF!,"AAAAACW8s5k=")</f>
        <v>#REF!</v>
      </c>
      <c r="EY143" t="e">
        <f>AND('Badge Ticket Formats'!#REF!,"AAAAACW8s5o=")</f>
        <v>#REF!</v>
      </c>
      <c r="EZ143" t="e">
        <f>AND('Badge Ticket Formats'!#REF!,"AAAAACW8s5s=")</f>
        <v>#REF!</v>
      </c>
      <c r="FA143" t="e">
        <f>IF('Badge Ticket Formats'!#REF!,"AAAAACW8s5w=",0)</f>
        <v>#REF!</v>
      </c>
      <c r="FB143" t="e">
        <f>AND('Badge Ticket Formats'!#REF!,"AAAAACW8s50=")</f>
        <v>#REF!</v>
      </c>
      <c r="FC143" t="e">
        <f>AND('Badge Ticket Formats'!#REF!,"AAAAACW8s54=")</f>
        <v>#REF!</v>
      </c>
      <c r="FD143" t="e">
        <f>AND('Badge Ticket Formats'!#REF!,"AAAAACW8s58=")</f>
        <v>#REF!</v>
      </c>
      <c r="FE143" t="e">
        <f>AND('Badge Ticket Formats'!#REF!,"AAAAACW8s6A=")</f>
        <v>#REF!</v>
      </c>
      <c r="FF143" t="e">
        <f>AND('Badge Ticket Formats'!#REF!,"AAAAACW8s6E=")</f>
        <v>#REF!</v>
      </c>
      <c r="FG143" t="e">
        <f>AND('Badge Ticket Formats'!#REF!,"AAAAACW8s6I=")</f>
        <v>#REF!</v>
      </c>
      <c r="FH143" t="e">
        <f>AND('Badge Ticket Formats'!#REF!,"AAAAACW8s6M=")</f>
        <v>#REF!</v>
      </c>
      <c r="FI143" t="e">
        <f>AND('Badge Ticket Formats'!#REF!,"AAAAACW8s6Q=")</f>
        <v>#REF!</v>
      </c>
      <c r="FJ143" t="e">
        <f>AND('Badge Ticket Formats'!#REF!,"AAAAACW8s6U=")</f>
        <v>#REF!</v>
      </c>
      <c r="FK143" t="e">
        <f>AND('Badge Ticket Formats'!#REF!,"AAAAACW8s6Y=")</f>
        <v>#REF!</v>
      </c>
      <c r="FL143" t="e">
        <f>AND('Badge Ticket Formats'!#REF!,"AAAAACW8s6c=")</f>
        <v>#REF!</v>
      </c>
      <c r="FM143" t="e">
        <f>AND('Badge Ticket Formats'!#REF!,"AAAAACW8s6g=")</f>
        <v>#REF!</v>
      </c>
      <c r="FN143" t="e">
        <f>AND('Badge Ticket Formats'!#REF!,"AAAAACW8s6k=")</f>
        <v>#REF!</v>
      </c>
      <c r="FO143" t="e">
        <f>IF('Badge Ticket Formats'!#REF!,"AAAAACW8s6o=",0)</f>
        <v>#REF!</v>
      </c>
      <c r="FP143" t="e">
        <f>AND('Badge Ticket Formats'!#REF!,"AAAAACW8s6s=")</f>
        <v>#REF!</v>
      </c>
      <c r="FQ143" t="e">
        <f>AND('Badge Ticket Formats'!#REF!,"AAAAACW8s6w=")</f>
        <v>#REF!</v>
      </c>
      <c r="FR143" t="e">
        <f>AND('Badge Ticket Formats'!#REF!,"AAAAACW8s60=")</f>
        <v>#REF!</v>
      </c>
      <c r="FS143" t="e">
        <f>AND('Badge Ticket Formats'!#REF!,"AAAAACW8s64=")</f>
        <v>#REF!</v>
      </c>
      <c r="FT143" t="e">
        <f>AND('Badge Ticket Formats'!#REF!,"AAAAACW8s68=")</f>
        <v>#REF!</v>
      </c>
      <c r="FU143" t="e">
        <f>AND('Badge Ticket Formats'!#REF!,"AAAAACW8s7A=")</f>
        <v>#REF!</v>
      </c>
      <c r="FV143" t="e">
        <f>AND('Badge Ticket Formats'!#REF!,"AAAAACW8s7E=")</f>
        <v>#REF!</v>
      </c>
      <c r="FW143" t="e">
        <f>AND('Badge Ticket Formats'!#REF!,"AAAAACW8s7I=")</f>
        <v>#REF!</v>
      </c>
      <c r="FX143" t="e">
        <f>AND('Badge Ticket Formats'!#REF!,"AAAAACW8s7M=")</f>
        <v>#REF!</v>
      </c>
      <c r="FY143" t="e">
        <f>AND('Badge Ticket Formats'!#REF!,"AAAAACW8s7Q=")</f>
        <v>#REF!</v>
      </c>
      <c r="FZ143" t="e">
        <f>AND('Badge Ticket Formats'!#REF!,"AAAAACW8s7U=")</f>
        <v>#REF!</v>
      </c>
      <c r="GA143" t="e">
        <f>AND('Badge Ticket Formats'!#REF!,"AAAAACW8s7Y=")</f>
        <v>#REF!</v>
      </c>
      <c r="GB143" t="e">
        <f>AND('Badge Ticket Formats'!#REF!,"AAAAACW8s7c=")</f>
        <v>#REF!</v>
      </c>
      <c r="GC143" t="e">
        <f>IF('Badge Ticket Formats'!#REF!,"AAAAACW8s7g=",0)</f>
        <v>#REF!</v>
      </c>
      <c r="GD143" t="e">
        <f>AND('Badge Ticket Formats'!#REF!,"AAAAACW8s7k=")</f>
        <v>#REF!</v>
      </c>
      <c r="GE143" t="e">
        <f>AND('Badge Ticket Formats'!#REF!,"AAAAACW8s7o=")</f>
        <v>#REF!</v>
      </c>
      <c r="GF143" t="e">
        <f>AND('Badge Ticket Formats'!#REF!,"AAAAACW8s7s=")</f>
        <v>#REF!</v>
      </c>
      <c r="GG143" t="e">
        <f>AND('Badge Ticket Formats'!#REF!,"AAAAACW8s7w=")</f>
        <v>#REF!</v>
      </c>
      <c r="GH143" t="e">
        <f>AND('Badge Ticket Formats'!#REF!,"AAAAACW8s70=")</f>
        <v>#REF!</v>
      </c>
      <c r="GI143" t="e">
        <f>AND('Badge Ticket Formats'!#REF!,"AAAAACW8s74=")</f>
        <v>#REF!</v>
      </c>
      <c r="GJ143" t="e">
        <f>AND('Badge Ticket Formats'!#REF!,"AAAAACW8s78=")</f>
        <v>#REF!</v>
      </c>
      <c r="GK143" t="e">
        <f>AND('Badge Ticket Formats'!#REF!,"AAAAACW8s8A=")</f>
        <v>#REF!</v>
      </c>
      <c r="GL143" t="e">
        <f>AND('Badge Ticket Formats'!#REF!,"AAAAACW8s8E=")</f>
        <v>#REF!</v>
      </c>
      <c r="GM143" t="e">
        <f>AND('Badge Ticket Formats'!#REF!,"AAAAACW8s8I=")</f>
        <v>#REF!</v>
      </c>
      <c r="GN143" t="e">
        <f>AND('Badge Ticket Formats'!#REF!,"AAAAACW8s8M=")</f>
        <v>#REF!</v>
      </c>
      <c r="GO143" t="e">
        <f>AND('Badge Ticket Formats'!#REF!,"AAAAACW8s8Q=")</f>
        <v>#REF!</v>
      </c>
      <c r="GP143" t="e">
        <f>AND('Badge Ticket Formats'!#REF!,"AAAAACW8s8U=")</f>
        <v>#REF!</v>
      </c>
      <c r="GQ143" t="e">
        <f>IF('Badge Ticket Formats'!#REF!,"AAAAACW8s8Y=",0)</f>
        <v>#REF!</v>
      </c>
      <c r="GR143" t="e">
        <f>AND('Badge Ticket Formats'!#REF!,"AAAAACW8s8c=")</f>
        <v>#REF!</v>
      </c>
      <c r="GS143" t="e">
        <f>AND('Badge Ticket Formats'!#REF!,"AAAAACW8s8g=")</f>
        <v>#REF!</v>
      </c>
      <c r="GT143" t="e">
        <f>AND('Badge Ticket Formats'!#REF!,"AAAAACW8s8k=")</f>
        <v>#REF!</v>
      </c>
      <c r="GU143" t="e">
        <f>AND('Badge Ticket Formats'!#REF!,"AAAAACW8s8o=")</f>
        <v>#REF!</v>
      </c>
      <c r="GV143" t="e">
        <f>AND('Badge Ticket Formats'!#REF!,"AAAAACW8s8s=")</f>
        <v>#REF!</v>
      </c>
      <c r="GW143" t="e">
        <f>AND('Badge Ticket Formats'!#REF!,"AAAAACW8s8w=")</f>
        <v>#REF!</v>
      </c>
      <c r="GX143" t="e">
        <f>AND('Badge Ticket Formats'!#REF!,"AAAAACW8s80=")</f>
        <v>#REF!</v>
      </c>
      <c r="GY143" t="e">
        <f>AND('Badge Ticket Formats'!#REF!,"AAAAACW8s84=")</f>
        <v>#REF!</v>
      </c>
      <c r="GZ143" t="e">
        <f>AND('Badge Ticket Formats'!#REF!,"AAAAACW8s88=")</f>
        <v>#REF!</v>
      </c>
      <c r="HA143" t="e">
        <f>AND('Badge Ticket Formats'!#REF!,"AAAAACW8s9A=")</f>
        <v>#REF!</v>
      </c>
      <c r="HB143" t="e">
        <f>AND('Badge Ticket Formats'!#REF!,"AAAAACW8s9E=")</f>
        <v>#REF!</v>
      </c>
      <c r="HC143" t="e">
        <f>AND('Badge Ticket Formats'!#REF!,"AAAAACW8s9I=")</f>
        <v>#REF!</v>
      </c>
      <c r="HD143" t="e">
        <f>AND('Badge Ticket Formats'!#REF!,"AAAAACW8s9M=")</f>
        <v>#REF!</v>
      </c>
      <c r="HE143" t="e">
        <f>IF('Badge Ticket Formats'!#REF!,"AAAAACW8s9Q=",0)</f>
        <v>#REF!</v>
      </c>
      <c r="HF143" t="e">
        <f>AND('Badge Ticket Formats'!#REF!,"AAAAACW8s9U=")</f>
        <v>#REF!</v>
      </c>
      <c r="HG143" t="e">
        <f>AND('Badge Ticket Formats'!#REF!,"AAAAACW8s9Y=")</f>
        <v>#REF!</v>
      </c>
      <c r="HH143" t="e">
        <f>AND('Badge Ticket Formats'!#REF!,"AAAAACW8s9c=")</f>
        <v>#REF!</v>
      </c>
      <c r="HI143" t="e">
        <f>AND('Badge Ticket Formats'!#REF!,"AAAAACW8s9g=")</f>
        <v>#REF!</v>
      </c>
      <c r="HJ143" t="e">
        <f>AND('Badge Ticket Formats'!#REF!,"AAAAACW8s9k=")</f>
        <v>#REF!</v>
      </c>
      <c r="HK143" t="e">
        <f>AND('Badge Ticket Formats'!#REF!,"AAAAACW8s9o=")</f>
        <v>#REF!</v>
      </c>
      <c r="HL143" t="e">
        <f>AND('Badge Ticket Formats'!#REF!,"AAAAACW8s9s=")</f>
        <v>#REF!</v>
      </c>
      <c r="HM143" t="e">
        <f>AND('Badge Ticket Formats'!#REF!,"AAAAACW8s9w=")</f>
        <v>#REF!</v>
      </c>
      <c r="HN143" t="e">
        <f>AND('Badge Ticket Formats'!#REF!,"AAAAACW8s90=")</f>
        <v>#REF!</v>
      </c>
      <c r="HO143" t="e">
        <f>AND('Badge Ticket Formats'!#REF!,"AAAAACW8s94=")</f>
        <v>#REF!</v>
      </c>
      <c r="HP143" t="e">
        <f>AND('Badge Ticket Formats'!#REF!,"AAAAACW8s98=")</f>
        <v>#REF!</v>
      </c>
      <c r="HQ143" t="e">
        <f>AND('Badge Ticket Formats'!#REF!,"AAAAACW8s+A=")</f>
        <v>#REF!</v>
      </c>
      <c r="HR143" t="e">
        <f>AND('Badge Ticket Formats'!#REF!,"AAAAACW8s+E=")</f>
        <v>#REF!</v>
      </c>
      <c r="HS143" t="e">
        <f>IF('Badge Ticket Formats'!#REF!,"AAAAACW8s+I=",0)</f>
        <v>#REF!</v>
      </c>
      <c r="HT143" t="e">
        <f>AND('Badge Ticket Formats'!#REF!,"AAAAACW8s+M=")</f>
        <v>#REF!</v>
      </c>
      <c r="HU143" t="e">
        <f>AND('Badge Ticket Formats'!#REF!,"AAAAACW8s+Q=")</f>
        <v>#REF!</v>
      </c>
      <c r="HV143" t="e">
        <f>AND('Badge Ticket Formats'!#REF!,"AAAAACW8s+U=")</f>
        <v>#REF!</v>
      </c>
      <c r="HW143" t="e">
        <f>AND('Badge Ticket Formats'!#REF!,"AAAAACW8s+Y=")</f>
        <v>#REF!</v>
      </c>
      <c r="HX143" t="e">
        <f>AND('Badge Ticket Formats'!#REF!,"AAAAACW8s+c=")</f>
        <v>#REF!</v>
      </c>
      <c r="HY143" t="e">
        <f>AND('Badge Ticket Formats'!#REF!,"AAAAACW8s+g=")</f>
        <v>#REF!</v>
      </c>
      <c r="HZ143" t="e">
        <f>AND('Badge Ticket Formats'!#REF!,"AAAAACW8s+k=")</f>
        <v>#REF!</v>
      </c>
      <c r="IA143" t="e">
        <f>AND('Badge Ticket Formats'!#REF!,"AAAAACW8s+o=")</f>
        <v>#REF!</v>
      </c>
      <c r="IB143" t="e">
        <f>AND('Badge Ticket Formats'!#REF!,"AAAAACW8s+s=")</f>
        <v>#REF!</v>
      </c>
      <c r="IC143" t="e">
        <f>AND('Badge Ticket Formats'!#REF!,"AAAAACW8s+w=")</f>
        <v>#REF!</v>
      </c>
      <c r="ID143" t="e">
        <f>AND('Badge Ticket Formats'!#REF!,"AAAAACW8s+0=")</f>
        <v>#REF!</v>
      </c>
      <c r="IE143" t="e">
        <f>AND('Badge Ticket Formats'!#REF!,"AAAAACW8s+4=")</f>
        <v>#REF!</v>
      </c>
      <c r="IF143" t="e">
        <f>AND('Badge Ticket Formats'!#REF!,"AAAAACW8s+8=")</f>
        <v>#REF!</v>
      </c>
      <c r="IG143" t="e">
        <f>IF('Badge Ticket Formats'!#REF!,"AAAAACW8s/A=",0)</f>
        <v>#REF!</v>
      </c>
      <c r="IH143" t="e">
        <f>AND('Badge Ticket Formats'!#REF!,"AAAAACW8s/E=")</f>
        <v>#REF!</v>
      </c>
      <c r="II143" t="e">
        <f>AND('Badge Ticket Formats'!#REF!,"AAAAACW8s/I=")</f>
        <v>#REF!</v>
      </c>
      <c r="IJ143" t="e">
        <f>AND('Badge Ticket Formats'!#REF!,"AAAAACW8s/M=")</f>
        <v>#REF!</v>
      </c>
      <c r="IK143" t="e">
        <f>AND('Badge Ticket Formats'!#REF!,"AAAAACW8s/Q=")</f>
        <v>#REF!</v>
      </c>
      <c r="IL143" t="e">
        <f>AND('Badge Ticket Formats'!#REF!,"AAAAACW8s/U=")</f>
        <v>#REF!</v>
      </c>
      <c r="IM143" t="e">
        <f>AND('Badge Ticket Formats'!#REF!,"AAAAACW8s/Y=")</f>
        <v>#REF!</v>
      </c>
      <c r="IN143" t="e">
        <f>AND('Badge Ticket Formats'!#REF!,"AAAAACW8s/c=")</f>
        <v>#REF!</v>
      </c>
      <c r="IO143" t="e">
        <f>AND('Badge Ticket Formats'!#REF!,"AAAAACW8s/g=")</f>
        <v>#REF!</v>
      </c>
      <c r="IP143" t="e">
        <f>AND('Badge Ticket Formats'!#REF!,"AAAAACW8s/k=")</f>
        <v>#REF!</v>
      </c>
      <c r="IQ143" t="e">
        <f>AND('Badge Ticket Formats'!#REF!,"AAAAACW8s/o=")</f>
        <v>#REF!</v>
      </c>
      <c r="IR143" t="e">
        <f>AND('Badge Ticket Formats'!#REF!,"AAAAACW8s/s=")</f>
        <v>#REF!</v>
      </c>
      <c r="IS143" t="e">
        <f>AND('Badge Ticket Formats'!#REF!,"AAAAACW8s/w=")</f>
        <v>#REF!</v>
      </c>
      <c r="IT143" t="e">
        <f>AND('Badge Ticket Formats'!#REF!,"AAAAACW8s/0=")</f>
        <v>#REF!</v>
      </c>
      <c r="IU143" t="e">
        <f>IF('Badge Ticket Formats'!#REF!,"AAAAACW8s/4=",0)</f>
        <v>#REF!</v>
      </c>
      <c r="IV143" t="e">
        <f>AND('Badge Ticket Formats'!#REF!,"AAAAACW8s/8=")</f>
        <v>#REF!</v>
      </c>
    </row>
    <row r="144" spans="1:256" x14ac:dyDescent="0.2">
      <c r="A144" t="e">
        <f>AND('Badge Ticket Formats'!#REF!,"AAAAAGnV/wA=")</f>
        <v>#REF!</v>
      </c>
      <c r="B144" t="e">
        <f>AND('Badge Ticket Formats'!#REF!,"AAAAAGnV/wE=")</f>
        <v>#REF!</v>
      </c>
      <c r="C144" t="e">
        <f>AND('Badge Ticket Formats'!#REF!,"AAAAAGnV/wI=")</f>
        <v>#REF!</v>
      </c>
      <c r="D144" t="e">
        <f>AND('Badge Ticket Formats'!#REF!,"AAAAAGnV/wM=")</f>
        <v>#REF!</v>
      </c>
      <c r="E144" t="e">
        <f>AND('Badge Ticket Formats'!#REF!,"AAAAAGnV/wQ=")</f>
        <v>#REF!</v>
      </c>
      <c r="F144" t="e">
        <f>AND('Badge Ticket Formats'!#REF!,"AAAAAGnV/wU=")</f>
        <v>#REF!</v>
      </c>
      <c r="G144" t="e">
        <f>AND('Badge Ticket Formats'!#REF!,"AAAAAGnV/wY=")</f>
        <v>#REF!</v>
      </c>
      <c r="H144" t="e">
        <f>AND('Badge Ticket Formats'!#REF!,"AAAAAGnV/wc=")</f>
        <v>#REF!</v>
      </c>
      <c r="I144" t="e">
        <f>AND('Badge Ticket Formats'!#REF!,"AAAAAGnV/wg=")</f>
        <v>#REF!</v>
      </c>
      <c r="J144" t="e">
        <f>AND('Badge Ticket Formats'!#REF!,"AAAAAGnV/wk=")</f>
        <v>#REF!</v>
      </c>
      <c r="K144" t="e">
        <f>AND('Badge Ticket Formats'!#REF!,"AAAAAGnV/wo=")</f>
        <v>#REF!</v>
      </c>
      <c r="L144" t="e">
        <f>AND('Badge Ticket Formats'!#REF!,"AAAAAGnV/ws=")</f>
        <v>#REF!</v>
      </c>
      <c r="M144" t="e">
        <f>IF('Badge Ticket Formats'!#REF!,"AAAAAGnV/ww=",0)</f>
        <v>#REF!</v>
      </c>
      <c r="N144" t="e">
        <f>AND('Badge Ticket Formats'!#REF!,"AAAAAGnV/w0=")</f>
        <v>#REF!</v>
      </c>
      <c r="O144" t="e">
        <f>AND('Badge Ticket Formats'!#REF!,"AAAAAGnV/w4=")</f>
        <v>#REF!</v>
      </c>
      <c r="P144" t="e">
        <f>AND('Badge Ticket Formats'!#REF!,"AAAAAGnV/w8=")</f>
        <v>#REF!</v>
      </c>
      <c r="Q144" t="e">
        <f>AND('Badge Ticket Formats'!#REF!,"AAAAAGnV/xA=")</f>
        <v>#REF!</v>
      </c>
      <c r="R144" t="e">
        <f>AND('Badge Ticket Formats'!#REF!,"AAAAAGnV/xE=")</f>
        <v>#REF!</v>
      </c>
      <c r="S144" t="e">
        <f>AND('Badge Ticket Formats'!#REF!,"AAAAAGnV/xI=")</f>
        <v>#REF!</v>
      </c>
      <c r="T144" t="e">
        <f>AND('Badge Ticket Formats'!#REF!,"AAAAAGnV/xM=")</f>
        <v>#REF!</v>
      </c>
      <c r="U144" t="e">
        <f>AND('Badge Ticket Formats'!#REF!,"AAAAAGnV/xQ=")</f>
        <v>#REF!</v>
      </c>
      <c r="V144" t="e">
        <f>AND('Badge Ticket Formats'!#REF!,"AAAAAGnV/xU=")</f>
        <v>#REF!</v>
      </c>
      <c r="W144" t="e">
        <f>AND('Badge Ticket Formats'!#REF!,"AAAAAGnV/xY=")</f>
        <v>#REF!</v>
      </c>
      <c r="X144" t="e">
        <f>AND('Badge Ticket Formats'!#REF!,"AAAAAGnV/xc=")</f>
        <v>#REF!</v>
      </c>
      <c r="Y144" t="e">
        <f>AND('Badge Ticket Formats'!#REF!,"AAAAAGnV/xg=")</f>
        <v>#REF!</v>
      </c>
      <c r="Z144" t="e">
        <f>AND('Badge Ticket Formats'!#REF!,"AAAAAGnV/xk=")</f>
        <v>#REF!</v>
      </c>
      <c r="AA144" t="e">
        <f>IF('Badge Ticket Formats'!#REF!,"AAAAAGnV/xo=",0)</f>
        <v>#REF!</v>
      </c>
      <c r="AB144" t="e">
        <f>AND('Badge Ticket Formats'!#REF!,"AAAAAGnV/xs=")</f>
        <v>#REF!</v>
      </c>
      <c r="AC144" t="e">
        <f>AND('Badge Ticket Formats'!#REF!,"AAAAAGnV/xw=")</f>
        <v>#REF!</v>
      </c>
      <c r="AD144" t="e">
        <f>AND('Badge Ticket Formats'!#REF!,"AAAAAGnV/x0=")</f>
        <v>#REF!</v>
      </c>
      <c r="AE144" t="e">
        <f>AND('Badge Ticket Formats'!#REF!,"AAAAAGnV/x4=")</f>
        <v>#REF!</v>
      </c>
      <c r="AF144" t="e">
        <f>AND('Badge Ticket Formats'!#REF!,"AAAAAGnV/x8=")</f>
        <v>#REF!</v>
      </c>
      <c r="AG144" t="e">
        <f>AND('Badge Ticket Formats'!#REF!,"AAAAAGnV/yA=")</f>
        <v>#REF!</v>
      </c>
      <c r="AH144" t="e">
        <f>AND('Badge Ticket Formats'!#REF!,"AAAAAGnV/yE=")</f>
        <v>#REF!</v>
      </c>
      <c r="AI144" t="e">
        <f>AND('Badge Ticket Formats'!#REF!,"AAAAAGnV/yI=")</f>
        <v>#REF!</v>
      </c>
      <c r="AJ144" t="e">
        <f>AND('Badge Ticket Formats'!#REF!,"AAAAAGnV/yM=")</f>
        <v>#REF!</v>
      </c>
      <c r="AK144" t="e">
        <f>AND('Badge Ticket Formats'!#REF!,"AAAAAGnV/yQ=")</f>
        <v>#REF!</v>
      </c>
      <c r="AL144" t="e">
        <f>AND('Badge Ticket Formats'!#REF!,"AAAAAGnV/yU=")</f>
        <v>#REF!</v>
      </c>
      <c r="AM144" t="e">
        <f>AND('Badge Ticket Formats'!#REF!,"AAAAAGnV/yY=")</f>
        <v>#REF!</v>
      </c>
      <c r="AN144" t="e">
        <f>AND('Badge Ticket Formats'!#REF!,"AAAAAGnV/yc=")</f>
        <v>#REF!</v>
      </c>
      <c r="AO144" t="e">
        <f>IF('Badge Ticket Formats'!#REF!,"AAAAAGnV/yg=",0)</f>
        <v>#REF!</v>
      </c>
      <c r="AP144" t="e">
        <f>AND('Badge Ticket Formats'!#REF!,"AAAAAGnV/yk=")</f>
        <v>#REF!</v>
      </c>
      <c r="AQ144" t="e">
        <f>AND('Badge Ticket Formats'!#REF!,"AAAAAGnV/yo=")</f>
        <v>#REF!</v>
      </c>
      <c r="AR144" t="e">
        <f>AND('Badge Ticket Formats'!#REF!,"AAAAAGnV/ys=")</f>
        <v>#REF!</v>
      </c>
      <c r="AS144" t="e">
        <f>AND('Badge Ticket Formats'!#REF!,"AAAAAGnV/yw=")</f>
        <v>#REF!</v>
      </c>
      <c r="AT144" t="e">
        <f>AND('Badge Ticket Formats'!#REF!,"AAAAAGnV/y0=")</f>
        <v>#REF!</v>
      </c>
      <c r="AU144" t="e">
        <f>AND('Badge Ticket Formats'!#REF!,"AAAAAGnV/y4=")</f>
        <v>#REF!</v>
      </c>
      <c r="AV144" t="e">
        <f>AND('Badge Ticket Formats'!#REF!,"AAAAAGnV/y8=")</f>
        <v>#REF!</v>
      </c>
      <c r="AW144" t="e">
        <f>AND('Badge Ticket Formats'!#REF!,"AAAAAGnV/zA=")</f>
        <v>#REF!</v>
      </c>
      <c r="AX144" t="e">
        <f>AND('Badge Ticket Formats'!#REF!,"AAAAAGnV/zE=")</f>
        <v>#REF!</v>
      </c>
      <c r="AY144" t="e">
        <f>AND('Badge Ticket Formats'!#REF!,"AAAAAGnV/zI=")</f>
        <v>#REF!</v>
      </c>
      <c r="AZ144" t="e">
        <f>AND('Badge Ticket Formats'!#REF!,"AAAAAGnV/zM=")</f>
        <v>#REF!</v>
      </c>
      <c r="BA144" t="e">
        <f>AND('Badge Ticket Formats'!#REF!,"AAAAAGnV/zQ=")</f>
        <v>#REF!</v>
      </c>
      <c r="BB144" t="e">
        <f>AND('Badge Ticket Formats'!#REF!,"AAAAAGnV/zU=")</f>
        <v>#REF!</v>
      </c>
      <c r="BC144" t="e">
        <f>IF('Badge Ticket Formats'!#REF!,"AAAAAGnV/zY=",0)</f>
        <v>#REF!</v>
      </c>
      <c r="BD144" t="e">
        <f>AND('Badge Ticket Formats'!#REF!,"AAAAAGnV/zc=")</f>
        <v>#REF!</v>
      </c>
      <c r="BE144" t="e">
        <f>AND('Badge Ticket Formats'!#REF!,"AAAAAGnV/zg=")</f>
        <v>#REF!</v>
      </c>
      <c r="BF144" t="e">
        <f>AND('Badge Ticket Formats'!#REF!,"AAAAAGnV/zk=")</f>
        <v>#REF!</v>
      </c>
      <c r="BG144" t="e">
        <f>AND('Badge Ticket Formats'!#REF!,"AAAAAGnV/zo=")</f>
        <v>#REF!</v>
      </c>
      <c r="BH144" t="e">
        <f>AND('Badge Ticket Formats'!#REF!,"AAAAAGnV/zs=")</f>
        <v>#REF!</v>
      </c>
      <c r="BI144" t="e">
        <f>AND('Badge Ticket Formats'!#REF!,"AAAAAGnV/zw=")</f>
        <v>#REF!</v>
      </c>
      <c r="BJ144" t="e">
        <f>AND('Badge Ticket Formats'!#REF!,"AAAAAGnV/z0=")</f>
        <v>#REF!</v>
      </c>
      <c r="BK144" t="e">
        <f>AND('Badge Ticket Formats'!#REF!,"AAAAAGnV/z4=")</f>
        <v>#REF!</v>
      </c>
      <c r="BL144" t="e">
        <f>AND('Badge Ticket Formats'!#REF!,"AAAAAGnV/z8=")</f>
        <v>#REF!</v>
      </c>
      <c r="BM144" t="e">
        <f>AND('Badge Ticket Formats'!#REF!,"AAAAAGnV/0A=")</f>
        <v>#REF!</v>
      </c>
      <c r="BN144" t="e">
        <f>AND('Badge Ticket Formats'!#REF!,"AAAAAGnV/0E=")</f>
        <v>#REF!</v>
      </c>
      <c r="BO144" t="e">
        <f>AND('Badge Ticket Formats'!#REF!,"AAAAAGnV/0I=")</f>
        <v>#REF!</v>
      </c>
      <c r="BP144" t="e">
        <f>AND('Badge Ticket Formats'!#REF!,"AAAAAGnV/0M=")</f>
        <v>#REF!</v>
      </c>
      <c r="BQ144" t="e">
        <f>IF('Badge Ticket Formats'!#REF!,"AAAAAGnV/0Q=",0)</f>
        <v>#REF!</v>
      </c>
      <c r="BR144" t="e">
        <f>AND('Badge Ticket Formats'!#REF!,"AAAAAGnV/0U=")</f>
        <v>#REF!</v>
      </c>
      <c r="BS144" t="e">
        <f>AND('Badge Ticket Formats'!#REF!,"AAAAAGnV/0Y=")</f>
        <v>#REF!</v>
      </c>
      <c r="BT144" t="e">
        <f>AND('Badge Ticket Formats'!#REF!,"AAAAAGnV/0c=")</f>
        <v>#REF!</v>
      </c>
      <c r="BU144" t="e">
        <f>AND('Badge Ticket Formats'!#REF!,"AAAAAGnV/0g=")</f>
        <v>#REF!</v>
      </c>
      <c r="BV144" t="e">
        <f>AND('Badge Ticket Formats'!#REF!,"AAAAAGnV/0k=")</f>
        <v>#REF!</v>
      </c>
      <c r="BW144" t="e">
        <f>AND('Badge Ticket Formats'!#REF!,"AAAAAGnV/0o=")</f>
        <v>#REF!</v>
      </c>
      <c r="BX144" t="e">
        <f>AND('Badge Ticket Formats'!#REF!,"AAAAAGnV/0s=")</f>
        <v>#REF!</v>
      </c>
      <c r="BY144" t="e">
        <f>AND('Badge Ticket Formats'!#REF!,"AAAAAGnV/0w=")</f>
        <v>#REF!</v>
      </c>
      <c r="BZ144" t="e">
        <f>AND('Badge Ticket Formats'!#REF!,"AAAAAGnV/00=")</f>
        <v>#REF!</v>
      </c>
      <c r="CA144" t="e">
        <f>AND('Badge Ticket Formats'!#REF!,"AAAAAGnV/04=")</f>
        <v>#REF!</v>
      </c>
      <c r="CB144" t="e">
        <f>AND('Badge Ticket Formats'!#REF!,"AAAAAGnV/08=")</f>
        <v>#REF!</v>
      </c>
      <c r="CC144" t="e">
        <f>AND('Badge Ticket Formats'!#REF!,"AAAAAGnV/1A=")</f>
        <v>#REF!</v>
      </c>
      <c r="CD144" t="e">
        <f>AND('Badge Ticket Formats'!#REF!,"AAAAAGnV/1E=")</f>
        <v>#REF!</v>
      </c>
      <c r="CE144" t="e">
        <f>IF('Badge Ticket Formats'!#REF!,"AAAAAGnV/1I=",0)</f>
        <v>#REF!</v>
      </c>
      <c r="CF144" t="e">
        <f>AND('Badge Ticket Formats'!#REF!,"AAAAAGnV/1M=")</f>
        <v>#REF!</v>
      </c>
      <c r="CG144" t="e">
        <f>AND('Badge Ticket Formats'!#REF!,"AAAAAGnV/1Q=")</f>
        <v>#REF!</v>
      </c>
      <c r="CH144" t="e">
        <f>AND('Badge Ticket Formats'!#REF!,"AAAAAGnV/1U=")</f>
        <v>#REF!</v>
      </c>
      <c r="CI144" t="e">
        <f>AND('Badge Ticket Formats'!#REF!,"AAAAAGnV/1Y=")</f>
        <v>#REF!</v>
      </c>
      <c r="CJ144" t="e">
        <f>AND('Badge Ticket Formats'!#REF!,"AAAAAGnV/1c=")</f>
        <v>#REF!</v>
      </c>
      <c r="CK144" t="e">
        <f>AND('Badge Ticket Formats'!#REF!,"AAAAAGnV/1g=")</f>
        <v>#REF!</v>
      </c>
      <c r="CL144" t="e">
        <f>AND('Badge Ticket Formats'!#REF!,"AAAAAGnV/1k=")</f>
        <v>#REF!</v>
      </c>
      <c r="CM144" t="e">
        <f>AND('Badge Ticket Formats'!#REF!,"AAAAAGnV/1o=")</f>
        <v>#REF!</v>
      </c>
      <c r="CN144" t="e">
        <f>AND('Badge Ticket Formats'!#REF!,"AAAAAGnV/1s=")</f>
        <v>#REF!</v>
      </c>
      <c r="CO144" t="e">
        <f>AND('Badge Ticket Formats'!#REF!,"AAAAAGnV/1w=")</f>
        <v>#REF!</v>
      </c>
      <c r="CP144" t="e">
        <f>AND('Badge Ticket Formats'!#REF!,"AAAAAGnV/10=")</f>
        <v>#REF!</v>
      </c>
      <c r="CQ144" t="e">
        <f>AND('Badge Ticket Formats'!#REF!,"AAAAAGnV/14=")</f>
        <v>#REF!</v>
      </c>
      <c r="CR144" t="e">
        <f>AND('Badge Ticket Formats'!#REF!,"AAAAAGnV/18=")</f>
        <v>#REF!</v>
      </c>
      <c r="CS144" t="e">
        <f>IF('Badge Ticket Formats'!#REF!,"AAAAAGnV/2A=",0)</f>
        <v>#REF!</v>
      </c>
      <c r="CT144" t="e">
        <f>AND('Badge Ticket Formats'!#REF!,"AAAAAGnV/2E=")</f>
        <v>#REF!</v>
      </c>
      <c r="CU144" t="e">
        <f>AND('Badge Ticket Formats'!#REF!,"AAAAAGnV/2I=")</f>
        <v>#REF!</v>
      </c>
      <c r="CV144" t="e">
        <f>AND('Badge Ticket Formats'!#REF!,"AAAAAGnV/2M=")</f>
        <v>#REF!</v>
      </c>
      <c r="CW144" t="e">
        <f>AND('Badge Ticket Formats'!#REF!,"AAAAAGnV/2Q=")</f>
        <v>#REF!</v>
      </c>
      <c r="CX144" t="e">
        <f>AND('Badge Ticket Formats'!#REF!,"AAAAAGnV/2U=")</f>
        <v>#REF!</v>
      </c>
      <c r="CY144" t="e">
        <f>AND('Badge Ticket Formats'!#REF!,"AAAAAGnV/2Y=")</f>
        <v>#REF!</v>
      </c>
      <c r="CZ144" t="e">
        <f>AND('Badge Ticket Formats'!#REF!,"AAAAAGnV/2c=")</f>
        <v>#REF!</v>
      </c>
      <c r="DA144" t="e">
        <f>AND('Badge Ticket Formats'!#REF!,"AAAAAGnV/2g=")</f>
        <v>#REF!</v>
      </c>
      <c r="DB144" t="e">
        <f>AND('Badge Ticket Formats'!#REF!,"AAAAAGnV/2k=")</f>
        <v>#REF!</v>
      </c>
      <c r="DC144" t="e">
        <f>AND('Badge Ticket Formats'!#REF!,"AAAAAGnV/2o=")</f>
        <v>#REF!</v>
      </c>
      <c r="DD144" t="e">
        <f>AND('Badge Ticket Formats'!#REF!,"AAAAAGnV/2s=")</f>
        <v>#REF!</v>
      </c>
      <c r="DE144" t="e">
        <f>AND('Badge Ticket Formats'!#REF!,"AAAAAGnV/2w=")</f>
        <v>#REF!</v>
      </c>
      <c r="DF144" t="e">
        <f>AND('Badge Ticket Formats'!#REF!,"AAAAAGnV/20=")</f>
        <v>#REF!</v>
      </c>
      <c r="DG144" t="e">
        <f>IF('Badge Ticket Formats'!#REF!,"AAAAAGnV/24=",0)</f>
        <v>#REF!</v>
      </c>
      <c r="DH144" t="e">
        <f>AND('Badge Ticket Formats'!#REF!,"AAAAAGnV/28=")</f>
        <v>#REF!</v>
      </c>
      <c r="DI144" t="e">
        <f>AND('Badge Ticket Formats'!#REF!,"AAAAAGnV/3A=")</f>
        <v>#REF!</v>
      </c>
      <c r="DJ144" t="e">
        <f>AND('Badge Ticket Formats'!#REF!,"AAAAAGnV/3E=")</f>
        <v>#REF!</v>
      </c>
      <c r="DK144" t="e">
        <f>AND('Badge Ticket Formats'!#REF!,"AAAAAGnV/3I=")</f>
        <v>#REF!</v>
      </c>
      <c r="DL144" t="e">
        <f>AND('Badge Ticket Formats'!#REF!,"AAAAAGnV/3M=")</f>
        <v>#REF!</v>
      </c>
      <c r="DM144" t="e">
        <f>AND('Badge Ticket Formats'!#REF!,"AAAAAGnV/3Q=")</f>
        <v>#REF!</v>
      </c>
      <c r="DN144" t="e">
        <f>AND('Badge Ticket Formats'!#REF!,"AAAAAGnV/3U=")</f>
        <v>#REF!</v>
      </c>
      <c r="DO144" t="e">
        <f>AND('Badge Ticket Formats'!#REF!,"AAAAAGnV/3Y=")</f>
        <v>#REF!</v>
      </c>
      <c r="DP144" t="e">
        <f>AND('Badge Ticket Formats'!#REF!,"AAAAAGnV/3c=")</f>
        <v>#REF!</v>
      </c>
      <c r="DQ144" t="e">
        <f>AND('Badge Ticket Formats'!#REF!,"AAAAAGnV/3g=")</f>
        <v>#REF!</v>
      </c>
      <c r="DR144" t="e">
        <f>AND('Badge Ticket Formats'!#REF!,"AAAAAGnV/3k=")</f>
        <v>#REF!</v>
      </c>
      <c r="DS144" t="e">
        <f>AND('Badge Ticket Formats'!#REF!,"AAAAAGnV/3o=")</f>
        <v>#REF!</v>
      </c>
      <c r="DT144" t="e">
        <f>AND('Badge Ticket Formats'!#REF!,"AAAAAGnV/3s=")</f>
        <v>#REF!</v>
      </c>
      <c r="DU144" t="e">
        <f>IF('Badge Ticket Formats'!#REF!,"AAAAAGnV/3w=",0)</f>
        <v>#REF!</v>
      </c>
      <c r="DV144" t="e">
        <f>AND('Badge Ticket Formats'!#REF!,"AAAAAGnV/30=")</f>
        <v>#REF!</v>
      </c>
      <c r="DW144" t="e">
        <f>AND('Badge Ticket Formats'!#REF!,"AAAAAGnV/34=")</f>
        <v>#REF!</v>
      </c>
      <c r="DX144" t="e">
        <f>AND('Badge Ticket Formats'!#REF!,"AAAAAGnV/38=")</f>
        <v>#REF!</v>
      </c>
      <c r="DY144" t="e">
        <f>AND('Badge Ticket Formats'!#REF!,"AAAAAGnV/4A=")</f>
        <v>#REF!</v>
      </c>
      <c r="DZ144" t="e">
        <f>AND('Badge Ticket Formats'!#REF!,"AAAAAGnV/4E=")</f>
        <v>#REF!</v>
      </c>
      <c r="EA144" t="e">
        <f>AND('Badge Ticket Formats'!#REF!,"AAAAAGnV/4I=")</f>
        <v>#REF!</v>
      </c>
      <c r="EB144" t="e">
        <f>AND('Badge Ticket Formats'!#REF!,"AAAAAGnV/4M=")</f>
        <v>#REF!</v>
      </c>
      <c r="EC144" t="e">
        <f>AND('Badge Ticket Formats'!#REF!,"AAAAAGnV/4Q=")</f>
        <v>#REF!</v>
      </c>
      <c r="ED144" t="e">
        <f>AND('Badge Ticket Formats'!#REF!,"AAAAAGnV/4U=")</f>
        <v>#REF!</v>
      </c>
      <c r="EE144" t="e">
        <f>AND('Badge Ticket Formats'!#REF!,"AAAAAGnV/4Y=")</f>
        <v>#REF!</v>
      </c>
      <c r="EF144" t="e">
        <f>AND('Badge Ticket Formats'!#REF!,"AAAAAGnV/4c=")</f>
        <v>#REF!</v>
      </c>
      <c r="EG144" t="e">
        <f>AND('Badge Ticket Formats'!#REF!,"AAAAAGnV/4g=")</f>
        <v>#REF!</v>
      </c>
      <c r="EH144" t="e">
        <f>AND('Badge Ticket Formats'!#REF!,"AAAAAGnV/4k=")</f>
        <v>#REF!</v>
      </c>
      <c r="EI144" t="e">
        <f>IF('Badge Ticket Formats'!#REF!,"AAAAAGnV/4o=",0)</f>
        <v>#REF!</v>
      </c>
      <c r="EJ144" t="e">
        <f>AND('Badge Ticket Formats'!#REF!,"AAAAAGnV/4s=")</f>
        <v>#REF!</v>
      </c>
      <c r="EK144" t="e">
        <f>AND('Badge Ticket Formats'!#REF!,"AAAAAGnV/4w=")</f>
        <v>#REF!</v>
      </c>
      <c r="EL144" t="e">
        <f>AND('Badge Ticket Formats'!#REF!,"AAAAAGnV/40=")</f>
        <v>#REF!</v>
      </c>
      <c r="EM144" t="e">
        <f>AND('Badge Ticket Formats'!#REF!,"AAAAAGnV/44=")</f>
        <v>#REF!</v>
      </c>
      <c r="EN144" t="e">
        <f>AND('Badge Ticket Formats'!#REF!,"AAAAAGnV/48=")</f>
        <v>#REF!</v>
      </c>
      <c r="EO144" t="e">
        <f>AND('Badge Ticket Formats'!#REF!,"AAAAAGnV/5A=")</f>
        <v>#REF!</v>
      </c>
      <c r="EP144" t="e">
        <f>AND('Badge Ticket Formats'!#REF!,"AAAAAGnV/5E=")</f>
        <v>#REF!</v>
      </c>
      <c r="EQ144" t="e">
        <f>AND('Badge Ticket Formats'!#REF!,"AAAAAGnV/5I=")</f>
        <v>#REF!</v>
      </c>
      <c r="ER144" t="e">
        <f>AND('Badge Ticket Formats'!#REF!,"AAAAAGnV/5M=")</f>
        <v>#REF!</v>
      </c>
      <c r="ES144" t="e">
        <f>AND('Badge Ticket Formats'!#REF!,"AAAAAGnV/5Q=")</f>
        <v>#REF!</v>
      </c>
      <c r="ET144" t="e">
        <f>AND('Badge Ticket Formats'!#REF!,"AAAAAGnV/5U=")</f>
        <v>#REF!</v>
      </c>
      <c r="EU144" t="e">
        <f>AND('Badge Ticket Formats'!#REF!,"AAAAAGnV/5Y=")</f>
        <v>#REF!</v>
      </c>
      <c r="EV144" t="e">
        <f>AND('Badge Ticket Formats'!#REF!,"AAAAAGnV/5c=")</f>
        <v>#REF!</v>
      </c>
      <c r="EW144" t="e">
        <f>IF('Badge Ticket Formats'!#REF!,"AAAAAGnV/5g=",0)</f>
        <v>#REF!</v>
      </c>
      <c r="EX144" t="e">
        <f>AND('Badge Ticket Formats'!#REF!,"AAAAAGnV/5k=")</f>
        <v>#REF!</v>
      </c>
      <c r="EY144" t="e">
        <f>AND('Badge Ticket Formats'!#REF!,"AAAAAGnV/5o=")</f>
        <v>#REF!</v>
      </c>
      <c r="EZ144" t="e">
        <f>AND('Badge Ticket Formats'!#REF!,"AAAAAGnV/5s=")</f>
        <v>#REF!</v>
      </c>
      <c r="FA144" t="e">
        <f>AND('Badge Ticket Formats'!#REF!,"AAAAAGnV/5w=")</f>
        <v>#REF!</v>
      </c>
      <c r="FB144" t="e">
        <f>AND('Badge Ticket Formats'!#REF!,"AAAAAGnV/50=")</f>
        <v>#REF!</v>
      </c>
      <c r="FC144" t="e">
        <f>AND('Badge Ticket Formats'!#REF!,"AAAAAGnV/54=")</f>
        <v>#REF!</v>
      </c>
      <c r="FD144" t="e">
        <f>AND('Badge Ticket Formats'!#REF!,"AAAAAGnV/58=")</f>
        <v>#REF!</v>
      </c>
      <c r="FE144" t="e">
        <f>AND('Badge Ticket Formats'!#REF!,"AAAAAGnV/6A=")</f>
        <v>#REF!</v>
      </c>
      <c r="FF144" t="e">
        <f>AND('Badge Ticket Formats'!#REF!,"AAAAAGnV/6E=")</f>
        <v>#REF!</v>
      </c>
      <c r="FG144" t="e">
        <f>AND('Badge Ticket Formats'!#REF!,"AAAAAGnV/6I=")</f>
        <v>#REF!</v>
      </c>
      <c r="FH144" t="e">
        <f>AND('Badge Ticket Formats'!#REF!,"AAAAAGnV/6M=")</f>
        <v>#REF!</v>
      </c>
      <c r="FI144" t="e">
        <f>AND('Badge Ticket Formats'!#REF!,"AAAAAGnV/6Q=")</f>
        <v>#REF!</v>
      </c>
      <c r="FJ144" t="e">
        <f>AND('Badge Ticket Formats'!#REF!,"AAAAAGnV/6U=")</f>
        <v>#REF!</v>
      </c>
      <c r="FK144" t="e">
        <f>IF('Badge Ticket Formats'!#REF!,"AAAAAGnV/6Y=",0)</f>
        <v>#REF!</v>
      </c>
      <c r="FL144" t="e">
        <f>AND('Badge Ticket Formats'!#REF!,"AAAAAGnV/6c=")</f>
        <v>#REF!</v>
      </c>
      <c r="FM144" t="e">
        <f>AND('Badge Ticket Formats'!#REF!,"AAAAAGnV/6g=")</f>
        <v>#REF!</v>
      </c>
      <c r="FN144" t="e">
        <f>AND('Badge Ticket Formats'!#REF!,"AAAAAGnV/6k=")</f>
        <v>#REF!</v>
      </c>
      <c r="FO144" t="e">
        <f>AND('Badge Ticket Formats'!#REF!,"AAAAAGnV/6o=")</f>
        <v>#REF!</v>
      </c>
      <c r="FP144" t="e">
        <f>AND('Badge Ticket Formats'!#REF!,"AAAAAGnV/6s=")</f>
        <v>#REF!</v>
      </c>
      <c r="FQ144" t="e">
        <f>AND('Badge Ticket Formats'!#REF!,"AAAAAGnV/6w=")</f>
        <v>#REF!</v>
      </c>
      <c r="FR144" t="e">
        <f>AND('Badge Ticket Formats'!#REF!,"AAAAAGnV/60=")</f>
        <v>#REF!</v>
      </c>
      <c r="FS144" t="e">
        <f>AND('Badge Ticket Formats'!#REF!,"AAAAAGnV/64=")</f>
        <v>#REF!</v>
      </c>
      <c r="FT144" t="e">
        <f>AND('Badge Ticket Formats'!#REF!,"AAAAAGnV/68=")</f>
        <v>#REF!</v>
      </c>
      <c r="FU144" t="e">
        <f>AND('Badge Ticket Formats'!#REF!,"AAAAAGnV/7A=")</f>
        <v>#REF!</v>
      </c>
      <c r="FV144" t="e">
        <f>AND('Badge Ticket Formats'!#REF!,"AAAAAGnV/7E=")</f>
        <v>#REF!</v>
      </c>
      <c r="FW144" t="e">
        <f>AND('Badge Ticket Formats'!#REF!,"AAAAAGnV/7I=")</f>
        <v>#REF!</v>
      </c>
      <c r="FX144" t="e">
        <f>AND('Badge Ticket Formats'!#REF!,"AAAAAGnV/7M=")</f>
        <v>#REF!</v>
      </c>
      <c r="FY144" t="e">
        <f>IF('Badge Ticket Formats'!#REF!,"AAAAAGnV/7Q=",0)</f>
        <v>#REF!</v>
      </c>
      <c r="FZ144" t="e">
        <f>AND('Badge Ticket Formats'!#REF!,"AAAAAGnV/7U=")</f>
        <v>#REF!</v>
      </c>
      <c r="GA144" t="e">
        <f>AND('Badge Ticket Formats'!#REF!,"AAAAAGnV/7Y=")</f>
        <v>#REF!</v>
      </c>
      <c r="GB144" t="e">
        <f>AND('Badge Ticket Formats'!#REF!,"AAAAAGnV/7c=")</f>
        <v>#REF!</v>
      </c>
      <c r="GC144" t="e">
        <f>AND('Badge Ticket Formats'!#REF!,"AAAAAGnV/7g=")</f>
        <v>#REF!</v>
      </c>
      <c r="GD144" t="e">
        <f>AND('Badge Ticket Formats'!#REF!,"AAAAAGnV/7k=")</f>
        <v>#REF!</v>
      </c>
      <c r="GE144" t="e">
        <f>AND('Badge Ticket Formats'!#REF!,"AAAAAGnV/7o=")</f>
        <v>#REF!</v>
      </c>
      <c r="GF144" t="e">
        <f>AND('Badge Ticket Formats'!#REF!,"AAAAAGnV/7s=")</f>
        <v>#REF!</v>
      </c>
      <c r="GG144" t="e">
        <f>AND('Badge Ticket Formats'!#REF!,"AAAAAGnV/7w=")</f>
        <v>#REF!</v>
      </c>
      <c r="GH144" t="e">
        <f>AND('Badge Ticket Formats'!#REF!,"AAAAAGnV/70=")</f>
        <v>#REF!</v>
      </c>
      <c r="GI144" t="e">
        <f>AND('Badge Ticket Formats'!#REF!,"AAAAAGnV/74=")</f>
        <v>#REF!</v>
      </c>
      <c r="GJ144" t="e">
        <f>AND('Badge Ticket Formats'!#REF!,"AAAAAGnV/78=")</f>
        <v>#REF!</v>
      </c>
      <c r="GK144" t="e">
        <f>AND('Badge Ticket Formats'!#REF!,"AAAAAGnV/8A=")</f>
        <v>#REF!</v>
      </c>
      <c r="GL144" t="e">
        <f>AND('Badge Ticket Formats'!#REF!,"AAAAAGnV/8E=")</f>
        <v>#REF!</v>
      </c>
      <c r="GM144" t="e">
        <f>IF('Badge Ticket Formats'!#REF!,"AAAAAGnV/8I=",0)</f>
        <v>#REF!</v>
      </c>
      <c r="GN144" t="e">
        <f>AND('Badge Ticket Formats'!#REF!,"AAAAAGnV/8M=")</f>
        <v>#REF!</v>
      </c>
      <c r="GO144" t="e">
        <f>AND('Badge Ticket Formats'!#REF!,"AAAAAGnV/8Q=")</f>
        <v>#REF!</v>
      </c>
      <c r="GP144" t="e">
        <f>AND('Badge Ticket Formats'!#REF!,"AAAAAGnV/8U=")</f>
        <v>#REF!</v>
      </c>
      <c r="GQ144" t="e">
        <f>AND('Badge Ticket Formats'!#REF!,"AAAAAGnV/8Y=")</f>
        <v>#REF!</v>
      </c>
      <c r="GR144" t="e">
        <f>AND('Badge Ticket Formats'!#REF!,"AAAAAGnV/8c=")</f>
        <v>#REF!</v>
      </c>
      <c r="GS144" t="e">
        <f>AND('Badge Ticket Formats'!#REF!,"AAAAAGnV/8g=")</f>
        <v>#REF!</v>
      </c>
      <c r="GT144" t="e">
        <f>AND('Badge Ticket Formats'!#REF!,"AAAAAGnV/8k=")</f>
        <v>#REF!</v>
      </c>
      <c r="GU144" t="e">
        <f>AND('Badge Ticket Formats'!#REF!,"AAAAAGnV/8o=")</f>
        <v>#REF!</v>
      </c>
      <c r="GV144" t="e">
        <f>AND('Badge Ticket Formats'!#REF!,"AAAAAGnV/8s=")</f>
        <v>#REF!</v>
      </c>
      <c r="GW144" t="e">
        <f>AND('Badge Ticket Formats'!#REF!,"AAAAAGnV/8w=")</f>
        <v>#REF!</v>
      </c>
      <c r="GX144" t="e">
        <f>AND('Badge Ticket Formats'!#REF!,"AAAAAGnV/80=")</f>
        <v>#REF!</v>
      </c>
      <c r="GY144" t="e">
        <f>AND('Badge Ticket Formats'!#REF!,"AAAAAGnV/84=")</f>
        <v>#REF!</v>
      </c>
      <c r="GZ144" t="e">
        <f>AND('Badge Ticket Formats'!#REF!,"AAAAAGnV/88=")</f>
        <v>#REF!</v>
      </c>
      <c r="HA144" t="e">
        <f>IF('Badge Ticket Formats'!#REF!,"AAAAAGnV/9A=",0)</f>
        <v>#REF!</v>
      </c>
      <c r="HB144" t="e">
        <f>AND('Badge Ticket Formats'!#REF!,"AAAAAGnV/9E=")</f>
        <v>#REF!</v>
      </c>
      <c r="HC144" t="e">
        <f>AND('Badge Ticket Formats'!#REF!,"AAAAAGnV/9I=")</f>
        <v>#REF!</v>
      </c>
      <c r="HD144" t="e">
        <f>AND('Badge Ticket Formats'!#REF!,"AAAAAGnV/9M=")</f>
        <v>#REF!</v>
      </c>
      <c r="HE144" t="e">
        <f>AND('Badge Ticket Formats'!#REF!,"AAAAAGnV/9Q=")</f>
        <v>#REF!</v>
      </c>
      <c r="HF144" t="e">
        <f>AND('Badge Ticket Formats'!#REF!,"AAAAAGnV/9U=")</f>
        <v>#REF!</v>
      </c>
      <c r="HG144" t="e">
        <f>AND('Badge Ticket Formats'!#REF!,"AAAAAGnV/9Y=")</f>
        <v>#REF!</v>
      </c>
      <c r="HH144" t="e">
        <f>AND('Badge Ticket Formats'!#REF!,"AAAAAGnV/9c=")</f>
        <v>#REF!</v>
      </c>
      <c r="HI144" t="e">
        <f>AND('Badge Ticket Formats'!#REF!,"AAAAAGnV/9g=")</f>
        <v>#REF!</v>
      </c>
      <c r="HJ144" t="e">
        <f>AND('Badge Ticket Formats'!#REF!,"AAAAAGnV/9k=")</f>
        <v>#REF!</v>
      </c>
      <c r="HK144" t="e">
        <f>AND('Badge Ticket Formats'!#REF!,"AAAAAGnV/9o=")</f>
        <v>#REF!</v>
      </c>
      <c r="HL144" t="e">
        <f>AND('Badge Ticket Formats'!#REF!,"AAAAAGnV/9s=")</f>
        <v>#REF!</v>
      </c>
      <c r="HM144" t="e">
        <f>AND('Badge Ticket Formats'!#REF!,"AAAAAGnV/9w=")</f>
        <v>#REF!</v>
      </c>
      <c r="HN144" t="e">
        <f>AND('Badge Ticket Formats'!#REF!,"AAAAAGnV/90=")</f>
        <v>#REF!</v>
      </c>
      <c r="HO144" t="e">
        <f>IF('Badge Ticket Formats'!#REF!,"AAAAAGnV/94=",0)</f>
        <v>#REF!</v>
      </c>
      <c r="HP144" t="e">
        <f>AND('Badge Ticket Formats'!#REF!,"AAAAAGnV/98=")</f>
        <v>#REF!</v>
      </c>
      <c r="HQ144" t="e">
        <f>AND('Badge Ticket Formats'!#REF!,"AAAAAGnV/+A=")</f>
        <v>#REF!</v>
      </c>
      <c r="HR144" t="e">
        <f>AND('Badge Ticket Formats'!#REF!,"AAAAAGnV/+E=")</f>
        <v>#REF!</v>
      </c>
      <c r="HS144" t="e">
        <f>AND('Badge Ticket Formats'!#REF!,"AAAAAGnV/+I=")</f>
        <v>#REF!</v>
      </c>
      <c r="HT144" t="e">
        <f>AND('Badge Ticket Formats'!#REF!,"AAAAAGnV/+M=")</f>
        <v>#REF!</v>
      </c>
      <c r="HU144" t="e">
        <f>AND('Badge Ticket Formats'!#REF!,"AAAAAGnV/+Q=")</f>
        <v>#REF!</v>
      </c>
      <c r="HV144" t="e">
        <f>AND('Badge Ticket Formats'!#REF!,"AAAAAGnV/+U=")</f>
        <v>#REF!</v>
      </c>
      <c r="HW144" t="e">
        <f>AND('Badge Ticket Formats'!#REF!,"AAAAAGnV/+Y=")</f>
        <v>#REF!</v>
      </c>
      <c r="HX144" t="e">
        <f>AND('Badge Ticket Formats'!#REF!,"AAAAAGnV/+c=")</f>
        <v>#REF!</v>
      </c>
      <c r="HY144" t="e">
        <f>AND('Badge Ticket Formats'!#REF!,"AAAAAGnV/+g=")</f>
        <v>#REF!</v>
      </c>
      <c r="HZ144" t="e">
        <f>AND('Badge Ticket Formats'!#REF!,"AAAAAGnV/+k=")</f>
        <v>#REF!</v>
      </c>
      <c r="IA144" t="e">
        <f>AND('Badge Ticket Formats'!#REF!,"AAAAAGnV/+o=")</f>
        <v>#REF!</v>
      </c>
      <c r="IB144" t="e">
        <f>AND('Badge Ticket Formats'!#REF!,"AAAAAGnV/+s=")</f>
        <v>#REF!</v>
      </c>
      <c r="IC144" t="e">
        <f>IF('Badge Ticket Formats'!#REF!,"AAAAAGnV/+w=",0)</f>
        <v>#REF!</v>
      </c>
      <c r="ID144" t="e">
        <f>AND('Badge Ticket Formats'!#REF!,"AAAAAGnV/+0=")</f>
        <v>#REF!</v>
      </c>
      <c r="IE144" t="e">
        <f>AND('Badge Ticket Formats'!#REF!,"AAAAAGnV/+4=")</f>
        <v>#REF!</v>
      </c>
      <c r="IF144" t="e">
        <f>AND('Badge Ticket Formats'!#REF!,"AAAAAGnV/+8=")</f>
        <v>#REF!</v>
      </c>
      <c r="IG144" t="e">
        <f>AND('Badge Ticket Formats'!#REF!,"AAAAAGnV//A=")</f>
        <v>#REF!</v>
      </c>
      <c r="IH144" t="e">
        <f>AND('Badge Ticket Formats'!#REF!,"AAAAAGnV//E=")</f>
        <v>#REF!</v>
      </c>
      <c r="II144" t="e">
        <f>AND('Badge Ticket Formats'!#REF!,"AAAAAGnV//I=")</f>
        <v>#REF!</v>
      </c>
      <c r="IJ144" t="e">
        <f>AND('Badge Ticket Formats'!#REF!,"AAAAAGnV//M=")</f>
        <v>#REF!</v>
      </c>
      <c r="IK144" t="e">
        <f>AND('Badge Ticket Formats'!#REF!,"AAAAAGnV//Q=")</f>
        <v>#REF!</v>
      </c>
      <c r="IL144" t="e">
        <f>AND('Badge Ticket Formats'!#REF!,"AAAAAGnV//U=")</f>
        <v>#REF!</v>
      </c>
      <c r="IM144" t="e">
        <f>AND('Badge Ticket Formats'!#REF!,"AAAAAGnV//Y=")</f>
        <v>#REF!</v>
      </c>
      <c r="IN144" t="e">
        <f>AND('Badge Ticket Formats'!#REF!,"AAAAAGnV//c=")</f>
        <v>#REF!</v>
      </c>
      <c r="IO144" t="e">
        <f>AND('Badge Ticket Formats'!#REF!,"AAAAAGnV//g=")</f>
        <v>#REF!</v>
      </c>
      <c r="IP144" t="e">
        <f>AND('Badge Ticket Formats'!#REF!,"AAAAAGnV//k=")</f>
        <v>#REF!</v>
      </c>
      <c r="IQ144" t="e">
        <f>IF('Badge Ticket Formats'!#REF!,"AAAAAGnV//o=",0)</f>
        <v>#REF!</v>
      </c>
      <c r="IR144" t="e">
        <f>AND('Badge Ticket Formats'!#REF!,"AAAAAGnV//s=")</f>
        <v>#REF!</v>
      </c>
      <c r="IS144" t="e">
        <f>AND('Badge Ticket Formats'!#REF!,"AAAAAGnV//w=")</f>
        <v>#REF!</v>
      </c>
      <c r="IT144" t="e">
        <f>AND('Badge Ticket Formats'!#REF!,"AAAAAGnV//0=")</f>
        <v>#REF!</v>
      </c>
      <c r="IU144" t="e">
        <f>AND('Badge Ticket Formats'!#REF!,"AAAAAGnV//4=")</f>
        <v>#REF!</v>
      </c>
      <c r="IV144" t="e">
        <f>AND('Badge Ticket Formats'!#REF!,"AAAAAGnV//8=")</f>
        <v>#REF!</v>
      </c>
    </row>
    <row r="145" spans="1:256" x14ac:dyDescent="0.2">
      <c r="A145" t="e">
        <f>AND('Badge Ticket Formats'!#REF!,"AAAAAFn59wA=")</f>
        <v>#REF!</v>
      </c>
      <c r="B145" t="e">
        <f>AND('Badge Ticket Formats'!#REF!,"AAAAAFn59wE=")</f>
        <v>#REF!</v>
      </c>
      <c r="C145" t="e">
        <f>AND('Badge Ticket Formats'!#REF!,"AAAAAFn59wI=")</f>
        <v>#REF!</v>
      </c>
      <c r="D145" t="e">
        <f>AND('Badge Ticket Formats'!#REF!,"AAAAAFn59wM=")</f>
        <v>#REF!</v>
      </c>
      <c r="E145" t="e">
        <f>AND('Badge Ticket Formats'!#REF!,"AAAAAFn59wQ=")</f>
        <v>#REF!</v>
      </c>
      <c r="F145" t="e">
        <f>AND('Badge Ticket Formats'!#REF!,"AAAAAFn59wU=")</f>
        <v>#REF!</v>
      </c>
      <c r="G145" t="e">
        <f>AND('Badge Ticket Formats'!#REF!,"AAAAAFn59wY=")</f>
        <v>#REF!</v>
      </c>
      <c r="H145" t="e">
        <f>AND('Badge Ticket Formats'!#REF!,"AAAAAFn59wc=")</f>
        <v>#REF!</v>
      </c>
      <c r="I145" t="e">
        <f>IF('Badge Ticket Formats'!#REF!,"AAAAAFn59wg=",0)</f>
        <v>#REF!</v>
      </c>
      <c r="J145" t="e">
        <f>AND('Badge Ticket Formats'!#REF!,"AAAAAFn59wk=")</f>
        <v>#REF!</v>
      </c>
      <c r="K145" t="e">
        <f>AND('Badge Ticket Formats'!#REF!,"AAAAAFn59wo=")</f>
        <v>#REF!</v>
      </c>
      <c r="L145" t="e">
        <f>AND('Badge Ticket Formats'!#REF!,"AAAAAFn59ws=")</f>
        <v>#REF!</v>
      </c>
      <c r="M145" t="e">
        <f>AND('Badge Ticket Formats'!#REF!,"AAAAAFn59ww=")</f>
        <v>#REF!</v>
      </c>
      <c r="N145" t="e">
        <f>AND('Badge Ticket Formats'!#REF!,"AAAAAFn59w0=")</f>
        <v>#REF!</v>
      </c>
      <c r="O145" t="e">
        <f>AND('Badge Ticket Formats'!#REF!,"AAAAAFn59w4=")</f>
        <v>#REF!</v>
      </c>
      <c r="P145" t="e">
        <f>AND('Badge Ticket Formats'!#REF!,"AAAAAFn59w8=")</f>
        <v>#REF!</v>
      </c>
      <c r="Q145" t="e">
        <f>AND('Badge Ticket Formats'!#REF!,"AAAAAFn59xA=")</f>
        <v>#REF!</v>
      </c>
      <c r="R145" t="e">
        <f>AND('Badge Ticket Formats'!#REF!,"AAAAAFn59xE=")</f>
        <v>#REF!</v>
      </c>
      <c r="S145" t="e">
        <f>AND('Badge Ticket Formats'!#REF!,"AAAAAFn59xI=")</f>
        <v>#REF!</v>
      </c>
      <c r="T145" t="e">
        <f>AND('Badge Ticket Formats'!#REF!,"AAAAAFn59xM=")</f>
        <v>#REF!</v>
      </c>
      <c r="U145" t="e">
        <f>AND('Badge Ticket Formats'!#REF!,"AAAAAFn59xQ=")</f>
        <v>#REF!</v>
      </c>
      <c r="V145" t="e">
        <f>AND('Badge Ticket Formats'!#REF!,"AAAAAFn59xU=")</f>
        <v>#REF!</v>
      </c>
      <c r="W145" t="e">
        <f>IF('Badge Ticket Formats'!#REF!,"AAAAAFn59xY=",0)</f>
        <v>#REF!</v>
      </c>
      <c r="X145" t="e">
        <f>AND('Badge Ticket Formats'!#REF!,"AAAAAFn59xc=")</f>
        <v>#REF!</v>
      </c>
      <c r="Y145" t="e">
        <f>AND('Badge Ticket Formats'!#REF!,"AAAAAFn59xg=")</f>
        <v>#REF!</v>
      </c>
      <c r="Z145" t="e">
        <f>AND('Badge Ticket Formats'!#REF!,"AAAAAFn59xk=")</f>
        <v>#REF!</v>
      </c>
      <c r="AA145" t="e">
        <f>AND('Badge Ticket Formats'!#REF!,"AAAAAFn59xo=")</f>
        <v>#REF!</v>
      </c>
      <c r="AB145" t="e">
        <f>AND('Badge Ticket Formats'!#REF!,"AAAAAFn59xs=")</f>
        <v>#REF!</v>
      </c>
      <c r="AC145" t="e">
        <f>AND('Badge Ticket Formats'!#REF!,"AAAAAFn59xw=")</f>
        <v>#REF!</v>
      </c>
      <c r="AD145" t="e">
        <f>AND('Badge Ticket Formats'!#REF!,"AAAAAFn59x0=")</f>
        <v>#REF!</v>
      </c>
      <c r="AE145" t="e">
        <f>AND('Badge Ticket Formats'!#REF!,"AAAAAFn59x4=")</f>
        <v>#REF!</v>
      </c>
      <c r="AF145" t="e">
        <f>AND('Badge Ticket Formats'!#REF!,"AAAAAFn59x8=")</f>
        <v>#REF!</v>
      </c>
      <c r="AG145" t="e">
        <f>AND('Badge Ticket Formats'!#REF!,"AAAAAFn59yA=")</f>
        <v>#REF!</v>
      </c>
      <c r="AH145" t="e">
        <f>AND('Badge Ticket Formats'!#REF!,"AAAAAFn59yE=")</f>
        <v>#REF!</v>
      </c>
      <c r="AI145" t="e">
        <f>AND('Badge Ticket Formats'!#REF!,"AAAAAFn59yI=")</f>
        <v>#REF!</v>
      </c>
      <c r="AJ145" t="e">
        <f>AND('Badge Ticket Formats'!#REF!,"AAAAAFn59yM=")</f>
        <v>#REF!</v>
      </c>
      <c r="AK145" t="e">
        <f>IF('Badge Ticket Formats'!#REF!,"AAAAAFn59yQ=",0)</f>
        <v>#REF!</v>
      </c>
      <c r="AL145" t="e">
        <f>AND('Badge Ticket Formats'!#REF!,"AAAAAFn59yU=")</f>
        <v>#REF!</v>
      </c>
      <c r="AM145" t="e">
        <f>AND('Badge Ticket Formats'!#REF!,"AAAAAFn59yY=")</f>
        <v>#REF!</v>
      </c>
      <c r="AN145" t="e">
        <f>AND('Badge Ticket Formats'!#REF!,"AAAAAFn59yc=")</f>
        <v>#REF!</v>
      </c>
      <c r="AO145" t="e">
        <f>AND('Badge Ticket Formats'!#REF!,"AAAAAFn59yg=")</f>
        <v>#REF!</v>
      </c>
      <c r="AP145" t="e">
        <f>AND('Badge Ticket Formats'!#REF!,"AAAAAFn59yk=")</f>
        <v>#REF!</v>
      </c>
      <c r="AQ145" t="e">
        <f>AND('Badge Ticket Formats'!#REF!,"AAAAAFn59yo=")</f>
        <v>#REF!</v>
      </c>
      <c r="AR145" t="e">
        <f>AND('Badge Ticket Formats'!#REF!,"AAAAAFn59ys=")</f>
        <v>#REF!</v>
      </c>
      <c r="AS145" t="e">
        <f>AND('Badge Ticket Formats'!#REF!,"AAAAAFn59yw=")</f>
        <v>#REF!</v>
      </c>
      <c r="AT145" t="e">
        <f>AND('Badge Ticket Formats'!#REF!,"AAAAAFn59y0=")</f>
        <v>#REF!</v>
      </c>
      <c r="AU145" t="e">
        <f>AND('Badge Ticket Formats'!#REF!,"AAAAAFn59y4=")</f>
        <v>#REF!</v>
      </c>
      <c r="AV145" t="e">
        <f>AND('Badge Ticket Formats'!#REF!,"AAAAAFn59y8=")</f>
        <v>#REF!</v>
      </c>
      <c r="AW145" t="e">
        <f>AND('Badge Ticket Formats'!#REF!,"AAAAAFn59zA=")</f>
        <v>#REF!</v>
      </c>
      <c r="AX145" t="e">
        <f>AND('Badge Ticket Formats'!#REF!,"AAAAAFn59zE=")</f>
        <v>#REF!</v>
      </c>
      <c r="AY145" t="e">
        <f>IF('Badge Ticket Formats'!#REF!,"AAAAAFn59zI=",0)</f>
        <v>#REF!</v>
      </c>
      <c r="AZ145" t="e">
        <f>AND('Badge Ticket Formats'!#REF!,"AAAAAFn59zM=")</f>
        <v>#REF!</v>
      </c>
      <c r="BA145" t="e">
        <f>AND('Badge Ticket Formats'!#REF!,"AAAAAFn59zQ=")</f>
        <v>#REF!</v>
      </c>
      <c r="BB145" t="e">
        <f>AND('Badge Ticket Formats'!#REF!,"AAAAAFn59zU=")</f>
        <v>#REF!</v>
      </c>
      <c r="BC145" t="e">
        <f>AND('Badge Ticket Formats'!#REF!,"AAAAAFn59zY=")</f>
        <v>#REF!</v>
      </c>
      <c r="BD145" t="e">
        <f>AND('Badge Ticket Formats'!#REF!,"AAAAAFn59zc=")</f>
        <v>#REF!</v>
      </c>
      <c r="BE145" t="e">
        <f>AND('Badge Ticket Formats'!#REF!,"AAAAAFn59zg=")</f>
        <v>#REF!</v>
      </c>
      <c r="BF145" t="e">
        <f>AND('Badge Ticket Formats'!#REF!,"AAAAAFn59zk=")</f>
        <v>#REF!</v>
      </c>
      <c r="BG145" t="e">
        <f>AND('Badge Ticket Formats'!#REF!,"AAAAAFn59zo=")</f>
        <v>#REF!</v>
      </c>
      <c r="BH145" t="e">
        <f>AND('Badge Ticket Formats'!#REF!,"AAAAAFn59zs=")</f>
        <v>#REF!</v>
      </c>
      <c r="BI145" t="e">
        <f>AND('Badge Ticket Formats'!#REF!,"AAAAAFn59zw=")</f>
        <v>#REF!</v>
      </c>
      <c r="BJ145" t="e">
        <f>AND('Badge Ticket Formats'!#REF!,"AAAAAFn59z0=")</f>
        <v>#REF!</v>
      </c>
      <c r="BK145" t="e">
        <f>AND('Badge Ticket Formats'!#REF!,"AAAAAFn59z4=")</f>
        <v>#REF!</v>
      </c>
      <c r="BL145" t="e">
        <f>AND('Badge Ticket Formats'!#REF!,"AAAAAFn59z8=")</f>
        <v>#REF!</v>
      </c>
      <c r="BM145" t="e">
        <f>IF('Badge Ticket Formats'!#REF!,"AAAAAFn590A=",0)</f>
        <v>#REF!</v>
      </c>
      <c r="BN145" t="e">
        <f>AND('Badge Ticket Formats'!#REF!,"AAAAAFn590E=")</f>
        <v>#REF!</v>
      </c>
      <c r="BO145" t="e">
        <f>AND('Badge Ticket Formats'!#REF!,"AAAAAFn590I=")</f>
        <v>#REF!</v>
      </c>
      <c r="BP145" t="e">
        <f>AND('Badge Ticket Formats'!#REF!,"AAAAAFn590M=")</f>
        <v>#REF!</v>
      </c>
      <c r="BQ145" t="e">
        <f>AND('Badge Ticket Formats'!#REF!,"AAAAAFn590Q=")</f>
        <v>#REF!</v>
      </c>
      <c r="BR145" t="e">
        <f>AND('Badge Ticket Formats'!#REF!,"AAAAAFn590U=")</f>
        <v>#REF!</v>
      </c>
      <c r="BS145" t="e">
        <f>AND('Badge Ticket Formats'!#REF!,"AAAAAFn590Y=")</f>
        <v>#REF!</v>
      </c>
      <c r="BT145" t="e">
        <f>AND('Badge Ticket Formats'!#REF!,"AAAAAFn590c=")</f>
        <v>#REF!</v>
      </c>
      <c r="BU145" t="e">
        <f>AND('Badge Ticket Formats'!#REF!,"AAAAAFn590g=")</f>
        <v>#REF!</v>
      </c>
      <c r="BV145" t="e">
        <f>AND('Badge Ticket Formats'!#REF!,"AAAAAFn590k=")</f>
        <v>#REF!</v>
      </c>
      <c r="BW145" t="e">
        <f>AND('Badge Ticket Formats'!#REF!,"AAAAAFn590o=")</f>
        <v>#REF!</v>
      </c>
      <c r="BX145" t="e">
        <f>AND('Badge Ticket Formats'!#REF!,"AAAAAFn590s=")</f>
        <v>#REF!</v>
      </c>
      <c r="BY145" t="e">
        <f>AND('Badge Ticket Formats'!#REF!,"AAAAAFn590w=")</f>
        <v>#REF!</v>
      </c>
      <c r="BZ145" t="e">
        <f>AND('Badge Ticket Formats'!#REF!,"AAAAAFn5900=")</f>
        <v>#REF!</v>
      </c>
      <c r="CA145" t="e">
        <f>IF('Badge Ticket Formats'!#REF!,"AAAAAFn5904=",0)</f>
        <v>#REF!</v>
      </c>
      <c r="CB145" t="e">
        <f>AND('Badge Ticket Formats'!#REF!,"AAAAAFn5908=")</f>
        <v>#REF!</v>
      </c>
      <c r="CC145" t="e">
        <f>AND('Badge Ticket Formats'!#REF!,"AAAAAFn591A=")</f>
        <v>#REF!</v>
      </c>
      <c r="CD145" t="e">
        <f>AND('Badge Ticket Formats'!#REF!,"AAAAAFn591E=")</f>
        <v>#REF!</v>
      </c>
      <c r="CE145" t="e">
        <f>AND('Badge Ticket Formats'!#REF!,"AAAAAFn591I=")</f>
        <v>#REF!</v>
      </c>
      <c r="CF145" t="e">
        <f>AND('Badge Ticket Formats'!#REF!,"AAAAAFn591M=")</f>
        <v>#REF!</v>
      </c>
      <c r="CG145" t="e">
        <f>AND('Badge Ticket Formats'!#REF!,"AAAAAFn591Q=")</f>
        <v>#REF!</v>
      </c>
      <c r="CH145" t="e">
        <f>AND('Badge Ticket Formats'!#REF!,"AAAAAFn591U=")</f>
        <v>#REF!</v>
      </c>
      <c r="CI145" t="e">
        <f>AND('Badge Ticket Formats'!#REF!,"AAAAAFn591Y=")</f>
        <v>#REF!</v>
      </c>
      <c r="CJ145" t="e">
        <f>AND('Badge Ticket Formats'!#REF!,"AAAAAFn591c=")</f>
        <v>#REF!</v>
      </c>
      <c r="CK145" t="e">
        <f>AND('Badge Ticket Formats'!#REF!,"AAAAAFn591g=")</f>
        <v>#REF!</v>
      </c>
      <c r="CL145" t="e">
        <f>AND('Badge Ticket Formats'!#REF!,"AAAAAFn591k=")</f>
        <v>#REF!</v>
      </c>
      <c r="CM145" t="e">
        <f>AND('Badge Ticket Formats'!#REF!,"AAAAAFn591o=")</f>
        <v>#REF!</v>
      </c>
      <c r="CN145" t="e">
        <f>AND('Badge Ticket Formats'!#REF!,"AAAAAFn591s=")</f>
        <v>#REF!</v>
      </c>
      <c r="CO145" t="e">
        <f>IF('Badge Ticket Formats'!#REF!,"AAAAAFn591w=",0)</f>
        <v>#REF!</v>
      </c>
      <c r="CP145" t="e">
        <f>AND('Badge Ticket Formats'!#REF!,"AAAAAFn5910=")</f>
        <v>#REF!</v>
      </c>
      <c r="CQ145" t="e">
        <f>AND('Badge Ticket Formats'!#REF!,"AAAAAFn5914=")</f>
        <v>#REF!</v>
      </c>
      <c r="CR145" t="e">
        <f>AND('Badge Ticket Formats'!#REF!,"AAAAAFn5918=")</f>
        <v>#REF!</v>
      </c>
      <c r="CS145" t="e">
        <f>AND('Badge Ticket Formats'!#REF!,"AAAAAFn592A=")</f>
        <v>#REF!</v>
      </c>
      <c r="CT145" t="e">
        <f>AND('Badge Ticket Formats'!#REF!,"AAAAAFn592E=")</f>
        <v>#REF!</v>
      </c>
      <c r="CU145" t="e">
        <f>AND('Badge Ticket Formats'!#REF!,"AAAAAFn592I=")</f>
        <v>#REF!</v>
      </c>
      <c r="CV145" t="e">
        <f>AND('Badge Ticket Formats'!#REF!,"AAAAAFn592M=")</f>
        <v>#REF!</v>
      </c>
      <c r="CW145" t="e">
        <f>AND('Badge Ticket Formats'!#REF!,"AAAAAFn592Q=")</f>
        <v>#REF!</v>
      </c>
      <c r="CX145" t="e">
        <f>AND('Badge Ticket Formats'!#REF!,"AAAAAFn592U=")</f>
        <v>#REF!</v>
      </c>
      <c r="CY145" t="e">
        <f>AND('Badge Ticket Formats'!#REF!,"AAAAAFn592Y=")</f>
        <v>#REF!</v>
      </c>
      <c r="CZ145" t="e">
        <f>AND('Badge Ticket Formats'!#REF!,"AAAAAFn592c=")</f>
        <v>#REF!</v>
      </c>
      <c r="DA145" t="e">
        <f>AND('Badge Ticket Formats'!#REF!,"AAAAAFn592g=")</f>
        <v>#REF!</v>
      </c>
      <c r="DB145" t="e">
        <f>AND('Badge Ticket Formats'!#REF!,"AAAAAFn592k=")</f>
        <v>#REF!</v>
      </c>
      <c r="DC145" t="e">
        <f>IF('Badge Ticket Formats'!#REF!,"AAAAAFn592o=",0)</f>
        <v>#REF!</v>
      </c>
      <c r="DD145" t="e">
        <f>AND('Badge Ticket Formats'!#REF!,"AAAAAFn592s=")</f>
        <v>#REF!</v>
      </c>
      <c r="DE145" t="e">
        <f>AND('Badge Ticket Formats'!#REF!,"AAAAAFn592w=")</f>
        <v>#REF!</v>
      </c>
      <c r="DF145" t="e">
        <f>AND('Badge Ticket Formats'!#REF!,"AAAAAFn5920=")</f>
        <v>#REF!</v>
      </c>
      <c r="DG145" t="e">
        <f>AND('Badge Ticket Formats'!#REF!,"AAAAAFn5924=")</f>
        <v>#REF!</v>
      </c>
      <c r="DH145" t="e">
        <f>AND('Badge Ticket Formats'!#REF!,"AAAAAFn5928=")</f>
        <v>#REF!</v>
      </c>
      <c r="DI145" t="e">
        <f>AND('Badge Ticket Formats'!#REF!,"AAAAAFn593A=")</f>
        <v>#REF!</v>
      </c>
      <c r="DJ145" t="e">
        <f>AND('Badge Ticket Formats'!#REF!,"AAAAAFn593E=")</f>
        <v>#REF!</v>
      </c>
      <c r="DK145" t="e">
        <f>AND('Badge Ticket Formats'!#REF!,"AAAAAFn593I=")</f>
        <v>#REF!</v>
      </c>
      <c r="DL145" t="e">
        <f>AND('Badge Ticket Formats'!#REF!,"AAAAAFn593M=")</f>
        <v>#REF!</v>
      </c>
      <c r="DM145" t="e">
        <f>AND('Badge Ticket Formats'!#REF!,"AAAAAFn593Q=")</f>
        <v>#REF!</v>
      </c>
      <c r="DN145" t="e">
        <f>AND('Badge Ticket Formats'!#REF!,"AAAAAFn593U=")</f>
        <v>#REF!</v>
      </c>
      <c r="DO145" t="e">
        <f>AND('Badge Ticket Formats'!#REF!,"AAAAAFn593Y=")</f>
        <v>#REF!</v>
      </c>
      <c r="DP145" t="e">
        <f>AND('Badge Ticket Formats'!#REF!,"AAAAAFn593c=")</f>
        <v>#REF!</v>
      </c>
      <c r="DQ145" t="e">
        <f>IF('Badge Ticket Formats'!#REF!,"AAAAAFn593g=",0)</f>
        <v>#REF!</v>
      </c>
      <c r="DR145" t="e">
        <f>AND('Badge Ticket Formats'!#REF!,"AAAAAFn593k=")</f>
        <v>#REF!</v>
      </c>
      <c r="DS145" t="e">
        <f>AND('Badge Ticket Formats'!#REF!,"AAAAAFn593o=")</f>
        <v>#REF!</v>
      </c>
      <c r="DT145" t="e">
        <f>AND('Badge Ticket Formats'!#REF!,"AAAAAFn593s=")</f>
        <v>#REF!</v>
      </c>
      <c r="DU145" t="e">
        <f>AND('Badge Ticket Formats'!#REF!,"AAAAAFn593w=")</f>
        <v>#REF!</v>
      </c>
      <c r="DV145" t="e">
        <f>AND('Badge Ticket Formats'!#REF!,"AAAAAFn5930=")</f>
        <v>#REF!</v>
      </c>
      <c r="DW145" t="e">
        <f>AND('Badge Ticket Formats'!#REF!,"AAAAAFn5934=")</f>
        <v>#REF!</v>
      </c>
      <c r="DX145" t="e">
        <f>AND('Badge Ticket Formats'!#REF!,"AAAAAFn5938=")</f>
        <v>#REF!</v>
      </c>
      <c r="DY145" t="e">
        <f>AND('Badge Ticket Formats'!#REF!,"AAAAAFn594A=")</f>
        <v>#REF!</v>
      </c>
      <c r="DZ145" t="e">
        <f>AND('Badge Ticket Formats'!#REF!,"AAAAAFn594E=")</f>
        <v>#REF!</v>
      </c>
      <c r="EA145" t="e">
        <f>AND('Badge Ticket Formats'!#REF!,"AAAAAFn594I=")</f>
        <v>#REF!</v>
      </c>
      <c r="EB145" t="e">
        <f>AND('Badge Ticket Formats'!#REF!,"AAAAAFn594M=")</f>
        <v>#REF!</v>
      </c>
      <c r="EC145" t="e">
        <f>AND('Badge Ticket Formats'!#REF!,"AAAAAFn594Q=")</f>
        <v>#REF!</v>
      </c>
      <c r="ED145" t="e">
        <f>AND('Badge Ticket Formats'!#REF!,"AAAAAFn594U=")</f>
        <v>#REF!</v>
      </c>
      <c r="EE145" t="e">
        <f>IF('Badge Ticket Formats'!#REF!,"AAAAAFn594Y=",0)</f>
        <v>#REF!</v>
      </c>
      <c r="EF145" t="e">
        <f>AND('Badge Ticket Formats'!#REF!,"AAAAAFn594c=")</f>
        <v>#REF!</v>
      </c>
      <c r="EG145" t="e">
        <f>AND('Badge Ticket Formats'!#REF!,"AAAAAFn594g=")</f>
        <v>#REF!</v>
      </c>
      <c r="EH145" t="e">
        <f>AND('Badge Ticket Formats'!#REF!,"AAAAAFn594k=")</f>
        <v>#REF!</v>
      </c>
      <c r="EI145" t="e">
        <f>AND('Badge Ticket Formats'!#REF!,"AAAAAFn594o=")</f>
        <v>#REF!</v>
      </c>
      <c r="EJ145" t="e">
        <f>AND('Badge Ticket Formats'!#REF!,"AAAAAFn594s=")</f>
        <v>#REF!</v>
      </c>
      <c r="EK145" t="e">
        <f>AND('Badge Ticket Formats'!#REF!,"AAAAAFn594w=")</f>
        <v>#REF!</v>
      </c>
      <c r="EL145" t="e">
        <f>AND('Badge Ticket Formats'!#REF!,"AAAAAFn5940=")</f>
        <v>#REF!</v>
      </c>
      <c r="EM145" t="e">
        <f>AND('Badge Ticket Formats'!#REF!,"AAAAAFn5944=")</f>
        <v>#REF!</v>
      </c>
      <c r="EN145" t="e">
        <f>AND('Badge Ticket Formats'!#REF!,"AAAAAFn5948=")</f>
        <v>#REF!</v>
      </c>
      <c r="EO145" t="e">
        <f>AND('Badge Ticket Formats'!#REF!,"AAAAAFn595A=")</f>
        <v>#REF!</v>
      </c>
      <c r="EP145" t="e">
        <f>AND('Badge Ticket Formats'!#REF!,"AAAAAFn595E=")</f>
        <v>#REF!</v>
      </c>
      <c r="EQ145" t="e">
        <f>AND('Badge Ticket Formats'!#REF!,"AAAAAFn595I=")</f>
        <v>#REF!</v>
      </c>
      <c r="ER145" t="e">
        <f>AND('Badge Ticket Formats'!#REF!,"AAAAAFn595M=")</f>
        <v>#REF!</v>
      </c>
      <c r="ES145" t="e">
        <f>IF('Badge Ticket Formats'!#REF!,"AAAAAFn595Q=",0)</f>
        <v>#REF!</v>
      </c>
      <c r="ET145" t="e">
        <f>AND('Badge Ticket Formats'!#REF!,"AAAAAFn595U=")</f>
        <v>#REF!</v>
      </c>
      <c r="EU145" t="e">
        <f>AND('Badge Ticket Formats'!#REF!,"AAAAAFn595Y=")</f>
        <v>#REF!</v>
      </c>
      <c r="EV145" t="e">
        <f>AND('Badge Ticket Formats'!#REF!,"AAAAAFn595c=")</f>
        <v>#REF!</v>
      </c>
      <c r="EW145" t="e">
        <f>AND('Badge Ticket Formats'!#REF!,"AAAAAFn595g=")</f>
        <v>#REF!</v>
      </c>
      <c r="EX145" t="e">
        <f>AND('Badge Ticket Formats'!#REF!,"AAAAAFn595k=")</f>
        <v>#REF!</v>
      </c>
      <c r="EY145" t="e">
        <f>AND('Badge Ticket Formats'!#REF!,"AAAAAFn595o=")</f>
        <v>#REF!</v>
      </c>
      <c r="EZ145" t="e">
        <f>AND('Badge Ticket Formats'!#REF!,"AAAAAFn595s=")</f>
        <v>#REF!</v>
      </c>
      <c r="FA145" t="e">
        <f>AND('Badge Ticket Formats'!#REF!,"AAAAAFn595w=")</f>
        <v>#REF!</v>
      </c>
      <c r="FB145" t="e">
        <f>AND('Badge Ticket Formats'!#REF!,"AAAAAFn5950=")</f>
        <v>#REF!</v>
      </c>
      <c r="FC145" t="e">
        <f>AND('Badge Ticket Formats'!#REF!,"AAAAAFn5954=")</f>
        <v>#REF!</v>
      </c>
      <c r="FD145" t="e">
        <f>AND('Badge Ticket Formats'!#REF!,"AAAAAFn5958=")</f>
        <v>#REF!</v>
      </c>
      <c r="FE145" t="e">
        <f>AND('Badge Ticket Formats'!#REF!,"AAAAAFn596A=")</f>
        <v>#REF!</v>
      </c>
      <c r="FF145" t="e">
        <f>AND('Badge Ticket Formats'!#REF!,"AAAAAFn596E=")</f>
        <v>#REF!</v>
      </c>
      <c r="FG145" t="e">
        <f>IF('Badge Ticket Formats'!#REF!,"AAAAAFn596I=",0)</f>
        <v>#REF!</v>
      </c>
      <c r="FH145" t="e">
        <f>AND('Badge Ticket Formats'!#REF!,"AAAAAFn596M=")</f>
        <v>#REF!</v>
      </c>
      <c r="FI145" t="e">
        <f>AND('Badge Ticket Formats'!#REF!,"AAAAAFn596Q=")</f>
        <v>#REF!</v>
      </c>
      <c r="FJ145" t="e">
        <f>AND('Badge Ticket Formats'!#REF!,"AAAAAFn596U=")</f>
        <v>#REF!</v>
      </c>
      <c r="FK145" t="e">
        <f>AND('Badge Ticket Formats'!#REF!,"AAAAAFn596Y=")</f>
        <v>#REF!</v>
      </c>
      <c r="FL145" t="e">
        <f>AND('Badge Ticket Formats'!#REF!,"AAAAAFn596c=")</f>
        <v>#REF!</v>
      </c>
      <c r="FM145" t="e">
        <f>AND('Badge Ticket Formats'!#REF!,"AAAAAFn596g=")</f>
        <v>#REF!</v>
      </c>
      <c r="FN145" t="e">
        <f>AND('Badge Ticket Formats'!#REF!,"AAAAAFn596k=")</f>
        <v>#REF!</v>
      </c>
      <c r="FO145" t="e">
        <f>AND('Badge Ticket Formats'!#REF!,"AAAAAFn596o=")</f>
        <v>#REF!</v>
      </c>
      <c r="FP145" t="e">
        <f>AND('Badge Ticket Formats'!#REF!,"AAAAAFn596s=")</f>
        <v>#REF!</v>
      </c>
      <c r="FQ145" t="e">
        <f>AND('Badge Ticket Formats'!#REF!,"AAAAAFn596w=")</f>
        <v>#REF!</v>
      </c>
      <c r="FR145" t="e">
        <f>AND('Badge Ticket Formats'!#REF!,"AAAAAFn5960=")</f>
        <v>#REF!</v>
      </c>
      <c r="FS145" t="e">
        <f>AND('Badge Ticket Formats'!#REF!,"AAAAAFn5964=")</f>
        <v>#REF!</v>
      </c>
      <c r="FT145" t="e">
        <f>AND('Badge Ticket Formats'!#REF!,"AAAAAFn5968=")</f>
        <v>#REF!</v>
      </c>
      <c r="FU145" t="e">
        <f>IF('Badge Ticket Formats'!#REF!,"AAAAAFn597A=",0)</f>
        <v>#REF!</v>
      </c>
      <c r="FV145" t="e">
        <f>AND('Badge Ticket Formats'!#REF!,"AAAAAFn597E=")</f>
        <v>#REF!</v>
      </c>
      <c r="FW145" t="e">
        <f>AND('Badge Ticket Formats'!#REF!,"AAAAAFn597I=")</f>
        <v>#REF!</v>
      </c>
      <c r="FX145" t="e">
        <f>AND('Badge Ticket Formats'!#REF!,"AAAAAFn597M=")</f>
        <v>#REF!</v>
      </c>
      <c r="FY145" t="e">
        <f>AND('Badge Ticket Formats'!#REF!,"AAAAAFn597Q=")</f>
        <v>#REF!</v>
      </c>
      <c r="FZ145" t="e">
        <f>AND('Badge Ticket Formats'!#REF!,"AAAAAFn597U=")</f>
        <v>#REF!</v>
      </c>
      <c r="GA145" t="e">
        <f>AND('Badge Ticket Formats'!#REF!,"AAAAAFn597Y=")</f>
        <v>#REF!</v>
      </c>
      <c r="GB145" t="e">
        <f>AND('Badge Ticket Formats'!#REF!,"AAAAAFn597c=")</f>
        <v>#REF!</v>
      </c>
      <c r="GC145" t="e">
        <f>AND('Badge Ticket Formats'!#REF!,"AAAAAFn597g=")</f>
        <v>#REF!</v>
      </c>
      <c r="GD145" t="e">
        <f>AND('Badge Ticket Formats'!#REF!,"AAAAAFn597k=")</f>
        <v>#REF!</v>
      </c>
      <c r="GE145" t="e">
        <f>AND('Badge Ticket Formats'!#REF!,"AAAAAFn597o=")</f>
        <v>#REF!</v>
      </c>
      <c r="GF145" t="e">
        <f>AND('Badge Ticket Formats'!#REF!,"AAAAAFn597s=")</f>
        <v>#REF!</v>
      </c>
      <c r="GG145" t="e">
        <f>AND('Badge Ticket Formats'!#REF!,"AAAAAFn597w=")</f>
        <v>#REF!</v>
      </c>
      <c r="GH145" t="e">
        <f>AND('Badge Ticket Formats'!#REF!,"AAAAAFn5970=")</f>
        <v>#REF!</v>
      </c>
      <c r="GI145" t="e">
        <f>IF('Badge Ticket Formats'!#REF!,"AAAAAFn5974=",0)</f>
        <v>#REF!</v>
      </c>
      <c r="GJ145" t="e">
        <f>AND('Badge Ticket Formats'!#REF!,"AAAAAFn5978=")</f>
        <v>#REF!</v>
      </c>
      <c r="GK145" t="e">
        <f>AND('Badge Ticket Formats'!#REF!,"AAAAAFn598A=")</f>
        <v>#REF!</v>
      </c>
      <c r="GL145" t="e">
        <f>AND('Badge Ticket Formats'!#REF!,"AAAAAFn598E=")</f>
        <v>#REF!</v>
      </c>
      <c r="GM145" t="e">
        <f>AND('Badge Ticket Formats'!#REF!,"AAAAAFn598I=")</f>
        <v>#REF!</v>
      </c>
      <c r="GN145" t="e">
        <f>AND('Badge Ticket Formats'!#REF!,"AAAAAFn598M=")</f>
        <v>#REF!</v>
      </c>
      <c r="GO145" t="e">
        <f>AND('Badge Ticket Formats'!#REF!,"AAAAAFn598Q=")</f>
        <v>#REF!</v>
      </c>
      <c r="GP145" t="e">
        <f>AND('Badge Ticket Formats'!#REF!,"AAAAAFn598U=")</f>
        <v>#REF!</v>
      </c>
      <c r="GQ145" t="e">
        <f>AND('Badge Ticket Formats'!#REF!,"AAAAAFn598Y=")</f>
        <v>#REF!</v>
      </c>
      <c r="GR145" t="e">
        <f>AND('Badge Ticket Formats'!#REF!,"AAAAAFn598c=")</f>
        <v>#REF!</v>
      </c>
      <c r="GS145" t="e">
        <f>AND('Badge Ticket Formats'!#REF!,"AAAAAFn598g=")</f>
        <v>#REF!</v>
      </c>
      <c r="GT145" t="e">
        <f>AND('Badge Ticket Formats'!#REF!,"AAAAAFn598k=")</f>
        <v>#REF!</v>
      </c>
      <c r="GU145" t="e">
        <f>AND('Badge Ticket Formats'!#REF!,"AAAAAFn598o=")</f>
        <v>#REF!</v>
      </c>
      <c r="GV145" t="e">
        <f>AND('Badge Ticket Formats'!#REF!,"AAAAAFn598s=")</f>
        <v>#REF!</v>
      </c>
      <c r="GW145" t="e">
        <f>IF('Badge Ticket Formats'!#REF!,"AAAAAFn598w=",0)</f>
        <v>#REF!</v>
      </c>
      <c r="GX145" t="e">
        <f>AND('Badge Ticket Formats'!#REF!,"AAAAAFn5980=")</f>
        <v>#REF!</v>
      </c>
      <c r="GY145" t="e">
        <f>AND('Badge Ticket Formats'!#REF!,"AAAAAFn5984=")</f>
        <v>#REF!</v>
      </c>
      <c r="GZ145" t="e">
        <f>AND('Badge Ticket Formats'!#REF!,"AAAAAFn5988=")</f>
        <v>#REF!</v>
      </c>
      <c r="HA145" t="e">
        <f>AND('Badge Ticket Formats'!#REF!,"AAAAAFn599A=")</f>
        <v>#REF!</v>
      </c>
      <c r="HB145" t="e">
        <f>AND('Badge Ticket Formats'!#REF!,"AAAAAFn599E=")</f>
        <v>#REF!</v>
      </c>
      <c r="HC145" t="e">
        <f>AND('Badge Ticket Formats'!#REF!,"AAAAAFn599I=")</f>
        <v>#REF!</v>
      </c>
      <c r="HD145" t="e">
        <f>AND('Badge Ticket Formats'!#REF!,"AAAAAFn599M=")</f>
        <v>#REF!</v>
      </c>
      <c r="HE145" t="e">
        <f>AND('Badge Ticket Formats'!#REF!,"AAAAAFn599Q=")</f>
        <v>#REF!</v>
      </c>
      <c r="HF145" t="e">
        <f>AND('Badge Ticket Formats'!#REF!,"AAAAAFn599U=")</f>
        <v>#REF!</v>
      </c>
      <c r="HG145" t="e">
        <f>AND('Badge Ticket Formats'!#REF!,"AAAAAFn599Y=")</f>
        <v>#REF!</v>
      </c>
      <c r="HH145" t="e">
        <f>AND('Badge Ticket Formats'!#REF!,"AAAAAFn599c=")</f>
        <v>#REF!</v>
      </c>
      <c r="HI145" t="e">
        <f>AND('Badge Ticket Formats'!#REF!,"AAAAAFn599g=")</f>
        <v>#REF!</v>
      </c>
      <c r="HJ145" t="e">
        <f>AND('Badge Ticket Formats'!#REF!,"AAAAAFn599k=")</f>
        <v>#REF!</v>
      </c>
      <c r="HK145" t="e">
        <f>IF('Badge Ticket Formats'!#REF!,"AAAAAFn599o=",0)</f>
        <v>#REF!</v>
      </c>
      <c r="HL145" t="e">
        <f>AND('Badge Ticket Formats'!#REF!,"AAAAAFn599s=")</f>
        <v>#REF!</v>
      </c>
      <c r="HM145" t="e">
        <f>AND('Badge Ticket Formats'!#REF!,"AAAAAFn599w=")</f>
        <v>#REF!</v>
      </c>
      <c r="HN145" t="e">
        <f>AND('Badge Ticket Formats'!#REF!,"AAAAAFn5990=")</f>
        <v>#REF!</v>
      </c>
      <c r="HO145" t="e">
        <f>AND('Badge Ticket Formats'!#REF!,"AAAAAFn5994=")</f>
        <v>#REF!</v>
      </c>
      <c r="HP145" t="e">
        <f>AND('Badge Ticket Formats'!#REF!,"AAAAAFn5998=")</f>
        <v>#REF!</v>
      </c>
      <c r="HQ145" t="e">
        <f>AND('Badge Ticket Formats'!#REF!,"AAAAAFn59+A=")</f>
        <v>#REF!</v>
      </c>
      <c r="HR145" t="e">
        <f>AND('Badge Ticket Formats'!#REF!,"AAAAAFn59+E=")</f>
        <v>#REF!</v>
      </c>
      <c r="HS145" t="e">
        <f>AND('Badge Ticket Formats'!#REF!,"AAAAAFn59+I=")</f>
        <v>#REF!</v>
      </c>
      <c r="HT145" t="e">
        <f>AND('Badge Ticket Formats'!#REF!,"AAAAAFn59+M=")</f>
        <v>#REF!</v>
      </c>
      <c r="HU145" t="e">
        <f>AND('Badge Ticket Formats'!#REF!,"AAAAAFn59+Q=")</f>
        <v>#REF!</v>
      </c>
      <c r="HV145" t="e">
        <f>AND('Badge Ticket Formats'!#REF!,"AAAAAFn59+U=")</f>
        <v>#REF!</v>
      </c>
      <c r="HW145" t="e">
        <f>AND('Badge Ticket Formats'!#REF!,"AAAAAFn59+Y=")</f>
        <v>#REF!</v>
      </c>
      <c r="HX145" t="e">
        <f>AND('Badge Ticket Formats'!#REF!,"AAAAAFn59+c=")</f>
        <v>#REF!</v>
      </c>
      <c r="HY145" t="e">
        <f>IF('Badge Ticket Formats'!#REF!,"AAAAAFn59+g=",0)</f>
        <v>#REF!</v>
      </c>
      <c r="HZ145" t="e">
        <f>AND('Badge Ticket Formats'!#REF!,"AAAAAFn59+k=")</f>
        <v>#REF!</v>
      </c>
      <c r="IA145" t="e">
        <f>AND('Badge Ticket Formats'!#REF!,"AAAAAFn59+o=")</f>
        <v>#REF!</v>
      </c>
      <c r="IB145" t="e">
        <f>AND('Badge Ticket Formats'!#REF!,"AAAAAFn59+s=")</f>
        <v>#REF!</v>
      </c>
      <c r="IC145" t="e">
        <f>AND('Badge Ticket Formats'!#REF!,"AAAAAFn59+w=")</f>
        <v>#REF!</v>
      </c>
      <c r="ID145" t="e">
        <f>AND('Badge Ticket Formats'!#REF!,"AAAAAFn59+0=")</f>
        <v>#REF!</v>
      </c>
      <c r="IE145" t="e">
        <f>AND('Badge Ticket Formats'!#REF!,"AAAAAFn59+4=")</f>
        <v>#REF!</v>
      </c>
      <c r="IF145" t="e">
        <f>AND('Badge Ticket Formats'!#REF!,"AAAAAFn59+8=")</f>
        <v>#REF!</v>
      </c>
      <c r="IG145" t="e">
        <f>AND('Badge Ticket Formats'!#REF!,"AAAAAFn59/A=")</f>
        <v>#REF!</v>
      </c>
      <c r="IH145" t="e">
        <f>AND('Badge Ticket Formats'!#REF!,"AAAAAFn59/E=")</f>
        <v>#REF!</v>
      </c>
      <c r="II145" t="e">
        <f>AND('Badge Ticket Formats'!#REF!,"AAAAAFn59/I=")</f>
        <v>#REF!</v>
      </c>
      <c r="IJ145" t="e">
        <f>AND('Badge Ticket Formats'!#REF!,"AAAAAFn59/M=")</f>
        <v>#REF!</v>
      </c>
      <c r="IK145" t="e">
        <f>AND('Badge Ticket Formats'!#REF!,"AAAAAFn59/Q=")</f>
        <v>#REF!</v>
      </c>
      <c r="IL145" t="e">
        <f>AND('Badge Ticket Formats'!#REF!,"AAAAAFn59/U=")</f>
        <v>#REF!</v>
      </c>
      <c r="IM145" t="e">
        <f>IF('Badge Ticket Formats'!#REF!,"AAAAAFn59/Y=",0)</f>
        <v>#REF!</v>
      </c>
      <c r="IN145" t="e">
        <f>AND('Badge Ticket Formats'!#REF!,"AAAAAFn59/c=")</f>
        <v>#REF!</v>
      </c>
      <c r="IO145" t="e">
        <f>AND('Badge Ticket Formats'!#REF!,"AAAAAFn59/g=")</f>
        <v>#REF!</v>
      </c>
      <c r="IP145" t="e">
        <f>AND('Badge Ticket Formats'!#REF!,"AAAAAFn59/k=")</f>
        <v>#REF!</v>
      </c>
      <c r="IQ145" t="e">
        <f>AND('Badge Ticket Formats'!#REF!,"AAAAAFn59/o=")</f>
        <v>#REF!</v>
      </c>
      <c r="IR145" t="e">
        <f>AND('Badge Ticket Formats'!#REF!,"AAAAAFn59/s=")</f>
        <v>#REF!</v>
      </c>
      <c r="IS145" t="e">
        <f>AND('Badge Ticket Formats'!#REF!,"AAAAAFn59/w=")</f>
        <v>#REF!</v>
      </c>
      <c r="IT145" t="e">
        <f>AND('Badge Ticket Formats'!#REF!,"AAAAAFn59/0=")</f>
        <v>#REF!</v>
      </c>
      <c r="IU145" t="e">
        <f>AND('Badge Ticket Formats'!#REF!,"AAAAAFn59/4=")</f>
        <v>#REF!</v>
      </c>
      <c r="IV145" t="e">
        <f>AND('Badge Ticket Formats'!#REF!,"AAAAAFn59/8=")</f>
        <v>#REF!</v>
      </c>
    </row>
    <row r="146" spans="1:256" x14ac:dyDescent="0.2">
      <c r="A146" t="e">
        <f>AND('Badge Ticket Formats'!#REF!,"AAAAAFfXaQA=")</f>
        <v>#REF!</v>
      </c>
      <c r="B146" t="e">
        <f>AND('Badge Ticket Formats'!#REF!,"AAAAAFfXaQE=")</f>
        <v>#REF!</v>
      </c>
      <c r="C146" t="e">
        <f>AND('Badge Ticket Formats'!#REF!,"AAAAAFfXaQI=")</f>
        <v>#REF!</v>
      </c>
      <c r="D146" t="e">
        <f>AND('Badge Ticket Formats'!#REF!,"AAAAAFfXaQM=")</f>
        <v>#REF!</v>
      </c>
      <c r="E146" t="e">
        <f>IF('Badge Ticket Formats'!#REF!,"AAAAAFfXaQQ=",0)</f>
        <v>#REF!</v>
      </c>
      <c r="F146" t="e">
        <f>AND('Badge Ticket Formats'!#REF!,"AAAAAFfXaQU=")</f>
        <v>#REF!</v>
      </c>
      <c r="G146" t="e">
        <f>AND('Badge Ticket Formats'!#REF!,"AAAAAFfXaQY=")</f>
        <v>#REF!</v>
      </c>
      <c r="H146" t="e">
        <f>AND('Badge Ticket Formats'!#REF!,"AAAAAFfXaQc=")</f>
        <v>#REF!</v>
      </c>
      <c r="I146" t="e">
        <f>AND('Badge Ticket Formats'!#REF!,"AAAAAFfXaQg=")</f>
        <v>#REF!</v>
      </c>
      <c r="J146" t="e">
        <f>AND('Badge Ticket Formats'!#REF!,"AAAAAFfXaQk=")</f>
        <v>#REF!</v>
      </c>
      <c r="K146" t="e">
        <f>AND('Badge Ticket Formats'!#REF!,"AAAAAFfXaQo=")</f>
        <v>#REF!</v>
      </c>
      <c r="L146" t="e">
        <f>AND('Badge Ticket Formats'!#REF!,"AAAAAFfXaQs=")</f>
        <v>#REF!</v>
      </c>
      <c r="M146" t="e">
        <f>AND('Badge Ticket Formats'!#REF!,"AAAAAFfXaQw=")</f>
        <v>#REF!</v>
      </c>
      <c r="N146" t="e">
        <f>AND('Badge Ticket Formats'!#REF!,"AAAAAFfXaQ0=")</f>
        <v>#REF!</v>
      </c>
      <c r="O146" t="e">
        <f>AND('Badge Ticket Formats'!#REF!,"AAAAAFfXaQ4=")</f>
        <v>#REF!</v>
      </c>
      <c r="P146" t="e">
        <f>AND('Badge Ticket Formats'!#REF!,"AAAAAFfXaQ8=")</f>
        <v>#REF!</v>
      </c>
      <c r="Q146" t="e">
        <f>AND('Badge Ticket Formats'!#REF!,"AAAAAFfXaRA=")</f>
        <v>#REF!</v>
      </c>
      <c r="R146" t="e">
        <f>AND('Badge Ticket Formats'!#REF!,"AAAAAFfXaRE=")</f>
        <v>#REF!</v>
      </c>
      <c r="S146" t="e">
        <f>IF('Badge Ticket Formats'!#REF!,"AAAAAFfXaRI=",0)</f>
        <v>#REF!</v>
      </c>
      <c r="T146" t="e">
        <f>AND('Badge Ticket Formats'!#REF!,"AAAAAFfXaRM=")</f>
        <v>#REF!</v>
      </c>
      <c r="U146" t="e">
        <f>AND('Badge Ticket Formats'!#REF!,"AAAAAFfXaRQ=")</f>
        <v>#REF!</v>
      </c>
      <c r="V146" t="e">
        <f>AND('Badge Ticket Formats'!#REF!,"AAAAAFfXaRU=")</f>
        <v>#REF!</v>
      </c>
      <c r="W146" t="e">
        <f>AND('Badge Ticket Formats'!#REF!,"AAAAAFfXaRY=")</f>
        <v>#REF!</v>
      </c>
      <c r="X146" t="e">
        <f>AND('Badge Ticket Formats'!#REF!,"AAAAAFfXaRc=")</f>
        <v>#REF!</v>
      </c>
      <c r="Y146" t="e">
        <f>AND('Badge Ticket Formats'!#REF!,"AAAAAFfXaRg=")</f>
        <v>#REF!</v>
      </c>
      <c r="Z146" t="e">
        <f>AND('Badge Ticket Formats'!#REF!,"AAAAAFfXaRk=")</f>
        <v>#REF!</v>
      </c>
      <c r="AA146" t="e">
        <f>AND('Badge Ticket Formats'!#REF!,"AAAAAFfXaRo=")</f>
        <v>#REF!</v>
      </c>
      <c r="AB146" t="e">
        <f>AND('Badge Ticket Formats'!#REF!,"AAAAAFfXaRs=")</f>
        <v>#REF!</v>
      </c>
      <c r="AC146" t="e">
        <f>AND('Badge Ticket Formats'!#REF!,"AAAAAFfXaRw=")</f>
        <v>#REF!</v>
      </c>
      <c r="AD146" t="e">
        <f>AND('Badge Ticket Formats'!#REF!,"AAAAAFfXaR0=")</f>
        <v>#REF!</v>
      </c>
      <c r="AE146" t="e">
        <f>AND('Badge Ticket Formats'!#REF!,"AAAAAFfXaR4=")</f>
        <v>#REF!</v>
      </c>
      <c r="AF146" t="e">
        <f>AND('Badge Ticket Formats'!#REF!,"AAAAAFfXaR8=")</f>
        <v>#REF!</v>
      </c>
      <c r="AG146" t="e">
        <f>IF('Badge Ticket Formats'!#REF!,"AAAAAFfXaSA=",0)</f>
        <v>#REF!</v>
      </c>
      <c r="AH146" t="e">
        <f>AND('Badge Ticket Formats'!#REF!,"AAAAAFfXaSE=")</f>
        <v>#REF!</v>
      </c>
      <c r="AI146" t="e">
        <f>AND('Badge Ticket Formats'!#REF!,"AAAAAFfXaSI=")</f>
        <v>#REF!</v>
      </c>
      <c r="AJ146" t="e">
        <f>AND('Badge Ticket Formats'!#REF!,"AAAAAFfXaSM=")</f>
        <v>#REF!</v>
      </c>
      <c r="AK146" t="e">
        <f>AND('Badge Ticket Formats'!#REF!,"AAAAAFfXaSQ=")</f>
        <v>#REF!</v>
      </c>
      <c r="AL146" t="e">
        <f>AND('Badge Ticket Formats'!#REF!,"AAAAAFfXaSU=")</f>
        <v>#REF!</v>
      </c>
      <c r="AM146" t="e">
        <f>AND('Badge Ticket Formats'!#REF!,"AAAAAFfXaSY=")</f>
        <v>#REF!</v>
      </c>
      <c r="AN146" t="e">
        <f>AND('Badge Ticket Formats'!#REF!,"AAAAAFfXaSc=")</f>
        <v>#REF!</v>
      </c>
      <c r="AO146" t="e">
        <f>AND('Badge Ticket Formats'!#REF!,"AAAAAFfXaSg=")</f>
        <v>#REF!</v>
      </c>
      <c r="AP146" t="e">
        <f>AND('Badge Ticket Formats'!#REF!,"AAAAAFfXaSk=")</f>
        <v>#REF!</v>
      </c>
      <c r="AQ146" t="e">
        <f>AND('Badge Ticket Formats'!#REF!,"AAAAAFfXaSo=")</f>
        <v>#REF!</v>
      </c>
      <c r="AR146" t="e">
        <f>AND('Badge Ticket Formats'!#REF!,"AAAAAFfXaSs=")</f>
        <v>#REF!</v>
      </c>
      <c r="AS146" t="e">
        <f>AND('Badge Ticket Formats'!#REF!,"AAAAAFfXaSw=")</f>
        <v>#REF!</v>
      </c>
      <c r="AT146" t="e">
        <f>AND('Badge Ticket Formats'!#REF!,"AAAAAFfXaS0=")</f>
        <v>#REF!</v>
      </c>
      <c r="AU146" t="e">
        <f>IF('Badge Ticket Formats'!#REF!,"AAAAAFfXaS4=",0)</f>
        <v>#REF!</v>
      </c>
      <c r="AV146" t="e">
        <f>AND('Badge Ticket Formats'!#REF!,"AAAAAFfXaS8=")</f>
        <v>#REF!</v>
      </c>
      <c r="AW146" t="e">
        <f>AND('Badge Ticket Formats'!#REF!,"AAAAAFfXaTA=")</f>
        <v>#REF!</v>
      </c>
      <c r="AX146" t="e">
        <f>AND('Badge Ticket Formats'!#REF!,"AAAAAFfXaTE=")</f>
        <v>#REF!</v>
      </c>
      <c r="AY146" t="e">
        <f>AND('Badge Ticket Formats'!#REF!,"AAAAAFfXaTI=")</f>
        <v>#REF!</v>
      </c>
      <c r="AZ146" t="e">
        <f>AND('Badge Ticket Formats'!#REF!,"AAAAAFfXaTM=")</f>
        <v>#REF!</v>
      </c>
      <c r="BA146" t="e">
        <f>AND('Badge Ticket Formats'!#REF!,"AAAAAFfXaTQ=")</f>
        <v>#REF!</v>
      </c>
      <c r="BB146" t="e">
        <f>AND('Badge Ticket Formats'!#REF!,"AAAAAFfXaTU=")</f>
        <v>#REF!</v>
      </c>
      <c r="BC146" t="e">
        <f>AND('Badge Ticket Formats'!#REF!,"AAAAAFfXaTY=")</f>
        <v>#REF!</v>
      </c>
      <c r="BD146" t="e">
        <f>AND('Badge Ticket Formats'!#REF!,"AAAAAFfXaTc=")</f>
        <v>#REF!</v>
      </c>
      <c r="BE146" t="e">
        <f>AND('Badge Ticket Formats'!#REF!,"AAAAAFfXaTg=")</f>
        <v>#REF!</v>
      </c>
      <c r="BF146" t="e">
        <f>AND('Badge Ticket Formats'!#REF!,"AAAAAFfXaTk=")</f>
        <v>#REF!</v>
      </c>
      <c r="BG146" t="e">
        <f>AND('Badge Ticket Formats'!#REF!,"AAAAAFfXaTo=")</f>
        <v>#REF!</v>
      </c>
      <c r="BH146" t="e">
        <f>AND('Badge Ticket Formats'!#REF!,"AAAAAFfXaTs=")</f>
        <v>#REF!</v>
      </c>
      <c r="BI146" t="e">
        <f>IF('Badge Ticket Formats'!#REF!,"AAAAAFfXaTw=",0)</f>
        <v>#REF!</v>
      </c>
      <c r="BJ146" t="e">
        <f>AND('Badge Ticket Formats'!#REF!,"AAAAAFfXaT0=")</f>
        <v>#REF!</v>
      </c>
      <c r="BK146" t="e">
        <f>AND('Badge Ticket Formats'!#REF!,"AAAAAFfXaT4=")</f>
        <v>#REF!</v>
      </c>
      <c r="BL146" t="e">
        <f>AND('Badge Ticket Formats'!#REF!,"AAAAAFfXaT8=")</f>
        <v>#REF!</v>
      </c>
      <c r="BM146" t="e">
        <f>AND('Badge Ticket Formats'!#REF!,"AAAAAFfXaUA=")</f>
        <v>#REF!</v>
      </c>
      <c r="BN146" t="e">
        <f>AND('Badge Ticket Formats'!#REF!,"AAAAAFfXaUE=")</f>
        <v>#REF!</v>
      </c>
      <c r="BO146" t="e">
        <f>AND('Badge Ticket Formats'!#REF!,"AAAAAFfXaUI=")</f>
        <v>#REF!</v>
      </c>
      <c r="BP146" t="e">
        <f>AND('Badge Ticket Formats'!#REF!,"AAAAAFfXaUM=")</f>
        <v>#REF!</v>
      </c>
      <c r="BQ146" t="e">
        <f>AND('Badge Ticket Formats'!#REF!,"AAAAAFfXaUQ=")</f>
        <v>#REF!</v>
      </c>
      <c r="BR146" t="e">
        <f>AND('Badge Ticket Formats'!#REF!,"AAAAAFfXaUU=")</f>
        <v>#REF!</v>
      </c>
      <c r="BS146" t="e">
        <f>AND('Badge Ticket Formats'!#REF!,"AAAAAFfXaUY=")</f>
        <v>#REF!</v>
      </c>
      <c r="BT146" t="e">
        <f>AND('Badge Ticket Formats'!#REF!,"AAAAAFfXaUc=")</f>
        <v>#REF!</v>
      </c>
      <c r="BU146" t="e">
        <f>AND('Badge Ticket Formats'!#REF!,"AAAAAFfXaUg=")</f>
        <v>#REF!</v>
      </c>
      <c r="BV146" t="e">
        <f>AND('Badge Ticket Formats'!#REF!,"AAAAAFfXaUk=")</f>
        <v>#REF!</v>
      </c>
      <c r="BW146">
        <f>IF('Badge Ticket Formats'!115:115,"AAAAAFfXaUo=",0)</f>
        <v>0</v>
      </c>
      <c r="BX146" t="e">
        <f>AND('Badge Ticket Formats'!#REF!,"AAAAAFfXaUs=")</f>
        <v>#REF!</v>
      </c>
      <c r="BY146" t="e">
        <f>AND('Badge Ticket Formats'!#REF!,"AAAAAFfXaUw=")</f>
        <v>#REF!</v>
      </c>
      <c r="BZ146" t="e">
        <f>AND('Badge Ticket Formats'!A115,"AAAAAFfXaU0=")</f>
        <v>#VALUE!</v>
      </c>
      <c r="CA146" t="e">
        <f>AND('Badge Ticket Formats'!B115,"AAAAAFfXaU4=")</f>
        <v>#VALUE!</v>
      </c>
      <c r="CB146" t="e">
        <f>AND('Badge Ticket Formats'!C115,"AAAAAFfXaU8=")</f>
        <v>#VALUE!</v>
      </c>
      <c r="CC146" t="e">
        <f>AND('Badge Ticket Formats'!D115,"AAAAAFfXaVA=")</f>
        <v>#VALUE!</v>
      </c>
      <c r="CD146" t="e">
        <f>AND('Badge Ticket Formats'!E115,"AAAAAFfXaVE=")</f>
        <v>#VALUE!</v>
      </c>
      <c r="CE146" t="e">
        <f>AND('Badge Ticket Formats'!F115,"AAAAAFfXaVI=")</f>
        <v>#VALUE!</v>
      </c>
      <c r="CF146" t="e">
        <f>AND('Badge Ticket Formats'!G115,"AAAAAFfXaVM=")</f>
        <v>#VALUE!</v>
      </c>
      <c r="CG146" t="e">
        <f>AND('Badge Ticket Formats'!H115,"AAAAAFfXaVQ=")</f>
        <v>#VALUE!</v>
      </c>
      <c r="CH146" t="e">
        <f>AND('Badge Ticket Formats'!I115,"AAAAAFfXaVU=")</f>
        <v>#VALUE!</v>
      </c>
      <c r="CI146" t="e">
        <f>AND('Badge Ticket Formats'!J115,"AAAAAFfXaVY=")</f>
        <v>#VALUE!</v>
      </c>
      <c r="CJ146" t="e">
        <f>AND('Badge Ticket Formats'!K115,"AAAAAFfXaVc=")</f>
        <v>#VALUE!</v>
      </c>
      <c r="CK146">
        <f>IF('Badge Ticket Formats'!121:121,"AAAAAFfXaVg=",0)</f>
        <v>0</v>
      </c>
      <c r="CL146" t="e">
        <f>AND('Badge Ticket Formats'!#REF!,"AAAAAFfXaVk=")</f>
        <v>#REF!</v>
      </c>
      <c r="CM146" t="e">
        <f>AND('Badge Ticket Formats'!#REF!,"AAAAAFfXaVo=")</f>
        <v>#REF!</v>
      </c>
      <c r="CN146" t="e">
        <f>AND('Badge Ticket Formats'!#REF!,"AAAAAFfXaVs=")</f>
        <v>#REF!</v>
      </c>
      <c r="CO146" t="e">
        <f>AND('Badge Ticket Formats'!A121,"AAAAAFfXaVw=")</f>
        <v>#VALUE!</v>
      </c>
      <c r="CP146" t="e">
        <f>AND('Badge Ticket Formats'!B121,"AAAAAFfXaV0=")</f>
        <v>#VALUE!</v>
      </c>
      <c r="CQ146" t="e">
        <f>AND('Badge Ticket Formats'!C121,"AAAAAFfXaV4=")</f>
        <v>#VALUE!</v>
      </c>
      <c r="CR146" t="e">
        <f>AND('Badge Ticket Formats'!D121,"AAAAAFfXaV8=")</f>
        <v>#VALUE!</v>
      </c>
      <c r="CS146" t="e">
        <f>AND('Badge Ticket Formats'!E121,"AAAAAFfXaWA=")</f>
        <v>#VALUE!</v>
      </c>
      <c r="CT146" t="e">
        <f>AND('Badge Ticket Formats'!F121,"AAAAAFfXaWE=")</f>
        <v>#VALUE!</v>
      </c>
      <c r="CU146" t="e">
        <f>AND('Badge Ticket Formats'!G121,"AAAAAFfXaWI=")</f>
        <v>#VALUE!</v>
      </c>
      <c r="CV146" t="e">
        <f>AND('Badge Ticket Formats'!H121,"AAAAAFfXaWM=")</f>
        <v>#VALUE!</v>
      </c>
      <c r="CW146" t="e">
        <f>AND('Badge Ticket Formats'!I121,"AAAAAFfXaWQ=")</f>
        <v>#VALUE!</v>
      </c>
      <c r="CX146" t="e">
        <f>AND('Badge Ticket Formats'!J121,"AAAAAFfXaWU=")</f>
        <v>#VALUE!</v>
      </c>
      <c r="CY146" t="e">
        <f>IF('Badge Ticket Formats'!#REF!,"AAAAAFfXaWY=",0)</f>
        <v>#REF!</v>
      </c>
      <c r="CZ146" t="e">
        <f>AND('Badge Ticket Formats'!#REF!,"AAAAAFfXaWc=")</f>
        <v>#REF!</v>
      </c>
      <c r="DA146" t="e">
        <f>AND('Badge Ticket Formats'!#REF!,"AAAAAFfXaWg=")</f>
        <v>#REF!</v>
      </c>
      <c r="DB146" t="e">
        <f>AND('Badge Ticket Formats'!#REF!,"AAAAAFfXaWk=")</f>
        <v>#REF!</v>
      </c>
      <c r="DC146" t="e">
        <f>AND('Badge Ticket Formats'!#REF!,"AAAAAFfXaWo=")</f>
        <v>#REF!</v>
      </c>
      <c r="DD146" t="e">
        <f>AND('Badge Ticket Formats'!#REF!,"AAAAAFfXaWs=")</f>
        <v>#REF!</v>
      </c>
      <c r="DE146" t="e">
        <f>AND('Badge Ticket Formats'!#REF!,"AAAAAFfXaWw=")</f>
        <v>#REF!</v>
      </c>
      <c r="DF146" t="e">
        <f>AND('Badge Ticket Formats'!#REF!,"AAAAAFfXaW0=")</f>
        <v>#REF!</v>
      </c>
      <c r="DG146" t="e">
        <f>AND('Badge Ticket Formats'!#REF!,"AAAAAFfXaW4=")</f>
        <v>#REF!</v>
      </c>
      <c r="DH146" t="e">
        <f>AND('Badge Ticket Formats'!#REF!,"AAAAAFfXaW8=")</f>
        <v>#REF!</v>
      </c>
      <c r="DI146" t="e">
        <f>AND('Badge Ticket Formats'!#REF!,"AAAAAFfXaXA=")</f>
        <v>#REF!</v>
      </c>
      <c r="DJ146" t="e">
        <f>AND('Badge Ticket Formats'!#REF!,"AAAAAFfXaXE=")</f>
        <v>#REF!</v>
      </c>
      <c r="DK146" t="e">
        <f>AND('Badge Ticket Formats'!#REF!,"AAAAAFfXaXI=")</f>
        <v>#REF!</v>
      </c>
      <c r="DL146" t="e">
        <f>AND('Badge Ticket Formats'!#REF!,"AAAAAFfXaXM=")</f>
        <v>#REF!</v>
      </c>
      <c r="DM146" t="e">
        <f>IF('Badge Ticket Formats'!#REF!,"AAAAAFfXaXQ=",0)</f>
        <v>#REF!</v>
      </c>
      <c r="DN146" t="e">
        <f>AND('Badge Ticket Formats'!#REF!,"AAAAAFfXaXU=")</f>
        <v>#REF!</v>
      </c>
      <c r="DO146" t="e">
        <f>AND('Badge Ticket Formats'!#REF!,"AAAAAFfXaXY=")</f>
        <v>#REF!</v>
      </c>
      <c r="DP146" t="e">
        <f>AND('Badge Ticket Formats'!#REF!,"AAAAAFfXaXc=")</f>
        <v>#REF!</v>
      </c>
      <c r="DQ146" t="e">
        <f>AND('Badge Ticket Formats'!#REF!,"AAAAAFfXaXg=")</f>
        <v>#REF!</v>
      </c>
      <c r="DR146" t="e">
        <f>AND('Badge Ticket Formats'!#REF!,"AAAAAFfXaXk=")</f>
        <v>#REF!</v>
      </c>
      <c r="DS146" t="e">
        <f>AND('Badge Ticket Formats'!#REF!,"AAAAAFfXaXo=")</f>
        <v>#REF!</v>
      </c>
      <c r="DT146" t="e">
        <f>AND('Badge Ticket Formats'!#REF!,"AAAAAFfXaXs=")</f>
        <v>#REF!</v>
      </c>
      <c r="DU146" t="e">
        <f>AND('Badge Ticket Formats'!#REF!,"AAAAAFfXaXw=")</f>
        <v>#REF!</v>
      </c>
      <c r="DV146" t="e">
        <f>AND('Badge Ticket Formats'!#REF!,"AAAAAFfXaX0=")</f>
        <v>#REF!</v>
      </c>
      <c r="DW146" t="e">
        <f>AND('Badge Ticket Formats'!#REF!,"AAAAAFfXaX4=")</f>
        <v>#REF!</v>
      </c>
      <c r="DX146" t="e">
        <f>AND('Badge Ticket Formats'!#REF!,"AAAAAFfXaX8=")</f>
        <v>#REF!</v>
      </c>
      <c r="DY146" t="e">
        <f>AND('Badge Ticket Formats'!#REF!,"AAAAAFfXaYA=")</f>
        <v>#REF!</v>
      </c>
      <c r="DZ146" t="e">
        <f>AND('Badge Ticket Formats'!#REF!,"AAAAAFfXaYE=")</f>
        <v>#REF!</v>
      </c>
      <c r="EA146">
        <f>IF('Badge Ticket Formats'!122:122,"AAAAAFfXaYI=",0)</f>
        <v>0</v>
      </c>
      <c r="EB146" t="e">
        <f>AND('Badge Ticket Formats'!#REF!,"AAAAAFfXaYM=")</f>
        <v>#REF!</v>
      </c>
      <c r="EC146" t="e">
        <f>AND('Badge Ticket Formats'!B122,"AAAAAFfXaYQ=")</f>
        <v>#VALUE!</v>
      </c>
      <c r="ED146" t="e">
        <f>AND('Badge Ticket Formats'!C122,"AAAAAFfXaYU=")</f>
        <v>#VALUE!</v>
      </c>
      <c r="EE146" t="e">
        <f>AND('Badge Ticket Formats'!D122,"AAAAAFfXaYY=")</f>
        <v>#VALUE!</v>
      </c>
      <c r="EF146" t="e">
        <f>AND('Badge Ticket Formats'!E122,"AAAAAFfXaYc=")</f>
        <v>#VALUE!</v>
      </c>
      <c r="EG146" t="e">
        <f>AND('Badge Ticket Formats'!F122,"AAAAAFfXaYg=")</f>
        <v>#VALUE!</v>
      </c>
      <c r="EH146" t="e">
        <f>AND('Badge Ticket Formats'!G122,"AAAAAFfXaYk=")</f>
        <v>#VALUE!</v>
      </c>
      <c r="EI146" t="e">
        <f>AND('Badge Ticket Formats'!H122,"AAAAAFfXaYo=")</f>
        <v>#VALUE!</v>
      </c>
      <c r="EJ146" t="e">
        <f>AND('Badge Ticket Formats'!I122,"AAAAAFfXaYs=")</f>
        <v>#VALUE!</v>
      </c>
      <c r="EK146" t="e">
        <f>AND('Badge Ticket Formats'!J122,"AAAAAFfXaYw=")</f>
        <v>#VALUE!</v>
      </c>
      <c r="EL146" t="e">
        <f>AND('Badge Ticket Formats'!K122,"AAAAAFfXaY0=")</f>
        <v>#VALUE!</v>
      </c>
      <c r="EM146" t="e">
        <f>AND('Badge Ticket Formats'!L122,"AAAAAFfXaY4=")</f>
        <v>#VALUE!</v>
      </c>
      <c r="EN146" t="e">
        <f>AND('Badge Ticket Formats'!M122,"AAAAAFfXaY8=")</f>
        <v>#VALUE!</v>
      </c>
      <c r="EO146" t="e">
        <f>IF('Badge Ticket Formats'!#REF!,"AAAAAFfXaZA=",0)</f>
        <v>#REF!</v>
      </c>
      <c r="EP146" t="e">
        <f>AND('Badge Ticket Formats'!A122,"AAAAAFfXaZE=")</f>
        <v>#VALUE!</v>
      </c>
      <c r="EQ146" t="e">
        <f>AND('Badge Ticket Formats'!#REF!,"AAAAAFfXaZI=")</f>
        <v>#REF!</v>
      </c>
      <c r="ER146" t="e">
        <f>AND('Badge Ticket Formats'!#REF!,"AAAAAFfXaZM=")</f>
        <v>#REF!</v>
      </c>
      <c r="ES146" t="e">
        <f>AND('Badge Ticket Formats'!#REF!,"AAAAAFfXaZQ=")</f>
        <v>#REF!</v>
      </c>
      <c r="ET146" t="e">
        <f>AND('Badge Ticket Formats'!#REF!,"AAAAAFfXaZU=")</f>
        <v>#REF!</v>
      </c>
      <c r="EU146" t="e">
        <f>AND('Badge Ticket Formats'!#REF!,"AAAAAFfXaZY=")</f>
        <v>#REF!</v>
      </c>
      <c r="EV146" t="e">
        <f>AND('Badge Ticket Formats'!#REF!,"AAAAAFfXaZc=")</f>
        <v>#REF!</v>
      </c>
      <c r="EW146" t="e">
        <f>AND('Badge Ticket Formats'!#REF!,"AAAAAFfXaZg=")</f>
        <v>#REF!</v>
      </c>
      <c r="EX146" t="e">
        <f>AND('Badge Ticket Formats'!#REF!,"AAAAAFfXaZk=")</f>
        <v>#REF!</v>
      </c>
      <c r="EY146" t="e">
        <f>AND('Badge Ticket Formats'!#REF!,"AAAAAFfXaZo=")</f>
        <v>#REF!</v>
      </c>
      <c r="EZ146" t="e">
        <f>AND('Badge Ticket Formats'!#REF!,"AAAAAFfXaZs=")</f>
        <v>#REF!</v>
      </c>
      <c r="FA146" t="e">
        <f>AND('Badge Ticket Formats'!#REF!,"AAAAAFfXaZw=")</f>
        <v>#REF!</v>
      </c>
      <c r="FB146" t="e">
        <f>AND('Badge Ticket Formats'!#REF!,"AAAAAFfXaZ0=")</f>
        <v>#REF!</v>
      </c>
      <c r="FC146" t="e">
        <f>IF('Badge Ticket Formats'!#REF!,"AAAAAFfXaZ4=",0)</f>
        <v>#REF!</v>
      </c>
      <c r="FD146" t="e">
        <f>AND('Badge Ticket Formats'!#REF!,"AAAAAFfXaZ8=")</f>
        <v>#REF!</v>
      </c>
      <c r="FE146" t="e">
        <f>AND('Badge Ticket Formats'!#REF!,"AAAAAFfXaaA=")</f>
        <v>#REF!</v>
      </c>
      <c r="FF146" t="e">
        <f>AND('Badge Ticket Formats'!#REF!,"AAAAAFfXaaE=")</f>
        <v>#REF!</v>
      </c>
      <c r="FG146" t="e">
        <f>AND('Badge Ticket Formats'!#REF!,"AAAAAFfXaaI=")</f>
        <v>#REF!</v>
      </c>
      <c r="FH146" t="e">
        <f>AND('Badge Ticket Formats'!#REF!,"AAAAAFfXaaM=")</f>
        <v>#REF!</v>
      </c>
      <c r="FI146" t="e">
        <f>AND('Badge Ticket Formats'!#REF!,"AAAAAFfXaaQ=")</f>
        <v>#REF!</v>
      </c>
      <c r="FJ146" t="e">
        <f>AND('Badge Ticket Formats'!#REF!,"AAAAAFfXaaU=")</f>
        <v>#REF!</v>
      </c>
      <c r="FK146" t="e">
        <f>AND('Badge Ticket Formats'!#REF!,"AAAAAFfXaaY=")</f>
        <v>#REF!</v>
      </c>
      <c r="FL146" t="e">
        <f>AND('Badge Ticket Formats'!#REF!,"AAAAAFfXaac=")</f>
        <v>#REF!</v>
      </c>
      <c r="FM146" t="e">
        <f>AND('Badge Ticket Formats'!#REF!,"AAAAAFfXaag=")</f>
        <v>#REF!</v>
      </c>
      <c r="FN146" t="e">
        <f>AND('Badge Ticket Formats'!#REF!,"AAAAAFfXaak=")</f>
        <v>#REF!</v>
      </c>
      <c r="FO146" t="e">
        <f>AND('Badge Ticket Formats'!#REF!,"AAAAAFfXaao=")</f>
        <v>#REF!</v>
      </c>
      <c r="FP146" t="e">
        <f>AND('Badge Ticket Formats'!#REF!,"AAAAAFfXaas=")</f>
        <v>#REF!</v>
      </c>
      <c r="FQ146" t="e">
        <f>IF('Badge Ticket Formats'!#REF!,"AAAAAFfXaaw=",0)</f>
        <v>#REF!</v>
      </c>
      <c r="FR146" t="e">
        <f>AND('Badge Ticket Formats'!#REF!,"AAAAAFfXaa0=")</f>
        <v>#REF!</v>
      </c>
      <c r="FS146" t="e">
        <f>AND('Badge Ticket Formats'!#REF!,"AAAAAFfXaa4=")</f>
        <v>#REF!</v>
      </c>
      <c r="FT146" t="e">
        <f>AND('Badge Ticket Formats'!#REF!,"AAAAAFfXaa8=")</f>
        <v>#REF!</v>
      </c>
      <c r="FU146" t="e">
        <f>AND('Badge Ticket Formats'!#REF!,"AAAAAFfXabA=")</f>
        <v>#REF!</v>
      </c>
      <c r="FV146" t="e">
        <f>AND('Badge Ticket Formats'!#REF!,"AAAAAFfXabE=")</f>
        <v>#REF!</v>
      </c>
      <c r="FW146" t="e">
        <f>AND('Badge Ticket Formats'!#REF!,"AAAAAFfXabI=")</f>
        <v>#REF!</v>
      </c>
      <c r="FX146" t="e">
        <f>AND('Badge Ticket Formats'!#REF!,"AAAAAFfXabM=")</f>
        <v>#REF!</v>
      </c>
      <c r="FY146" t="e">
        <f>AND('Badge Ticket Formats'!#REF!,"AAAAAFfXabQ=")</f>
        <v>#REF!</v>
      </c>
      <c r="FZ146" t="e">
        <f>AND('Badge Ticket Formats'!#REF!,"AAAAAFfXabU=")</f>
        <v>#REF!</v>
      </c>
      <c r="GA146" t="e">
        <f>AND('Badge Ticket Formats'!#REF!,"AAAAAFfXabY=")</f>
        <v>#REF!</v>
      </c>
      <c r="GB146" t="e">
        <f>AND('Badge Ticket Formats'!#REF!,"AAAAAFfXabc=")</f>
        <v>#REF!</v>
      </c>
      <c r="GC146" t="e">
        <f>AND('Badge Ticket Formats'!#REF!,"AAAAAFfXabg=")</f>
        <v>#REF!</v>
      </c>
      <c r="GD146" t="e">
        <f>AND('Badge Ticket Formats'!#REF!,"AAAAAFfXabk=")</f>
        <v>#REF!</v>
      </c>
      <c r="GE146" t="e">
        <f>IF('Badge Ticket Formats'!#REF!,"AAAAAFfXabo=",0)</f>
        <v>#REF!</v>
      </c>
      <c r="GF146" t="e">
        <f>AND('Badge Ticket Formats'!#REF!,"AAAAAFfXabs=")</f>
        <v>#REF!</v>
      </c>
      <c r="GG146" t="e">
        <f>AND('Badge Ticket Formats'!#REF!,"AAAAAFfXabw=")</f>
        <v>#REF!</v>
      </c>
      <c r="GH146" t="e">
        <f>AND('Badge Ticket Formats'!#REF!,"AAAAAFfXab0=")</f>
        <v>#REF!</v>
      </c>
      <c r="GI146" t="e">
        <f>AND('Badge Ticket Formats'!#REF!,"AAAAAFfXab4=")</f>
        <v>#REF!</v>
      </c>
      <c r="GJ146" t="e">
        <f>AND('Badge Ticket Formats'!#REF!,"AAAAAFfXab8=")</f>
        <v>#REF!</v>
      </c>
      <c r="GK146" t="e">
        <f>AND('Badge Ticket Formats'!#REF!,"AAAAAFfXacA=")</f>
        <v>#REF!</v>
      </c>
      <c r="GL146" t="e">
        <f>AND('Badge Ticket Formats'!#REF!,"AAAAAFfXacE=")</f>
        <v>#REF!</v>
      </c>
      <c r="GM146" t="e">
        <f>AND('Badge Ticket Formats'!#REF!,"AAAAAFfXacI=")</f>
        <v>#REF!</v>
      </c>
      <c r="GN146" t="e">
        <f>AND('Badge Ticket Formats'!#REF!,"AAAAAFfXacM=")</f>
        <v>#REF!</v>
      </c>
      <c r="GO146" t="e">
        <f>AND('Badge Ticket Formats'!#REF!,"AAAAAFfXacQ=")</f>
        <v>#REF!</v>
      </c>
      <c r="GP146" t="e">
        <f>AND('Badge Ticket Formats'!#REF!,"AAAAAFfXacU=")</f>
        <v>#REF!</v>
      </c>
      <c r="GQ146" t="e">
        <f>AND('Badge Ticket Formats'!#REF!,"AAAAAFfXacY=")</f>
        <v>#REF!</v>
      </c>
      <c r="GR146" t="e">
        <f>AND('Badge Ticket Formats'!#REF!,"AAAAAFfXacc=")</f>
        <v>#REF!</v>
      </c>
      <c r="GS146" t="e">
        <f>IF('Badge Ticket Formats'!#REF!,"AAAAAFfXacg=",0)</f>
        <v>#REF!</v>
      </c>
      <c r="GT146" t="e">
        <f>AND('Badge Ticket Formats'!#REF!,"AAAAAFfXack=")</f>
        <v>#REF!</v>
      </c>
      <c r="GU146" t="e">
        <f>AND('Badge Ticket Formats'!#REF!,"AAAAAFfXaco=")</f>
        <v>#REF!</v>
      </c>
      <c r="GV146" t="e">
        <f>AND('Badge Ticket Formats'!#REF!,"AAAAAFfXacs=")</f>
        <v>#REF!</v>
      </c>
      <c r="GW146" t="e">
        <f>AND('Badge Ticket Formats'!#REF!,"AAAAAFfXacw=")</f>
        <v>#REF!</v>
      </c>
      <c r="GX146" t="e">
        <f>AND('Badge Ticket Formats'!#REF!,"AAAAAFfXac0=")</f>
        <v>#REF!</v>
      </c>
      <c r="GY146" t="e">
        <f>AND('Badge Ticket Formats'!#REF!,"AAAAAFfXac4=")</f>
        <v>#REF!</v>
      </c>
      <c r="GZ146" t="e">
        <f>AND('Badge Ticket Formats'!#REF!,"AAAAAFfXac8=")</f>
        <v>#REF!</v>
      </c>
      <c r="HA146" t="e">
        <f>AND('Badge Ticket Formats'!#REF!,"AAAAAFfXadA=")</f>
        <v>#REF!</v>
      </c>
      <c r="HB146" t="e">
        <f>AND('Badge Ticket Formats'!#REF!,"AAAAAFfXadE=")</f>
        <v>#REF!</v>
      </c>
      <c r="HC146" t="e">
        <f>AND('Badge Ticket Formats'!#REF!,"AAAAAFfXadI=")</f>
        <v>#REF!</v>
      </c>
      <c r="HD146" t="e">
        <f>AND('Badge Ticket Formats'!#REF!,"AAAAAFfXadM=")</f>
        <v>#REF!</v>
      </c>
      <c r="HE146" t="e">
        <f>AND('Badge Ticket Formats'!#REF!,"AAAAAFfXadQ=")</f>
        <v>#REF!</v>
      </c>
      <c r="HF146" t="e">
        <f>AND('Badge Ticket Formats'!#REF!,"AAAAAFfXadU=")</f>
        <v>#REF!</v>
      </c>
      <c r="HG146" t="e">
        <f>IF('Badge Ticket Formats'!#REF!,"AAAAAFfXadY=",0)</f>
        <v>#REF!</v>
      </c>
      <c r="HH146" t="e">
        <f>AND('Badge Ticket Formats'!#REF!,"AAAAAFfXadc=")</f>
        <v>#REF!</v>
      </c>
      <c r="HI146" t="e">
        <f>AND('Badge Ticket Formats'!#REF!,"AAAAAFfXadg=")</f>
        <v>#REF!</v>
      </c>
      <c r="HJ146" t="e">
        <f>AND('Badge Ticket Formats'!#REF!,"AAAAAFfXadk=")</f>
        <v>#REF!</v>
      </c>
      <c r="HK146" t="e">
        <f>AND('Badge Ticket Formats'!#REF!,"AAAAAFfXado=")</f>
        <v>#REF!</v>
      </c>
      <c r="HL146" t="e">
        <f>AND('Badge Ticket Formats'!#REF!,"AAAAAFfXads=")</f>
        <v>#REF!</v>
      </c>
      <c r="HM146" t="e">
        <f>AND('Badge Ticket Formats'!#REF!,"AAAAAFfXadw=")</f>
        <v>#REF!</v>
      </c>
      <c r="HN146" t="e">
        <f>AND('Badge Ticket Formats'!#REF!,"AAAAAFfXad0=")</f>
        <v>#REF!</v>
      </c>
      <c r="HO146" t="e">
        <f>AND('Badge Ticket Formats'!#REF!,"AAAAAFfXad4=")</f>
        <v>#REF!</v>
      </c>
      <c r="HP146" t="e">
        <f>AND('Badge Ticket Formats'!#REF!,"AAAAAFfXad8=")</f>
        <v>#REF!</v>
      </c>
      <c r="HQ146" t="e">
        <f>AND('Badge Ticket Formats'!#REF!,"AAAAAFfXaeA=")</f>
        <v>#REF!</v>
      </c>
      <c r="HR146" t="e">
        <f>AND('Badge Ticket Formats'!#REF!,"AAAAAFfXaeE=")</f>
        <v>#REF!</v>
      </c>
      <c r="HS146" t="e">
        <f>AND('Badge Ticket Formats'!#REF!,"AAAAAFfXaeI=")</f>
        <v>#REF!</v>
      </c>
      <c r="HT146" t="e">
        <f>AND('Badge Ticket Formats'!#REF!,"AAAAAFfXaeM=")</f>
        <v>#REF!</v>
      </c>
      <c r="HU146" t="e">
        <f>IF('Badge Ticket Formats'!#REF!,"AAAAAFfXaeQ=",0)</f>
        <v>#REF!</v>
      </c>
      <c r="HV146" t="e">
        <f>AND('Badge Ticket Formats'!#REF!,"AAAAAFfXaeU=")</f>
        <v>#REF!</v>
      </c>
      <c r="HW146" t="e">
        <f>AND('Badge Ticket Formats'!#REF!,"AAAAAFfXaeY=")</f>
        <v>#REF!</v>
      </c>
      <c r="HX146" t="e">
        <f>AND('Badge Ticket Formats'!#REF!,"AAAAAFfXaec=")</f>
        <v>#REF!</v>
      </c>
      <c r="HY146" t="e">
        <f>AND('Badge Ticket Formats'!#REF!,"AAAAAFfXaeg=")</f>
        <v>#REF!</v>
      </c>
      <c r="HZ146" t="e">
        <f>AND('Badge Ticket Formats'!#REF!,"AAAAAFfXaek=")</f>
        <v>#REF!</v>
      </c>
      <c r="IA146" t="e">
        <f>AND('Badge Ticket Formats'!#REF!,"AAAAAFfXaeo=")</f>
        <v>#REF!</v>
      </c>
      <c r="IB146" t="e">
        <f>AND('Badge Ticket Formats'!#REF!,"AAAAAFfXaes=")</f>
        <v>#REF!</v>
      </c>
      <c r="IC146" t="e">
        <f>AND('Badge Ticket Formats'!#REF!,"AAAAAFfXaew=")</f>
        <v>#REF!</v>
      </c>
      <c r="ID146" t="e">
        <f>AND('Badge Ticket Formats'!#REF!,"AAAAAFfXae0=")</f>
        <v>#REF!</v>
      </c>
      <c r="IE146" t="e">
        <f>AND('Badge Ticket Formats'!#REF!,"AAAAAFfXae4=")</f>
        <v>#REF!</v>
      </c>
      <c r="IF146" t="e">
        <f>AND('Badge Ticket Formats'!#REF!,"AAAAAFfXae8=")</f>
        <v>#REF!</v>
      </c>
      <c r="IG146" t="e">
        <f>AND('Badge Ticket Formats'!#REF!,"AAAAAFfXafA=")</f>
        <v>#REF!</v>
      </c>
      <c r="IH146" t="e">
        <f>AND('Badge Ticket Formats'!#REF!,"AAAAAFfXafE=")</f>
        <v>#REF!</v>
      </c>
      <c r="II146" t="e">
        <f>IF('Badge Ticket Formats'!#REF!,"AAAAAFfXafI=",0)</f>
        <v>#REF!</v>
      </c>
      <c r="IJ146" t="e">
        <f>AND('Badge Ticket Formats'!#REF!,"AAAAAFfXafM=")</f>
        <v>#REF!</v>
      </c>
      <c r="IK146" t="e">
        <f>AND('Badge Ticket Formats'!#REF!,"AAAAAFfXafQ=")</f>
        <v>#REF!</v>
      </c>
      <c r="IL146" t="e">
        <f>AND('Badge Ticket Formats'!#REF!,"AAAAAFfXafU=")</f>
        <v>#REF!</v>
      </c>
      <c r="IM146" t="e">
        <f>AND('Badge Ticket Formats'!#REF!,"AAAAAFfXafY=")</f>
        <v>#REF!</v>
      </c>
      <c r="IN146" t="e">
        <f>AND('Badge Ticket Formats'!#REF!,"AAAAAFfXafc=")</f>
        <v>#REF!</v>
      </c>
      <c r="IO146" t="e">
        <f>AND('Badge Ticket Formats'!#REF!,"AAAAAFfXafg=")</f>
        <v>#REF!</v>
      </c>
      <c r="IP146" t="e">
        <f>AND('Badge Ticket Formats'!#REF!,"AAAAAFfXafk=")</f>
        <v>#REF!</v>
      </c>
      <c r="IQ146" t="e">
        <f>AND('Badge Ticket Formats'!#REF!,"AAAAAFfXafo=")</f>
        <v>#REF!</v>
      </c>
      <c r="IR146" t="e">
        <f>AND('Badge Ticket Formats'!#REF!,"AAAAAFfXafs=")</f>
        <v>#REF!</v>
      </c>
      <c r="IS146" t="e">
        <f>AND('Badge Ticket Formats'!#REF!,"AAAAAFfXafw=")</f>
        <v>#REF!</v>
      </c>
      <c r="IT146" t="e">
        <f>AND('Badge Ticket Formats'!#REF!,"AAAAAFfXaf0=")</f>
        <v>#REF!</v>
      </c>
      <c r="IU146" t="e">
        <f>AND('Badge Ticket Formats'!#REF!,"AAAAAFfXaf4=")</f>
        <v>#REF!</v>
      </c>
      <c r="IV146" t="e">
        <f>AND('Badge Ticket Formats'!#REF!,"AAAAAFfXaf8=")</f>
        <v>#REF!</v>
      </c>
    </row>
    <row r="147" spans="1:256" x14ac:dyDescent="0.2">
      <c r="A147" t="e">
        <f>IF('Badge Ticket Formats'!#REF!,"AAAAAGn/rgA=",0)</f>
        <v>#REF!</v>
      </c>
      <c r="B147" t="e">
        <f>AND('Badge Ticket Formats'!#REF!,"AAAAAGn/rgE=")</f>
        <v>#REF!</v>
      </c>
      <c r="C147" t="e">
        <f>AND('Badge Ticket Formats'!#REF!,"AAAAAGn/rgI=")</f>
        <v>#REF!</v>
      </c>
      <c r="D147" t="e">
        <f>AND('Badge Ticket Formats'!#REF!,"AAAAAGn/rgM=")</f>
        <v>#REF!</v>
      </c>
      <c r="E147" t="e">
        <f>AND('Badge Ticket Formats'!#REF!,"AAAAAGn/rgQ=")</f>
        <v>#REF!</v>
      </c>
      <c r="F147" t="e">
        <f>AND('Badge Ticket Formats'!#REF!,"AAAAAGn/rgU=")</f>
        <v>#REF!</v>
      </c>
      <c r="G147" t="e">
        <f>AND('Badge Ticket Formats'!#REF!,"AAAAAGn/rgY=")</f>
        <v>#REF!</v>
      </c>
      <c r="H147" t="e">
        <f>AND('Badge Ticket Formats'!#REF!,"AAAAAGn/rgc=")</f>
        <v>#REF!</v>
      </c>
      <c r="I147" t="e">
        <f>AND('Badge Ticket Formats'!#REF!,"AAAAAGn/rgg=")</f>
        <v>#REF!</v>
      </c>
      <c r="J147" t="e">
        <f>AND('Badge Ticket Formats'!#REF!,"AAAAAGn/rgk=")</f>
        <v>#REF!</v>
      </c>
      <c r="K147" t="e">
        <f>AND('Badge Ticket Formats'!#REF!,"AAAAAGn/rgo=")</f>
        <v>#REF!</v>
      </c>
      <c r="L147" t="e">
        <f>AND('Badge Ticket Formats'!#REF!,"AAAAAGn/rgs=")</f>
        <v>#REF!</v>
      </c>
      <c r="M147" t="e">
        <f>AND('Badge Ticket Formats'!#REF!,"AAAAAGn/rgw=")</f>
        <v>#REF!</v>
      </c>
      <c r="N147" t="e">
        <f>AND('Badge Ticket Formats'!#REF!,"AAAAAGn/rg0=")</f>
        <v>#REF!</v>
      </c>
      <c r="O147" t="e">
        <f>IF('Badge Ticket Formats'!#REF!,"AAAAAGn/rg4=",0)</f>
        <v>#REF!</v>
      </c>
      <c r="P147" t="e">
        <f>AND('Badge Ticket Formats'!#REF!,"AAAAAGn/rg8=")</f>
        <v>#REF!</v>
      </c>
      <c r="Q147" t="e">
        <f>AND('Badge Ticket Formats'!#REF!,"AAAAAGn/rhA=")</f>
        <v>#REF!</v>
      </c>
      <c r="R147" t="e">
        <f>AND('Badge Ticket Formats'!#REF!,"AAAAAGn/rhE=")</f>
        <v>#REF!</v>
      </c>
      <c r="S147" t="e">
        <f>AND('Badge Ticket Formats'!#REF!,"AAAAAGn/rhI=")</f>
        <v>#REF!</v>
      </c>
      <c r="T147" t="e">
        <f>AND('Badge Ticket Formats'!#REF!,"AAAAAGn/rhM=")</f>
        <v>#REF!</v>
      </c>
      <c r="U147" t="e">
        <f>AND('Badge Ticket Formats'!#REF!,"AAAAAGn/rhQ=")</f>
        <v>#REF!</v>
      </c>
      <c r="V147" t="e">
        <f>AND('Badge Ticket Formats'!#REF!,"AAAAAGn/rhU=")</f>
        <v>#REF!</v>
      </c>
      <c r="W147" t="e">
        <f>AND('Badge Ticket Formats'!#REF!,"AAAAAGn/rhY=")</f>
        <v>#REF!</v>
      </c>
      <c r="X147" t="e">
        <f>AND('Badge Ticket Formats'!#REF!,"AAAAAGn/rhc=")</f>
        <v>#REF!</v>
      </c>
      <c r="Y147" t="e">
        <f>AND('Badge Ticket Formats'!#REF!,"AAAAAGn/rhg=")</f>
        <v>#REF!</v>
      </c>
      <c r="Z147" t="e">
        <f>AND('Badge Ticket Formats'!#REF!,"AAAAAGn/rhk=")</f>
        <v>#REF!</v>
      </c>
      <c r="AA147" t="e">
        <f>AND('Badge Ticket Formats'!#REF!,"AAAAAGn/rho=")</f>
        <v>#REF!</v>
      </c>
      <c r="AB147" t="e">
        <f>AND('Badge Ticket Formats'!#REF!,"AAAAAGn/rhs=")</f>
        <v>#REF!</v>
      </c>
      <c r="AC147" t="e">
        <f>IF('Badge Ticket Formats'!#REF!,"AAAAAGn/rhw=",0)</f>
        <v>#REF!</v>
      </c>
      <c r="AD147" t="e">
        <f>AND('Badge Ticket Formats'!#REF!,"AAAAAGn/rh0=")</f>
        <v>#REF!</v>
      </c>
      <c r="AE147" t="e">
        <f>AND('Badge Ticket Formats'!#REF!,"AAAAAGn/rh4=")</f>
        <v>#REF!</v>
      </c>
      <c r="AF147" t="e">
        <f>AND('Badge Ticket Formats'!#REF!,"AAAAAGn/rh8=")</f>
        <v>#REF!</v>
      </c>
      <c r="AG147" t="e">
        <f>AND('Badge Ticket Formats'!#REF!,"AAAAAGn/riA=")</f>
        <v>#REF!</v>
      </c>
      <c r="AH147" t="e">
        <f>AND('Badge Ticket Formats'!#REF!,"AAAAAGn/riE=")</f>
        <v>#REF!</v>
      </c>
      <c r="AI147" t="e">
        <f>AND('Badge Ticket Formats'!#REF!,"AAAAAGn/riI=")</f>
        <v>#REF!</v>
      </c>
      <c r="AJ147" t="e">
        <f>AND('Badge Ticket Formats'!#REF!,"AAAAAGn/riM=")</f>
        <v>#REF!</v>
      </c>
      <c r="AK147" t="e">
        <f>AND('Badge Ticket Formats'!#REF!,"AAAAAGn/riQ=")</f>
        <v>#REF!</v>
      </c>
      <c r="AL147" t="e">
        <f>AND('Badge Ticket Formats'!#REF!,"AAAAAGn/riU=")</f>
        <v>#REF!</v>
      </c>
      <c r="AM147" t="e">
        <f>AND('Badge Ticket Formats'!#REF!,"AAAAAGn/riY=")</f>
        <v>#REF!</v>
      </c>
      <c r="AN147" t="e">
        <f>AND('Badge Ticket Formats'!#REF!,"AAAAAGn/ric=")</f>
        <v>#REF!</v>
      </c>
      <c r="AO147" t="e">
        <f>AND('Badge Ticket Formats'!#REF!,"AAAAAGn/rig=")</f>
        <v>#REF!</v>
      </c>
      <c r="AP147" t="e">
        <f>AND('Badge Ticket Formats'!#REF!,"AAAAAGn/rik=")</f>
        <v>#REF!</v>
      </c>
      <c r="AQ147" t="e">
        <f>IF('Badge Ticket Formats'!#REF!,"AAAAAGn/rio=",0)</f>
        <v>#REF!</v>
      </c>
      <c r="AR147" t="e">
        <f>AND('Badge Ticket Formats'!#REF!,"AAAAAGn/ris=")</f>
        <v>#REF!</v>
      </c>
      <c r="AS147" t="e">
        <f>AND('Badge Ticket Formats'!#REF!,"AAAAAGn/riw=")</f>
        <v>#REF!</v>
      </c>
      <c r="AT147" t="e">
        <f>AND('Badge Ticket Formats'!#REF!,"AAAAAGn/ri0=")</f>
        <v>#REF!</v>
      </c>
      <c r="AU147" t="e">
        <f>AND('Badge Ticket Formats'!#REF!,"AAAAAGn/ri4=")</f>
        <v>#REF!</v>
      </c>
      <c r="AV147" t="e">
        <f>AND('Badge Ticket Formats'!#REF!,"AAAAAGn/ri8=")</f>
        <v>#REF!</v>
      </c>
      <c r="AW147" t="e">
        <f>AND('Badge Ticket Formats'!#REF!,"AAAAAGn/rjA=")</f>
        <v>#REF!</v>
      </c>
      <c r="AX147" t="e">
        <f>AND('Badge Ticket Formats'!#REF!,"AAAAAGn/rjE=")</f>
        <v>#REF!</v>
      </c>
      <c r="AY147" t="e">
        <f>AND('Badge Ticket Formats'!#REF!,"AAAAAGn/rjI=")</f>
        <v>#REF!</v>
      </c>
      <c r="AZ147" t="e">
        <f>AND('Badge Ticket Formats'!#REF!,"AAAAAGn/rjM=")</f>
        <v>#REF!</v>
      </c>
      <c r="BA147" t="e">
        <f>AND('Badge Ticket Formats'!#REF!,"AAAAAGn/rjQ=")</f>
        <v>#REF!</v>
      </c>
      <c r="BB147" t="e">
        <f>AND('Badge Ticket Formats'!#REF!,"AAAAAGn/rjU=")</f>
        <v>#REF!</v>
      </c>
      <c r="BC147" t="e">
        <f>AND('Badge Ticket Formats'!#REF!,"AAAAAGn/rjY=")</f>
        <v>#REF!</v>
      </c>
      <c r="BD147" t="e">
        <f>AND('Badge Ticket Formats'!#REF!,"AAAAAGn/rjc=")</f>
        <v>#REF!</v>
      </c>
      <c r="BE147" t="e">
        <f>IF('Badge Ticket Formats'!#REF!,"AAAAAGn/rjg=",0)</f>
        <v>#REF!</v>
      </c>
      <c r="BF147" t="e">
        <f>AND('Badge Ticket Formats'!#REF!,"AAAAAGn/rjk=")</f>
        <v>#REF!</v>
      </c>
      <c r="BG147" t="e">
        <f>AND('Badge Ticket Formats'!#REF!,"AAAAAGn/rjo=")</f>
        <v>#REF!</v>
      </c>
      <c r="BH147" t="e">
        <f>AND('Badge Ticket Formats'!#REF!,"AAAAAGn/rjs=")</f>
        <v>#REF!</v>
      </c>
      <c r="BI147" t="e">
        <f>AND('Badge Ticket Formats'!#REF!,"AAAAAGn/rjw=")</f>
        <v>#REF!</v>
      </c>
      <c r="BJ147" t="e">
        <f>AND('Badge Ticket Formats'!#REF!,"AAAAAGn/rj0=")</f>
        <v>#REF!</v>
      </c>
      <c r="BK147" t="e">
        <f>AND('Badge Ticket Formats'!#REF!,"AAAAAGn/rj4=")</f>
        <v>#REF!</v>
      </c>
      <c r="BL147" t="e">
        <f>AND('Badge Ticket Formats'!#REF!,"AAAAAGn/rj8=")</f>
        <v>#REF!</v>
      </c>
      <c r="BM147" t="e">
        <f>AND('Badge Ticket Formats'!#REF!,"AAAAAGn/rkA=")</f>
        <v>#REF!</v>
      </c>
      <c r="BN147" t="e">
        <f>AND('Badge Ticket Formats'!#REF!,"AAAAAGn/rkE=")</f>
        <v>#REF!</v>
      </c>
      <c r="BO147" t="e">
        <f>AND('Badge Ticket Formats'!#REF!,"AAAAAGn/rkI=")</f>
        <v>#REF!</v>
      </c>
      <c r="BP147" t="e">
        <f>AND('Badge Ticket Formats'!#REF!,"AAAAAGn/rkM=")</f>
        <v>#REF!</v>
      </c>
      <c r="BQ147" t="e">
        <f>AND('Badge Ticket Formats'!#REF!,"AAAAAGn/rkQ=")</f>
        <v>#REF!</v>
      </c>
      <c r="BR147" t="e">
        <f>AND('Badge Ticket Formats'!#REF!,"AAAAAGn/rkU=")</f>
        <v>#REF!</v>
      </c>
      <c r="BS147" t="e">
        <f>IF('Badge Ticket Formats'!#REF!,"AAAAAGn/rkY=",0)</f>
        <v>#REF!</v>
      </c>
      <c r="BT147" t="e">
        <f>AND('Badge Ticket Formats'!#REF!,"AAAAAGn/rkc=")</f>
        <v>#REF!</v>
      </c>
      <c r="BU147" t="e">
        <f>AND('Badge Ticket Formats'!#REF!,"AAAAAGn/rkg=")</f>
        <v>#REF!</v>
      </c>
      <c r="BV147" t="e">
        <f>AND('Badge Ticket Formats'!#REF!,"AAAAAGn/rkk=")</f>
        <v>#REF!</v>
      </c>
      <c r="BW147" t="e">
        <f>AND('Badge Ticket Formats'!#REF!,"AAAAAGn/rko=")</f>
        <v>#REF!</v>
      </c>
      <c r="BX147" t="e">
        <f>AND('Badge Ticket Formats'!#REF!,"AAAAAGn/rks=")</f>
        <v>#REF!</v>
      </c>
      <c r="BY147" t="e">
        <f>AND('Badge Ticket Formats'!#REF!,"AAAAAGn/rkw=")</f>
        <v>#REF!</v>
      </c>
      <c r="BZ147" t="e">
        <f>AND('Badge Ticket Formats'!#REF!,"AAAAAGn/rk0=")</f>
        <v>#REF!</v>
      </c>
      <c r="CA147" t="e">
        <f>AND('Badge Ticket Formats'!#REF!,"AAAAAGn/rk4=")</f>
        <v>#REF!</v>
      </c>
      <c r="CB147" t="e">
        <f>AND('Badge Ticket Formats'!#REF!,"AAAAAGn/rk8=")</f>
        <v>#REF!</v>
      </c>
      <c r="CC147" t="e">
        <f>AND('Badge Ticket Formats'!#REF!,"AAAAAGn/rlA=")</f>
        <v>#REF!</v>
      </c>
      <c r="CD147" t="e">
        <f>AND('Badge Ticket Formats'!#REF!,"AAAAAGn/rlE=")</f>
        <v>#REF!</v>
      </c>
      <c r="CE147" t="e">
        <f>AND('Badge Ticket Formats'!#REF!,"AAAAAGn/rlI=")</f>
        <v>#REF!</v>
      </c>
      <c r="CF147" t="e">
        <f>AND('Badge Ticket Formats'!#REF!,"AAAAAGn/rlM=")</f>
        <v>#REF!</v>
      </c>
      <c r="CG147" t="e">
        <f>IF('Badge Ticket Formats'!#REF!,"AAAAAGn/rlQ=",0)</f>
        <v>#REF!</v>
      </c>
      <c r="CH147" t="e">
        <f>AND('Badge Ticket Formats'!#REF!,"AAAAAGn/rlU=")</f>
        <v>#REF!</v>
      </c>
      <c r="CI147" t="e">
        <f>AND('Badge Ticket Formats'!#REF!,"AAAAAGn/rlY=")</f>
        <v>#REF!</v>
      </c>
      <c r="CJ147" t="e">
        <f>AND('Badge Ticket Formats'!#REF!,"AAAAAGn/rlc=")</f>
        <v>#REF!</v>
      </c>
      <c r="CK147" t="e">
        <f>AND('Badge Ticket Formats'!#REF!,"AAAAAGn/rlg=")</f>
        <v>#REF!</v>
      </c>
      <c r="CL147" t="e">
        <f>AND('Badge Ticket Formats'!#REF!,"AAAAAGn/rlk=")</f>
        <v>#REF!</v>
      </c>
      <c r="CM147" t="e">
        <f>AND('Badge Ticket Formats'!#REF!,"AAAAAGn/rlo=")</f>
        <v>#REF!</v>
      </c>
      <c r="CN147" t="e">
        <f>AND('Badge Ticket Formats'!#REF!,"AAAAAGn/rls=")</f>
        <v>#REF!</v>
      </c>
      <c r="CO147" t="e">
        <f>AND('Badge Ticket Formats'!#REF!,"AAAAAGn/rlw=")</f>
        <v>#REF!</v>
      </c>
      <c r="CP147" t="e">
        <f>AND('Badge Ticket Formats'!#REF!,"AAAAAGn/rl0=")</f>
        <v>#REF!</v>
      </c>
      <c r="CQ147" t="e">
        <f>AND('Badge Ticket Formats'!#REF!,"AAAAAGn/rl4=")</f>
        <v>#REF!</v>
      </c>
      <c r="CR147" t="e">
        <f>AND('Badge Ticket Formats'!#REF!,"AAAAAGn/rl8=")</f>
        <v>#REF!</v>
      </c>
      <c r="CS147" t="e">
        <f>AND('Badge Ticket Formats'!#REF!,"AAAAAGn/rmA=")</f>
        <v>#REF!</v>
      </c>
      <c r="CT147" t="e">
        <f>AND('Badge Ticket Formats'!#REF!,"AAAAAGn/rmE=")</f>
        <v>#REF!</v>
      </c>
      <c r="CU147" t="e">
        <f>IF('Badge Ticket Formats'!#REF!,"AAAAAGn/rmI=",0)</f>
        <v>#REF!</v>
      </c>
      <c r="CV147" t="e">
        <f>AND('Badge Ticket Formats'!#REF!,"AAAAAGn/rmM=")</f>
        <v>#REF!</v>
      </c>
      <c r="CW147" t="e">
        <f>AND('Badge Ticket Formats'!#REF!,"AAAAAGn/rmQ=")</f>
        <v>#REF!</v>
      </c>
      <c r="CX147" t="e">
        <f>AND('Badge Ticket Formats'!#REF!,"AAAAAGn/rmU=")</f>
        <v>#REF!</v>
      </c>
      <c r="CY147" t="e">
        <f>AND('Badge Ticket Formats'!#REF!,"AAAAAGn/rmY=")</f>
        <v>#REF!</v>
      </c>
      <c r="CZ147" t="e">
        <f>AND('Badge Ticket Formats'!#REF!,"AAAAAGn/rmc=")</f>
        <v>#REF!</v>
      </c>
      <c r="DA147" t="e">
        <f>AND('Badge Ticket Formats'!#REF!,"AAAAAGn/rmg=")</f>
        <v>#REF!</v>
      </c>
      <c r="DB147" t="e">
        <f>AND('Badge Ticket Formats'!#REF!,"AAAAAGn/rmk=")</f>
        <v>#REF!</v>
      </c>
      <c r="DC147" t="e">
        <f>AND('Badge Ticket Formats'!#REF!,"AAAAAGn/rmo=")</f>
        <v>#REF!</v>
      </c>
      <c r="DD147" t="e">
        <f>AND('Badge Ticket Formats'!#REF!,"AAAAAGn/rms=")</f>
        <v>#REF!</v>
      </c>
      <c r="DE147" t="e">
        <f>AND('Badge Ticket Formats'!#REF!,"AAAAAGn/rmw=")</f>
        <v>#REF!</v>
      </c>
      <c r="DF147" t="e">
        <f>AND('Badge Ticket Formats'!#REF!,"AAAAAGn/rm0=")</f>
        <v>#REF!</v>
      </c>
      <c r="DG147" t="e">
        <f>AND('Badge Ticket Formats'!#REF!,"AAAAAGn/rm4=")</f>
        <v>#REF!</v>
      </c>
      <c r="DH147" t="e">
        <f>AND('Badge Ticket Formats'!#REF!,"AAAAAGn/rm8=")</f>
        <v>#REF!</v>
      </c>
      <c r="DI147" t="e">
        <f>IF('Badge Ticket Formats'!#REF!,"AAAAAGn/rnA=",0)</f>
        <v>#REF!</v>
      </c>
      <c r="DJ147" t="e">
        <f>AND('Badge Ticket Formats'!#REF!,"AAAAAGn/rnE=")</f>
        <v>#REF!</v>
      </c>
      <c r="DK147" t="e">
        <f>AND('Badge Ticket Formats'!#REF!,"AAAAAGn/rnI=")</f>
        <v>#REF!</v>
      </c>
      <c r="DL147" t="e">
        <f>AND('Badge Ticket Formats'!#REF!,"AAAAAGn/rnM=")</f>
        <v>#REF!</v>
      </c>
      <c r="DM147" t="e">
        <f>AND('Badge Ticket Formats'!#REF!,"AAAAAGn/rnQ=")</f>
        <v>#REF!</v>
      </c>
      <c r="DN147" t="e">
        <f>AND('Badge Ticket Formats'!#REF!,"AAAAAGn/rnU=")</f>
        <v>#REF!</v>
      </c>
      <c r="DO147" t="e">
        <f>AND('Badge Ticket Formats'!#REF!,"AAAAAGn/rnY=")</f>
        <v>#REF!</v>
      </c>
      <c r="DP147" t="e">
        <f>AND('Badge Ticket Formats'!#REF!,"AAAAAGn/rnc=")</f>
        <v>#REF!</v>
      </c>
      <c r="DQ147" t="e">
        <f>AND('Badge Ticket Formats'!#REF!,"AAAAAGn/rng=")</f>
        <v>#REF!</v>
      </c>
      <c r="DR147" t="e">
        <f>AND('Badge Ticket Formats'!#REF!,"AAAAAGn/rnk=")</f>
        <v>#REF!</v>
      </c>
      <c r="DS147" t="e">
        <f>AND('Badge Ticket Formats'!#REF!,"AAAAAGn/rno=")</f>
        <v>#REF!</v>
      </c>
      <c r="DT147" t="e">
        <f>AND('Badge Ticket Formats'!#REF!,"AAAAAGn/rns=")</f>
        <v>#REF!</v>
      </c>
      <c r="DU147" t="e">
        <f>AND('Badge Ticket Formats'!#REF!,"AAAAAGn/rnw=")</f>
        <v>#REF!</v>
      </c>
      <c r="DV147" t="e">
        <f>AND('Badge Ticket Formats'!#REF!,"AAAAAGn/rn0=")</f>
        <v>#REF!</v>
      </c>
      <c r="DW147" t="e">
        <f>IF('Badge Ticket Formats'!#REF!,"AAAAAGn/rn4=",0)</f>
        <v>#REF!</v>
      </c>
      <c r="DX147" t="e">
        <f>AND('Badge Ticket Formats'!#REF!,"AAAAAGn/rn8=")</f>
        <v>#REF!</v>
      </c>
      <c r="DY147" t="e">
        <f>AND('Badge Ticket Formats'!#REF!,"AAAAAGn/roA=")</f>
        <v>#REF!</v>
      </c>
      <c r="DZ147" t="e">
        <f>AND('Badge Ticket Formats'!#REF!,"AAAAAGn/roE=")</f>
        <v>#REF!</v>
      </c>
      <c r="EA147" t="e">
        <f>AND('Badge Ticket Formats'!#REF!,"AAAAAGn/roI=")</f>
        <v>#REF!</v>
      </c>
      <c r="EB147" t="e">
        <f>AND('Badge Ticket Formats'!#REF!,"AAAAAGn/roM=")</f>
        <v>#REF!</v>
      </c>
      <c r="EC147" t="e">
        <f>AND('Badge Ticket Formats'!#REF!,"AAAAAGn/roQ=")</f>
        <v>#REF!</v>
      </c>
      <c r="ED147" t="e">
        <f>AND('Badge Ticket Formats'!#REF!,"AAAAAGn/roU=")</f>
        <v>#REF!</v>
      </c>
      <c r="EE147" t="e">
        <f>AND('Badge Ticket Formats'!#REF!,"AAAAAGn/roY=")</f>
        <v>#REF!</v>
      </c>
      <c r="EF147" t="e">
        <f>AND('Badge Ticket Formats'!#REF!,"AAAAAGn/roc=")</f>
        <v>#REF!</v>
      </c>
      <c r="EG147" t="e">
        <f>AND('Badge Ticket Formats'!#REF!,"AAAAAGn/rog=")</f>
        <v>#REF!</v>
      </c>
      <c r="EH147" t="e">
        <f>AND('Badge Ticket Formats'!#REF!,"AAAAAGn/rok=")</f>
        <v>#REF!</v>
      </c>
      <c r="EI147" t="e">
        <f>AND('Badge Ticket Formats'!#REF!,"AAAAAGn/roo=")</f>
        <v>#REF!</v>
      </c>
      <c r="EJ147" t="e">
        <f>AND('Badge Ticket Formats'!#REF!,"AAAAAGn/ros=")</f>
        <v>#REF!</v>
      </c>
      <c r="EK147" t="e">
        <f>IF('Badge Ticket Formats'!#REF!,"AAAAAGn/row=",0)</f>
        <v>#REF!</v>
      </c>
      <c r="EL147" t="e">
        <f>AND('Badge Ticket Formats'!#REF!,"AAAAAGn/ro0=")</f>
        <v>#REF!</v>
      </c>
      <c r="EM147" t="e">
        <f>AND('Badge Ticket Formats'!#REF!,"AAAAAGn/ro4=")</f>
        <v>#REF!</v>
      </c>
      <c r="EN147" t="e">
        <f>AND('Badge Ticket Formats'!#REF!,"AAAAAGn/ro8=")</f>
        <v>#REF!</v>
      </c>
      <c r="EO147" t="e">
        <f>AND('Badge Ticket Formats'!#REF!,"AAAAAGn/rpA=")</f>
        <v>#REF!</v>
      </c>
      <c r="EP147" t="e">
        <f>AND('Badge Ticket Formats'!#REF!,"AAAAAGn/rpE=")</f>
        <v>#REF!</v>
      </c>
      <c r="EQ147" t="e">
        <f>AND('Badge Ticket Formats'!#REF!,"AAAAAGn/rpI=")</f>
        <v>#REF!</v>
      </c>
      <c r="ER147" t="e">
        <f>AND('Badge Ticket Formats'!#REF!,"AAAAAGn/rpM=")</f>
        <v>#REF!</v>
      </c>
      <c r="ES147" t="e">
        <f>AND('Badge Ticket Formats'!#REF!,"AAAAAGn/rpQ=")</f>
        <v>#REF!</v>
      </c>
      <c r="ET147" t="e">
        <f>AND('Badge Ticket Formats'!#REF!,"AAAAAGn/rpU=")</f>
        <v>#REF!</v>
      </c>
      <c r="EU147" t="e">
        <f>AND('Badge Ticket Formats'!#REF!,"AAAAAGn/rpY=")</f>
        <v>#REF!</v>
      </c>
      <c r="EV147" t="e">
        <f>AND('Badge Ticket Formats'!#REF!,"AAAAAGn/rpc=")</f>
        <v>#REF!</v>
      </c>
      <c r="EW147" t="e">
        <f>AND('Badge Ticket Formats'!#REF!,"AAAAAGn/rpg=")</f>
        <v>#REF!</v>
      </c>
      <c r="EX147" t="e">
        <f>AND('Badge Ticket Formats'!#REF!,"AAAAAGn/rpk=")</f>
        <v>#REF!</v>
      </c>
      <c r="EY147" t="e">
        <f>IF('Badge Ticket Formats'!#REF!,"AAAAAGn/rpo=",0)</f>
        <v>#REF!</v>
      </c>
      <c r="EZ147" t="e">
        <f>AND('Badge Ticket Formats'!#REF!,"AAAAAGn/rps=")</f>
        <v>#REF!</v>
      </c>
      <c r="FA147" t="e">
        <f>AND('Badge Ticket Formats'!#REF!,"AAAAAGn/rpw=")</f>
        <v>#REF!</v>
      </c>
      <c r="FB147" t="e">
        <f>AND('Badge Ticket Formats'!#REF!,"AAAAAGn/rp0=")</f>
        <v>#REF!</v>
      </c>
      <c r="FC147" t="e">
        <f>AND('Badge Ticket Formats'!#REF!,"AAAAAGn/rp4=")</f>
        <v>#REF!</v>
      </c>
      <c r="FD147" t="e">
        <f>AND('Badge Ticket Formats'!#REF!,"AAAAAGn/rp8=")</f>
        <v>#REF!</v>
      </c>
      <c r="FE147" t="e">
        <f>AND('Badge Ticket Formats'!#REF!,"AAAAAGn/rqA=")</f>
        <v>#REF!</v>
      </c>
      <c r="FF147" t="e">
        <f>AND('Badge Ticket Formats'!#REF!,"AAAAAGn/rqE=")</f>
        <v>#REF!</v>
      </c>
      <c r="FG147" t="e">
        <f>AND('Badge Ticket Formats'!#REF!,"AAAAAGn/rqI=")</f>
        <v>#REF!</v>
      </c>
      <c r="FH147" t="e">
        <f>AND('Badge Ticket Formats'!#REF!,"AAAAAGn/rqM=")</f>
        <v>#REF!</v>
      </c>
      <c r="FI147" t="e">
        <f>AND('Badge Ticket Formats'!#REF!,"AAAAAGn/rqQ=")</f>
        <v>#REF!</v>
      </c>
      <c r="FJ147" t="e">
        <f>AND('Badge Ticket Formats'!#REF!,"AAAAAGn/rqU=")</f>
        <v>#REF!</v>
      </c>
      <c r="FK147" t="e">
        <f>AND('Badge Ticket Formats'!#REF!,"AAAAAGn/rqY=")</f>
        <v>#REF!</v>
      </c>
      <c r="FL147" t="e">
        <f>AND('Badge Ticket Formats'!#REF!,"AAAAAGn/rqc=")</f>
        <v>#REF!</v>
      </c>
      <c r="FM147" t="e">
        <f>IF('Badge Ticket Formats'!#REF!,"AAAAAGn/rqg=",0)</f>
        <v>#REF!</v>
      </c>
      <c r="FN147" t="e">
        <f>AND('Badge Ticket Formats'!#REF!,"AAAAAGn/rqk=")</f>
        <v>#REF!</v>
      </c>
      <c r="FO147" t="e">
        <f>AND('Badge Ticket Formats'!#REF!,"AAAAAGn/rqo=")</f>
        <v>#REF!</v>
      </c>
      <c r="FP147" t="e">
        <f>AND('Badge Ticket Formats'!#REF!,"AAAAAGn/rqs=")</f>
        <v>#REF!</v>
      </c>
      <c r="FQ147" t="e">
        <f>AND('Badge Ticket Formats'!#REF!,"AAAAAGn/rqw=")</f>
        <v>#REF!</v>
      </c>
      <c r="FR147" t="e">
        <f>AND('Badge Ticket Formats'!#REF!,"AAAAAGn/rq0=")</f>
        <v>#REF!</v>
      </c>
      <c r="FS147" t="e">
        <f>AND('Badge Ticket Formats'!#REF!,"AAAAAGn/rq4=")</f>
        <v>#REF!</v>
      </c>
      <c r="FT147" t="e">
        <f>AND('Badge Ticket Formats'!#REF!,"AAAAAGn/rq8=")</f>
        <v>#REF!</v>
      </c>
      <c r="FU147" t="e">
        <f>AND('Badge Ticket Formats'!#REF!,"AAAAAGn/rrA=")</f>
        <v>#REF!</v>
      </c>
      <c r="FV147" t="e">
        <f>AND('Badge Ticket Formats'!#REF!,"AAAAAGn/rrE=")</f>
        <v>#REF!</v>
      </c>
      <c r="FW147" t="e">
        <f>AND('Badge Ticket Formats'!#REF!,"AAAAAGn/rrI=")</f>
        <v>#REF!</v>
      </c>
      <c r="FX147" t="e">
        <f>AND('Badge Ticket Formats'!#REF!,"AAAAAGn/rrM=")</f>
        <v>#REF!</v>
      </c>
      <c r="FY147" t="e">
        <f>AND('Badge Ticket Formats'!#REF!,"AAAAAGn/rrQ=")</f>
        <v>#REF!</v>
      </c>
      <c r="FZ147" t="e">
        <f>AND('Badge Ticket Formats'!#REF!,"AAAAAGn/rrU=")</f>
        <v>#REF!</v>
      </c>
      <c r="GA147" t="e">
        <f>IF('Badge Ticket Formats'!#REF!,"AAAAAGn/rrY=",0)</f>
        <v>#REF!</v>
      </c>
      <c r="GB147" t="e">
        <f>AND('Badge Ticket Formats'!#REF!,"AAAAAGn/rrc=")</f>
        <v>#REF!</v>
      </c>
      <c r="GC147" t="e">
        <f>AND('Badge Ticket Formats'!#REF!,"AAAAAGn/rrg=")</f>
        <v>#REF!</v>
      </c>
      <c r="GD147" t="e">
        <f>AND('Badge Ticket Formats'!#REF!,"AAAAAGn/rrk=")</f>
        <v>#REF!</v>
      </c>
      <c r="GE147" t="e">
        <f>AND('Badge Ticket Formats'!#REF!,"AAAAAGn/rro=")</f>
        <v>#REF!</v>
      </c>
      <c r="GF147" t="e">
        <f>AND('Badge Ticket Formats'!#REF!,"AAAAAGn/rrs=")</f>
        <v>#REF!</v>
      </c>
      <c r="GG147" t="e">
        <f>AND('Badge Ticket Formats'!#REF!,"AAAAAGn/rrw=")</f>
        <v>#REF!</v>
      </c>
      <c r="GH147" t="e">
        <f>AND('Badge Ticket Formats'!#REF!,"AAAAAGn/rr0=")</f>
        <v>#REF!</v>
      </c>
      <c r="GI147" t="e">
        <f>AND('Badge Ticket Formats'!#REF!,"AAAAAGn/rr4=")</f>
        <v>#REF!</v>
      </c>
      <c r="GJ147" t="e">
        <f>AND('Badge Ticket Formats'!#REF!,"AAAAAGn/rr8=")</f>
        <v>#REF!</v>
      </c>
      <c r="GK147" t="e">
        <f>AND('Badge Ticket Formats'!#REF!,"AAAAAGn/rsA=")</f>
        <v>#REF!</v>
      </c>
      <c r="GL147" t="e">
        <f>AND('Badge Ticket Formats'!#REF!,"AAAAAGn/rsE=")</f>
        <v>#REF!</v>
      </c>
      <c r="GM147" t="e">
        <f>AND('Badge Ticket Formats'!#REF!,"AAAAAGn/rsI=")</f>
        <v>#REF!</v>
      </c>
      <c r="GN147" t="e">
        <f>AND('Badge Ticket Formats'!#REF!,"AAAAAGn/rsM=")</f>
        <v>#REF!</v>
      </c>
      <c r="GO147" t="e">
        <f>IF('Badge Ticket Formats'!#REF!,"AAAAAGn/rsQ=",0)</f>
        <v>#REF!</v>
      </c>
      <c r="GP147" t="e">
        <f>AND('Badge Ticket Formats'!#REF!,"AAAAAGn/rsU=")</f>
        <v>#REF!</v>
      </c>
      <c r="GQ147" t="e">
        <f>AND('Badge Ticket Formats'!#REF!,"AAAAAGn/rsY=")</f>
        <v>#REF!</v>
      </c>
      <c r="GR147" t="e">
        <f>AND('Badge Ticket Formats'!#REF!,"AAAAAGn/rsc=")</f>
        <v>#REF!</v>
      </c>
      <c r="GS147" t="e">
        <f>AND('Badge Ticket Formats'!#REF!,"AAAAAGn/rsg=")</f>
        <v>#REF!</v>
      </c>
      <c r="GT147" t="e">
        <f>AND('Badge Ticket Formats'!#REF!,"AAAAAGn/rsk=")</f>
        <v>#REF!</v>
      </c>
      <c r="GU147" t="e">
        <f>AND('Badge Ticket Formats'!#REF!,"AAAAAGn/rso=")</f>
        <v>#REF!</v>
      </c>
      <c r="GV147" t="e">
        <f>AND('Badge Ticket Formats'!#REF!,"AAAAAGn/rss=")</f>
        <v>#REF!</v>
      </c>
      <c r="GW147" t="e">
        <f>AND('Badge Ticket Formats'!#REF!,"AAAAAGn/rsw=")</f>
        <v>#REF!</v>
      </c>
      <c r="GX147" t="e">
        <f>AND('Badge Ticket Formats'!#REF!,"AAAAAGn/rs0=")</f>
        <v>#REF!</v>
      </c>
      <c r="GY147" t="e">
        <f>AND('Badge Ticket Formats'!#REF!,"AAAAAGn/rs4=")</f>
        <v>#REF!</v>
      </c>
      <c r="GZ147" t="e">
        <f>AND('Badge Ticket Formats'!#REF!,"AAAAAGn/rs8=")</f>
        <v>#REF!</v>
      </c>
      <c r="HA147" t="e">
        <f>AND('Badge Ticket Formats'!#REF!,"AAAAAGn/rtA=")</f>
        <v>#REF!</v>
      </c>
      <c r="HB147" t="e">
        <f>AND('Badge Ticket Formats'!#REF!,"AAAAAGn/rtE=")</f>
        <v>#REF!</v>
      </c>
      <c r="HC147" t="e">
        <f>IF('Badge Ticket Formats'!#REF!,"AAAAAGn/rtI=",0)</f>
        <v>#REF!</v>
      </c>
      <c r="HD147" t="e">
        <f>AND('Badge Ticket Formats'!#REF!,"AAAAAGn/rtM=")</f>
        <v>#REF!</v>
      </c>
      <c r="HE147" t="e">
        <f>AND('Badge Ticket Formats'!#REF!,"AAAAAGn/rtQ=")</f>
        <v>#REF!</v>
      </c>
      <c r="HF147" t="e">
        <f>AND('Badge Ticket Formats'!#REF!,"AAAAAGn/rtU=")</f>
        <v>#REF!</v>
      </c>
      <c r="HG147" t="e">
        <f>AND('Badge Ticket Formats'!#REF!,"AAAAAGn/rtY=")</f>
        <v>#REF!</v>
      </c>
      <c r="HH147" t="e">
        <f>AND('Badge Ticket Formats'!#REF!,"AAAAAGn/rtc=")</f>
        <v>#REF!</v>
      </c>
      <c r="HI147" t="e">
        <f>AND('Badge Ticket Formats'!#REF!,"AAAAAGn/rtg=")</f>
        <v>#REF!</v>
      </c>
      <c r="HJ147" t="e">
        <f>AND('Badge Ticket Formats'!#REF!,"AAAAAGn/rtk=")</f>
        <v>#REF!</v>
      </c>
      <c r="HK147" t="e">
        <f>AND('Badge Ticket Formats'!#REF!,"AAAAAGn/rto=")</f>
        <v>#REF!</v>
      </c>
      <c r="HL147" t="e">
        <f>AND('Badge Ticket Formats'!#REF!,"AAAAAGn/rts=")</f>
        <v>#REF!</v>
      </c>
      <c r="HM147" t="e">
        <f>AND('Badge Ticket Formats'!#REF!,"AAAAAGn/rtw=")</f>
        <v>#REF!</v>
      </c>
      <c r="HN147" t="e">
        <f>AND('Badge Ticket Formats'!#REF!,"AAAAAGn/rt0=")</f>
        <v>#REF!</v>
      </c>
      <c r="HO147" t="e">
        <f>AND('Badge Ticket Formats'!#REF!,"AAAAAGn/rt4=")</f>
        <v>#REF!</v>
      </c>
      <c r="HP147" t="e">
        <f>AND('Badge Ticket Formats'!#REF!,"AAAAAGn/rt8=")</f>
        <v>#REF!</v>
      </c>
      <c r="HQ147" t="e">
        <f>IF('Badge Ticket Formats'!#REF!,"AAAAAGn/ruA=",0)</f>
        <v>#REF!</v>
      </c>
      <c r="HR147" t="e">
        <f>AND('Badge Ticket Formats'!#REF!,"AAAAAGn/ruE=")</f>
        <v>#REF!</v>
      </c>
      <c r="HS147" t="e">
        <f>AND('Badge Ticket Formats'!#REF!,"AAAAAGn/ruI=")</f>
        <v>#REF!</v>
      </c>
      <c r="HT147" t="e">
        <f>AND('Badge Ticket Formats'!#REF!,"AAAAAGn/ruM=")</f>
        <v>#REF!</v>
      </c>
      <c r="HU147" t="e">
        <f>AND('Badge Ticket Formats'!#REF!,"AAAAAGn/ruQ=")</f>
        <v>#REF!</v>
      </c>
      <c r="HV147" t="e">
        <f>AND('Badge Ticket Formats'!#REF!,"AAAAAGn/ruU=")</f>
        <v>#REF!</v>
      </c>
      <c r="HW147" t="e">
        <f>AND('Badge Ticket Formats'!#REF!,"AAAAAGn/ruY=")</f>
        <v>#REF!</v>
      </c>
      <c r="HX147" t="e">
        <f>AND('Badge Ticket Formats'!#REF!,"AAAAAGn/ruc=")</f>
        <v>#REF!</v>
      </c>
      <c r="HY147" t="e">
        <f>AND('Badge Ticket Formats'!#REF!,"AAAAAGn/rug=")</f>
        <v>#REF!</v>
      </c>
      <c r="HZ147" t="e">
        <f>AND('Badge Ticket Formats'!#REF!,"AAAAAGn/ruk=")</f>
        <v>#REF!</v>
      </c>
      <c r="IA147" t="e">
        <f>AND('Badge Ticket Formats'!#REF!,"AAAAAGn/ruo=")</f>
        <v>#REF!</v>
      </c>
      <c r="IB147" t="e">
        <f>AND('Badge Ticket Formats'!#REF!,"AAAAAGn/rus=")</f>
        <v>#REF!</v>
      </c>
      <c r="IC147" t="e">
        <f>AND('Badge Ticket Formats'!#REF!,"AAAAAGn/ruw=")</f>
        <v>#REF!</v>
      </c>
      <c r="ID147" t="e">
        <f>AND('Badge Ticket Formats'!#REF!,"AAAAAGn/ru0=")</f>
        <v>#REF!</v>
      </c>
      <c r="IE147" t="e">
        <f>IF('Badge Ticket Formats'!#REF!,"AAAAAGn/ru4=",0)</f>
        <v>#REF!</v>
      </c>
      <c r="IF147" t="e">
        <f>AND('Badge Ticket Formats'!#REF!,"AAAAAGn/ru8=")</f>
        <v>#REF!</v>
      </c>
      <c r="IG147" t="e">
        <f>AND('Badge Ticket Formats'!#REF!,"AAAAAGn/rvA=")</f>
        <v>#REF!</v>
      </c>
      <c r="IH147" t="e">
        <f>AND('Badge Ticket Formats'!#REF!,"AAAAAGn/rvE=")</f>
        <v>#REF!</v>
      </c>
      <c r="II147" t="e">
        <f>AND('Badge Ticket Formats'!#REF!,"AAAAAGn/rvI=")</f>
        <v>#REF!</v>
      </c>
      <c r="IJ147" t="e">
        <f>AND('Badge Ticket Formats'!#REF!,"AAAAAGn/rvM=")</f>
        <v>#REF!</v>
      </c>
      <c r="IK147" t="e">
        <f>AND('Badge Ticket Formats'!#REF!,"AAAAAGn/rvQ=")</f>
        <v>#REF!</v>
      </c>
      <c r="IL147" t="e">
        <f>AND('Badge Ticket Formats'!#REF!,"AAAAAGn/rvU=")</f>
        <v>#REF!</v>
      </c>
      <c r="IM147" t="e">
        <f>AND('Badge Ticket Formats'!#REF!,"AAAAAGn/rvY=")</f>
        <v>#REF!</v>
      </c>
      <c r="IN147" t="e">
        <f>AND('Badge Ticket Formats'!#REF!,"AAAAAGn/rvc=")</f>
        <v>#REF!</v>
      </c>
      <c r="IO147" t="e">
        <f>AND('Badge Ticket Formats'!#REF!,"AAAAAGn/rvg=")</f>
        <v>#REF!</v>
      </c>
      <c r="IP147" t="e">
        <f>AND('Badge Ticket Formats'!#REF!,"AAAAAGn/rvk=")</f>
        <v>#REF!</v>
      </c>
      <c r="IQ147" t="e">
        <f>AND('Badge Ticket Formats'!#REF!,"AAAAAGn/rvo=")</f>
        <v>#REF!</v>
      </c>
      <c r="IR147" t="e">
        <f>AND('Badge Ticket Formats'!#REF!,"AAAAAGn/rvs=")</f>
        <v>#REF!</v>
      </c>
      <c r="IS147" t="e">
        <f>IF('Badge Ticket Formats'!#REF!,"AAAAAGn/rvw=",0)</f>
        <v>#REF!</v>
      </c>
      <c r="IT147" t="e">
        <f>AND('Badge Ticket Formats'!#REF!,"AAAAAGn/rv0=")</f>
        <v>#REF!</v>
      </c>
      <c r="IU147" t="e">
        <f>AND('Badge Ticket Formats'!#REF!,"AAAAAGn/rv4=")</f>
        <v>#REF!</v>
      </c>
      <c r="IV147" t="e">
        <f>AND('Badge Ticket Formats'!#REF!,"AAAAAGn/rv8=")</f>
        <v>#REF!</v>
      </c>
    </row>
    <row r="148" spans="1:256" x14ac:dyDescent="0.2">
      <c r="A148" t="e">
        <f>AND('Badge Ticket Formats'!#REF!,"AAAAAA/8+wA=")</f>
        <v>#REF!</v>
      </c>
      <c r="B148" t="e">
        <f>AND('Badge Ticket Formats'!#REF!,"AAAAAA/8+wE=")</f>
        <v>#REF!</v>
      </c>
      <c r="C148" t="e">
        <f>AND('Badge Ticket Formats'!#REF!,"AAAAAA/8+wI=")</f>
        <v>#REF!</v>
      </c>
      <c r="D148" t="e">
        <f>AND('Badge Ticket Formats'!#REF!,"AAAAAA/8+wM=")</f>
        <v>#REF!</v>
      </c>
      <c r="E148" t="e">
        <f>AND('Badge Ticket Formats'!#REF!,"AAAAAA/8+wQ=")</f>
        <v>#REF!</v>
      </c>
      <c r="F148" t="e">
        <f>AND('Badge Ticket Formats'!#REF!,"AAAAAA/8+wU=")</f>
        <v>#REF!</v>
      </c>
      <c r="G148" t="e">
        <f>AND('Badge Ticket Formats'!#REF!,"AAAAAA/8+wY=")</f>
        <v>#REF!</v>
      </c>
      <c r="H148" t="e">
        <f>AND('Badge Ticket Formats'!#REF!,"AAAAAA/8+wc=")</f>
        <v>#REF!</v>
      </c>
      <c r="I148" t="e">
        <f>AND('Badge Ticket Formats'!#REF!,"AAAAAA/8+wg=")</f>
        <v>#REF!</v>
      </c>
      <c r="J148" t="e">
        <f>AND('Badge Ticket Formats'!#REF!,"AAAAAA/8+wk=")</f>
        <v>#REF!</v>
      </c>
      <c r="K148" t="e">
        <f>IF('Badge Ticket Formats'!#REF!,"AAAAAA/8+wo=",0)</f>
        <v>#REF!</v>
      </c>
      <c r="L148" t="e">
        <f>AND('Badge Ticket Formats'!#REF!,"AAAAAA/8+ws=")</f>
        <v>#REF!</v>
      </c>
      <c r="M148" t="e">
        <f>AND('Badge Ticket Formats'!#REF!,"AAAAAA/8+ww=")</f>
        <v>#REF!</v>
      </c>
      <c r="N148" t="e">
        <f>AND('Badge Ticket Formats'!#REF!,"AAAAAA/8+w0=")</f>
        <v>#REF!</v>
      </c>
      <c r="O148" t="e">
        <f>AND('Badge Ticket Formats'!#REF!,"AAAAAA/8+w4=")</f>
        <v>#REF!</v>
      </c>
      <c r="P148" t="e">
        <f>AND('Badge Ticket Formats'!#REF!,"AAAAAA/8+w8=")</f>
        <v>#REF!</v>
      </c>
      <c r="Q148" t="e">
        <f>AND('Badge Ticket Formats'!#REF!,"AAAAAA/8+xA=")</f>
        <v>#REF!</v>
      </c>
      <c r="R148" t="e">
        <f>AND('Badge Ticket Formats'!#REF!,"AAAAAA/8+xE=")</f>
        <v>#REF!</v>
      </c>
      <c r="S148" t="e">
        <f>AND('Badge Ticket Formats'!#REF!,"AAAAAA/8+xI=")</f>
        <v>#REF!</v>
      </c>
      <c r="T148" t="e">
        <f>AND('Badge Ticket Formats'!#REF!,"AAAAAA/8+xM=")</f>
        <v>#REF!</v>
      </c>
      <c r="U148" t="e">
        <f>AND('Badge Ticket Formats'!#REF!,"AAAAAA/8+xQ=")</f>
        <v>#REF!</v>
      </c>
      <c r="V148" t="e">
        <f>AND('Badge Ticket Formats'!#REF!,"AAAAAA/8+xU=")</f>
        <v>#REF!</v>
      </c>
      <c r="W148" t="e">
        <f>AND('Badge Ticket Formats'!#REF!,"AAAAAA/8+xY=")</f>
        <v>#REF!</v>
      </c>
      <c r="X148" t="e">
        <f>AND('Badge Ticket Formats'!#REF!,"AAAAAA/8+xc=")</f>
        <v>#REF!</v>
      </c>
      <c r="Y148" t="e">
        <f>IF('Badge Ticket Formats'!#REF!,"AAAAAA/8+xg=",0)</f>
        <v>#REF!</v>
      </c>
      <c r="Z148" t="e">
        <f>AND('Badge Ticket Formats'!#REF!,"AAAAAA/8+xk=")</f>
        <v>#REF!</v>
      </c>
      <c r="AA148" t="e">
        <f>AND('Badge Ticket Formats'!#REF!,"AAAAAA/8+xo=")</f>
        <v>#REF!</v>
      </c>
      <c r="AB148" t="e">
        <f>AND('Badge Ticket Formats'!#REF!,"AAAAAA/8+xs=")</f>
        <v>#REF!</v>
      </c>
      <c r="AC148" t="e">
        <f>AND('Badge Ticket Formats'!#REF!,"AAAAAA/8+xw=")</f>
        <v>#REF!</v>
      </c>
      <c r="AD148" t="e">
        <f>AND('Badge Ticket Formats'!#REF!,"AAAAAA/8+x0=")</f>
        <v>#REF!</v>
      </c>
      <c r="AE148" t="e">
        <f>AND('Badge Ticket Formats'!#REF!,"AAAAAA/8+x4=")</f>
        <v>#REF!</v>
      </c>
      <c r="AF148" t="e">
        <f>AND('Badge Ticket Formats'!#REF!,"AAAAAA/8+x8=")</f>
        <v>#REF!</v>
      </c>
      <c r="AG148" t="e">
        <f>AND('Badge Ticket Formats'!#REF!,"AAAAAA/8+yA=")</f>
        <v>#REF!</v>
      </c>
      <c r="AH148" t="e">
        <f>AND('Badge Ticket Formats'!#REF!,"AAAAAA/8+yE=")</f>
        <v>#REF!</v>
      </c>
      <c r="AI148" t="e">
        <f>AND('Badge Ticket Formats'!#REF!,"AAAAAA/8+yI=")</f>
        <v>#REF!</v>
      </c>
      <c r="AJ148" t="e">
        <f>AND('Badge Ticket Formats'!#REF!,"AAAAAA/8+yM=")</f>
        <v>#REF!</v>
      </c>
      <c r="AK148" t="e">
        <f>AND('Badge Ticket Formats'!#REF!,"AAAAAA/8+yQ=")</f>
        <v>#REF!</v>
      </c>
      <c r="AL148" t="e">
        <f>AND('Badge Ticket Formats'!#REF!,"AAAAAA/8+yU=")</f>
        <v>#REF!</v>
      </c>
      <c r="AM148" t="e">
        <f>IF('Badge Ticket Formats'!#REF!,"AAAAAA/8+yY=",0)</f>
        <v>#REF!</v>
      </c>
      <c r="AN148" t="e">
        <f>AND('Badge Ticket Formats'!#REF!,"AAAAAA/8+yc=")</f>
        <v>#REF!</v>
      </c>
      <c r="AO148" t="e">
        <f>AND('Badge Ticket Formats'!#REF!,"AAAAAA/8+yg=")</f>
        <v>#REF!</v>
      </c>
      <c r="AP148" t="e">
        <f>AND('Badge Ticket Formats'!#REF!,"AAAAAA/8+yk=")</f>
        <v>#REF!</v>
      </c>
      <c r="AQ148" t="e">
        <f>AND('Badge Ticket Formats'!#REF!,"AAAAAA/8+yo=")</f>
        <v>#REF!</v>
      </c>
      <c r="AR148" t="e">
        <f>AND('Badge Ticket Formats'!#REF!,"AAAAAA/8+ys=")</f>
        <v>#REF!</v>
      </c>
      <c r="AS148" t="e">
        <f>AND('Badge Ticket Formats'!#REF!,"AAAAAA/8+yw=")</f>
        <v>#REF!</v>
      </c>
      <c r="AT148" t="e">
        <f>AND('Badge Ticket Formats'!#REF!,"AAAAAA/8+y0=")</f>
        <v>#REF!</v>
      </c>
      <c r="AU148" t="e">
        <f>AND('Badge Ticket Formats'!#REF!,"AAAAAA/8+y4=")</f>
        <v>#REF!</v>
      </c>
      <c r="AV148" t="e">
        <f>AND('Badge Ticket Formats'!#REF!,"AAAAAA/8+y8=")</f>
        <v>#REF!</v>
      </c>
      <c r="AW148" t="e">
        <f>AND('Badge Ticket Formats'!#REF!,"AAAAAA/8+zA=")</f>
        <v>#REF!</v>
      </c>
      <c r="AX148" t="e">
        <f>AND('Badge Ticket Formats'!#REF!,"AAAAAA/8+zE=")</f>
        <v>#REF!</v>
      </c>
      <c r="AY148" t="e">
        <f>AND('Badge Ticket Formats'!#REF!,"AAAAAA/8+zI=")</f>
        <v>#REF!</v>
      </c>
      <c r="AZ148" t="e">
        <f>AND('Badge Ticket Formats'!#REF!,"AAAAAA/8+zM=")</f>
        <v>#REF!</v>
      </c>
      <c r="BA148" t="e">
        <f>IF('Badge Ticket Formats'!#REF!,"AAAAAA/8+zQ=",0)</f>
        <v>#REF!</v>
      </c>
      <c r="BB148" t="e">
        <f>AND('Badge Ticket Formats'!#REF!,"AAAAAA/8+zU=")</f>
        <v>#REF!</v>
      </c>
      <c r="BC148" t="e">
        <f>AND('Badge Ticket Formats'!#REF!,"AAAAAA/8+zY=")</f>
        <v>#REF!</v>
      </c>
      <c r="BD148" t="e">
        <f>AND('Badge Ticket Formats'!#REF!,"AAAAAA/8+zc=")</f>
        <v>#REF!</v>
      </c>
      <c r="BE148" t="e">
        <f>AND('Badge Ticket Formats'!#REF!,"AAAAAA/8+zg=")</f>
        <v>#REF!</v>
      </c>
      <c r="BF148" t="e">
        <f>AND('Badge Ticket Formats'!#REF!,"AAAAAA/8+zk=")</f>
        <v>#REF!</v>
      </c>
      <c r="BG148" t="e">
        <f>AND('Badge Ticket Formats'!#REF!,"AAAAAA/8+zo=")</f>
        <v>#REF!</v>
      </c>
      <c r="BH148" t="e">
        <f>AND('Badge Ticket Formats'!#REF!,"AAAAAA/8+zs=")</f>
        <v>#REF!</v>
      </c>
      <c r="BI148" t="e">
        <f>AND('Badge Ticket Formats'!#REF!,"AAAAAA/8+zw=")</f>
        <v>#REF!</v>
      </c>
      <c r="BJ148" t="e">
        <f>AND('Badge Ticket Formats'!#REF!,"AAAAAA/8+z0=")</f>
        <v>#REF!</v>
      </c>
      <c r="BK148" t="e">
        <f>AND('Badge Ticket Formats'!#REF!,"AAAAAA/8+z4=")</f>
        <v>#REF!</v>
      </c>
      <c r="BL148" t="e">
        <f>AND('Badge Ticket Formats'!#REF!,"AAAAAA/8+z8=")</f>
        <v>#REF!</v>
      </c>
      <c r="BM148" t="e">
        <f>AND('Badge Ticket Formats'!#REF!,"AAAAAA/8+0A=")</f>
        <v>#REF!</v>
      </c>
      <c r="BN148" t="e">
        <f>AND('Badge Ticket Formats'!#REF!,"AAAAAA/8+0E=")</f>
        <v>#REF!</v>
      </c>
      <c r="BO148" t="e">
        <f>IF('Badge Ticket Formats'!#REF!,"AAAAAA/8+0I=",0)</f>
        <v>#REF!</v>
      </c>
      <c r="BP148" t="e">
        <f>AND('Badge Ticket Formats'!#REF!,"AAAAAA/8+0M=")</f>
        <v>#REF!</v>
      </c>
      <c r="BQ148" t="e">
        <f>AND('Badge Ticket Formats'!#REF!,"AAAAAA/8+0Q=")</f>
        <v>#REF!</v>
      </c>
      <c r="BR148" t="e">
        <f>AND('Badge Ticket Formats'!#REF!,"AAAAAA/8+0U=")</f>
        <v>#REF!</v>
      </c>
      <c r="BS148" t="e">
        <f>AND('Badge Ticket Formats'!#REF!,"AAAAAA/8+0Y=")</f>
        <v>#REF!</v>
      </c>
      <c r="BT148" t="e">
        <f>AND('Badge Ticket Formats'!#REF!,"AAAAAA/8+0c=")</f>
        <v>#REF!</v>
      </c>
      <c r="BU148" t="e">
        <f>AND('Badge Ticket Formats'!#REF!,"AAAAAA/8+0g=")</f>
        <v>#REF!</v>
      </c>
      <c r="BV148" t="e">
        <f>AND('Badge Ticket Formats'!#REF!,"AAAAAA/8+0k=")</f>
        <v>#REF!</v>
      </c>
      <c r="BW148" t="e">
        <f>AND('Badge Ticket Formats'!#REF!,"AAAAAA/8+0o=")</f>
        <v>#REF!</v>
      </c>
      <c r="BX148" t="e">
        <f>AND('Badge Ticket Formats'!#REF!,"AAAAAA/8+0s=")</f>
        <v>#REF!</v>
      </c>
      <c r="BY148" t="e">
        <f>AND('Badge Ticket Formats'!#REF!,"AAAAAA/8+0w=")</f>
        <v>#REF!</v>
      </c>
      <c r="BZ148" t="e">
        <f>AND('Badge Ticket Formats'!#REF!,"AAAAAA/8+00=")</f>
        <v>#REF!</v>
      </c>
      <c r="CA148" t="e">
        <f>AND('Badge Ticket Formats'!#REF!,"AAAAAA/8+04=")</f>
        <v>#REF!</v>
      </c>
      <c r="CB148" t="e">
        <f>AND('Badge Ticket Formats'!#REF!,"AAAAAA/8+08=")</f>
        <v>#REF!</v>
      </c>
      <c r="CC148" t="e">
        <f>IF('Badge Ticket Formats'!#REF!,"AAAAAA/8+1A=",0)</f>
        <v>#REF!</v>
      </c>
      <c r="CD148" t="e">
        <f>AND('Badge Ticket Formats'!#REF!,"AAAAAA/8+1E=")</f>
        <v>#REF!</v>
      </c>
      <c r="CE148" t="e">
        <f>AND('Badge Ticket Formats'!#REF!,"AAAAAA/8+1I=")</f>
        <v>#REF!</v>
      </c>
      <c r="CF148" t="e">
        <f>AND('Badge Ticket Formats'!#REF!,"AAAAAA/8+1M=")</f>
        <v>#REF!</v>
      </c>
      <c r="CG148" t="e">
        <f>AND('Badge Ticket Formats'!#REF!,"AAAAAA/8+1Q=")</f>
        <v>#REF!</v>
      </c>
      <c r="CH148" t="e">
        <f>AND('Badge Ticket Formats'!#REF!,"AAAAAA/8+1U=")</f>
        <v>#REF!</v>
      </c>
      <c r="CI148" t="e">
        <f>AND('Badge Ticket Formats'!#REF!,"AAAAAA/8+1Y=")</f>
        <v>#REF!</v>
      </c>
      <c r="CJ148" t="e">
        <f>AND('Badge Ticket Formats'!#REF!,"AAAAAA/8+1c=")</f>
        <v>#REF!</v>
      </c>
      <c r="CK148" t="e">
        <f>AND('Badge Ticket Formats'!#REF!,"AAAAAA/8+1g=")</f>
        <v>#REF!</v>
      </c>
      <c r="CL148" t="e">
        <f>AND('Badge Ticket Formats'!#REF!,"AAAAAA/8+1k=")</f>
        <v>#REF!</v>
      </c>
      <c r="CM148" t="e">
        <f>AND('Badge Ticket Formats'!#REF!,"AAAAAA/8+1o=")</f>
        <v>#REF!</v>
      </c>
      <c r="CN148" t="e">
        <f>AND('Badge Ticket Formats'!#REF!,"AAAAAA/8+1s=")</f>
        <v>#REF!</v>
      </c>
      <c r="CO148" t="e">
        <f>AND('Badge Ticket Formats'!#REF!,"AAAAAA/8+1w=")</f>
        <v>#REF!</v>
      </c>
      <c r="CP148" t="e">
        <f>AND('Badge Ticket Formats'!#REF!,"AAAAAA/8+10=")</f>
        <v>#REF!</v>
      </c>
      <c r="CQ148" t="e">
        <f>IF('Badge Ticket Formats'!#REF!,"AAAAAA/8+14=",0)</f>
        <v>#REF!</v>
      </c>
      <c r="CR148" t="e">
        <f>AND('Badge Ticket Formats'!#REF!,"AAAAAA/8+18=")</f>
        <v>#REF!</v>
      </c>
      <c r="CS148" t="e">
        <f>AND('Badge Ticket Formats'!#REF!,"AAAAAA/8+2A=")</f>
        <v>#REF!</v>
      </c>
      <c r="CT148" t="e">
        <f>AND('Badge Ticket Formats'!#REF!,"AAAAAA/8+2E=")</f>
        <v>#REF!</v>
      </c>
      <c r="CU148" t="e">
        <f>AND('Badge Ticket Formats'!#REF!,"AAAAAA/8+2I=")</f>
        <v>#REF!</v>
      </c>
      <c r="CV148" t="e">
        <f>AND('Badge Ticket Formats'!#REF!,"AAAAAA/8+2M=")</f>
        <v>#REF!</v>
      </c>
      <c r="CW148" t="e">
        <f>AND('Badge Ticket Formats'!#REF!,"AAAAAA/8+2Q=")</f>
        <v>#REF!</v>
      </c>
      <c r="CX148" t="e">
        <f>AND('Badge Ticket Formats'!#REF!,"AAAAAA/8+2U=")</f>
        <v>#REF!</v>
      </c>
      <c r="CY148" t="e">
        <f>AND('Badge Ticket Formats'!#REF!,"AAAAAA/8+2Y=")</f>
        <v>#REF!</v>
      </c>
      <c r="CZ148" t="e">
        <f>AND('Badge Ticket Formats'!#REF!,"AAAAAA/8+2c=")</f>
        <v>#REF!</v>
      </c>
      <c r="DA148" t="e">
        <f>AND('Badge Ticket Formats'!#REF!,"AAAAAA/8+2g=")</f>
        <v>#REF!</v>
      </c>
      <c r="DB148" t="e">
        <f>AND('Badge Ticket Formats'!#REF!,"AAAAAA/8+2k=")</f>
        <v>#REF!</v>
      </c>
      <c r="DC148" t="e">
        <f>AND('Badge Ticket Formats'!#REF!,"AAAAAA/8+2o=")</f>
        <v>#REF!</v>
      </c>
      <c r="DD148" t="e">
        <f>AND('Badge Ticket Formats'!#REF!,"AAAAAA/8+2s=")</f>
        <v>#REF!</v>
      </c>
      <c r="DE148" t="e">
        <f>IF('Badge Ticket Formats'!#REF!,"AAAAAA/8+2w=",0)</f>
        <v>#REF!</v>
      </c>
      <c r="DF148" t="e">
        <f>AND('Badge Ticket Formats'!#REF!,"AAAAAA/8+20=")</f>
        <v>#REF!</v>
      </c>
      <c r="DG148" t="e">
        <f>AND('Badge Ticket Formats'!#REF!,"AAAAAA/8+24=")</f>
        <v>#REF!</v>
      </c>
      <c r="DH148" t="e">
        <f>AND('Badge Ticket Formats'!#REF!,"AAAAAA/8+28=")</f>
        <v>#REF!</v>
      </c>
      <c r="DI148" t="e">
        <f>AND('Badge Ticket Formats'!#REF!,"AAAAAA/8+3A=")</f>
        <v>#REF!</v>
      </c>
      <c r="DJ148" t="e">
        <f>AND('Badge Ticket Formats'!#REF!,"AAAAAA/8+3E=")</f>
        <v>#REF!</v>
      </c>
      <c r="DK148" t="e">
        <f>AND('Badge Ticket Formats'!#REF!,"AAAAAA/8+3I=")</f>
        <v>#REF!</v>
      </c>
      <c r="DL148" t="e">
        <f>AND('Badge Ticket Formats'!#REF!,"AAAAAA/8+3M=")</f>
        <v>#REF!</v>
      </c>
      <c r="DM148" t="e">
        <f>AND('Badge Ticket Formats'!#REF!,"AAAAAA/8+3Q=")</f>
        <v>#REF!</v>
      </c>
      <c r="DN148" t="e">
        <f>AND('Badge Ticket Formats'!#REF!,"AAAAAA/8+3U=")</f>
        <v>#REF!</v>
      </c>
      <c r="DO148" t="e">
        <f>AND('Badge Ticket Formats'!#REF!,"AAAAAA/8+3Y=")</f>
        <v>#REF!</v>
      </c>
      <c r="DP148" t="e">
        <f>AND('Badge Ticket Formats'!#REF!,"AAAAAA/8+3c=")</f>
        <v>#REF!</v>
      </c>
      <c r="DQ148" t="e">
        <f>AND('Badge Ticket Formats'!#REF!,"AAAAAA/8+3g=")</f>
        <v>#REF!</v>
      </c>
      <c r="DR148" t="e">
        <f>AND('Badge Ticket Formats'!#REF!,"AAAAAA/8+3k=")</f>
        <v>#REF!</v>
      </c>
      <c r="DS148" t="e">
        <f>IF('Badge Ticket Formats'!#REF!,"AAAAAA/8+3o=",0)</f>
        <v>#REF!</v>
      </c>
      <c r="DT148" t="e">
        <f>AND('Badge Ticket Formats'!#REF!,"AAAAAA/8+3s=")</f>
        <v>#REF!</v>
      </c>
      <c r="DU148" t="e">
        <f>AND('Badge Ticket Formats'!#REF!,"AAAAAA/8+3w=")</f>
        <v>#REF!</v>
      </c>
      <c r="DV148" t="e">
        <f>AND('Badge Ticket Formats'!#REF!,"AAAAAA/8+30=")</f>
        <v>#REF!</v>
      </c>
      <c r="DW148" t="e">
        <f>AND('Badge Ticket Formats'!#REF!,"AAAAAA/8+34=")</f>
        <v>#REF!</v>
      </c>
      <c r="DX148" t="e">
        <f>AND('Badge Ticket Formats'!#REF!,"AAAAAA/8+38=")</f>
        <v>#REF!</v>
      </c>
      <c r="DY148" t="e">
        <f>AND('Badge Ticket Formats'!#REF!,"AAAAAA/8+4A=")</f>
        <v>#REF!</v>
      </c>
      <c r="DZ148" t="e">
        <f>AND('Badge Ticket Formats'!#REF!,"AAAAAA/8+4E=")</f>
        <v>#REF!</v>
      </c>
      <c r="EA148" t="e">
        <f>AND('Badge Ticket Formats'!#REF!,"AAAAAA/8+4I=")</f>
        <v>#REF!</v>
      </c>
      <c r="EB148" t="e">
        <f>AND('Badge Ticket Formats'!#REF!,"AAAAAA/8+4M=")</f>
        <v>#REF!</v>
      </c>
      <c r="EC148" t="e">
        <f>AND('Badge Ticket Formats'!#REF!,"AAAAAA/8+4Q=")</f>
        <v>#REF!</v>
      </c>
      <c r="ED148" t="e">
        <f>AND('Badge Ticket Formats'!#REF!,"AAAAAA/8+4U=")</f>
        <v>#REF!</v>
      </c>
      <c r="EE148" t="e">
        <f>AND('Badge Ticket Formats'!#REF!,"AAAAAA/8+4Y=")</f>
        <v>#REF!</v>
      </c>
      <c r="EF148" t="e">
        <f>AND('Badge Ticket Formats'!#REF!,"AAAAAA/8+4c=")</f>
        <v>#REF!</v>
      </c>
      <c r="EG148" t="e">
        <f>IF('Badge Ticket Formats'!#REF!,"AAAAAA/8+4g=",0)</f>
        <v>#REF!</v>
      </c>
      <c r="EH148" t="e">
        <f>AND('Badge Ticket Formats'!#REF!,"AAAAAA/8+4k=")</f>
        <v>#REF!</v>
      </c>
      <c r="EI148" t="e">
        <f>AND('Badge Ticket Formats'!#REF!,"AAAAAA/8+4o=")</f>
        <v>#REF!</v>
      </c>
      <c r="EJ148" t="e">
        <f>AND('Badge Ticket Formats'!#REF!,"AAAAAA/8+4s=")</f>
        <v>#REF!</v>
      </c>
      <c r="EK148" t="e">
        <f>AND('Badge Ticket Formats'!#REF!,"AAAAAA/8+4w=")</f>
        <v>#REF!</v>
      </c>
      <c r="EL148" t="e">
        <f>AND('Badge Ticket Formats'!#REF!,"AAAAAA/8+40=")</f>
        <v>#REF!</v>
      </c>
      <c r="EM148" t="e">
        <f>AND('Badge Ticket Formats'!#REF!,"AAAAAA/8+44=")</f>
        <v>#REF!</v>
      </c>
      <c r="EN148" t="e">
        <f>AND('Badge Ticket Formats'!#REF!,"AAAAAA/8+48=")</f>
        <v>#REF!</v>
      </c>
      <c r="EO148" t="e">
        <f>AND('Badge Ticket Formats'!#REF!,"AAAAAA/8+5A=")</f>
        <v>#REF!</v>
      </c>
      <c r="EP148" t="e">
        <f>AND('Badge Ticket Formats'!#REF!,"AAAAAA/8+5E=")</f>
        <v>#REF!</v>
      </c>
      <c r="EQ148" t="e">
        <f>AND('Badge Ticket Formats'!#REF!,"AAAAAA/8+5I=")</f>
        <v>#REF!</v>
      </c>
      <c r="ER148" t="e">
        <f>AND('Badge Ticket Formats'!#REF!,"AAAAAA/8+5M=")</f>
        <v>#REF!</v>
      </c>
      <c r="ES148" t="e">
        <f>AND('Badge Ticket Formats'!#REF!,"AAAAAA/8+5Q=")</f>
        <v>#REF!</v>
      </c>
      <c r="ET148" t="e">
        <f>AND('Badge Ticket Formats'!#REF!,"AAAAAA/8+5U=")</f>
        <v>#REF!</v>
      </c>
      <c r="EU148" t="e">
        <f>IF('Badge Ticket Formats'!#REF!,"AAAAAA/8+5Y=",0)</f>
        <v>#REF!</v>
      </c>
      <c r="EV148" t="e">
        <f>AND('Badge Ticket Formats'!#REF!,"AAAAAA/8+5c=")</f>
        <v>#REF!</v>
      </c>
      <c r="EW148" t="e">
        <f>AND('Badge Ticket Formats'!#REF!,"AAAAAA/8+5g=")</f>
        <v>#REF!</v>
      </c>
      <c r="EX148" t="e">
        <f>AND('Badge Ticket Formats'!#REF!,"AAAAAA/8+5k=")</f>
        <v>#REF!</v>
      </c>
      <c r="EY148" t="e">
        <f>AND('Badge Ticket Formats'!#REF!,"AAAAAA/8+5o=")</f>
        <v>#REF!</v>
      </c>
      <c r="EZ148" t="e">
        <f>AND('Badge Ticket Formats'!#REF!,"AAAAAA/8+5s=")</f>
        <v>#REF!</v>
      </c>
      <c r="FA148" t="e">
        <f>AND('Badge Ticket Formats'!#REF!,"AAAAAA/8+5w=")</f>
        <v>#REF!</v>
      </c>
      <c r="FB148" t="e">
        <f>AND('Badge Ticket Formats'!#REF!,"AAAAAA/8+50=")</f>
        <v>#REF!</v>
      </c>
      <c r="FC148" t="e">
        <f>AND('Badge Ticket Formats'!#REF!,"AAAAAA/8+54=")</f>
        <v>#REF!</v>
      </c>
      <c r="FD148" t="e">
        <f>AND('Badge Ticket Formats'!#REF!,"AAAAAA/8+58=")</f>
        <v>#REF!</v>
      </c>
      <c r="FE148" t="e">
        <f>AND('Badge Ticket Formats'!#REF!,"AAAAAA/8+6A=")</f>
        <v>#REF!</v>
      </c>
      <c r="FF148" t="e">
        <f>AND('Badge Ticket Formats'!#REF!,"AAAAAA/8+6E=")</f>
        <v>#REF!</v>
      </c>
      <c r="FG148" t="e">
        <f>AND('Badge Ticket Formats'!#REF!,"AAAAAA/8+6I=")</f>
        <v>#REF!</v>
      </c>
      <c r="FH148" t="e">
        <f>AND('Badge Ticket Formats'!#REF!,"AAAAAA/8+6M=")</f>
        <v>#REF!</v>
      </c>
      <c r="FI148" t="e">
        <f>IF('Badge Ticket Formats'!#REF!,"AAAAAA/8+6Q=",0)</f>
        <v>#REF!</v>
      </c>
      <c r="FJ148" t="e">
        <f>AND('Badge Ticket Formats'!#REF!,"AAAAAA/8+6U=")</f>
        <v>#REF!</v>
      </c>
      <c r="FK148" t="e">
        <f>AND('Badge Ticket Formats'!#REF!,"AAAAAA/8+6Y=")</f>
        <v>#REF!</v>
      </c>
      <c r="FL148" t="e">
        <f>AND('Badge Ticket Formats'!#REF!,"AAAAAA/8+6c=")</f>
        <v>#REF!</v>
      </c>
      <c r="FM148" t="e">
        <f>AND('Badge Ticket Formats'!#REF!,"AAAAAA/8+6g=")</f>
        <v>#REF!</v>
      </c>
      <c r="FN148" t="e">
        <f>AND('Badge Ticket Formats'!#REF!,"AAAAAA/8+6k=")</f>
        <v>#REF!</v>
      </c>
      <c r="FO148" t="e">
        <f>AND('Badge Ticket Formats'!#REF!,"AAAAAA/8+6o=")</f>
        <v>#REF!</v>
      </c>
      <c r="FP148" t="e">
        <f>AND('Badge Ticket Formats'!#REF!,"AAAAAA/8+6s=")</f>
        <v>#REF!</v>
      </c>
      <c r="FQ148" t="e">
        <f>AND('Badge Ticket Formats'!#REF!,"AAAAAA/8+6w=")</f>
        <v>#REF!</v>
      </c>
      <c r="FR148" t="e">
        <f>AND('Badge Ticket Formats'!#REF!,"AAAAAA/8+60=")</f>
        <v>#REF!</v>
      </c>
      <c r="FS148" t="e">
        <f>AND('Badge Ticket Formats'!#REF!,"AAAAAA/8+64=")</f>
        <v>#REF!</v>
      </c>
      <c r="FT148" t="e">
        <f>AND('Badge Ticket Formats'!#REF!,"AAAAAA/8+68=")</f>
        <v>#REF!</v>
      </c>
      <c r="FU148" t="e">
        <f>AND('Badge Ticket Formats'!#REF!,"AAAAAA/8+7A=")</f>
        <v>#REF!</v>
      </c>
      <c r="FV148" t="e">
        <f>AND('Badge Ticket Formats'!#REF!,"AAAAAA/8+7E=")</f>
        <v>#REF!</v>
      </c>
      <c r="FW148" t="e">
        <f>IF('Badge Ticket Formats'!#REF!,"AAAAAA/8+7I=",0)</f>
        <v>#REF!</v>
      </c>
      <c r="FX148" t="e">
        <f>AND('Badge Ticket Formats'!#REF!,"AAAAAA/8+7M=")</f>
        <v>#REF!</v>
      </c>
      <c r="FY148" t="e">
        <f>AND('Badge Ticket Formats'!#REF!,"AAAAAA/8+7Q=")</f>
        <v>#REF!</v>
      </c>
      <c r="FZ148" t="e">
        <f>AND('Badge Ticket Formats'!#REF!,"AAAAAA/8+7U=")</f>
        <v>#REF!</v>
      </c>
      <c r="GA148" t="e">
        <f>AND('Badge Ticket Formats'!#REF!,"AAAAAA/8+7Y=")</f>
        <v>#REF!</v>
      </c>
      <c r="GB148" t="e">
        <f>AND('Badge Ticket Formats'!#REF!,"AAAAAA/8+7c=")</f>
        <v>#REF!</v>
      </c>
      <c r="GC148" t="e">
        <f>AND('Badge Ticket Formats'!#REF!,"AAAAAA/8+7g=")</f>
        <v>#REF!</v>
      </c>
      <c r="GD148" t="e">
        <f>AND('Badge Ticket Formats'!#REF!,"AAAAAA/8+7k=")</f>
        <v>#REF!</v>
      </c>
      <c r="GE148" t="e">
        <f>AND('Badge Ticket Formats'!#REF!,"AAAAAA/8+7o=")</f>
        <v>#REF!</v>
      </c>
      <c r="GF148" t="e">
        <f>AND('Badge Ticket Formats'!#REF!,"AAAAAA/8+7s=")</f>
        <v>#REF!</v>
      </c>
      <c r="GG148" t="e">
        <f>AND('Badge Ticket Formats'!#REF!,"AAAAAA/8+7w=")</f>
        <v>#REF!</v>
      </c>
      <c r="GH148" t="e">
        <f>AND('Badge Ticket Formats'!#REF!,"AAAAAA/8+70=")</f>
        <v>#REF!</v>
      </c>
      <c r="GI148" t="e">
        <f>AND('Badge Ticket Formats'!#REF!,"AAAAAA/8+74=")</f>
        <v>#REF!</v>
      </c>
      <c r="GJ148" t="e">
        <f>AND('Badge Ticket Formats'!#REF!,"AAAAAA/8+78=")</f>
        <v>#REF!</v>
      </c>
      <c r="GK148" t="e">
        <f>IF('Badge Ticket Formats'!#REF!,"AAAAAA/8+8A=",0)</f>
        <v>#REF!</v>
      </c>
      <c r="GL148" t="e">
        <f>AND('Badge Ticket Formats'!#REF!,"AAAAAA/8+8E=")</f>
        <v>#REF!</v>
      </c>
      <c r="GM148" t="e">
        <f>AND('Badge Ticket Formats'!#REF!,"AAAAAA/8+8I=")</f>
        <v>#REF!</v>
      </c>
      <c r="GN148" t="e">
        <f>AND('Badge Ticket Formats'!#REF!,"AAAAAA/8+8M=")</f>
        <v>#REF!</v>
      </c>
      <c r="GO148" t="e">
        <f>AND('Badge Ticket Formats'!#REF!,"AAAAAA/8+8Q=")</f>
        <v>#REF!</v>
      </c>
      <c r="GP148" t="e">
        <f>AND('Badge Ticket Formats'!#REF!,"AAAAAA/8+8U=")</f>
        <v>#REF!</v>
      </c>
      <c r="GQ148" t="e">
        <f>AND('Badge Ticket Formats'!#REF!,"AAAAAA/8+8Y=")</f>
        <v>#REF!</v>
      </c>
      <c r="GR148" t="e">
        <f>AND('Badge Ticket Formats'!#REF!,"AAAAAA/8+8c=")</f>
        <v>#REF!</v>
      </c>
      <c r="GS148" t="e">
        <f>AND('Badge Ticket Formats'!#REF!,"AAAAAA/8+8g=")</f>
        <v>#REF!</v>
      </c>
      <c r="GT148" t="e">
        <f>AND('Badge Ticket Formats'!#REF!,"AAAAAA/8+8k=")</f>
        <v>#REF!</v>
      </c>
      <c r="GU148" t="e">
        <f>AND('Badge Ticket Formats'!#REF!,"AAAAAA/8+8o=")</f>
        <v>#REF!</v>
      </c>
      <c r="GV148" t="e">
        <f>AND('Badge Ticket Formats'!#REF!,"AAAAAA/8+8s=")</f>
        <v>#REF!</v>
      </c>
      <c r="GW148" t="e">
        <f>AND('Badge Ticket Formats'!#REF!,"AAAAAA/8+8w=")</f>
        <v>#REF!</v>
      </c>
      <c r="GX148" t="e">
        <f>AND('Badge Ticket Formats'!#REF!,"AAAAAA/8+80=")</f>
        <v>#REF!</v>
      </c>
      <c r="GY148" t="e">
        <f>IF('Badge Ticket Formats'!#REF!,"AAAAAA/8+84=",0)</f>
        <v>#REF!</v>
      </c>
      <c r="GZ148" t="e">
        <f>AND('Badge Ticket Formats'!#REF!,"AAAAAA/8+88=")</f>
        <v>#REF!</v>
      </c>
      <c r="HA148" t="e">
        <f>AND('Badge Ticket Formats'!#REF!,"AAAAAA/8+9A=")</f>
        <v>#REF!</v>
      </c>
      <c r="HB148" t="e">
        <f>AND('Badge Ticket Formats'!#REF!,"AAAAAA/8+9E=")</f>
        <v>#REF!</v>
      </c>
      <c r="HC148" t="e">
        <f>AND('Badge Ticket Formats'!#REF!,"AAAAAA/8+9I=")</f>
        <v>#REF!</v>
      </c>
      <c r="HD148" t="e">
        <f>AND('Badge Ticket Formats'!#REF!,"AAAAAA/8+9M=")</f>
        <v>#REF!</v>
      </c>
      <c r="HE148" t="e">
        <f>AND('Badge Ticket Formats'!#REF!,"AAAAAA/8+9Q=")</f>
        <v>#REF!</v>
      </c>
      <c r="HF148" t="e">
        <f>AND('Badge Ticket Formats'!#REF!,"AAAAAA/8+9U=")</f>
        <v>#REF!</v>
      </c>
      <c r="HG148" t="e">
        <f>AND('Badge Ticket Formats'!#REF!,"AAAAAA/8+9Y=")</f>
        <v>#REF!</v>
      </c>
      <c r="HH148" t="e">
        <f>AND('Badge Ticket Formats'!#REF!,"AAAAAA/8+9c=")</f>
        <v>#REF!</v>
      </c>
      <c r="HI148" t="e">
        <f>AND('Badge Ticket Formats'!#REF!,"AAAAAA/8+9g=")</f>
        <v>#REF!</v>
      </c>
      <c r="HJ148" t="e">
        <f>AND('Badge Ticket Formats'!#REF!,"AAAAAA/8+9k=")</f>
        <v>#REF!</v>
      </c>
      <c r="HK148" t="e">
        <f>AND('Badge Ticket Formats'!#REF!,"AAAAAA/8+9o=")</f>
        <v>#REF!</v>
      </c>
      <c r="HL148" t="e">
        <f>AND('Badge Ticket Formats'!#REF!,"AAAAAA/8+9s=")</f>
        <v>#REF!</v>
      </c>
      <c r="HM148" t="e">
        <f>IF('Badge Ticket Formats'!#REF!,"AAAAAA/8+9w=",0)</f>
        <v>#REF!</v>
      </c>
      <c r="HN148" t="e">
        <f>AND('Badge Ticket Formats'!#REF!,"AAAAAA/8+90=")</f>
        <v>#REF!</v>
      </c>
      <c r="HO148" t="e">
        <f>AND('Badge Ticket Formats'!#REF!,"AAAAAA/8+94=")</f>
        <v>#REF!</v>
      </c>
      <c r="HP148" t="e">
        <f>AND('Badge Ticket Formats'!#REF!,"AAAAAA/8+98=")</f>
        <v>#REF!</v>
      </c>
      <c r="HQ148" t="e">
        <f>AND('Badge Ticket Formats'!#REF!,"AAAAAA/8++A=")</f>
        <v>#REF!</v>
      </c>
      <c r="HR148" t="e">
        <f>AND('Badge Ticket Formats'!#REF!,"AAAAAA/8++E=")</f>
        <v>#REF!</v>
      </c>
      <c r="HS148" t="e">
        <f>AND('Badge Ticket Formats'!#REF!,"AAAAAA/8++I=")</f>
        <v>#REF!</v>
      </c>
      <c r="HT148" t="e">
        <f>AND('Badge Ticket Formats'!#REF!,"AAAAAA/8++M=")</f>
        <v>#REF!</v>
      </c>
      <c r="HU148" t="e">
        <f>AND('Badge Ticket Formats'!#REF!,"AAAAAA/8++Q=")</f>
        <v>#REF!</v>
      </c>
      <c r="HV148" t="e">
        <f>AND('Badge Ticket Formats'!#REF!,"AAAAAA/8++U=")</f>
        <v>#REF!</v>
      </c>
      <c r="HW148" t="e">
        <f>AND('Badge Ticket Formats'!#REF!,"AAAAAA/8++Y=")</f>
        <v>#REF!</v>
      </c>
      <c r="HX148" t="e">
        <f>AND('Badge Ticket Formats'!#REF!,"AAAAAA/8++c=")</f>
        <v>#REF!</v>
      </c>
      <c r="HY148" t="e">
        <f>AND('Badge Ticket Formats'!#REF!,"AAAAAA/8++g=")</f>
        <v>#REF!</v>
      </c>
      <c r="HZ148" t="e">
        <f>AND('Badge Ticket Formats'!#REF!,"AAAAAA/8++k=")</f>
        <v>#REF!</v>
      </c>
      <c r="IA148" t="e">
        <f>IF('Badge Ticket Formats'!#REF!,"AAAAAA/8++o=",0)</f>
        <v>#REF!</v>
      </c>
      <c r="IB148" t="e">
        <f>AND('Badge Ticket Formats'!#REF!,"AAAAAA/8++s=")</f>
        <v>#REF!</v>
      </c>
      <c r="IC148" t="e">
        <f>AND('Badge Ticket Formats'!#REF!,"AAAAAA/8++w=")</f>
        <v>#REF!</v>
      </c>
      <c r="ID148" t="e">
        <f>AND('Badge Ticket Formats'!#REF!,"AAAAAA/8++0=")</f>
        <v>#REF!</v>
      </c>
      <c r="IE148" t="e">
        <f>AND('Badge Ticket Formats'!#REF!,"AAAAAA/8++4=")</f>
        <v>#REF!</v>
      </c>
      <c r="IF148" t="e">
        <f>AND('Badge Ticket Formats'!#REF!,"AAAAAA/8++8=")</f>
        <v>#REF!</v>
      </c>
      <c r="IG148" t="e">
        <f>AND('Badge Ticket Formats'!#REF!,"AAAAAA/8+/A=")</f>
        <v>#REF!</v>
      </c>
      <c r="IH148" t="e">
        <f>AND('Badge Ticket Formats'!#REF!,"AAAAAA/8+/E=")</f>
        <v>#REF!</v>
      </c>
      <c r="II148" t="e">
        <f>AND('Badge Ticket Formats'!#REF!,"AAAAAA/8+/I=")</f>
        <v>#REF!</v>
      </c>
      <c r="IJ148" t="e">
        <f>AND('Badge Ticket Formats'!#REF!,"AAAAAA/8+/M=")</f>
        <v>#REF!</v>
      </c>
      <c r="IK148" t="e">
        <f>AND('Badge Ticket Formats'!#REF!,"AAAAAA/8+/Q=")</f>
        <v>#REF!</v>
      </c>
      <c r="IL148" t="e">
        <f>AND('Badge Ticket Formats'!#REF!,"AAAAAA/8+/U=")</f>
        <v>#REF!</v>
      </c>
      <c r="IM148" t="e">
        <f>AND('Badge Ticket Formats'!#REF!,"AAAAAA/8+/Y=")</f>
        <v>#REF!</v>
      </c>
      <c r="IN148" t="e">
        <f>AND('Badge Ticket Formats'!#REF!,"AAAAAA/8+/c=")</f>
        <v>#REF!</v>
      </c>
      <c r="IO148" t="e">
        <f>IF('Badge Ticket Formats'!#REF!,"AAAAAA/8+/g=",0)</f>
        <v>#REF!</v>
      </c>
      <c r="IP148" t="e">
        <f>AND('Badge Ticket Formats'!#REF!,"AAAAAA/8+/k=")</f>
        <v>#REF!</v>
      </c>
      <c r="IQ148" t="e">
        <f>AND('Badge Ticket Formats'!#REF!,"AAAAAA/8+/o=")</f>
        <v>#REF!</v>
      </c>
      <c r="IR148" t="e">
        <f>AND('Badge Ticket Formats'!#REF!,"AAAAAA/8+/s=")</f>
        <v>#REF!</v>
      </c>
      <c r="IS148" t="e">
        <f>AND('Badge Ticket Formats'!#REF!,"AAAAAA/8+/w=")</f>
        <v>#REF!</v>
      </c>
      <c r="IT148" t="e">
        <f>AND('Badge Ticket Formats'!#REF!,"AAAAAA/8+/0=")</f>
        <v>#REF!</v>
      </c>
      <c r="IU148" t="e">
        <f>AND('Badge Ticket Formats'!#REF!,"AAAAAA/8+/4=")</f>
        <v>#REF!</v>
      </c>
      <c r="IV148" t="e">
        <f>AND('Badge Ticket Formats'!#REF!,"AAAAAA/8+/8=")</f>
        <v>#REF!</v>
      </c>
    </row>
    <row r="149" spans="1:256" x14ac:dyDescent="0.2">
      <c r="A149" t="e">
        <f>AND('Badge Ticket Formats'!#REF!,"AAAAAHz/PgA=")</f>
        <v>#REF!</v>
      </c>
      <c r="B149" t="e">
        <f>AND('Badge Ticket Formats'!#REF!,"AAAAAHz/PgE=")</f>
        <v>#REF!</v>
      </c>
      <c r="C149" t="e">
        <f>AND('Badge Ticket Formats'!#REF!,"AAAAAHz/PgI=")</f>
        <v>#REF!</v>
      </c>
      <c r="D149" t="e">
        <f>AND('Badge Ticket Formats'!#REF!,"AAAAAHz/PgM=")</f>
        <v>#REF!</v>
      </c>
      <c r="E149" t="e">
        <f>AND('Badge Ticket Formats'!#REF!,"AAAAAHz/PgQ=")</f>
        <v>#REF!</v>
      </c>
      <c r="F149" t="e">
        <f>AND('Badge Ticket Formats'!#REF!,"AAAAAHz/PgU=")</f>
        <v>#REF!</v>
      </c>
      <c r="G149" t="e">
        <f>IF('Badge Ticket Formats'!#REF!,"AAAAAHz/PgY=",0)</f>
        <v>#REF!</v>
      </c>
      <c r="H149" t="e">
        <f>AND('Badge Ticket Formats'!#REF!,"AAAAAHz/Pgc=")</f>
        <v>#REF!</v>
      </c>
      <c r="I149" t="e">
        <f>AND('Badge Ticket Formats'!#REF!,"AAAAAHz/Pgg=")</f>
        <v>#REF!</v>
      </c>
      <c r="J149" t="e">
        <f>AND('Badge Ticket Formats'!#REF!,"AAAAAHz/Pgk=")</f>
        <v>#REF!</v>
      </c>
      <c r="K149" t="e">
        <f>AND('Badge Ticket Formats'!#REF!,"AAAAAHz/Pgo=")</f>
        <v>#REF!</v>
      </c>
      <c r="L149" t="e">
        <f>AND('Badge Ticket Formats'!#REF!,"AAAAAHz/Pgs=")</f>
        <v>#REF!</v>
      </c>
      <c r="M149" t="e">
        <f>AND('Badge Ticket Formats'!#REF!,"AAAAAHz/Pgw=")</f>
        <v>#REF!</v>
      </c>
      <c r="N149" t="e">
        <f>AND('Badge Ticket Formats'!#REF!,"AAAAAHz/Pg0=")</f>
        <v>#REF!</v>
      </c>
      <c r="O149" t="e">
        <f>AND('Badge Ticket Formats'!#REF!,"AAAAAHz/Pg4=")</f>
        <v>#REF!</v>
      </c>
      <c r="P149" t="e">
        <f>AND('Badge Ticket Formats'!#REF!,"AAAAAHz/Pg8=")</f>
        <v>#REF!</v>
      </c>
      <c r="Q149" t="e">
        <f>AND('Badge Ticket Formats'!#REF!,"AAAAAHz/PhA=")</f>
        <v>#REF!</v>
      </c>
      <c r="R149" t="e">
        <f>AND('Badge Ticket Formats'!#REF!,"AAAAAHz/PhE=")</f>
        <v>#REF!</v>
      </c>
      <c r="S149" t="e">
        <f>AND('Badge Ticket Formats'!#REF!,"AAAAAHz/PhI=")</f>
        <v>#REF!</v>
      </c>
      <c r="T149" t="e">
        <f>AND('Badge Ticket Formats'!#REF!,"AAAAAHz/PhM=")</f>
        <v>#REF!</v>
      </c>
      <c r="U149" t="e">
        <f>IF('Badge Ticket Formats'!#REF!,"AAAAAHz/PhQ=",0)</f>
        <v>#REF!</v>
      </c>
      <c r="V149" t="e">
        <f>AND('Badge Ticket Formats'!#REF!,"AAAAAHz/PhU=")</f>
        <v>#REF!</v>
      </c>
      <c r="W149" t="e">
        <f>AND('Badge Ticket Formats'!#REF!,"AAAAAHz/PhY=")</f>
        <v>#REF!</v>
      </c>
      <c r="X149" t="e">
        <f>AND('Badge Ticket Formats'!#REF!,"AAAAAHz/Phc=")</f>
        <v>#REF!</v>
      </c>
      <c r="Y149" t="e">
        <f>AND('Badge Ticket Formats'!#REF!,"AAAAAHz/Phg=")</f>
        <v>#REF!</v>
      </c>
      <c r="Z149" t="e">
        <f>AND('Badge Ticket Formats'!#REF!,"AAAAAHz/Phk=")</f>
        <v>#REF!</v>
      </c>
      <c r="AA149" t="e">
        <f>AND('Badge Ticket Formats'!#REF!,"AAAAAHz/Pho=")</f>
        <v>#REF!</v>
      </c>
      <c r="AB149" t="e">
        <f>AND('Badge Ticket Formats'!#REF!,"AAAAAHz/Phs=")</f>
        <v>#REF!</v>
      </c>
      <c r="AC149" t="e">
        <f>AND('Badge Ticket Formats'!#REF!,"AAAAAHz/Phw=")</f>
        <v>#REF!</v>
      </c>
      <c r="AD149" t="e">
        <f>AND('Badge Ticket Formats'!#REF!,"AAAAAHz/Ph0=")</f>
        <v>#REF!</v>
      </c>
      <c r="AE149" t="e">
        <f>AND('Badge Ticket Formats'!#REF!,"AAAAAHz/Ph4=")</f>
        <v>#REF!</v>
      </c>
      <c r="AF149" t="e">
        <f>AND('Badge Ticket Formats'!#REF!,"AAAAAHz/Ph8=")</f>
        <v>#REF!</v>
      </c>
      <c r="AG149" t="e">
        <f>AND('Badge Ticket Formats'!#REF!,"AAAAAHz/PiA=")</f>
        <v>#REF!</v>
      </c>
      <c r="AH149" t="e">
        <f>AND('Badge Ticket Formats'!#REF!,"AAAAAHz/PiE=")</f>
        <v>#REF!</v>
      </c>
      <c r="AI149" t="e">
        <f>IF('Badge Ticket Formats'!#REF!,"AAAAAHz/PiI=",0)</f>
        <v>#REF!</v>
      </c>
      <c r="AJ149" t="e">
        <f>AND('Badge Ticket Formats'!#REF!,"AAAAAHz/PiM=")</f>
        <v>#REF!</v>
      </c>
      <c r="AK149" t="e">
        <f>AND('Badge Ticket Formats'!#REF!,"AAAAAHz/PiQ=")</f>
        <v>#REF!</v>
      </c>
      <c r="AL149" t="e">
        <f>AND('Badge Ticket Formats'!#REF!,"AAAAAHz/PiU=")</f>
        <v>#REF!</v>
      </c>
      <c r="AM149" t="e">
        <f>AND('Badge Ticket Formats'!#REF!,"AAAAAHz/PiY=")</f>
        <v>#REF!</v>
      </c>
      <c r="AN149" t="e">
        <f>AND('Badge Ticket Formats'!#REF!,"AAAAAHz/Pic=")</f>
        <v>#REF!</v>
      </c>
      <c r="AO149" t="e">
        <f>AND('Badge Ticket Formats'!#REF!,"AAAAAHz/Pig=")</f>
        <v>#REF!</v>
      </c>
      <c r="AP149" t="e">
        <f>AND('Badge Ticket Formats'!#REF!,"AAAAAHz/Pik=")</f>
        <v>#REF!</v>
      </c>
      <c r="AQ149" t="e">
        <f>AND('Badge Ticket Formats'!#REF!,"AAAAAHz/Pio=")</f>
        <v>#REF!</v>
      </c>
      <c r="AR149" t="e">
        <f>AND('Badge Ticket Formats'!#REF!,"AAAAAHz/Pis=")</f>
        <v>#REF!</v>
      </c>
      <c r="AS149" t="e">
        <f>AND('Badge Ticket Formats'!#REF!,"AAAAAHz/Piw=")</f>
        <v>#REF!</v>
      </c>
      <c r="AT149" t="e">
        <f>AND('Badge Ticket Formats'!#REF!,"AAAAAHz/Pi0=")</f>
        <v>#REF!</v>
      </c>
      <c r="AU149" t="e">
        <f>AND('Badge Ticket Formats'!#REF!,"AAAAAHz/Pi4=")</f>
        <v>#REF!</v>
      </c>
      <c r="AV149" t="e">
        <f>AND('Badge Ticket Formats'!#REF!,"AAAAAHz/Pi8=")</f>
        <v>#REF!</v>
      </c>
      <c r="AW149" t="e">
        <f>IF('Badge Ticket Formats'!#REF!,"AAAAAHz/PjA=",0)</f>
        <v>#REF!</v>
      </c>
      <c r="AX149" t="e">
        <f>AND('Badge Ticket Formats'!#REF!,"AAAAAHz/PjE=")</f>
        <v>#REF!</v>
      </c>
      <c r="AY149" t="e">
        <f>AND('Badge Ticket Formats'!#REF!,"AAAAAHz/PjI=")</f>
        <v>#REF!</v>
      </c>
      <c r="AZ149" t="e">
        <f>AND('Badge Ticket Formats'!#REF!,"AAAAAHz/PjM=")</f>
        <v>#REF!</v>
      </c>
      <c r="BA149" t="e">
        <f>AND('Badge Ticket Formats'!#REF!,"AAAAAHz/PjQ=")</f>
        <v>#REF!</v>
      </c>
      <c r="BB149" t="e">
        <f>AND('Badge Ticket Formats'!#REF!,"AAAAAHz/PjU=")</f>
        <v>#REF!</v>
      </c>
      <c r="BC149" t="e">
        <f>AND('Badge Ticket Formats'!#REF!,"AAAAAHz/PjY=")</f>
        <v>#REF!</v>
      </c>
      <c r="BD149" t="e">
        <f>AND('Badge Ticket Formats'!#REF!,"AAAAAHz/Pjc=")</f>
        <v>#REF!</v>
      </c>
      <c r="BE149" t="e">
        <f>AND('Badge Ticket Formats'!#REF!,"AAAAAHz/Pjg=")</f>
        <v>#REF!</v>
      </c>
      <c r="BF149" t="e">
        <f>AND('Badge Ticket Formats'!#REF!,"AAAAAHz/Pjk=")</f>
        <v>#REF!</v>
      </c>
      <c r="BG149" t="e">
        <f>AND('Badge Ticket Formats'!#REF!,"AAAAAHz/Pjo=")</f>
        <v>#REF!</v>
      </c>
      <c r="BH149" t="e">
        <f>AND('Badge Ticket Formats'!#REF!,"AAAAAHz/Pjs=")</f>
        <v>#REF!</v>
      </c>
      <c r="BI149" t="e">
        <f>AND('Badge Ticket Formats'!#REF!,"AAAAAHz/Pjw=")</f>
        <v>#REF!</v>
      </c>
      <c r="BJ149" t="e">
        <f>AND('Badge Ticket Formats'!#REF!,"AAAAAHz/Pj0=")</f>
        <v>#REF!</v>
      </c>
      <c r="BK149" t="e">
        <f>IF('Badge Ticket Formats'!#REF!,"AAAAAHz/Pj4=",0)</f>
        <v>#REF!</v>
      </c>
      <c r="BL149" t="e">
        <f>AND('Badge Ticket Formats'!#REF!,"AAAAAHz/Pj8=")</f>
        <v>#REF!</v>
      </c>
      <c r="BM149" t="e">
        <f>AND('Badge Ticket Formats'!#REF!,"AAAAAHz/PkA=")</f>
        <v>#REF!</v>
      </c>
      <c r="BN149" t="e">
        <f>AND('Badge Ticket Formats'!#REF!,"AAAAAHz/PkE=")</f>
        <v>#REF!</v>
      </c>
      <c r="BO149" t="e">
        <f>AND('Badge Ticket Formats'!#REF!,"AAAAAHz/PkI=")</f>
        <v>#REF!</v>
      </c>
      <c r="BP149" t="e">
        <f>AND('Badge Ticket Formats'!#REF!,"AAAAAHz/PkM=")</f>
        <v>#REF!</v>
      </c>
      <c r="BQ149" t="e">
        <f>AND('Badge Ticket Formats'!#REF!,"AAAAAHz/PkQ=")</f>
        <v>#REF!</v>
      </c>
      <c r="BR149" t="e">
        <f>AND('Badge Ticket Formats'!#REF!,"AAAAAHz/PkU=")</f>
        <v>#REF!</v>
      </c>
      <c r="BS149" t="e">
        <f>AND('Badge Ticket Formats'!#REF!,"AAAAAHz/PkY=")</f>
        <v>#REF!</v>
      </c>
      <c r="BT149" t="e">
        <f>AND('Badge Ticket Formats'!#REF!,"AAAAAHz/Pkc=")</f>
        <v>#REF!</v>
      </c>
      <c r="BU149" t="e">
        <f>AND('Badge Ticket Formats'!#REF!,"AAAAAHz/Pkg=")</f>
        <v>#REF!</v>
      </c>
      <c r="BV149" t="e">
        <f>AND('Badge Ticket Formats'!#REF!,"AAAAAHz/Pkk=")</f>
        <v>#REF!</v>
      </c>
      <c r="BW149" t="e">
        <f>AND('Badge Ticket Formats'!#REF!,"AAAAAHz/Pko=")</f>
        <v>#REF!</v>
      </c>
      <c r="BX149" t="e">
        <f>AND('Badge Ticket Formats'!#REF!,"AAAAAHz/Pks=")</f>
        <v>#REF!</v>
      </c>
      <c r="BY149">
        <f>IF('Badge Ticket Formats'!250:250,"AAAAAHz/Pkw=",0)</f>
        <v>0</v>
      </c>
      <c r="BZ149" t="e">
        <f>AND('Badge Ticket Formats'!#REF!,"AAAAAHz/Pk0=")</f>
        <v>#REF!</v>
      </c>
      <c r="CA149" t="e">
        <f>AND('Badge Ticket Formats'!B250,"AAAAAHz/Pk4=")</f>
        <v>#VALUE!</v>
      </c>
      <c r="CB149" t="e">
        <f>AND('Badge Ticket Formats'!C250,"AAAAAHz/Pk8=")</f>
        <v>#VALUE!</v>
      </c>
      <c r="CC149" t="e">
        <f>AND('Badge Ticket Formats'!D250,"AAAAAHz/PlA=")</f>
        <v>#VALUE!</v>
      </c>
      <c r="CD149" t="e">
        <f>AND('Badge Ticket Formats'!E250,"AAAAAHz/PlE=")</f>
        <v>#VALUE!</v>
      </c>
      <c r="CE149" t="e">
        <f>AND('Badge Ticket Formats'!F250,"AAAAAHz/PlI=")</f>
        <v>#VALUE!</v>
      </c>
      <c r="CF149" t="e">
        <f>AND('Badge Ticket Formats'!G249,"AAAAAHz/PlM=")</f>
        <v>#VALUE!</v>
      </c>
      <c r="CG149" t="e">
        <f>AND('Badge Ticket Formats'!H249,"AAAAAHz/PlQ=")</f>
        <v>#VALUE!</v>
      </c>
      <c r="CH149" t="e">
        <f>AND('Badge Ticket Formats'!I249,"AAAAAHz/PlU=")</f>
        <v>#VALUE!</v>
      </c>
      <c r="CI149" t="e">
        <f>AND('Badge Ticket Formats'!J249,"AAAAAHz/PlY=")</f>
        <v>#VALUE!</v>
      </c>
      <c r="CJ149" t="e">
        <f>AND('Badge Ticket Formats'!K249,"AAAAAHz/Plc=")</f>
        <v>#VALUE!</v>
      </c>
      <c r="CK149" t="e">
        <f>AND('Badge Ticket Formats'!L249,"AAAAAHz/Plg=")</f>
        <v>#VALUE!</v>
      </c>
      <c r="CL149" t="e">
        <f>AND('Badge Ticket Formats'!M249,"AAAAAHz/Plk=")</f>
        <v>#VALUE!</v>
      </c>
      <c r="CM149" t="e">
        <f>IF('Badge Ticket Formats'!#REF!,"AAAAAHz/Plo=",0)</f>
        <v>#REF!</v>
      </c>
      <c r="CN149" t="e">
        <f>AND('Badge Ticket Formats'!A250,"AAAAAHz/Pls=")</f>
        <v>#VALUE!</v>
      </c>
      <c r="CO149" t="e">
        <f>AND('Badge Ticket Formats'!#REF!,"AAAAAHz/Plw=")</f>
        <v>#REF!</v>
      </c>
      <c r="CP149" t="e">
        <f>AND('Badge Ticket Formats'!#REF!,"AAAAAHz/Pl0=")</f>
        <v>#REF!</v>
      </c>
      <c r="CQ149" t="e">
        <f>AND('Badge Ticket Formats'!#REF!,"AAAAAHz/Pl4=")</f>
        <v>#REF!</v>
      </c>
      <c r="CR149" t="e">
        <f>AND('Badge Ticket Formats'!#REF!,"AAAAAHz/Pl8=")</f>
        <v>#REF!</v>
      </c>
      <c r="CS149" t="e">
        <f>AND('Badge Ticket Formats'!#REF!,"AAAAAHz/PmA=")</f>
        <v>#REF!</v>
      </c>
      <c r="CT149" t="e">
        <f>AND('Badge Ticket Formats'!#REF!,"AAAAAHz/PmE=")</f>
        <v>#REF!</v>
      </c>
      <c r="CU149" t="e">
        <f>AND('Badge Ticket Formats'!#REF!,"AAAAAHz/PmI=")</f>
        <v>#REF!</v>
      </c>
      <c r="CV149" t="e">
        <f>AND('Badge Ticket Formats'!#REF!,"AAAAAHz/PmM=")</f>
        <v>#REF!</v>
      </c>
      <c r="CW149" t="e">
        <f>AND('Badge Ticket Formats'!#REF!,"AAAAAHz/PmQ=")</f>
        <v>#REF!</v>
      </c>
      <c r="CX149" t="e">
        <f>AND('Badge Ticket Formats'!#REF!,"AAAAAHz/PmU=")</f>
        <v>#REF!</v>
      </c>
      <c r="CY149" t="e">
        <f>AND('Badge Ticket Formats'!#REF!,"AAAAAHz/PmY=")</f>
        <v>#REF!</v>
      </c>
      <c r="CZ149" t="e">
        <f>AND('Badge Ticket Formats'!#REF!,"AAAAAHz/Pmc=")</f>
        <v>#REF!</v>
      </c>
      <c r="DA149" t="e">
        <f>IF('Badge Ticket Formats'!#REF!,"AAAAAHz/Pmg=",0)</f>
        <v>#REF!</v>
      </c>
      <c r="DB149" t="e">
        <f>AND('Badge Ticket Formats'!#REF!,"AAAAAHz/Pmk=")</f>
        <v>#REF!</v>
      </c>
      <c r="DC149" t="e">
        <f>AND('Badge Ticket Formats'!#REF!,"AAAAAHz/Pmo=")</f>
        <v>#REF!</v>
      </c>
      <c r="DD149" t="e">
        <f>AND('Badge Ticket Formats'!#REF!,"AAAAAHz/Pms=")</f>
        <v>#REF!</v>
      </c>
      <c r="DE149" t="e">
        <f>AND('Badge Ticket Formats'!#REF!,"AAAAAHz/Pmw=")</f>
        <v>#REF!</v>
      </c>
      <c r="DF149" t="e">
        <f>AND('Badge Ticket Formats'!#REF!,"AAAAAHz/Pm0=")</f>
        <v>#REF!</v>
      </c>
      <c r="DG149" t="e">
        <f>AND('Badge Ticket Formats'!#REF!,"AAAAAHz/Pm4=")</f>
        <v>#REF!</v>
      </c>
      <c r="DH149" t="e">
        <f>AND('Badge Ticket Formats'!#REF!,"AAAAAHz/Pm8=")</f>
        <v>#REF!</v>
      </c>
      <c r="DI149" t="e">
        <f>AND('Badge Ticket Formats'!#REF!,"AAAAAHz/PnA=")</f>
        <v>#REF!</v>
      </c>
      <c r="DJ149" t="e">
        <f>AND('Badge Ticket Formats'!#REF!,"AAAAAHz/PnE=")</f>
        <v>#REF!</v>
      </c>
      <c r="DK149" t="e">
        <f>AND('Badge Ticket Formats'!#REF!,"AAAAAHz/PnI=")</f>
        <v>#REF!</v>
      </c>
      <c r="DL149" t="e">
        <f>AND('Badge Ticket Formats'!#REF!,"AAAAAHz/PnM=")</f>
        <v>#REF!</v>
      </c>
      <c r="DM149" t="e">
        <f>AND('Badge Ticket Formats'!#REF!,"AAAAAHz/PnQ=")</f>
        <v>#REF!</v>
      </c>
      <c r="DN149" t="e">
        <f>AND('Badge Ticket Formats'!#REF!,"AAAAAHz/PnU=")</f>
        <v>#REF!</v>
      </c>
      <c r="DO149" t="e">
        <f>IF('Badge Ticket Formats'!#REF!,"AAAAAHz/PnY=",0)</f>
        <v>#REF!</v>
      </c>
      <c r="DP149" t="e">
        <f>AND('Badge Ticket Formats'!#REF!,"AAAAAHz/Pnc=")</f>
        <v>#REF!</v>
      </c>
      <c r="DQ149" t="e">
        <f>AND('Badge Ticket Formats'!#REF!,"AAAAAHz/Png=")</f>
        <v>#REF!</v>
      </c>
      <c r="DR149" t="e">
        <f>AND('Badge Ticket Formats'!#REF!,"AAAAAHz/Pnk=")</f>
        <v>#REF!</v>
      </c>
      <c r="DS149" t="e">
        <f>AND('Badge Ticket Formats'!#REF!,"AAAAAHz/Pno=")</f>
        <v>#REF!</v>
      </c>
      <c r="DT149" t="e">
        <f>AND('Badge Ticket Formats'!#REF!,"AAAAAHz/Pns=")</f>
        <v>#REF!</v>
      </c>
      <c r="DU149" t="e">
        <f>AND('Badge Ticket Formats'!#REF!,"AAAAAHz/Pnw=")</f>
        <v>#REF!</v>
      </c>
      <c r="DV149" t="e">
        <f>AND('Badge Ticket Formats'!#REF!,"AAAAAHz/Pn0=")</f>
        <v>#REF!</v>
      </c>
      <c r="DW149" t="e">
        <f>AND('Badge Ticket Formats'!#REF!,"AAAAAHz/Pn4=")</f>
        <v>#REF!</v>
      </c>
      <c r="DX149" t="e">
        <f>AND('Badge Ticket Formats'!#REF!,"AAAAAHz/Pn8=")</f>
        <v>#REF!</v>
      </c>
      <c r="DY149" t="e">
        <f>AND('Badge Ticket Formats'!#REF!,"AAAAAHz/PoA=")</f>
        <v>#REF!</v>
      </c>
      <c r="DZ149" t="e">
        <f>AND('Badge Ticket Formats'!#REF!,"AAAAAHz/PoE=")</f>
        <v>#REF!</v>
      </c>
      <c r="EA149" t="e">
        <f>AND('Badge Ticket Formats'!#REF!,"AAAAAHz/PoI=")</f>
        <v>#REF!</v>
      </c>
      <c r="EB149" t="e">
        <f>AND('Badge Ticket Formats'!#REF!,"AAAAAHz/PoM=")</f>
        <v>#REF!</v>
      </c>
      <c r="EC149" t="e">
        <f>IF('Badge Ticket Formats'!#REF!,"AAAAAHz/PoQ=",0)</f>
        <v>#REF!</v>
      </c>
      <c r="ED149" t="e">
        <f>AND('Badge Ticket Formats'!#REF!,"AAAAAHz/PoU=")</f>
        <v>#REF!</v>
      </c>
      <c r="EE149" t="e">
        <f>AND('Badge Ticket Formats'!#REF!,"AAAAAHz/PoY=")</f>
        <v>#REF!</v>
      </c>
      <c r="EF149" t="e">
        <f>AND('Badge Ticket Formats'!#REF!,"AAAAAHz/Poc=")</f>
        <v>#REF!</v>
      </c>
      <c r="EG149" t="e">
        <f>AND('Badge Ticket Formats'!#REF!,"AAAAAHz/Pog=")</f>
        <v>#REF!</v>
      </c>
      <c r="EH149" t="e">
        <f>AND('Badge Ticket Formats'!#REF!,"AAAAAHz/Pok=")</f>
        <v>#REF!</v>
      </c>
      <c r="EI149" t="e">
        <f>AND('Badge Ticket Formats'!#REF!,"AAAAAHz/Poo=")</f>
        <v>#REF!</v>
      </c>
      <c r="EJ149" t="e">
        <f>AND('Badge Ticket Formats'!#REF!,"AAAAAHz/Pos=")</f>
        <v>#REF!</v>
      </c>
      <c r="EK149" t="e">
        <f>AND('Badge Ticket Formats'!#REF!,"AAAAAHz/Pow=")</f>
        <v>#REF!</v>
      </c>
      <c r="EL149" t="e">
        <f>AND('Badge Ticket Formats'!#REF!,"AAAAAHz/Po0=")</f>
        <v>#REF!</v>
      </c>
      <c r="EM149" t="e">
        <f>AND('Badge Ticket Formats'!#REF!,"AAAAAHz/Po4=")</f>
        <v>#REF!</v>
      </c>
      <c r="EN149" t="e">
        <f>AND('Badge Ticket Formats'!#REF!,"AAAAAHz/Po8=")</f>
        <v>#REF!</v>
      </c>
      <c r="EO149" t="e">
        <f>AND('Badge Ticket Formats'!#REF!,"AAAAAHz/PpA=")</f>
        <v>#REF!</v>
      </c>
      <c r="EP149" t="e">
        <f>AND('Badge Ticket Formats'!#REF!,"AAAAAHz/PpE=")</f>
        <v>#REF!</v>
      </c>
      <c r="EQ149" t="e">
        <f>IF('Badge Ticket Formats'!#REF!,"AAAAAHz/PpI=",0)</f>
        <v>#REF!</v>
      </c>
      <c r="ER149" t="e">
        <f>AND('Badge Ticket Formats'!#REF!,"AAAAAHz/PpM=")</f>
        <v>#REF!</v>
      </c>
      <c r="ES149" t="e">
        <f>AND('Badge Ticket Formats'!#REF!,"AAAAAHz/PpQ=")</f>
        <v>#REF!</v>
      </c>
      <c r="ET149" t="e">
        <f>AND('Badge Ticket Formats'!#REF!,"AAAAAHz/PpU=")</f>
        <v>#REF!</v>
      </c>
      <c r="EU149" t="e">
        <f>AND('Badge Ticket Formats'!#REF!,"AAAAAHz/PpY=")</f>
        <v>#REF!</v>
      </c>
      <c r="EV149" t="e">
        <f>AND('Badge Ticket Formats'!#REF!,"AAAAAHz/Ppc=")</f>
        <v>#REF!</v>
      </c>
      <c r="EW149" t="e">
        <f>AND('Badge Ticket Formats'!#REF!,"AAAAAHz/Ppg=")</f>
        <v>#REF!</v>
      </c>
      <c r="EX149" t="e">
        <f>AND('Badge Ticket Formats'!#REF!,"AAAAAHz/Ppk=")</f>
        <v>#REF!</v>
      </c>
      <c r="EY149" t="e">
        <f>AND('Badge Ticket Formats'!#REF!,"AAAAAHz/Ppo=")</f>
        <v>#REF!</v>
      </c>
      <c r="EZ149" t="e">
        <f>AND('Badge Ticket Formats'!#REF!,"AAAAAHz/Pps=")</f>
        <v>#REF!</v>
      </c>
      <c r="FA149" t="e">
        <f>AND('Badge Ticket Formats'!#REF!,"AAAAAHz/Ppw=")</f>
        <v>#REF!</v>
      </c>
      <c r="FB149" t="e">
        <f>AND('Badge Ticket Formats'!#REF!,"AAAAAHz/Pp0=")</f>
        <v>#REF!</v>
      </c>
      <c r="FC149" t="e">
        <f>AND('Badge Ticket Formats'!#REF!,"AAAAAHz/Pp4=")</f>
        <v>#REF!</v>
      </c>
      <c r="FD149" t="e">
        <f>AND('Badge Ticket Formats'!#REF!,"AAAAAHz/Pp8=")</f>
        <v>#REF!</v>
      </c>
      <c r="FE149" t="e">
        <f>IF('Badge Ticket Formats'!#REF!,"AAAAAHz/PqA=",0)</f>
        <v>#REF!</v>
      </c>
      <c r="FF149" t="e">
        <f>AND('Badge Ticket Formats'!#REF!,"AAAAAHz/PqE=")</f>
        <v>#REF!</v>
      </c>
      <c r="FG149" t="e">
        <f>AND('Badge Ticket Formats'!#REF!,"AAAAAHz/PqI=")</f>
        <v>#REF!</v>
      </c>
      <c r="FH149" t="e">
        <f>AND('Badge Ticket Formats'!#REF!,"AAAAAHz/PqM=")</f>
        <v>#REF!</v>
      </c>
      <c r="FI149" t="e">
        <f>AND('Badge Ticket Formats'!#REF!,"AAAAAHz/PqQ=")</f>
        <v>#REF!</v>
      </c>
      <c r="FJ149" t="e">
        <f>AND('Badge Ticket Formats'!#REF!,"AAAAAHz/PqU=")</f>
        <v>#REF!</v>
      </c>
      <c r="FK149" t="e">
        <f>AND('Badge Ticket Formats'!#REF!,"AAAAAHz/PqY=")</f>
        <v>#REF!</v>
      </c>
      <c r="FL149" t="e">
        <f>AND('Badge Ticket Formats'!#REF!,"AAAAAHz/Pqc=")</f>
        <v>#REF!</v>
      </c>
      <c r="FM149" t="e">
        <f>AND('Badge Ticket Formats'!#REF!,"AAAAAHz/Pqg=")</f>
        <v>#REF!</v>
      </c>
      <c r="FN149" t="e">
        <f>AND('Badge Ticket Formats'!#REF!,"AAAAAHz/Pqk=")</f>
        <v>#REF!</v>
      </c>
      <c r="FO149" t="e">
        <f>AND('Badge Ticket Formats'!#REF!,"AAAAAHz/Pqo=")</f>
        <v>#REF!</v>
      </c>
      <c r="FP149" t="e">
        <f>AND('Badge Ticket Formats'!#REF!,"AAAAAHz/Pqs=")</f>
        <v>#REF!</v>
      </c>
      <c r="FQ149" t="e">
        <f>AND('Badge Ticket Formats'!#REF!,"AAAAAHz/Pqw=")</f>
        <v>#REF!</v>
      </c>
      <c r="FR149" t="e">
        <f>AND('Badge Ticket Formats'!#REF!,"AAAAAHz/Pq0=")</f>
        <v>#REF!</v>
      </c>
      <c r="FS149" t="e">
        <f>IF('Badge Ticket Formats'!#REF!,"AAAAAHz/Pq4=",0)</f>
        <v>#REF!</v>
      </c>
      <c r="FT149" t="e">
        <f>AND('Badge Ticket Formats'!#REF!,"AAAAAHz/Pq8=")</f>
        <v>#REF!</v>
      </c>
      <c r="FU149" t="e">
        <f>AND('Badge Ticket Formats'!#REF!,"AAAAAHz/PrA=")</f>
        <v>#REF!</v>
      </c>
      <c r="FV149" t="e">
        <f>AND('Badge Ticket Formats'!#REF!,"AAAAAHz/PrE=")</f>
        <v>#REF!</v>
      </c>
      <c r="FW149" t="e">
        <f>AND('Badge Ticket Formats'!#REF!,"AAAAAHz/PrI=")</f>
        <v>#REF!</v>
      </c>
      <c r="FX149" t="e">
        <f>AND('Badge Ticket Formats'!#REF!,"AAAAAHz/PrM=")</f>
        <v>#REF!</v>
      </c>
      <c r="FY149" t="e">
        <f>AND('Badge Ticket Formats'!#REF!,"AAAAAHz/PrQ=")</f>
        <v>#REF!</v>
      </c>
      <c r="FZ149" t="e">
        <f>AND('Badge Ticket Formats'!#REF!,"AAAAAHz/PrU=")</f>
        <v>#REF!</v>
      </c>
      <c r="GA149" t="e">
        <f>AND('Badge Ticket Formats'!#REF!,"AAAAAHz/PrY=")</f>
        <v>#REF!</v>
      </c>
      <c r="GB149" t="e">
        <f>AND('Badge Ticket Formats'!#REF!,"AAAAAHz/Prc=")</f>
        <v>#REF!</v>
      </c>
      <c r="GC149" t="e">
        <f>AND('Badge Ticket Formats'!#REF!,"AAAAAHz/Prg=")</f>
        <v>#REF!</v>
      </c>
      <c r="GD149" t="e">
        <f>AND('Badge Ticket Formats'!#REF!,"AAAAAHz/Prk=")</f>
        <v>#REF!</v>
      </c>
      <c r="GE149" t="e">
        <f>AND('Badge Ticket Formats'!#REF!,"AAAAAHz/Pro=")</f>
        <v>#REF!</v>
      </c>
      <c r="GF149" t="e">
        <f>AND('Badge Ticket Formats'!#REF!,"AAAAAHz/Prs=")</f>
        <v>#REF!</v>
      </c>
      <c r="GG149" t="e">
        <f>IF('Badge Ticket Formats'!#REF!,"AAAAAHz/Prw=",0)</f>
        <v>#REF!</v>
      </c>
      <c r="GH149" t="e">
        <f>AND('Badge Ticket Formats'!#REF!,"AAAAAHz/Pr0=")</f>
        <v>#REF!</v>
      </c>
      <c r="GI149" t="e">
        <f>AND('Badge Ticket Formats'!#REF!,"AAAAAHz/Pr4=")</f>
        <v>#REF!</v>
      </c>
      <c r="GJ149" t="e">
        <f>AND('Badge Ticket Formats'!#REF!,"AAAAAHz/Pr8=")</f>
        <v>#REF!</v>
      </c>
      <c r="GK149" t="e">
        <f>AND('Badge Ticket Formats'!#REF!,"AAAAAHz/PsA=")</f>
        <v>#REF!</v>
      </c>
      <c r="GL149" t="e">
        <f>AND('Badge Ticket Formats'!#REF!,"AAAAAHz/PsE=")</f>
        <v>#REF!</v>
      </c>
      <c r="GM149" t="e">
        <f>AND('Badge Ticket Formats'!#REF!,"AAAAAHz/PsI=")</f>
        <v>#REF!</v>
      </c>
      <c r="GN149" t="e">
        <f>AND('Badge Ticket Formats'!#REF!,"AAAAAHz/PsM=")</f>
        <v>#REF!</v>
      </c>
      <c r="GO149" t="e">
        <f>AND('Badge Ticket Formats'!#REF!,"AAAAAHz/PsQ=")</f>
        <v>#REF!</v>
      </c>
      <c r="GP149" t="e">
        <f>AND('Badge Ticket Formats'!#REF!,"AAAAAHz/PsU=")</f>
        <v>#REF!</v>
      </c>
      <c r="GQ149" t="e">
        <f>AND('Badge Ticket Formats'!#REF!,"AAAAAHz/PsY=")</f>
        <v>#REF!</v>
      </c>
      <c r="GR149" t="e">
        <f>AND('Badge Ticket Formats'!#REF!,"AAAAAHz/Psc=")</f>
        <v>#REF!</v>
      </c>
      <c r="GS149" t="e">
        <f>AND('Badge Ticket Formats'!#REF!,"AAAAAHz/Psg=")</f>
        <v>#REF!</v>
      </c>
      <c r="GT149" t="e">
        <f>AND('Badge Ticket Formats'!#REF!,"AAAAAHz/Psk=")</f>
        <v>#REF!</v>
      </c>
      <c r="GU149" t="e">
        <f>IF('Badge Ticket Formats'!#REF!,"AAAAAHz/Pso=",0)</f>
        <v>#REF!</v>
      </c>
      <c r="GV149" t="e">
        <f>AND('Badge Ticket Formats'!#REF!,"AAAAAHz/Pss=")</f>
        <v>#REF!</v>
      </c>
      <c r="GW149" t="e">
        <f>AND('Badge Ticket Formats'!#REF!,"AAAAAHz/Psw=")</f>
        <v>#REF!</v>
      </c>
      <c r="GX149" t="e">
        <f>AND('Badge Ticket Formats'!#REF!,"AAAAAHz/Ps0=")</f>
        <v>#REF!</v>
      </c>
      <c r="GY149" t="e">
        <f>AND('Badge Ticket Formats'!#REF!,"AAAAAHz/Ps4=")</f>
        <v>#REF!</v>
      </c>
      <c r="GZ149" t="e">
        <f>AND('Badge Ticket Formats'!#REF!,"AAAAAHz/Ps8=")</f>
        <v>#REF!</v>
      </c>
      <c r="HA149" t="e">
        <f>AND('Badge Ticket Formats'!#REF!,"AAAAAHz/PtA=")</f>
        <v>#REF!</v>
      </c>
      <c r="HB149" t="e">
        <f>AND('Badge Ticket Formats'!#REF!,"AAAAAHz/PtE=")</f>
        <v>#REF!</v>
      </c>
      <c r="HC149" t="e">
        <f>AND('Badge Ticket Formats'!#REF!,"AAAAAHz/PtI=")</f>
        <v>#REF!</v>
      </c>
      <c r="HD149" t="e">
        <f>AND('Badge Ticket Formats'!#REF!,"AAAAAHz/PtM=")</f>
        <v>#REF!</v>
      </c>
      <c r="HE149" t="e">
        <f>AND('Badge Ticket Formats'!#REF!,"AAAAAHz/PtQ=")</f>
        <v>#REF!</v>
      </c>
      <c r="HF149" t="e">
        <f>AND('Badge Ticket Formats'!#REF!,"AAAAAHz/PtU=")</f>
        <v>#REF!</v>
      </c>
      <c r="HG149" t="e">
        <f>AND('Badge Ticket Formats'!#REF!,"AAAAAHz/PtY=")</f>
        <v>#REF!</v>
      </c>
      <c r="HH149" t="e">
        <f>AND('Badge Ticket Formats'!#REF!,"AAAAAHz/Ptc=")</f>
        <v>#REF!</v>
      </c>
      <c r="HI149" t="e">
        <f>IF('Badge Ticket Formats'!#REF!,"AAAAAHz/Ptg=",0)</f>
        <v>#REF!</v>
      </c>
      <c r="HJ149" t="e">
        <f>AND('Badge Ticket Formats'!#REF!,"AAAAAHz/Ptk=")</f>
        <v>#REF!</v>
      </c>
      <c r="HK149" t="e">
        <f>AND('Badge Ticket Formats'!#REF!,"AAAAAHz/Pto=")</f>
        <v>#REF!</v>
      </c>
      <c r="HL149" t="e">
        <f>AND('Badge Ticket Formats'!#REF!,"AAAAAHz/Pts=")</f>
        <v>#REF!</v>
      </c>
      <c r="HM149" t="e">
        <f>AND('Badge Ticket Formats'!#REF!,"AAAAAHz/Ptw=")</f>
        <v>#REF!</v>
      </c>
      <c r="HN149" t="e">
        <f>AND('Badge Ticket Formats'!#REF!,"AAAAAHz/Pt0=")</f>
        <v>#REF!</v>
      </c>
      <c r="HO149" t="e">
        <f>AND('Badge Ticket Formats'!#REF!,"AAAAAHz/Pt4=")</f>
        <v>#REF!</v>
      </c>
      <c r="HP149" t="e">
        <f>AND('Badge Ticket Formats'!#REF!,"AAAAAHz/Pt8=")</f>
        <v>#REF!</v>
      </c>
      <c r="HQ149" t="e">
        <f>AND('Badge Ticket Formats'!#REF!,"AAAAAHz/PuA=")</f>
        <v>#REF!</v>
      </c>
      <c r="HR149" t="e">
        <f>AND('Badge Ticket Formats'!#REF!,"AAAAAHz/PuE=")</f>
        <v>#REF!</v>
      </c>
      <c r="HS149" t="e">
        <f>AND('Badge Ticket Formats'!#REF!,"AAAAAHz/PuI=")</f>
        <v>#REF!</v>
      </c>
      <c r="HT149" t="e">
        <f>AND('Badge Ticket Formats'!#REF!,"AAAAAHz/PuM=")</f>
        <v>#REF!</v>
      </c>
      <c r="HU149" t="e">
        <f>AND('Badge Ticket Formats'!#REF!,"AAAAAHz/PuQ=")</f>
        <v>#REF!</v>
      </c>
      <c r="HV149" t="e">
        <f>AND('Badge Ticket Formats'!#REF!,"AAAAAHz/PuU=")</f>
        <v>#REF!</v>
      </c>
      <c r="HW149" t="e">
        <f>IF('Badge Ticket Formats'!#REF!,"AAAAAHz/PuY=",0)</f>
        <v>#REF!</v>
      </c>
      <c r="HX149" t="e">
        <f>AND('Badge Ticket Formats'!#REF!,"AAAAAHz/Puc=")</f>
        <v>#REF!</v>
      </c>
      <c r="HY149" t="e">
        <f>AND('Badge Ticket Formats'!#REF!,"AAAAAHz/Pug=")</f>
        <v>#REF!</v>
      </c>
      <c r="HZ149" t="e">
        <f>AND('Badge Ticket Formats'!#REF!,"AAAAAHz/Puk=")</f>
        <v>#REF!</v>
      </c>
      <c r="IA149" t="e">
        <f>AND('Badge Ticket Formats'!#REF!,"AAAAAHz/Puo=")</f>
        <v>#REF!</v>
      </c>
      <c r="IB149" t="e">
        <f>AND('Badge Ticket Formats'!#REF!,"AAAAAHz/Pus=")</f>
        <v>#REF!</v>
      </c>
      <c r="IC149" t="e">
        <f>AND('Badge Ticket Formats'!#REF!,"AAAAAHz/Puw=")</f>
        <v>#REF!</v>
      </c>
      <c r="ID149" t="e">
        <f>AND('Badge Ticket Formats'!#REF!,"AAAAAHz/Pu0=")</f>
        <v>#REF!</v>
      </c>
      <c r="IE149" t="e">
        <f>AND('Badge Ticket Formats'!#REF!,"AAAAAHz/Pu4=")</f>
        <v>#REF!</v>
      </c>
      <c r="IF149" t="e">
        <f>AND('Badge Ticket Formats'!#REF!,"AAAAAHz/Pu8=")</f>
        <v>#REF!</v>
      </c>
      <c r="IG149" t="e">
        <f>AND('Badge Ticket Formats'!#REF!,"AAAAAHz/PvA=")</f>
        <v>#REF!</v>
      </c>
      <c r="IH149" t="e">
        <f>AND('Badge Ticket Formats'!#REF!,"AAAAAHz/PvE=")</f>
        <v>#REF!</v>
      </c>
      <c r="II149" t="e">
        <f>AND('Badge Ticket Formats'!#REF!,"AAAAAHz/PvI=")</f>
        <v>#REF!</v>
      </c>
      <c r="IJ149" t="e">
        <f>AND('Badge Ticket Formats'!#REF!,"AAAAAHz/PvM=")</f>
        <v>#REF!</v>
      </c>
      <c r="IK149" t="e">
        <f>IF('Badge Ticket Formats'!#REF!,"AAAAAHz/PvQ=",0)</f>
        <v>#REF!</v>
      </c>
      <c r="IL149" t="e">
        <f>AND('Badge Ticket Formats'!#REF!,"AAAAAHz/PvU=")</f>
        <v>#REF!</v>
      </c>
      <c r="IM149" t="e">
        <f>AND('Badge Ticket Formats'!#REF!,"AAAAAHz/PvY=")</f>
        <v>#REF!</v>
      </c>
      <c r="IN149" t="e">
        <f>AND('Badge Ticket Formats'!#REF!,"AAAAAHz/Pvc=")</f>
        <v>#REF!</v>
      </c>
      <c r="IO149" t="e">
        <f>AND('Badge Ticket Formats'!#REF!,"AAAAAHz/Pvg=")</f>
        <v>#REF!</v>
      </c>
      <c r="IP149" t="e">
        <f>AND('Badge Ticket Formats'!#REF!,"AAAAAHz/Pvk=")</f>
        <v>#REF!</v>
      </c>
      <c r="IQ149" t="e">
        <f>AND('Badge Ticket Formats'!#REF!,"AAAAAHz/Pvo=")</f>
        <v>#REF!</v>
      </c>
      <c r="IR149" t="e">
        <f>AND('Badge Ticket Formats'!#REF!,"AAAAAHz/Pvs=")</f>
        <v>#REF!</v>
      </c>
      <c r="IS149" t="e">
        <f>AND('Badge Ticket Formats'!#REF!,"AAAAAHz/Pvw=")</f>
        <v>#REF!</v>
      </c>
      <c r="IT149" t="e">
        <f>AND('Badge Ticket Formats'!#REF!,"AAAAAHz/Pv0=")</f>
        <v>#REF!</v>
      </c>
      <c r="IU149" t="e">
        <f>AND('Badge Ticket Formats'!#REF!,"AAAAAHz/Pv4=")</f>
        <v>#REF!</v>
      </c>
      <c r="IV149" t="e">
        <f>AND('Badge Ticket Formats'!#REF!,"AAAAAHz/Pv8=")</f>
        <v>#REF!</v>
      </c>
    </row>
    <row r="150" spans="1:256" x14ac:dyDescent="0.2">
      <c r="A150" t="e">
        <f>AND('Badge Ticket Formats'!#REF!,"AAAAADunFgA=")</f>
        <v>#REF!</v>
      </c>
      <c r="B150" t="e">
        <f>AND('Badge Ticket Formats'!#REF!,"AAAAADunFgE=")</f>
        <v>#REF!</v>
      </c>
      <c r="C150" t="e">
        <f>IF('Badge Ticket Formats'!#REF!,"AAAAADunFgI=",0)</f>
        <v>#REF!</v>
      </c>
      <c r="D150" t="e">
        <f>AND('Badge Ticket Formats'!#REF!,"AAAAADunFgM=")</f>
        <v>#REF!</v>
      </c>
      <c r="E150" t="e">
        <f>AND('Badge Ticket Formats'!#REF!,"AAAAADunFgQ=")</f>
        <v>#REF!</v>
      </c>
      <c r="F150" t="e">
        <f>AND('Badge Ticket Formats'!#REF!,"AAAAADunFgU=")</f>
        <v>#REF!</v>
      </c>
      <c r="G150" t="e">
        <f>AND('Badge Ticket Formats'!#REF!,"AAAAADunFgY=")</f>
        <v>#REF!</v>
      </c>
      <c r="H150" t="e">
        <f>AND('Badge Ticket Formats'!#REF!,"AAAAADunFgc=")</f>
        <v>#REF!</v>
      </c>
      <c r="I150" t="e">
        <f>AND('Badge Ticket Formats'!#REF!,"AAAAADunFgg=")</f>
        <v>#REF!</v>
      </c>
      <c r="J150" t="e">
        <f>AND('Badge Ticket Formats'!#REF!,"AAAAADunFgk=")</f>
        <v>#REF!</v>
      </c>
      <c r="K150" t="e">
        <f>AND('Badge Ticket Formats'!#REF!,"AAAAADunFgo=")</f>
        <v>#REF!</v>
      </c>
      <c r="L150" t="e">
        <f>AND('Badge Ticket Formats'!#REF!,"AAAAADunFgs=")</f>
        <v>#REF!</v>
      </c>
      <c r="M150" t="e">
        <f>AND('Badge Ticket Formats'!#REF!,"AAAAADunFgw=")</f>
        <v>#REF!</v>
      </c>
      <c r="N150" t="e">
        <f>AND('Badge Ticket Formats'!#REF!,"AAAAADunFg0=")</f>
        <v>#REF!</v>
      </c>
      <c r="O150" t="e">
        <f>AND('Badge Ticket Formats'!#REF!,"AAAAADunFg4=")</f>
        <v>#REF!</v>
      </c>
      <c r="P150" t="e">
        <f>AND('Badge Ticket Formats'!#REF!,"AAAAADunFg8=")</f>
        <v>#REF!</v>
      </c>
      <c r="Q150" t="e">
        <f>IF('Badge Ticket Formats'!#REF!,"AAAAADunFhA=",0)</f>
        <v>#REF!</v>
      </c>
      <c r="R150" t="e">
        <f>AND('Badge Ticket Formats'!#REF!,"AAAAADunFhE=")</f>
        <v>#REF!</v>
      </c>
      <c r="S150" t="e">
        <f>AND('Badge Ticket Formats'!#REF!,"AAAAADunFhI=")</f>
        <v>#REF!</v>
      </c>
      <c r="T150" t="e">
        <f>AND('Badge Ticket Formats'!#REF!,"AAAAADunFhM=")</f>
        <v>#REF!</v>
      </c>
      <c r="U150" t="e">
        <f>AND('Badge Ticket Formats'!#REF!,"AAAAADunFhQ=")</f>
        <v>#REF!</v>
      </c>
      <c r="V150" t="e">
        <f>AND('Badge Ticket Formats'!#REF!,"AAAAADunFhU=")</f>
        <v>#REF!</v>
      </c>
      <c r="W150" t="e">
        <f>AND('Badge Ticket Formats'!#REF!,"AAAAADunFhY=")</f>
        <v>#REF!</v>
      </c>
      <c r="X150" t="e">
        <f>AND('Badge Ticket Formats'!#REF!,"AAAAADunFhc=")</f>
        <v>#REF!</v>
      </c>
      <c r="Y150" t="e">
        <f>AND('Badge Ticket Formats'!#REF!,"AAAAADunFhg=")</f>
        <v>#REF!</v>
      </c>
      <c r="Z150" t="e">
        <f>AND('Badge Ticket Formats'!#REF!,"AAAAADunFhk=")</f>
        <v>#REF!</v>
      </c>
      <c r="AA150" t="e">
        <f>AND('Badge Ticket Formats'!#REF!,"AAAAADunFho=")</f>
        <v>#REF!</v>
      </c>
      <c r="AB150" t="e">
        <f>AND('Badge Ticket Formats'!#REF!,"AAAAADunFhs=")</f>
        <v>#REF!</v>
      </c>
      <c r="AC150" t="e">
        <f>AND('Badge Ticket Formats'!#REF!,"AAAAADunFhw=")</f>
        <v>#REF!</v>
      </c>
      <c r="AD150" t="e">
        <f>AND('Badge Ticket Formats'!#REF!,"AAAAADunFh0=")</f>
        <v>#REF!</v>
      </c>
      <c r="AE150" t="e">
        <f>IF('Badge Ticket Formats'!#REF!,"AAAAADunFh4=",0)</f>
        <v>#REF!</v>
      </c>
      <c r="AF150" t="e">
        <f>AND('Badge Ticket Formats'!#REF!,"AAAAADunFh8=")</f>
        <v>#REF!</v>
      </c>
      <c r="AG150" t="e">
        <f>AND('Badge Ticket Formats'!#REF!,"AAAAADunFiA=")</f>
        <v>#REF!</v>
      </c>
      <c r="AH150" t="e">
        <f>AND('Badge Ticket Formats'!#REF!,"AAAAADunFiE=")</f>
        <v>#REF!</v>
      </c>
      <c r="AI150" t="e">
        <f>AND('Badge Ticket Formats'!#REF!,"AAAAADunFiI=")</f>
        <v>#REF!</v>
      </c>
      <c r="AJ150" t="e">
        <f>AND('Badge Ticket Formats'!#REF!,"AAAAADunFiM=")</f>
        <v>#REF!</v>
      </c>
      <c r="AK150" t="e">
        <f>AND('Badge Ticket Formats'!#REF!,"AAAAADunFiQ=")</f>
        <v>#REF!</v>
      </c>
      <c r="AL150" t="e">
        <f>AND('Badge Ticket Formats'!#REF!,"AAAAADunFiU=")</f>
        <v>#REF!</v>
      </c>
      <c r="AM150" t="e">
        <f>AND('Badge Ticket Formats'!#REF!,"AAAAADunFiY=")</f>
        <v>#REF!</v>
      </c>
      <c r="AN150" t="e">
        <f>AND('Badge Ticket Formats'!#REF!,"AAAAADunFic=")</f>
        <v>#REF!</v>
      </c>
      <c r="AO150" t="e">
        <f>AND('Badge Ticket Formats'!#REF!,"AAAAADunFig=")</f>
        <v>#REF!</v>
      </c>
      <c r="AP150" t="e">
        <f>AND('Badge Ticket Formats'!#REF!,"AAAAADunFik=")</f>
        <v>#REF!</v>
      </c>
      <c r="AQ150" t="e">
        <f>AND('Badge Ticket Formats'!#REF!,"AAAAADunFio=")</f>
        <v>#REF!</v>
      </c>
      <c r="AR150" t="e">
        <f>AND('Badge Ticket Formats'!#REF!,"AAAAADunFis=")</f>
        <v>#REF!</v>
      </c>
      <c r="AS150" t="e">
        <f>IF('Badge Ticket Formats'!#REF!,"AAAAADunFiw=",0)</f>
        <v>#REF!</v>
      </c>
      <c r="AT150" t="e">
        <f>AND('Badge Ticket Formats'!#REF!,"AAAAADunFi0=")</f>
        <v>#REF!</v>
      </c>
      <c r="AU150" t="e">
        <f>AND('Badge Ticket Formats'!#REF!,"AAAAADunFi4=")</f>
        <v>#REF!</v>
      </c>
      <c r="AV150" t="e">
        <f>AND('Badge Ticket Formats'!#REF!,"AAAAADunFi8=")</f>
        <v>#REF!</v>
      </c>
      <c r="AW150" t="e">
        <f>AND('Badge Ticket Formats'!#REF!,"AAAAADunFjA=")</f>
        <v>#REF!</v>
      </c>
      <c r="AX150" t="e">
        <f>AND('Badge Ticket Formats'!#REF!,"AAAAADunFjE=")</f>
        <v>#REF!</v>
      </c>
      <c r="AY150" t="e">
        <f>AND('Badge Ticket Formats'!#REF!,"AAAAADunFjI=")</f>
        <v>#REF!</v>
      </c>
      <c r="AZ150" t="e">
        <f>AND('Badge Ticket Formats'!#REF!,"AAAAADunFjM=")</f>
        <v>#REF!</v>
      </c>
      <c r="BA150" t="e">
        <f>AND('Badge Ticket Formats'!#REF!,"AAAAADunFjQ=")</f>
        <v>#REF!</v>
      </c>
      <c r="BB150" t="e">
        <f>AND('Badge Ticket Formats'!#REF!,"AAAAADunFjU=")</f>
        <v>#REF!</v>
      </c>
      <c r="BC150" t="e">
        <f>AND('Badge Ticket Formats'!#REF!,"AAAAADunFjY=")</f>
        <v>#REF!</v>
      </c>
      <c r="BD150" t="e">
        <f>AND('Badge Ticket Formats'!#REF!,"AAAAADunFjc=")</f>
        <v>#REF!</v>
      </c>
      <c r="BE150" t="e">
        <f>AND('Badge Ticket Formats'!#REF!,"AAAAADunFjg=")</f>
        <v>#REF!</v>
      </c>
      <c r="BF150" t="e">
        <f>AND('Badge Ticket Formats'!#REF!,"AAAAADunFjk=")</f>
        <v>#REF!</v>
      </c>
      <c r="BG150" t="e">
        <f>IF('Badge Ticket Formats'!#REF!,"AAAAADunFjo=",0)</f>
        <v>#REF!</v>
      </c>
      <c r="BH150" t="e">
        <f>AND('Badge Ticket Formats'!#REF!,"AAAAADunFjs=")</f>
        <v>#REF!</v>
      </c>
      <c r="BI150" t="e">
        <f>AND('Badge Ticket Formats'!#REF!,"AAAAADunFjw=")</f>
        <v>#REF!</v>
      </c>
      <c r="BJ150" t="e">
        <f>AND('Badge Ticket Formats'!#REF!,"AAAAADunFj0=")</f>
        <v>#REF!</v>
      </c>
      <c r="BK150" t="e">
        <f>AND('Badge Ticket Formats'!#REF!,"AAAAADunFj4=")</f>
        <v>#REF!</v>
      </c>
      <c r="BL150" t="e">
        <f>AND('Badge Ticket Formats'!#REF!,"AAAAADunFj8=")</f>
        <v>#REF!</v>
      </c>
      <c r="BM150" t="e">
        <f>AND('Badge Ticket Formats'!#REF!,"AAAAADunFkA=")</f>
        <v>#REF!</v>
      </c>
      <c r="BN150" t="e">
        <f>AND('Badge Ticket Formats'!#REF!,"AAAAADunFkE=")</f>
        <v>#REF!</v>
      </c>
      <c r="BO150" t="e">
        <f>AND('Badge Ticket Formats'!#REF!,"AAAAADunFkI=")</f>
        <v>#REF!</v>
      </c>
      <c r="BP150" t="e">
        <f>AND('Badge Ticket Formats'!#REF!,"AAAAADunFkM=")</f>
        <v>#REF!</v>
      </c>
      <c r="BQ150" t="e">
        <f>AND('Badge Ticket Formats'!#REF!,"AAAAADunFkQ=")</f>
        <v>#REF!</v>
      </c>
      <c r="BR150" t="e">
        <f>AND('Badge Ticket Formats'!#REF!,"AAAAADunFkU=")</f>
        <v>#REF!</v>
      </c>
      <c r="BS150" t="e">
        <f>AND('Badge Ticket Formats'!#REF!,"AAAAADunFkY=")</f>
        <v>#REF!</v>
      </c>
      <c r="BT150" t="e">
        <f>AND('Badge Ticket Formats'!#REF!,"AAAAADunFkc=")</f>
        <v>#REF!</v>
      </c>
      <c r="BU150" t="e">
        <f>IF('Badge Ticket Formats'!#REF!,"AAAAADunFkg=",0)</f>
        <v>#REF!</v>
      </c>
      <c r="BV150" t="e">
        <f>AND('Badge Ticket Formats'!#REF!,"AAAAADunFkk=")</f>
        <v>#REF!</v>
      </c>
      <c r="BW150" t="e">
        <f>AND('Badge Ticket Formats'!#REF!,"AAAAADunFko=")</f>
        <v>#REF!</v>
      </c>
      <c r="BX150" t="e">
        <f>AND('Badge Ticket Formats'!#REF!,"AAAAADunFks=")</f>
        <v>#REF!</v>
      </c>
      <c r="BY150" t="e">
        <f>AND('Badge Ticket Formats'!#REF!,"AAAAADunFkw=")</f>
        <v>#REF!</v>
      </c>
      <c r="BZ150" t="e">
        <f>AND('Badge Ticket Formats'!#REF!,"AAAAADunFk0=")</f>
        <v>#REF!</v>
      </c>
      <c r="CA150" t="e">
        <f>AND('Badge Ticket Formats'!#REF!,"AAAAADunFk4=")</f>
        <v>#REF!</v>
      </c>
      <c r="CB150" t="e">
        <f>AND('Badge Ticket Formats'!#REF!,"AAAAADunFk8=")</f>
        <v>#REF!</v>
      </c>
      <c r="CC150" t="e">
        <f>AND('Badge Ticket Formats'!#REF!,"AAAAADunFlA=")</f>
        <v>#REF!</v>
      </c>
      <c r="CD150" t="e">
        <f>AND('Badge Ticket Formats'!#REF!,"AAAAADunFlE=")</f>
        <v>#REF!</v>
      </c>
      <c r="CE150" t="e">
        <f>AND('Badge Ticket Formats'!#REF!,"AAAAADunFlI=")</f>
        <v>#REF!</v>
      </c>
      <c r="CF150" t="e">
        <f>AND('Badge Ticket Formats'!#REF!,"AAAAADunFlM=")</f>
        <v>#REF!</v>
      </c>
      <c r="CG150" t="e">
        <f>AND('Badge Ticket Formats'!#REF!,"AAAAADunFlQ=")</f>
        <v>#REF!</v>
      </c>
      <c r="CH150" t="e">
        <f>AND('Badge Ticket Formats'!#REF!,"AAAAADunFlU=")</f>
        <v>#REF!</v>
      </c>
      <c r="CI150" t="e">
        <f>IF('Badge Ticket Formats'!#REF!,"AAAAADunFlY=",0)</f>
        <v>#REF!</v>
      </c>
      <c r="CJ150" t="e">
        <f>AND('Badge Ticket Formats'!#REF!,"AAAAADunFlc=")</f>
        <v>#REF!</v>
      </c>
      <c r="CK150" t="e">
        <f>AND('Badge Ticket Formats'!#REF!,"AAAAADunFlg=")</f>
        <v>#REF!</v>
      </c>
      <c r="CL150" t="e">
        <f>AND('Badge Ticket Formats'!#REF!,"AAAAADunFlk=")</f>
        <v>#REF!</v>
      </c>
      <c r="CM150" t="e">
        <f>AND('Badge Ticket Formats'!#REF!,"AAAAADunFlo=")</f>
        <v>#REF!</v>
      </c>
      <c r="CN150" t="e">
        <f>AND('Badge Ticket Formats'!#REF!,"AAAAADunFls=")</f>
        <v>#REF!</v>
      </c>
      <c r="CO150" t="e">
        <f>AND('Badge Ticket Formats'!#REF!,"AAAAADunFlw=")</f>
        <v>#REF!</v>
      </c>
      <c r="CP150" t="e">
        <f>AND('Badge Ticket Formats'!#REF!,"AAAAADunFl0=")</f>
        <v>#REF!</v>
      </c>
      <c r="CQ150" t="e">
        <f>AND('Badge Ticket Formats'!#REF!,"AAAAADunFl4=")</f>
        <v>#REF!</v>
      </c>
      <c r="CR150" t="e">
        <f>AND('Badge Ticket Formats'!#REF!,"AAAAADunFl8=")</f>
        <v>#REF!</v>
      </c>
      <c r="CS150" t="e">
        <f>AND('Badge Ticket Formats'!#REF!,"AAAAADunFmA=")</f>
        <v>#REF!</v>
      </c>
      <c r="CT150" t="e">
        <f>AND('Badge Ticket Formats'!#REF!,"AAAAADunFmE=")</f>
        <v>#REF!</v>
      </c>
      <c r="CU150" t="e">
        <f>AND('Badge Ticket Formats'!#REF!,"AAAAADunFmI=")</f>
        <v>#REF!</v>
      </c>
      <c r="CV150" t="e">
        <f>AND('Badge Ticket Formats'!#REF!,"AAAAADunFmM=")</f>
        <v>#REF!</v>
      </c>
      <c r="CW150" t="e">
        <f>IF('Badge Ticket Formats'!#REF!,"AAAAADunFmQ=",0)</f>
        <v>#REF!</v>
      </c>
      <c r="CX150" t="e">
        <f>AND('Badge Ticket Formats'!#REF!,"AAAAADunFmU=")</f>
        <v>#REF!</v>
      </c>
      <c r="CY150" t="e">
        <f>AND('Badge Ticket Formats'!#REF!,"AAAAADunFmY=")</f>
        <v>#REF!</v>
      </c>
      <c r="CZ150" t="e">
        <f>AND('Badge Ticket Formats'!#REF!,"AAAAADunFmc=")</f>
        <v>#REF!</v>
      </c>
      <c r="DA150" t="e">
        <f>AND('Badge Ticket Formats'!#REF!,"AAAAADunFmg=")</f>
        <v>#REF!</v>
      </c>
      <c r="DB150" t="e">
        <f>AND('Badge Ticket Formats'!#REF!,"AAAAADunFmk=")</f>
        <v>#REF!</v>
      </c>
      <c r="DC150" t="e">
        <f>AND('Badge Ticket Formats'!#REF!,"AAAAADunFmo=")</f>
        <v>#REF!</v>
      </c>
      <c r="DD150" t="e">
        <f>AND('Badge Ticket Formats'!#REF!,"AAAAADunFms=")</f>
        <v>#REF!</v>
      </c>
      <c r="DE150" t="e">
        <f>AND('Badge Ticket Formats'!#REF!,"AAAAADunFmw=")</f>
        <v>#REF!</v>
      </c>
      <c r="DF150" t="e">
        <f>AND('Badge Ticket Formats'!#REF!,"AAAAADunFm0=")</f>
        <v>#REF!</v>
      </c>
      <c r="DG150" t="e">
        <f>AND('Badge Ticket Formats'!#REF!,"AAAAADunFm4=")</f>
        <v>#REF!</v>
      </c>
      <c r="DH150" t="e">
        <f>AND('Badge Ticket Formats'!#REF!,"AAAAADunFm8=")</f>
        <v>#REF!</v>
      </c>
      <c r="DI150" t="e">
        <f>AND('Badge Ticket Formats'!#REF!,"AAAAADunFnA=")</f>
        <v>#REF!</v>
      </c>
      <c r="DJ150" t="e">
        <f>AND('Badge Ticket Formats'!#REF!,"AAAAADunFnE=")</f>
        <v>#REF!</v>
      </c>
      <c r="DK150" t="e">
        <f>IF('Badge Ticket Formats'!#REF!,"AAAAADunFnI=",0)</f>
        <v>#REF!</v>
      </c>
      <c r="DL150" t="e">
        <f>AND('Badge Ticket Formats'!#REF!,"AAAAADunFnM=")</f>
        <v>#REF!</v>
      </c>
      <c r="DM150" t="e">
        <f>AND('Badge Ticket Formats'!#REF!,"AAAAADunFnQ=")</f>
        <v>#REF!</v>
      </c>
      <c r="DN150" t="e">
        <f>AND('Badge Ticket Formats'!#REF!,"AAAAADunFnU=")</f>
        <v>#REF!</v>
      </c>
      <c r="DO150" t="e">
        <f>AND('Badge Ticket Formats'!#REF!,"AAAAADunFnY=")</f>
        <v>#REF!</v>
      </c>
      <c r="DP150" t="e">
        <f>AND('Badge Ticket Formats'!#REF!,"AAAAADunFnc=")</f>
        <v>#REF!</v>
      </c>
      <c r="DQ150" t="e">
        <f>AND('Badge Ticket Formats'!#REF!,"AAAAADunFng=")</f>
        <v>#REF!</v>
      </c>
      <c r="DR150" t="e">
        <f>AND('Badge Ticket Formats'!#REF!,"AAAAADunFnk=")</f>
        <v>#REF!</v>
      </c>
      <c r="DS150" t="e">
        <f>AND('Badge Ticket Formats'!#REF!,"AAAAADunFno=")</f>
        <v>#REF!</v>
      </c>
      <c r="DT150" t="e">
        <f>AND('Badge Ticket Formats'!#REF!,"AAAAADunFns=")</f>
        <v>#REF!</v>
      </c>
      <c r="DU150" t="e">
        <f>AND('Badge Ticket Formats'!#REF!,"AAAAADunFnw=")</f>
        <v>#REF!</v>
      </c>
      <c r="DV150" t="e">
        <f>AND('Badge Ticket Formats'!#REF!,"AAAAADunFn0=")</f>
        <v>#REF!</v>
      </c>
      <c r="DW150" t="e">
        <f>AND('Badge Ticket Formats'!#REF!,"AAAAADunFn4=")</f>
        <v>#REF!</v>
      </c>
      <c r="DX150" t="e">
        <f>AND('Badge Ticket Formats'!#REF!,"AAAAADunFn8=")</f>
        <v>#REF!</v>
      </c>
      <c r="DY150" t="e">
        <f>IF('Badge Ticket Formats'!#REF!,"AAAAADunFoA=",0)</f>
        <v>#REF!</v>
      </c>
      <c r="DZ150" t="e">
        <f>AND('Badge Ticket Formats'!#REF!,"AAAAADunFoE=")</f>
        <v>#REF!</v>
      </c>
      <c r="EA150" t="e">
        <f>AND('Badge Ticket Formats'!#REF!,"AAAAADunFoI=")</f>
        <v>#REF!</v>
      </c>
      <c r="EB150" t="e">
        <f>AND('Badge Ticket Formats'!#REF!,"AAAAADunFoM=")</f>
        <v>#REF!</v>
      </c>
      <c r="EC150" t="e">
        <f>AND('Badge Ticket Formats'!#REF!,"AAAAADunFoQ=")</f>
        <v>#REF!</v>
      </c>
      <c r="ED150" t="e">
        <f>AND('Badge Ticket Formats'!#REF!,"AAAAADunFoU=")</f>
        <v>#REF!</v>
      </c>
      <c r="EE150" t="e">
        <f>AND('Badge Ticket Formats'!#REF!,"AAAAADunFoY=")</f>
        <v>#REF!</v>
      </c>
      <c r="EF150" t="e">
        <f>AND('Badge Ticket Formats'!#REF!,"AAAAADunFoc=")</f>
        <v>#REF!</v>
      </c>
      <c r="EG150" t="e">
        <f>AND('Badge Ticket Formats'!#REF!,"AAAAADunFog=")</f>
        <v>#REF!</v>
      </c>
      <c r="EH150" t="e">
        <f>AND('Badge Ticket Formats'!#REF!,"AAAAADunFok=")</f>
        <v>#REF!</v>
      </c>
      <c r="EI150" t="e">
        <f>AND('Badge Ticket Formats'!#REF!,"AAAAADunFoo=")</f>
        <v>#REF!</v>
      </c>
      <c r="EJ150" t="e">
        <f>AND('Badge Ticket Formats'!#REF!,"AAAAADunFos=")</f>
        <v>#REF!</v>
      </c>
      <c r="EK150" t="e">
        <f>AND('Badge Ticket Formats'!#REF!,"AAAAADunFow=")</f>
        <v>#REF!</v>
      </c>
      <c r="EL150" t="e">
        <f>AND('Badge Ticket Formats'!#REF!,"AAAAADunFo0=")</f>
        <v>#REF!</v>
      </c>
      <c r="EM150" t="e">
        <f>IF('Badge Ticket Formats'!#REF!,"AAAAADunFo4=",0)</f>
        <v>#REF!</v>
      </c>
      <c r="EN150" t="e">
        <f>AND('Badge Ticket Formats'!#REF!,"AAAAADunFo8=")</f>
        <v>#REF!</v>
      </c>
      <c r="EO150" t="e">
        <f>AND('Badge Ticket Formats'!#REF!,"AAAAADunFpA=")</f>
        <v>#REF!</v>
      </c>
      <c r="EP150" t="e">
        <f>AND('Badge Ticket Formats'!#REF!,"AAAAADunFpE=")</f>
        <v>#REF!</v>
      </c>
      <c r="EQ150" t="e">
        <f>AND('Badge Ticket Formats'!#REF!,"AAAAADunFpI=")</f>
        <v>#REF!</v>
      </c>
      <c r="ER150" t="e">
        <f>AND('Badge Ticket Formats'!#REF!,"AAAAADunFpM=")</f>
        <v>#REF!</v>
      </c>
      <c r="ES150" t="e">
        <f>AND('Badge Ticket Formats'!#REF!,"AAAAADunFpQ=")</f>
        <v>#REF!</v>
      </c>
      <c r="ET150" t="e">
        <f>AND('Badge Ticket Formats'!#REF!,"AAAAADunFpU=")</f>
        <v>#REF!</v>
      </c>
      <c r="EU150" t="e">
        <f>AND('Badge Ticket Formats'!#REF!,"AAAAADunFpY=")</f>
        <v>#REF!</v>
      </c>
      <c r="EV150" t="e">
        <f>AND('Badge Ticket Formats'!#REF!,"AAAAADunFpc=")</f>
        <v>#REF!</v>
      </c>
      <c r="EW150" t="e">
        <f>AND('Badge Ticket Formats'!#REF!,"AAAAADunFpg=")</f>
        <v>#REF!</v>
      </c>
      <c r="EX150" t="e">
        <f>AND('Badge Ticket Formats'!#REF!,"AAAAADunFpk=")</f>
        <v>#REF!</v>
      </c>
      <c r="EY150" t="e">
        <f>AND('Badge Ticket Formats'!#REF!,"AAAAADunFpo=")</f>
        <v>#REF!</v>
      </c>
      <c r="EZ150" t="e">
        <f>AND('Badge Ticket Formats'!#REF!,"AAAAADunFps=")</f>
        <v>#REF!</v>
      </c>
      <c r="FA150" t="e">
        <f>IF('Badge Ticket Formats'!#REF!,"AAAAADunFpw=",0)</f>
        <v>#REF!</v>
      </c>
      <c r="FB150" t="e">
        <f>AND('Badge Ticket Formats'!#REF!,"AAAAADunFp0=")</f>
        <v>#REF!</v>
      </c>
      <c r="FC150" t="e">
        <f>AND('Badge Ticket Formats'!#REF!,"AAAAADunFp4=")</f>
        <v>#REF!</v>
      </c>
      <c r="FD150" t="e">
        <f>AND('Badge Ticket Formats'!#REF!,"AAAAADunFp8=")</f>
        <v>#REF!</v>
      </c>
      <c r="FE150" t="e">
        <f>AND('Badge Ticket Formats'!#REF!,"AAAAADunFqA=")</f>
        <v>#REF!</v>
      </c>
      <c r="FF150" t="e">
        <f>AND('Badge Ticket Formats'!#REF!,"AAAAADunFqE=")</f>
        <v>#REF!</v>
      </c>
      <c r="FG150" t="e">
        <f>AND('Badge Ticket Formats'!#REF!,"AAAAADunFqI=")</f>
        <v>#REF!</v>
      </c>
      <c r="FH150" t="e">
        <f>AND('Badge Ticket Formats'!#REF!,"AAAAADunFqM=")</f>
        <v>#REF!</v>
      </c>
      <c r="FI150" t="e">
        <f>AND('Badge Ticket Formats'!#REF!,"AAAAADunFqQ=")</f>
        <v>#REF!</v>
      </c>
      <c r="FJ150" t="e">
        <f>AND('Badge Ticket Formats'!#REF!,"AAAAADunFqU=")</f>
        <v>#REF!</v>
      </c>
      <c r="FK150" t="e">
        <f>AND('Badge Ticket Formats'!#REF!,"AAAAADunFqY=")</f>
        <v>#REF!</v>
      </c>
      <c r="FL150" t="e">
        <f>AND('Badge Ticket Formats'!#REF!,"AAAAADunFqc=")</f>
        <v>#REF!</v>
      </c>
      <c r="FM150" t="e">
        <f>AND('Badge Ticket Formats'!#REF!,"AAAAADunFqg=")</f>
        <v>#REF!</v>
      </c>
      <c r="FN150" t="e">
        <f>AND('Badge Ticket Formats'!#REF!,"AAAAADunFqk=")</f>
        <v>#REF!</v>
      </c>
      <c r="FO150" t="e">
        <f>IF('Badge Ticket Formats'!#REF!,"AAAAADunFqo=",0)</f>
        <v>#REF!</v>
      </c>
      <c r="FP150" t="e">
        <f>AND('Badge Ticket Formats'!#REF!,"AAAAADunFqs=")</f>
        <v>#REF!</v>
      </c>
      <c r="FQ150" t="e">
        <f>AND('Badge Ticket Formats'!#REF!,"AAAAADunFqw=")</f>
        <v>#REF!</v>
      </c>
      <c r="FR150" t="e">
        <f>AND('Badge Ticket Formats'!#REF!,"AAAAADunFq0=")</f>
        <v>#REF!</v>
      </c>
      <c r="FS150" t="e">
        <f>AND('Badge Ticket Formats'!#REF!,"AAAAADunFq4=")</f>
        <v>#REF!</v>
      </c>
      <c r="FT150" t="e">
        <f>AND('Badge Ticket Formats'!#REF!,"AAAAADunFq8=")</f>
        <v>#REF!</v>
      </c>
      <c r="FU150" t="e">
        <f>AND('Badge Ticket Formats'!#REF!,"AAAAADunFrA=")</f>
        <v>#REF!</v>
      </c>
      <c r="FV150" t="e">
        <f>AND('Badge Ticket Formats'!#REF!,"AAAAADunFrE=")</f>
        <v>#REF!</v>
      </c>
      <c r="FW150" t="e">
        <f>AND('Badge Ticket Formats'!#REF!,"AAAAADunFrI=")</f>
        <v>#REF!</v>
      </c>
      <c r="FX150" t="e">
        <f>AND('Badge Ticket Formats'!#REF!,"AAAAADunFrM=")</f>
        <v>#REF!</v>
      </c>
      <c r="FY150" t="e">
        <f>AND('Badge Ticket Formats'!#REF!,"AAAAADunFrQ=")</f>
        <v>#REF!</v>
      </c>
      <c r="FZ150" t="e">
        <f>AND('Badge Ticket Formats'!#REF!,"AAAAADunFrU=")</f>
        <v>#REF!</v>
      </c>
      <c r="GA150" t="e">
        <f>AND('Badge Ticket Formats'!#REF!,"AAAAADunFrY=")</f>
        <v>#REF!</v>
      </c>
      <c r="GB150" t="e">
        <f>AND('Badge Ticket Formats'!#REF!,"AAAAADunFrc=")</f>
        <v>#REF!</v>
      </c>
      <c r="GC150" t="e">
        <f>IF('Badge Ticket Formats'!#REF!,"AAAAADunFrg=",0)</f>
        <v>#REF!</v>
      </c>
      <c r="GD150" t="e">
        <f>AND('Badge Ticket Formats'!#REF!,"AAAAADunFrk=")</f>
        <v>#REF!</v>
      </c>
      <c r="GE150" t="e">
        <f>AND('Badge Ticket Formats'!#REF!,"AAAAADunFro=")</f>
        <v>#REF!</v>
      </c>
      <c r="GF150" t="e">
        <f>AND('Badge Ticket Formats'!#REF!,"AAAAADunFrs=")</f>
        <v>#REF!</v>
      </c>
      <c r="GG150" t="e">
        <f>AND('Badge Ticket Formats'!#REF!,"AAAAADunFrw=")</f>
        <v>#REF!</v>
      </c>
      <c r="GH150" t="e">
        <f>AND('Badge Ticket Formats'!#REF!,"AAAAADunFr0=")</f>
        <v>#REF!</v>
      </c>
      <c r="GI150" t="e">
        <f>AND('Badge Ticket Formats'!#REF!,"AAAAADunFr4=")</f>
        <v>#REF!</v>
      </c>
      <c r="GJ150" t="e">
        <f>AND('Badge Ticket Formats'!#REF!,"AAAAADunFr8=")</f>
        <v>#REF!</v>
      </c>
      <c r="GK150" t="e">
        <f>AND('Badge Ticket Formats'!#REF!,"AAAAADunFsA=")</f>
        <v>#REF!</v>
      </c>
      <c r="GL150" t="e">
        <f>AND('Badge Ticket Formats'!#REF!,"AAAAADunFsE=")</f>
        <v>#REF!</v>
      </c>
      <c r="GM150" t="e">
        <f>AND('Badge Ticket Formats'!#REF!,"AAAAADunFsI=")</f>
        <v>#REF!</v>
      </c>
      <c r="GN150" t="e">
        <f>AND('Badge Ticket Formats'!#REF!,"AAAAADunFsM=")</f>
        <v>#REF!</v>
      </c>
      <c r="GO150" t="e">
        <f>AND('Badge Ticket Formats'!#REF!,"AAAAADunFsQ=")</f>
        <v>#REF!</v>
      </c>
      <c r="GP150" t="e">
        <f>AND('Badge Ticket Formats'!#REF!,"AAAAADunFsU=")</f>
        <v>#REF!</v>
      </c>
      <c r="GQ150" t="e">
        <f>IF('Badge Ticket Formats'!#REF!,"AAAAADunFsY=",0)</f>
        <v>#REF!</v>
      </c>
      <c r="GR150" t="e">
        <f>AND('Badge Ticket Formats'!#REF!,"AAAAADunFsc=")</f>
        <v>#REF!</v>
      </c>
      <c r="GS150" t="e">
        <f>AND('Badge Ticket Formats'!#REF!,"AAAAADunFsg=")</f>
        <v>#REF!</v>
      </c>
      <c r="GT150" t="e">
        <f>AND('Badge Ticket Formats'!#REF!,"AAAAADunFsk=")</f>
        <v>#REF!</v>
      </c>
      <c r="GU150" t="e">
        <f>AND('Badge Ticket Formats'!#REF!,"AAAAADunFso=")</f>
        <v>#REF!</v>
      </c>
      <c r="GV150" t="e">
        <f>AND('Badge Ticket Formats'!#REF!,"AAAAADunFss=")</f>
        <v>#REF!</v>
      </c>
      <c r="GW150" t="e">
        <f>AND('Badge Ticket Formats'!#REF!,"AAAAADunFsw=")</f>
        <v>#REF!</v>
      </c>
      <c r="GX150" t="e">
        <f>AND('Badge Ticket Formats'!#REF!,"AAAAADunFs0=")</f>
        <v>#REF!</v>
      </c>
      <c r="GY150" t="e">
        <f>AND('Badge Ticket Formats'!#REF!,"AAAAADunFs4=")</f>
        <v>#REF!</v>
      </c>
      <c r="GZ150" t="e">
        <f>AND('Badge Ticket Formats'!#REF!,"AAAAADunFs8=")</f>
        <v>#REF!</v>
      </c>
      <c r="HA150" t="e">
        <f>AND('Badge Ticket Formats'!#REF!,"AAAAADunFtA=")</f>
        <v>#REF!</v>
      </c>
      <c r="HB150" t="e">
        <f>AND('Badge Ticket Formats'!#REF!,"AAAAADunFtE=")</f>
        <v>#REF!</v>
      </c>
      <c r="HC150" t="e">
        <f>AND('Badge Ticket Formats'!#REF!,"AAAAADunFtI=")</f>
        <v>#REF!</v>
      </c>
      <c r="HD150" t="e">
        <f>AND('Badge Ticket Formats'!#REF!,"AAAAADunFtM=")</f>
        <v>#REF!</v>
      </c>
      <c r="HE150" t="e">
        <f>IF('Badge Ticket Formats'!#REF!,"AAAAADunFtQ=",0)</f>
        <v>#REF!</v>
      </c>
      <c r="HF150" t="e">
        <f>AND('Badge Ticket Formats'!#REF!,"AAAAADunFtU=")</f>
        <v>#REF!</v>
      </c>
      <c r="HG150" t="e">
        <f>AND('Badge Ticket Formats'!#REF!,"AAAAADunFtY=")</f>
        <v>#REF!</v>
      </c>
      <c r="HH150" t="e">
        <f>AND('Badge Ticket Formats'!#REF!,"AAAAADunFtc=")</f>
        <v>#REF!</v>
      </c>
      <c r="HI150" t="e">
        <f>AND('Badge Ticket Formats'!#REF!,"AAAAADunFtg=")</f>
        <v>#REF!</v>
      </c>
      <c r="HJ150" t="e">
        <f>AND('Badge Ticket Formats'!#REF!,"AAAAADunFtk=")</f>
        <v>#REF!</v>
      </c>
      <c r="HK150" t="e">
        <f>AND('Badge Ticket Formats'!#REF!,"AAAAADunFto=")</f>
        <v>#REF!</v>
      </c>
      <c r="HL150" t="e">
        <f>AND('Badge Ticket Formats'!#REF!,"AAAAADunFts=")</f>
        <v>#REF!</v>
      </c>
      <c r="HM150" t="e">
        <f>AND('Badge Ticket Formats'!#REF!,"AAAAADunFtw=")</f>
        <v>#REF!</v>
      </c>
      <c r="HN150" t="e">
        <f>AND('Badge Ticket Formats'!#REF!,"AAAAADunFt0=")</f>
        <v>#REF!</v>
      </c>
      <c r="HO150" t="e">
        <f>AND('Badge Ticket Formats'!#REF!,"AAAAADunFt4=")</f>
        <v>#REF!</v>
      </c>
      <c r="HP150" t="e">
        <f>AND('Badge Ticket Formats'!#REF!,"AAAAADunFt8=")</f>
        <v>#REF!</v>
      </c>
      <c r="HQ150" t="e">
        <f>AND('Badge Ticket Formats'!#REF!,"AAAAADunFuA=")</f>
        <v>#REF!</v>
      </c>
      <c r="HR150" t="e">
        <f>AND('Badge Ticket Formats'!#REF!,"AAAAADunFuE=")</f>
        <v>#REF!</v>
      </c>
      <c r="HS150" t="e">
        <f>IF('Badge Ticket Formats'!#REF!,"AAAAADunFuI=",0)</f>
        <v>#REF!</v>
      </c>
      <c r="HT150" t="e">
        <f>AND('Badge Ticket Formats'!#REF!,"AAAAADunFuM=")</f>
        <v>#REF!</v>
      </c>
      <c r="HU150" t="e">
        <f>AND('Badge Ticket Formats'!#REF!,"AAAAADunFuQ=")</f>
        <v>#REF!</v>
      </c>
      <c r="HV150" t="e">
        <f>AND('Badge Ticket Formats'!#REF!,"AAAAADunFuU=")</f>
        <v>#REF!</v>
      </c>
      <c r="HW150" t="e">
        <f>AND('Badge Ticket Formats'!#REF!,"AAAAADunFuY=")</f>
        <v>#REF!</v>
      </c>
      <c r="HX150" t="e">
        <f>AND('Badge Ticket Formats'!#REF!,"AAAAADunFuc=")</f>
        <v>#REF!</v>
      </c>
      <c r="HY150" t="e">
        <f>AND('Badge Ticket Formats'!#REF!,"AAAAADunFug=")</f>
        <v>#REF!</v>
      </c>
      <c r="HZ150" t="e">
        <f>AND('Badge Ticket Formats'!#REF!,"AAAAADunFuk=")</f>
        <v>#REF!</v>
      </c>
      <c r="IA150" t="e">
        <f>AND('Badge Ticket Formats'!#REF!,"AAAAADunFuo=")</f>
        <v>#REF!</v>
      </c>
      <c r="IB150" t="e">
        <f>AND('Badge Ticket Formats'!#REF!,"AAAAADunFus=")</f>
        <v>#REF!</v>
      </c>
      <c r="IC150" t="e">
        <f>AND('Badge Ticket Formats'!#REF!,"AAAAADunFuw=")</f>
        <v>#REF!</v>
      </c>
      <c r="ID150" t="e">
        <f>AND('Badge Ticket Formats'!#REF!,"AAAAADunFu0=")</f>
        <v>#REF!</v>
      </c>
      <c r="IE150" t="e">
        <f>AND('Badge Ticket Formats'!#REF!,"AAAAADunFu4=")</f>
        <v>#REF!</v>
      </c>
      <c r="IF150" t="e">
        <f>AND('Badge Ticket Formats'!#REF!,"AAAAADunFu8=")</f>
        <v>#REF!</v>
      </c>
      <c r="IG150" t="e">
        <f>IF('Badge Ticket Formats'!#REF!,"AAAAADunFvA=",0)</f>
        <v>#REF!</v>
      </c>
      <c r="IH150" t="e">
        <f>AND('Badge Ticket Formats'!#REF!,"AAAAADunFvE=")</f>
        <v>#REF!</v>
      </c>
      <c r="II150" t="e">
        <f>AND('Badge Ticket Formats'!#REF!,"AAAAADunFvI=")</f>
        <v>#REF!</v>
      </c>
      <c r="IJ150" t="e">
        <f>AND('Badge Ticket Formats'!#REF!,"AAAAADunFvM=")</f>
        <v>#REF!</v>
      </c>
      <c r="IK150" t="e">
        <f>AND('Badge Ticket Formats'!#REF!,"AAAAADunFvQ=")</f>
        <v>#REF!</v>
      </c>
      <c r="IL150" t="e">
        <f>AND('Badge Ticket Formats'!#REF!,"AAAAADunFvU=")</f>
        <v>#REF!</v>
      </c>
      <c r="IM150" t="e">
        <f>AND('Badge Ticket Formats'!#REF!,"AAAAADunFvY=")</f>
        <v>#REF!</v>
      </c>
      <c r="IN150" t="e">
        <f>AND('Badge Ticket Formats'!#REF!,"AAAAADunFvc=")</f>
        <v>#REF!</v>
      </c>
      <c r="IO150" t="e">
        <f>AND('Badge Ticket Formats'!#REF!,"AAAAADunFvg=")</f>
        <v>#REF!</v>
      </c>
      <c r="IP150" t="e">
        <f>AND('Badge Ticket Formats'!#REF!,"AAAAADunFvk=")</f>
        <v>#REF!</v>
      </c>
      <c r="IQ150" t="e">
        <f>AND('Badge Ticket Formats'!#REF!,"AAAAADunFvo=")</f>
        <v>#REF!</v>
      </c>
      <c r="IR150" t="e">
        <f>AND('Badge Ticket Formats'!#REF!,"AAAAADunFvs=")</f>
        <v>#REF!</v>
      </c>
      <c r="IS150" t="e">
        <f>AND('Badge Ticket Formats'!#REF!,"AAAAADunFvw=")</f>
        <v>#REF!</v>
      </c>
      <c r="IT150" t="e">
        <f>AND('Badge Ticket Formats'!#REF!,"AAAAADunFv0=")</f>
        <v>#REF!</v>
      </c>
      <c r="IU150" t="e">
        <f>IF('Badge Ticket Formats'!#REF!,"AAAAADunFv4=",0)</f>
        <v>#REF!</v>
      </c>
      <c r="IV150" t="e">
        <f>AND('Badge Ticket Formats'!#REF!,"AAAAADunFv8=")</f>
        <v>#REF!</v>
      </c>
    </row>
    <row r="151" spans="1:256" x14ac:dyDescent="0.2">
      <c r="A151" t="e">
        <f>AND('Badge Ticket Formats'!#REF!,"AAAAADbb/QA=")</f>
        <v>#REF!</v>
      </c>
      <c r="B151" t="e">
        <f>AND('Badge Ticket Formats'!#REF!,"AAAAADbb/QE=")</f>
        <v>#REF!</v>
      </c>
      <c r="C151" t="e">
        <f>AND('Badge Ticket Formats'!#REF!,"AAAAADbb/QI=")</f>
        <v>#REF!</v>
      </c>
      <c r="D151" t="e">
        <f>AND('Badge Ticket Formats'!#REF!,"AAAAADbb/QM=")</f>
        <v>#REF!</v>
      </c>
      <c r="E151" t="e">
        <f>AND('Badge Ticket Formats'!#REF!,"AAAAADbb/QQ=")</f>
        <v>#REF!</v>
      </c>
      <c r="F151" t="e">
        <f>AND('Badge Ticket Formats'!#REF!,"AAAAADbb/QU=")</f>
        <v>#REF!</v>
      </c>
      <c r="G151" t="e">
        <f>AND('Badge Ticket Formats'!#REF!,"AAAAADbb/QY=")</f>
        <v>#REF!</v>
      </c>
      <c r="H151" t="e">
        <f>AND('Badge Ticket Formats'!#REF!,"AAAAADbb/Qc=")</f>
        <v>#REF!</v>
      </c>
      <c r="I151" t="e">
        <f>AND('Badge Ticket Formats'!#REF!,"AAAAADbb/Qg=")</f>
        <v>#REF!</v>
      </c>
      <c r="J151" t="e">
        <f>AND('Badge Ticket Formats'!#REF!,"AAAAADbb/Qk=")</f>
        <v>#REF!</v>
      </c>
      <c r="K151" t="e">
        <f>AND('Badge Ticket Formats'!#REF!,"AAAAADbb/Qo=")</f>
        <v>#REF!</v>
      </c>
      <c r="L151" t="e">
        <f>AND('Badge Ticket Formats'!#REF!,"AAAAADbb/Qs=")</f>
        <v>#REF!</v>
      </c>
      <c r="M151" t="e">
        <f>IF('Badge Ticket Formats'!#REF!,"AAAAADbb/Qw=",0)</f>
        <v>#REF!</v>
      </c>
      <c r="N151" t="e">
        <f>AND('Badge Ticket Formats'!#REF!,"AAAAADbb/Q0=")</f>
        <v>#REF!</v>
      </c>
      <c r="O151" t="e">
        <f>AND('Badge Ticket Formats'!#REF!,"AAAAADbb/Q4=")</f>
        <v>#REF!</v>
      </c>
      <c r="P151" t="e">
        <f>AND('Badge Ticket Formats'!#REF!,"AAAAADbb/Q8=")</f>
        <v>#REF!</v>
      </c>
      <c r="Q151" t="e">
        <f>AND('Badge Ticket Formats'!#REF!,"AAAAADbb/RA=")</f>
        <v>#REF!</v>
      </c>
      <c r="R151" t="e">
        <f>AND('Badge Ticket Formats'!#REF!,"AAAAADbb/RE=")</f>
        <v>#REF!</v>
      </c>
      <c r="S151" t="e">
        <f>AND('Badge Ticket Formats'!#REF!,"AAAAADbb/RI=")</f>
        <v>#REF!</v>
      </c>
      <c r="T151" t="e">
        <f>AND('Badge Ticket Formats'!#REF!,"AAAAADbb/RM=")</f>
        <v>#REF!</v>
      </c>
      <c r="U151" t="e">
        <f>AND('Badge Ticket Formats'!#REF!,"AAAAADbb/RQ=")</f>
        <v>#REF!</v>
      </c>
      <c r="V151" t="e">
        <f>AND('Badge Ticket Formats'!#REF!,"AAAAADbb/RU=")</f>
        <v>#REF!</v>
      </c>
      <c r="W151" t="e">
        <f>AND('Badge Ticket Formats'!#REF!,"AAAAADbb/RY=")</f>
        <v>#REF!</v>
      </c>
      <c r="X151" t="e">
        <f>AND('Badge Ticket Formats'!#REF!,"AAAAADbb/Rc=")</f>
        <v>#REF!</v>
      </c>
      <c r="Y151" t="e">
        <f>AND('Badge Ticket Formats'!#REF!,"AAAAADbb/Rg=")</f>
        <v>#REF!</v>
      </c>
      <c r="Z151" t="e">
        <f>AND('Badge Ticket Formats'!#REF!,"AAAAADbb/Rk=")</f>
        <v>#REF!</v>
      </c>
      <c r="AA151" t="e">
        <f>IF('Badge Ticket Formats'!#REF!,"AAAAADbb/Ro=",0)</f>
        <v>#REF!</v>
      </c>
      <c r="AB151" t="e">
        <f>AND('Badge Ticket Formats'!#REF!,"AAAAADbb/Rs=")</f>
        <v>#REF!</v>
      </c>
      <c r="AC151" t="e">
        <f>AND('Badge Ticket Formats'!#REF!,"AAAAADbb/Rw=")</f>
        <v>#REF!</v>
      </c>
      <c r="AD151" t="e">
        <f>AND('Badge Ticket Formats'!#REF!,"AAAAADbb/R0=")</f>
        <v>#REF!</v>
      </c>
      <c r="AE151" t="e">
        <f>AND('Badge Ticket Formats'!#REF!,"AAAAADbb/R4=")</f>
        <v>#REF!</v>
      </c>
      <c r="AF151" t="e">
        <f>AND('Badge Ticket Formats'!#REF!,"AAAAADbb/R8=")</f>
        <v>#REF!</v>
      </c>
      <c r="AG151" t="e">
        <f>AND('Badge Ticket Formats'!#REF!,"AAAAADbb/SA=")</f>
        <v>#REF!</v>
      </c>
      <c r="AH151" t="e">
        <f>AND('Badge Ticket Formats'!#REF!,"AAAAADbb/SE=")</f>
        <v>#REF!</v>
      </c>
      <c r="AI151" t="e">
        <f>AND('Badge Ticket Formats'!#REF!,"AAAAADbb/SI=")</f>
        <v>#REF!</v>
      </c>
      <c r="AJ151" t="e">
        <f>AND('Badge Ticket Formats'!#REF!,"AAAAADbb/SM=")</f>
        <v>#REF!</v>
      </c>
      <c r="AK151" t="e">
        <f>AND('Badge Ticket Formats'!#REF!,"AAAAADbb/SQ=")</f>
        <v>#REF!</v>
      </c>
      <c r="AL151" t="e">
        <f>AND('Badge Ticket Formats'!#REF!,"AAAAADbb/SU=")</f>
        <v>#REF!</v>
      </c>
      <c r="AM151" t="e">
        <f>AND('Badge Ticket Formats'!#REF!,"AAAAADbb/SY=")</f>
        <v>#REF!</v>
      </c>
      <c r="AN151" t="e">
        <f>AND('Badge Ticket Formats'!#REF!,"AAAAADbb/Sc=")</f>
        <v>#REF!</v>
      </c>
      <c r="AO151" t="e">
        <f>IF('Badge Ticket Formats'!#REF!,"AAAAADbb/Sg=",0)</f>
        <v>#REF!</v>
      </c>
      <c r="AP151" t="e">
        <f>AND('Badge Ticket Formats'!#REF!,"AAAAADbb/Sk=")</f>
        <v>#REF!</v>
      </c>
      <c r="AQ151" t="e">
        <f>AND('Badge Ticket Formats'!#REF!,"AAAAADbb/So=")</f>
        <v>#REF!</v>
      </c>
      <c r="AR151" t="e">
        <f>AND('Badge Ticket Formats'!#REF!,"AAAAADbb/Ss=")</f>
        <v>#REF!</v>
      </c>
      <c r="AS151" t="e">
        <f>AND('Badge Ticket Formats'!#REF!,"AAAAADbb/Sw=")</f>
        <v>#REF!</v>
      </c>
      <c r="AT151" t="e">
        <f>AND('Badge Ticket Formats'!#REF!,"AAAAADbb/S0=")</f>
        <v>#REF!</v>
      </c>
      <c r="AU151" t="e">
        <f>AND('Badge Ticket Formats'!#REF!,"AAAAADbb/S4=")</f>
        <v>#REF!</v>
      </c>
      <c r="AV151" t="e">
        <f>AND('Badge Ticket Formats'!#REF!,"AAAAADbb/S8=")</f>
        <v>#REF!</v>
      </c>
      <c r="AW151" t="e">
        <f>AND('Badge Ticket Formats'!#REF!,"AAAAADbb/TA=")</f>
        <v>#REF!</v>
      </c>
      <c r="AX151" t="e">
        <f>AND('Badge Ticket Formats'!#REF!,"AAAAADbb/TE=")</f>
        <v>#REF!</v>
      </c>
      <c r="AY151" t="e">
        <f>AND('Badge Ticket Formats'!#REF!,"AAAAADbb/TI=")</f>
        <v>#REF!</v>
      </c>
      <c r="AZ151" t="e">
        <f>AND('Badge Ticket Formats'!#REF!,"AAAAADbb/TM=")</f>
        <v>#REF!</v>
      </c>
      <c r="BA151" t="e">
        <f>AND('Badge Ticket Formats'!#REF!,"AAAAADbb/TQ=")</f>
        <v>#REF!</v>
      </c>
      <c r="BB151" t="e">
        <f>AND('Badge Ticket Formats'!#REF!,"AAAAADbb/TU=")</f>
        <v>#REF!</v>
      </c>
      <c r="BC151" t="e">
        <f>IF('Badge Ticket Formats'!#REF!,"AAAAADbb/TY=",0)</f>
        <v>#REF!</v>
      </c>
      <c r="BD151" t="e">
        <f>AND('Badge Ticket Formats'!#REF!,"AAAAADbb/Tc=")</f>
        <v>#REF!</v>
      </c>
      <c r="BE151" t="e">
        <f>AND('Badge Ticket Formats'!#REF!,"AAAAADbb/Tg=")</f>
        <v>#REF!</v>
      </c>
      <c r="BF151" t="e">
        <f>AND('Badge Ticket Formats'!#REF!,"AAAAADbb/Tk=")</f>
        <v>#REF!</v>
      </c>
      <c r="BG151" t="e">
        <f>AND('Badge Ticket Formats'!#REF!,"AAAAADbb/To=")</f>
        <v>#REF!</v>
      </c>
      <c r="BH151" t="e">
        <f>AND('Badge Ticket Formats'!#REF!,"AAAAADbb/Ts=")</f>
        <v>#REF!</v>
      </c>
      <c r="BI151" t="e">
        <f>AND('Badge Ticket Formats'!#REF!,"AAAAADbb/Tw=")</f>
        <v>#REF!</v>
      </c>
      <c r="BJ151" t="e">
        <f>AND('Badge Ticket Formats'!#REF!,"AAAAADbb/T0=")</f>
        <v>#REF!</v>
      </c>
      <c r="BK151" t="e">
        <f>AND('Badge Ticket Formats'!#REF!,"AAAAADbb/T4=")</f>
        <v>#REF!</v>
      </c>
      <c r="BL151" t="e">
        <f>AND('Badge Ticket Formats'!#REF!,"AAAAADbb/T8=")</f>
        <v>#REF!</v>
      </c>
      <c r="BM151" t="e">
        <f>AND('Badge Ticket Formats'!#REF!,"AAAAADbb/UA=")</f>
        <v>#REF!</v>
      </c>
      <c r="BN151" t="e">
        <f>AND('Badge Ticket Formats'!#REF!,"AAAAADbb/UE=")</f>
        <v>#REF!</v>
      </c>
      <c r="BO151" t="e">
        <f>AND('Badge Ticket Formats'!#REF!,"AAAAADbb/UI=")</f>
        <v>#REF!</v>
      </c>
      <c r="BP151" t="e">
        <f>AND('Badge Ticket Formats'!#REF!,"AAAAADbb/UM=")</f>
        <v>#REF!</v>
      </c>
      <c r="BQ151" t="e">
        <f>IF('Badge Ticket Formats'!#REF!,"AAAAADbb/UQ=",0)</f>
        <v>#REF!</v>
      </c>
      <c r="BR151" t="e">
        <f>AND('Badge Ticket Formats'!#REF!,"AAAAADbb/UU=")</f>
        <v>#REF!</v>
      </c>
      <c r="BS151" t="e">
        <f>AND('Badge Ticket Formats'!#REF!,"AAAAADbb/UY=")</f>
        <v>#REF!</v>
      </c>
      <c r="BT151" t="e">
        <f>AND('Badge Ticket Formats'!#REF!,"AAAAADbb/Uc=")</f>
        <v>#REF!</v>
      </c>
      <c r="BU151" t="e">
        <f>AND('Badge Ticket Formats'!#REF!,"AAAAADbb/Ug=")</f>
        <v>#REF!</v>
      </c>
      <c r="BV151" t="e">
        <f>AND('Badge Ticket Formats'!#REF!,"AAAAADbb/Uk=")</f>
        <v>#REF!</v>
      </c>
      <c r="BW151" t="e">
        <f>AND('Badge Ticket Formats'!#REF!,"AAAAADbb/Uo=")</f>
        <v>#REF!</v>
      </c>
      <c r="BX151" t="e">
        <f>AND('Badge Ticket Formats'!#REF!,"AAAAADbb/Us=")</f>
        <v>#REF!</v>
      </c>
      <c r="BY151" t="e">
        <f>AND('Badge Ticket Formats'!#REF!,"AAAAADbb/Uw=")</f>
        <v>#REF!</v>
      </c>
      <c r="BZ151" t="e">
        <f>AND('Badge Ticket Formats'!#REF!,"AAAAADbb/U0=")</f>
        <v>#REF!</v>
      </c>
      <c r="CA151" t="e">
        <f>AND('Badge Ticket Formats'!#REF!,"AAAAADbb/U4=")</f>
        <v>#REF!</v>
      </c>
      <c r="CB151" t="e">
        <f>AND('Badge Ticket Formats'!#REF!,"AAAAADbb/U8=")</f>
        <v>#REF!</v>
      </c>
      <c r="CC151" t="e">
        <f>AND('Badge Ticket Formats'!#REF!,"AAAAADbb/VA=")</f>
        <v>#REF!</v>
      </c>
      <c r="CD151" t="e">
        <f>AND('Badge Ticket Formats'!#REF!,"AAAAADbb/VE=")</f>
        <v>#REF!</v>
      </c>
      <c r="CE151" t="e">
        <f>IF('Badge Ticket Formats'!#REF!,"AAAAADbb/VI=",0)</f>
        <v>#REF!</v>
      </c>
      <c r="CF151" t="e">
        <f>AND('Badge Ticket Formats'!#REF!,"AAAAADbb/VM=")</f>
        <v>#REF!</v>
      </c>
      <c r="CG151" t="e">
        <f>AND('Badge Ticket Formats'!#REF!,"AAAAADbb/VQ=")</f>
        <v>#REF!</v>
      </c>
      <c r="CH151" t="e">
        <f>AND('Badge Ticket Formats'!#REF!,"AAAAADbb/VU=")</f>
        <v>#REF!</v>
      </c>
      <c r="CI151" t="e">
        <f>AND('Badge Ticket Formats'!#REF!,"AAAAADbb/VY=")</f>
        <v>#REF!</v>
      </c>
      <c r="CJ151" t="e">
        <f>AND('Badge Ticket Formats'!#REF!,"AAAAADbb/Vc=")</f>
        <v>#REF!</v>
      </c>
      <c r="CK151" t="e">
        <f>AND('Badge Ticket Formats'!#REF!,"AAAAADbb/Vg=")</f>
        <v>#REF!</v>
      </c>
      <c r="CL151" t="e">
        <f>AND('Badge Ticket Formats'!#REF!,"AAAAADbb/Vk=")</f>
        <v>#REF!</v>
      </c>
      <c r="CM151" t="e">
        <f>AND('Badge Ticket Formats'!#REF!,"AAAAADbb/Vo=")</f>
        <v>#REF!</v>
      </c>
      <c r="CN151" t="e">
        <f>AND('Badge Ticket Formats'!#REF!,"AAAAADbb/Vs=")</f>
        <v>#REF!</v>
      </c>
      <c r="CO151" t="e">
        <f>AND('Badge Ticket Formats'!#REF!,"AAAAADbb/Vw=")</f>
        <v>#REF!</v>
      </c>
      <c r="CP151" t="e">
        <f>AND('Badge Ticket Formats'!#REF!,"AAAAADbb/V0=")</f>
        <v>#REF!</v>
      </c>
      <c r="CQ151" t="e">
        <f>AND('Badge Ticket Formats'!#REF!,"AAAAADbb/V4=")</f>
        <v>#REF!</v>
      </c>
      <c r="CR151" t="e">
        <f>AND('Badge Ticket Formats'!#REF!,"AAAAADbb/V8=")</f>
        <v>#REF!</v>
      </c>
      <c r="CS151" t="e">
        <f>IF('Badge Ticket Formats'!#REF!,"AAAAADbb/WA=",0)</f>
        <v>#REF!</v>
      </c>
      <c r="CT151" t="e">
        <f>AND('Badge Ticket Formats'!#REF!,"AAAAADbb/WE=")</f>
        <v>#REF!</v>
      </c>
      <c r="CU151" t="e">
        <f>AND('Badge Ticket Formats'!#REF!,"AAAAADbb/WI=")</f>
        <v>#REF!</v>
      </c>
      <c r="CV151" t="e">
        <f>AND('Badge Ticket Formats'!#REF!,"AAAAADbb/WM=")</f>
        <v>#REF!</v>
      </c>
      <c r="CW151" t="e">
        <f>AND('Badge Ticket Formats'!#REF!,"AAAAADbb/WQ=")</f>
        <v>#REF!</v>
      </c>
      <c r="CX151" t="e">
        <f>AND('Badge Ticket Formats'!#REF!,"AAAAADbb/WU=")</f>
        <v>#REF!</v>
      </c>
      <c r="CY151" t="e">
        <f>AND('Badge Ticket Formats'!#REF!,"AAAAADbb/WY=")</f>
        <v>#REF!</v>
      </c>
      <c r="CZ151" t="e">
        <f>AND('Badge Ticket Formats'!#REF!,"AAAAADbb/Wc=")</f>
        <v>#REF!</v>
      </c>
      <c r="DA151" t="e">
        <f>AND('Badge Ticket Formats'!#REF!,"AAAAADbb/Wg=")</f>
        <v>#REF!</v>
      </c>
      <c r="DB151" t="e">
        <f>AND('Badge Ticket Formats'!#REF!,"AAAAADbb/Wk=")</f>
        <v>#REF!</v>
      </c>
      <c r="DC151" t="e">
        <f>AND('Badge Ticket Formats'!#REF!,"AAAAADbb/Wo=")</f>
        <v>#REF!</v>
      </c>
      <c r="DD151" t="e">
        <f>AND('Badge Ticket Formats'!#REF!,"AAAAADbb/Ws=")</f>
        <v>#REF!</v>
      </c>
      <c r="DE151" t="e">
        <f>AND('Badge Ticket Formats'!#REF!,"AAAAADbb/Ww=")</f>
        <v>#REF!</v>
      </c>
      <c r="DF151" t="e">
        <f>AND('Badge Ticket Formats'!#REF!,"AAAAADbb/W0=")</f>
        <v>#REF!</v>
      </c>
      <c r="DG151" t="e">
        <f>IF('Badge Ticket Formats'!#REF!,"AAAAADbb/W4=",0)</f>
        <v>#REF!</v>
      </c>
      <c r="DH151" t="e">
        <f>AND('Badge Ticket Formats'!#REF!,"AAAAADbb/W8=")</f>
        <v>#REF!</v>
      </c>
      <c r="DI151" t="e">
        <f>AND('Badge Ticket Formats'!#REF!,"AAAAADbb/XA=")</f>
        <v>#REF!</v>
      </c>
      <c r="DJ151" t="e">
        <f>AND('Badge Ticket Formats'!#REF!,"AAAAADbb/XE=")</f>
        <v>#REF!</v>
      </c>
      <c r="DK151" t="e">
        <f>AND('Badge Ticket Formats'!#REF!,"AAAAADbb/XI=")</f>
        <v>#REF!</v>
      </c>
      <c r="DL151" t="e">
        <f>AND('Badge Ticket Formats'!#REF!,"AAAAADbb/XM=")</f>
        <v>#REF!</v>
      </c>
      <c r="DM151" t="e">
        <f>AND('Badge Ticket Formats'!#REF!,"AAAAADbb/XQ=")</f>
        <v>#REF!</v>
      </c>
      <c r="DN151" t="e">
        <f>AND('Badge Ticket Formats'!#REF!,"AAAAADbb/XU=")</f>
        <v>#REF!</v>
      </c>
      <c r="DO151" t="e">
        <f>AND('Badge Ticket Formats'!#REF!,"AAAAADbb/XY=")</f>
        <v>#REF!</v>
      </c>
      <c r="DP151" t="e">
        <f>AND('Badge Ticket Formats'!#REF!,"AAAAADbb/Xc=")</f>
        <v>#REF!</v>
      </c>
      <c r="DQ151" t="e">
        <f>AND('Badge Ticket Formats'!#REF!,"AAAAADbb/Xg=")</f>
        <v>#REF!</v>
      </c>
      <c r="DR151" t="e">
        <f>AND('Badge Ticket Formats'!#REF!,"AAAAADbb/Xk=")</f>
        <v>#REF!</v>
      </c>
      <c r="DS151" t="e">
        <f>AND('Badge Ticket Formats'!#REF!,"AAAAADbb/Xo=")</f>
        <v>#REF!</v>
      </c>
      <c r="DT151" t="e">
        <f>AND('Badge Ticket Formats'!#REF!,"AAAAADbb/Xs=")</f>
        <v>#REF!</v>
      </c>
      <c r="DU151" t="e">
        <f>IF('Badge Ticket Formats'!#REF!,"AAAAADbb/Xw=",0)</f>
        <v>#REF!</v>
      </c>
      <c r="DV151" t="e">
        <f>AND('Badge Ticket Formats'!#REF!,"AAAAADbb/X0=")</f>
        <v>#REF!</v>
      </c>
      <c r="DW151" t="e">
        <f>AND('Badge Ticket Formats'!#REF!,"AAAAADbb/X4=")</f>
        <v>#REF!</v>
      </c>
      <c r="DX151" t="e">
        <f>AND('Badge Ticket Formats'!#REF!,"AAAAADbb/X8=")</f>
        <v>#REF!</v>
      </c>
      <c r="DY151" t="e">
        <f>AND('Badge Ticket Formats'!#REF!,"AAAAADbb/YA=")</f>
        <v>#REF!</v>
      </c>
      <c r="DZ151" t="e">
        <f>AND('Badge Ticket Formats'!#REF!,"AAAAADbb/YE=")</f>
        <v>#REF!</v>
      </c>
      <c r="EA151" t="e">
        <f>AND('Badge Ticket Formats'!#REF!,"AAAAADbb/YI=")</f>
        <v>#REF!</v>
      </c>
      <c r="EB151" t="e">
        <f>AND('Badge Ticket Formats'!#REF!,"AAAAADbb/YM=")</f>
        <v>#REF!</v>
      </c>
      <c r="EC151" t="e">
        <f>AND('Badge Ticket Formats'!#REF!,"AAAAADbb/YQ=")</f>
        <v>#REF!</v>
      </c>
      <c r="ED151" t="e">
        <f>AND('Badge Ticket Formats'!#REF!,"AAAAADbb/YU=")</f>
        <v>#REF!</v>
      </c>
      <c r="EE151" t="e">
        <f>AND('Badge Ticket Formats'!#REF!,"AAAAADbb/YY=")</f>
        <v>#REF!</v>
      </c>
      <c r="EF151" t="e">
        <f>AND('Badge Ticket Formats'!#REF!,"AAAAADbb/Yc=")</f>
        <v>#REF!</v>
      </c>
      <c r="EG151" t="e">
        <f>AND('Badge Ticket Formats'!#REF!,"AAAAADbb/Yg=")</f>
        <v>#REF!</v>
      </c>
      <c r="EH151" t="e">
        <f>AND('Badge Ticket Formats'!#REF!,"AAAAADbb/Yk=")</f>
        <v>#REF!</v>
      </c>
      <c r="EI151" t="e">
        <f>IF('Badge Ticket Formats'!#REF!,"AAAAADbb/Yo=",0)</f>
        <v>#REF!</v>
      </c>
      <c r="EJ151" t="e">
        <f>AND('Badge Ticket Formats'!#REF!,"AAAAADbb/Ys=")</f>
        <v>#REF!</v>
      </c>
      <c r="EK151" t="e">
        <f>AND('Badge Ticket Formats'!#REF!,"AAAAADbb/Yw=")</f>
        <v>#REF!</v>
      </c>
      <c r="EL151" t="e">
        <f>AND('Badge Ticket Formats'!#REF!,"AAAAADbb/Y0=")</f>
        <v>#REF!</v>
      </c>
      <c r="EM151" t="e">
        <f>AND('Badge Ticket Formats'!#REF!,"AAAAADbb/Y4=")</f>
        <v>#REF!</v>
      </c>
      <c r="EN151" t="e">
        <f>AND('Badge Ticket Formats'!#REF!,"AAAAADbb/Y8=")</f>
        <v>#REF!</v>
      </c>
      <c r="EO151" t="e">
        <f>AND('Badge Ticket Formats'!#REF!,"AAAAADbb/ZA=")</f>
        <v>#REF!</v>
      </c>
      <c r="EP151" t="e">
        <f>AND('Badge Ticket Formats'!#REF!,"AAAAADbb/ZE=")</f>
        <v>#REF!</v>
      </c>
      <c r="EQ151" t="e">
        <f>AND('Badge Ticket Formats'!#REF!,"AAAAADbb/ZI=")</f>
        <v>#REF!</v>
      </c>
      <c r="ER151" t="e">
        <f>AND('Badge Ticket Formats'!#REF!,"AAAAADbb/ZM=")</f>
        <v>#REF!</v>
      </c>
      <c r="ES151" t="e">
        <f>AND('Badge Ticket Formats'!#REF!,"AAAAADbb/ZQ=")</f>
        <v>#REF!</v>
      </c>
      <c r="ET151" t="e">
        <f>AND('Badge Ticket Formats'!#REF!,"AAAAADbb/ZU=")</f>
        <v>#REF!</v>
      </c>
      <c r="EU151" t="e">
        <f>AND('Badge Ticket Formats'!#REF!,"AAAAADbb/ZY=")</f>
        <v>#REF!</v>
      </c>
      <c r="EV151" t="e">
        <f>AND('Badge Ticket Formats'!#REF!,"AAAAADbb/Zc=")</f>
        <v>#REF!</v>
      </c>
      <c r="EW151" t="e">
        <f>IF('Badge Ticket Formats'!#REF!,"AAAAADbb/Zg=",0)</f>
        <v>#REF!</v>
      </c>
      <c r="EX151" t="e">
        <f>AND('Badge Ticket Formats'!#REF!,"AAAAADbb/Zk=")</f>
        <v>#REF!</v>
      </c>
      <c r="EY151" t="e">
        <f>AND('Badge Ticket Formats'!#REF!,"AAAAADbb/Zo=")</f>
        <v>#REF!</v>
      </c>
      <c r="EZ151" t="e">
        <f>AND('Badge Ticket Formats'!#REF!,"AAAAADbb/Zs=")</f>
        <v>#REF!</v>
      </c>
      <c r="FA151" t="e">
        <f>AND('Badge Ticket Formats'!#REF!,"AAAAADbb/Zw=")</f>
        <v>#REF!</v>
      </c>
      <c r="FB151" t="e">
        <f>AND('Badge Ticket Formats'!#REF!,"AAAAADbb/Z0=")</f>
        <v>#REF!</v>
      </c>
      <c r="FC151" t="e">
        <f>AND('Badge Ticket Formats'!#REF!,"AAAAADbb/Z4=")</f>
        <v>#REF!</v>
      </c>
      <c r="FD151" t="e">
        <f>AND('Badge Ticket Formats'!#REF!,"AAAAADbb/Z8=")</f>
        <v>#REF!</v>
      </c>
      <c r="FE151" t="e">
        <f>AND('Badge Ticket Formats'!#REF!,"AAAAADbb/aA=")</f>
        <v>#REF!</v>
      </c>
      <c r="FF151" t="e">
        <f>AND('Badge Ticket Formats'!#REF!,"AAAAADbb/aE=")</f>
        <v>#REF!</v>
      </c>
      <c r="FG151" t="e">
        <f>AND('Badge Ticket Formats'!#REF!,"AAAAADbb/aI=")</f>
        <v>#REF!</v>
      </c>
      <c r="FH151" t="e">
        <f>AND('Badge Ticket Formats'!#REF!,"AAAAADbb/aM=")</f>
        <v>#REF!</v>
      </c>
      <c r="FI151" t="e">
        <f>AND('Badge Ticket Formats'!#REF!,"AAAAADbb/aQ=")</f>
        <v>#REF!</v>
      </c>
      <c r="FJ151" t="e">
        <f>AND('Badge Ticket Formats'!#REF!,"AAAAADbb/aU=")</f>
        <v>#REF!</v>
      </c>
      <c r="FK151" t="e">
        <f>IF('Badge Ticket Formats'!#REF!,"AAAAADbb/aY=",0)</f>
        <v>#REF!</v>
      </c>
      <c r="FL151" t="e">
        <f>AND('Badge Ticket Formats'!#REF!,"AAAAADbb/ac=")</f>
        <v>#REF!</v>
      </c>
      <c r="FM151" t="e">
        <f>AND('Badge Ticket Formats'!#REF!,"AAAAADbb/ag=")</f>
        <v>#REF!</v>
      </c>
      <c r="FN151" t="e">
        <f>AND('Badge Ticket Formats'!#REF!,"AAAAADbb/ak=")</f>
        <v>#REF!</v>
      </c>
      <c r="FO151" t="e">
        <f>AND('Badge Ticket Formats'!#REF!,"AAAAADbb/ao=")</f>
        <v>#REF!</v>
      </c>
      <c r="FP151" t="e">
        <f>AND('Badge Ticket Formats'!#REF!,"AAAAADbb/as=")</f>
        <v>#REF!</v>
      </c>
      <c r="FQ151" t="e">
        <f>AND('Badge Ticket Formats'!#REF!,"AAAAADbb/aw=")</f>
        <v>#REF!</v>
      </c>
      <c r="FR151" t="e">
        <f>AND('Badge Ticket Formats'!#REF!,"AAAAADbb/a0=")</f>
        <v>#REF!</v>
      </c>
      <c r="FS151" t="e">
        <f>AND('Badge Ticket Formats'!#REF!,"AAAAADbb/a4=")</f>
        <v>#REF!</v>
      </c>
      <c r="FT151" t="e">
        <f>AND('Badge Ticket Formats'!#REF!,"AAAAADbb/a8=")</f>
        <v>#REF!</v>
      </c>
      <c r="FU151" t="e">
        <f>AND('Badge Ticket Formats'!#REF!,"AAAAADbb/bA=")</f>
        <v>#REF!</v>
      </c>
      <c r="FV151" t="e">
        <f>AND('Badge Ticket Formats'!#REF!,"AAAAADbb/bE=")</f>
        <v>#REF!</v>
      </c>
      <c r="FW151" t="e">
        <f>AND('Badge Ticket Formats'!#REF!,"AAAAADbb/bI=")</f>
        <v>#REF!</v>
      </c>
      <c r="FX151" t="e">
        <f>AND('Badge Ticket Formats'!#REF!,"AAAAADbb/bM=")</f>
        <v>#REF!</v>
      </c>
      <c r="FY151">
        <f>IF('Badge Ticket Formats'!290:290,"AAAAADbb/bQ=",0)</f>
        <v>0</v>
      </c>
      <c r="FZ151" t="e">
        <f>AND('Badge Ticket Formats'!#REF!,"AAAAADbb/bU=")</f>
        <v>#REF!</v>
      </c>
      <c r="GA151" t="e">
        <f>AND('Badge Ticket Formats'!B290,"AAAAADbb/bY=")</f>
        <v>#VALUE!</v>
      </c>
      <c r="GB151" t="e">
        <f>AND('Badge Ticket Formats'!C290,"AAAAADbb/bc=")</f>
        <v>#VALUE!</v>
      </c>
      <c r="GC151" t="e">
        <f>AND('Badge Ticket Formats'!D290,"AAAAADbb/bg=")</f>
        <v>#VALUE!</v>
      </c>
      <c r="GD151" t="e">
        <f>AND('Badge Ticket Formats'!E290,"AAAAADbb/bk=")</f>
        <v>#VALUE!</v>
      </c>
      <c r="GE151" t="e">
        <f>AND('Badge Ticket Formats'!F290,"AAAAADbb/bo=")</f>
        <v>#VALUE!</v>
      </c>
      <c r="GF151" t="e">
        <f>AND('Badge Ticket Formats'!G289,"AAAAADbb/bs=")</f>
        <v>#VALUE!</v>
      </c>
      <c r="GG151" t="e">
        <f>AND('Badge Ticket Formats'!H289,"AAAAADbb/bw=")</f>
        <v>#VALUE!</v>
      </c>
      <c r="GH151" t="e">
        <f>AND('Badge Ticket Formats'!I289,"AAAAADbb/b0=")</f>
        <v>#VALUE!</v>
      </c>
      <c r="GI151" t="e">
        <f>AND('Badge Ticket Formats'!J289,"AAAAADbb/b4=")</f>
        <v>#VALUE!</v>
      </c>
      <c r="GJ151" t="e">
        <f>AND('Badge Ticket Formats'!K289,"AAAAADbb/b8=")</f>
        <v>#VALUE!</v>
      </c>
      <c r="GK151" t="e">
        <f>AND('Badge Ticket Formats'!L289,"AAAAADbb/cA=")</f>
        <v>#VALUE!</v>
      </c>
      <c r="GL151" t="e">
        <f>AND('Badge Ticket Formats'!M289,"AAAAADbb/cE=")</f>
        <v>#VALUE!</v>
      </c>
      <c r="GM151" t="e">
        <f>IF('Badge Ticket Formats'!#REF!,"AAAAADbb/cI=",0)</f>
        <v>#REF!</v>
      </c>
      <c r="GN151" t="e">
        <f>AND('Badge Ticket Formats'!A290,"AAAAADbb/cM=")</f>
        <v>#VALUE!</v>
      </c>
      <c r="GO151" t="e">
        <f>AND('Badge Ticket Formats'!#REF!,"AAAAADbb/cQ=")</f>
        <v>#REF!</v>
      </c>
      <c r="GP151" t="e">
        <f>AND('Badge Ticket Formats'!#REF!,"AAAAADbb/cU=")</f>
        <v>#REF!</v>
      </c>
      <c r="GQ151" t="e">
        <f>AND('Badge Ticket Formats'!#REF!,"AAAAADbb/cY=")</f>
        <v>#REF!</v>
      </c>
      <c r="GR151" t="e">
        <f>AND('Badge Ticket Formats'!#REF!,"AAAAADbb/cc=")</f>
        <v>#REF!</v>
      </c>
      <c r="GS151" t="e">
        <f>AND('Badge Ticket Formats'!#REF!,"AAAAADbb/cg=")</f>
        <v>#REF!</v>
      </c>
      <c r="GT151" t="e">
        <f>AND('Badge Ticket Formats'!#REF!,"AAAAADbb/ck=")</f>
        <v>#REF!</v>
      </c>
      <c r="GU151" t="e">
        <f>AND('Badge Ticket Formats'!#REF!,"AAAAADbb/co=")</f>
        <v>#REF!</v>
      </c>
      <c r="GV151" t="e">
        <f>AND('Badge Ticket Formats'!#REF!,"AAAAADbb/cs=")</f>
        <v>#REF!</v>
      </c>
      <c r="GW151" t="e">
        <f>AND('Badge Ticket Formats'!#REF!,"AAAAADbb/cw=")</f>
        <v>#REF!</v>
      </c>
      <c r="GX151" t="e">
        <f>AND('Badge Ticket Formats'!#REF!,"AAAAADbb/c0=")</f>
        <v>#REF!</v>
      </c>
      <c r="GY151" t="e">
        <f>AND('Badge Ticket Formats'!#REF!,"AAAAADbb/c4=")</f>
        <v>#REF!</v>
      </c>
      <c r="GZ151" t="e">
        <f>AND('Badge Ticket Formats'!#REF!,"AAAAADbb/c8=")</f>
        <v>#REF!</v>
      </c>
      <c r="HA151" t="e">
        <f>IF('Badge Ticket Formats'!#REF!,"AAAAADbb/dA=",0)</f>
        <v>#REF!</v>
      </c>
      <c r="HB151" t="e">
        <f>AND('Badge Ticket Formats'!#REF!,"AAAAADbb/dE=")</f>
        <v>#REF!</v>
      </c>
      <c r="HC151" t="e">
        <f>AND('Badge Ticket Formats'!#REF!,"AAAAADbb/dI=")</f>
        <v>#REF!</v>
      </c>
      <c r="HD151" t="e">
        <f>AND('Badge Ticket Formats'!#REF!,"AAAAADbb/dM=")</f>
        <v>#REF!</v>
      </c>
      <c r="HE151" t="e">
        <f>AND('Badge Ticket Formats'!#REF!,"AAAAADbb/dQ=")</f>
        <v>#REF!</v>
      </c>
      <c r="HF151" t="e">
        <f>AND('Badge Ticket Formats'!#REF!,"AAAAADbb/dU=")</f>
        <v>#REF!</v>
      </c>
      <c r="HG151" t="e">
        <f>AND('Badge Ticket Formats'!#REF!,"AAAAADbb/dY=")</f>
        <v>#REF!</v>
      </c>
      <c r="HH151" t="e">
        <f>AND('Badge Ticket Formats'!#REF!,"AAAAADbb/dc=")</f>
        <v>#REF!</v>
      </c>
      <c r="HI151" t="e">
        <f>AND('Badge Ticket Formats'!#REF!,"AAAAADbb/dg=")</f>
        <v>#REF!</v>
      </c>
      <c r="HJ151" t="e">
        <f>AND('Badge Ticket Formats'!#REF!,"AAAAADbb/dk=")</f>
        <v>#REF!</v>
      </c>
      <c r="HK151" t="e">
        <f>AND('Badge Ticket Formats'!#REF!,"AAAAADbb/do=")</f>
        <v>#REF!</v>
      </c>
      <c r="HL151" t="e">
        <f>AND('Badge Ticket Formats'!#REF!,"AAAAADbb/ds=")</f>
        <v>#REF!</v>
      </c>
      <c r="HM151" t="e">
        <f>AND('Badge Ticket Formats'!#REF!,"AAAAADbb/dw=")</f>
        <v>#REF!</v>
      </c>
      <c r="HN151" t="e">
        <f>AND('Badge Ticket Formats'!#REF!,"AAAAADbb/d0=")</f>
        <v>#REF!</v>
      </c>
      <c r="HO151" t="e">
        <f>IF('Badge Ticket Formats'!#REF!,"AAAAADbb/d4=",0)</f>
        <v>#REF!</v>
      </c>
      <c r="HP151" t="e">
        <f>AND('Badge Ticket Formats'!#REF!,"AAAAADbb/d8=")</f>
        <v>#REF!</v>
      </c>
      <c r="HQ151" t="e">
        <f>AND('Badge Ticket Formats'!#REF!,"AAAAADbb/eA=")</f>
        <v>#REF!</v>
      </c>
      <c r="HR151" t="e">
        <f>AND('Badge Ticket Formats'!#REF!,"AAAAADbb/eE=")</f>
        <v>#REF!</v>
      </c>
      <c r="HS151" t="e">
        <f>AND('Badge Ticket Formats'!#REF!,"AAAAADbb/eI=")</f>
        <v>#REF!</v>
      </c>
      <c r="HT151" t="e">
        <f>AND('Badge Ticket Formats'!#REF!,"AAAAADbb/eM=")</f>
        <v>#REF!</v>
      </c>
      <c r="HU151" t="e">
        <f>AND('Badge Ticket Formats'!#REF!,"AAAAADbb/eQ=")</f>
        <v>#REF!</v>
      </c>
      <c r="HV151" t="e">
        <f>AND('Badge Ticket Formats'!#REF!,"AAAAADbb/eU=")</f>
        <v>#REF!</v>
      </c>
      <c r="HW151" t="e">
        <f>AND('Badge Ticket Formats'!#REF!,"AAAAADbb/eY=")</f>
        <v>#REF!</v>
      </c>
      <c r="HX151" t="e">
        <f>AND('Badge Ticket Formats'!#REF!,"AAAAADbb/ec=")</f>
        <v>#REF!</v>
      </c>
      <c r="HY151" t="e">
        <f>AND('Badge Ticket Formats'!#REF!,"AAAAADbb/eg=")</f>
        <v>#REF!</v>
      </c>
      <c r="HZ151" t="e">
        <f>AND('Badge Ticket Formats'!#REF!,"AAAAADbb/ek=")</f>
        <v>#REF!</v>
      </c>
      <c r="IA151" t="e">
        <f>AND('Badge Ticket Formats'!#REF!,"AAAAADbb/eo=")</f>
        <v>#REF!</v>
      </c>
      <c r="IB151" t="e">
        <f>AND('Badge Ticket Formats'!#REF!,"AAAAADbb/es=")</f>
        <v>#REF!</v>
      </c>
      <c r="IC151" t="e">
        <f>IF('Badge Ticket Formats'!#REF!,"AAAAADbb/ew=",0)</f>
        <v>#REF!</v>
      </c>
      <c r="ID151" t="e">
        <f>AND('Badge Ticket Formats'!#REF!,"AAAAADbb/e0=")</f>
        <v>#REF!</v>
      </c>
      <c r="IE151" t="e">
        <f>AND('Badge Ticket Formats'!#REF!,"AAAAADbb/e4=")</f>
        <v>#REF!</v>
      </c>
      <c r="IF151" t="e">
        <f>AND('Badge Ticket Formats'!#REF!,"AAAAADbb/e8=")</f>
        <v>#REF!</v>
      </c>
      <c r="IG151" t="e">
        <f>AND('Badge Ticket Formats'!#REF!,"AAAAADbb/fA=")</f>
        <v>#REF!</v>
      </c>
      <c r="IH151" t="e">
        <f>AND('Badge Ticket Formats'!#REF!,"AAAAADbb/fE=")</f>
        <v>#REF!</v>
      </c>
      <c r="II151" t="e">
        <f>AND('Badge Ticket Formats'!#REF!,"AAAAADbb/fI=")</f>
        <v>#REF!</v>
      </c>
      <c r="IJ151" t="e">
        <f>AND('Badge Ticket Formats'!#REF!,"AAAAADbb/fM=")</f>
        <v>#REF!</v>
      </c>
      <c r="IK151" t="e">
        <f>AND('Badge Ticket Formats'!#REF!,"AAAAADbb/fQ=")</f>
        <v>#REF!</v>
      </c>
      <c r="IL151" t="e">
        <f>AND('Badge Ticket Formats'!#REF!,"AAAAADbb/fU=")</f>
        <v>#REF!</v>
      </c>
      <c r="IM151" t="e">
        <f>AND('Badge Ticket Formats'!#REF!,"AAAAADbb/fY=")</f>
        <v>#REF!</v>
      </c>
      <c r="IN151" t="e">
        <f>AND('Badge Ticket Formats'!#REF!,"AAAAADbb/fc=")</f>
        <v>#REF!</v>
      </c>
      <c r="IO151" t="e">
        <f>AND('Badge Ticket Formats'!#REF!,"AAAAADbb/fg=")</f>
        <v>#REF!</v>
      </c>
      <c r="IP151" t="e">
        <f>AND('Badge Ticket Formats'!#REF!,"AAAAADbb/fk=")</f>
        <v>#REF!</v>
      </c>
      <c r="IQ151" t="e">
        <f>IF('Badge Ticket Formats'!#REF!,"AAAAADbb/fo=",0)</f>
        <v>#REF!</v>
      </c>
      <c r="IR151" t="e">
        <f>AND('Badge Ticket Formats'!#REF!,"AAAAADbb/fs=")</f>
        <v>#REF!</v>
      </c>
      <c r="IS151" t="e">
        <f>AND('Badge Ticket Formats'!#REF!,"AAAAADbb/fw=")</f>
        <v>#REF!</v>
      </c>
      <c r="IT151" t="e">
        <f>AND('Badge Ticket Formats'!#REF!,"AAAAADbb/f0=")</f>
        <v>#REF!</v>
      </c>
      <c r="IU151" t="e">
        <f>AND('Badge Ticket Formats'!#REF!,"AAAAADbb/f4=")</f>
        <v>#REF!</v>
      </c>
      <c r="IV151" t="e">
        <f>AND('Badge Ticket Formats'!#REF!,"AAAAADbb/f8=")</f>
        <v>#REF!</v>
      </c>
    </row>
    <row r="152" spans="1:256" x14ac:dyDescent="0.2">
      <c r="A152" t="e">
        <f>AND('Badge Ticket Formats'!#REF!,"AAAAAGP31gA=")</f>
        <v>#REF!</v>
      </c>
      <c r="B152" t="e">
        <f>AND('Badge Ticket Formats'!#REF!,"AAAAAGP31gE=")</f>
        <v>#REF!</v>
      </c>
      <c r="C152" t="e">
        <f>AND('Badge Ticket Formats'!#REF!,"AAAAAGP31gI=")</f>
        <v>#REF!</v>
      </c>
      <c r="D152" t="e">
        <f>AND('Badge Ticket Formats'!#REF!,"AAAAAGP31gM=")</f>
        <v>#REF!</v>
      </c>
      <c r="E152" t="e">
        <f>AND('Badge Ticket Formats'!#REF!,"AAAAAGP31gQ=")</f>
        <v>#REF!</v>
      </c>
      <c r="F152" t="e">
        <f>AND('Badge Ticket Formats'!#REF!,"AAAAAGP31gU=")</f>
        <v>#REF!</v>
      </c>
      <c r="G152" t="e">
        <f>AND('Badge Ticket Formats'!#REF!,"AAAAAGP31gY=")</f>
        <v>#REF!</v>
      </c>
      <c r="H152" t="e">
        <f>AND('Badge Ticket Formats'!#REF!,"AAAAAGP31gc=")</f>
        <v>#REF!</v>
      </c>
      <c r="I152" t="e">
        <f>IF('Badge Ticket Formats'!#REF!,"AAAAAGP31gg=",0)</f>
        <v>#REF!</v>
      </c>
      <c r="J152" t="e">
        <f>AND('Badge Ticket Formats'!#REF!,"AAAAAGP31gk=")</f>
        <v>#REF!</v>
      </c>
      <c r="K152" t="e">
        <f>AND('Badge Ticket Formats'!#REF!,"AAAAAGP31go=")</f>
        <v>#REF!</v>
      </c>
      <c r="L152" t="e">
        <f>AND('Badge Ticket Formats'!#REF!,"AAAAAGP31gs=")</f>
        <v>#REF!</v>
      </c>
      <c r="M152" t="e">
        <f>AND('Badge Ticket Formats'!#REF!,"AAAAAGP31gw=")</f>
        <v>#REF!</v>
      </c>
      <c r="N152" t="e">
        <f>AND('Badge Ticket Formats'!#REF!,"AAAAAGP31g0=")</f>
        <v>#REF!</v>
      </c>
      <c r="O152" t="e">
        <f>AND('Badge Ticket Formats'!#REF!,"AAAAAGP31g4=")</f>
        <v>#REF!</v>
      </c>
      <c r="P152" t="e">
        <f>AND('Badge Ticket Formats'!#REF!,"AAAAAGP31g8=")</f>
        <v>#REF!</v>
      </c>
      <c r="Q152" t="e">
        <f>AND('Badge Ticket Formats'!#REF!,"AAAAAGP31hA=")</f>
        <v>#REF!</v>
      </c>
      <c r="R152" t="e">
        <f>AND('Badge Ticket Formats'!#REF!,"AAAAAGP31hE=")</f>
        <v>#REF!</v>
      </c>
      <c r="S152" t="e">
        <f>AND('Badge Ticket Formats'!#REF!,"AAAAAGP31hI=")</f>
        <v>#REF!</v>
      </c>
      <c r="T152" t="e">
        <f>AND('Badge Ticket Formats'!#REF!,"AAAAAGP31hM=")</f>
        <v>#REF!</v>
      </c>
      <c r="U152" t="e">
        <f>AND('Badge Ticket Formats'!#REF!,"AAAAAGP31hQ=")</f>
        <v>#REF!</v>
      </c>
      <c r="V152" t="e">
        <f>AND('Badge Ticket Formats'!#REF!,"AAAAAGP31hU=")</f>
        <v>#REF!</v>
      </c>
      <c r="W152" t="e">
        <f>IF('Badge Ticket Formats'!#REF!,"AAAAAGP31hY=",0)</f>
        <v>#REF!</v>
      </c>
      <c r="X152" t="e">
        <f>AND('Badge Ticket Formats'!#REF!,"AAAAAGP31hc=")</f>
        <v>#REF!</v>
      </c>
      <c r="Y152" t="e">
        <f>AND('Badge Ticket Formats'!#REF!,"AAAAAGP31hg=")</f>
        <v>#REF!</v>
      </c>
      <c r="Z152" t="e">
        <f>AND('Badge Ticket Formats'!#REF!,"AAAAAGP31hk=")</f>
        <v>#REF!</v>
      </c>
      <c r="AA152" t="e">
        <f>AND('Badge Ticket Formats'!#REF!,"AAAAAGP31ho=")</f>
        <v>#REF!</v>
      </c>
      <c r="AB152" t="e">
        <f>AND('Badge Ticket Formats'!#REF!,"AAAAAGP31hs=")</f>
        <v>#REF!</v>
      </c>
      <c r="AC152" t="e">
        <f>AND('Badge Ticket Formats'!#REF!,"AAAAAGP31hw=")</f>
        <v>#REF!</v>
      </c>
      <c r="AD152" t="e">
        <f>AND('Badge Ticket Formats'!#REF!,"AAAAAGP31h0=")</f>
        <v>#REF!</v>
      </c>
      <c r="AE152" t="e">
        <f>AND('Badge Ticket Formats'!#REF!,"AAAAAGP31h4=")</f>
        <v>#REF!</v>
      </c>
      <c r="AF152" t="e">
        <f>AND('Badge Ticket Formats'!#REF!,"AAAAAGP31h8=")</f>
        <v>#REF!</v>
      </c>
      <c r="AG152" t="e">
        <f>AND('Badge Ticket Formats'!#REF!,"AAAAAGP31iA=")</f>
        <v>#REF!</v>
      </c>
      <c r="AH152" t="e">
        <f>AND('Badge Ticket Formats'!#REF!,"AAAAAGP31iE=")</f>
        <v>#REF!</v>
      </c>
      <c r="AI152" t="e">
        <f>AND('Badge Ticket Formats'!#REF!,"AAAAAGP31iI=")</f>
        <v>#REF!</v>
      </c>
      <c r="AJ152" t="e">
        <f>AND('Badge Ticket Formats'!#REF!,"AAAAAGP31iM=")</f>
        <v>#REF!</v>
      </c>
      <c r="AK152" t="e">
        <f>IF('Badge Ticket Formats'!#REF!,"AAAAAGP31iQ=",0)</f>
        <v>#REF!</v>
      </c>
      <c r="AL152" t="e">
        <f>AND('Badge Ticket Formats'!#REF!,"AAAAAGP31iU=")</f>
        <v>#REF!</v>
      </c>
      <c r="AM152" t="e">
        <f>AND('Badge Ticket Formats'!#REF!,"AAAAAGP31iY=")</f>
        <v>#REF!</v>
      </c>
      <c r="AN152" t="e">
        <f>AND('Badge Ticket Formats'!#REF!,"AAAAAGP31ic=")</f>
        <v>#REF!</v>
      </c>
      <c r="AO152" t="e">
        <f>AND('Badge Ticket Formats'!#REF!,"AAAAAGP31ig=")</f>
        <v>#REF!</v>
      </c>
      <c r="AP152" t="e">
        <f>AND('Badge Ticket Formats'!#REF!,"AAAAAGP31ik=")</f>
        <v>#REF!</v>
      </c>
      <c r="AQ152" t="e">
        <f>AND('Badge Ticket Formats'!#REF!,"AAAAAGP31io=")</f>
        <v>#REF!</v>
      </c>
      <c r="AR152" t="e">
        <f>AND('Badge Ticket Formats'!#REF!,"AAAAAGP31is=")</f>
        <v>#REF!</v>
      </c>
      <c r="AS152" t="e">
        <f>AND('Badge Ticket Formats'!#REF!,"AAAAAGP31iw=")</f>
        <v>#REF!</v>
      </c>
      <c r="AT152" t="e">
        <f>AND('Badge Ticket Formats'!#REF!,"AAAAAGP31i0=")</f>
        <v>#REF!</v>
      </c>
      <c r="AU152" t="e">
        <f>AND('Badge Ticket Formats'!#REF!,"AAAAAGP31i4=")</f>
        <v>#REF!</v>
      </c>
      <c r="AV152" t="e">
        <f>AND('Badge Ticket Formats'!#REF!,"AAAAAGP31i8=")</f>
        <v>#REF!</v>
      </c>
      <c r="AW152" t="e">
        <f>AND('Badge Ticket Formats'!#REF!,"AAAAAGP31jA=")</f>
        <v>#REF!</v>
      </c>
      <c r="AX152" t="e">
        <f>AND('Badge Ticket Formats'!#REF!,"AAAAAGP31jE=")</f>
        <v>#REF!</v>
      </c>
      <c r="AY152" t="e">
        <f>IF('Badge Ticket Formats'!#REF!,"AAAAAGP31jI=",0)</f>
        <v>#REF!</v>
      </c>
      <c r="AZ152" t="e">
        <f>AND('Badge Ticket Formats'!#REF!,"AAAAAGP31jM=")</f>
        <v>#REF!</v>
      </c>
      <c r="BA152" t="e">
        <f>AND('Badge Ticket Formats'!#REF!,"AAAAAGP31jQ=")</f>
        <v>#REF!</v>
      </c>
      <c r="BB152" t="e">
        <f>AND('Badge Ticket Formats'!#REF!,"AAAAAGP31jU=")</f>
        <v>#REF!</v>
      </c>
      <c r="BC152" t="e">
        <f>AND('Badge Ticket Formats'!#REF!,"AAAAAGP31jY=")</f>
        <v>#REF!</v>
      </c>
      <c r="BD152" t="e">
        <f>AND('Badge Ticket Formats'!#REF!,"AAAAAGP31jc=")</f>
        <v>#REF!</v>
      </c>
      <c r="BE152" t="e">
        <f>AND('Badge Ticket Formats'!#REF!,"AAAAAGP31jg=")</f>
        <v>#REF!</v>
      </c>
      <c r="BF152" t="e">
        <f>AND('Badge Ticket Formats'!#REF!,"AAAAAGP31jk=")</f>
        <v>#REF!</v>
      </c>
      <c r="BG152" t="e">
        <f>AND('Badge Ticket Formats'!#REF!,"AAAAAGP31jo=")</f>
        <v>#REF!</v>
      </c>
      <c r="BH152" t="e">
        <f>AND('Badge Ticket Formats'!#REF!,"AAAAAGP31js=")</f>
        <v>#REF!</v>
      </c>
      <c r="BI152" t="e">
        <f>AND('Badge Ticket Formats'!#REF!,"AAAAAGP31jw=")</f>
        <v>#REF!</v>
      </c>
      <c r="BJ152" t="e">
        <f>AND('Badge Ticket Formats'!#REF!,"AAAAAGP31j0=")</f>
        <v>#REF!</v>
      </c>
      <c r="BK152" t="e">
        <f>AND('Badge Ticket Formats'!#REF!,"AAAAAGP31j4=")</f>
        <v>#REF!</v>
      </c>
      <c r="BL152" t="e">
        <f>AND('Badge Ticket Formats'!#REF!,"AAAAAGP31j8=")</f>
        <v>#REF!</v>
      </c>
      <c r="BM152" t="e">
        <f>IF('Badge Ticket Formats'!#REF!,"AAAAAGP31kA=",0)</f>
        <v>#REF!</v>
      </c>
      <c r="BN152" t="e">
        <f>AND('Badge Ticket Formats'!#REF!,"AAAAAGP31kE=")</f>
        <v>#REF!</v>
      </c>
      <c r="BO152" t="e">
        <f>AND('Badge Ticket Formats'!#REF!,"AAAAAGP31kI=")</f>
        <v>#REF!</v>
      </c>
      <c r="BP152" t="e">
        <f>AND('Badge Ticket Formats'!#REF!,"AAAAAGP31kM=")</f>
        <v>#REF!</v>
      </c>
      <c r="BQ152" t="e">
        <f>AND('Badge Ticket Formats'!#REF!,"AAAAAGP31kQ=")</f>
        <v>#REF!</v>
      </c>
      <c r="BR152" t="e">
        <f>AND('Badge Ticket Formats'!#REF!,"AAAAAGP31kU=")</f>
        <v>#REF!</v>
      </c>
      <c r="BS152" t="e">
        <f>AND('Badge Ticket Formats'!#REF!,"AAAAAGP31kY=")</f>
        <v>#REF!</v>
      </c>
      <c r="BT152" t="e">
        <f>AND('Badge Ticket Formats'!#REF!,"AAAAAGP31kc=")</f>
        <v>#REF!</v>
      </c>
      <c r="BU152" t="e">
        <f>AND('Badge Ticket Formats'!#REF!,"AAAAAGP31kg=")</f>
        <v>#REF!</v>
      </c>
      <c r="BV152" t="e">
        <f>AND('Badge Ticket Formats'!#REF!,"AAAAAGP31kk=")</f>
        <v>#REF!</v>
      </c>
      <c r="BW152" t="e">
        <f>AND('Badge Ticket Formats'!#REF!,"AAAAAGP31ko=")</f>
        <v>#REF!</v>
      </c>
      <c r="BX152" t="e">
        <f>AND('Badge Ticket Formats'!#REF!,"AAAAAGP31ks=")</f>
        <v>#REF!</v>
      </c>
      <c r="BY152" t="e">
        <f>AND('Badge Ticket Formats'!#REF!,"AAAAAGP31kw=")</f>
        <v>#REF!</v>
      </c>
      <c r="BZ152" t="e">
        <f>AND('Badge Ticket Formats'!#REF!,"AAAAAGP31k0=")</f>
        <v>#REF!</v>
      </c>
      <c r="CA152" t="e">
        <f>IF('Badge Ticket Formats'!#REF!,"AAAAAGP31k4=",0)</f>
        <v>#REF!</v>
      </c>
      <c r="CB152" t="e">
        <f>AND('Badge Ticket Formats'!#REF!,"AAAAAGP31k8=")</f>
        <v>#REF!</v>
      </c>
      <c r="CC152" t="e">
        <f>AND('Badge Ticket Formats'!#REF!,"AAAAAGP31lA=")</f>
        <v>#REF!</v>
      </c>
      <c r="CD152" t="e">
        <f>AND('Badge Ticket Formats'!#REF!,"AAAAAGP31lE=")</f>
        <v>#REF!</v>
      </c>
      <c r="CE152" t="e">
        <f>AND('Badge Ticket Formats'!#REF!,"AAAAAGP31lI=")</f>
        <v>#REF!</v>
      </c>
      <c r="CF152" t="e">
        <f>AND('Badge Ticket Formats'!#REF!,"AAAAAGP31lM=")</f>
        <v>#REF!</v>
      </c>
      <c r="CG152" t="e">
        <f>AND('Badge Ticket Formats'!#REF!,"AAAAAGP31lQ=")</f>
        <v>#REF!</v>
      </c>
      <c r="CH152" t="e">
        <f>AND('Badge Ticket Formats'!#REF!,"AAAAAGP31lU=")</f>
        <v>#REF!</v>
      </c>
      <c r="CI152" t="e">
        <f>AND('Badge Ticket Formats'!#REF!,"AAAAAGP31lY=")</f>
        <v>#REF!</v>
      </c>
      <c r="CJ152" t="e">
        <f>AND('Badge Ticket Formats'!#REF!,"AAAAAGP31lc=")</f>
        <v>#REF!</v>
      </c>
      <c r="CK152" t="e">
        <f>AND('Badge Ticket Formats'!#REF!,"AAAAAGP31lg=")</f>
        <v>#REF!</v>
      </c>
      <c r="CL152" t="e">
        <f>AND('Badge Ticket Formats'!#REF!,"AAAAAGP31lk=")</f>
        <v>#REF!</v>
      </c>
      <c r="CM152" t="e">
        <f>AND('Badge Ticket Formats'!#REF!,"AAAAAGP31lo=")</f>
        <v>#REF!</v>
      </c>
      <c r="CN152" t="e">
        <f>AND('Badge Ticket Formats'!#REF!,"AAAAAGP31ls=")</f>
        <v>#REF!</v>
      </c>
      <c r="CO152" t="e">
        <f>IF('Badge Ticket Formats'!#REF!,"AAAAAGP31lw=",0)</f>
        <v>#REF!</v>
      </c>
      <c r="CP152" t="e">
        <f>AND('Badge Ticket Formats'!#REF!,"AAAAAGP31l0=")</f>
        <v>#REF!</v>
      </c>
      <c r="CQ152" t="e">
        <f>AND('Badge Ticket Formats'!#REF!,"AAAAAGP31l4=")</f>
        <v>#REF!</v>
      </c>
      <c r="CR152" t="e">
        <f>AND('Badge Ticket Formats'!#REF!,"AAAAAGP31l8=")</f>
        <v>#REF!</v>
      </c>
      <c r="CS152" t="e">
        <f>AND('Badge Ticket Formats'!#REF!,"AAAAAGP31mA=")</f>
        <v>#REF!</v>
      </c>
      <c r="CT152" t="e">
        <f>AND('Badge Ticket Formats'!#REF!,"AAAAAGP31mE=")</f>
        <v>#REF!</v>
      </c>
      <c r="CU152" t="e">
        <f>AND('Badge Ticket Formats'!#REF!,"AAAAAGP31mI=")</f>
        <v>#REF!</v>
      </c>
      <c r="CV152" t="e">
        <f>AND('Badge Ticket Formats'!#REF!,"AAAAAGP31mM=")</f>
        <v>#REF!</v>
      </c>
      <c r="CW152" t="e">
        <f>AND('Badge Ticket Formats'!#REF!,"AAAAAGP31mQ=")</f>
        <v>#REF!</v>
      </c>
      <c r="CX152" t="e">
        <f>AND('Badge Ticket Formats'!#REF!,"AAAAAGP31mU=")</f>
        <v>#REF!</v>
      </c>
      <c r="CY152" t="e">
        <f>AND('Badge Ticket Formats'!#REF!,"AAAAAGP31mY=")</f>
        <v>#REF!</v>
      </c>
      <c r="CZ152" t="e">
        <f>AND('Badge Ticket Formats'!#REF!,"AAAAAGP31mc=")</f>
        <v>#REF!</v>
      </c>
      <c r="DA152" t="e">
        <f>AND('Badge Ticket Formats'!#REF!,"AAAAAGP31mg=")</f>
        <v>#REF!</v>
      </c>
      <c r="DB152" t="e">
        <f>AND('Badge Ticket Formats'!#REF!,"AAAAAGP31mk=")</f>
        <v>#REF!</v>
      </c>
      <c r="DC152" t="e">
        <f>IF('Badge Ticket Formats'!#REF!,"AAAAAGP31mo=",0)</f>
        <v>#REF!</v>
      </c>
      <c r="DD152" t="e">
        <f>AND('Badge Ticket Formats'!#REF!,"AAAAAGP31ms=")</f>
        <v>#REF!</v>
      </c>
      <c r="DE152" t="e">
        <f>AND('Badge Ticket Formats'!#REF!,"AAAAAGP31mw=")</f>
        <v>#REF!</v>
      </c>
      <c r="DF152" t="e">
        <f>AND('Badge Ticket Formats'!#REF!,"AAAAAGP31m0=")</f>
        <v>#REF!</v>
      </c>
      <c r="DG152" t="e">
        <f>AND('Badge Ticket Formats'!#REF!,"AAAAAGP31m4=")</f>
        <v>#REF!</v>
      </c>
      <c r="DH152" t="e">
        <f>AND('Badge Ticket Formats'!#REF!,"AAAAAGP31m8=")</f>
        <v>#REF!</v>
      </c>
      <c r="DI152" t="e">
        <f>AND('Badge Ticket Formats'!#REF!,"AAAAAGP31nA=")</f>
        <v>#REF!</v>
      </c>
      <c r="DJ152" t="e">
        <f>AND('Badge Ticket Formats'!#REF!,"AAAAAGP31nE=")</f>
        <v>#REF!</v>
      </c>
      <c r="DK152" t="e">
        <f>AND('Badge Ticket Formats'!#REF!,"AAAAAGP31nI=")</f>
        <v>#REF!</v>
      </c>
      <c r="DL152" t="e">
        <f>AND('Badge Ticket Formats'!#REF!,"AAAAAGP31nM=")</f>
        <v>#REF!</v>
      </c>
      <c r="DM152" t="e">
        <f>AND('Badge Ticket Formats'!#REF!,"AAAAAGP31nQ=")</f>
        <v>#REF!</v>
      </c>
      <c r="DN152" t="e">
        <f>AND('Badge Ticket Formats'!#REF!,"AAAAAGP31nU=")</f>
        <v>#REF!</v>
      </c>
      <c r="DO152" t="e">
        <f>AND('Badge Ticket Formats'!#REF!,"AAAAAGP31nY=")</f>
        <v>#REF!</v>
      </c>
      <c r="DP152" t="e">
        <f>AND('Badge Ticket Formats'!#REF!,"AAAAAGP31nc=")</f>
        <v>#REF!</v>
      </c>
      <c r="DQ152" t="e">
        <f>IF('Badge Ticket Formats'!#REF!,"AAAAAGP31ng=",0)</f>
        <v>#REF!</v>
      </c>
      <c r="DR152" t="e">
        <f>AND('Badge Ticket Formats'!#REF!,"AAAAAGP31nk=")</f>
        <v>#REF!</v>
      </c>
      <c r="DS152" t="e">
        <f>AND('Badge Ticket Formats'!#REF!,"AAAAAGP31no=")</f>
        <v>#REF!</v>
      </c>
      <c r="DT152" t="e">
        <f>AND('Badge Ticket Formats'!#REF!,"AAAAAGP31ns=")</f>
        <v>#REF!</v>
      </c>
      <c r="DU152" t="e">
        <f>AND('Badge Ticket Formats'!#REF!,"AAAAAGP31nw=")</f>
        <v>#REF!</v>
      </c>
      <c r="DV152" t="e">
        <f>AND('Badge Ticket Formats'!#REF!,"AAAAAGP31n0=")</f>
        <v>#REF!</v>
      </c>
      <c r="DW152" t="e">
        <f>AND('Badge Ticket Formats'!#REF!,"AAAAAGP31n4=")</f>
        <v>#REF!</v>
      </c>
      <c r="DX152" t="e">
        <f>AND('Badge Ticket Formats'!#REF!,"AAAAAGP31n8=")</f>
        <v>#REF!</v>
      </c>
      <c r="DY152" t="e">
        <f>AND('Badge Ticket Formats'!#REF!,"AAAAAGP31oA=")</f>
        <v>#REF!</v>
      </c>
      <c r="DZ152" t="e">
        <f>AND('Badge Ticket Formats'!#REF!,"AAAAAGP31oE=")</f>
        <v>#REF!</v>
      </c>
      <c r="EA152" t="e">
        <f>AND('Badge Ticket Formats'!#REF!,"AAAAAGP31oI=")</f>
        <v>#REF!</v>
      </c>
      <c r="EB152" t="e">
        <f>AND('Badge Ticket Formats'!#REF!,"AAAAAGP31oM=")</f>
        <v>#REF!</v>
      </c>
      <c r="EC152" t="e">
        <f>AND('Badge Ticket Formats'!#REF!,"AAAAAGP31oQ=")</f>
        <v>#REF!</v>
      </c>
      <c r="ED152" t="e">
        <f>AND('Badge Ticket Formats'!#REF!,"AAAAAGP31oU=")</f>
        <v>#REF!</v>
      </c>
      <c r="EE152" t="e">
        <f>IF('Badge Ticket Formats'!#REF!,"AAAAAGP31oY=",0)</f>
        <v>#REF!</v>
      </c>
      <c r="EF152" t="e">
        <f>AND('Badge Ticket Formats'!#REF!,"AAAAAGP31oc=")</f>
        <v>#REF!</v>
      </c>
      <c r="EG152" t="e">
        <f>AND('Badge Ticket Formats'!#REF!,"AAAAAGP31og=")</f>
        <v>#REF!</v>
      </c>
      <c r="EH152" t="e">
        <f>AND('Badge Ticket Formats'!#REF!,"AAAAAGP31ok=")</f>
        <v>#REF!</v>
      </c>
      <c r="EI152" t="e">
        <f>AND('Badge Ticket Formats'!#REF!,"AAAAAGP31oo=")</f>
        <v>#REF!</v>
      </c>
      <c r="EJ152" t="e">
        <f>AND('Badge Ticket Formats'!#REF!,"AAAAAGP31os=")</f>
        <v>#REF!</v>
      </c>
      <c r="EK152" t="e">
        <f>AND('Badge Ticket Formats'!#REF!,"AAAAAGP31ow=")</f>
        <v>#REF!</v>
      </c>
      <c r="EL152" t="e">
        <f>AND('Badge Ticket Formats'!#REF!,"AAAAAGP31o0=")</f>
        <v>#REF!</v>
      </c>
      <c r="EM152" t="e">
        <f>AND('Badge Ticket Formats'!#REF!,"AAAAAGP31o4=")</f>
        <v>#REF!</v>
      </c>
      <c r="EN152" t="e">
        <f>AND('Badge Ticket Formats'!#REF!,"AAAAAGP31o8=")</f>
        <v>#REF!</v>
      </c>
      <c r="EO152" t="e">
        <f>AND('Badge Ticket Formats'!#REF!,"AAAAAGP31pA=")</f>
        <v>#REF!</v>
      </c>
      <c r="EP152" t="e">
        <f>AND('Badge Ticket Formats'!#REF!,"AAAAAGP31pE=")</f>
        <v>#REF!</v>
      </c>
      <c r="EQ152" t="e">
        <f>AND('Badge Ticket Formats'!#REF!,"AAAAAGP31pI=")</f>
        <v>#REF!</v>
      </c>
      <c r="ER152" t="e">
        <f>AND('Badge Ticket Formats'!#REF!,"AAAAAGP31pM=")</f>
        <v>#REF!</v>
      </c>
      <c r="ES152" t="e">
        <f>IF('Badge Ticket Formats'!#REF!,"AAAAAGP31pQ=",0)</f>
        <v>#REF!</v>
      </c>
      <c r="ET152" t="e">
        <f>AND('Badge Ticket Formats'!#REF!,"AAAAAGP31pU=")</f>
        <v>#REF!</v>
      </c>
      <c r="EU152" t="e">
        <f>AND('Badge Ticket Formats'!#REF!,"AAAAAGP31pY=")</f>
        <v>#REF!</v>
      </c>
      <c r="EV152" t="e">
        <f>AND('Badge Ticket Formats'!#REF!,"AAAAAGP31pc=")</f>
        <v>#REF!</v>
      </c>
      <c r="EW152" t="e">
        <f>AND('Badge Ticket Formats'!#REF!,"AAAAAGP31pg=")</f>
        <v>#REF!</v>
      </c>
      <c r="EX152" t="e">
        <f>AND('Badge Ticket Formats'!#REF!,"AAAAAGP31pk=")</f>
        <v>#REF!</v>
      </c>
      <c r="EY152" t="e">
        <f>AND('Badge Ticket Formats'!#REF!,"AAAAAGP31po=")</f>
        <v>#REF!</v>
      </c>
      <c r="EZ152" t="e">
        <f>AND('Badge Ticket Formats'!#REF!,"AAAAAGP31ps=")</f>
        <v>#REF!</v>
      </c>
      <c r="FA152" t="e">
        <f>AND('Badge Ticket Formats'!#REF!,"AAAAAGP31pw=")</f>
        <v>#REF!</v>
      </c>
      <c r="FB152" t="e">
        <f>AND('Badge Ticket Formats'!#REF!,"AAAAAGP31p0=")</f>
        <v>#REF!</v>
      </c>
      <c r="FC152" t="e">
        <f>AND('Badge Ticket Formats'!#REF!,"AAAAAGP31p4=")</f>
        <v>#REF!</v>
      </c>
      <c r="FD152" t="e">
        <f>AND('Badge Ticket Formats'!#REF!,"AAAAAGP31p8=")</f>
        <v>#REF!</v>
      </c>
      <c r="FE152" t="e">
        <f>AND('Badge Ticket Formats'!#REF!,"AAAAAGP31qA=")</f>
        <v>#REF!</v>
      </c>
      <c r="FF152" t="e">
        <f>AND('Badge Ticket Formats'!#REF!,"AAAAAGP31qE=")</f>
        <v>#REF!</v>
      </c>
      <c r="FG152" t="e">
        <f>IF('Badge Ticket Formats'!#REF!,"AAAAAGP31qI=",0)</f>
        <v>#REF!</v>
      </c>
      <c r="FH152" t="e">
        <f>AND('Badge Ticket Formats'!#REF!,"AAAAAGP31qM=")</f>
        <v>#REF!</v>
      </c>
      <c r="FI152" t="e">
        <f>AND('Badge Ticket Formats'!#REF!,"AAAAAGP31qQ=")</f>
        <v>#REF!</v>
      </c>
      <c r="FJ152" t="e">
        <f>AND('Badge Ticket Formats'!#REF!,"AAAAAGP31qU=")</f>
        <v>#REF!</v>
      </c>
      <c r="FK152" t="e">
        <f>AND('Badge Ticket Formats'!#REF!,"AAAAAGP31qY=")</f>
        <v>#REF!</v>
      </c>
      <c r="FL152" t="e">
        <f>AND('Badge Ticket Formats'!#REF!,"AAAAAGP31qc=")</f>
        <v>#REF!</v>
      </c>
      <c r="FM152" t="e">
        <f>AND('Badge Ticket Formats'!#REF!,"AAAAAGP31qg=")</f>
        <v>#REF!</v>
      </c>
      <c r="FN152" t="e">
        <f>AND('Badge Ticket Formats'!#REF!,"AAAAAGP31qk=")</f>
        <v>#REF!</v>
      </c>
      <c r="FO152" t="e">
        <f>AND('Badge Ticket Formats'!#REF!,"AAAAAGP31qo=")</f>
        <v>#REF!</v>
      </c>
      <c r="FP152" t="e">
        <f>AND('Badge Ticket Formats'!#REF!,"AAAAAGP31qs=")</f>
        <v>#REF!</v>
      </c>
      <c r="FQ152" t="e">
        <f>AND('Badge Ticket Formats'!#REF!,"AAAAAGP31qw=")</f>
        <v>#REF!</v>
      </c>
      <c r="FR152" t="e">
        <f>AND('Badge Ticket Formats'!#REF!,"AAAAAGP31q0=")</f>
        <v>#REF!</v>
      </c>
      <c r="FS152" t="e">
        <f>AND('Badge Ticket Formats'!#REF!,"AAAAAGP31q4=")</f>
        <v>#REF!</v>
      </c>
      <c r="FT152" t="e">
        <f>AND('Badge Ticket Formats'!#REF!,"AAAAAGP31q8=")</f>
        <v>#REF!</v>
      </c>
      <c r="FU152" t="e">
        <f>IF('Badge Ticket Formats'!#REF!,"AAAAAGP31rA=",0)</f>
        <v>#REF!</v>
      </c>
      <c r="FV152" t="e">
        <f>AND('Badge Ticket Formats'!#REF!,"AAAAAGP31rE=")</f>
        <v>#REF!</v>
      </c>
      <c r="FW152" t="e">
        <f>AND('Badge Ticket Formats'!#REF!,"AAAAAGP31rI=")</f>
        <v>#REF!</v>
      </c>
      <c r="FX152" t="e">
        <f>AND('Badge Ticket Formats'!#REF!,"AAAAAGP31rM=")</f>
        <v>#REF!</v>
      </c>
      <c r="FY152" t="e">
        <f>AND('Badge Ticket Formats'!#REF!,"AAAAAGP31rQ=")</f>
        <v>#REF!</v>
      </c>
      <c r="FZ152" t="e">
        <f>AND('Badge Ticket Formats'!#REF!,"AAAAAGP31rU=")</f>
        <v>#REF!</v>
      </c>
      <c r="GA152" t="e">
        <f>AND('Badge Ticket Formats'!#REF!,"AAAAAGP31rY=")</f>
        <v>#REF!</v>
      </c>
      <c r="GB152" t="e">
        <f>AND('Badge Ticket Formats'!#REF!,"AAAAAGP31rc=")</f>
        <v>#REF!</v>
      </c>
      <c r="GC152" t="e">
        <f>AND('Badge Ticket Formats'!#REF!,"AAAAAGP31rg=")</f>
        <v>#REF!</v>
      </c>
      <c r="GD152" t="e">
        <f>AND('Badge Ticket Formats'!#REF!,"AAAAAGP31rk=")</f>
        <v>#REF!</v>
      </c>
      <c r="GE152" t="e">
        <f>AND('Badge Ticket Formats'!#REF!,"AAAAAGP31ro=")</f>
        <v>#REF!</v>
      </c>
      <c r="GF152" t="e">
        <f>AND('Badge Ticket Formats'!#REF!,"AAAAAGP31rs=")</f>
        <v>#REF!</v>
      </c>
      <c r="GG152" t="e">
        <f>AND('Badge Ticket Formats'!#REF!,"AAAAAGP31rw=")</f>
        <v>#REF!</v>
      </c>
      <c r="GH152" t="e">
        <f>AND('Badge Ticket Formats'!#REF!,"AAAAAGP31r0=")</f>
        <v>#REF!</v>
      </c>
      <c r="GI152" t="e">
        <f>IF('Badge Ticket Formats'!#REF!,"AAAAAGP31r4=",0)</f>
        <v>#REF!</v>
      </c>
      <c r="GJ152" t="e">
        <f>AND('Badge Ticket Formats'!#REF!,"AAAAAGP31r8=")</f>
        <v>#REF!</v>
      </c>
      <c r="GK152" t="e">
        <f>AND('Badge Ticket Formats'!#REF!,"AAAAAGP31sA=")</f>
        <v>#REF!</v>
      </c>
      <c r="GL152" t="e">
        <f>AND('Badge Ticket Formats'!#REF!,"AAAAAGP31sE=")</f>
        <v>#REF!</v>
      </c>
      <c r="GM152" t="e">
        <f>AND('Badge Ticket Formats'!#REF!,"AAAAAGP31sI=")</f>
        <v>#REF!</v>
      </c>
      <c r="GN152" t="e">
        <f>AND('Badge Ticket Formats'!#REF!,"AAAAAGP31sM=")</f>
        <v>#REF!</v>
      </c>
      <c r="GO152" t="e">
        <f>AND('Badge Ticket Formats'!#REF!,"AAAAAGP31sQ=")</f>
        <v>#REF!</v>
      </c>
      <c r="GP152" t="e">
        <f>AND('Badge Ticket Formats'!#REF!,"AAAAAGP31sU=")</f>
        <v>#REF!</v>
      </c>
      <c r="GQ152" t="e">
        <f>AND('Badge Ticket Formats'!#REF!,"AAAAAGP31sY=")</f>
        <v>#REF!</v>
      </c>
      <c r="GR152" t="e">
        <f>AND('Badge Ticket Formats'!#REF!,"AAAAAGP31sc=")</f>
        <v>#REF!</v>
      </c>
      <c r="GS152" t="e">
        <f>AND('Badge Ticket Formats'!#REF!,"AAAAAGP31sg=")</f>
        <v>#REF!</v>
      </c>
      <c r="GT152" t="e">
        <f>AND('Badge Ticket Formats'!#REF!,"AAAAAGP31sk=")</f>
        <v>#REF!</v>
      </c>
      <c r="GU152" t="e">
        <f>AND('Badge Ticket Formats'!#REF!,"AAAAAGP31so=")</f>
        <v>#REF!</v>
      </c>
      <c r="GV152" t="e">
        <f>AND('Badge Ticket Formats'!#REF!,"AAAAAGP31ss=")</f>
        <v>#REF!</v>
      </c>
      <c r="GW152" t="e">
        <f>IF('Badge Ticket Formats'!#REF!,"AAAAAGP31sw=",0)</f>
        <v>#REF!</v>
      </c>
      <c r="GX152" t="e">
        <f>AND('Badge Ticket Formats'!#REF!,"AAAAAGP31s0=")</f>
        <v>#REF!</v>
      </c>
      <c r="GY152" t="e">
        <f>AND('Badge Ticket Formats'!#REF!,"AAAAAGP31s4=")</f>
        <v>#REF!</v>
      </c>
      <c r="GZ152" t="e">
        <f>AND('Badge Ticket Formats'!#REF!,"AAAAAGP31s8=")</f>
        <v>#REF!</v>
      </c>
      <c r="HA152" t="e">
        <f>AND('Badge Ticket Formats'!#REF!,"AAAAAGP31tA=")</f>
        <v>#REF!</v>
      </c>
      <c r="HB152" t="e">
        <f>AND('Badge Ticket Formats'!#REF!,"AAAAAGP31tE=")</f>
        <v>#REF!</v>
      </c>
      <c r="HC152" t="e">
        <f>AND('Badge Ticket Formats'!#REF!,"AAAAAGP31tI=")</f>
        <v>#REF!</v>
      </c>
      <c r="HD152" t="e">
        <f>AND('Badge Ticket Formats'!#REF!,"AAAAAGP31tM=")</f>
        <v>#REF!</v>
      </c>
      <c r="HE152" t="e">
        <f>AND('Badge Ticket Formats'!#REF!,"AAAAAGP31tQ=")</f>
        <v>#REF!</v>
      </c>
      <c r="HF152" t="e">
        <f>AND('Badge Ticket Formats'!#REF!,"AAAAAGP31tU=")</f>
        <v>#REF!</v>
      </c>
      <c r="HG152" t="e">
        <f>AND('Badge Ticket Formats'!#REF!,"AAAAAGP31tY=")</f>
        <v>#REF!</v>
      </c>
      <c r="HH152" t="e">
        <f>AND('Badge Ticket Formats'!#REF!,"AAAAAGP31tc=")</f>
        <v>#REF!</v>
      </c>
      <c r="HI152" t="e">
        <f>AND('Badge Ticket Formats'!#REF!,"AAAAAGP31tg=")</f>
        <v>#REF!</v>
      </c>
      <c r="HJ152" t="e">
        <f>AND('Badge Ticket Formats'!#REF!,"AAAAAGP31tk=")</f>
        <v>#REF!</v>
      </c>
      <c r="HK152" t="e">
        <f>IF('Badge Ticket Formats'!#REF!,"AAAAAGP31to=",0)</f>
        <v>#REF!</v>
      </c>
      <c r="HL152" t="e">
        <f>AND('Badge Ticket Formats'!#REF!,"AAAAAGP31ts=")</f>
        <v>#REF!</v>
      </c>
      <c r="HM152" t="e">
        <f>AND('Badge Ticket Formats'!#REF!,"AAAAAGP31tw=")</f>
        <v>#REF!</v>
      </c>
      <c r="HN152" t="e">
        <f>AND('Badge Ticket Formats'!#REF!,"AAAAAGP31t0=")</f>
        <v>#REF!</v>
      </c>
      <c r="HO152" t="e">
        <f>AND('Badge Ticket Formats'!#REF!,"AAAAAGP31t4=")</f>
        <v>#REF!</v>
      </c>
      <c r="HP152" t="e">
        <f>AND('Badge Ticket Formats'!#REF!,"AAAAAGP31t8=")</f>
        <v>#REF!</v>
      </c>
      <c r="HQ152" t="e">
        <f>AND('Badge Ticket Formats'!#REF!,"AAAAAGP31uA=")</f>
        <v>#REF!</v>
      </c>
      <c r="HR152" t="e">
        <f>AND('Badge Ticket Formats'!#REF!,"AAAAAGP31uE=")</f>
        <v>#REF!</v>
      </c>
      <c r="HS152" t="e">
        <f>AND('Badge Ticket Formats'!#REF!,"AAAAAGP31uI=")</f>
        <v>#REF!</v>
      </c>
      <c r="HT152" t="e">
        <f>AND('Badge Ticket Formats'!#REF!,"AAAAAGP31uM=")</f>
        <v>#REF!</v>
      </c>
      <c r="HU152" t="e">
        <f>AND('Badge Ticket Formats'!#REF!,"AAAAAGP31uQ=")</f>
        <v>#REF!</v>
      </c>
      <c r="HV152" t="e">
        <f>AND('Badge Ticket Formats'!#REF!,"AAAAAGP31uU=")</f>
        <v>#REF!</v>
      </c>
      <c r="HW152" t="e">
        <f>AND('Badge Ticket Formats'!#REF!,"AAAAAGP31uY=")</f>
        <v>#REF!</v>
      </c>
      <c r="HX152" t="e">
        <f>AND('Badge Ticket Formats'!#REF!,"AAAAAGP31uc=")</f>
        <v>#REF!</v>
      </c>
      <c r="HY152" t="e">
        <f>IF('Badge Ticket Formats'!#REF!,"AAAAAGP31ug=",0)</f>
        <v>#REF!</v>
      </c>
      <c r="HZ152" t="e">
        <f>AND('Badge Ticket Formats'!#REF!,"AAAAAGP31uk=")</f>
        <v>#REF!</v>
      </c>
      <c r="IA152" t="e">
        <f>AND('Badge Ticket Formats'!#REF!,"AAAAAGP31uo=")</f>
        <v>#REF!</v>
      </c>
      <c r="IB152" t="e">
        <f>AND('Badge Ticket Formats'!#REF!,"AAAAAGP31us=")</f>
        <v>#REF!</v>
      </c>
      <c r="IC152" t="e">
        <f>AND('Badge Ticket Formats'!#REF!,"AAAAAGP31uw=")</f>
        <v>#REF!</v>
      </c>
      <c r="ID152" t="e">
        <f>AND('Badge Ticket Formats'!#REF!,"AAAAAGP31u0=")</f>
        <v>#REF!</v>
      </c>
      <c r="IE152" t="e">
        <f>AND('Badge Ticket Formats'!#REF!,"AAAAAGP31u4=")</f>
        <v>#REF!</v>
      </c>
      <c r="IF152" t="e">
        <f>AND('Badge Ticket Formats'!#REF!,"AAAAAGP31u8=")</f>
        <v>#REF!</v>
      </c>
      <c r="IG152" t="e">
        <f>AND('Badge Ticket Formats'!#REF!,"AAAAAGP31vA=")</f>
        <v>#REF!</v>
      </c>
      <c r="IH152" t="e">
        <f>AND('Badge Ticket Formats'!#REF!,"AAAAAGP31vE=")</f>
        <v>#REF!</v>
      </c>
      <c r="II152" t="e">
        <f>AND('Badge Ticket Formats'!#REF!,"AAAAAGP31vI=")</f>
        <v>#REF!</v>
      </c>
      <c r="IJ152" t="e">
        <f>AND('Badge Ticket Formats'!#REF!,"AAAAAGP31vM=")</f>
        <v>#REF!</v>
      </c>
      <c r="IK152" t="e">
        <f>AND('Badge Ticket Formats'!#REF!,"AAAAAGP31vQ=")</f>
        <v>#REF!</v>
      </c>
      <c r="IL152" t="e">
        <f>AND('Badge Ticket Formats'!#REF!,"AAAAAGP31vU=")</f>
        <v>#REF!</v>
      </c>
      <c r="IM152" t="e">
        <f>IF('Badge Ticket Formats'!#REF!,"AAAAAGP31vY=",0)</f>
        <v>#REF!</v>
      </c>
      <c r="IN152" t="e">
        <f>AND('Badge Ticket Formats'!#REF!,"AAAAAGP31vc=")</f>
        <v>#REF!</v>
      </c>
      <c r="IO152" t="e">
        <f>AND('Badge Ticket Formats'!#REF!,"AAAAAGP31vg=")</f>
        <v>#REF!</v>
      </c>
      <c r="IP152" t="e">
        <f>AND('Badge Ticket Formats'!#REF!,"AAAAAGP31vk=")</f>
        <v>#REF!</v>
      </c>
      <c r="IQ152" t="e">
        <f>AND('Badge Ticket Formats'!#REF!,"AAAAAGP31vo=")</f>
        <v>#REF!</v>
      </c>
      <c r="IR152" t="e">
        <f>AND('Badge Ticket Formats'!#REF!,"AAAAAGP31vs=")</f>
        <v>#REF!</v>
      </c>
      <c r="IS152" t="e">
        <f>AND('Badge Ticket Formats'!#REF!,"AAAAAGP31vw=")</f>
        <v>#REF!</v>
      </c>
      <c r="IT152" t="e">
        <f>AND('Badge Ticket Formats'!#REF!,"AAAAAGP31v0=")</f>
        <v>#REF!</v>
      </c>
      <c r="IU152" t="e">
        <f>AND('Badge Ticket Formats'!#REF!,"AAAAAGP31v4=")</f>
        <v>#REF!</v>
      </c>
      <c r="IV152" t="e">
        <f>AND('Badge Ticket Formats'!#REF!,"AAAAAGP31v8=")</f>
        <v>#REF!</v>
      </c>
    </row>
    <row r="153" spans="1:256" x14ac:dyDescent="0.2">
      <c r="A153" t="e">
        <f>AND('Badge Ticket Formats'!#REF!,"AAAAAD9WtwA=")</f>
        <v>#REF!</v>
      </c>
      <c r="B153" t="e">
        <f>AND('Badge Ticket Formats'!#REF!,"AAAAAD9WtwE=")</f>
        <v>#REF!</v>
      </c>
      <c r="C153" t="e">
        <f>AND('Badge Ticket Formats'!#REF!,"AAAAAD9WtwI=")</f>
        <v>#REF!</v>
      </c>
      <c r="D153" t="e">
        <f>AND('Badge Ticket Formats'!#REF!,"AAAAAD9WtwM=")</f>
        <v>#REF!</v>
      </c>
      <c r="E153" t="e">
        <f>IF('Badge Ticket Formats'!#REF!,"AAAAAD9WtwQ=",0)</f>
        <v>#REF!</v>
      </c>
      <c r="F153" t="e">
        <f>AND('Badge Ticket Formats'!#REF!,"AAAAAD9WtwU=")</f>
        <v>#REF!</v>
      </c>
      <c r="G153" t="e">
        <f>AND('Badge Ticket Formats'!#REF!,"AAAAAD9WtwY=")</f>
        <v>#REF!</v>
      </c>
      <c r="H153" t="e">
        <f>AND('Badge Ticket Formats'!#REF!,"AAAAAD9Wtwc=")</f>
        <v>#REF!</v>
      </c>
      <c r="I153" t="e">
        <f>AND('Badge Ticket Formats'!#REF!,"AAAAAD9Wtwg=")</f>
        <v>#REF!</v>
      </c>
      <c r="J153" t="e">
        <f>AND('Badge Ticket Formats'!#REF!,"AAAAAD9Wtwk=")</f>
        <v>#REF!</v>
      </c>
      <c r="K153" t="e">
        <f>AND('Badge Ticket Formats'!#REF!,"AAAAAD9Wtwo=")</f>
        <v>#REF!</v>
      </c>
      <c r="L153" t="e">
        <f>AND('Badge Ticket Formats'!#REF!,"AAAAAD9Wtws=")</f>
        <v>#REF!</v>
      </c>
      <c r="M153" t="e">
        <f>AND('Badge Ticket Formats'!#REF!,"AAAAAD9Wtww=")</f>
        <v>#REF!</v>
      </c>
      <c r="N153" t="e">
        <f>AND('Badge Ticket Formats'!#REF!,"AAAAAD9Wtw0=")</f>
        <v>#REF!</v>
      </c>
      <c r="O153" t="e">
        <f>AND('Badge Ticket Formats'!#REF!,"AAAAAD9Wtw4=")</f>
        <v>#REF!</v>
      </c>
      <c r="P153" t="e">
        <f>AND('Badge Ticket Formats'!#REF!,"AAAAAD9Wtw8=")</f>
        <v>#REF!</v>
      </c>
      <c r="Q153" t="e">
        <f>AND('Badge Ticket Formats'!#REF!,"AAAAAD9WtxA=")</f>
        <v>#REF!</v>
      </c>
      <c r="R153" t="e">
        <f>AND('Badge Ticket Formats'!#REF!,"AAAAAD9WtxE=")</f>
        <v>#REF!</v>
      </c>
      <c r="S153" t="e">
        <f>IF('Badge Ticket Formats'!#REF!,"AAAAAD9WtxI=",0)</f>
        <v>#REF!</v>
      </c>
      <c r="T153" t="e">
        <f>AND('Badge Ticket Formats'!#REF!,"AAAAAD9WtxM=")</f>
        <v>#REF!</v>
      </c>
      <c r="U153" t="e">
        <f>AND('Badge Ticket Formats'!#REF!,"AAAAAD9WtxQ=")</f>
        <v>#REF!</v>
      </c>
      <c r="V153" t="e">
        <f>AND('Badge Ticket Formats'!#REF!,"AAAAAD9WtxU=")</f>
        <v>#REF!</v>
      </c>
      <c r="W153" t="e">
        <f>AND('Badge Ticket Formats'!#REF!,"AAAAAD9WtxY=")</f>
        <v>#REF!</v>
      </c>
      <c r="X153" t="e">
        <f>AND('Badge Ticket Formats'!#REF!,"AAAAAD9Wtxc=")</f>
        <v>#REF!</v>
      </c>
      <c r="Y153" t="e">
        <f>AND('Badge Ticket Formats'!#REF!,"AAAAAD9Wtxg=")</f>
        <v>#REF!</v>
      </c>
      <c r="Z153" t="e">
        <f>AND('Badge Ticket Formats'!#REF!,"AAAAAD9Wtxk=")</f>
        <v>#REF!</v>
      </c>
      <c r="AA153" t="e">
        <f>AND('Badge Ticket Formats'!#REF!,"AAAAAD9Wtxo=")</f>
        <v>#REF!</v>
      </c>
      <c r="AB153" t="e">
        <f>AND('Badge Ticket Formats'!#REF!,"AAAAAD9Wtxs=")</f>
        <v>#REF!</v>
      </c>
      <c r="AC153" t="e">
        <f>AND('Badge Ticket Formats'!#REF!,"AAAAAD9Wtxw=")</f>
        <v>#REF!</v>
      </c>
      <c r="AD153" t="e">
        <f>AND('Badge Ticket Formats'!#REF!,"AAAAAD9Wtx0=")</f>
        <v>#REF!</v>
      </c>
      <c r="AE153" t="e">
        <f>AND('Badge Ticket Formats'!#REF!,"AAAAAD9Wtx4=")</f>
        <v>#REF!</v>
      </c>
      <c r="AF153" t="e">
        <f>AND('Badge Ticket Formats'!#REF!,"AAAAAD9Wtx8=")</f>
        <v>#REF!</v>
      </c>
      <c r="AG153" t="e">
        <f>IF('Badge Ticket Formats'!#REF!,"AAAAAD9WtyA=",0)</f>
        <v>#REF!</v>
      </c>
      <c r="AH153" t="e">
        <f>AND('Badge Ticket Formats'!#REF!,"AAAAAD9WtyE=")</f>
        <v>#REF!</v>
      </c>
      <c r="AI153" t="e">
        <f>AND('Badge Ticket Formats'!#REF!,"AAAAAD9WtyI=")</f>
        <v>#REF!</v>
      </c>
      <c r="AJ153" t="e">
        <f>AND('Badge Ticket Formats'!#REF!,"AAAAAD9WtyM=")</f>
        <v>#REF!</v>
      </c>
      <c r="AK153" t="e">
        <f>AND('Badge Ticket Formats'!#REF!,"AAAAAD9WtyQ=")</f>
        <v>#REF!</v>
      </c>
      <c r="AL153" t="e">
        <f>AND('Badge Ticket Formats'!#REF!,"AAAAAD9WtyU=")</f>
        <v>#REF!</v>
      </c>
      <c r="AM153" t="e">
        <f>AND('Badge Ticket Formats'!#REF!,"AAAAAD9WtyY=")</f>
        <v>#REF!</v>
      </c>
      <c r="AN153" t="e">
        <f>AND('Badge Ticket Formats'!#REF!,"AAAAAD9Wtyc=")</f>
        <v>#REF!</v>
      </c>
      <c r="AO153" t="e">
        <f>AND('Badge Ticket Formats'!#REF!,"AAAAAD9Wtyg=")</f>
        <v>#REF!</v>
      </c>
      <c r="AP153" t="e">
        <f>AND('Badge Ticket Formats'!#REF!,"AAAAAD9Wtyk=")</f>
        <v>#REF!</v>
      </c>
      <c r="AQ153" t="e">
        <f>AND('Badge Ticket Formats'!#REF!,"AAAAAD9Wtyo=")</f>
        <v>#REF!</v>
      </c>
      <c r="AR153" t="e">
        <f>AND('Badge Ticket Formats'!#REF!,"AAAAAD9Wtys=")</f>
        <v>#REF!</v>
      </c>
      <c r="AS153" t="e">
        <f>AND('Badge Ticket Formats'!#REF!,"AAAAAD9Wtyw=")</f>
        <v>#REF!</v>
      </c>
      <c r="AT153" t="e">
        <f>AND('Badge Ticket Formats'!#REF!,"AAAAAD9Wty0=")</f>
        <v>#REF!</v>
      </c>
      <c r="AU153" t="e">
        <f>IF('Badge Ticket Formats'!#REF!,"AAAAAD9Wty4=",0)</f>
        <v>#REF!</v>
      </c>
      <c r="AV153" t="e">
        <f>AND('Badge Ticket Formats'!#REF!,"AAAAAD9Wty8=")</f>
        <v>#REF!</v>
      </c>
      <c r="AW153" t="e">
        <f>AND('Badge Ticket Formats'!#REF!,"AAAAAD9WtzA=")</f>
        <v>#REF!</v>
      </c>
      <c r="AX153" t="e">
        <f>AND('Badge Ticket Formats'!#REF!,"AAAAAD9WtzE=")</f>
        <v>#REF!</v>
      </c>
      <c r="AY153" t="e">
        <f>AND('Badge Ticket Formats'!#REF!,"AAAAAD9WtzI=")</f>
        <v>#REF!</v>
      </c>
      <c r="AZ153" t="e">
        <f>AND('Badge Ticket Formats'!#REF!,"AAAAAD9WtzM=")</f>
        <v>#REF!</v>
      </c>
      <c r="BA153" t="e">
        <f>AND('Badge Ticket Formats'!#REF!,"AAAAAD9WtzQ=")</f>
        <v>#REF!</v>
      </c>
      <c r="BB153" t="e">
        <f>AND('Badge Ticket Formats'!#REF!,"AAAAAD9WtzU=")</f>
        <v>#REF!</v>
      </c>
      <c r="BC153" t="e">
        <f>AND('Badge Ticket Formats'!#REF!,"AAAAAD9WtzY=")</f>
        <v>#REF!</v>
      </c>
      <c r="BD153" t="e">
        <f>AND('Badge Ticket Formats'!#REF!,"AAAAAD9Wtzc=")</f>
        <v>#REF!</v>
      </c>
      <c r="BE153" t="e">
        <f>AND('Badge Ticket Formats'!#REF!,"AAAAAD9Wtzg=")</f>
        <v>#REF!</v>
      </c>
      <c r="BF153" t="e">
        <f>AND('Badge Ticket Formats'!#REF!,"AAAAAD9Wtzk=")</f>
        <v>#REF!</v>
      </c>
      <c r="BG153" t="e">
        <f>AND('Badge Ticket Formats'!#REF!,"AAAAAD9Wtzo=")</f>
        <v>#REF!</v>
      </c>
      <c r="BH153" t="e">
        <f>AND('Badge Ticket Formats'!#REF!,"AAAAAD9Wtzs=")</f>
        <v>#REF!</v>
      </c>
      <c r="BI153" t="e">
        <f>IF('Badge Ticket Formats'!#REF!,"AAAAAD9Wtzw=",0)</f>
        <v>#REF!</v>
      </c>
      <c r="BJ153" t="e">
        <f>AND('Badge Ticket Formats'!#REF!,"AAAAAD9Wtz0=")</f>
        <v>#REF!</v>
      </c>
      <c r="BK153" t="e">
        <f>AND('Badge Ticket Formats'!#REF!,"AAAAAD9Wtz4=")</f>
        <v>#REF!</v>
      </c>
      <c r="BL153" t="e">
        <f>AND('Badge Ticket Formats'!#REF!,"AAAAAD9Wtz8=")</f>
        <v>#REF!</v>
      </c>
      <c r="BM153" t="e">
        <f>AND('Badge Ticket Formats'!#REF!,"AAAAAD9Wt0A=")</f>
        <v>#REF!</v>
      </c>
      <c r="BN153" t="e">
        <f>AND('Badge Ticket Formats'!#REF!,"AAAAAD9Wt0E=")</f>
        <v>#REF!</v>
      </c>
      <c r="BO153" t="e">
        <f>AND('Badge Ticket Formats'!#REF!,"AAAAAD9Wt0I=")</f>
        <v>#REF!</v>
      </c>
      <c r="BP153" t="e">
        <f>AND('Badge Ticket Formats'!#REF!,"AAAAAD9Wt0M=")</f>
        <v>#REF!</v>
      </c>
      <c r="BQ153" t="e">
        <f>AND('Badge Ticket Formats'!#REF!,"AAAAAD9Wt0Q=")</f>
        <v>#REF!</v>
      </c>
      <c r="BR153" t="e">
        <f>AND('Badge Ticket Formats'!#REF!,"AAAAAD9Wt0U=")</f>
        <v>#REF!</v>
      </c>
      <c r="BS153" t="e">
        <f>AND('Badge Ticket Formats'!#REF!,"AAAAAD9Wt0Y=")</f>
        <v>#REF!</v>
      </c>
      <c r="BT153" t="e">
        <f>AND('Badge Ticket Formats'!#REF!,"AAAAAD9Wt0c=")</f>
        <v>#REF!</v>
      </c>
      <c r="BU153" t="e">
        <f>AND('Badge Ticket Formats'!#REF!,"AAAAAD9Wt0g=")</f>
        <v>#REF!</v>
      </c>
      <c r="BV153" t="e">
        <f>AND('Badge Ticket Formats'!#REF!,"AAAAAD9Wt0k=")</f>
        <v>#REF!</v>
      </c>
      <c r="BW153" t="e">
        <f>IF('Badge Ticket Formats'!#REF!,"AAAAAD9Wt0o=",0)</f>
        <v>#REF!</v>
      </c>
      <c r="BX153" t="e">
        <f>AND('Badge Ticket Formats'!#REF!,"AAAAAD9Wt0s=")</f>
        <v>#REF!</v>
      </c>
      <c r="BY153" t="e">
        <f>AND('Badge Ticket Formats'!#REF!,"AAAAAD9Wt0w=")</f>
        <v>#REF!</v>
      </c>
      <c r="BZ153" t="e">
        <f>AND('Badge Ticket Formats'!#REF!,"AAAAAD9Wt00=")</f>
        <v>#REF!</v>
      </c>
      <c r="CA153" t="e">
        <f>AND('Badge Ticket Formats'!#REF!,"AAAAAD9Wt04=")</f>
        <v>#REF!</v>
      </c>
      <c r="CB153" t="e">
        <f>AND('Badge Ticket Formats'!#REF!,"AAAAAD9Wt08=")</f>
        <v>#REF!</v>
      </c>
      <c r="CC153" t="e">
        <f>AND('Badge Ticket Formats'!#REF!,"AAAAAD9Wt1A=")</f>
        <v>#REF!</v>
      </c>
      <c r="CD153" t="e">
        <f>AND('Badge Ticket Formats'!#REF!,"AAAAAD9Wt1E=")</f>
        <v>#REF!</v>
      </c>
      <c r="CE153" t="e">
        <f>AND('Badge Ticket Formats'!#REF!,"AAAAAD9Wt1I=")</f>
        <v>#REF!</v>
      </c>
      <c r="CF153" t="e">
        <f>AND('Badge Ticket Formats'!#REF!,"AAAAAD9Wt1M=")</f>
        <v>#REF!</v>
      </c>
      <c r="CG153" t="e">
        <f>AND('Badge Ticket Formats'!#REF!,"AAAAAD9Wt1Q=")</f>
        <v>#REF!</v>
      </c>
      <c r="CH153" t="e">
        <f>AND('Badge Ticket Formats'!#REF!,"AAAAAD9Wt1U=")</f>
        <v>#REF!</v>
      </c>
      <c r="CI153" t="e">
        <f>AND('Badge Ticket Formats'!#REF!,"AAAAAD9Wt1Y=")</f>
        <v>#REF!</v>
      </c>
      <c r="CJ153" t="e">
        <f>AND('Badge Ticket Formats'!#REF!,"AAAAAD9Wt1c=")</f>
        <v>#REF!</v>
      </c>
      <c r="CK153" t="e">
        <f>IF('Badge Ticket Formats'!#REF!,"AAAAAD9Wt1g=",0)</f>
        <v>#REF!</v>
      </c>
      <c r="CL153" t="e">
        <f>AND('Badge Ticket Formats'!#REF!,"AAAAAD9Wt1k=")</f>
        <v>#REF!</v>
      </c>
      <c r="CM153" t="e">
        <f>AND('Badge Ticket Formats'!#REF!,"AAAAAD9Wt1o=")</f>
        <v>#REF!</v>
      </c>
      <c r="CN153" t="e">
        <f>AND('Badge Ticket Formats'!#REF!,"AAAAAD9Wt1s=")</f>
        <v>#REF!</v>
      </c>
      <c r="CO153" t="e">
        <f>AND('Badge Ticket Formats'!#REF!,"AAAAAD9Wt1w=")</f>
        <v>#REF!</v>
      </c>
      <c r="CP153" t="e">
        <f>AND('Badge Ticket Formats'!#REF!,"AAAAAD9Wt10=")</f>
        <v>#REF!</v>
      </c>
      <c r="CQ153" t="e">
        <f>AND('Badge Ticket Formats'!#REF!,"AAAAAD9Wt14=")</f>
        <v>#REF!</v>
      </c>
      <c r="CR153" t="e">
        <f>AND('Badge Ticket Formats'!#REF!,"AAAAAD9Wt18=")</f>
        <v>#REF!</v>
      </c>
      <c r="CS153" t="e">
        <f>AND('Badge Ticket Formats'!#REF!,"AAAAAD9Wt2A=")</f>
        <v>#REF!</v>
      </c>
      <c r="CT153" t="e">
        <f>AND('Badge Ticket Formats'!#REF!,"AAAAAD9Wt2E=")</f>
        <v>#REF!</v>
      </c>
      <c r="CU153" t="e">
        <f>AND('Badge Ticket Formats'!#REF!,"AAAAAD9Wt2I=")</f>
        <v>#REF!</v>
      </c>
      <c r="CV153" t="e">
        <f>AND('Badge Ticket Formats'!#REF!,"AAAAAD9Wt2M=")</f>
        <v>#REF!</v>
      </c>
      <c r="CW153" t="e">
        <f>AND('Badge Ticket Formats'!#REF!,"AAAAAD9Wt2Q=")</f>
        <v>#REF!</v>
      </c>
      <c r="CX153" t="e">
        <f>AND('Badge Ticket Formats'!#REF!,"AAAAAD9Wt2U=")</f>
        <v>#REF!</v>
      </c>
      <c r="CY153" t="e">
        <f>IF('Badge Ticket Formats'!#REF!,"AAAAAD9Wt2Y=",0)</f>
        <v>#REF!</v>
      </c>
      <c r="CZ153" t="e">
        <f>AND('Badge Ticket Formats'!#REF!,"AAAAAD9Wt2c=")</f>
        <v>#REF!</v>
      </c>
      <c r="DA153" t="e">
        <f>AND('Badge Ticket Formats'!#REF!,"AAAAAD9Wt2g=")</f>
        <v>#REF!</v>
      </c>
      <c r="DB153" t="e">
        <f>AND('Badge Ticket Formats'!#REF!,"AAAAAD9Wt2k=")</f>
        <v>#REF!</v>
      </c>
      <c r="DC153" t="e">
        <f>AND('Badge Ticket Formats'!#REF!,"AAAAAD9Wt2o=")</f>
        <v>#REF!</v>
      </c>
      <c r="DD153" t="e">
        <f>AND('Badge Ticket Formats'!#REF!,"AAAAAD9Wt2s=")</f>
        <v>#REF!</v>
      </c>
      <c r="DE153" t="e">
        <f>AND('Badge Ticket Formats'!#REF!,"AAAAAD9Wt2w=")</f>
        <v>#REF!</v>
      </c>
      <c r="DF153" t="e">
        <f>AND('Badge Ticket Formats'!#REF!,"AAAAAD9Wt20=")</f>
        <v>#REF!</v>
      </c>
      <c r="DG153" t="e">
        <f>AND('Badge Ticket Formats'!#REF!,"AAAAAD9Wt24=")</f>
        <v>#REF!</v>
      </c>
      <c r="DH153" t="e">
        <f>AND('Badge Ticket Formats'!#REF!,"AAAAAD9Wt28=")</f>
        <v>#REF!</v>
      </c>
      <c r="DI153" t="e">
        <f>AND('Badge Ticket Formats'!#REF!,"AAAAAD9Wt3A=")</f>
        <v>#REF!</v>
      </c>
      <c r="DJ153" t="e">
        <f>AND('Badge Ticket Formats'!#REF!,"AAAAAD9Wt3E=")</f>
        <v>#REF!</v>
      </c>
      <c r="DK153" t="e">
        <f>AND('Badge Ticket Formats'!#REF!,"AAAAAD9Wt3I=")</f>
        <v>#REF!</v>
      </c>
      <c r="DL153" t="e">
        <f>AND('Badge Ticket Formats'!#REF!,"AAAAAD9Wt3M=")</f>
        <v>#REF!</v>
      </c>
      <c r="DM153" t="e">
        <f>IF('Badge Ticket Formats'!#REF!,"AAAAAD9Wt3Q=",0)</f>
        <v>#REF!</v>
      </c>
      <c r="DN153" t="e">
        <f>AND('Badge Ticket Formats'!#REF!,"AAAAAD9Wt3U=")</f>
        <v>#REF!</v>
      </c>
      <c r="DO153" t="e">
        <f>AND('Badge Ticket Formats'!#REF!,"AAAAAD9Wt3Y=")</f>
        <v>#REF!</v>
      </c>
      <c r="DP153" t="e">
        <f>AND('Badge Ticket Formats'!#REF!,"AAAAAD9Wt3c=")</f>
        <v>#REF!</v>
      </c>
      <c r="DQ153" t="e">
        <f>AND('Badge Ticket Formats'!#REF!,"AAAAAD9Wt3g=")</f>
        <v>#REF!</v>
      </c>
      <c r="DR153" t="e">
        <f>AND('Badge Ticket Formats'!#REF!,"AAAAAD9Wt3k=")</f>
        <v>#REF!</v>
      </c>
      <c r="DS153" t="e">
        <f>AND('Badge Ticket Formats'!#REF!,"AAAAAD9Wt3o=")</f>
        <v>#REF!</v>
      </c>
      <c r="DT153" t="e">
        <f>AND('Badge Ticket Formats'!#REF!,"AAAAAD9Wt3s=")</f>
        <v>#REF!</v>
      </c>
      <c r="DU153" t="e">
        <f>AND('Badge Ticket Formats'!#REF!,"AAAAAD9Wt3w=")</f>
        <v>#REF!</v>
      </c>
      <c r="DV153" t="e">
        <f>AND('Badge Ticket Formats'!#REF!,"AAAAAD9Wt30=")</f>
        <v>#REF!</v>
      </c>
      <c r="DW153" t="e">
        <f>AND('Badge Ticket Formats'!#REF!,"AAAAAD9Wt34=")</f>
        <v>#REF!</v>
      </c>
      <c r="DX153" t="e">
        <f>AND('Badge Ticket Formats'!#REF!,"AAAAAD9Wt38=")</f>
        <v>#REF!</v>
      </c>
      <c r="DY153" t="e">
        <f>AND('Badge Ticket Formats'!#REF!,"AAAAAD9Wt4A=")</f>
        <v>#REF!</v>
      </c>
      <c r="DZ153" t="e">
        <f>AND('Badge Ticket Formats'!#REF!,"AAAAAD9Wt4E=")</f>
        <v>#REF!</v>
      </c>
      <c r="EA153" t="e">
        <f>IF('Badge Ticket Formats'!#REF!,"AAAAAD9Wt4I=",0)</f>
        <v>#REF!</v>
      </c>
      <c r="EB153" t="e">
        <f>AND('Badge Ticket Formats'!#REF!,"AAAAAD9Wt4M=")</f>
        <v>#REF!</v>
      </c>
      <c r="EC153" t="e">
        <f>AND('Badge Ticket Formats'!#REF!,"AAAAAD9Wt4Q=")</f>
        <v>#REF!</v>
      </c>
      <c r="ED153" t="e">
        <f>AND('Badge Ticket Formats'!#REF!,"AAAAAD9Wt4U=")</f>
        <v>#REF!</v>
      </c>
      <c r="EE153" t="e">
        <f>AND('Badge Ticket Formats'!#REF!,"AAAAAD9Wt4Y=")</f>
        <v>#REF!</v>
      </c>
      <c r="EF153" t="e">
        <f>AND('Badge Ticket Formats'!#REF!,"AAAAAD9Wt4c=")</f>
        <v>#REF!</v>
      </c>
      <c r="EG153" t="e">
        <f>AND('Badge Ticket Formats'!#REF!,"AAAAAD9Wt4g=")</f>
        <v>#REF!</v>
      </c>
      <c r="EH153" t="e">
        <f>AND('Badge Ticket Formats'!#REF!,"AAAAAD9Wt4k=")</f>
        <v>#REF!</v>
      </c>
      <c r="EI153" t="e">
        <f>AND('Badge Ticket Formats'!#REF!,"AAAAAD9Wt4o=")</f>
        <v>#REF!</v>
      </c>
      <c r="EJ153" t="e">
        <f>AND('Badge Ticket Formats'!#REF!,"AAAAAD9Wt4s=")</f>
        <v>#REF!</v>
      </c>
      <c r="EK153" t="e">
        <f>AND('Badge Ticket Formats'!#REF!,"AAAAAD9Wt4w=")</f>
        <v>#REF!</v>
      </c>
      <c r="EL153" t="e">
        <f>AND('Badge Ticket Formats'!#REF!,"AAAAAD9Wt40=")</f>
        <v>#REF!</v>
      </c>
      <c r="EM153" t="e">
        <f>AND('Badge Ticket Formats'!#REF!,"AAAAAD9Wt44=")</f>
        <v>#REF!</v>
      </c>
      <c r="EN153" t="e">
        <f>AND('Badge Ticket Formats'!#REF!,"AAAAAD9Wt48=")</f>
        <v>#REF!</v>
      </c>
      <c r="EO153" t="e">
        <f>IF('Badge Ticket Formats'!#REF!,"AAAAAD9Wt5A=",0)</f>
        <v>#REF!</v>
      </c>
      <c r="EP153" t="e">
        <f>AND('Badge Ticket Formats'!#REF!,"AAAAAD9Wt5E=")</f>
        <v>#REF!</v>
      </c>
      <c r="EQ153" t="e">
        <f>AND('Badge Ticket Formats'!#REF!,"AAAAAD9Wt5I=")</f>
        <v>#REF!</v>
      </c>
      <c r="ER153" t="e">
        <f>AND('Badge Ticket Formats'!#REF!,"AAAAAD9Wt5M=")</f>
        <v>#REF!</v>
      </c>
      <c r="ES153" t="e">
        <f>AND('Badge Ticket Formats'!#REF!,"AAAAAD9Wt5Q=")</f>
        <v>#REF!</v>
      </c>
      <c r="ET153" t="e">
        <f>AND('Badge Ticket Formats'!#REF!,"AAAAAD9Wt5U=")</f>
        <v>#REF!</v>
      </c>
      <c r="EU153" t="e">
        <f>AND('Badge Ticket Formats'!#REF!,"AAAAAD9Wt5Y=")</f>
        <v>#REF!</v>
      </c>
      <c r="EV153" t="e">
        <f>AND('Badge Ticket Formats'!#REF!,"AAAAAD9Wt5c=")</f>
        <v>#REF!</v>
      </c>
      <c r="EW153" t="e">
        <f>AND('Badge Ticket Formats'!#REF!,"AAAAAD9Wt5g=")</f>
        <v>#REF!</v>
      </c>
      <c r="EX153" t="e">
        <f>AND('Badge Ticket Formats'!#REF!,"AAAAAD9Wt5k=")</f>
        <v>#REF!</v>
      </c>
      <c r="EY153" t="e">
        <f>AND('Badge Ticket Formats'!#REF!,"AAAAAD9Wt5o=")</f>
        <v>#REF!</v>
      </c>
      <c r="EZ153" t="e">
        <f>AND('Badge Ticket Formats'!#REF!,"AAAAAD9Wt5s=")</f>
        <v>#REF!</v>
      </c>
      <c r="FA153" t="e">
        <f>AND('Badge Ticket Formats'!#REF!,"AAAAAD9Wt5w=")</f>
        <v>#REF!</v>
      </c>
      <c r="FB153" t="e">
        <f>AND('Badge Ticket Formats'!#REF!,"AAAAAD9Wt50=")</f>
        <v>#REF!</v>
      </c>
      <c r="FC153" t="e">
        <f>IF('Badge Ticket Formats'!#REF!,"AAAAAD9Wt54=",0)</f>
        <v>#REF!</v>
      </c>
      <c r="FD153" t="e">
        <f>AND('Badge Ticket Formats'!#REF!,"AAAAAD9Wt58=")</f>
        <v>#REF!</v>
      </c>
      <c r="FE153" t="e">
        <f>AND('Badge Ticket Formats'!#REF!,"AAAAAD9Wt6A=")</f>
        <v>#REF!</v>
      </c>
      <c r="FF153" t="e">
        <f>AND('Badge Ticket Formats'!#REF!,"AAAAAD9Wt6E=")</f>
        <v>#REF!</v>
      </c>
      <c r="FG153" t="e">
        <f>AND('Badge Ticket Formats'!#REF!,"AAAAAD9Wt6I=")</f>
        <v>#REF!</v>
      </c>
      <c r="FH153" t="e">
        <f>AND('Badge Ticket Formats'!#REF!,"AAAAAD9Wt6M=")</f>
        <v>#REF!</v>
      </c>
      <c r="FI153" t="e">
        <f>AND('Badge Ticket Formats'!#REF!,"AAAAAD9Wt6Q=")</f>
        <v>#REF!</v>
      </c>
      <c r="FJ153" t="e">
        <f>AND('Badge Ticket Formats'!#REF!,"AAAAAD9Wt6U=")</f>
        <v>#REF!</v>
      </c>
      <c r="FK153" t="e">
        <f>AND('Badge Ticket Formats'!#REF!,"AAAAAD9Wt6Y=")</f>
        <v>#REF!</v>
      </c>
      <c r="FL153" t="e">
        <f>AND('Badge Ticket Formats'!#REF!,"AAAAAD9Wt6c=")</f>
        <v>#REF!</v>
      </c>
      <c r="FM153" t="e">
        <f>AND('Badge Ticket Formats'!#REF!,"AAAAAD9Wt6g=")</f>
        <v>#REF!</v>
      </c>
      <c r="FN153" t="e">
        <f>AND('Badge Ticket Formats'!#REF!,"AAAAAD9Wt6k=")</f>
        <v>#REF!</v>
      </c>
      <c r="FO153" t="e">
        <f>AND('Badge Ticket Formats'!#REF!,"AAAAAD9Wt6o=")</f>
        <v>#REF!</v>
      </c>
      <c r="FP153" t="e">
        <f>AND('Badge Ticket Formats'!#REF!,"AAAAAD9Wt6s=")</f>
        <v>#REF!</v>
      </c>
      <c r="FQ153" t="e">
        <f>IF('Badge Ticket Formats'!#REF!,"AAAAAD9Wt6w=",0)</f>
        <v>#REF!</v>
      </c>
      <c r="FR153" t="e">
        <f>AND('Badge Ticket Formats'!#REF!,"AAAAAD9Wt60=")</f>
        <v>#REF!</v>
      </c>
      <c r="FS153" t="e">
        <f>AND('Badge Ticket Formats'!#REF!,"AAAAAD9Wt64=")</f>
        <v>#REF!</v>
      </c>
      <c r="FT153" t="e">
        <f>AND('Badge Ticket Formats'!#REF!,"AAAAAD9Wt68=")</f>
        <v>#REF!</v>
      </c>
      <c r="FU153" t="e">
        <f>AND('Badge Ticket Formats'!#REF!,"AAAAAD9Wt7A=")</f>
        <v>#REF!</v>
      </c>
      <c r="FV153" t="e">
        <f>AND('Badge Ticket Formats'!#REF!,"AAAAAD9Wt7E=")</f>
        <v>#REF!</v>
      </c>
      <c r="FW153" t="e">
        <f>AND('Badge Ticket Formats'!#REF!,"AAAAAD9Wt7I=")</f>
        <v>#REF!</v>
      </c>
      <c r="FX153" t="e">
        <f>AND('Badge Ticket Formats'!#REF!,"AAAAAD9Wt7M=")</f>
        <v>#REF!</v>
      </c>
      <c r="FY153" t="e">
        <f>AND('Badge Ticket Formats'!#REF!,"AAAAAD9Wt7Q=")</f>
        <v>#REF!</v>
      </c>
      <c r="FZ153" t="e">
        <f>AND('Badge Ticket Formats'!#REF!,"AAAAAD9Wt7U=")</f>
        <v>#REF!</v>
      </c>
      <c r="GA153" t="e">
        <f>AND('Badge Ticket Formats'!#REF!,"AAAAAD9Wt7Y=")</f>
        <v>#REF!</v>
      </c>
      <c r="GB153" t="e">
        <f>AND('Badge Ticket Formats'!#REF!,"AAAAAD9Wt7c=")</f>
        <v>#REF!</v>
      </c>
      <c r="GC153" t="e">
        <f>AND('Badge Ticket Formats'!#REF!,"AAAAAD9Wt7g=")</f>
        <v>#REF!</v>
      </c>
      <c r="GD153" t="e">
        <f>AND('Badge Ticket Formats'!#REF!,"AAAAAD9Wt7k=")</f>
        <v>#REF!</v>
      </c>
      <c r="GE153" t="e">
        <f>IF('Badge Ticket Formats'!#REF!,"AAAAAD9Wt7o=",0)</f>
        <v>#REF!</v>
      </c>
      <c r="GF153" t="e">
        <f>AND('Badge Ticket Formats'!#REF!,"AAAAAD9Wt7s=")</f>
        <v>#REF!</v>
      </c>
      <c r="GG153" t="e">
        <f>AND('Badge Ticket Formats'!#REF!,"AAAAAD9Wt7w=")</f>
        <v>#REF!</v>
      </c>
      <c r="GH153" t="e">
        <f>AND('Badge Ticket Formats'!#REF!,"AAAAAD9Wt70=")</f>
        <v>#REF!</v>
      </c>
      <c r="GI153" t="e">
        <f>AND('Badge Ticket Formats'!#REF!,"AAAAAD9Wt74=")</f>
        <v>#REF!</v>
      </c>
      <c r="GJ153" t="e">
        <f>AND('Badge Ticket Formats'!#REF!,"AAAAAD9Wt78=")</f>
        <v>#REF!</v>
      </c>
      <c r="GK153" t="e">
        <f>AND('Badge Ticket Formats'!#REF!,"AAAAAD9Wt8A=")</f>
        <v>#REF!</v>
      </c>
      <c r="GL153" t="e">
        <f>AND('Badge Ticket Formats'!#REF!,"AAAAAD9Wt8E=")</f>
        <v>#REF!</v>
      </c>
      <c r="GM153" t="e">
        <f>AND('Badge Ticket Formats'!#REF!,"AAAAAD9Wt8I=")</f>
        <v>#REF!</v>
      </c>
      <c r="GN153" t="e">
        <f>AND('Badge Ticket Formats'!#REF!,"AAAAAD9Wt8M=")</f>
        <v>#REF!</v>
      </c>
      <c r="GO153" t="e">
        <f>AND('Badge Ticket Formats'!#REF!,"AAAAAD9Wt8Q=")</f>
        <v>#REF!</v>
      </c>
      <c r="GP153" t="e">
        <f>AND('Badge Ticket Formats'!#REF!,"AAAAAD9Wt8U=")</f>
        <v>#REF!</v>
      </c>
      <c r="GQ153" t="e">
        <f>AND('Badge Ticket Formats'!#REF!,"AAAAAD9Wt8Y=")</f>
        <v>#REF!</v>
      </c>
      <c r="GR153" t="e">
        <f>AND('Badge Ticket Formats'!#REF!,"AAAAAD9Wt8c=")</f>
        <v>#REF!</v>
      </c>
      <c r="GS153" t="e">
        <f>IF('Badge Ticket Formats'!#REF!,"AAAAAD9Wt8g=",0)</f>
        <v>#REF!</v>
      </c>
      <c r="GT153" t="e">
        <f>AND('Badge Ticket Formats'!#REF!,"AAAAAD9Wt8k=")</f>
        <v>#REF!</v>
      </c>
      <c r="GU153" t="e">
        <f>AND('Badge Ticket Formats'!#REF!,"AAAAAD9Wt8o=")</f>
        <v>#REF!</v>
      </c>
      <c r="GV153" t="e">
        <f>AND('Badge Ticket Formats'!#REF!,"AAAAAD9Wt8s=")</f>
        <v>#REF!</v>
      </c>
      <c r="GW153" t="e">
        <f>AND('Badge Ticket Formats'!#REF!,"AAAAAD9Wt8w=")</f>
        <v>#REF!</v>
      </c>
      <c r="GX153" t="e">
        <f>AND('Badge Ticket Formats'!#REF!,"AAAAAD9Wt80=")</f>
        <v>#REF!</v>
      </c>
      <c r="GY153" t="e">
        <f>AND('Badge Ticket Formats'!#REF!,"AAAAAD9Wt84=")</f>
        <v>#REF!</v>
      </c>
      <c r="GZ153" t="e">
        <f>AND('Badge Ticket Formats'!#REF!,"AAAAAD9Wt88=")</f>
        <v>#REF!</v>
      </c>
      <c r="HA153" t="e">
        <f>AND('Badge Ticket Formats'!#REF!,"AAAAAD9Wt9A=")</f>
        <v>#REF!</v>
      </c>
      <c r="HB153" t="e">
        <f>AND('Badge Ticket Formats'!#REF!,"AAAAAD9Wt9E=")</f>
        <v>#REF!</v>
      </c>
      <c r="HC153" t="e">
        <f>AND('Badge Ticket Formats'!#REF!,"AAAAAD9Wt9I=")</f>
        <v>#REF!</v>
      </c>
      <c r="HD153" t="e">
        <f>AND('Badge Ticket Formats'!#REF!,"AAAAAD9Wt9M=")</f>
        <v>#REF!</v>
      </c>
      <c r="HE153" t="e">
        <f>AND('Badge Ticket Formats'!#REF!,"AAAAAD9Wt9Q=")</f>
        <v>#REF!</v>
      </c>
      <c r="HF153" t="e">
        <f>AND('Badge Ticket Formats'!#REF!,"AAAAAD9Wt9U=")</f>
        <v>#REF!</v>
      </c>
      <c r="HG153" t="e">
        <f>IF('Badge Ticket Formats'!#REF!,"AAAAAD9Wt9Y=",0)</f>
        <v>#REF!</v>
      </c>
      <c r="HH153" t="e">
        <f>AND('Badge Ticket Formats'!#REF!,"AAAAAD9Wt9c=")</f>
        <v>#REF!</v>
      </c>
      <c r="HI153" t="e">
        <f>AND('Badge Ticket Formats'!#REF!,"AAAAAD9Wt9g=")</f>
        <v>#REF!</v>
      </c>
      <c r="HJ153" t="e">
        <f>AND('Badge Ticket Formats'!#REF!,"AAAAAD9Wt9k=")</f>
        <v>#REF!</v>
      </c>
      <c r="HK153" t="e">
        <f>AND('Badge Ticket Formats'!#REF!,"AAAAAD9Wt9o=")</f>
        <v>#REF!</v>
      </c>
      <c r="HL153" t="e">
        <f>AND('Badge Ticket Formats'!#REF!,"AAAAAD9Wt9s=")</f>
        <v>#REF!</v>
      </c>
      <c r="HM153" t="e">
        <f>AND('Badge Ticket Formats'!#REF!,"AAAAAD9Wt9w=")</f>
        <v>#REF!</v>
      </c>
      <c r="HN153" t="e">
        <f>AND('Badge Ticket Formats'!#REF!,"AAAAAD9Wt90=")</f>
        <v>#REF!</v>
      </c>
      <c r="HO153" t="e">
        <f>AND('Badge Ticket Formats'!#REF!,"AAAAAD9Wt94=")</f>
        <v>#REF!</v>
      </c>
      <c r="HP153" t="e">
        <f>AND('Badge Ticket Formats'!#REF!,"AAAAAD9Wt98=")</f>
        <v>#REF!</v>
      </c>
      <c r="HQ153" t="e">
        <f>AND('Badge Ticket Formats'!#REF!,"AAAAAD9Wt+A=")</f>
        <v>#REF!</v>
      </c>
      <c r="HR153" t="e">
        <f>AND('Badge Ticket Formats'!#REF!,"AAAAAD9Wt+E=")</f>
        <v>#REF!</v>
      </c>
      <c r="HS153" t="e">
        <f>AND('Badge Ticket Formats'!#REF!,"AAAAAD9Wt+I=")</f>
        <v>#REF!</v>
      </c>
      <c r="HT153" t="e">
        <f>AND('Badge Ticket Formats'!#REF!,"AAAAAD9Wt+M=")</f>
        <v>#REF!</v>
      </c>
      <c r="HU153" t="e">
        <f>IF('Badge Ticket Formats'!#REF!,"AAAAAD9Wt+Q=",0)</f>
        <v>#REF!</v>
      </c>
      <c r="HV153" t="e">
        <f>AND('Badge Ticket Formats'!#REF!,"AAAAAD9Wt+U=")</f>
        <v>#REF!</v>
      </c>
      <c r="HW153" t="e">
        <f>AND('Badge Ticket Formats'!#REF!,"AAAAAD9Wt+Y=")</f>
        <v>#REF!</v>
      </c>
      <c r="HX153" t="e">
        <f>AND('Badge Ticket Formats'!#REF!,"AAAAAD9Wt+c=")</f>
        <v>#REF!</v>
      </c>
      <c r="HY153" t="e">
        <f>AND('Badge Ticket Formats'!#REF!,"AAAAAD9Wt+g=")</f>
        <v>#REF!</v>
      </c>
      <c r="HZ153" t="e">
        <f>AND('Badge Ticket Formats'!#REF!,"AAAAAD9Wt+k=")</f>
        <v>#REF!</v>
      </c>
      <c r="IA153" t="e">
        <f>AND('Badge Ticket Formats'!#REF!,"AAAAAD9Wt+o=")</f>
        <v>#REF!</v>
      </c>
      <c r="IB153" t="e">
        <f>AND('Badge Ticket Formats'!#REF!,"AAAAAD9Wt+s=")</f>
        <v>#REF!</v>
      </c>
      <c r="IC153" t="e">
        <f>AND('Badge Ticket Formats'!#REF!,"AAAAAD9Wt+w=")</f>
        <v>#REF!</v>
      </c>
      <c r="ID153" t="e">
        <f>AND('Badge Ticket Formats'!#REF!,"AAAAAD9Wt+0=")</f>
        <v>#REF!</v>
      </c>
      <c r="IE153" t="e">
        <f>AND('Badge Ticket Formats'!#REF!,"AAAAAD9Wt+4=")</f>
        <v>#REF!</v>
      </c>
      <c r="IF153" t="e">
        <f>AND('Badge Ticket Formats'!#REF!,"AAAAAD9Wt+8=")</f>
        <v>#REF!</v>
      </c>
      <c r="IG153" t="e">
        <f>AND('Badge Ticket Formats'!#REF!,"AAAAAD9Wt/A=")</f>
        <v>#REF!</v>
      </c>
      <c r="IH153" t="e">
        <f>AND('Badge Ticket Formats'!#REF!,"AAAAAD9Wt/E=")</f>
        <v>#REF!</v>
      </c>
      <c r="II153" t="e">
        <f>IF('Badge Ticket Formats'!#REF!,"AAAAAD9Wt/I=",0)</f>
        <v>#REF!</v>
      </c>
      <c r="IJ153" t="e">
        <f>AND('Badge Ticket Formats'!#REF!,"AAAAAD9Wt/M=")</f>
        <v>#REF!</v>
      </c>
      <c r="IK153" t="e">
        <f>AND('Badge Ticket Formats'!#REF!,"AAAAAD9Wt/Q=")</f>
        <v>#REF!</v>
      </c>
      <c r="IL153" t="e">
        <f>AND('Badge Ticket Formats'!#REF!,"AAAAAD9Wt/U=")</f>
        <v>#REF!</v>
      </c>
      <c r="IM153" t="e">
        <f>AND('Badge Ticket Formats'!#REF!,"AAAAAD9Wt/Y=")</f>
        <v>#REF!</v>
      </c>
      <c r="IN153" t="e">
        <f>AND('Badge Ticket Formats'!#REF!,"AAAAAD9Wt/c=")</f>
        <v>#REF!</v>
      </c>
      <c r="IO153" t="e">
        <f>AND('Badge Ticket Formats'!#REF!,"AAAAAD9Wt/g=")</f>
        <v>#REF!</v>
      </c>
      <c r="IP153" t="e">
        <f>AND('Badge Ticket Formats'!#REF!,"AAAAAD9Wt/k=")</f>
        <v>#REF!</v>
      </c>
      <c r="IQ153" t="e">
        <f>AND('Badge Ticket Formats'!#REF!,"AAAAAD9Wt/o=")</f>
        <v>#REF!</v>
      </c>
      <c r="IR153" t="e">
        <f>AND('Badge Ticket Formats'!#REF!,"AAAAAD9Wt/s=")</f>
        <v>#REF!</v>
      </c>
      <c r="IS153" t="e">
        <f>AND('Badge Ticket Formats'!#REF!,"AAAAAD9Wt/w=")</f>
        <v>#REF!</v>
      </c>
      <c r="IT153" t="e">
        <f>AND('Badge Ticket Formats'!#REF!,"AAAAAD9Wt/0=")</f>
        <v>#REF!</v>
      </c>
      <c r="IU153" t="e">
        <f>AND('Badge Ticket Formats'!#REF!,"AAAAAD9Wt/4=")</f>
        <v>#REF!</v>
      </c>
      <c r="IV153" t="e">
        <f>AND('Badge Ticket Formats'!#REF!,"AAAAAD9Wt/8=")</f>
        <v>#REF!</v>
      </c>
    </row>
    <row r="154" spans="1:256" x14ac:dyDescent="0.2">
      <c r="A154" t="e">
        <f>IF('Badge Ticket Formats'!#REF!,"AAAAAF/v8wA=",0)</f>
        <v>#REF!</v>
      </c>
      <c r="B154" t="e">
        <f>AND('Badge Ticket Formats'!#REF!,"AAAAAF/v8wE=")</f>
        <v>#REF!</v>
      </c>
      <c r="C154" t="e">
        <f>AND('Badge Ticket Formats'!#REF!,"AAAAAF/v8wI=")</f>
        <v>#REF!</v>
      </c>
      <c r="D154" t="e">
        <f>AND('Badge Ticket Formats'!#REF!,"AAAAAF/v8wM=")</f>
        <v>#REF!</v>
      </c>
      <c r="E154" t="e">
        <f>AND('Badge Ticket Formats'!#REF!,"AAAAAF/v8wQ=")</f>
        <v>#REF!</v>
      </c>
      <c r="F154" t="e">
        <f>AND('Badge Ticket Formats'!#REF!,"AAAAAF/v8wU=")</f>
        <v>#REF!</v>
      </c>
      <c r="G154" t="e">
        <f>AND('Badge Ticket Formats'!#REF!,"AAAAAF/v8wY=")</f>
        <v>#REF!</v>
      </c>
      <c r="H154" t="e">
        <f>AND('Badge Ticket Formats'!#REF!,"AAAAAF/v8wc=")</f>
        <v>#REF!</v>
      </c>
      <c r="I154" t="e">
        <f>AND('Badge Ticket Formats'!#REF!,"AAAAAF/v8wg=")</f>
        <v>#REF!</v>
      </c>
      <c r="J154" t="e">
        <f>AND('Badge Ticket Formats'!#REF!,"AAAAAF/v8wk=")</f>
        <v>#REF!</v>
      </c>
      <c r="K154" t="e">
        <f>AND('Badge Ticket Formats'!#REF!,"AAAAAF/v8wo=")</f>
        <v>#REF!</v>
      </c>
      <c r="L154" t="e">
        <f>AND('Badge Ticket Formats'!#REF!,"AAAAAF/v8ws=")</f>
        <v>#REF!</v>
      </c>
      <c r="M154" t="e">
        <f>AND('Badge Ticket Formats'!#REF!,"AAAAAF/v8ww=")</f>
        <v>#REF!</v>
      </c>
      <c r="N154" t="e">
        <f>AND('Badge Ticket Formats'!#REF!,"AAAAAF/v8w0=")</f>
        <v>#REF!</v>
      </c>
      <c r="O154" t="e">
        <f>IF('Badge Ticket Formats'!#REF!,"AAAAAF/v8w4=",0)</f>
        <v>#REF!</v>
      </c>
      <c r="P154" t="e">
        <f>AND('Badge Ticket Formats'!#REF!,"AAAAAF/v8w8=")</f>
        <v>#REF!</v>
      </c>
      <c r="Q154" t="e">
        <f>AND('Badge Ticket Formats'!#REF!,"AAAAAF/v8xA=")</f>
        <v>#REF!</v>
      </c>
      <c r="R154" t="e">
        <f>AND('Badge Ticket Formats'!#REF!,"AAAAAF/v8xE=")</f>
        <v>#REF!</v>
      </c>
      <c r="S154" t="e">
        <f>AND('Badge Ticket Formats'!#REF!,"AAAAAF/v8xI=")</f>
        <v>#REF!</v>
      </c>
      <c r="T154" t="e">
        <f>AND('Badge Ticket Formats'!#REF!,"AAAAAF/v8xM=")</f>
        <v>#REF!</v>
      </c>
      <c r="U154" t="e">
        <f>AND('Badge Ticket Formats'!#REF!,"AAAAAF/v8xQ=")</f>
        <v>#REF!</v>
      </c>
      <c r="V154" t="e">
        <f>AND('Badge Ticket Formats'!#REF!,"AAAAAF/v8xU=")</f>
        <v>#REF!</v>
      </c>
      <c r="W154" t="e">
        <f>AND('Badge Ticket Formats'!#REF!,"AAAAAF/v8xY=")</f>
        <v>#REF!</v>
      </c>
      <c r="X154" t="e">
        <f>AND('Badge Ticket Formats'!#REF!,"AAAAAF/v8xc=")</f>
        <v>#REF!</v>
      </c>
      <c r="Y154" t="e">
        <f>AND('Badge Ticket Formats'!#REF!,"AAAAAF/v8xg=")</f>
        <v>#REF!</v>
      </c>
      <c r="Z154" t="e">
        <f>AND('Badge Ticket Formats'!#REF!,"AAAAAF/v8xk=")</f>
        <v>#REF!</v>
      </c>
      <c r="AA154" t="e">
        <f>AND('Badge Ticket Formats'!#REF!,"AAAAAF/v8xo=")</f>
        <v>#REF!</v>
      </c>
      <c r="AB154" t="e">
        <f>AND('Badge Ticket Formats'!#REF!,"AAAAAF/v8xs=")</f>
        <v>#REF!</v>
      </c>
      <c r="AC154" t="e">
        <f>IF('Badge Ticket Formats'!#REF!,"AAAAAF/v8xw=",0)</f>
        <v>#REF!</v>
      </c>
      <c r="AD154" t="e">
        <f>AND('Badge Ticket Formats'!#REF!,"AAAAAF/v8x0=")</f>
        <v>#REF!</v>
      </c>
      <c r="AE154" t="e">
        <f>AND('Badge Ticket Formats'!#REF!,"AAAAAF/v8x4=")</f>
        <v>#REF!</v>
      </c>
      <c r="AF154" t="e">
        <f>AND('Badge Ticket Formats'!#REF!,"AAAAAF/v8x8=")</f>
        <v>#REF!</v>
      </c>
      <c r="AG154" t="e">
        <f>AND('Badge Ticket Formats'!#REF!,"AAAAAF/v8yA=")</f>
        <v>#REF!</v>
      </c>
      <c r="AH154" t="e">
        <f>AND('Badge Ticket Formats'!#REF!,"AAAAAF/v8yE=")</f>
        <v>#REF!</v>
      </c>
      <c r="AI154" t="e">
        <f>AND('Badge Ticket Formats'!#REF!,"AAAAAF/v8yI=")</f>
        <v>#REF!</v>
      </c>
      <c r="AJ154" t="e">
        <f>AND('Badge Ticket Formats'!#REF!,"AAAAAF/v8yM=")</f>
        <v>#REF!</v>
      </c>
      <c r="AK154" t="e">
        <f>AND('Badge Ticket Formats'!#REF!,"AAAAAF/v8yQ=")</f>
        <v>#REF!</v>
      </c>
      <c r="AL154" t="e">
        <f>AND('Badge Ticket Formats'!#REF!,"AAAAAF/v8yU=")</f>
        <v>#REF!</v>
      </c>
      <c r="AM154" t="e">
        <f>AND('Badge Ticket Formats'!#REF!,"AAAAAF/v8yY=")</f>
        <v>#REF!</v>
      </c>
      <c r="AN154" t="e">
        <f>AND('Badge Ticket Formats'!#REF!,"AAAAAF/v8yc=")</f>
        <v>#REF!</v>
      </c>
      <c r="AO154" t="e">
        <f>AND('Badge Ticket Formats'!#REF!,"AAAAAF/v8yg=")</f>
        <v>#REF!</v>
      </c>
      <c r="AP154" t="e">
        <f>AND('Badge Ticket Formats'!#REF!,"AAAAAF/v8yk=")</f>
        <v>#REF!</v>
      </c>
      <c r="AQ154" t="e">
        <f>IF('Badge Ticket Formats'!#REF!,"AAAAAF/v8yo=",0)</f>
        <v>#REF!</v>
      </c>
      <c r="AR154" t="e">
        <f>AND('Badge Ticket Formats'!#REF!,"AAAAAF/v8ys=")</f>
        <v>#REF!</v>
      </c>
      <c r="AS154" t="e">
        <f>AND('Badge Ticket Formats'!#REF!,"AAAAAF/v8yw=")</f>
        <v>#REF!</v>
      </c>
      <c r="AT154" t="e">
        <f>AND('Badge Ticket Formats'!#REF!,"AAAAAF/v8y0=")</f>
        <v>#REF!</v>
      </c>
      <c r="AU154" t="e">
        <f>AND('Badge Ticket Formats'!#REF!,"AAAAAF/v8y4=")</f>
        <v>#REF!</v>
      </c>
      <c r="AV154" t="e">
        <f>AND('Badge Ticket Formats'!#REF!,"AAAAAF/v8y8=")</f>
        <v>#REF!</v>
      </c>
      <c r="AW154" t="e">
        <f>AND('Badge Ticket Formats'!#REF!,"AAAAAF/v8zA=")</f>
        <v>#REF!</v>
      </c>
      <c r="AX154" t="e">
        <f>AND('Badge Ticket Formats'!#REF!,"AAAAAF/v8zE=")</f>
        <v>#REF!</v>
      </c>
      <c r="AY154" t="e">
        <f>AND('Badge Ticket Formats'!#REF!,"AAAAAF/v8zI=")</f>
        <v>#REF!</v>
      </c>
      <c r="AZ154" t="e">
        <f>AND('Badge Ticket Formats'!#REF!,"AAAAAF/v8zM=")</f>
        <v>#REF!</v>
      </c>
      <c r="BA154" t="e">
        <f>AND('Badge Ticket Formats'!#REF!,"AAAAAF/v8zQ=")</f>
        <v>#REF!</v>
      </c>
      <c r="BB154" t="e">
        <f>AND('Badge Ticket Formats'!#REF!,"AAAAAF/v8zU=")</f>
        <v>#REF!</v>
      </c>
      <c r="BC154" t="e">
        <f>AND('Badge Ticket Formats'!#REF!,"AAAAAF/v8zY=")</f>
        <v>#REF!</v>
      </c>
      <c r="BD154" t="e">
        <f>AND('Badge Ticket Formats'!#REF!,"AAAAAF/v8zc=")</f>
        <v>#REF!</v>
      </c>
      <c r="BE154" t="e">
        <f>IF('Badge Ticket Formats'!#REF!,"AAAAAF/v8zg=",0)</f>
        <v>#REF!</v>
      </c>
      <c r="BF154" t="e">
        <f>AND('Badge Ticket Formats'!#REF!,"AAAAAF/v8zk=")</f>
        <v>#REF!</v>
      </c>
      <c r="BG154" t="e">
        <f>AND('Badge Ticket Formats'!#REF!,"AAAAAF/v8zo=")</f>
        <v>#REF!</v>
      </c>
      <c r="BH154" t="e">
        <f>AND('Badge Ticket Formats'!#REF!,"AAAAAF/v8zs=")</f>
        <v>#REF!</v>
      </c>
      <c r="BI154" t="e">
        <f>AND('Badge Ticket Formats'!#REF!,"AAAAAF/v8zw=")</f>
        <v>#REF!</v>
      </c>
      <c r="BJ154" t="e">
        <f>AND('Badge Ticket Formats'!#REF!,"AAAAAF/v8z0=")</f>
        <v>#REF!</v>
      </c>
      <c r="BK154" t="e">
        <f>AND('Badge Ticket Formats'!#REF!,"AAAAAF/v8z4=")</f>
        <v>#REF!</v>
      </c>
      <c r="BL154" t="e">
        <f>AND('Badge Ticket Formats'!#REF!,"AAAAAF/v8z8=")</f>
        <v>#REF!</v>
      </c>
      <c r="BM154" t="e">
        <f>AND('Badge Ticket Formats'!#REF!,"AAAAAF/v80A=")</f>
        <v>#REF!</v>
      </c>
      <c r="BN154" t="e">
        <f>AND('Badge Ticket Formats'!#REF!,"AAAAAF/v80E=")</f>
        <v>#REF!</v>
      </c>
      <c r="BO154" t="e">
        <f>AND('Badge Ticket Formats'!#REF!,"AAAAAF/v80I=")</f>
        <v>#REF!</v>
      </c>
      <c r="BP154" t="e">
        <f>AND('Badge Ticket Formats'!#REF!,"AAAAAF/v80M=")</f>
        <v>#REF!</v>
      </c>
      <c r="BQ154" t="e">
        <f>AND('Badge Ticket Formats'!#REF!,"AAAAAF/v80Q=")</f>
        <v>#REF!</v>
      </c>
      <c r="BR154" t="e">
        <f>AND('Badge Ticket Formats'!#REF!,"AAAAAF/v80U=")</f>
        <v>#REF!</v>
      </c>
      <c r="BS154" t="e">
        <f>IF('Badge Ticket Formats'!#REF!,"AAAAAF/v80Y=",0)</f>
        <v>#REF!</v>
      </c>
      <c r="BT154" t="e">
        <f>AND('Badge Ticket Formats'!#REF!,"AAAAAF/v80c=")</f>
        <v>#REF!</v>
      </c>
      <c r="BU154" t="e">
        <f>AND('Badge Ticket Formats'!#REF!,"AAAAAF/v80g=")</f>
        <v>#REF!</v>
      </c>
      <c r="BV154" t="e">
        <f>AND('Badge Ticket Formats'!#REF!,"AAAAAF/v80k=")</f>
        <v>#REF!</v>
      </c>
      <c r="BW154" t="e">
        <f>AND('Badge Ticket Formats'!#REF!,"AAAAAF/v80o=")</f>
        <v>#REF!</v>
      </c>
      <c r="BX154" t="e">
        <f>AND('Badge Ticket Formats'!#REF!,"AAAAAF/v80s=")</f>
        <v>#REF!</v>
      </c>
      <c r="BY154" t="e">
        <f>AND('Badge Ticket Formats'!#REF!,"AAAAAF/v80w=")</f>
        <v>#REF!</v>
      </c>
      <c r="BZ154" t="e">
        <f>AND('Badge Ticket Formats'!#REF!,"AAAAAF/v800=")</f>
        <v>#REF!</v>
      </c>
      <c r="CA154" t="e">
        <f>AND('Badge Ticket Formats'!#REF!,"AAAAAF/v804=")</f>
        <v>#REF!</v>
      </c>
      <c r="CB154" t="e">
        <f>AND('Badge Ticket Formats'!#REF!,"AAAAAF/v808=")</f>
        <v>#REF!</v>
      </c>
      <c r="CC154" t="e">
        <f>AND('Badge Ticket Formats'!#REF!,"AAAAAF/v81A=")</f>
        <v>#REF!</v>
      </c>
      <c r="CD154" t="e">
        <f>AND('Badge Ticket Formats'!#REF!,"AAAAAF/v81E=")</f>
        <v>#REF!</v>
      </c>
      <c r="CE154" t="e">
        <f>AND('Badge Ticket Formats'!#REF!,"AAAAAF/v81I=")</f>
        <v>#REF!</v>
      </c>
      <c r="CF154" t="e">
        <f>AND('Badge Ticket Formats'!#REF!,"AAAAAF/v81M=")</f>
        <v>#REF!</v>
      </c>
      <c r="CG154" t="e">
        <f>IF('Badge Ticket Formats'!#REF!,"AAAAAF/v81Q=",0)</f>
        <v>#REF!</v>
      </c>
      <c r="CH154" t="e">
        <f>AND('Badge Ticket Formats'!#REF!,"AAAAAF/v81U=")</f>
        <v>#REF!</v>
      </c>
      <c r="CI154" t="e">
        <f>AND('Badge Ticket Formats'!#REF!,"AAAAAF/v81Y=")</f>
        <v>#REF!</v>
      </c>
      <c r="CJ154" t="e">
        <f>AND('Badge Ticket Formats'!#REF!,"AAAAAF/v81c=")</f>
        <v>#REF!</v>
      </c>
      <c r="CK154" t="e">
        <f>AND('Badge Ticket Formats'!#REF!,"AAAAAF/v81g=")</f>
        <v>#REF!</v>
      </c>
      <c r="CL154" t="e">
        <f>AND('Badge Ticket Formats'!#REF!,"AAAAAF/v81k=")</f>
        <v>#REF!</v>
      </c>
      <c r="CM154" t="e">
        <f>AND('Badge Ticket Formats'!#REF!,"AAAAAF/v81o=")</f>
        <v>#REF!</v>
      </c>
      <c r="CN154" t="e">
        <f>AND('Badge Ticket Formats'!#REF!,"AAAAAF/v81s=")</f>
        <v>#REF!</v>
      </c>
      <c r="CO154" t="e">
        <f>AND('Badge Ticket Formats'!#REF!,"AAAAAF/v81w=")</f>
        <v>#REF!</v>
      </c>
      <c r="CP154" t="e">
        <f>AND('Badge Ticket Formats'!#REF!,"AAAAAF/v810=")</f>
        <v>#REF!</v>
      </c>
      <c r="CQ154" t="e">
        <f>AND('Badge Ticket Formats'!#REF!,"AAAAAF/v814=")</f>
        <v>#REF!</v>
      </c>
      <c r="CR154" t="e">
        <f>AND('Badge Ticket Formats'!#REF!,"AAAAAF/v818=")</f>
        <v>#REF!</v>
      </c>
      <c r="CS154" t="e">
        <f>AND('Badge Ticket Formats'!#REF!,"AAAAAF/v82A=")</f>
        <v>#REF!</v>
      </c>
      <c r="CT154" t="e">
        <f>AND('Badge Ticket Formats'!#REF!,"AAAAAF/v82E=")</f>
        <v>#REF!</v>
      </c>
      <c r="CU154" t="e">
        <f>IF('Badge Ticket Formats'!#REF!,"AAAAAF/v82I=",0)</f>
        <v>#REF!</v>
      </c>
      <c r="CV154" t="e">
        <f>AND('Badge Ticket Formats'!#REF!,"AAAAAF/v82M=")</f>
        <v>#REF!</v>
      </c>
      <c r="CW154" t="e">
        <f>AND('Badge Ticket Formats'!#REF!,"AAAAAF/v82Q=")</f>
        <v>#REF!</v>
      </c>
      <c r="CX154" t="e">
        <f>AND('Badge Ticket Formats'!#REF!,"AAAAAF/v82U=")</f>
        <v>#REF!</v>
      </c>
      <c r="CY154" t="e">
        <f>AND('Badge Ticket Formats'!#REF!,"AAAAAF/v82Y=")</f>
        <v>#REF!</v>
      </c>
      <c r="CZ154" t="e">
        <f>AND('Badge Ticket Formats'!#REF!,"AAAAAF/v82c=")</f>
        <v>#REF!</v>
      </c>
      <c r="DA154" t="e">
        <f>AND('Badge Ticket Formats'!#REF!,"AAAAAF/v82g=")</f>
        <v>#REF!</v>
      </c>
      <c r="DB154" t="e">
        <f>AND('Badge Ticket Formats'!#REF!,"AAAAAF/v82k=")</f>
        <v>#REF!</v>
      </c>
      <c r="DC154" t="e">
        <f>AND('Badge Ticket Formats'!#REF!,"AAAAAF/v82o=")</f>
        <v>#REF!</v>
      </c>
      <c r="DD154" t="e">
        <f>AND('Badge Ticket Formats'!#REF!,"AAAAAF/v82s=")</f>
        <v>#REF!</v>
      </c>
      <c r="DE154" t="e">
        <f>AND('Badge Ticket Formats'!#REF!,"AAAAAF/v82w=")</f>
        <v>#REF!</v>
      </c>
      <c r="DF154" t="e">
        <f>AND('Badge Ticket Formats'!#REF!,"AAAAAF/v820=")</f>
        <v>#REF!</v>
      </c>
      <c r="DG154" t="e">
        <f>AND('Badge Ticket Formats'!#REF!,"AAAAAF/v824=")</f>
        <v>#REF!</v>
      </c>
      <c r="DH154" t="e">
        <f>AND('Badge Ticket Formats'!#REF!,"AAAAAF/v828=")</f>
        <v>#REF!</v>
      </c>
      <c r="DI154" t="e">
        <f>IF('Badge Ticket Formats'!#REF!,"AAAAAF/v83A=",0)</f>
        <v>#REF!</v>
      </c>
      <c r="DJ154" t="e">
        <f>AND('Badge Ticket Formats'!#REF!,"AAAAAF/v83E=")</f>
        <v>#REF!</v>
      </c>
      <c r="DK154" t="e">
        <f>AND('Badge Ticket Formats'!#REF!,"AAAAAF/v83I=")</f>
        <v>#REF!</v>
      </c>
      <c r="DL154" t="e">
        <f>AND('Badge Ticket Formats'!#REF!,"AAAAAF/v83M=")</f>
        <v>#REF!</v>
      </c>
      <c r="DM154" t="e">
        <f>AND('Badge Ticket Formats'!#REF!,"AAAAAF/v83Q=")</f>
        <v>#REF!</v>
      </c>
      <c r="DN154" t="e">
        <f>AND('Badge Ticket Formats'!#REF!,"AAAAAF/v83U=")</f>
        <v>#REF!</v>
      </c>
      <c r="DO154" t="e">
        <f>AND('Badge Ticket Formats'!#REF!,"AAAAAF/v83Y=")</f>
        <v>#REF!</v>
      </c>
      <c r="DP154" t="e">
        <f>AND('Badge Ticket Formats'!#REF!,"AAAAAF/v83c=")</f>
        <v>#REF!</v>
      </c>
      <c r="DQ154" t="e">
        <f>AND('Badge Ticket Formats'!#REF!,"AAAAAF/v83g=")</f>
        <v>#REF!</v>
      </c>
      <c r="DR154" t="e">
        <f>AND('Badge Ticket Formats'!#REF!,"AAAAAF/v83k=")</f>
        <v>#REF!</v>
      </c>
      <c r="DS154" t="e">
        <f>AND('Badge Ticket Formats'!#REF!,"AAAAAF/v83o=")</f>
        <v>#REF!</v>
      </c>
      <c r="DT154" t="e">
        <f>AND('Badge Ticket Formats'!#REF!,"AAAAAF/v83s=")</f>
        <v>#REF!</v>
      </c>
      <c r="DU154" t="e">
        <f>AND('Badge Ticket Formats'!#REF!,"AAAAAF/v83w=")</f>
        <v>#REF!</v>
      </c>
      <c r="DV154" t="e">
        <f>AND('Badge Ticket Formats'!#REF!,"AAAAAF/v830=")</f>
        <v>#REF!</v>
      </c>
      <c r="DW154" t="e">
        <f>IF('Badge Ticket Formats'!#REF!,"AAAAAF/v834=",0)</f>
        <v>#REF!</v>
      </c>
      <c r="DX154" t="e">
        <f>AND('Badge Ticket Formats'!#REF!,"AAAAAF/v838=")</f>
        <v>#REF!</v>
      </c>
      <c r="DY154" t="e">
        <f>AND('Badge Ticket Formats'!#REF!,"AAAAAF/v84A=")</f>
        <v>#REF!</v>
      </c>
      <c r="DZ154" t="e">
        <f>AND('Badge Ticket Formats'!#REF!,"AAAAAF/v84E=")</f>
        <v>#REF!</v>
      </c>
      <c r="EA154" t="e">
        <f>AND('Badge Ticket Formats'!#REF!,"AAAAAF/v84I=")</f>
        <v>#REF!</v>
      </c>
      <c r="EB154" t="e">
        <f>AND('Badge Ticket Formats'!#REF!,"AAAAAF/v84M=")</f>
        <v>#REF!</v>
      </c>
      <c r="EC154" t="e">
        <f>AND('Badge Ticket Formats'!#REF!,"AAAAAF/v84Q=")</f>
        <v>#REF!</v>
      </c>
      <c r="ED154" t="e">
        <f>AND('Badge Ticket Formats'!#REF!,"AAAAAF/v84U=")</f>
        <v>#REF!</v>
      </c>
      <c r="EE154" t="e">
        <f>AND('Badge Ticket Formats'!#REF!,"AAAAAF/v84Y=")</f>
        <v>#REF!</v>
      </c>
      <c r="EF154" t="e">
        <f>AND('Badge Ticket Formats'!#REF!,"AAAAAF/v84c=")</f>
        <v>#REF!</v>
      </c>
      <c r="EG154" t="e">
        <f>AND('Badge Ticket Formats'!#REF!,"AAAAAF/v84g=")</f>
        <v>#REF!</v>
      </c>
      <c r="EH154" t="e">
        <f>AND('Badge Ticket Formats'!#REF!,"AAAAAF/v84k=")</f>
        <v>#REF!</v>
      </c>
      <c r="EI154" t="e">
        <f>AND('Badge Ticket Formats'!#REF!,"AAAAAF/v84o=")</f>
        <v>#REF!</v>
      </c>
      <c r="EJ154" t="e">
        <f>AND('Badge Ticket Formats'!#REF!,"AAAAAF/v84s=")</f>
        <v>#REF!</v>
      </c>
      <c r="EK154" t="e">
        <f>IF('Badge Ticket Formats'!#REF!,"AAAAAF/v84w=",0)</f>
        <v>#REF!</v>
      </c>
      <c r="EL154" t="e">
        <f>AND('Badge Ticket Formats'!#REF!,"AAAAAF/v840=")</f>
        <v>#REF!</v>
      </c>
      <c r="EM154" t="e">
        <f>AND('Badge Ticket Formats'!#REF!,"AAAAAF/v844=")</f>
        <v>#REF!</v>
      </c>
      <c r="EN154" t="e">
        <f>AND('Badge Ticket Formats'!#REF!,"AAAAAF/v848=")</f>
        <v>#REF!</v>
      </c>
      <c r="EO154" t="e">
        <f>AND('Badge Ticket Formats'!#REF!,"AAAAAF/v85A=")</f>
        <v>#REF!</v>
      </c>
      <c r="EP154" t="e">
        <f>AND('Badge Ticket Formats'!#REF!,"AAAAAF/v85E=")</f>
        <v>#REF!</v>
      </c>
      <c r="EQ154" t="e">
        <f>AND('Badge Ticket Formats'!#REF!,"AAAAAF/v85I=")</f>
        <v>#REF!</v>
      </c>
      <c r="ER154" t="e">
        <f>AND('Badge Ticket Formats'!#REF!,"AAAAAF/v85M=")</f>
        <v>#REF!</v>
      </c>
      <c r="ES154" t="e">
        <f>AND('Badge Ticket Formats'!#REF!,"AAAAAF/v85Q=")</f>
        <v>#REF!</v>
      </c>
      <c r="ET154" t="e">
        <f>AND('Badge Ticket Formats'!#REF!,"AAAAAF/v85U=")</f>
        <v>#REF!</v>
      </c>
      <c r="EU154" t="e">
        <f>AND('Badge Ticket Formats'!#REF!,"AAAAAF/v85Y=")</f>
        <v>#REF!</v>
      </c>
      <c r="EV154" t="e">
        <f>AND('Badge Ticket Formats'!#REF!,"AAAAAF/v85c=")</f>
        <v>#REF!</v>
      </c>
      <c r="EW154" t="e">
        <f>AND('Badge Ticket Formats'!#REF!,"AAAAAF/v85g=")</f>
        <v>#REF!</v>
      </c>
      <c r="EX154" t="e">
        <f>AND('Badge Ticket Formats'!#REF!,"AAAAAF/v85k=")</f>
        <v>#REF!</v>
      </c>
      <c r="EY154" t="e">
        <f>IF('Badge Ticket Formats'!#REF!,"AAAAAF/v85o=",0)</f>
        <v>#REF!</v>
      </c>
      <c r="EZ154" t="e">
        <f>AND('Badge Ticket Formats'!#REF!,"AAAAAF/v85s=")</f>
        <v>#REF!</v>
      </c>
      <c r="FA154" t="e">
        <f>AND('Badge Ticket Formats'!#REF!,"AAAAAF/v85w=")</f>
        <v>#REF!</v>
      </c>
      <c r="FB154" t="e">
        <f>AND('Badge Ticket Formats'!#REF!,"AAAAAF/v850=")</f>
        <v>#REF!</v>
      </c>
      <c r="FC154" t="e">
        <f>AND('Badge Ticket Formats'!#REF!,"AAAAAF/v854=")</f>
        <v>#REF!</v>
      </c>
      <c r="FD154" t="e">
        <f>AND('Badge Ticket Formats'!#REF!,"AAAAAF/v858=")</f>
        <v>#REF!</v>
      </c>
      <c r="FE154" t="e">
        <f>AND('Badge Ticket Formats'!#REF!,"AAAAAF/v86A=")</f>
        <v>#REF!</v>
      </c>
      <c r="FF154" t="e">
        <f>AND('Badge Ticket Formats'!#REF!,"AAAAAF/v86E=")</f>
        <v>#REF!</v>
      </c>
      <c r="FG154" t="e">
        <f>AND('Badge Ticket Formats'!#REF!,"AAAAAF/v86I=")</f>
        <v>#REF!</v>
      </c>
      <c r="FH154" t="e">
        <f>AND('Badge Ticket Formats'!#REF!,"AAAAAF/v86M=")</f>
        <v>#REF!</v>
      </c>
      <c r="FI154" t="e">
        <f>AND('Badge Ticket Formats'!#REF!,"AAAAAF/v86Q=")</f>
        <v>#REF!</v>
      </c>
      <c r="FJ154" t="e">
        <f>AND('Badge Ticket Formats'!#REF!,"AAAAAF/v86U=")</f>
        <v>#REF!</v>
      </c>
      <c r="FK154" t="e">
        <f>AND('Badge Ticket Formats'!#REF!,"AAAAAF/v86Y=")</f>
        <v>#REF!</v>
      </c>
      <c r="FL154" t="e">
        <f>AND('Badge Ticket Formats'!#REF!,"AAAAAF/v86c=")</f>
        <v>#REF!</v>
      </c>
      <c r="FM154" t="e">
        <f>IF('Badge Ticket Formats'!#REF!,"AAAAAF/v86g=",0)</f>
        <v>#REF!</v>
      </c>
      <c r="FN154" t="e">
        <f>AND('Badge Ticket Formats'!#REF!,"AAAAAF/v86k=")</f>
        <v>#REF!</v>
      </c>
      <c r="FO154" t="e">
        <f>AND('Badge Ticket Formats'!#REF!,"AAAAAF/v86o=")</f>
        <v>#REF!</v>
      </c>
      <c r="FP154" t="e">
        <f>AND('Badge Ticket Formats'!#REF!,"AAAAAF/v86s=")</f>
        <v>#REF!</v>
      </c>
      <c r="FQ154" t="e">
        <f>AND('Badge Ticket Formats'!#REF!,"AAAAAF/v86w=")</f>
        <v>#REF!</v>
      </c>
      <c r="FR154" t="e">
        <f>AND('Badge Ticket Formats'!#REF!,"AAAAAF/v860=")</f>
        <v>#REF!</v>
      </c>
      <c r="FS154" t="e">
        <f>AND('Badge Ticket Formats'!#REF!,"AAAAAF/v864=")</f>
        <v>#REF!</v>
      </c>
      <c r="FT154" t="e">
        <f>AND('Badge Ticket Formats'!#REF!,"AAAAAF/v868=")</f>
        <v>#REF!</v>
      </c>
      <c r="FU154" t="e">
        <f>AND('Badge Ticket Formats'!#REF!,"AAAAAF/v87A=")</f>
        <v>#REF!</v>
      </c>
      <c r="FV154" t="e">
        <f>AND('Badge Ticket Formats'!#REF!,"AAAAAF/v87E=")</f>
        <v>#REF!</v>
      </c>
      <c r="FW154" t="e">
        <f>AND('Badge Ticket Formats'!#REF!,"AAAAAF/v87I=")</f>
        <v>#REF!</v>
      </c>
      <c r="FX154" t="e">
        <f>AND('Badge Ticket Formats'!#REF!,"AAAAAF/v87M=")</f>
        <v>#REF!</v>
      </c>
      <c r="FY154" t="e">
        <f>AND('Badge Ticket Formats'!#REF!,"AAAAAF/v87Q=")</f>
        <v>#REF!</v>
      </c>
      <c r="FZ154" t="e">
        <f>AND('Badge Ticket Formats'!#REF!,"AAAAAF/v87U=")</f>
        <v>#REF!</v>
      </c>
      <c r="GA154" t="e">
        <f>IF('Badge Ticket Formats'!#REF!,"AAAAAF/v87Y=",0)</f>
        <v>#REF!</v>
      </c>
      <c r="GB154" t="e">
        <f>AND('Badge Ticket Formats'!#REF!,"AAAAAF/v87c=")</f>
        <v>#REF!</v>
      </c>
      <c r="GC154" t="e">
        <f>AND('Badge Ticket Formats'!#REF!,"AAAAAF/v87g=")</f>
        <v>#REF!</v>
      </c>
      <c r="GD154" t="e">
        <f>AND('Badge Ticket Formats'!#REF!,"AAAAAF/v87k=")</f>
        <v>#REF!</v>
      </c>
      <c r="GE154" t="e">
        <f>AND('Badge Ticket Formats'!#REF!,"AAAAAF/v87o=")</f>
        <v>#REF!</v>
      </c>
      <c r="GF154" t="e">
        <f>AND('Badge Ticket Formats'!#REF!,"AAAAAF/v87s=")</f>
        <v>#REF!</v>
      </c>
      <c r="GG154" t="e">
        <f>AND('Badge Ticket Formats'!#REF!,"AAAAAF/v87w=")</f>
        <v>#REF!</v>
      </c>
      <c r="GH154" t="e">
        <f>AND('Badge Ticket Formats'!#REF!,"AAAAAF/v870=")</f>
        <v>#REF!</v>
      </c>
      <c r="GI154" t="e">
        <f>AND('Badge Ticket Formats'!#REF!,"AAAAAF/v874=")</f>
        <v>#REF!</v>
      </c>
      <c r="GJ154" t="e">
        <f>AND('Badge Ticket Formats'!#REF!,"AAAAAF/v878=")</f>
        <v>#REF!</v>
      </c>
      <c r="GK154" t="e">
        <f>AND('Badge Ticket Formats'!#REF!,"AAAAAF/v88A=")</f>
        <v>#REF!</v>
      </c>
      <c r="GL154" t="e">
        <f>AND('Badge Ticket Formats'!#REF!,"AAAAAF/v88E=")</f>
        <v>#REF!</v>
      </c>
      <c r="GM154" t="e">
        <f>AND('Badge Ticket Formats'!#REF!,"AAAAAF/v88I=")</f>
        <v>#REF!</v>
      </c>
      <c r="GN154" t="e">
        <f>AND('Badge Ticket Formats'!#REF!,"AAAAAF/v88M=")</f>
        <v>#REF!</v>
      </c>
      <c r="GO154" t="e">
        <f>IF('Badge Ticket Formats'!#REF!,"AAAAAF/v88Q=",0)</f>
        <v>#REF!</v>
      </c>
      <c r="GP154" t="e">
        <f>AND('Badge Ticket Formats'!#REF!,"AAAAAF/v88U=")</f>
        <v>#REF!</v>
      </c>
      <c r="GQ154" t="e">
        <f>AND('Badge Ticket Formats'!#REF!,"AAAAAF/v88Y=")</f>
        <v>#REF!</v>
      </c>
      <c r="GR154" t="e">
        <f>AND('Badge Ticket Formats'!#REF!,"AAAAAF/v88c=")</f>
        <v>#REF!</v>
      </c>
      <c r="GS154" t="e">
        <f>AND('Badge Ticket Formats'!#REF!,"AAAAAF/v88g=")</f>
        <v>#REF!</v>
      </c>
      <c r="GT154" t="e">
        <f>AND('Badge Ticket Formats'!#REF!,"AAAAAF/v88k=")</f>
        <v>#REF!</v>
      </c>
      <c r="GU154" t="e">
        <f>AND('Badge Ticket Formats'!#REF!,"AAAAAF/v88o=")</f>
        <v>#REF!</v>
      </c>
      <c r="GV154" t="e">
        <f>AND('Badge Ticket Formats'!#REF!,"AAAAAF/v88s=")</f>
        <v>#REF!</v>
      </c>
      <c r="GW154" t="e">
        <f>AND('Badge Ticket Formats'!#REF!,"AAAAAF/v88w=")</f>
        <v>#REF!</v>
      </c>
      <c r="GX154" t="e">
        <f>AND('Badge Ticket Formats'!#REF!,"AAAAAF/v880=")</f>
        <v>#REF!</v>
      </c>
      <c r="GY154" t="e">
        <f>AND('Badge Ticket Formats'!#REF!,"AAAAAF/v884=")</f>
        <v>#REF!</v>
      </c>
      <c r="GZ154" t="e">
        <f>AND('Badge Ticket Formats'!#REF!,"AAAAAF/v888=")</f>
        <v>#REF!</v>
      </c>
      <c r="HA154" t="e">
        <f>AND('Badge Ticket Formats'!#REF!,"AAAAAF/v89A=")</f>
        <v>#REF!</v>
      </c>
      <c r="HB154" t="e">
        <f>AND('Badge Ticket Formats'!#REF!,"AAAAAF/v89E=")</f>
        <v>#REF!</v>
      </c>
      <c r="HC154" t="e">
        <f>IF('Badge Ticket Formats'!#REF!,"AAAAAF/v89I=",0)</f>
        <v>#REF!</v>
      </c>
      <c r="HD154" t="e">
        <f>AND('Badge Ticket Formats'!#REF!,"AAAAAF/v89M=")</f>
        <v>#REF!</v>
      </c>
      <c r="HE154" t="e">
        <f>AND('Badge Ticket Formats'!#REF!,"AAAAAF/v89Q=")</f>
        <v>#REF!</v>
      </c>
      <c r="HF154" t="e">
        <f>AND('Badge Ticket Formats'!#REF!,"AAAAAF/v89U=")</f>
        <v>#REF!</v>
      </c>
      <c r="HG154" t="e">
        <f>AND('Badge Ticket Formats'!#REF!,"AAAAAF/v89Y=")</f>
        <v>#REF!</v>
      </c>
      <c r="HH154" t="e">
        <f>AND('Badge Ticket Formats'!#REF!,"AAAAAF/v89c=")</f>
        <v>#REF!</v>
      </c>
      <c r="HI154" t="e">
        <f>AND('Badge Ticket Formats'!#REF!,"AAAAAF/v89g=")</f>
        <v>#REF!</v>
      </c>
      <c r="HJ154" t="e">
        <f>AND('Badge Ticket Formats'!#REF!,"AAAAAF/v89k=")</f>
        <v>#REF!</v>
      </c>
      <c r="HK154" t="e">
        <f>AND('Badge Ticket Formats'!#REF!,"AAAAAF/v89o=")</f>
        <v>#REF!</v>
      </c>
      <c r="HL154" t="e">
        <f>AND('Badge Ticket Formats'!#REF!,"AAAAAF/v89s=")</f>
        <v>#REF!</v>
      </c>
      <c r="HM154" t="e">
        <f>AND('Badge Ticket Formats'!#REF!,"AAAAAF/v89w=")</f>
        <v>#REF!</v>
      </c>
      <c r="HN154" t="e">
        <f>AND('Badge Ticket Formats'!#REF!,"AAAAAF/v890=")</f>
        <v>#REF!</v>
      </c>
      <c r="HO154" t="e">
        <f>AND('Badge Ticket Formats'!#REF!,"AAAAAF/v894=")</f>
        <v>#REF!</v>
      </c>
      <c r="HP154" t="e">
        <f>AND('Badge Ticket Formats'!#REF!,"AAAAAF/v898=")</f>
        <v>#REF!</v>
      </c>
      <c r="HQ154" t="e">
        <f>IF('Badge Ticket Formats'!#REF!,"AAAAAF/v8+A=",0)</f>
        <v>#REF!</v>
      </c>
      <c r="HR154" t="e">
        <f>AND('Badge Ticket Formats'!#REF!,"AAAAAF/v8+E=")</f>
        <v>#REF!</v>
      </c>
      <c r="HS154" t="e">
        <f>AND('Badge Ticket Formats'!#REF!,"AAAAAF/v8+I=")</f>
        <v>#REF!</v>
      </c>
      <c r="HT154" t="e">
        <f>AND('Badge Ticket Formats'!#REF!,"AAAAAF/v8+M=")</f>
        <v>#REF!</v>
      </c>
      <c r="HU154" t="e">
        <f>AND('Badge Ticket Formats'!#REF!,"AAAAAF/v8+Q=")</f>
        <v>#REF!</v>
      </c>
      <c r="HV154" t="e">
        <f>AND('Badge Ticket Formats'!#REF!,"AAAAAF/v8+U=")</f>
        <v>#REF!</v>
      </c>
      <c r="HW154" t="e">
        <f>AND('Badge Ticket Formats'!#REF!,"AAAAAF/v8+Y=")</f>
        <v>#REF!</v>
      </c>
      <c r="HX154" t="e">
        <f>AND('Badge Ticket Formats'!#REF!,"AAAAAF/v8+c=")</f>
        <v>#REF!</v>
      </c>
      <c r="HY154" t="e">
        <f>AND('Badge Ticket Formats'!#REF!,"AAAAAF/v8+g=")</f>
        <v>#REF!</v>
      </c>
      <c r="HZ154" t="e">
        <f>AND('Badge Ticket Formats'!#REF!,"AAAAAF/v8+k=")</f>
        <v>#REF!</v>
      </c>
      <c r="IA154" t="e">
        <f>AND('Badge Ticket Formats'!#REF!,"AAAAAF/v8+o=")</f>
        <v>#REF!</v>
      </c>
      <c r="IB154" t="e">
        <f>AND('Badge Ticket Formats'!#REF!,"AAAAAF/v8+s=")</f>
        <v>#REF!</v>
      </c>
      <c r="IC154" t="e">
        <f>AND('Badge Ticket Formats'!#REF!,"AAAAAF/v8+w=")</f>
        <v>#REF!</v>
      </c>
      <c r="ID154" t="e">
        <f>AND('Badge Ticket Formats'!#REF!,"AAAAAF/v8+0=")</f>
        <v>#REF!</v>
      </c>
      <c r="IE154" t="e">
        <f>IF('Badge Ticket Formats'!#REF!,"AAAAAF/v8+4=",0)</f>
        <v>#REF!</v>
      </c>
      <c r="IF154" t="e">
        <f>AND('Badge Ticket Formats'!#REF!,"AAAAAF/v8+8=")</f>
        <v>#REF!</v>
      </c>
      <c r="IG154" t="e">
        <f>AND('Badge Ticket Formats'!#REF!,"AAAAAF/v8/A=")</f>
        <v>#REF!</v>
      </c>
      <c r="IH154" t="e">
        <f>AND('Badge Ticket Formats'!#REF!,"AAAAAF/v8/E=")</f>
        <v>#REF!</v>
      </c>
      <c r="II154" t="e">
        <f>AND('Badge Ticket Formats'!#REF!,"AAAAAF/v8/I=")</f>
        <v>#REF!</v>
      </c>
      <c r="IJ154" t="e">
        <f>AND('Badge Ticket Formats'!#REF!,"AAAAAF/v8/M=")</f>
        <v>#REF!</v>
      </c>
      <c r="IK154" t="e">
        <f>AND('Badge Ticket Formats'!#REF!,"AAAAAF/v8/Q=")</f>
        <v>#REF!</v>
      </c>
      <c r="IL154" t="e">
        <f>AND('Badge Ticket Formats'!#REF!,"AAAAAF/v8/U=")</f>
        <v>#REF!</v>
      </c>
      <c r="IM154" t="e">
        <f>AND('Badge Ticket Formats'!#REF!,"AAAAAF/v8/Y=")</f>
        <v>#REF!</v>
      </c>
      <c r="IN154" t="e">
        <f>AND('Badge Ticket Formats'!#REF!,"AAAAAF/v8/c=")</f>
        <v>#REF!</v>
      </c>
      <c r="IO154" t="e">
        <f>AND('Badge Ticket Formats'!#REF!,"AAAAAF/v8/g=")</f>
        <v>#REF!</v>
      </c>
      <c r="IP154" t="e">
        <f>AND('Badge Ticket Formats'!#REF!,"AAAAAF/v8/k=")</f>
        <v>#REF!</v>
      </c>
      <c r="IQ154" t="e">
        <f>AND('Badge Ticket Formats'!#REF!,"AAAAAF/v8/o=")</f>
        <v>#REF!</v>
      </c>
      <c r="IR154" t="e">
        <f>AND('Badge Ticket Formats'!#REF!,"AAAAAF/v8/s=")</f>
        <v>#REF!</v>
      </c>
      <c r="IS154" t="e">
        <f>IF('Badge Ticket Formats'!#REF!,"AAAAAF/v8/w=",0)</f>
        <v>#REF!</v>
      </c>
      <c r="IT154" t="e">
        <f>AND('Badge Ticket Formats'!#REF!,"AAAAAF/v8/0=")</f>
        <v>#REF!</v>
      </c>
      <c r="IU154" t="e">
        <f>AND('Badge Ticket Formats'!#REF!,"AAAAAF/v8/4=")</f>
        <v>#REF!</v>
      </c>
      <c r="IV154" t="e">
        <f>AND('Badge Ticket Formats'!#REF!,"AAAAAF/v8/8=")</f>
        <v>#REF!</v>
      </c>
    </row>
    <row r="155" spans="1:256" x14ac:dyDescent="0.2">
      <c r="A155" t="e">
        <f>AND('Badge Ticket Formats'!#REF!,"AAAAAFvQxgA=")</f>
        <v>#REF!</v>
      </c>
      <c r="B155" t="e">
        <f>AND('Badge Ticket Formats'!#REF!,"AAAAAFvQxgE=")</f>
        <v>#REF!</v>
      </c>
      <c r="C155" t="e">
        <f>AND('Badge Ticket Formats'!#REF!,"AAAAAFvQxgI=")</f>
        <v>#REF!</v>
      </c>
      <c r="D155" t="e">
        <f>AND('Badge Ticket Formats'!#REF!,"AAAAAFvQxgM=")</f>
        <v>#REF!</v>
      </c>
      <c r="E155" t="e">
        <f>AND('Badge Ticket Formats'!#REF!,"AAAAAFvQxgQ=")</f>
        <v>#REF!</v>
      </c>
      <c r="F155" t="e">
        <f>AND('Badge Ticket Formats'!#REF!,"AAAAAFvQxgU=")</f>
        <v>#REF!</v>
      </c>
      <c r="G155" t="e">
        <f>AND('Badge Ticket Formats'!#REF!,"AAAAAFvQxgY=")</f>
        <v>#REF!</v>
      </c>
      <c r="H155" t="e">
        <f>AND('Badge Ticket Formats'!#REF!,"AAAAAFvQxgc=")</f>
        <v>#REF!</v>
      </c>
      <c r="I155" t="e">
        <f>AND('Badge Ticket Formats'!#REF!,"AAAAAFvQxgg=")</f>
        <v>#REF!</v>
      </c>
      <c r="J155" t="e">
        <f>AND('Badge Ticket Formats'!#REF!,"AAAAAFvQxgk=")</f>
        <v>#REF!</v>
      </c>
      <c r="K155" t="e">
        <f>IF('Badge Ticket Formats'!#REF!,"AAAAAFvQxgo=",0)</f>
        <v>#REF!</v>
      </c>
      <c r="L155" t="e">
        <f>AND('Badge Ticket Formats'!#REF!,"AAAAAFvQxgs=")</f>
        <v>#REF!</v>
      </c>
      <c r="M155" t="e">
        <f>AND('Badge Ticket Formats'!#REF!,"AAAAAFvQxgw=")</f>
        <v>#REF!</v>
      </c>
      <c r="N155" t="e">
        <f>AND('Badge Ticket Formats'!#REF!,"AAAAAFvQxg0=")</f>
        <v>#REF!</v>
      </c>
      <c r="O155" t="e">
        <f>AND('Badge Ticket Formats'!#REF!,"AAAAAFvQxg4=")</f>
        <v>#REF!</v>
      </c>
      <c r="P155" t="e">
        <f>AND('Badge Ticket Formats'!#REF!,"AAAAAFvQxg8=")</f>
        <v>#REF!</v>
      </c>
      <c r="Q155" t="e">
        <f>AND('Badge Ticket Formats'!#REF!,"AAAAAFvQxhA=")</f>
        <v>#REF!</v>
      </c>
      <c r="R155" t="e">
        <f>AND('Badge Ticket Formats'!#REF!,"AAAAAFvQxhE=")</f>
        <v>#REF!</v>
      </c>
      <c r="S155" t="e">
        <f>AND('Badge Ticket Formats'!#REF!,"AAAAAFvQxhI=")</f>
        <v>#REF!</v>
      </c>
      <c r="T155" t="e">
        <f>AND('Badge Ticket Formats'!#REF!,"AAAAAFvQxhM=")</f>
        <v>#REF!</v>
      </c>
      <c r="U155" t="e">
        <f>AND('Badge Ticket Formats'!#REF!,"AAAAAFvQxhQ=")</f>
        <v>#REF!</v>
      </c>
      <c r="V155" t="e">
        <f>AND('Badge Ticket Formats'!#REF!,"AAAAAFvQxhU=")</f>
        <v>#REF!</v>
      </c>
      <c r="W155" t="e">
        <f>AND('Badge Ticket Formats'!#REF!,"AAAAAFvQxhY=")</f>
        <v>#REF!</v>
      </c>
      <c r="X155" t="e">
        <f>AND('Badge Ticket Formats'!#REF!,"AAAAAFvQxhc=")</f>
        <v>#REF!</v>
      </c>
      <c r="Y155" t="e">
        <f>IF('Badge Ticket Formats'!#REF!,"AAAAAFvQxhg=",0)</f>
        <v>#REF!</v>
      </c>
      <c r="Z155" t="e">
        <f>AND('Badge Ticket Formats'!#REF!,"AAAAAFvQxhk=")</f>
        <v>#REF!</v>
      </c>
      <c r="AA155" t="e">
        <f>AND('Badge Ticket Formats'!#REF!,"AAAAAFvQxho=")</f>
        <v>#REF!</v>
      </c>
      <c r="AB155" t="e">
        <f>AND('Badge Ticket Formats'!#REF!,"AAAAAFvQxhs=")</f>
        <v>#REF!</v>
      </c>
      <c r="AC155" t="e">
        <f>AND('Badge Ticket Formats'!#REF!,"AAAAAFvQxhw=")</f>
        <v>#REF!</v>
      </c>
      <c r="AD155" t="e">
        <f>AND('Badge Ticket Formats'!#REF!,"AAAAAFvQxh0=")</f>
        <v>#REF!</v>
      </c>
      <c r="AE155" t="e">
        <f>AND('Badge Ticket Formats'!#REF!,"AAAAAFvQxh4=")</f>
        <v>#REF!</v>
      </c>
      <c r="AF155" t="e">
        <f>AND('Badge Ticket Formats'!#REF!,"AAAAAFvQxh8=")</f>
        <v>#REF!</v>
      </c>
      <c r="AG155" t="e">
        <f>AND('Badge Ticket Formats'!#REF!,"AAAAAFvQxiA=")</f>
        <v>#REF!</v>
      </c>
      <c r="AH155" t="e">
        <f>AND('Badge Ticket Formats'!#REF!,"AAAAAFvQxiE=")</f>
        <v>#REF!</v>
      </c>
      <c r="AI155" t="e">
        <f>AND('Badge Ticket Formats'!#REF!,"AAAAAFvQxiI=")</f>
        <v>#REF!</v>
      </c>
      <c r="AJ155" t="e">
        <f>AND('Badge Ticket Formats'!#REF!,"AAAAAFvQxiM=")</f>
        <v>#REF!</v>
      </c>
      <c r="AK155" t="e">
        <f>AND('Badge Ticket Formats'!#REF!,"AAAAAFvQxiQ=")</f>
        <v>#REF!</v>
      </c>
      <c r="AL155" t="e">
        <f>AND('Badge Ticket Formats'!#REF!,"AAAAAFvQxiU=")</f>
        <v>#REF!</v>
      </c>
      <c r="AM155" t="e">
        <f>IF('Badge Ticket Formats'!#REF!,"AAAAAFvQxiY=",0)</f>
        <v>#REF!</v>
      </c>
      <c r="AN155" t="e">
        <f>AND('Badge Ticket Formats'!#REF!,"AAAAAFvQxic=")</f>
        <v>#REF!</v>
      </c>
      <c r="AO155" t="e">
        <f>AND('Badge Ticket Formats'!#REF!,"AAAAAFvQxig=")</f>
        <v>#REF!</v>
      </c>
      <c r="AP155" t="e">
        <f>AND('Badge Ticket Formats'!#REF!,"AAAAAFvQxik=")</f>
        <v>#REF!</v>
      </c>
      <c r="AQ155" t="e">
        <f>AND('Badge Ticket Formats'!#REF!,"AAAAAFvQxio=")</f>
        <v>#REF!</v>
      </c>
      <c r="AR155" t="e">
        <f>AND('Badge Ticket Formats'!#REF!,"AAAAAFvQxis=")</f>
        <v>#REF!</v>
      </c>
      <c r="AS155" t="e">
        <f>AND('Badge Ticket Formats'!#REF!,"AAAAAFvQxiw=")</f>
        <v>#REF!</v>
      </c>
      <c r="AT155" t="e">
        <f>AND('Badge Ticket Formats'!#REF!,"AAAAAFvQxi0=")</f>
        <v>#REF!</v>
      </c>
      <c r="AU155" t="e">
        <f>AND('Badge Ticket Formats'!#REF!,"AAAAAFvQxi4=")</f>
        <v>#REF!</v>
      </c>
      <c r="AV155" t="e">
        <f>AND('Badge Ticket Formats'!#REF!,"AAAAAFvQxi8=")</f>
        <v>#REF!</v>
      </c>
      <c r="AW155" t="e">
        <f>AND('Badge Ticket Formats'!#REF!,"AAAAAFvQxjA=")</f>
        <v>#REF!</v>
      </c>
      <c r="AX155" t="e">
        <f>AND('Badge Ticket Formats'!#REF!,"AAAAAFvQxjE=")</f>
        <v>#REF!</v>
      </c>
      <c r="AY155" t="e">
        <f>AND('Badge Ticket Formats'!#REF!,"AAAAAFvQxjI=")</f>
        <v>#REF!</v>
      </c>
      <c r="AZ155" t="e">
        <f>AND('Badge Ticket Formats'!#REF!,"AAAAAFvQxjM=")</f>
        <v>#REF!</v>
      </c>
      <c r="BA155" t="e">
        <f>IF('Badge Ticket Formats'!#REF!,"AAAAAFvQxjQ=",0)</f>
        <v>#REF!</v>
      </c>
      <c r="BB155" t="e">
        <f>AND('Badge Ticket Formats'!#REF!,"AAAAAFvQxjU=")</f>
        <v>#REF!</v>
      </c>
      <c r="BC155" t="e">
        <f>AND('Badge Ticket Formats'!#REF!,"AAAAAFvQxjY=")</f>
        <v>#REF!</v>
      </c>
      <c r="BD155" t="e">
        <f>AND('Badge Ticket Formats'!#REF!,"AAAAAFvQxjc=")</f>
        <v>#REF!</v>
      </c>
      <c r="BE155" t="e">
        <f>AND('Badge Ticket Formats'!#REF!,"AAAAAFvQxjg=")</f>
        <v>#REF!</v>
      </c>
      <c r="BF155" t="e">
        <f>AND('Badge Ticket Formats'!#REF!,"AAAAAFvQxjk=")</f>
        <v>#REF!</v>
      </c>
      <c r="BG155" t="e">
        <f>AND('Badge Ticket Formats'!#REF!,"AAAAAFvQxjo=")</f>
        <v>#REF!</v>
      </c>
      <c r="BH155" t="e">
        <f>AND('Badge Ticket Formats'!#REF!,"AAAAAFvQxjs=")</f>
        <v>#REF!</v>
      </c>
      <c r="BI155" t="e">
        <f>AND('Badge Ticket Formats'!#REF!,"AAAAAFvQxjw=")</f>
        <v>#REF!</v>
      </c>
      <c r="BJ155" t="e">
        <f>AND('Badge Ticket Formats'!#REF!,"AAAAAFvQxj0=")</f>
        <v>#REF!</v>
      </c>
      <c r="BK155" t="e">
        <f>AND('Badge Ticket Formats'!#REF!,"AAAAAFvQxj4=")</f>
        <v>#REF!</v>
      </c>
      <c r="BL155" t="e">
        <f>AND('Badge Ticket Formats'!#REF!,"AAAAAFvQxj8=")</f>
        <v>#REF!</v>
      </c>
      <c r="BM155" t="e">
        <f>AND('Badge Ticket Formats'!#REF!,"AAAAAFvQxkA=")</f>
        <v>#REF!</v>
      </c>
      <c r="BN155" t="e">
        <f>AND('Badge Ticket Formats'!#REF!,"AAAAAFvQxkE=")</f>
        <v>#REF!</v>
      </c>
      <c r="BO155" t="e">
        <f>IF('Badge Ticket Formats'!#REF!,"AAAAAFvQxkI=",0)</f>
        <v>#REF!</v>
      </c>
      <c r="BP155" t="e">
        <f>AND('Badge Ticket Formats'!#REF!,"AAAAAFvQxkM=")</f>
        <v>#REF!</v>
      </c>
      <c r="BQ155" t="e">
        <f>AND('Badge Ticket Formats'!#REF!,"AAAAAFvQxkQ=")</f>
        <v>#REF!</v>
      </c>
      <c r="BR155" t="e">
        <f>AND('Badge Ticket Formats'!#REF!,"AAAAAFvQxkU=")</f>
        <v>#REF!</v>
      </c>
      <c r="BS155" t="e">
        <f>AND('Badge Ticket Formats'!#REF!,"AAAAAFvQxkY=")</f>
        <v>#REF!</v>
      </c>
      <c r="BT155" t="e">
        <f>AND('Badge Ticket Formats'!#REF!,"AAAAAFvQxkc=")</f>
        <v>#REF!</v>
      </c>
      <c r="BU155" t="e">
        <f>AND('Badge Ticket Formats'!#REF!,"AAAAAFvQxkg=")</f>
        <v>#REF!</v>
      </c>
      <c r="BV155" t="e">
        <f>AND('Badge Ticket Formats'!#REF!,"AAAAAFvQxkk=")</f>
        <v>#REF!</v>
      </c>
      <c r="BW155" t="e">
        <f>AND('Badge Ticket Formats'!#REF!,"AAAAAFvQxko=")</f>
        <v>#REF!</v>
      </c>
      <c r="BX155" t="e">
        <f>AND('Badge Ticket Formats'!#REF!,"AAAAAFvQxks=")</f>
        <v>#REF!</v>
      </c>
      <c r="BY155" t="e">
        <f>AND('Badge Ticket Formats'!#REF!,"AAAAAFvQxkw=")</f>
        <v>#REF!</v>
      </c>
      <c r="BZ155" t="e">
        <f>AND('Badge Ticket Formats'!#REF!,"AAAAAFvQxk0=")</f>
        <v>#REF!</v>
      </c>
      <c r="CA155" t="e">
        <f>AND('Badge Ticket Formats'!#REF!,"AAAAAFvQxk4=")</f>
        <v>#REF!</v>
      </c>
      <c r="CB155" t="e">
        <f>AND('Badge Ticket Formats'!#REF!,"AAAAAFvQxk8=")</f>
        <v>#REF!</v>
      </c>
      <c r="CC155" t="e">
        <f>IF('Badge Ticket Formats'!#REF!,"AAAAAFvQxlA=",0)</f>
        <v>#REF!</v>
      </c>
      <c r="CD155" t="e">
        <f>AND('Badge Ticket Formats'!#REF!,"AAAAAFvQxlE=")</f>
        <v>#REF!</v>
      </c>
      <c r="CE155" t="e">
        <f>AND('Badge Ticket Formats'!#REF!,"AAAAAFvQxlI=")</f>
        <v>#REF!</v>
      </c>
      <c r="CF155" t="e">
        <f>AND('Badge Ticket Formats'!#REF!,"AAAAAFvQxlM=")</f>
        <v>#REF!</v>
      </c>
      <c r="CG155" t="e">
        <f>AND('Badge Ticket Formats'!#REF!,"AAAAAFvQxlQ=")</f>
        <v>#REF!</v>
      </c>
      <c r="CH155" t="e">
        <f>AND('Badge Ticket Formats'!#REF!,"AAAAAFvQxlU=")</f>
        <v>#REF!</v>
      </c>
      <c r="CI155" t="e">
        <f>AND('Badge Ticket Formats'!#REF!,"AAAAAFvQxlY=")</f>
        <v>#REF!</v>
      </c>
      <c r="CJ155" t="e">
        <f>AND('Badge Ticket Formats'!#REF!,"AAAAAFvQxlc=")</f>
        <v>#REF!</v>
      </c>
      <c r="CK155" t="e">
        <f>AND('Badge Ticket Formats'!#REF!,"AAAAAFvQxlg=")</f>
        <v>#REF!</v>
      </c>
      <c r="CL155" t="e">
        <f>AND('Badge Ticket Formats'!#REF!,"AAAAAFvQxlk=")</f>
        <v>#REF!</v>
      </c>
      <c r="CM155" t="e">
        <f>AND('Badge Ticket Formats'!#REF!,"AAAAAFvQxlo=")</f>
        <v>#REF!</v>
      </c>
      <c r="CN155" t="e">
        <f>AND('Badge Ticket Formats'!#REF!,"AAAAAFvQxls=")</f>
        <v>#REF!</v>
      </c>
      <c r="CO155" t="e">
        <f>AND('Badge Ticket Formats'!#REF!,"AAAAAFvQxlw=")</f>
        <v>#REF!</v>
      </c>
      <c r="CP155" t="e">
        <f>AND('Badge Ticket Formats'!#REF!,"AAAAAFvQxl0=")</f>
        <v>#REF!</v>
      </c>
      <c r="CQ155" t="e">
        <f>IF('Badge Ticket Formats'!#REF!,"AAAAAFvQxl4=",0)</f>
        <v>#REF!</v>
      </c>
      <c r="CR155" t="e">
        <f>AND('Badge Ticket Formats'!#REF!,"AAAAAFvQxl8=")</f>
        <v>#REF!</v>
      </c>
      <c r="CS155" t="e">
        <f>AND('Badge Ticket Formats'!#REF!,"AAAAAFvQxmA=")</f>
        <v>#REF!</v>
      </c>
      <c r="CT155" t="e">
        <f>AND('Badge Ticket Formats'!#REF!,"AAAAAFvQxmE=")</f>
        <v>#REF!</v>
      </c>
      <c r="CU155" t="e">
        <f>AND('Badge Ticket Formats'!#REF!,"AAAAAFvQxmI=")</f>
        <v>#REF!</v>
      </c>
      <c r="CV155" t="e">
        <f>AND('Badge Ticket Formats'!#REF!,"AAAAAFvQxmM=")</f>
        <v>#REF!</v>
      </c>
      <c r="CW155" t="e">
        <f>AND('Badge Ticket Formats'!#REF!,"AAAAAFvQxmQ=")</f>
        <v>#REF!</v>
      </c>
      <c r="CX155" t="e">
        <f>AND('Badge Ticket Formats'!#REF!,"AAAAAFvQxmU=")</f>
        <v>#REF!</v>
      </c>
      <c r="CY155" t="e">
        <f>AND('Badge Ticket Formats'!#REF!,"AAAAAFvQxmY=")</f>
        <v>#REF!</v>
      </c>
      <c r="CZ155" t="e">
        <f>AND('Badge Ticket Formats'!#REF!,"AAAAAFvQxmc=")</f>
        <v>#REF!</v>
      </c>
      <c r="DA155" t="e">
        <f>AND('Badge Ticket Formats'!#REF!,"AAAAAFvQxmg=")</f>
        <v>#REF!</v>
      </c>
      <c r="DB155" t="e">
        <f>AND('Badge Ticket Formats'!#REF!,"AAAAAFvQxmk=")</f>
        <v>#REF!</v>
      </c>
      <c r="DC155" t="e">
        <f>AND('Badge Ticket Formats'!#REF!,"AAAAAFvQxmo=")</f>
        <v>#REF!</v>
      </c>
      <c r="DD155" t="e">
        <f>AND('Badge Ticket Formats'!#REF!,"AAAAAFvQxms=")</f>
        <v>#REF!</v>
      </c>
      <c r="DE155" t="e">
        <f>IF('Badge Ticket Formats'!#REF!,"AAAAAFvQxmw=",0)</f>
        <v>#REF!</v>
      </c>
      <c r="DF155" t="e">
        <f>AND('Badge Ticket Formats'!#REF!,"AAAAAFvQxm0=")</f>
        <v>#REF!</v>
      </c>
      <c r="DG155" t="e">
        <f>AND('Badge Ticket Formats'!#REF!,"AAAAAFvQxm4=")</f>
        <v>#REF!</v>
      </c>
      <c r="DH155" t="e">
        <f>AND('Badge Ticket Formats'!#REF!,"AAAAAFvQxm8=")</f>
        <v>#REF!</v>
      </c>
      <c r="DI155" t="e">
        <f>AND('Badge Ticket Formats'!#REF!,"AAAAAFvQxnA=")</f>
        <v>#REF!</v>
      </c>
      <c r="DJ155" t="e">
        <f>AND('Badge Ticket Formats'!#REF!,"AAAAAFvQxnE=")</f>
        <v>#REF!</v>
      </c>
      <c r="DK155" t="e">
        <f>AND('Badge Ticket Formats'!#REF!,"AAAAAFvQxnI=")</f>
        <v>#REF!</v>
      </c>
      <c r="DL155" t="e">
        <f>AND('Badge Ticket Formats'!#REF!,"AAAAAFvQxnM=")</f>
        <v>#REF!</v>
      </c>
      <c r="DM155" t="e">
        <f>AND('Badge Ticket Formats'!#REF!,"AAAAAFvQxnQ=")</f>
        <v>#REF!</v>
      </c>
      <c r="DN155" t="e">
        <f>AND('Badge Ticket Formats'!#REF!,"AAAAAFvQxnU=")</f>
        <v>#REF!</v>
      </c>
      <c r="DO155" t="e">
        <f>AND('Badge Ticket Formats'!#REF!,"AAAAAFvQxnY=")</f>
        <v>#REF!</v>
      </c>
      <c r="DP155" t="e">
        <f>AND('Badge Ticket Formats'!#REF!,"AAAAAFvQxnc=")</f>
        <v>#REF!</v>
      </c>
      <c r="DQ155" t="e">
        <f>AND('Badge Ticket Formats'!#REF!,"AAAAAFvQxng=")</f>
        <v>#REF!</v>
      </c>
      <c r="DR155" t="e">
        <f>AND('Badge Ticket Formats'!#REF!,"AAAAAFvQxnk=")</f>
        <v>#REF!</v>
      </c>
      <c r="DS155" t="e">
        <f>IF('Badge Ticket Formats'!#REF!,"AAAAAFvQxno=",0)</f>
        <v>#REF!</v>
      </c>
      <c r="DT155" t="e">
        <f>AND('Badge Ticket Formats'!#REF!,"AAAAAFvQxns=")</f>
        <v>#REF!</v>
      </c>
      <c r="DU155" t="e">
        <f>AND('Badge Ticket Formats'!#REF!,"AAAAAFvQxnw=")</f>
        <v>#REF!</v>
      </c>
      <c r="DV155" t="e">
        <f>AND('Badge Ticket Formats'!#REF!,"AAAAAFvQxn0=")</f>
        <v>#REF!</v>
      </c>
      <c r="DW155" t="e">
        <f>AND('Badge Ticket Formats'!#REF!,"AAAAAFvQxn4=")</f>
        <v>#REF!</v>
      </c>
      <c r="DX155" t="e">
        <f>AND('Badge Ticket Formats'!#REF!,"AAAAAFvQxn8=")</f>
        <v>#REF!</v>
      </c>
      <c r="DY155" t="e">
        <f>AND('Badge Ticket Formats'!#REF!,"AAAAAFvQxoA=")</f>
        <v>#REF!</v>
      </c>
      <c r="DZ155" t="e">
        <f>AND('Badge Ticket Formats'!#REF!,"AAAAAFvQxoE=")</f>
        <v>#REF!</v>
      </c>
      <c r="EA155" t="e">
        <f>AND('Badge Ticket Formats'!#REF!,"AAAAAFvQxoI=")</f>
        <v>#REF!</v>
      </c>
      <c r="EB155" t="e">
        <f>AND('Badge Ticket Formats'!#REF!,"AAAAAFvQxoM=")</f>
        <v>#REF!</v>
      </c>
      <c r="EC155" t="e">
        <f>AND('Badge Ticket Formats'!#REF!,"AAAAAFvQxoQ=")</f>
        <v>#REF!</v>
      </c>
      <c r="ED155" t="e">
        <f>AND('Badge Ticket Formats'!#REF!,"AAAAAFvQxoU=")</f>
        <v>#REF!</v>
      </c>
      <c r="EE155" t="e">
        <f>AND('Badge Ticket Formats'!#REF!,"AAAAAFvQxoY=")</f>
        <v>#REF!</v>
      </c>
      <c r="EF155" t="e">
        <f>AND('Badge Ticket Formats'!#REF!,"AAAAAFvQxoc=")</f>
        <v>#REF!</v>
      </c>
      <c r="EG155" t="e">
        <f>IF('Badge Ticket Formats'!#REF!,"AAAAAFvQxog=",0)</f>
        <v>#REF!</v>
      </c>
      <c r="EH155" t="e">
        <f>AND('Badge Ticket Formats'!#REF!,"AAAAAFvQxok=")</f>
        <v>#REF!</v>
      </c>
      <c r="EI155" t="e">
        <f>AND('Badge Ticket Formats'!#REF!,"AAAAAFvQxoo=")</f>
        <v>#REF!</v>
      </c>
      <c r="EJ155" t="e">
        <f>AND('Badge Ticket Formats'!#REF!,"AAAAAFvQxos=")</f>
        <v>#REF!</v>
      </c>
      <c r="EK155" t="e">
        <f>AND('Badge Ticket Formats'!#REF!,"AAAAAFvQxow=")</f>
        <v>#REF!</v>
      </c>
      <c r="EL155" t="e">
        <f>AND('Badge Ticket Formats'!#REF!,"AAAAAFvQxo0=")</f>
        <v>#REF!</v>
      </c>
      <c r="EM155" t="e">
        <f>AND('Badge Ticket Formats'!#REF!,"AAAAAFvQxo4=")</f>
        <v>#REF!</v>
      </c>
      <c r="EN155" t="e">
        <f>AND('Badge Ticket Formats'!#REF!,"AAAAAFvQxo8=")</f>
        <v>#REF!</v>
      </c>
      <c r="EO155" t="e">
        <f>AND('Badge Ticket Formats'!#REF!,"AAAAAFvQxpA=")</f>
        <v>#REF!</v>
      </c>
      <c r="EP155" t="e">
        <f>AND('Badge Ticket Formats'!#REF!,"AAAAAFvQxpE=")</f>
        <v>#REF!</v>
      </c>
      <c r="EQ155" t="e">
        <f>AND('Badge Ticket Formats'!#REF!,"AAAAAFvQxpI=")</f>
        <v>#REF!</v>
      </c>
      <c r="ER155" t="e">
        <f>AND('Badge Ticket Formats'!#REF!,"AAAAAFvQxpM=")</f>
        <v>#REF!</v>
      </c>
      <c r="ES155" t="e">
        <f>AND('Badge Ticket Formats'!#REF!,"AAAAAFvQxpQ=")</f>
        <v>#REF!</v>
      </c>
      <c r="ET155" t="e">
        <f>AND('Badge Ticket Formats'!#REF!,"AAAAAFvQxpU=")</f>
        <v>#REF!</v>
      </c>
      <c r="EU155" t="e">
        <f>IF('Badge Ticket Formats'!#REF!,"AAAAAFvQxpY=",0)</f>
        <v>#REF!</v>
      </c>
      <c r="EV155" t="e">
        <f>AND('Badge Ticket Formats'!#REF!,"AAAAAFvQxpc=")</f>
        <v>#REF!</v>
      </c>
      <c r="EW155" t="e">
        <f>AND('Badge Ticket Formats'!#REF!,"AAAAAFvQxpg=")</f>
        <v>#REF!</v>
      </c>
      <c r="EX155" t="e">
        <f>AND('Badge Ticket Formats'!#REF!,"AAAAAFvQxpk=")</f>
        <v>#REF!</v>
      </c>
      <c r="EY155" t="e">
        <f>AND('Badge Ticket Formats'!#REF!,"AAAAAFvQxpo=")</f>
        <v>#REF!</v>
      </c>
      <c r="EZ155" t="e">
        <f>AND('Badge Ticket Formats'!#REF!,"AAAAAFvQxps=")</f>
        <v>#REF!</v>
      </c>
      <c r="FA155" t="e">
        <f>AND('Badge Ticket Formats'!#REF!,"AAAAAFvQxpw=")</f>
        <v>#REF!</v>
      </c>
      <c r="FB155" t="e">
        <f>AND('Badge Ticket Formats'!#REF!,"AAAAAFvQxp0=")</f>
        <v>#REF!</v>
      </c>
      <c r="FC155" t="e">
        <f>AND('Badge Ticket Formats'!#REF!,"AAAAAFvQxp4=")</f>
        <v>#REF!</v>
      </c>
      <c r="FD155" t="e">
        <f>AND('Badge Ticket Formats'!#REF!,"AAAAAFvQxp8=")</f>
        <v>#REF!</v>
      </c>
      <c r="FE155" t="e">
        <f>AND('Badge Ticket Formats'!#REF!,"AAAAAFvQxqA=")</f>
        <v>#REF!</v>
      </c>
      <c r="FF155" t="e">
        <f>AND('Badge Ticket Formats'!#REF!,"AAAAAFvQxqE=")</f>
        <v>#REF!</v>
      </c>
      <c r="FG155" t="e">
        <f>AND('Badge Ticket Formats'!#REF!,"AAAAAFvQxqI=")</f>
        <v>#REF!</v>
      </c>
      <c r="FH155" t="e">
        <f>AND('Badge Ticket Formats'!#REF!,"AAAAAFvQxqM=")</f>
        <v>#REF!</v>
      </c>
      <c r="FI155" t="e">
        <f>IF('Badge Ticket Formats'!#REF!,"AAAAAFvQxqQ=",0)</f>
        <v>#REF!</v>
      </c>
      <c r="FJ155" t="e">
        <f>AND('Badge Ticket Formats'!#REF!,"AAAAAFvQxqU=")</f>
        <v>#REF!</v>
      </c>
      <c r="FK155" t="e">
        <f>AND('Badge Ticket Formats'!#REF!,"AAAAAFvQxqY=")</f>
        <v>#REF!</v>
      </c>
      <c r="FL155" t="e">
        <f>AND('Badge Ticket Formats'!#REF!,"AAAAAFvQxqc=")</f>
        <v>#REF!</v>
      </c>
      <c r="FM155" t="e">
        <f>AND('Badge Ticket Formats'!#REF!,"AAAAAFvQxqg=")</f>
        <v>#REF!</v>
      </c>
      <c r="FN155" t="e">
        <f>AND('Badge Ticket Formats'!#REF!,"AAAAAFvQxqk=")</f>
        <v>#REF!</v>
      </c>
      <c r="FO155" t="e">
        <f>AND('Badge Ticket Formats'!#REF!,"AAAAAFvQxqo=")</f>
        <v>#REF!</v>
      </c>
      <c r="FP155" t="e">
        <f>AND('Badge Ticket Formats'!#REF!,"AAAAAFvQxqs=")</f>
        <v>#REF!</v>
      </c>
      <c r="FQ155" t="e">
        <f>AND('Badge Ticket Formats'!#REF!,"AAAAAFvQxqw=")</f>
        <v>#REF!</v>
      </c>
      <c r="FR155" t="e">
        <f>AND('Badge Ticket Formats'!#REF!,"AAAAAFvQxq0=")</f>
        <v>#REF!</v>
      </c>
      <c r="FS155" t="e">
        <f>AND('Badge Ticket Formats'!#REF!,"AAAAAFvQxq4=")</f>
        <v>#REF!</v>
      </c>
      <c r="FT155" t="e">
        <f>AND('Badge Ticket Formats'!#REF!,"AAAAAFvQxq8=")</f>
        <v>#REF!</v>
      </c>
      <c r="FU155" t="e">
        <f>AND('Badge Ticket Formats'!#REF!,"AAAAAFvQxrA=")</f>
        <v>#REF!</v>
      </c>
      <c r="FV155" t="e">
        <f>AND('Badge Ticket Formats'!#REF!,"AAAAAFvQxrE=")</f>
        <v>#REF!</v>
      </c>
      <c r="FW155" t="e">
        <f>IF('Badge Ticket Formats'!#REF!,"AAAAAFvQxrI=",0)</f>
        <v>#REF!</v>
      </c>
      <c r="FX155" t="e">
        <f>AND('Badge Ticket Formats'!#REF!,"AAAAAFvQxrM=")</f>
        <v>#REF!</v>
      </c>
      <c r="FY155" t="e">
        <f>AND('Badge Ticket Formats'!#REF!,"AAAAAFvQxrQ=")</f>
        <v>#REF!</v>
      </c>
      <c r="FZ155" t="e">
        <f>AND('Badge Ticket Formats'!#REF!,"AAAAAFvQxrU=")</f>
        <v>#REF!</v>
      </c>
      <c r="GA155" t="e">
        <f>AND('Badge Ticket Formats'!#REF!,"AAAAAFvQxrY=")</f>
        <v>#REF!</v>
      </c>
      <c r="GB155" t="e">
        <f>AND('Badge Ticket Formats'!#REF!,"AAAAAFvQxrc=")</f>
        <v>#REF!</v>
      </c>
      <c r="GC155" t="e">
        <f>AND('Badge Ticket Formats'!#REF!,"AAAAAFvQxrg=")</f>
        <v>#REF!</v>
      </c>
      <c r="GD155" t="e">
        <f>AND('Badge Ticket Formats'!#REF!,"AAAAAFvQxrk=")</f>
        <v>#REF!</v>
      </c>
      <c r="GE155" t="e">
        <f>AND('Badge Ticket Formats'!#REF!,"AAAAAFvQxro=")</f>
        <v>#REF!</v>
      </c>
      <c r="GF155" t="e">
        <f>AND('Badge Ticket Formats'!#REF!,"AAAAAFvQxrs=")</f>
        <v>#REF!</v>
      </c>
      <c r="GG155" t="e">
        <f>AND('Badge Ticket Formats'!#REF!,"AAAAAFvQxrw=")</f>
        <v>#REF!</v>
      </c>
      <c r="GH155" t="e">
        <f>AND('Badge Ticket Formats'!#REF!,"AAAAAFvQxr0=")</f>
        <v>#REF!</v>
      </c>
      <c r="GI155" t="e">
        <f>AND('Badge Ticket Formats'!#REF!,"AAAAAFvQxr4=")</f>
        <v>#REF!</v>
      </c>
      <c r="GJ155" t="e">
        <f>AND('Badge Ticket Formats'!#REF!,"AAAAAFvQxr8=")</f>
        <v>#REF!</v>
      </c>
      <c r="GK155" t="e">
        <f>IF('Badge Ticket Formats'!#REF!,"AAAAAFvQxsA=",0)</f>
        <v>#REF!</v>
      </c>
      <c r="GL155" t="e">
        <f>AND('Badge Ticket Formats'!#REF!,"AAAAAFvQxsE=")</f>
        <v>#REF!</v>
      </c>
      <c r="GM155" t="e">
        <f>AND('Badge Ticket Formats'!#REF!,"AAAAAFvQxsI=")</f>
        <v>#REF!</v>
      </c>
      <c r="GN155" t="e">
        <f>AND('Badge Ticket Formats'!#REF!,"AAAAAFvQxsM=")</f>
        <v>#REF!</v>
      </c>
      <c r="GO155" t="e">
        <f>AND('Badge Ticket Formats'!#REF!,"AAAAAFvQxsQ=")</f>
        <v>#REF!</v>
      </c>
      <c r="GP155" t="e">
        <f>AND('Badge Ticket Formats'!#REF!,"AAAAAFvQxsU=")</f>
        <v>#REF!</v>
      </c>
      <c r="GQ155" t="e">
        <f>AND('Badge Ticket Formats'!#REF!,"AAAAAFvQxsY=")</f>
        <v>#REF!</v>
      </c>
      <c r="GR155" t="e">
        <f>AND('Badge Ticket Formats'!#REF!,"AAAAAFvQxsc=")</f>
        <v>#REF!</v>
      </c>
      <c r="GS155" t="e">
        <f>AND('Badge Ticket Formats'!#REF!,"AAAAAFvQxsg=")</f>
        <v>#REF!</v>
      </c>
      <c r="GT155" t="e">
        <f>AND('Badge Ticket Formats'!#REF!,"AAAAAFvQxsk=")</f>
        <v>#REF!</v>
      </c>
      <c r="GU155" t="e">
        <f>AND('Badge Ticket Formats'!#REF!,"AAAAAFvQxso=")</f>
        <v>#REF!</v>
      </c>
      <c r="GV155" t="e">
        <f>AND('Badge Ticket Formats'!#REF!,"AAAAAFvQxss=")</f>
        <v>#REF!</v>
      </c>
      <c r="GW155" t="e">
        <f>AND('Badge Ticket Formats'!#REF!,"AAAAAFvQxsw=")</f>
        <v>#REF!</v>
      </c>
      <c r="GX155" t="e">
        <f>AND('Badge Ticket Formats'!#REF!,"AAAAAFvQxs0=")</f>
        <v>#REF!</v>
      </c>
      <c r="GY155" t="e">
        <f>IF('Badge Ticket Formats'!#REF!,"AAAAAFvQxs4=",0)</f>
        <v>#REF!</v>
      </c>
      <c r="GZ155" t="e">
        <f>AND('Badge Ticket Formats'!#REF!,"AAAAAFvQxs8=")</f>
        <v>#REF!</v>
      </c>
      <c r="HA155" t="e">
        <f>AND('Badge Ticket Formats'!#REF!,"AAAAAFvQxtA=")</f>
        <v>#REF!</v>
      </c>
      <c r="HB155" t="e">
        <f>AND('Badge Ticket Formats'!#REF!,"AAAAAFvQxtE=")</f>
        <v>#REF!</v>
      </c>
      <c r="HC155" t="e">
        <f>AND('Badge Ticket Formats'!#REF!,"AAAAAFvQxtI=")</f>
        <v>#REF!</v>
      </c>
      <c r="HD155" t="e">
        <f>AND('Badge Ticket Formats'!#REF!,"AAAAAFvQxtM=")</f>
        <v>#REF!</v>
      </c>
      <c r="HE155" t="e">
        <f>AND('Badge Ticket Formats'!#REF!,"AAAAAFvQxtQ=")</f>
        <v>#REF!</v>
      </c>
      <c r="HF155" t="e">
        <f>AND('Badge Ticket Formats'!#REF!,"AAAAAFvQxtU=")</f>
        <v>#REF!</v>
      </c>
      <c r="HG155" t="e">
        <f>AND('Badge Ticket Formats'!#REF!,"AAAAAFvQxtY=")</f>
        <v>#REF!</v>
      </c>
      <c r="HH155" t="e">
        <f>AND('Badge Ticket Formats'!#REF!,"AAAAAFvQxtc=")</f>
        <v>#REF!</v>
      </c>
      <c r="HI155" t="e">
        <f>AND('Badge Ticket Formats'!#REF!,"AAAAAFvQxtg=")</f>
        <v>#REF!</v>
      </c>
      <c r="HJ155" t="e">
        <f>AND('Badge Ticket Formats'!#REF!,"AAAAAFvQxtk=")</f>
        <v>#REF!</v>
      </c>
      <c r="HK155" t="e">
        <f>AND('Badge Ticket Formats'!#REF!,"AAAAAFvQxto=")</f>
        <v>#REF!</v>
      </c>
      <c r="HL155" t="e">
        <f>AND('Badge Ticket Formats'!#REF!,"AAAAAFvQxts=")</f>
        <v>#REF!</v>
      </c>
      <c r="HM155" t="e">
        <f>IF('Badge Ticket Formats'!#REF!,"AAAAAFvQxtw=",0)</f>
        <v>#REF!</v>
      </c>
      <c r="HN155" t="e">
        <f>AND('Badge Ticket Formats'!#REF!,"AAAAAFvQxt0=")</f>
        <v>#REF!</v>
      </c>
      <c r="HO155" t="e">
        <f>AND('Badge Ticket Formats'!#REF!,"AAAAAFvQxt4=")</f>
        <v>#REF!</v>
      </c>
      <c r="HP155" t="e">
        <f>AND('Badge Ticket Formats'!#REF!,"AAAAAFvQxt8=")</f>
        <v>#REF!</v>
      </c>
      <c r="HQ155" t="e">
        <f>AND('Badge Ticket Formats'!#REF!,"AAAAAFvQxuA=")</f>
        <v>#REF!</v>
      </c>
      <c r="HR155" t="e">
        <f>AND('Badge Ticket Formats'!#REF!,"AAAAAFvQxuE=")</f>
        <v>#REF!</v>
      </c>
      <c r="HS155" t="e">
        <f>AND('Badge Ticket Formats'!#REF!,"AAAAAFvQxuI=")</f>
        <v>#REF!</v>
      </c>
      <c r="HT155" t="e">
        <f>AND('Badge Ticket Formats'!#REF!,"AAAAAFvQxuM=")</f>
        <v>#REF!</v>
      </c>
      <c r="HU155" t="e">
        <f>AND('Badge Ticket Formats'!#REF!,"AAAAAFvQxuQ=")</f>
        <v>#REF!</v>
      </c>
      <c r="HV155" t="e">
        <f>AND('Badge Ticket Formats'!#REF!,"AAAAAFvQxuU=")</f>
        <v>#REF!</v>
      </c>
      <c r="HW155" t="e">
        <f>AND('Badge Ticket Formats'!#REF!,"AAAAAFvQxuY=")</f>
        <v>#REF!</v>
      </c>
      <c r="HX155" t="e">
        <f>AND('Badge Ticket Formats'!#REF!,"AAAAAFvQxuc=")</f>
        <v>#REF!</v>
      </c>
      <c r="HY155" t="e">
        <f>AND('Badge Ticket Formats'!#REF!,"AAAAAFvQxug=")</f>
        <v>#REF!</v>
      </c>
      <c r="HZ155" t="e">
        <f>AND('Badge Ticket Formats'!#REF!,"AAAAAFvQxuk=")</f>
        <v>#REF!</v>
      </c>
      <c r="IA155" t="e">
        <f>IF('Badge Ticket Formats'!#REF!,"AAAAAFvQxuo=",0)</f>
        <v>#REF!</v>
      </c>
      <c r="IB155" t="e">
        <f>AND('Badge Ticket Formats'!#REF!,"AAAAAFvQxus=")</f>
        <v>#REF!</v>
      </c>
      <c r="IC155" t="e">
        <f>AND('Badge Ticket Formats'!#REF!,"AAAAAFvQxuw=")</f>
        <v>#REF!</v>
      </c>
      <c r="ID155" t="e">
        <f>AND('Badge Ticket Formats'!#REF!,"AAAAAFvQxu0=")</f>
        <v>#REF!</v>
      </c>
      <c r="IE155" t="e">
        <f>AND('Badge Ticket Formats'!#REF!,"AAAAAFvQxu4=")</f>
        <v>#REF!</v>
      </c>
      <c r="IF155" t="e">
        <f>AND('Badge Ticket Formats'!#REF!,"AAAAAFvQxu8=")</f>
        <v>#REF!</v>
      </c>
      <c r="IG155" t="e">
        <f>AND('Badge Ticket Formats'!#REF!,"AAAAAFvQxvA=")</f>
        <v>#REF!</v>
      </c>
      <c r="IH155" t="e">
        <f>AND('Badge Ticket Formats'!#REF!,"AAAAAFvQxvE=")</f>
        <v>#REF!</v>
      </c>
      <c r="II155" t="e">
        <f>AND('Badge Ticket Formats'!#REF!,"AAAAAFvQxvI=")</f>
        <v>#REF!</v>
      </c>
      <c r="IJ155" t="e">
        <f>AND('Badge Ticket Formats'!#REF!,"AAAAAFvQxvM=")</f>
        <v>#REF!</v>
      </c>
      <c r="IK155" t="e">
        <f>AND('Badge Ticket Formats'!#REF!,"AAAAAFvQxvQ=")</f>
        <v>#REF!</v>
      </c>
      <c r="IL155" t="e">
        <f>AND('Badge Ticket Formats'!#REF!,"AAAAAFvQxvU=")</f>
        <v>#REF!</v>
      </c>
      <c r="IM155" t="e">
        <f>AND('Badge Ticket Formats'!#REF!,"AAAAAFvQxvY=")</f>
        <v>#REF!</v>
      </c>
      <c r="IN155" t="e">
        <f>AND('Badge Ticket Formats'!#REF!,"AAAAAFvQxvc=")</f>
        <v>#REF!</v>
      </c>
      <c r="IO155" t="e">
        <f>IF('Badge Ticket Formats'!#REF!,"AAAAAFvQxvg=",0)</f>
        <v>#REF!</v>
      </c>
      <c r="IP155" t="e">
        <f>AND('Badge Ticket Formats'!#REF!,"AAAAAFvQxvk=")</f>
        <v>#REF!</v>
      </c>
      <c r="IQ155" t="e">
        <f>AND('Badge Ticket Formats'!#REF!,"AAAAAFvQxvo=")</f>
        <v>#REF!</v>
      </c>
      <c r="IR155" t="e">
        <f>AND('Badge Ticket Formats'!#REF!,"AAAAAFvQxvs=")</f>
        <v>#REF!</v>
      </c>
      <c r="IS155" t="e">
        <f>AND('Badge Ticket Formats'!#REF!,"AAAAAFvQxvw=")</f>
        <v>#REF!</v>
      </c>
      <c r="IT155" t="e">
        <f>AND('Badge Ticket Formats'!#REF!,"AAAAAFvQxv0=")</f>
        <v>#REF!</v>
      </c>
      <c r="IU155" t="e">
        <f>AND('Badge Ticket Formats'!#REF!,"AAAAAFvQxv4=")</f>
        <v>#REF!</v>
      </c>
      <c r="IV155" t="e">
        <f>AND('Badge Ticket Formats'!#REF!,"AAAAAFvQxv8=")</f>
        <v>#REF!</v>
      </c>
    </row>
    <row r="156" spans="1:256" x14ac:dyDescent="0.2">
      <c r="A156" t="e">
        <f>AND('Badge Ticket Formats'!#REF!,"AAAAABv7zwA=")</f>
        <v>#REF!</v>
      </c>
      <c r="B156" t="e">
        <f>AND('Badge Ticket Formats'!#REF!,"AAAAABv7zwE=")</f>
        <v>#REF!</v>
      </c>
      <c r="C156" t="e">
        <f>AND('Badge Ticket Formats'!#REF!,"AAAAABv7zwI=")</f>
        <v>#REF!</v>
      </c>
      <c r="D156" t="e">
        <f>AND('Badge Ticket Formats'!#REF!,"AAAAABv7zwM=")</f>
        <v>#REF!</v>
      </c>
      <c r="E156" t="e">
        <f>AND('Badge Ticket Formats'!#REF!,"AAAAABv7zwQ=")</f>
        <v>#REF!</v>
      </c>
      <c r="F156" t="e">
        <f>AND('Badge Ticket Formats'!#REF!,"AAAAABv7zwU=")</f>
        <v>#REF!</v>
      </c>
      <c r="G156" t="e">
        <f>IF('Badge Ticket Formats'!#REF!,"AAAAABv7zwY=",0)</f>
        <v>#REF!</v>
      </c>
      <c r="H156" t="e">
        <f>AND('Badge Ticket Formats'!#REF!,"AAAAABv7zwc=")</f>
        <v>#REF!</v>
      </c>
      <c r="I156" t="e">
        <f>AND('Badge Ticket Formats'!#REF!,"AAAAABv7zwg=")</f>
        <v>#REF!</v>
      </c>
      <c r="J156" t="e">
        <f>AND('Badge Ticket Formats'!#REF!,"AAAAABv7zwk=")</f>
        <v>#REF!</v>
      </c>
      <c r="K156" t="e">
        <f>AND('Badge Ticket Formats'!#REF!,"AAAAABv7zwo=")</f>
        <v>#REF!</v>
      </c>
      <c r="L156" t="e">
        <f>AND('Badge Ticket Formats'!#REF!,"AAAAABv7zws=")</f>
        <v>#REF!</v>
      </c>
      <c r="M156" t="e">
        <f>AND('Badge Ticket Formats'!#REF!,"AAAAABv7zww=")</f>
        <v>#REF!</v>
      </c>
      <c r="N156" t="e">
        <f>AND('Badge Ticket Formats'!#REF!,"AAAAABv7zw0=")</f>
        <v>#REF!</v>
      </c>
      <c r="O156" t="e">
        <f>AND('Badge Ticket Formats'!#REF!,"AAAAABv7zw4=")</f>
        <v>#REF!</v>
      </c>
      <c r="P156" t="e">
        <f>AND('Badge Ticket Formats'!#REF!,"AAAAABv7zw8=")</f>
        <v>#REF!</v>
      </c>
      <c r="Q156" t="e">
        <f>AND('Badge Ticket Formats'!#REF!,"AAAAABv7zxA=")</f>
        <v>#REF!</v>
      </c>
      <c r="R156" t="e">
        <f>AND('Badge Ticket Formats'!#REF!,"AAAAABv7zxE=")</f>
        <v>#REF!</v>
      </c>
      <c r="S156" t="e">
        <f>AND('Badge Ticket Formats'!#REF!,"AAAAABv7zxI=")</f>
        <v>#REF!</v>
      </c>
      <c r="T156" t="e">
        <f>AND('Badge Ticket Formats'!#REF!,"AAAAABv7zxM=")</f>
        <v>#REF!</v>
      </c>
      <c r="U156" t="e">
        <f>IF('Badge Ticket Formats'!#REF!,"AAAAABv7zxQ=",0)</f>
        <v>#REF!</v>
      </c>
      <c r="V156" t="e">
        <f>AND('Badge Ticket Formats'!#REF!,"AAAAABv7zxU=")</f>
        <v>#REF!</v>
      </c>
      <c r="W156" t="e">
        <f>AND('Badge Ticket Formats'!#REF!,"AAAAABv7zxY=")</f>
        <v>#REF!</v>
      </c>
      <c r="X156" t="e">
        <f>AND('Badge Ticket Formats'!#REF!,"AAAAABv7zxc=")</f>
        <v>#REF!</v>
      </c>
      <c r="Y156" t="e">
        <f>AND('Badge Ticket Formats'!#REF!,"AAAAABv7zxg=")</f>
        <v>#REF!</v>
      </c>
      <c r="Z156" t="e">
        <f>AND('Badge Ticket Formats'!#REF!,"AAAAABv7zxk=")</f>
        <v>#REF!</v>
      </c>
      <c r="AA156" t="e">
        <f>AND('Badge Ticket Formats'!#REF!,"AAAAABv7zxo=")</f>
        <v>#REF!</v>
      </c>
      <c r="AB156" t="e">
        <f>AND('Badge Ticket Formats'!#REF!,"AAAAABv7zxs=")</f>
        <v>#REF!</v>
      </c>
      <c r="AC156" t="e">
        <f>AND('Badge Ticket Formats'!#REF!,"AAAAABv7zxw=")</f>
        <v>#REF!</v>
      </c>
      <c r="AD156" t="e">
        <f>AND('Badge Ticket Formats'!#REF!,"AAAAABv7zx0=")</f>
        <v>#REF!</v>
      </c>
      <c r="AE156" t="e">
        <f>AND('Badge Ticket Formats'!#REF!,"AAAAABv7zx4=")</f>
        <v>#REF!</v>
      </c>
      <c r="AF156" t="e">
        <f>AND('Badge Ticket Formats'!#REF!,"AAAAABv7zx8=")</f>
        <v>#REF!</v>
      </c>
      <c r="AG156" t="e">
        <f>AND('Badge Ticket Formats'!#REF!,"AAAAABv7zyA=")</f>
        <v>#REF!</v>
      </c>
      <c r="AH156" t="e">
        <f>AND('Badge Ticket Formats'!#REF!,"AAAAABv7zyE=")</f>
        <v>#REF!</v>
      </c>
      <c r="AI156" t="e">
        <f>IF('Badge Ticket Formats'!#REF!,"AAAAABv7zyI=",0)</f>
        <v>#REF!</v>
      </c>
      <c r="AJ156" t="e">
        <f>AND('Badge Ticket Formats'!#REF!,"AAAAABv7zyM=")</f>
        <v>#REF!</v>
      </c>
      <c r="AK156" t="e">
        <f>AND('Badge Ticket Formats'!#REF!,"AAAAABv7zyQ=")</f>
        <v>#REF!</v>
      </c>
      <c r="AL156" t="e">
        <f>AND('Badge Ticket Formats'!#REF!,"AAAAABv7zyU=")</f>
        <v>#REF!</v>
      </c>
      <c r="AM156" t="e">
        <f>AND('Badge Ticket Formats'!#REF!,"AAAAABv7zyY=")</f>
        <v>#REF!</v>
      </c>
      <c r="AN156" t="e">
        <f>AND('Badge Ticket Formats'!#REF!,"AAAAABv7zyc=")</f>
        <v>#REF!</v>
      </c>
      <c r="AO156" t="e">
        <f>AND('Badge Ticket Formats'!#REF!,"AAAAABv7zyg=")</f>
        <v>#REF!</v>
      </c>
      <c r="AP156" t="e">
        <f>AND('Badge Ticket Formats'!#REF!,"AAAAABv7zyk=")</f>
        <v>#REF!</v>
      </c>
      <c r="AQ156" t="e">
        <f>AND('Badge Ticket Formats'!#REF!,"AAAAABv7zyo=")</f>
        <v>#REF!</v>
      </c>
      <c r="AR156" t="e">
        <f>AND('Badge Ticket Formats'!#REF!,"AAAAABv7zys=")</f>
        <v>#REF!</v>
      </c>
      <c r="AS156" t="e">
        <f>AND('Badge Ticket Formats'!#REF!,"AAAAABv7zyw=")</f>
        <v>#REF!</v>
      </c>
      <c r="AT156" t="e">
        <f>AND('Badge Ticket Formats'!#REF!,"AAAAABv7zy0=")</f>
        <v>#REF!</v>
      </c>
      <c r="AU156" t="e">
        <f>AND('Badge Ticket Formats'!#REF!,"AAAAABv7zy4=")</f>
        <v>#REF!</v>
      </c>
      <c r="AV156" t="e">
        <f>AND('Badge Ticket Formats'!#REF!,"AAAAABv7zy8=")</f>
        <v>#REF!</v>
      </c>
      <c r="AW156" t="e">
        <f>IF('Badge Ticket Formats'!#REF!,"AAAAABv7zzA=",0)</f>
        <v>#REF!</v>
      </c>
      <c r="AX156" t="e">
        <f>AND('Badge Ticket Formats'!#REF!,"AAAAABv7zzE=")</f>
        <v>#REF!</v>
      </c>
      <c r="AY156" t="e">
        <f>AND('Badge Ticket Formats'!#REF!,"AAAAABv7zzI=")</f>
        <v>#REF!</v>
      </c>
      <c r="AZ156" t="e">
        <f>AND('Badge Ticket Formats'!#REF!,"AAAAABv7zzM=")</f>
        <v>#REF!</v>
      </c>
      <c r="BA156" t="e">
        <f>AND('Badge Ticket Formats'!#REF!,"AAAAABv7zzQ=")</f>
        <v>#REF!</v>
      </c>
      <c r="BB156" t="e">
        <f>AND('Badge Ticket Formats'!#REF!,"AAAAABv7zzU=")</f>
        <v>#REF!</v>
      </c>
      <c r="BC156" t="e">
        <f>AND('Badge Ticket Formats'!#REF!,"AAAAABv7zzY=")</f>
        <v>#REF!</v>
      </c>
      <c r="BD156" t="e">
        <f>AND('Badge Ticket Formats'!#REF!,"AAAAABv7zzc=")</f>
        <v>#REF!</v>
      </c>
      <c r="BE156" t="e">
        <f>AND('Badge Ticket Formats'!#REF!,"AAAAABv7zzg=")</f>
        <v>#REF!</v>
      </c>
      <c r="BF156" t="e">
        <f>AND('Badge Ticket Formats'!#REF!,"AAAAABv7zzk=")</f>
        <v>#REF!</v>
      </c>
      <c r="BG156" t="e">
        <f>AND('Badge Ticket Formats'!#REF!,"AAAAABv7zzo=")</f>
        <v>#REF!</v>
      </c>
      <c r="BH156" t="e">
        <f>AND('Badge Ticket Formats'!#REF!,"AAAAABv7zzs=")</f>
        <v>#REF!</v>
      </c>
      <c r="BI156" t="e">
        <f>AND('Badge Ticket Formats'!#REF!,"AAAAABv7zzw=")</f>
        <v>#REF!</v>
      </c>
      <c r="BJ156" t="e">
        <f>AND('Badge Ticket Formats'!#REF!,"AAAAABv7zz0=")</f>
        <v>#REF!</v>
      </c>
      <c r="BK156" t="e">
        <f>IF('Badge Ticket Formats'!#REF!,"AAAAABv7zz4=",0)</f>
        <v>#REF!</v>
      </c>
      <c r="BL156" t="e">
        <f>AND('Badge Ticket Formats'!#REF!,"AAAAABv7zz8=")</f>
        <v>#REF!</v>
      </c>
      <c r="BM156" t="e">
        <f>AND('Badge Ticket Formats'!#REF!,"AAAAABv7z0A=")</f>
        <v>#REF!</v>
      </c>
      <c r="BN156" t="e">
        <f>AND('Badge Ticket Formats'!#REF!,"AAAAABv7z0E=")</f>
        <v>#REF!</v>
      </c>
      <c r="BO156" t="e">
        <f>AND('Badge Ticket Formats'!#REF!,"AAAAABv7z0I=")</f>
        <v>#REF!</v>
      </c>
      <c r="BP156" t="e">
        <f>AND('Badge Ticket Formats'!#REF!,"AAAAABv7z0M=")</f>
        <v>#REF!</v>
      </c>
      <c r="BQ156" t="e">
        <f>AND('Badge Ticket Formats'!#REF!,"AAAAABv7z0Q=")</f>
        <v>#REF!</v>
      </c>
      <c r="BR156" t="e">
        <f>AND('Badge Ticket Formats'!#REF!,"AAAAABv7z0U=")</f>
        <v>#REF!</v>
      </c>
      <c r="BS156" t="e">
        <f>AND('Badge Ticket Formats'!#REF!,"AAAAABv7z0Y=")</f>
        <v>#REF!</v>
      </c>
      <c r="BT156" t="e">
        <f>AND('Badge Ticket Formats'!#REF!,"AAAAABv7z0c=")</f>
        <v>#REF!</v>
      </c>
      <c r="BU156" t="e">
        <f>AND('Badge Ticket Formats'!#REF!,"AAAAABv7z0g=")</f>
        <v>#REF!</v>
      </c>
      <c r="BV156" t="e">
        <f>AND('Badge Ticket Formats'!#REF!,"AAAAABv7z0k=")</f>
        <v>#REF!</v>
      </c>
      <c r="BW156" t="e">
        <f>AND('Badge Ticket Formats'!#REF!,"AAAAABv7z0o=")</f>
        <v>#REF!</v>
      </c>
      <c r="BX156" t="e">
        <f>AND('Badge Ticket Formats'!#REF!,"AAAAABv7z0s=")</f>
        <v>#REF!</v>
      </c>
      <c r="BY156" t="e">
        <f>IF('Badge Ticket Formats'!#REF!,"AAAAABv7z0w=",0)</f>
        <v>#REF!</v>
      </c>
      <c r="BZ156" t="e">
        <f>AND('Badge Ticket Formats'!#REF!,"AAAAABv7z00=")</f>
        <v>#REF!</v>
      </c>
      <c r="CA156" t="e">
        <f>AND('Badge Ticket Formats'!#REF!,"AAAAABv7z04=")</f>
        <v>#REF!</v>
      </c>
      <c r="CB156" t="e">
        <f>AND('Badge Ticket Formats'!#REF!,"AAAAABv7z08=")</f>
        <v>#REF!</v>
      </c>
      <c r="CC156" t="e">
        <f>AND('Badge Ticket Formats'!#REF!,"AAAAABv7z1A=")</f>
        <v>#REF!</v>
      </c>
      <c r="CD156" t="e">
        <f>AND('Badge Ticket Formats'!#REF!,"AAAAABv7z1E=")</f>
        <v>#REF!</v>
      </c>
      <c r="CE156" t="e">
        <f>AND('Badge Ticket Formats'!#REF!,"AAAAABv7z1I=")</f>
        <v>#REF!</v>
      </c>
      <c r="CF156" t="e">
        <f>AND('Badge Ticket Formats'!#REF!,"AAAAABv7z1M=")</f>
        <v>#REF!</v>
      </c>
      <c r="CG156" t="e">
        <f>AND('Badge Ticket Formats'!#REF!,"AAAAABv7z1Q=")</f>
        <v>#REF!</v>
      </c>
      <c r="CH156" t="e">
        <f>AND('Badge Ticket Formats'!#REF!,"AAAAABv7z1U=")</f>
        <v>#REF!</v>
      </c>
      <c r="CI156" t="e">
        <f>AND('Badge Ticket Formats'!#REF!,"AAAAABv7z1Y=")</f>
        <v>#REF!</v>
      </c>
      <c r="CJ156" t="e">
        <f>AND('Badge Ticket Formats'!#REF!,"AAAAABv7z1c=")</f>
        <v>#REF!</v>
      </c>
      <c r="CK156" t="e">
        <f>AND('Badge Ticket Formats'!#REF!,"AAAAABv7z1g=")</f>
        <v>#REF!</v>
      </c>
      <c r="CL156" t="e">
        <f>AND('Badge Ticket Formats'!#REF!,"AAAAABv7z1k=")</f>
        <v>#REF!</v>
      </c>
      <c r="CM156" t="e">
        <f>IF('Badge Ticket Formats'!#REF!,"AAAAABv7z1o=",0)</f>
        <v>#REF!</v>
      </c>
      <c r="CN156" t="e">
        <f>AND('Badge Ticket Formats'!#REF!,"AAAAABv7z1s=")</f>
        <v>#REF!</v>
      </c>
      <c r="CO156" t="e">
        <f>AND('Badge Ticket Formats'!#REF!,"AAAAABv7z1w=")</f>
        <v>#REF!</v>
      </c>
      <c r="CP156" t="e">
        <f>AND('Badge Ticket Formats'!#REF!,"AAAAABv7z10=")</f>
        <v>#REF!</v>
      </c>
      <c r="CQ156" t="e">
        <f>AND('Badge Ticket Formats'!#REF!,"AAAAABv7z14=")</f>
        <v>#REF!</v>
      </c>
      <c r="CR156" t="e">
        <f>AND('Badge Ticket Formats'!#REF!,"AAAAABv7z18=")</f>
        <v>#REF!</v>
      </c>
      <c r="CS156" t="e">
        <f>AND('Badge Ticket Formats'!#REF!,"AAAAABv7z2A=")</f>
        <v>#REF!</v>
      </c>
      <c r="CT156" t="e">
        <f>AND('Badge Ticket Formats'!#REF!,"AAAAABv7z2E=")</f>
        <v>#REF!</v>
      </c>
      <c r="CU156" t="e">
        <f>AND('Badge Ticket Formats'!#REF!,"AAAAABv7z2I=")</f>
        <v>#REF!</v>
      </c>
      <c r="CV156" t="e">
        <f>AND('Badge Ticket Formats'!#REF!,"AAAAABv7z2M=")</f>
        <v>#REF!</v>
      </c>
      <c r="CW156" t="e">
        <f>AND('Badge Ticket Formats'!#REF!,"AAAAABv7z2Q=")</f>
        <v>#REF!</v>
      </c>
      <c r="CX156" t="e">
        <f>AND('Badge Ticket Formats'!#REF!,"AAAAABv7z2U=")</f>
        <v>#REF!</v>
      </c>
      <c r="CY156" t="e">
        <f>AND('Badge Ticket Formats'!#REF!,"AAAAABv7z2Y=")</f>
        <v>#REF!</v>
      </c>
      <c r="CZ156" t="e">
        <f>AND('Badge Ticket Formats'!#REF!,"AAAAABv7z2c=")</f>
        <v>#REF!</v>
      </c>
      <c r="DA156" t="e">
        <f>IF('Badge Ticket Formats'!#REF!,"AAAAABv7z2g=",0)</f>
        <v>#REF!</v>
      </c>
      <c r="DB156" t="e">
        <f>AND('Badge Ticket Formats'!#REF!,"AAAAABv7z2k=")</f>
        <v>#REF!</v>
      </c>
      <c r="DC156" t="e">
        <f>AND('Badge Ticket Formats'!#REF!,"AAAAABv7z2o=")</f>
        <v>#REF!</v>
      </c>
      <c r="DD156" t="e">
        <f>AND('Badge Ticket Formats'!#REF!,"AAAAABv7z2s=")</f>
        <v>#REF!</v>
      </c>
      <c r="DE156" t="e">
        <f>AND('Badge Ticket Formats'!#REF!,"AAAAABv7z2w=")</f>
        <v>#REF!</v>
      </c>
      <c r="DF156" t="e">
        <f>AND('Badge Ticket Formats'!#REF!,"AAAAABv7z20=")</f>
        <v>#REF!</v>
      </c>
      <c r="DG156" t="e">
        <f>AND('Badge Ticket Formats'!#REF!,"AAAAABv7z24=")</f>
        <v>#REF!</v>
      </c>
      <c r="DH156" t="e">
        <f>AND('Badge Ticket Formats'!#REF!,"AAAAABv7z28=")</f>
        <v>#REF!</v>
      </c>
      <c r="DI156" t="e">
        <f>AND('Badge Ticket Formats'!#REF!,"AAAAABv7z3A=")</f>
        <v>#REF!</v>
      </c>
      <c r="DJ156" t="e">
        <f>AND('Badge Ticket Formats'!#REF!,"AAAAABv7z3E=")</f>
        <v>#REF!</v>
      </c>
      <c r="DK156" t="e">
        <f>AND('Badge Ticket Formats'!#REF!,"AAAAABv7z3I=")</f>
        <v>#REF!</v>
      </c>
      <c r="DL156" t="e">
        <f>AND('Badge Ticket Formats'!#REF!,"AAAAABv7z3M=")</f>
        <v>#REF!</v>
      </c>
      <c r="DM156" t="e">
        <f>AND('Badge Ticket Formats'!#REF!,"AAAAABv7z3Q=")</f>
        <v>#REF!</v>
      </c>
      <c r="DN156" t="e">
        <f>AND('Badge Ticket Formats'!#REF!,"AAAAABv7z3U=")</f>
        <v>#REF!</v>
      </c>
      <c r="DO156" t="e">
        <f>IF('Badge Ticket Formats'!#REF!,"AAAAABv7z3Y=",0)</f>
        <v>#REF!</v>
      </c>
      <c r="DP156" t="e">
        <f>AND('Badge Ticket Formats'!#REF!,"AAAAABv7z3c=")</f>
        <v>#REF!</v>
      </c>
      <c r="DQ156" t="e">
        <f>AND('Badge Ticket Formats'!#REF!,"AAAAABv7z3g=")</f>
        <v>#REF!</v>
      </c>
      <c r="DR156" t="e">
        <f>AND('Badge Ticket Formats'!#REF!,"AAAAABv7z3k=")</f>
        <v>#REF!</v>
      </c>
      <c r="DS156" t="e">
        <f>AND('Badge Ticket Formats'!#REF!,"AAAAABv7z3o=")</f>
        <v>#REF!</v>
      </c>
      <c r="DT156" t="e">
        <f>AND('Badge Ticket Formats'!#REF!,"AAAAABv7z3s=")</f>
        <v>#REF!</v>
      </c>
      <c r="DU156" t="e">
        <f>AND('Badge Ticket Formats'!#REF!,"AAAAABv7z3w=")</f>
        <v>#REF!</v>
      </c>
      <c r="DV156" t="e">
        <f>AND('Badge Ticket Formats'!#REF!,"AAAAABv7z30=")</f>
        <v>#REF!</v>
      </c>
      <c r="DW156" t="e">
        <f>AND('Badge Ticket Formats'!#REF!,"AAAAABv7z34=")</f>
        <v>#REF!</v>
      </c>
      <c r="DX156" t="e">
        <f>AND('Badge Ticket Formats'!#REF!,"AAAAABv7z38=")</f>
        <v>#REF!</v>
      </c>
      <c r="DY156" t="e">
        <f>AND('Badge Ticket Formats'!#REF!,"AAAAABv7z4A=")</f>
        <v>#REF!</v>
      </c>
      <c r="DZ156" t="e">
        <f>AND('Badge Ticket Formats'!#REF!,"AAAAABv7z4E=")</f>
        <v>#REF!</v>
      </c>
      <c r="EA156" t="e">
        <f>AND('Badge Ticket Formats'!#REF!,"AAAAABv7z4I=")</f>
        <v>#REF!</v>
      </c>
      <c r="EB156" t="e">
        <f>AND('Badge Ticket Formats'!#REF!,"AAAAABv7z4M=")</f>
        <v>#REF!</v>
      </c>
      <c r="EC156" t="e">
        <f>IF('Badge Ticket Formats'!#REF!,"AAAAABv7z4Q=",0)</f>
        <v>#REF!</v>
      </c>
      <c r="ED156" t="e">
        <f>AND('Badge Ticket Formats'!#REF!,"AAAAABv7z4U=")</f>
        <v>#REF!</v>
      </c>
      <c r="EE156" t="e">
        <f>AND('Badge Ticket Formats'!#REF!,"AAAAABv7z4Y=")</f>
        <v>#REF!</v>
      </c>
      <c r="EF156" t="e">
        <f>AND('Badge Ticket Formats'!#REF!,"AAAAABv7z4c=")</f>
        <v>#REF!</v>
      </c>
      <c r="EG156" t="e">
        <f>AND('Badge Ticket Formats'!#REF!,"AAAAABv7z4g=")</f>
        <v>#REF!</v>
      </c>
      <c r="EH156" t="e">
        <f>AND('Badge Ticket Formats'!#REF!,"AAAAABv7z4k=")</f>
        <v>#REF!</v>
      </c>
      <c r="EI156" t="e">
        <f>AND('Badge Ticket Formats'!#REF!,"AAAAABv7z4o=")</f>
        <v>#REF!</v>
      </c>
      <c r="EJ156" t="e">
        <f>AND('Badge Ticket Formats'!#REF!,"AAAAABv7z4s=")</f>
        <v>#REF!</v>
      </c>
      <c r="EK156" t="e">
        <f>AND('Badge Ticket Formats'!#REF!,"AAAAABv7z4w=")</f>
        <v>#REF!</v>
      </c>
      <c r="EL156" t="e">
        <f>AND('Badge Ticket Formats'!#REF!,"AAAAABv7z40=")</f>
        <v>#REF!</v>
      </c>
      <c r="EM156" t="e">
        <f>AND('Badge Ticket Formats'!#REF!,"AAAAABv7z44=")</f>
        <v>#REF!</v>
      </c>
      <c r="EN156" t="e">
        <f>AND('Badge Ticket Formats'!#REF!,"AAAAABv7z48=")</f>
        <v>#REF!</v>
      </c>
      <c r="EO156" t="e">
        <f>AND('Badge Ticket Formats'!#REF!,"AAAAABv7z5A=")</f>
        <v>#REF!</v>
      </c>
      <c r="EP156" t="e">
        <f>AND('Badge Ticket Formats'!#REF!,"AAAAABv7z5E=")</f>
        <v>#REF!</v>
      </c>
      <c r="EQ156" t="e">
        <f>IF('Badge Ticket Formats'!#REF!,"AAAAABv7z5I=",0)</f>
        <v>#REF!</v>
      </c>
      <c r="ER156" t="e">
        <f>AND('Badge Ticket Formats'!#REF!,"AAAAABv7z5M=")</f>
        <v>#REF!</v>
      </c>
      <c r="ES156" t="e">
        <f>AND('Badge Ticket Formats'!#REF!,"AAAAABv7z5Q=")</f>
        <v>#REF!</v>
      </c>
      <c r="ET156" t="e">
        <f>AND('Badge Ticket Formats'!#REF!,"AAAAABv7z5U=")</f>
        <v>#REF!</v>
      </c>
      <c r="EU156" t="e">
        <f>AND('Badge Ticket Formats'!#REF!,"AAAAABv7z5Y=")</f>
        <v>#REF!</v>
      </c>
      <c r="EV156" t="e">
        <f>AND('Badge Ticket Formats'!#REF!,"AAAAABv7z5c=")</f>
        <v>#REF!</v>
      </c>
      <c r="EW156" t="e">
        <f>AND('Badge Ticket Formats'!#REF!,"AAAAABv7z5g=")</f>
        <v>#REF!</v>
      </c>
      <c r="EX156" t="e">
        <f>AND('Badge Ticket Formats'!#REF!,"AAAAABv7z5k=")</f>
        <v>#REF!</v>
      </c>
      <c r="EY156" t="e">
        <f>AND('Badge Ticket Formats'!#REF!,"AAAAABv7z5o=")</f>
        <v>#REF!</v>
      </c>
      <c r="EZ156" t="e">
        <f>AND('Badge Ticket Formats'!#REF!,"AAAAABv7z5s=")</f>
        <v>#REF!</v>
      </c>
      <c r="FA156" t="e">
        <f>AND('Badge Ticket Formats'!#REF!,"AAAAABv7z5w=")</f>
        <v>#REF!</v>
      </c>
      <c r="FB156" t="e">
        <f>AND('Badge Ticket Formats'!#REF!,"AAAAABv7z50=")</f>
        <v>#REF!</v>
      </c>
      <c r="FC156" t="e">
        <f>AND('Badge Ticket Formats'!#REF!,"AAAAABv7z54=")</f>
        <v>#REF!</v>
      </c>
      <c r="FD156" t="e">
        <f>AND('Badge Ticket Formats'!#REF!,"AAAAABv7z58=")</f>
        <v>#REF!</v>
      </c>
      <c r="FE156" t="e">
        <f>IF('Badge Ticket Formats'!#REF!,"AAAAABv7z6A=",0)</f>
        <v>#REF!</v>
      </c>
      <c r="FF156" t="e">
        <f>AND('Badge Ticket Formats'!#REF!,"AAAAABv7z6E=")</f>
        <v>#REF!</v>
      </c>
      <c r="FG156" t="e">
        <f>AND('Badge Ticket Formats'!#REF!,"AAAAABv7z6I=")</f>
        <v>#REF!</v>
      </c>
      <c r="FH156" t="e">
        <f>AND('Badge Ticket Formats'!#REF!,"AAAAABv7z6M=")</f>
        <v>#REF!</v>
      </c>
      <c r="FI156" t="e">
        <f>AND('Badge Ticket Formats'!#REF!,"AAAAABv7z6Q=")</f>
        <v>#REF!</v>
      </c>
      <c r="FJ156" t="e">
        <f>AND('Badge Ticket Formats'!#REF!,"AAAAABv7z6U=")</f>
        <v>#REF!</v>
      </c>
      <c r="FK156" t="e">
        <f>AND('Badge Ticket Formats'!#REF!,"AAAAABv7z6Y=")</f>
        <v>#REF!</v>
      </c>
      <c r="FL156" t="e">
        <f>AND('Badge Ticket Formats'!#REF!,"AAAAABv7z6c=")</f>
        <v>#REF!</v>
      </c>
      <c r="FM156" t="e">
        <f>AND('Badge Ticket Formats'!#REF!,"AAAAABv7z6g=")</f>
        <v>#REF!</v>
      </c>
      <c r="FN156" t="e">
        <f>AND('Badge Ticket Formats'!#REF!,"AAAAABv7z6k=")</f>
        <v>#REF!</v>
      </c>
      <c r="FO156" t="e">
        <f>AND('Badge Ticket Formats'!#REF!,"AAAAABv7z6o=")</f>
        <v>#REF!</v>
      </c>
      <c r="FP156" t="e">
        <f>AND('Badge Ticket Formats'!#REF!,"AAAAABv7z6s=")</f>
        <v>#REF!</v>
      </c>
      <c r="FQ156" t="e">
        <f>AND('Badge Ticket Formats'!#REF!,"AAAAABv7z6w=")</f>
        <v>#REF!</v>
      </c>
      <c r="FR156" t="e">
        <f>AND('Badge Ticket Formats'!#REF!,"AAAAABv7z60=")</f>
        <v>#REF!</v>
      </c>
      <c r="FS156" t="e">
        <f>IF('Badge Ticket Formats'!#REF!,"AAAAABv7z64=",0)</f>
        <v>#REF!</v>
      </c>
      <c r="FT156" t="e">
        <f>AND('Badge Ticket Formats'!#REF!,"AAAAABv7z68=")</f>
        <v>#REF!</v>
      </c>
      <c r="FU156" t="e">
        <f>AND('Badge Ticket Formats'!#REF!,"AAAAABv7z7A=")</f>
        <v>#REF!</v>
      </c>
      <c r="FV156" t="e">
        <f>AND('Badge Ticket Formats'!#REF!,"AAAAABv7z7E=")</f>
        <v>#REF!</v>
      </c>
      <c r="FW156" t="e">
        <f>AND('Badge Ticket Formats'!#REF!,"AAAAABv7z7I=")</f>
        <v>#REF!</v>
      </c>
      <c r="FX156" t="e">
        <f>AND('Badge Ticket Formats'!#REF!,"AAAAABv7z7M=")</f>
        <v>#REF!</v>
      </c>
      <c r="FY156" t="e">
        <f>AND('Badge Ticket Formats'!#REF!,"AAAAABv7z7Q=")</f>
        <v>#REF!</v>
      </c>
      <c r="FZ156" t="e">
        <f>AND('Badge Ticket Formats'!#REF!,"AAAAABv7z7U=")</f>
        <v>#REF!</v>
      </c>
      <c r="GA156" t="e">
        <f>AND('Badge Ticket Formats'!#REF!,"AAAAABv7z7Y=")</f>
        <v>#REF!</v>
      </c>
      <c r="GB156" t="e">
        <f>AND('Badge Ticket Formats'!#REF!,"AAAAABv7z7c=")</f>
        <v>#REF!</v>
      </c>
      <c r="GC156" t="e">
        <f>AND('Badge Ticket Formats'!#REF!,"AAAAABv7z7g=")</f>
        <v>#REF!</v>
      </c>
      <c r="GD156" t="e">
        <f>AND('Badge Ticket Formats'!#REF!,"AAAAABv7z7k=")</f>
        <v>#REF!</v>
      </c>
      <c r="GE156" t="e">
        <f>AND('Badge Ticket Formats'!#REF!,"AAAAABv7z7o=")</f>
        <v>#REF!</v>
      </c>
      <c r="GF156" t="e">
        <f>AND('Badge Ticket Formats'!#REF!,"AAAAABv7z7s=")</f>
        <v>#REF!</v>
      </c>
      <c r="GG156" t="e">
        <f>IF('Badge Ticket Formats'!#REF!,"AAAAABv7z7w=",0)</f>
        <v>#REF!</v>
      </c>
      <c r="GH156" t="e">
        <f>AND('Badge Ticket Formats'!#REF!,"AAAAABv7z70=")</f>
        <v>#REF!</v>
      </c>
      <c r="GI156" t="e">
        <f>AND('Badge Ticket Formats'!#REF!,"AAAAABv7z74=")</f>
        <v>#REF!</v>
      </c>
      <c r="GJ156" t="e">
        <f>AND('Badge Ticket Formats'!#REF!,"AAAAABv7z78=")</f>
        <v>#REF!</v>
      </c>
      <c r="GK156" t="e">
        <f>AND('Badge Ticket Formats'!#REF!,"AAAAABv7z8A=")</f>
        <v>#REF!</v>
      </c>
      <c r="GL156" t="e">
        <f>AND('Badge Ticket Formats'!#REF!,"AAAAABv7z8E=")</f>
        <v>#REF!</v>
      </c>
      <c r="GM156" t="e">
        <f>AND('Badge Ticket Formats'!#REF!,"AAAAABv7z8I=")</f>
        <v>#REF!</v>
      </c>
      <c r="GN156" t="e">
        <f>AND('Badge Ticket Formats'!#REF!,"AAAAABv7z8M=")</f>
        <v>#REF!</v>
      </c>
      <c r="GO156" t="e">
        <f>AND('Badge Ticket Formats'!#REF!,"AAAAABv7z8Q=")</f>
        <v>#REF!</v>
      </c>
      <c r="GP156" t="e">
        <f>AND('Badge Ticket Formats'!#REF!,"AAAAABv7z8U=")</f>
        <v>#REF!</v>
      </c>
      <c r="GQ156" t="e">
        <f>AND('Badge Ticket Formats'!#REF!,"AAAAABv7z8Y=")</f>
        <v>#REF!</v>
      </c>
      <c r="GR156" t="e">
        <f>AND('Badge Ticket Formats'!#REF!,"AAAAABv7z8c=")</f>
        <v>#REF!</v>
      </c>
      <c r="GS156" t="e">
        <f>AND('Badge Ticket Formats'!#REF!,"AAAAABv7z8g=")</f>
        <v>#REF!</v>
      </c>
      <c r="GT156" t="e">
        <f>AND('Badge Ticket Formats'!#REF!,"AAAAABv7z8k=")</f>
        <v>#REF!</v>
      </c>
      <c r="GU156" t="e">
        <f>IF('Badge Ticket Formats'!#REF!,"AAAAABv7z8o=",0)</f>
        <v>#REF!</v>
      </c>
      <c r="GV156" t="e">
        <f>AND('Badge Ticket Formats'!#REF!,"AAAAABv7z8s=")</f>
        <v>#REF!</v>
      </c>
      <c r="GW156" t="e">
        <f>AND('Badge Ticket Formats'!#REF!,"AAAAABv7z8w=")</f>
        <v>#REF!</v>
      </c>
      <c r="GX156" t="e">
        <f>AND('Badge Ticket Formats'!#REF!,"AAAAABv7z80=")</f>
        <v>#REF!</v>
      </c>
      <c r="GY156" t="e">
        <f>AND('Badge Ticket Formats'!#REF!,"AAAAABv7z84=")</f>
        <v>#REF!</v>
      </c>
      <c r="GZ156" t="e">
        <f>AND('Badge Ticket Formats'!#REF!,"AAAAABv7z88=")</f>
        <v>#REF!</v>
      </c>
      <c r="HA156" t="e">
        <f>AND('Badge Ticket Formats'!#REF!,"AAAAABv7z9A=")</f>
        <v>#REF!</v>
      </c>
      <c r="HB156" t="e">
        <f>AND('Badge Ticket Formats'!#REF!,"AAAAABv7z9E=")</f>
        <v>#REF!</v>
      </c>
      <c r="HC156" t="e">
        <f>AND('Badge Ticket Formats'!#REF!,"AAAAABv7z9I=")</f>
        <v>#REF!</v>
      </c>
      <c r="HD156" t="e">
        <f>AND('Badge Ticket Formats'!#REF!,"AAAAABv7z9M=")</f>
        <v>#REF!</v>
      </c>
      <c r="HE156" t="e">
        <f>AND('Badge Ticket Formats'!#REF!,"AAAAABv7z9Q=")</f>
        <v>#REF!</v>
      </c>
      <c r="HF156" t="e">
        <f>AND('Badge Ticket Formats'!#REF!,"AAAAABv7z9U=")</f>
        <v>#REF!</v>
      </c>
      <c r="HG156" t="e">
        <f>AND('Badge Ticket Formats'!#REF!,"AAAAABv7z9Y=")</f>
        <v>#REF!</v>
      </c>
      <c r="HH156" t="e">
        <f>AND('Badge Ticket Formats'!#REF!,"AAAAABv7z9c=")</f>
        <v>#REF!</v>
      </c>
      <c r="HI156" t="e">
        <f>IF('Badge Ticket Formats'!#REF!,"AAAAABv7z9g=",0)</f>
        <v>#REF!</v>
      </c>
      <c r="HJ156" t="e">
        <f>AND('Badge Ticket Formats'!#REF!,"AAAAABv7z9k=")</f>
        <v>#REF!</v>
      </c>
      <c r="HK156" t="e">
        <f>AND('Badge Ticket Formats'!#REF!,"AAAAABv7z9o=")</f>
        <v>#REF!</v>
      </c>
      <c r="HL156" t="e">
        <f>AND('Badge Ticket Formats'!#REF!,"AAAAABv7z9s=")</f>
        <v>#REF!</v>
      </c>
      <c r="HM156" t="e">
        <f>AND('Badge Ticket Formats'!#REF!,"AAAAABv7z9w=")</f>
        <v>#REF!</v>
      </c>
      <c r="HN156" t="e">
        <f>AND('Badge Ticket Formats'!#REF!,"AAAAABv7z90=")</f>
        <v>#REF!</v>
      </c>
      <c r="HO156" t="e">
        <f>AND('Badge Ticket Formats'!#REF!,"AAAAABv7z94=")</f>
        <v>#REF!</v>
      </c>
      <c r="HP156" t="e">
        <f>AND('Badge Ticket Formats'!#REF!,"AAAAABv7z98=")</f>
        <v>#REF!</v>
      </c>
      <c r="HQ156" t="e">
        <f>AND('Badge Ticket Formats'!#REF!,"AAAAABv7z+A=")</f>
        <v>#REF!</v>
      </c>
      <c r="HR156" t="e">
        <f>AND('Badge Ticket Formats'!#REF!,"AAAAABv7z+E=")</f>
        <v>#REF!</v>
      </c>
      <c r="HS156" t="e">
        <f>AND('Badge Ticket Formats'!#REF!,"AAAAABv7z+I=")</f>
        <v>#REF!</v>
      </c>
      <c r="HT156" t="e">
        <f>AND('Badge Ticket Formats'!#REF!,"AAAAABv7z+M=")</f>
        <v>#REF!</v>
      </c>
      <c r="HU156" t="e">
        <f>AND('Badge Ticket Formats'!#REF!,"AAAAABv7z+Q=")</f>
        <v>#REF!</v>
      </c>
      <c r="HV156" t="e">
        <f>AND('Badge Ticket Formats'!#REF!,"AAAAABv7z+U=")</f>
        <v>#REF!</v>
      </c>
      <c r="HW156" t="e">
        <f>IF('Badge Ticket Formats'!#REF!,"AAAAABv7z+Y=",0)</f>
        <v>#REF!</v>
      </c>
      <c r="HX156" t="e">
        <f>AND('Badge Ticket Formats'!#REF!,"AAAAABv7z+c=")</f>
        <v>#REF!</v>
      </c>
      <c r="HY156" t="e">
        <f>AND('Badge Ticket Formats'!#REF!,"AAAAABv7z+g=")</f>
        <v>#REF!</v>
      </c>
      <c r="HZ156" t="e">
        <f>AND('Badge Ticket Formats'!#REF!,"AAAAABv7z+k=")</f>
        <v>#REF!</v>
      </c>
      <c r="IA156" t="e">
        <f>AND('Badge Ticket Formats'!#REF!,"AAAAABv7z+o=")</f>
        <v>#REF!</v>
      </c>
      <c r="IB156" t="e">
        <f>AND('Badge Ticket Formats'!#REF!,"AAAAABv7z+s=")</f>
        <v>#REF!</v>
      </c>
      <c r="IC156" t="e">
        <f>AND('Badge Ticket Formats'!#REF!,"AAAAABv7z+w=")</f>
        <v>#REF!</v>
      </c>
      <c r="ID156" t="e">
        <f>AND('Badge Ticket Formats'!#REF!,"AAAAABv7z+0=")</f>
        <v>#REF!</v>
      </c>
      <c r="IE156" t="e">
        <f>AND('Badge Ticket Formats'!#REF!,"AAAAABv7z+4=")</f>
        <v>#REF!</v>
      </c>
      <c r="IF156" t="e">
        <f>AND('Badge Ticket Formats'!#REF!,"AAAAABv7z+8=")</f>
        <v>#REF!</v>
      </c>
      <c r="IG156" t="e">
        <f>AND('Badge Ticket Formats'!#REF!,"AAAAABv7z/A=")</f>
        <v>#REF!</v>
      </c>
      <c r="IH156" t="e">
        <f>AND('Badge Ticket Formats'!#REF!,"AAAAABv7z/E=")</f>
        <v>#REF!</v>
      </c>
      <c r="II156" t="e">
        <f>AND('Badge Ticket Formats'!#REF!,"AAAAABv7z/I=")</f>
        <v>#REF!</v>
      </c>
      <c r="IJ156" t="e">
        <f>AND('Badge Ticket Formats'!#REF!,"AAAAABv7z/M=")</f>
        <v>#REF!</v>
      </c>
      <c r="IK156" t="e">
        <f>IF('Badge Ticket Formats'!#REF!,"AAAAABv7z/Q=",0)</f>
        <v>#REF!</v>
      </c>
      <c r="IL156" t="e">
        <f>AND('Badge Ticket Formats'!#REF!,"AAAAABv7z/U=")</f>
        <v>#REF!</v>
      </c>
      <c r="IM156" t="e">
        <f>AND('Badge Ticket Formats'!#REF!,"AAAAABv7z/Y=")</f>
        <v>#REF!</v>
      </c>
      <c r="IN156" t="e">
        <f>AND('Badge Ticket Formats'!#REF!,"AAAAABv7z/c=")</f>
        <v>#REF!</v>
      </c>
      <c r="IO156" t="e">
        <f>AND('Badge Ticket Formats'!#REF!,"AAAAABv7z/g=")</f>
        <v>#REF!</v>
      </c>
      <c r="IP156" t="e">
        <f>AND('Badge Ticket Formats'!#REF!,"AAAAABv7z/k=")</f>
        <v>#REF!</v>
      </c>
      <c r="IQ156" t="e">
        <f>AND('Badge Ticket Formats'!#REF!,"AAAAABv7z/o=")</f>
        <v>#REF!</v>
      </c>
      <c r="IR156" t="e">
        <f>AND('Badge Ticket Formats'!#REF!,"AAAAABv7z/s=")</f>
        <v>#REF!</v>
      </c>
      <c r="IS156" t="e">
        <f>AND('Badge Ticket Formats'!#REF!,"AAAAABv7z/w=")</f>
        <v>#REF!</v>
      </c>
      <c r="IT156" t="e">
        <f>AND('Badge Ticket Formats'!#REF!,"AAAAABv7z/0=")</f>
        <v>#REF!</v>
      </c>
      <c r="IU156" t="e">
        <f>AND('Badge Ticket Formats'!#REF!,"AAAAABv7z/4=")</f>
        <v>#REF!</v>
      </c>
      <c r="IV156" t="e">
        <f>AND('Badge Ticket Formats'!#REF!,"AAAAABv7z/8=")</f>
        <v>#REF!</v>
      </c>
    </row>
    <row r="157" spans="1:256" x14ac:dyDescent="0.2">
      <c r="A157" t="e">
        <f>AND('Badge Ticket Formats'!#REF!,"AAAAAG+7awA=")</f>
        <v>#REF!</v>
      </c>
      <c r="B157" t="e">
        <f>AND('Badge Ticket Formats'!#REF!,"AAAAAG+7awE=")</f>
        <v>#REF!</v>
      </c>
      <c r="C157" t="e">
        <f>IF('Badge Ticket Formats'!#REF!,"AAAAAG+7awI=",0)</f>
        <v>#REF!</v>
      </c>
      <c r="D157" t="e">
        <f>AND('Badge Ticket Formats'!#REF!,"AAAAAG+7awM=")</f>
        <v>#REF!</v>
      </c>
      <c r="E157" t="e">
        <f>AND('Badge Ticket Formats'!#REF!,"AAAAAG+7awQ=")</f>
        <v>#REF!</v>
      </c>
      <c r="F157" t="e">
        <f>AND('Badge Ticket Formats'!#REF!,"AAAAAG+7awU=")</f>
        <v>#REF!</v>
      </c>
      <c r="G157" t="e">
        <f>AND('Badge Ticket Formats'!#REF!,"AAAAAG+7awY=")</f>
        <v>#REF!</v>
      </c>
      <c r="H157" t="e">
        <f>AND('Badge Ticket Formats'!#REF!,"AAAAAG+7awc=")</f>
        <v>#REF!</v>
      </c>
      <c r="I157" t="e">
        <f>AND('Badge Ticket Formats'!#REF!,"AAAAAG+7awg=")</f>
        <v>#REF!</v>
      </c>
      <c r="J157" t="e">
        <f>AND('Badge Ticket Formats'!#REF!,"AAAAAG+7awk=")</f>
        <v>#REF!</v>
      </c>
      <c r="K157" t="e">
        <f>AND('Badge Ticket Formats'!#REF!,"AAAAAG+7awo=")</f>
        <v>#REF!</v>
      </c>
      <c r="L157" t="e">
        <f>AND('Badge Ticket Formats'!#REF!,"AAAAAG+7aws=")</f>
        <v>#REF!</v>
      </c>
      <c r="M157" t="e">
        <f>AND('Badge Ticket Formats'!#REF!,"AAAAAG+7aww=")</f>
        <v>#REF!</v>
      </c>
      <c r="N157" t="e">
        <f>AND('Badge Ticket Formats'!#REF!,"AAAAAG+7aw0=")</f>
        <v>#REF!</v>
      </c>
      <c r="O157" t="e">
        <f>AND('Badge Ticket Formats'!#REF!,"AAAAAG+7aw4=")</f>
        <v>#REF!</v>
      </c>
      <c r="P157" t="e">
        <f>AND('Badge Ticket Formats'!#REF!,"AAAAAG+7aw8=")</f>
        <v>#REF!</v>
      </c>
      <c r="Q157" t="e">
        <f>IF('Badge Ticket Formats'!#REF!,"AAAAAG+7axA=",0)</f>
        <v>#REF!</v>
      </c>
      <c r="R157" t="e">
        <f>AND('Badge Ticket Formats'!#REF!,"AAAAAG+7axE=")</f>
        <v>#REF!</v>
      </c>
      <c r="S157" t="e">
        <f>AND('Badge Ticket Formats'!#REF!,"AAAAAG+7axI=")</f>
        <v>#REF!</v>
      </c>
      <c r="T157" t="e">
        <f>AND('Badge Ticket Formats'!#REF!,"AAAAAG+7axM=")</f>
        <v>#REF!</v>
      </c>
      <c r="U157" t="e">
        <f>AND('Badge Ticket Formats'!#REF!,"AAAAAG+7axQ=")</f>
        <v>#REF!</v>
      </c>
      <c r="V157" t="e">
        <f>AND('Badge Ticket Formats'!#REF!,"AAAAAG+7axU=")</f>
        <v>#REF!</v>
      </c>
      <c r="W157" t="e">
        <f>AND('Badge Ticket Formats'!#REF!,"AAAAAG+7axY=")</f>
        <v>#REF!</v>
      </c>
      <c r="X157" t="e">
        <f>AND('Badge Ticket Formats'!#REF!,"AAAAAG+7axc=")</f>
        <v>#REF!</v>
      </c>
      <c r="Y157" t="e">
        <f>AND('Badge Ticket Formats'!#REF!,"AAAAAG+7axg=")</f>
        <v>#REF!</v>
      </c>
      <c r="Z157" t="e">
        <f>AND('Badge Ticket Formats'!#REF!,"AAAAAG+7axk=")</f>
        <v>#REF!</v>
      </c>
      <c r="AA157" t="e">
        <f>AND('Badge Ticket Formats'!#REF!,"AAAAAG+7axo=")</f>
        <v>#REF!</v>
      </c>
      <c r="AB157" t="e">
        <f>AND('Badge Ticket Formats'!#REF!,"AAAAAG+7axs=")</f>
        <v>#REF!</v>
      </c>
      <c r="AC157" t="e">
        <f>AND('Badge Ticket Formats'!#REF!,"AAAAAG+7axw=")</f>
        <v>#REF!</v>
      </c>
      <c r="AD157" t="e">
        <f>AND('Badge Ticket Formats'!#REF!,"AAAAAG+7ax0=")</f>
        <v>#REF!</v>
      </c>
      <c r="AE157" t="e">
        <f>IF('Badge Ticket Formats'!#REF!,"AAAAAG+7ax4=",0)</f>
        <v>#REF!</v>
      </c>
      <c r="AF157" t="e">
        <f>AND('Badge Ticket Formats'!#REF!,"AAAAAG+7ax8=")</f>
        <v>#REF!</v>
      </c>
      <c r="AG157" t="e">
        <f>AND('Badge Ticket Formats'!#REF!,"AAAAAG+7ayA=")</f>
        <v>#REF!</v>
      </c>
      <c r="AH157" t="e">
        <f>AND('Badge Ticket Formats'!#REF!,"AAAAAG+7ayE=")</f>
        <v>#REF!</v>
      </c>
      <c r="AI157" t="e">
        <f>AND('Badge Ticket Formats'!#REF!,"AAAAAG+7ayI=")</f>
        <v>#REF!</v>
      </c>
      <c r="AJ157" t="e">
        <f>AND('Badge Ticket Formats'!#REF!,"AAAAAG+7ayM=")</f>
        <v>#REF!</v>
      </c>
      <c r="AK157" t="e">
        <f>AND('Badge Ticket Formats'!#REF!,"AAAAAG+7ayQ=")</f>
        <v>#REF!</v>
      </c>
      <c r="AL157" t="e">
        <f>AND('Badge Ticket Formats'!#REF!,"AAAAAG+7ayU=")</f>
        <v>#REF!</v>
      </c>
      <c r="AM157" t="e">
        <f>AND('Badge Ticket Formats'!#REF!,"AAAAAG+7ayY=")</f>
        <v>#REF!</v>
      </c>
      <c r="AN157" t="e">
        <f>AND('Badge Ticket Formats'!#REF!,"AAAAAG+7ayc=")</f>
        <v>#REF!</v>
      </c>
      <c r="AO157" t="e">
        <f>AND('Badge Ticket Formats'!#REF!,"AAAAAG+7ayg=")</f>
        <v>#REF!</v>
      </c>
      <c r="AP157" t="e">
        <f>AND('Badge Ticket Formats'!#REF!,"AAAAAG+7ayk=")</f>
        <v>#REF!</v>
      </c>
      <c r="AQ157" t="e">
        <f>AND('Badge Ticket Formats'!#REF!,"AAAAAG+7ayo=")</f>
        <v>#REF!</v>
      </c>
      <c r="AR157" t="e">
        <f>AND('Badge Ticket Formats'!#REF!,"AAAAAG+7ays=")</f>
        <v>#REF!</v>
      </c>
      <c r="AS157" t="e">
        <f>IF('Badge Ticket Formats'!#REF!,"AAAAAG+7ayw=",0)</f>
        <v>#REF!</v>
      </c>
      <c r="AT157" t="e">
        <f>AND('Badge Ticket Formats'!#REF!,"AAAAAG+7ay0=")</f>
        <v>#REF!</v>
      </c>
      <c r="AU157" t="e">
        <f>AND('Badge Ticket Formats'!#REF!,"AAAAAG+7ay4=")</f>
        <v>#REF!</v>
      </c>
      <c r="AV157" t="e">
        <f>AND('Badge Ticket Formats'!#REF!,"AAAAAG+7ay8=")</f>
        <v>#REF!</v>
      </c>
      <c r="AW157" t="e">
        <f>AND('Badge Ticket Formats'!#REF!,"AAAAAG+7azA=")</f>
        <v>#REF!</v>
      </c>
      <c r="AX157" t="e">
        <f>AND('Badge Ticket Formats'!#REF!,"AAAAAG+7azE=")</f>
        <v>#REF!</v>
      </c>
      <c r="AY157" t="e">
        <f>AND('Badge Ticket Formats'!#REF!,"AAAAAG+7azI=")</f>
        <v>#REF!</v>
      </c>
      <c r="AZ157" t="e">
        <f>AND('Badge Ticket Formats'!#REF!,"AAAAAG+7azM=")</f>
        <v>#REF!</v>
      </c>
      <c r="BA157" t="e">
        <f>AND('Badge Ticket Formats'!#REF!,"AAAAAG+7azQ=")</f>
        <v>#REF!</v>
      </c>
      <c r="BB157" t="e">
        <f>AND('Badge Ticket Formats'!#REF!,"AAAAAG+7azU=")</f>
        <v>#REF!</v>
      </c>
      <c r="BC157" t="e">
        <f>AND('Badge Ticket Formats'!#REF!,"AAAAAG+7azY=")</f>
        <v>#REF!</v>
      </c>
      <c r="BD157" t="e">
        <f>AND('Badge Ticket Formats'!#REF!,"AAAAAG+7azc=")</f>
        <v>#REF!</v>
      </c>
      <c r="BE157" t="e">
        <f>AND('Badge Ticket Formats'!#REF!,"AAAAAG+7azg=")</f>
        <v>#REF!</v>
      </c>
      <c r="BF157" t="e">
        <f>AND('Badge Ticket Formats'!#REF!,"AAAAAG+7azk=")</f>
        <v>#REF!</v>
      </c>
      <c r="BG157" t="e">
        <f>IF('Badge Ticket Formats'!#REF!,"AAAAAG+7azo=",0)</f>
        <v>#REF!</v>
      </c>
      <c r="BH157" t="e">
        <f>AND('Badge Ticket Formats'!#REF!,"AAAAAG+7azs=")</f>
        <v>#REF!</v>
      </c>
      <c r="BI157" t="e">
        <f>AND('Badge Ticket Formats'!#REF!,"AAAAAG+7azw=")</f>
        <v>#REF!</v>
      </c>
      <c r="BJ157" t="e">
        <f>AND('Badge Ticket Formats'!#REF!,"AAAAAG+7az0=")</f>
        <v>#REF!</v>
      </c>
      <c r="BK157" t="e">
        <f>AND('Badge Ticket Formats'!#REF!,"AAAAAG+7az4=")</f>
        <v>#REF!</v>
      </c>
      <c r="BL157" t="e">
        <f>AND('Badge Ticket Formats'!#REF!,"AAAAAG+7az8=")</f>
        <v>#REF!</v>
      </c>
      <c r="BM157" t="e">
        <f>AND('Badge Ticket Formats'!#REF!,"AAAAAG+7a0A=")</f>
        <v>#REF!</v>
      </c>
      <c r="BN157" t="e">
        <f>AND('Badge Ticket Formats'!#REF!,"AAAAAG+7a0E=")</f>
        <v>#REF!</v>
      </c>
      <c r="BO157" t="e">
        <f>AND('Badge Ticket Formats'!#REF!,"AAAAAG+7a0I=")</f>
        <v>#REF!</v>
      </c>
      <c r="BP157" t="e">
        <f>AND('Badge Ticket Formats'!#REF!,"AAAAAG+7a0M=")</f>
        <v>#REF!</v>
      </c>
      <c r="BQ157" t="e">
        <f>AND('Badge Ticket Formats'!#REF!,"AAAAAG+7a0Q=")</f>
        <v>#REF!</v>
      </c>
      <c r="BR157" t="e">
        <f>AND('Badge Ticket Formats'!#REF!,"AAAAAG+7a0U=")</f>
        <v>#REF!</v>
      </c>
      <c r="BS157" t="e">
        <f>AND('Badge Ticket Formats'!#REF!,"AAAAAG+7a0Y=")</f>
        <v>#REF!</v>
      </c>
      <c r="BT157" t="e">
        <f>AND('Badge Ticket Formats'!#REF!,"AAAAAG+7a0c=")</f>
        <v>#REF!</v>
      </c>
      <c r="BU157" t="e">
        <f>IF('Badge Ticket Formats'!#REF!,"AAAAAG+7a0g=",0)</f>
        <v>#REF!</v>
      </c>
      <c r="BV157" t="e">
        <f>AND('Badge Ticket Formats'!#REF!,"AAAAAG+7a0k=")</f>
        <v>#REF!</v>
      </c>
      <c r="BW157" t="e">
        <f>AND('Badge Ticket Formats'!#REF!,"AAAAAG+7a0o=")</f>
        <v>#REF!</v>
      </c>
      <c r="BX157" t="e">
        <f>AND('Badge Ticket Formats'!#REF!,"AAAAAG+7a0s=")</f>
        <v>#REF!</v>
      </c>
      <c r="BY157" t="e">
        <f>AND('Badge Ticket Formats'!#REF!,"AAAAAG+7a0w=")</f>
        <v>#REF!</v>
      </c>
      <c r="BZ157" t="e">
        <f>AND('Badge Ticket Formats'!#REF!,"AAAAAG+7a00=")</f>
        <v>#REF!</v>
      </c>
      <c r="CA157" t="e">
        <f>AND('Badge Ticket Formats'!#REF!,"AAAAAG+7a04=")</f>
        <v>#REF!</v>
      </c>
      <c r="CB157" t="e">
        <f>AND('Badge Ticket Formats'!#REF!,"AAAAAG+7a08=")</f>
        <v>#REF!</v>
      </c>
      <c r="CC157" t="e">
        <f>AND('Badge Ticket Formats'!#REF!,"AAAAAG+7a1A=")</f>
        <v>#REF!</v>
      </c>
      <c r="CD157" t="e">
        <f>AND('Badge Ticket Formats'!#REF!,"AAAAAG+7a1E=")</f>
        <v>#REF!</v>
      </c>
      <c r="CE157" t="e">
        <f>AND('Badge Ticket Formats'!#REF!,"AAAAAG+7a1I=")</f>
        <v>#REF!</v>
      </c>
      <c r="CF157" t="e">
        <f>AND('Badge Ticket Formats'!#REF!,"AAAAAG+7a1M=")</f>
        <v>#REF!</v>
      </c>
      <c r="CG157" t="e">
        <f>AND('Badge Ticket Formats'!#REF!,"AAAAAG+7a1Q=")</f>
        <v>#REF!</v>
      </c>
      <c r="CH157" t="e">
        <f>AND('Badge Ticket Formats'!#REF!,"AAAAAG+7a1U=")</f>
        <v>#REF!</v>
      </c>
      <c r="CI157" t="e">
        <f>IF('Badge Ticket Formats'!#REF!,"AAAAAG+7a1Y=",0)</f>
        <v>#REF!</v>
      </c>
      <c r="CJ157" t="e">
        <f>AND('Badge Ticket Formats'!#REF!,"AAAAAG+7a1c=")</f>
        <v>#REF!</v>
      </c>
      <c r="CK157" t="e">
        <f>AND('Badge Ticket Formats'!#REF!,"AAAAAG+7a1g=")</f>
        <v>#REF!</v>
      </c>
      <c r="CL157" t="e">
        <f>AND('Badge Ticket Formats'!#REF!,"AAAAAG+7a1k=")</f>
        <v>#REF!</v>
      </c>
      <c r="CM157" t="e">
        <f>AND('Badge Ticket Formats'!#REF!,"AAAAAG+7a1o=")</f>
        <v>#REF!</v>
      </c>
      <c r="CN157" t="e">
        <f>AND('Badge Ticket Formats'!#REF!,"AAAAAG+7a1s=")</f>
        <v>#REF!</v>
      </c>
      <c r="CO157" t="e">
        <f>AND('Badge Ticket Formats'!#REF!,"AAAAAG+7a1w=")</f>
        <v>#REF!</v>
      </c>
      <c r="CP157" t="e">
        <f>AND('Badge Ticket Formats'!#REF!,"AAAAAG+7a10=")</f>
        <v>#REF!</v>
      </c>
      <c r="CQ157" t="e">
        <f>AND('Badge Ticket Formats'!#REF!,"AAAAAG+7a14=")</f>
        <v>#REF!</v>
      </c>
      <c r="CR157" t="e">
        <f>AND('Badge Ticket Formats'!#REF!,"AAAAAG+7a18=")</f>
        <v>#REF!</v>
      </c>
      <c r="CS157" t="e">
        <f>AND('Badge Ticket Formats'!#REF!,"AAAAAG+7a2A=")</f>
        <v>#REF!</v>
      </c>
      <c r="CT157" t="e">
        <f>AND('Badge Ticket Formats'!#REF!,"AAAAAG+7a2E=")</f>
        <v>#REF!</v>
      </c>
      <c r="CU157" t="e">
        <f>AND('Badge Ticket Formats'!#REF!,"AAAAAG+7a2I=")</f>
        <v>#REF!</v>
      </c>
      <c r="CV157" t="e">
        <f>AND('Badge Ticket Formats'!#REF!,"AAAAAG+7a2M=")</f>
        <v>#REF!</v>
      </c>
      <c r="CW157" t="e">
        <f>IF('Badge Ticket Formats'!#REF!,"AAAAAG+7a2Q=",0)</f>
        <v>#REF!</v>
      </c>
      <c r="CX157" t="e">
        <f>AND('Badge Ticket Formats'!#REF!,"AAAAAG+7a2U=")</f>
        <v>#REF!</v>
      </c>
      <c r="CY157" t="e">
        <f>AND('Badge Ticket Formats'!#REF!,"AAAAAG+7a2Y=")</f>
        <v>#REF!</v>
      </c>
      <c r="CZ157" t="e">
        <f>AND('Badge Ticket Formats'!#REF!,"AAAAAG+7a2c=")</f>
        <v>#REF!</v>
      </c>
      <c r="DA157" t="e">
        <f>AND('Badge Ticket Formats'!#REF!,"AAAAAG+7a2g=")</f>
        <v>#REF!</v>
      </c>
      <c r="DB157" t="e">
        <f>AND('Badge Ticket Formats'!#REF!,"AAAAAG+7a2k=")</f>
        <v>#REF!</v>
      </c>
      <c r="DC157" t="e">
        <f>AND('Badge Ticket Formats'!#REF!,"AAAAAG+7a2o=")</f>
        <v>#REF!</v>
      </c>
      <c r="DD157" t="e">
        <f>AND('Badge Ticket Formats'!#REF!,"AAAAAG+7a2s=")</f>
        <v>#REF!</v>
      </c>
      <c r="DE157" t="e">
        <f>AND('Badge Ticket Formats'!#REF!,"AAAAAG+7a2w=")</f>
        <v>#REF!</v>
      </c>
      <c r="DF157" t="e">
        <f>AND('Badge Ticket Formats'!#REF!,"AAAAAG+7a20=")</f>
        <v>#REF!</v>
      </c>
      <c r="DG157" t="e">
        <f>AND('Badge Ticket Formats'!#REF!,"AAAAAG+7a24=")</f>
        <v>#REF!</v>
      </c>
      <c r="DH157" t="e">
        <f>AND('Badge Ticket Formats'!#REF!,"AAAAAG+7a28=")</f>
        <v>#REF!</v>
      </c>
      <c r="DI157" t="e">
        <f>AND('Badge Ticket Formats'!#REF!,"AAAAAG+7a3A=")</f>
        <v>#REF!</v>
      </c>
      <c r="DJ157" t="e">
        <f>AND('Badge Ticket Formats'!#REF!,"AAAAAG+7a3E=")</f>
        <v>#REF!</v>
      </c>
      <c r="DK157" t="e">
        <f>IF('Badge Ticket Formats'!#REF!,"AAAAAG+7a3I=",0)</f>
        <v>#REF!</v>
      </c>
      <c r="DL157" t="e">
        <f>AND('Badge Ticket Formats'!#REF!,"AAAAAG+7a3M=")</f>
        <v>#REF!</v>
      </c>
      <c r="DM157" t="e">
        <f>AND('Badge Ticket Formats'!#REF!,"AAAAAG+7a3Q=")</f>
        <v>#REF!</v>
      </c>
      <c r="DN157" t="e">
        <f>AND('Badge Ticket Formats'!#REF!,"AAAAAG+7a3U=")</f>
        <v>#REF!</v>
      </c>
      <c r="DO157" t="e">
        <f>AND('Badge Ticket Formats'!#REF!,"AAAAAG+7a3Y=")</f>
        <v>#REF!</v>
      </c>
      <c r="DP157" t="e">
        <f>AND('Badge Ticket Formats'!#REF!,"AAAAAG+7a3c=")</f>
        <v>#REF!</v>
      </c>
      <c r="DQ157" t="e">
        <f>AND('Badge Ticket Formats'!#REF!,"AAAAAG+7a3g=")</f>
        <v>#REF!</v>
      </c>
      <c r="DR157" t="e">
        <f>AND('Badge Ticket Formats'!#REF!,"AAAAAG+7a3k=")</f>
        <v>#REF!</v>
      </c>
      <c r="DS157" t="e">
        <f>AND('Badge Ticket Formats'!#REF!,"AAAAAG+7a3o=")</f>
        <v>#REF!</v>
      </c>
      <c r="DT157" t="e">
        <f>AND('Badge Ticket Formats'!#REF!,"AAAAAG+7a3s=")</f>
        <v>#REF!</v>
      </c>
      <c r="DU157" t="e">
        <f>AND('Badge Ticket Formats'!#REF!,"AAAAAG+7a3w=")</f>
        <v>#REF!</v>
      </c>
      <c r="DV157" t="e">
        <f>AND('Badge Ticket Formats'!#REF!,"AAAAAG+7a30=")</f>
        <v>#REF!</v>
      </c>
      <c r="DW157" t="e">
        <f>AND('Badge Ticket Formats'!#REF!,"AAAAAG+7a34=")</f>
        <v>#REF!</v>
      </c>
      <c r="DX157" t="e">
        <f>AND('Badge Ticket Formats'!#REF!,"AAAAAG+7a38=")</f>
        <v>#REF!</v>
      </c>
      <c r="DY157" t="e">
        <f>IF('Badge Ticket Formats'!#REF!,"AAAAAG+7a4A=",0)</f>
        <v>#REF!</v>
      </c>
      <c r="DZ157" t="e">
        <f>AND('Badge Ticket Formats'!#REF!,"AAAAAG+7a4E=")</f>
        <v>#REF!</v>
      </c>
      <c r="EA157" t="e">
        <f>AND('Badge Ticket Formats'!#REF!,"AAAAAG+7a4I=")</f>
        <v>#REF!</v>
      </c>
      <c r="EB157" t="e">
        <f>AND('Badge Ticket Formats'!#REF!,"AAAAAG+7a4M=")</f>
        <v>#REF!</v>
      </c>
      <c r="EC157" t="e">
        <f>AND('Badge Ticket Formats'!#REF!,"AAAAAG+7a4Q=")</f>
        <v>#REF!</v>
      </c>
      <c r="ED157" t="e">
        <f>AND('Badge Ticket Formats'!#REF!,"AAAAAG+7a4U=")</f>
        <v>#REF!</v>
      </c>
      <c r="EE157" t="e">
        <f>AND('Badge Ticket Formats'!#REF!,"AAAAAG+7a4Y=")</f>
        <v>#REF!</v>
      </c>
      <c r="EF157" t="e">
        <f>AND('Badge Ticket Formats'!#REF!,"AAAAAG+7a4c=")</f>
        <v>#REF!</v>
      </c>
      <c r="EG157" t="e">
        <f>AND('Badge Ticket Formats'!#REF!,"AAAAAG+7a4g=")</f>
        <v>#REF!</v>
      </c>
      <c r="EH157" t="e">
        <f>AND('Badge Ticket Formats'!#REF!,"AAAAAG+7a4k=")</f>
        <v>#REF!</v>
      </c>
      <c r="EI157" t="e">
        <f>AND('Badge Ticket Formats'!#REF!,"AAAAAG+7a4o=")</f>
        <v>#REF!</v>
      </c>
      <c r="EJ157" t="e">
        <f>AND('Badge Ticket Formats'!#REF!,"AAAAAG+7a4s=")</f>
        <v>#REF!</v>
      </c>
      <c r="EK157" t="e">
        <f>AND('Badge Ticket Formats'!#REF!,"AAAAAG+7a4w=")</f>
        <v>#REF!</v>
      </c>
      <c r="EL157" t="e">
        <f>AND('Badge Ticket Formats'!#REF!,"AAAAAG+7a40=")</f>
        <v>#REF!</v>
      </c>
      <c r="EM157" t="e">
        <f>IF('Badge Ticket Formats'!#REF!,"AAAAAG+7a44=",0)</f>
        <v>#REF!</v>
      </c>
      <c r="EN157" t="e">
        <f>AND('Badge Ticket Formats'!#REF!,"AAAAAG+7a48=")</f>
        <v>#REF!</v>
      </c>
      <c r="EO157" t="e">
        <f>AND('Badge Ticket Formats'!#REF!,"AAAAAG+7a5A=")</f>
        <v>#REF!</v>
      </c>
      <c r="EP157" t="e">
        <f>AND('Badge Ticket Formats'!#REF!,"AAAAAG+7a5E=")</f>
        <v>#REF!</v>
      </c>
      <c r="EQ157" t="e">
        <f>AND('Badge Ticket Formats'!#REF!,"AAAAAG+7a5I=")</f>
        <v>#REF!</v>
      </c>
      <c r="ER157" t="e">
        <f>AND('Badge Ticket Formats'!#REF!,"AAAAAG+7a5M=")</f>
        <v>#REF!</v>
      </c>
      <c r="ES157" t="e">
        <f>AND('Badge Ticket Formats'!#REF!,"AAAAAG+7a5Q=")</f>
        <v>#REF!</v>
      </c>
      <c r="ET157" t="e">
        <f>AND('Badge Ticket Formats'!#REF!,"AAAAAG+7a5U=")</f>
        <v>#REF!</v>
      </c>
      <c r="EU157" t="e">
        <f>AND('Badge Ticket Formats'!#REF!,"AAAAAG+7a5Y=")</f>
        <v>#REF!</v>
      </c>
      <c r="EV157" t="e">
        <f>AND('Badge Ticket Formats'!#REF!,"AAAAAG+7a5c=")</f>
        <v>#REF!</v>
      </c>
      <c r="EW157" t="e">
        <f>AND('Badge Ticket Formats'!#REF!,"AAAAAG+7a5g=")</f>
        <v>#REF!</v>
      </c>
      <c r="EX157" t="e">
        <f>AND('Badge Ticket Formats'!#REF!,"AAAAAG+7a5k=")</f>
        <v>#REF!</v>
      </c>
      <c r="EY157" t="e">
        <f>AND('Badge Ticket Formats'!#REF!,"AAAAAG+7a5o=")</f>
        <v>#REF!</v>
      </c>
      <c r="EZ157" t="e">
        <f>AND('Badge Ticket Formats'!#REF!,"AAAAAG+7a5s=")</f>
        <v>#REF!</v>
      </c>
      <c r="FA157" t="e">
        <f>IF('Badge Ticket Formats'!#REF!,"AAAAAG+7a5w=",0)</f>
        <v>#REF!</v>
      </c>
      <c r="FB157" t="e">
        <f>AND('Badge Ticket Formats'!#REF!,"AAAAAG+7a50=")</f>
        <v>#REF!</v>
      </c>
      <c r="FC157" t="e">
        <f>AND('Badge Ticket Formats'!#REF!,"AAAAAG+7a54=")</f>
        <v>#REF!</v>
      </c>
      <c r="FD157" t="e">
        <f>AND('Badge Ticket Formats'!#REF!,"AAAAAG+7a58=")</f>
        <v>#REF!</v>
      </c>
      <c r="FE157" t="e">
        <f>AND('Badge Ticket Formats'!#REF!,"AAAAAG+7a6A=")</f>
        <v>#REF!</v>
      </c>
      <c r="FF157" t="e">
        <f>AND('Badge Ticket Formats'!#REF!,"AAAAAG+7a6E=")</f>
        <v>#REF!</v>
      </c>
      <c r="FG157" t="e">
        <f>AND('Badge Ticket Formats'!#REF!,"AAAAAG+7a6I=")</f>
        <v>#REF!</v>
      </c>
      <c r="FH157" t="e">
        <f>AND('Badge Ticket Formats'!#REF!,"AAAAAG+7a6M=")</f>
        <v>#REF!</v>
      </c>
      <c r="FI157" t="e">
        <f>AND('Badge Ticket Formats'!#REF!,"AAAAAG+7a6Q=")</f>
        <v>#REF!</v>
      </c>
      <c r="FJ157" t="e">
        <f>AND('Badge Ticket Formats'!#REF!,"AAAAAG+7a6U=")</f>
        <v>#REF!</v>
      </c>
      <c r="FK157" t="e">
        <f>AND('Badge Ticket Formats'!#REF!,"AAAAAG+7a6Y=")</f>
        <v>#REF!</v>
      </c>
      <c r="FL157" t="e">
        <f>AND('Badge Ticket Formats'!#REF!,"AAAAAG+7a6c=")</f>
        <v>#REF!</v>
      </c>
      <c r="FM157" t="e">
        <f>AND('Badge Ticket Formats'!#REF!,"AAAAAG+7a6g=")</f>
        <v>#REF!</v>
      </c>
      <c r="FN157" t="e">
        <f>AND('Badge Ticket Formats'!#REF!,"AAAAAG+7a6k=")</f>
        <v>#REF!</v>
      </c>
      <c r="FO157" t="e">
        <f>IF('Badge Ticket Formats'!#REF!,"AAAAAG+7a6o=",0)</f>
        <v>#REF!</v>
      </c>
      <c r="FP157" t="e">
        <f>AND('Badge Ticket Formats'!#REF!,"AAAAAG+7a6s=")</f>
        <v>#REF!</v>
      </c>
      <c r="FQ157" t="e">
        <f>AND('Badge Ticket Formats'!#REF!,"AAAAAG+7a6w=")</f>
        <v>#REF!</v>
      </c>
      <c r="FR157" t="e">
        <f>AND('Badge Ticket Formats'!#REF!,"AAAAAG+7a60=")</f>
        <v>#REF!</v>
      </c>
      <c r="FS157" t="e">
        <f>AND('Badge Ticket Formats'!#REF!,"AAAAAG+7a64=")</f>
        <v>#REF!</v>
      </c>
      <c r="FT157" t="e">
        <f>AND('Badge Ticket Formats'!#REF!,"AAAAAG+7a68=")</f>
        <v>#REF!</v>
      </c>
      <c r="FU157" t="e">
        <f>AND('Badge Ticket Formats'!#REF!,"AAAAAG+7a7A=")</f>
        <v>#REF!</v>
      </c>
      <c r="FV157" t="e">
        <f>AND('Badge Ticket Formats'!#REF!,"AAAAAG+7a7E=")</f>
        <v>#REF!</v>
      </c>
      <c r="FW157" t="e">
        <f>AND('Badge Ticket Formats'!#REF!,"AAAAAG+7a7I=")</f>
        <v>#REF!</v>
      </c>
      <c r="FX157" t="e">
        <f>AND('Badge Ticket Formats'!#REF!,"AAAAAG+7a7M=")</f>
        <v>#REF!</v>
      </c>
      <c r="FY157" t="e">
        <f>AND('Badge Ticket Formats'!#REF!,"AAAAAG+7a7Q=")</f>
        <v>#REF!</v>
      </c>
      <c r="FZ157" t="e">
        <f>AND('Badge Ticket Formats'!#REF!,"AAAAAG+7a7U=")</f>
        <v>#REF!</v>
      </c>
      <c r="GA157" t="e">
        <f>AND('Badge Ticket Formats'!#REF!,"AAAAAG+7a7Y=")</f>
        <v>#REF!</v>
      </c>
      <c r="GB157" t="e">
        <f>AND('Badge Ticket Formats'!#REF!,"AAAAAG+7a7c=")</f>
        <v>#REF!</v>
      </c>
      <c r="GC157" t="e">
        <f>IF('Badge Ticket Formats'!#REF!,"AAAAAG+7a7g=",0)</f>
        <v>#REF!</v>
      </c>
      <c r="GD157" t="e">
        <f>AND('Badge Ticket Formats'!#REF!,"AAAAAG+7a7k=")</f>
        <v>#REF!</v>
      </c>
      <c r="GE157" t="e">
        <f>AND('Badge Ticket Formats'!#REF!,"AAAAAG+7a7o=")</f>
        <v>#REF!</v>
      </c>
      <c r="GF157" t="e">
        <f>AND('Badge Ticket Formats'!#REF!,"AAAAAG+7a7s=")</f>
        <v>#REF!</v>
      </c>
      <c r="GG157" t="e">
        <f>AND('Badge Ticket Formats'!#REF!,"AAAAAG+7a7w=")</f>
        <v>#REF!</v>
      </c>
      <c r="GH157" t="e">
        <f>AND('Badge Ticket Formats'!#REF!,"AAAAAG+7a70=")</f>
        <v>#REF!</v>
      </c>
      <c r="GI157" t="e">
        <f>AND('Badge Ticket Formats'!#REF!,"AAAAAG+7a74=")</f>
        <v>#REF!</v>
      </c>
      <c r="GJ157" t="e">
        <f>AND('Badge Ticket Formats'!#REF!,"AAAAAG+7a78=")</f>
        <v>#REF!</v>
      </c>
      <c r="GK157" t="e">
        <f>AND('Badge Ticket Formats'!#REF!,"AAAAAG+7a8A=")</f>
        <v>#REF!</v>
      </c>
      <c r="GL157" t="e">
        <f>AND('Badge Ticket Formats'!#REF!,"AAAAAG+7a8E=")</f>
        <v>#REF!</v>
      </c>
      <c r="GM157" t="e">
        <f>AND('Badge Ticket Formats'!#REF!,"AAAAAG+7a8I=")</f>
        <v>#REF!</v>
      </c>
      <c r="GN157" t="e">
        <f>AND('Badge Ticket Formats'!#REF!,"AAAAAG+7a8M=")</f>
        <v>#REF!</v>
      </c>
      <c r="GO157" t="e">
        <f>AND('Badge Ticket Formats'!#REF!,"AAAAAG+7a8Q=")</f>
        <v>#REF!</v>
      </c>
      <c r="GP157" t="e">
        <f>AND('Badge Ticket Formats'!#REF!,"AAAAAG+7a8U=")</f>
        <v>#REF!</v>
      </c>
      <c r="GQ157" t="e">
        <f>IF('Badge Ticket Formats'!#REF!,"AAAAAG+7a8Y=",0)</f>
        <v>#REF!</v>
      </c>
      <c r="GR157" t="e">
        <f>AND('Badge Ticket Formats'!#REF!,"AAAAAG+7a8c=")</f>
        <v>#REF!</v>
      </c>
      <c r="GS157" t="e">
        <f>AND('Badge Ticket Formats'!#REF!,"AAAAAG+7a8g=")</f>
        <v>#REF!</v>
      </c>
      <c r="GT157" t="e">
        <f>AND('Badge Ticket Formats'!#REF!,"AAAAAG+7a8k=")</f>
        <v>#REF!</v>
      </c>
      <c r="GU157" t="e">
        <f>AND('Badge Ticket Formats'!#REF!,"AAAAAG+7a8o=")</f>
        <v>#REF!</v>
      </c>
      <c r="GV157" t="e">
        <f>AND('Badge Ticket Formats'!#REF!,"AAAAAG+7a8s=")</f>
        <v>#REF!</v>
      </c>
      <c r="GW157" t="e">
        <f>AND('Badge Ticket Formats'!#REF!,"AAAAAG+7a8w=")</f>
        <v>#REF!</v>
      </c>
      <c r="GX157" t="e">
        <f>AND('Badge Ticket Formats'!#REF!,"AAAAAG+7a80=")</f>
        <v>#REF!</v>
      </c>
      <c r="GY157" t="e">
        <f>AND('Badge Ticket Formats'!#REF!,"AAAAAG+7a84=")</f>
        <v>#REF!</v>
      </c>
      <c r="GZ157" t="e">
        <f>AND('Badge Ticket Formats'!#REF!,"AAAAAG+7a88=")</f>
        <v>#REF!</v>
      </c>
      <c r="HA157" t="e">
        <f>AND('Badge Ticket Formats'!#REF!,"AAAAAG+7a9A=")</f>
        <v>#REF!</v>
      </c>
      <c r="HB157" t="e">
        <f>AND('Badge Ticket Formats'!#REF!,"AAAAAG+7a9E=")</f>
        <v>#REF!</v>
      </c>
      <c r="HC157" t="e">
        <f>AND('Badge Ticket Formats'!#REF!,"AAAAAG+7a9I=")</f>
        <v>#REF!</v>
      </c>
      <c r="HD157" t="e">
        <f>AND('Badge Ticket Formats'!#REF!,"AAAAAG+7a9M=")</f>
        <v>#REF!</v>
      </c>
      <c r="HE157" t="e">
        <f>IF('Badge Ticket Formats'!#REF!,"AAAAAG+7a9Q=",0)</f>
        <v>#REF!</v>
      </c>
      <c r="HF157" t="e">
        <f>AND('Badge Ticket Formats'!#REF!,"AAAAAG+7a9U=")</f>
        <v>#REF!</v>
      </c>
      <c r="HG157" t="e">
        <f>AND('Badge Ticket Formats'!#REF!,"AAAAAG+7a9Y=")</f>
        <v>#REF!</v>
      </c>
      <c r="HH157" t="e">
        <f>AND('Badge Ticket Formats'!#REF!,"AAAAAG+7a9c=")</f>
        <v>#REF!</v>
      </c>
      <c r="HI157" t="e">
        <f>AND('Badge Ticket Formats'!#REF!,"AAAAAG+7a9g=")</f>
        <v>#REF!</v>
      </c>
      <c r="HJ157" t="e">
        <f>AND('Badge Ticket Formats'!#REF!,"AAAAAG+7a9k=")</f>
        <v>#REF!</v>
      </c>
      <c r="HK157" t="e">
        <f>AND('Badge Ticket Formats'!#REF!,"AAAAAG+7a9o=")</f>
        <v>#REF!</v>
      </c>
      <c r="HL157" t="e">
        <f>AND('Badge Ticket Formats'!#REF!,"AAAAAG+7a9s=")</f>
        <v>#REF!</v>
      </c>
      <c r="HM157" t="e">
        <f>AND('Badge Ticket Formats'!#REF!,"AAAAAG+7a9w=")</f>
        <v>#REF!</v>
      </c>
      <c r="HN157" t="e">
        <f>AND('Badge Ticket Formats'!#REF!,"AAAAAG+7a90=")</f>
        <v>#REF!</v>
      </c>
      <c r="HO157" t="e">
        <f>AND('Badge Ticket Formats'!#REF!,"AAAAAG+7a94=")</f>
        <v>#REF!</v>
      </c>
      <c r="HP157" t="e">
        <f>AND('Badge Ticket Formats'!#REF!,"AAAAAG+7a98=")</f>
        <v>#REF!</v>
      </c>
      <c r="HQ157" t="e">
        <f>AND('Badge Ticket Formats'!#REF!,"AAAAAG+7a+A=")</f>
        <v>#REF!</v>
      </c>
      <c r="HR157" t="e">
        <f>AND('Badge Ticket Formats'!#REF!,"AAAAAG+7a+E=")</f>
        <v>#REF!</v>
      </c>
      <c r="HS157" t="e">
        <f>IF('Badge Ticket Formats'!#REF!,"AAAAAG+7a+I=",0)</f>
        <v>#REF!</v>
      </c>
      <c r="HT157" t="e">
        <f>AND('Badge Ticket Formats'!#REF!,"AAAAAG+7a+M=")</f>
        <v>#REF!</v>
      </c>
      <c r="HU157" t="e">
        <f>AND('Badge Ticket Formats'!#REF!,"AAAAAG+7a+Q=")</f>
        <v>#REF!</v>
      </c>
      <c r="HV157" t="e">
        <f>AND('Badge Ticket Formats'!#REF!,"AAAAAG+7a+U=")</f>
        <v>#REF!</v>
      </c>
      <c r="HW157" t="e">
        <f>AND('Badge Ticket Formats'!#REF!,"AAAAAG+7a+Y=")</f>
        <v>#REF!</v>
      </c>
      <c r="HX157" t="e">
        <f>AND('Badge Ticket Formats'!#REF!,"AAAAAG+7a+c=")</f>
        <v>#REF!</v>
      </c>
      <c r="HY157" t="e">
        <f>AND('Badge Ticket Formats'!#REF!,"AAAAAG+7a+g=")</f>
        <v>#REF!</v>
      </c>
      <c r="HZ157" t="e">
        <f>AND('Badge Ticket Formats'!#REF!,"AAAAAG+7a+k=")</f>
        <v>#REF!</v>
      </c>
      <c r="IA157" t="e">
        <f>AND('Badge Ticket Formats'!#REF!,"AAAAAG+7a+o=")</f>
        <v>#REF!</v>
      </c>
      <c r="IB157" t="e">
        <f>AND('Badge Ticket Formats'!#REF!,"AAAAAG+7a+s=")</f>
        <v>#REF!</v>
      </c>
      <c r="IC157" t="e">
        <f>AND('Badge Ticket Formats'!#REF!,"AAAAAG+7a+w=")</f>
        <v>#REF!</v>
      </c>
      <c r="ID157" t="e">
        <f>AND('Badge Ticket Formats'!#REF!,"AAAAAG+7a+0=")</f>
        <v>#REF!</v>
      </c>
      <c r="IE157" t="e">
        <f>AND('Badge Ticket Formats'!#REF!,"AAAAAG+7a+4=")</f>
        <v>#REF!</v>
      </c>
      <c r="IF157" t="e">
        <f>AND('Badge Ticket Formats'!#REF!,"AAAAAG+7a+8=")</f>
        <v>#REF!</v>
      </c>
      <c r="IG157" t="e">
        <f>IF('Badge Ticket Formats'!#REF!,"AAAAAG+7a/A=",0)</f>
        <v>#REF!</v>
      </c>
      <c r="IH157" t="e">
        <f>AND('Badge Ticket Formats'!#REF!,"AAAAAG+7a/E=")</f>
        <v>#REF!</v>
      </c>
      <c r="II157" t="e">
        <f>AND('Badge Ticket Formats'!#REF!,"AAAAAG+7a/I=")</f>
        <v>#REF!</v>
      </c>
      <c r="IJ157" t="e">
        <f>AND('Badge Ticket Formats'!#REF!,"AAAAAG+7a/M=")</f>
        <v>#REF!</v>
      </c>
      <c r="IK157" t="e">
        <f>AND('Badge Ticket Formats'!#REF!,"AAAAAG+7a/Q=")</f>
        <v>#REF!</v>
      </c>
      <c r="IL157" t="e">
        <f>AND('Badge Ticket Formats'!#REF!,"AAAAAG+7a/U=")</f>
        <v>#REF!</v>
      </c>
      <c r="IM157" t="e">
        <f>AND('Badge Ticket Formats'!#REF!,"AAAAAG+7a/Y=")</f>
        <v>#REF!</v>
      </c>
      <c r="IN157" t="e">
        <f>AND('Badge Ticket Formats'!#REF!,"AAAAAG+7a/c=")</f>
        <v>#REF!</v>
      </c>
      <c r="IO157" t="e">
        <f>AND('Badge Ticket Formats'!#REF!,"AAAAAG+7a/g=")</f>
        <v>#REF!</v>
      </c>
      <c r="IP157" t="e">
        <f>AND('Badge Ticket Formats'!#REF!,"AAAAAG+7a/k=")</f>
        <v>#REF!</v>
      </c>
      <c r="IQ157" t="e">
        <f>AND('Badge Ticket Formats'!#REF!,"AAAAAG+7a/o=")</f>
        <v>#REF!</v>
      </c>
      <c r="IR157" t="e">
        <f>AND('Badge Ticket Formats'!#REF!,"AAAAAG+7a/s=")</f>
        <v>#REF!</v>
      </c>
      <c r="IS157" t="e">
        <f>AND('Badge Ticket Formats'!#REF!,"AAAAAG+7a/w=")</f>
        <v>#REF!</v>
      </c>
      <c r="IT157" t="e">
        <f>AND('Badge Ticket Formats'!#REF!,"AAAAAG+7a/0=")</f>
        <v>#REF!</v>
      </c>
      <c r="IU157">
        <f>IF('Badge Ticket Formats'!301:301,"AAAAAG+7a/4=",0)</f>
        <v>0</v>
      </c>
      <c r="IV157" t="e">
        <f>AND('Badge Ticket Formats'!#REF!,"AAAAAG+7a/8=")</f>
        <v>#REF!</v>
      </c>
    </row>
    <row r="158" spans="1:256" x14ac:dyDescent="0.2">
      <c r="A158" t="e">
        <f>AND('Badge Ticket Formats'!B301,"AAAAADfdpwA=")</f>
        <v>#VALUE!</v>
      </c>
      <c r="B158" t="e">
        <f>AND('Badge Ticket Formats'!C301,"AAAAADfdpwE=")</f>
        <v>#VALUE!</v>
      </c>
      <c r="C158" t="e">
        <f>AND('Badge Ticket Formats'!D301,"AAAAADfdpwI=")</f>
        <v>#VALUE!</v>
      </c>
      <c r="D158" t="e">
        <f>AND('Badge Ticket Formats'!E301,"AAAAADfdpwM=")</f>
        <v>#VALUE!</v>
      </c>
      <c r="E158" t="e">
        <f>AND('Badge Ticket Formats'!F301,"AAAAADfdpwQ=")</f>
        <v>#VALUE!</v>
      </c>
      <c r="F158" t="e">
        <f>AND('Badge Ticket Formats'!#REF!,"AAAAADfdpwU=")</f>
        <v>#REF!</v>
      </c>
      <c r="G158" t="e">
        <f>AND('Badge Ticket Formats'!#REF!,"AAAAADfdpwY=")</f>
        <v>#REF!</v>
      </c>
      <c r="H158" t="e">
        <f>AND('Badge Ticket Formats'!#REF!,"AAAAADfdpwc=")</f>
        <v>#REF!</v>
      </c>
      <c r="I158" t="e">
        <f>AND('Badge Ticket Formats'!#REF!,"AAAAADfdpwg=")</f>
        <v>#REF!</v>
      </c>
      <c r="J158" t="e">
        <f>AND('Badge Ticket Formats'!#REF!,"AAAAADfdpwk=")</f>
        <v>#REF!</v>
      </c>
      <c r="K158" t="e">
        <f>AND('Badge Ticket Formats'!#REF!,"AAAAADfdpwo=")</f>
        <v>#REF!</v>
      </c>
      <c r="L158" t="e">
        <f>AND('Badge Ticket Formats'!#REF!,"AAAAADfdpws=")</f>
        <v>#REF!</v>
      </c>
      <c r="M158" t="e">
        <f>IF('Badge Ticket Formats'!#REF!,"AAAAADfdpww=",0)</f>
        <v>#REF!</v>
      </c>
      <c r="N158" t="e">
        <f>AND('Badge Ticket Formats'!A301,"AAAAADfdpw0=")</f>
        <v>#VALUE!</v>
      </c>
      <c r="O158" t="e">
        <f>AND('Badge Ticket Formats'!#REF!,"AAAAADfdpw4=")</f>
        <v>#REF!</v>
      </c>
      <c r="P158" t="e">
        <f>AND('Badge Ticket Formats'!#REF!,"AAAAADfdpw8=")</f>
        <v>#REF!</v>
      </c>
      <c r="Q158" t="e">
        <f>AND('Badge Ticket Formats'!#REF!,"AAAAADfdpxA=")</f>
        <v>#REF!</v>
      </c>
      <c r="R158" t="e">
        <f>AND('Badge Ticket Formats'!#REF!,"AAAAADfdpxE=")</f>
        <v>#REF!</v>
      </c>
      <c r="S158" t="e">
        <f>AND('Badge Ticket Formats'!#REF!,"AAAAADfdpxI=")</f>
        <v>#REF!</v>
      </c>
      <c r="T158" t="e">
        <f>AND('Badge Ticket Formats'!#REF!,"AAAAADfdpxM=")</f>
        <v>#REF!</v>
      </c>
      <c r="U158" t="e">
        <f>AND('Badge Ticket Formats'!#REF!,"AAAAADfdpxQ=")</f>
        <v>#REF!</v>
      </c>
      <c r="V158" t="e">
        <f>AND('Badge Ticket Formats'!#REF!,"AAAAADfdpxU=")</f>
        <v>#REF!</v>
      </c>
      <c r="W158" t="e">
        <f>AND('Badge Ticket Formats'!#REF!,"AAAAADfdpxY=")</f>
        <v>#REF!</v>
      </c>
      <c r="X158" t="e">
        <f>AND('Badge Ticket Formats'!#REF!,"AAAAADfdpxc=")</f>
        <v>#REF!</v>
      </c>
      <c r="Y158" t="e">
        <f>AND('Badge Ticket Formats'!#REF!,"AAAAADfdpxg=")</f>
        <v>#REF!</v>
      </c>
      <c r="Z158" t="e">
        <f>AND('Badge Ticket Formats'!#REF!,"AAAAADfdpxk=")</f>
        <v>#REF!</v>
      </c>
      <c r="AA158" t="e">
        <f>IF('Badge Ticket Formats'!#REF!,"AAAAADfdpxo=",0)</f>
        <v>#REF!</v>
      </c>
      <c r="AB158" t="e">
        <f>AND('Badge Ticket Formats'!#REF!,"AAAAADfdpxs=")</f>
        <v>#REF!</v>
      </c>
      <c r="AC158" t="e">
        <f>AND('Badge Ticket Formats'!#REF!,"AAAAADfdpxw=")</f>
        <v>#REF!</v>
      </c>
      <c r="AD158" t="e">
        <f>AND('Badge Ticket Formats'!#REF!,"AAAAADfdpx0=")</f>
        <v>#REF!</v>
      </c>
      <c r="AE158" t="e">
        <f>AND('Badge Ticket Formats'!#REF!,"AAAAADfdpx4=")</f>
        <v>#REF!</v>
      </c>
      <c r="AF158" t="e">
        <f>AND('Badge Ticket Formats'!#REF!,"AAAAADfdpx8=")</f>
        <v>#REF!</v>
      </c>
      <c r="AG158" t="e">
        <f>AND('Badge Ticket Formats'!#REF!,"AAAAADfdpyA=")</f>
        <v>#REF!</v>
      </c>
      <c r="AH158" t="e">
        <f>AND('Badge Ticket Formats'!#REF!,"AAAAADfdpyE=")</f>
        <v>#REF!</v>
      </c>
      <c r="AI158" t="e">
        <f>AND('Badge Ticket Formats'!#REF!,"AAAAADfdpyI=")</f>
        <v>#REF!</v>
      </c>
      <c r="AJ158" t="e">
        <f>AND('Badge Ticket Formats'!#REF!,"AAAAADfdpyM=")</f>
        <v>#REF!</v>
      </c>
      <c r="AK158" t="e">
        <f>AND('Badge Ticket Formats'!#REF!,"AAAAADfdpyQ=")</f>
        <v>#REF!</v>
      </c>
      <c r="AL158" t="e">
        <f>AND('Badge Ticket Formats'!#REF!,"AAAAADfdpyU=")</f>
        <v>#REF!</v>
      </c>
      <c r="AM158" t="e">
        <f>AND('Badge Ticket Formats'!#REF!,"AAAAADfdpyY=")</f>
        <v>#REF!</v>
      </c>
      <c r="AN158" t="e">
        <f>AND('Badge Ticket Formats'!#REF!,"AAAAADfdpyc=")</f>
        <v>#REF!</v>
      </c>
      <c r="AO158" t="e">
        <f>IF('Badge Ticket Formats'!#REF!,"AAAAADfdpyg=",0)</f>
        <v>#REF!</v>
      </c>
      <c r="AP158" t="e">
        <f>AND('Badge Ticket Formats'!#REF!,"AAAAADfdpyk=")</f>
        <v>#REF!</v>
      </c>
      <c r="AQ158" t="e">
        <f>AND('Badge Ticket Formats'!#REF!,"AAAAADfdpyo=")</f>
        <v>#REF!</v>
      </c>
      <c r="AR158" t="e">
        <f>AND('Badge Ticket Formats'!#REF!,"AAAAADfdpys=")</f>
        <v>#REF!</v>
      </c>
      <c r="AS158" t="e">
        <f>AND('Badge Ticket Formats'!#REF!,"AAAAADfdpyw=")</f>
        <v>#REF!</v>
      </c>
      <c r="AT158" t="e">
        <f>AND('Badge Ticket Formats'!#REF!,"AAAAADfdpy0=")</f>
        <v>#REF!</v>
      </c>
      <c r="AU158" t="e">
        <f>AND('Badge Ticket Formats'!#REF!,"AAAAADfdpy4=")</f>
        <v>#REF!</v>
      </c>
      <c r="AV158" t="e">
        <f>AND('Badge Ticket Formats'!#REF!,"AAAAADfdpy8=")</f>
        <v>#REF!</v>
      </c>
      <c r="AW158" t="e">
        <f>AND('Badge Ticket Formats'!#REF!,"AAAAADfdpzA=")</f>
        <v>#REF!</v>
      </c>
      <c r="AX158" t="e">
        <f>AND('Badge Ticket Formats'!#REF!,"AAAAADfdpzE=")</f>
        <v>#REF!</v>
      </c>
      <c r="AY158" t="e">
        <f>AND('Badge Ticket Formats'!#REF!,"AAAAADfdpzI=")</f>
        <v>#REF!</v>
      </c>
      <c r="AZ158" t="e">
        <f>AND('Badge Ticket Formats'!#REF!,"AAAAADfdpzM=")</f>
        <v>#REF!</v>
      </c>
      <c r="BA158" t="e">
        <f>AND('Badge Ticket Formats'!#REF!,"AAAAADfdpzQ=")</f>
        <v>#REF!</v>
      </c>
      <c r="BB158" t="e">
        <f>AND('Badge Ticket Formats'!#REF!,"AAAAADfdpzU=")</f>
        <v>#REF!</v>
      </c>
      <c r="BC158" t="e">
        <f>IF('Badge Ticket Formats'!#REF!,"AAAAADfdpzY=",0)</f>
        <v>#REF!</v>
      </c>
      <c r="BD158" t="e">
        <f>AND('Badge Ticket Formats'!#REF!,"AAAAADfdpzc=")</f>
        <v>#REF!</v>
      </c>
      <c r="BE158" t="e">
        <f>AND('Badge Ticket Formats'!#REF!,"AAAAADfdpzg=")</f>
        <v>#REF!</v>
      </c>
      <c r="BF158" t="e">
        <f>AND('Badge Ticket Formats'!#REF!,"AAAAADfdpzk=")</f>
        <v>#REF!</v>
      </c>
      <c r="BG158" t="e">
        <f>AND('Badge Ticket Formats'!#REF!,"AAAAADfdpzo=")</f>
        <v>#REF!</v>
      </c>
      <c r="BH158" t="e">
        <f>AND('Badge Ticket Formats'!#REF!,"AAAAADfdpzs=")</f>
        <v>#REF!</v>
      </c>
      <c r="BI158" t="e">
        <f>AND('Badge Ticket Formats'!#REF!,"AAAAADfdpzw=")</f>
        <v>#REF!</v>
      </c>
      <c r="BJ158" t="e">
        <f>AND('Badge Ticket Formats'!#REF!,"AAAAADfdpz0=")</f>
        <v>#REF!</v>
      </c>
      <c r="BK158" t="e">
        <f>AND('Badge Ticket Formats'!#REF!,"AAAAADfdpz4=")</f>
        <v>#REF!</v>
      </c>
      <c r="BL158" t="e">
        <f>AND('Badge Ticket Formats'!#REF!,"AAAAADfdpz8=")</f>
        <v>#REF!</v>
      </c>
      <c r="BM158" t="e">
        <f>AND('Badge Ticket Formats'!#REF!,"AAAAADfdp0A=")</f>
        <v>#REF!</v>
      </c>
      <c r="BN158" t="e">
        <f>AND('Badge Ticket Formats'!#REF!,"AAAAADfdp0E=")</f>
        <v>#REF!</v>
      </c>
      <c r="BO158" t="e">
        <f>AND('Badge Ticket Formats'!#REF!,"AAAAADfdp0I=")</f>
        <v>#REF!</v>
      </c>
      <c r="BP158" t="e">
        <f>AND('Badge Ticket Formats'!#REF!,"AAAAADfdp0M=")</f>
        <v>#REF!</v>
      </c>
      <c r="BQ158" t="e">
        <f>IF('Badge Ticket Formats'!#REF!,"AAAAADfdp0Q=",0)</f>
        <v>#REF!</v>
      </c>
      <c r="BR158" t="e">
        <f>AND('Badge Ticket Formats'!#REF!,"AAAAADfdp0U=")</f>
        <v>#REF!</v>
      </c>
      <c r="BS158" t="e">
        <f>AND('Badge Ticket Formats'!#REF!,"AAAAADfdp0Y=")</f>
        <v>#REF!</v>
      </c>
      <c r="BT158" t="e">
        <f>AND('Badge Ticket Formats'!#REF!,"AAAAADfdp0c=")</f>
        <v>#REF!</v>
      </c>
      <c r="BU158" t="e">
        <f>AND('Badge Ticket Formats'!#REF!,"AAAAADfdp0g=")</f>
        <v>#REF!</v>
      </c>
      <c r="BV158" t="e">
        <f>AND('Badge Ticket Formats'!#REF!,"AAAAADfdp0k=")</f>
        <v>#REF!</v>
      </c>
      <c r="BW158" t="e">
        <f>AND('Badge Ticket Formats'!#REF!,"AAAAADfdp0o=")</f>
        <v>#REF!</v>
      </c>
      <c r="BX158" t="e">
        <f>AND('Badge Ticket Formats'!#REF!,"AAAAADfdp0s=")</f>
        <v>#REF!</v>
      </c>
      <c r="BY158" t="e">
        <f>AND('Badge Ticket Formats'!#REF!,"AAAAADfdp0w=")</f>
        <v>#REF!</v>
      </c>
      <c r="BZ158" t="e">
        <f>AND('Badge Ticket Formats'!#REF!,"AAAAADfdp00=")</f>
        <v>#REF!</v>
      </c>
      <c r="CA158" t="e">
        <f>AND('Badge Ticket Formats'!#REF!,"AAAAADfdp04=")</f>
        <v>#REF!</v>
      </c>
      <c r="CB158" t="e">
        <f>AND('Badge Ticket Formats'!#REF!,"AAAAADfdp08=")</f>
        <v>#REF!</v>
      </c>
      <c r="CC158" t="e">
        <f>AND('Badge Ticket Formats'!#REF!,"AAAAADfdp1A=")</f>
        <v>#REF!</v>
      </c>
      <c r="CD158" t="e">
        <f>AND('Badge Ticket Formats'!#REF!,"AAAAADfdp1E=")</f>
        <v>#REF!</v>
      </c>
      <c r="CE158" t="e">
        <f>IF('Badge Ticket Formats'!#REF!,"AAAAADfdp1I=",0)</f>
        <v>#REF!</v>
      </c>
      <c r="CF158" t="e">
        <f>AND('Badge Ticket Formats'!#REF!,"AAAAADfdp1M=")</f>
        <v>#REF!</v>
      </c>
      <c r="CG158" t="e">
        <f>AND('Badge Ticket Formats'!#REF!,"AAAAADfdp1Q=")</f>
        <v>#REF!</v>
      </c>
      <c r="CH158" t="e">
        <f>AND('Badge Ticket Formats'!#REF!,"AAAAADfdp1U=")</f>
        <v>#REF!</v>
      </c>
      <c r="CI158" t="e">
        <f>AND('Badge Ticket Formats'!#REF!,"AAAAADfdp1Y=")</f>
        <v>#REF!</v>
      </c>
      <c r="CJ158" t="e">
        <f>AND('Badge Ticket Formats'!#REF!,"AAAAADfdp1c=")</f>
        <v>#REF!</v>
      </c>
      <c r="CK158" t="e">
        <f>AND('Badge Ticket Formats'!#REF!,"AAAAADfdp1g=")</f>
        <v>#REF!</v>
      </c>
      <c r="CL158" t="e">
        <f>AND('Badge Ticket Formats'!#REF!,"AAAAADfdp1k=")</f>
        <v>#REF!</v>
      </c>
      <c r="CM158" t="e">
        <f>AND('Badge Ticket Formats'!#REF!,"AAAAADfdp1o=")</f>
        <v>#REF!</v>
      </c>
      <c r="CN158" t="e">
        <f>AND('Badge Ticket Formats'!#REF!,"AAAAADfdp1s=")</f>
        <v>#REF!</v>
      </c>
      <c r="CO158" t="e">
        <f>AND('Badge Ticket Formats'!#REF!,"AAAAADfdp1w=")</f>
        <v>#REF!</v>
      </c>
      <c r="CP158" t="e">
        <f>AND('Badge Ticket Formats'!#REF!,"AAAAADfdp10=")</f>
        <v>#REF!</v>
      </c>
      <c r="CQ158" t="e">
        <f>AND('Badge Ticket Formats'!#REF!,"AAAAADfdp14=")</f>
        <v>#REF!</v>
      </c>
      <c r="CR158" t="e">
        <f>AND('Badge Ticket Formats'!#REF!,"AAAAADfdp18=")</f>
        <v>#REF!</v>
      </c>
      <c r="CS158" t="e">
        <f>IF('Badge Ticket Formats'!#REF!,"AAAAADfdp2A=",0)</f>
        <v>#REF!</v>
      </c>
      <c r="CT158" t="e">
        <f>AND('Badge Ticket Formats'!#REF!,"AAAAADfdp2E=")</f>
        <v>#REF!</v>
      </c>
      <c r="CU158" t="e">
        <f>AND('Badge Ticket Formats'!#REF!,"AAAAADfdp2I=")</f>
        <v>#REF!</v>
      </c>
      <c r="CV158" t="e">
        <f>AND('Badge Ticket Formats'!#REF!,"AAAAADfdp2M=")</f>
        <v>#REF!</v>
      </c>
      <c r="CW158" t="e">
        <f>AND('Badge Ticket Formats'!#REF!,"AAAAADfdp2Q=")</f>
        <v>#REF!</v>
      </c>
      <c r="CX158" t="e">
        <f>AND('Badge Ticket Formats'!#REF!,"AAAAADfdp2U=")</f>
        <v>#REF!</v>
      </c>
      <c r="CY158" t="e">
        <f>AND('Badge Ticket Formats'!#REF!,"AAAAADfdp2Y=")</f>
        <v>#REF!</v>
      </c>
      <c r="CZ158" t="e">
        <f>AND('Badge Ticket Formats'!#REF!,"AAAAADfdp2c=")</f>
        <v>#REF!</v>
      </c>
      <c r="DA158" t="e">
        <f>AND('Badge Ticket Formats'!#REF!,"AAAAADfdp2g=")</f>
        <v>#REF!</v>
      </c>
      <c r="DB158" t="e">
        <f>AND('Badge Ticket Formats'!#REF!,"AAAAADfdp2k=")</f>
        <v>#REF!</v>
      </c>
      <c r="DC158" t="e">
        <f>AND('Badge Ticket Formats'!#REF!,"AAAAADfdp2o=")</f>
        <v>#REF!</v>
      </c>
      <c r="DD158" t="e">
        <f>AND('Badge Ticket Formats'!#REF!,"AAAAADfdp2s=")</f>
        <v>#REF!</v>
      </c>
      <c r="DE158" t="e">
        <f>AND('Badge Ticket Formats'!#REF!,"AAAAADfdp2w=")</f>
        <v>#REF!</v>
      </c>
      <c r="DF158" t="e">
        <f>AND('Badge Ticket Formats'!#REF!,"AAAAADfdp20=")</f>
        <v>#REF!</v>
      </c>
      <c r="DG158" t="e">
        <f>IF('Badge Ticket Formats'!#REF!,"AAAAADfdp24=",0)</f>
        <v>#REF!</v>
      </c>
      <c r="DH158" t="e">
        <f>AND('Badge Ticket Formats'!#REF!,"AAAAADfdp28=")</f>
        <v>#REF!</v>
      </c>
      <c r="DI158" t="e">
        <f>AND('Badge Ticket Formats'!#REF!,"AAAAADfdp3A=")</f>
        <v>#REF!</v>
      </c>
      <c r="DJ158" t="e">
        <f>AND('Badge Ticket Formats'!#REF!,"AAAAADfdp3E=")</f>
        <v>#REF!</v>
      </c>
      <c r="DK158" t="e">
        <f>AND('Badge Ticket Formats'!#REF!,"AAAAADfdp3I=")</f>
        <v>#REF!</v>
      </c>
      <c r="DL158" t="e">
        <f>AND('Badge Ticket Formats'!#REF!,"AAAAADfdp3M=")</f>
        <v>#REF!</v>
      </c>
      <c r="DM158" t="e">
        <f>AND('Badge Ticket Formats'!#REF!,"AAAAADfdp3Q=")</f>
        <v>#REF!</v>
      </c>
      <c r="DN158" t="e">
        <f>AND('Badge Ticket Formats'!#REF!,"AAAAADfdp3U=")</f>
        <v>#REF!</v>
      </c>
      <c r="DO158" t="e">
        <f>AND('Badge Ticket Formats'!#REF!,"AAAAADfdp3Y=")</f>
        <v>#REF!</v>
      </c>
      <c r="DP158" t="e">
        <f>AND('Badge Ticket Formats'!#REF!,"AAAAADfdp3c=")</f>
        <v>#REF!</v>
      </c>
      <c r="DQ158" t="e">
        <f>AND('Badge Ticket Formats'!#REF!,"AAAAADfdp3g=")</f>
        <v>#REF!</v>
      </c>
      <c r="DR158" t="e">
        <f>AND('Badge Ticket Formats'!#REF!,"AAAAADfdp3k=")</f>
        <v>#REF!</v>
      </c>
      <c r="DS158" t="e">
        <f>AND('Badge Ticket Formats'!#REF!,"AAAAADfdp3o=")</f>
        <v>#REF!</v>
      </c>
      <c r="DT158" t="e">
        <f>AND('Badge Ticket Formats'!#REF!,"AAAAADfdp3s=")</f>
        <v>#REF!</v>
      </c>
      <c r="DU158" t="e">
        <f>IF('Badge Ticket Formats'!#REF!,"AAAAADfdp3w=",0)</f>
        <v>#REF!</v>
      </c>
      <c r="DV158" t="e">
        <f>AND('Badge Ticket Formats'!#REF!,"AAAAADfdp30=")</f>
        <v>#REF!</v>
      </c>
      <c r="DW158" t="e">
        <f>AND('Badge Ticket Formats'!#REF!,"AAAAADfdp34=")</f>
        <v>#REF!</v>
      </c>
      <c r="DX158" t="e">
        <f>AND('Badge Ticket Formats'!#REF!,"AAAAADfdp38=")</f>
        <v>#REF!</v>
      </c>
      <c r="DY158" t="e">
        <f>AND('Badge Ticket Formats'!#REF!,"AAAAADfdp4A=")</f>
        <v>#REF!</v>
      </c>
      <c r="DZ158" t="e">
        <f>AND('Badge Ticket Formats'!#REF!,"AAAAADfdp4E=")</f>
        <v>#REF!</v>
      </c>
      <c r="EA158" t="e">
        <f>AND('Badge Ticket Formats'!#REF!,"AAAAADfdp4I=")</f>
        <v>#REF!</v>
      </c>
      <c r="EB158" t="e">
        <f>AND('Badge Ticket Formats'!#REF!,"AAAAADfdp4M=")</f>
        <v>#REF!</v>
      </c>
      <c r="EC158" t="e">
        <f>AND('Badge Ticket Formats'!#REF!,"AAAAADfdp4Q=")</f>
        <v>#REF!</v>
      </c>
      <c r="ED158" t="e">
        <f>AND('Badge Ticket Formats'!#REF!,"AAAAADfdp4U=")</f>
        <v>#REF!</v>
      </c>
      <c r="EE158" t="e">
        <f>AND('Badge Ticket Formats'!#REF!,"AAAAADfdp4Y=")</f>
        <v>#REF!</v>
      </c>
      <c r="EF158" t="e">
        <f>AND('Badge Ticket Formats'!#REF!,"AAAAADfdp4c=")</f>
        <v>#REF!</v>
      </c>
      <c r="EG158" t="e">
        <f>AND('Badge Ticket Formats'!#REF!,"AAAAADfdp4g=")</f>
        <v>#REF!</v>
      </c>
      <c r="EH158" t="e">
        <f>AND('Badge Ticket Formats'!#REF!,"AAAAADfdp4k=")</f>
        <v>#REF!</v>
      </c>
      <c r="EI158" t="e">
        <f>IF('Badge Ticket Formats'!#REF!,"AAAAADfdp4o=",0)</f>
        <v>#REF!</v>
      </c>
      <c r="EJ158" t="e">
        <f>AND('Badge Ticket Formats'!#REF!,"AAAAADfdp4s=")</f>
        <v>#REF!</v>
      </c>
      <c r="EK158" t="e">
        <f>AND('Badge Ticket Formats'!#REF!,"AAAAADfdp4w=")</f>
        <v>#REF!</v>
      </c>
      <c r="EL158" t="e">
        <f>AND('Badge Ticket Formats'!#REF!,"AAAAADfdp40=")</f>
        <v>#REF!</v>
      </c>
      <c r="EM158" t="e">
        <f>AND('Badge Ticket Formats'!#REF!,"AAAAADfdp44=")</f>
        <v>#REF!</v>
      </c>
      <c r="EN158" t="e">
        <f>AND('Badge Ticket Formats'!#REF!,"AAAAADfdp48=")</f>
        <v>#REF!</v>
      </c>
      <c r="EO158" t="e">
        <f>AND('Badge Ticket Formats'!#REF!,"AAAAADfdp5A=")</f>
        <v>#REF!</v>
      </c>
      <c r="EP158" t="e">
        <f>AND('Badge Ticket Formats'!#REF!,"AAAAADfdp5E=")</f>
        <v>#REF!</v>
      </c>
      <c r="EQ158" t="e">
        <f>AND('Badge Ticket Formats'!#REF!,"AAAAADfdp5I=")</f>
        <v>#REF!</v>
      </c>
      <c r="ER158" t="e">
        <f>AND('Badge Ticket Formats'!#REF!,"AAAAADfdp5M=")</f>
        <v>#REF!</v>
      </c>
      <c r="ES158" t="e">
        <f>AND('Badge Ticket Formats'!#REF!,"AAAAADfdp5Q=")</f>
        <v>#REF!</v>
      </c>
      <c r="ET158" t="e">
        <f>AND('Badge Ticket Formats'!#REF!,"AAAAADfdp5U=")</f>
        <v>#REF!</v>
      </c>
      <c r="EU158" t="e">
        <f>AND('Badge Ticket Formats'!#REF!,"AAAAADfdp5Y=")</f>
        <v>#REF!</v>
      </c>
      <c r="EV158" t="e">
        <f>AND('Badge Ticket Formats'!#REF!,"AAAAADfdp5c=")</f>
        <v>#REF!</v>
      </c>
      <c r="EW158" t="e">
        <f>IF('Badge Ticket Formats'!#REF!,"AAAAADfdp5g=",0)</f>
        <v>#REF!</v>
      </c>
      <c r="EX158" t="e">
        <f>AND('Badge Ticket Formats'!#REF!,"AAAAADfdp5k=")</f>
        <v>#REF!</v>
      </c>
      <c r="EY158" t="e">
        <f>AND('Badge Ticket Formats'!#REF!,"AAAAADfdp5o=")</f>
        <v>#REF!</v>
      </c>
      <c r="EZ158" t="e">
        <f>AND('Badge Ticket Formats'!#REF!,"AAAAADfdp5s=")</f>
        <v>#REF!</v>
      </c>
      <c r="FA158" t="e">
        <f>AND('Badge Ticket Formats'!#REF!,"AAAAADfdp5w=")</f>
        <v>#REF!</v>
      </c>
      <c r="FB158" t="e">
        <f>AND('Badge Ticket Formats'!#REF!,"AAAAADfdp50=")</f>
        <v>#REF!</v>
      </c>
      <c r="FC158" t="e">
        <f>AND('Badge Ticket Formats'!#REF!,"AAAAADfdp54=")</f>
        <v>#REF!</v>
      </c>
      <c r="FD158" t="e">
        <f>AND('Badge Ticket Formats'!#REF!,"AAAAADfdp58=")</f>
        <v>#REF!</v>
      </c>
      <c r="FE158" t="e">
        <f>AND('Badge Ticket Formats'!#REF!,"AAAAADfdp6A=")</f>
        <v>#REF!</v>
      </c>
      <c r="FF158" t="e">
        <f>AND('Badge Ticket Formats'!#REF!,"AAAAADfdp6E=")</f>
        <v>#REF!</v>
      </c>
      <c r="FG158" t="e">
        <f>AND('Badge Ticket Formats'!#REF!,"AAAAADfdp6I=")</f>
        <v>#REF!</v>
      </c>
      <c r="FH158" t="e">
        <f>AND('Badge Ticket Formats'!#REF!,"AAAAADfdp6M=")</f>
        <v>#REF!</v>
      </c>
      <c r="FI158" t="e">
        <f>AND('Badge Ticket Formats'!#REF!,"AAAAADfdp6Q=")</f>
        <v>#REF!</v>
      </c>
      <c r="FJ158" t="e">
        <f>AND('Badge Ticket Formats'!#REF!,"AAAAADfdp6U=")</f>
        <v>#REF!</v>
      </c>
      <c r="FK158" t="e">
        <f>IF('Badge Ticket Formats'!#REF!,"AAAAADfdp6Y=",0)</f>
        <v>#REF!</v>
      </c>
      <c r="FL158" t="e">
        <f>AND('Badge Ticket Formats'!#REF!,"AAAAADfdp6c=")</f>
        <v>#REF!</v>
      </c>
      <c r="FM158" t="e">
        <f>AND('Badge Ticket Formats'!#REF!,"AAAAADfdp6g=")</f>
        <v>#REF!</v>
      </c>
      <c r="FN158" t="e">
        <f>AND('Badge Ticket Formats'!#REF!,"AAAAADfdp6k=")</f>
        <v>#REF!</v>
      </c>
      <c r="FO158" t="e">
        <f>AND('Badge Ticket Formats'!#REF!,"AAAAADfdp6o=")</f>
        <v>#REF!</v>
      </c>
      <c r="FP158" t="e">
        <f>AND('Badge Ticket Formats'!#REF!,"AAAAADfdp6s=")</f>
        <v>#REF!</v>
      </c>
      <c r="FQ158" t="e">
        <f>AND('Badge Ticket Formats'!#REF!,"AAAAADfdp6w=")</f>
        <v>#REF!</v>
      </c>
      <c r="FR158" t="e">
        <f>AND('Badge Ticket Formats'!#REF!,"AAAAADfdp60=")</f>
        <v>#REF!</v>
      </c>
      <c r="FS158" t="e">
        <f>AND('Badge Ticket Formats'!#REF!,"AAAAADfdp64=")</f>
        <v>#REF!</v>
      </c>
      <c r="FT158" t="e">
        <f>AND('Badge Ticket Formats'!#REF!,"AAAAADfdp68=")</f>
        <v>#REF!</v>
      </c>
      <c r="FU158" t="e">
        <f>AND('Badge Ticket Formats'!#REF!,"AAAAADfdp7A=")</f>
        <v>#REF!</v>
      </c>
      <c r="FV158" t="e">
        <f>AND('Badge Ticket Formats'!#REF!,"AAAAADfdp7E=")</f>
        <v>#REF!</v>
      </c>
      <c r="FW158" t="e">
        <f>AND('Badge Ticket Formats'!#REF!,"AAAAADfdp7I=")</f>
        <v>#REF!</v>
      </c>
      <c r="FX158" t="e">
        <f>AND('Badge Ticket Formats'!#REF!,"AAAAADfdp7M=")</f>
        <v>#REF!</v>
      </c>
      <c r="FY158">
        <f>IF('Badge Ticket Formats'!302:302,"AAAAADfdp7Q=",0)</f>
        <v>0</v>
      </c>
      <c r="FZ158" t="e">
        <f>AND('Badge Ticket Formats'!#REF!,"AAAAADfdp7U=")</f>
        <v>#REF!</v>
      </c>
      <c r="GA158" t="e">
        <f>AND('Badge Ticket Formats'!A302,"AAAAADfdp7Y=")</f>
        <v>#VALUE!</v>
      </c>
      <c r="GB158" t="e">
        <f>AND('Badge Ticket Formats'!B302,"AAAAADfdp7c=")</f>
        <v>#VALUE!</v>
      </c>
      <c r="GC158" t="e">
        <f>AND('Badge Ticket Formats'!C302,"AAAAADfdp7g=")</f>
        <v>#VALUE!</v>
      </c>
      <c r="GD158" t="e">
        <f>AND('Badge Ticket Formats'!D302,"AAAAADfdp7k=")</f>
        <v>#VALUE!</v>
      </c>
      <c r="GE158" t="e">
        <f>AND('Badge Ticket Formats'!E302,"AAAAADfdp7o=")</f>
        <v>#VALUE!</v>
      </c>
      <c r="GF158" t="e">
        <f>AND('Badge Ticket Formats'!F302,"AAAAADfdp7s=")</f>
        <v>#VALUE!</v>
      </c>
      <c r="GG158" t="e">
        <f>AND('Badge Ticket Formats'!G302,"AAAAADfdp7w=")</f>
        <v>#VALUE!</v>
      </c>
      <c r="GH158" t="e">
        <f>AND('Badge Ticket Formats'!H302,"AAAAADfdp70=")</f>
        <v>#VALUE!</v>
      </c>
      <c r="GI158" t="e">
        <f>AND('Badge Ticket Formats'!I301,"AAAAADfdp74=")</f>
        <v>#VALUE!</v>
      </c>
      <c r="GJ158" t="e">
        <f>AND('Badge Ticket Formats'!J301,"AAAAADfdp78=")</f>
        <v>#VALUE!</v>
      </c>
      <c r="GK158" t="e">
        <f>AND('Badge Ticket Formats'!K301,"AAAAADfdp8A=")</f>
        <v>#VALUE!</v>
      </c>
      <c r="GL158" t="e">
        <f>AND('Badge Ticket Formats'!L301,"AAAAADfdp8E=")</f>
        <v>#VALUE!</v>
      </c>
      <c r="GM158">
        <f>IF('Badge Ticket Formats'!303:303,"AAAAADfdp8I=",0)</f>
        <v>0</v>
      </c>
      <c r="GN158" t="e">
        <f>AND('Badge Ticket Formats'!#REF!,"AAAAADfdp8M=")</f>
        <v>#REF!</v>
      </c>
      <c r="GO158" t="e">
        <f>AND('Badge Ticket Formats'!A303,"AAAAADfdp8Q=")</f>
        <v>#VALUE!</v>
      </c>
      <c r="GP158" t="e">
        <f>AND('Badge Ticket Formats'!B303,"AAAAADfdp8U=")</f>
        <v>#VALUE!</v>
      </c>
      <c r="GQ158" t="e">
        <f>AND('Badge Ticket Formats'!C303,"AAAAADfdp8Y=")</f>
        <v>#VALUE!</v>
      </c>
      <c r="GR158" t="e">
        <f>AND('Badge Ticket Formats'!D303,"AAAAADfdp8c=")</f>
        <v>#VALUE!</v>
      </c>
      <c r="GS158" t="e">
        <f>AND('Badge Ticket Formats'!E303,"AAAAADfdp8g=")</f>
        <v>#VALUE!</v>
      </c>
      <c r="GT158" t="e">
        <f>AND('Badge Ticket Formats'!F303,"AAAAADfdp8k=")</f>
        <v>#VALUE!</v>
      </c>
      <c r="GU158" t="e">
        <f>AND('Badge Ticket Formats'!G303,"AAAAADfdp8o=")</f>
        <v>#VALUE!</v>
      </c>
      <c r="GV158" t="e">
        <f>AND('Badge Ticket Formats'!H303,"AAAAADfdp8s=")</f>
        <v>#VALUE!</v>
      </c>
      <c r="GW158" t="e">
        <f>AND('Badge Ticket Formats'!I302,"AAAAADfdp8w=")</f>
        <v>#VALUE!</v>
      </c>
      <c r="GX158" t="e">
        <f>AND('Badge Ticket Formats'!J302,"AAAAADfdp80=")</f>
        <v>#VALUE!</v>
      </c>
      <c r="GY158" t="e">
        <f>AND('Badge Ticket Formats'!K302,"AAAAADfdp84=")</f>
        <v>#VALUE!</v>
      </c>
      <c r="GZ158" t="e">
        <f>AND('Badge Ticket Formats'!L302,"AAAAADfdp88=")</f>
        <v>#VALUE!</v>
      </c>
      <c r="HA158">
        <f>IF('Badge Ticket Formats'!304:304,"AAAAADfdp9A=",0)</f>
        <v>0</v>
      </c>
      <c r="HB158" t="e">
        <f>AND('Badge Ticket Formats'!#REF!,"AAAAADfdp9E=")</f>
        <v>#REF!</v>
      </c>
      <c r="HC158" t="e">
        <f>AND('Badge Ticket Formats'!A304,"AAAAADfdp9I=")</f>
        <v>#VALUE!</v>
      </c>
      <c r="HD158" t="e">
        <f>AND('Badge Ticket Formats'!B304,"AAAAADfdp9M=")</f>
        <v>#VALUE!</v>
      </c>
      <c r="HE158" t="e">
        <f>AND('Badge Ticket Formats'!C304,"AAAAADfdp9Q=")</f>
        <v>#VALUE!</v>
      </c>
      <c r="HF158" t="e">
        <f>AND('Badge Ticket Formats'!D304,"AAAAADfdp9U=")</f>
        <v>#VALUE!</v>
      </c>
      <c r="HG158" t="e">
        <f>AND('Badge Ticket Formats'!E304,"AAAAADfdp9Y=")</f>
        <v>#VALUE!</v>
      </c>
      <c r="HH158" t="e">
        <f>AND('Badge Ticket Formats'!F304,"AAAAADfdp9c=")</f>
        <v>#VALUE!</v>
      </c>
      <c r="HI158" t="e">
        <f>AND('Badge Ticket Formats'!#REF!,"AAAAADfdp9g=")</f>
        <v>#REF!</v>
      </c>
      <c r="HJ158" t="e">
        <f>AND('Badge Ticket Formats'!#REF!,"AAAAADfdp9k=")</f>
        <v>#REF!</v>
      </c>
      <c r="HK158" t="e">
        <f>AND('Badge Ticket Formats'!I303,"AAAAADfdp9o=")</f>
        <v>#VALUE!</v>
      </c>
      <c r="HL158" t="e">
        <f>AND('Badge Ticket Formats'!J303,"AAAAADfdp9s=")</f>
        <v>#VALUE!</v>
      </c>
      <c r="HM158" t="e">
        <f>AND('Badge Ticket Formats'!K303,"AAAAADfdp9w=")</f>
        <v>#VALUE!</v>
      </c>
      <c r="HN158" t="e">
        <f>AND('Badge Ticket Formats'!L303,"AAAAADfdp90=")</f>
        <v>#VALUE!</v>
      </c>
      <c r="HO158">
        <f>IF('Badge Ticket Formats'!A:A,"AAAAADfdp94=",0)</f>
        <v>0</v>
      </c>
      <c r="HP158">
        <f>IF('Badge Ticket Formats'!B:B,"AAAAADfdp98=",0)</f>
        <v>0</v>
      </c>
      <c r="HQ158">
        <f>IF('Badge Ticket Formats'!C:C,"AAAAADfdp+A=",0)</f>
        <v>0</v>
      </c>
      <c r="HR158">
        <f>IF('Badge Ticket Formats'!D:D,"AAAAADfdp+E=",0)</f>
        <v>0</v>
      </c>
      <c r="HS158">
        <f>IF('Badge Ticket Formats'!E:E,"AAAAADfdp+I=",0)</f>
        <v>0</v>
      </c>
      <c r="HT158">
        <f>IF('Badge Ticket Formats'!F:F,"AAAAADfdp+M=",0)</f>
        <v>0</v>
      </c>
      <c r="HU158" t="e">
        <f>IF('Badge Ticket Formats'!G:G,"AAAAADfdp+Q=",0)</f>
        <v>#VALUE!</v>
      </c>
      <c r="HV158" t="e">
        <f>IF('Badge Ticket Formats'!H:H,"AAAAADfdp+U=",0)</f>
        <v>#VALUE!</v>
      </c>
      <c r="HW158">
        <f>IF('Badge Ticket Formats'!I:I,"AAAAADfdp+Y=",0)</f>
        <v>0</v>
      </c>
      <c r="HX158">
        <f>IF('Badge Ticket Formats'!J:J,"AAAAADfdp+c=",0)</f>
        <v>0</v>
      </c>
      <c r="HY158">
        <f>IF('Badge Ticket Formats'!K:K,"AAAAADfdp+g=",0)</f>
        <v>0</v>
      </c>
      <c r="HZ158">
        <f>IF('Badge Ticket Formats'!L:L,"AAAAADfdp+k=",0)</f>
        <v>0</v>
      </c>
      <c r="IA158">
        <f>IF('Badge Ticket Formats'!M:M,"AAAAADfdp+o=",0)</f>
        <v>0</v>
      </c>
      <c r="IB158" t="e">
        <f>IF(#REF!,"AAAAADfdp+s=",0)</f>
        <v>#REF!</v>
      </c>
      <c r="IC158" t="e">
        <f>AND(#REF!,"AAAAADfdp+w=")</f>
        <v>#REF!</v>
      </c>
      <c r="ID158" t="e">
        <f>AND(#REF!,"AAAAADfdp+0=")</f>
        <v>#REF!</v>
      </c>
      <c r="IE158" t="e">
        <f>AND(#REF!,"AAAAADfdp+4=")</f>
        <v>#REF!</v>
      </c>
      <c r="IF158" t="e">
        <f>AND(#REF!,"AAAAADfdp+8=")</f>
        <v>#REF!</v>
      </c>
      <c r="IG158" t="e">
        <f>AND(#REF!,"AAAAADfdp/A=")</f>
        <v>#REF!</v>
      </c>
      <c r="IH158" t="e">
        <f>AND(#REF!,"AAAAADfdp/E=")</f>
        <v>#REF!</v>
      </c>
      <c r="II158" t="e">
        <f>AND(#REF!,"AAAAADfdp/I=")</f>
        <v>#REF!</v>
      </c>
      <c r="IJ158" t="e">
        <f>AND(#REF!,"AAAAADfdp/M=")</f>
        <v>#REF!</v>
      </c>
      <c r="IK158" t="e">
        <f>AND(#REF!,"AAAAADfdp/Q=")</f>
        <v>#REF!</v>
      </c>
      <c r="IL158" t="e">
        <f>AND(#REF!,"AAAAADfdp/U=")</f>
        <v>#REF!</v>
      </c>
      <c r="IM158" t="e">
        <f>AND(#REF!,"AAAAADfdp/Y=")</f>
        <v>#REF!</v>
      </c>
      <c r="IN158" t="e">
        <f>AND(#REF!,"AAAAADfdp/c=")</f>
        <v>#REF!</v>
      </c>
      <c r="IO158" t="e">
        <f>AND(#REF!,"AAAAADfdp/g=")</f>
        <v>#REF!</v>
      </c>
      <c r="IP158" t="e">
        <f>AND(#REF!,"AAAAADfdp/k=")</f>
        <v>#REF!</v>
      </c>
      <c r="IQ158" t="e">
        <f>IF(#REF!,"AAAAADfdp/o=",0)</f>
        <v>#REF!</v>
      </c>
      <c r="IR158" t="e">
        <f>AND(#REF!,"AAAAADfdp/s=")</f>
        <v>#REF!</v>
      </c>
      <c r="IS158" t="e">
        <f>AND(#REF!,"AAAAADfdp/w=")</f>
        <v>#REF!</v>
      </c>
      <c r="IT158" t="e">
        <f>AND(#REF!,"AAAAADfdp/0=")</f>
        <v>#REF!</v>
      </c>
      <c r="IU158" t="e">
        <f>AND(#REF!,"AAAAADfdp/4=")</f>
        <v>#REF!</v>
      </c>
      <c r="IV158" t="e">
        <f>AND(#REF!,"AAAAADfdp/8=")</f>
        <v>#REF!</v>
      </c>
    </row>
    <row r="159" spans="1:256" x14ac:dyDescent="0.2">
      <c r="A159" t="e">
        <f>AND(#REF!,"AAAAAHPXVwA=")</f>
        <v>#REF!</v>
      </c>
      <c r="B159" t="e">
        <f>AND(#REF!,"AAAAAHPXVwE=")</f>
        <v>#REF!</v>
      </c>
      <c r="C159" t="e">
        <f>AND(#REF!,"AAAAAHPXVwI=")</f>
        <v>#REF!</v>
      </c>
      <c r="D159" t="e">
        <f>AND(#REF!,"AAAAAHPXVwM=")</f>
        <v>#REF!</v>
      </c>
      <c r="E159" t="e">
        <f>AND(#REF!,"AAAAAHPXVwQ=")</f>
        <v>#REF!</v>
      </c>
      <c r="F159" t="e">
        <f>AND(#REF!,"AAAAAHPXVwU=")</f>
        <v>#REF!</v>
      </c>
      <c r="G159" t="e">
        <f>AND(#REF!,"AAAAAHPXVwY=")</f>
        <v>#REF!</v>
      </c>
      <c r="H159" t="e">
        <f>AND(#REF!,"AAAAAHPXVwc=")</f>
        <v>#REF!</v>
      </c>
      <c r="I159" t="e">
        <f>AND(#REF!,"AAAAAHPXVwg=")</f>
        <v>#REF!</v>
      </c>
      <c r="J159" t="e">
        <f>IF(#REF!,"AAAAAHPXVwk=",0)</f>
        <v>#REF!</v>
      </c>
      <c r="K159" t="e">
        <f>AND(#REF!,"AAAAAHPXVwo=")</f>
        <v>#REF!</v>
      </c>
      <c r="L159" t="e">
        <f>AND(#REF!,"AAAAAHPXVws=")</f>
        <v>#REF!</v>
      </c>
      <c r="M159" t="e">
        <f>AND(#REF!,"AAAAAHPXVww=")</f>
        <v>#REF!</v>
      </c>
      <c r="N159" t="e">
        <f>AND(#REF!,"AAAAAHPXVw0=")</f>
        <v>#REF!</v>
      </c>
      <c r="O159" t="e">
        <f>AND(#REF!,"AAAAAHPXVw4=")</f>
        <v>#REF!</v>
      </c>
      <c r="P159" t="e">
        <f>AND(#REF!,"AAAAAHPXVw8=")</f>
        <v>#REF!</v>
      </c>
      <c r="Q159" t="e">
        <f>AND(#REF!,"AAAAAHPXVxA=")</f>
        <v>#REF!</v>
      </c>
      <c r="R159" t="e">
        <f>AND(#REF!,"AAAAAHPXVxE=")</f>
        <v>#REF!</v>
      </c>
      <c r="S159" t="e">
        <f>AND(#REF!,"AAAAAHPXVxI=")</f>
        <v>#REF!</v>
      </c>
      <c r="T159" t="e">
        <f>AND(#REF!,"AAAAAHPXVxM=")</f>
        <v>#REF!</v>
      </c>
      <c r="U159" t="e">
        <f>AND(#REF!,"AAAAAHPXVxQ=")</f>
        <v>#REF!</v>
      </c>
      <c r="V159" t="e">
        <f>AND(#REF!,"AAAAAHPXVxU=")</f>
        <v>#REF!</v>
      </c>
      <c r="W159" t="e">
        <f>AND(#REF!,"AAAAAHPXVxY=")</f>
        <v>#REF!</v>
      </c>
      <c r="X159" t="e">
        <f>AND(#REF!,"AAAAAHPXVxc=")</f>
        <v>#REF!</v>
      </c>
      <c r="Y159" t="e">
        <f>IF(#REF!,"AAAAAHPXVxg=",0)</f>
        <v>#REF!</v>
      </c>
      <c r="Z159" t="e">
        <f>AND(#REF!,"AAAAAHPXVxk=")</f>
        <v>#REF!</v>
      </c>
      <c r="AA159" t="e">
        <f>AND(#REF!,"AAAAAHPXVxo=")</f>
        <v>#REF!</v>
      </c>
      <c r="AB159" t="e">
        <f>AND(#REF!,"AAAAAHPXVxs=")</f>
        <v>#REF!</v>
      </c>
      <c r="AC159" t="e">
        <f>AND(#REF!,"AAAAAHPXVxw=")</f>
        <v>#REF!</v>
      </c>
      <c r="AD159" t="e">
        <f>AND(#REF!,"AAAAAHPXVx0=")</f>
        <v>#REF!</v>
      </c>
      <c r="AE159" t="e">
        <f>AND(#REF!,"AAAAAHPXVx4=")</f>
        <v>#REF!</v>
      </c>
      <c r="AF159" t="e">
        <f>AND(#REF!,"AAAAAHPXVx8=")</f>
        <v>#REF!</v>
      </c>
      <c r="AG159" t="e">
        <f>AND(#REF!,"AAAAAHPXVyA=")</f>
        <v>#REF!</v>
      </c>
      <c r="AH159" t="e">
        <f>AND(#REF!,"AAAAAHPXVyE=")</f>
        <v>#REF!</v>
      </c>
      <c r="AI159" t="e">
        <f>AND(#REF!,"AAAAAHPXVyI=")</f>
        <v>#REF!</v>
      </c>
      <c r="AJ159" t="e">
        <f>AND(#REF!,"AAAAAHPXVyM=")</f>
        <v>#REF!</v>
      </c>
      <c r="AK159" t="e">
        <f>AND(#REF!,"AAAAAHPXVyQ=")</f>
        <v>#REF!</v>
      </c>
      <c r="AL159" t="e">
        <f>AND(#REF!,"AAAAAHPXVyU=")</f>
        <v>#REF!</v>
      </c>
      <c r="AM159" t="e">
        <f>AND(#REF!,"AAAAAHPXVyY=")</f>
        <v>#REF!</v>
      </c>
      <c r="AN159" t="e">
        <f>IF(#REF!,"AAAAAHPXVyc=",0)</f>
        <v>#REF!</v>
      </c>
      <c r="AO159" t="e">
        <f>IF(#REF!,"AAAAAHPXVyg=",0)</f>
        <v>#REF!</v>
      </c>
      <c r="AP159" t="e">
        <f>IF(#REF!,"AAAAAHPXVyk=",0)</f>
        <v>#REF!</v>
      </c>
      <c r="AQ159" t="e">
        <f>IF(#REF!,"AAAAAHPXVyo=",0)</f>
        <v>#REF!</v>
      </c>
      <c r="AR159" t="e">
        <f>IF(#REF!,"AAAAAHPXVys=",0)</f>
        <v>#REF!</v>
      </c>
      <c r="AS159" t="e">
        <f>IF(#REF!,"AAAAAHPXVyw=",0)</f>
        <v>#REF!</v>
      </c>
      <c r="AT159" t="e">
        <f>IF(#REF!,"AAAAAHPXVy0=",0)</f>
        <v>#REF!</v>
      </c>
      <c r="AU159" t="e">
        <f>IF(#REF!,"AAAAAHPXVy4=",0)</f>
        <v>#REF!</v>
      </c>
      <c r="AV159" t="e">
        <f>IF(#REF!,"AAAAAHPXVy8=",0)</f>
        <v>#REF!</v>
      </c>
      <c r="AW159" t="e">
        <f>IF(#REF!,"AAAAAHPXVzA=",0)</f>
        <v>#REF!</v>
      </c>
      <c r="AX159" t="e">
        <f>IF(#REF!,"AAAAAHPXVzE=",0)</f>
        <v>#REF!</v>
      </c>
      <c r="AY159" t="e">
        <f>IF(#REF!,"AAAAAHPXVzI=",0)</f>
        <v>#REF!</v>
      </c>
      <c r="AZ159" t="e">
        <f>IF(#REF!,"AAAAAHPXVzM=",0)</f>
        <v>#REF!</v>
      </c>
      <c r="BA159" t="e">
        <f>IF(#REF!,"AAAAAHPXVzQ=",0)</f>
        <v>#REF!</v>
      </c>
      <c r="BB159" t="e">
        <f>IF(#REF!,"AAAAAHPXVzU=",0)</f>
        <v>#REF!</v>
      </c>
      <c r="BC159" t="e">
        <f>AND(#REF!,"AAAAAHPXVzY=")</f>
        <v>#REF!</v>
      </c>
      <c r="BD159" t="e">
        <f>AND(#REF!,"AAAAAHPXVzc=")</f>
        <v>#REF!</v>
      </c>
      <c r="BE159" t="e">
        <f>AND(#REF!,"AAAAAHPXVzg=")</f>
        <v>#REF!</v>
      </c>
      <c r="BF159" t="e">
        <f>AND(#REF!,"AAAAAHPXVzk=")</f>
        <v>#REF!</v>
      </c>
      <c r="BG159" t="e">
        <f>AND(#REF!,"AAAAAHPXVzo=")</f>
        <v>#REF!</v>
      </c>
      <c r="BH159" t="e">
        <f>AND(#REF!,"AAAAAHPXVzs=")</f>
        <v>#REF!</v>
      </c>
      <c r="BI159" t="e">
        <f>AND(#REF!,"AAAAAHPXVzw=")</f>
        <v>#REF!</v>
      </c>
      <c r="BJ159" t="e">
        <f>AND(#REF!,"AAAAAHPXVz0=")</f>
        <v>#REF!</v>
      </c>
      <c r="BK159" t="e">
        <f>AND(#REF!,"AAAAAHPXVz4=")</f>
        <v>#REF!</v>
      </c>
      <c r="BL159" t="e">
        <f>AND(#REF!,"AAAAAHPXVz8=")</f>
        <v>#REF!</v>
      </c>
      <c r="BM159" t="e">
        <f>AND(#REF!,"AAAAAHPXV0A=")</f>
        <v>#REF!</v>
      </c>
      <c r="BN159" t="e">
        <f>AND(#REF!,"AAAAAHPXV0E=")</f>
        <v>#REF!</v>
      </c>
      <c r="BO159" t="e">
        <f>AND(#REF!,"AAAAAHPXV0I=")</f>
        <v>#REF!</v>
      </c>
      <c r="BP159" t="e">
        <f>AND(#REF!,"AAAAAHPXV0M=")</f>
        <v>#REF!</v>
      </c>
      <c r="BQ159" t="e">
        <f>AND(#REF!,"AAAAAHPXV0Q=")</f>
        <v>#REF!</v>
      </c>
      <c r="BR159" t="e">
        <f>AND(#REF!,"AAAAAHPXV0U=")</f>
        <v>#REF!</v>
      </c>
      <c r="BS159" t="e">
        <f>IF(#REF!,"AAAAAHPXV0Y=",0)</f>
        <v>#REF!</v>
      </c>
      <c r="BT159" t="e">
        <f>AND(#REF!,"AAAAAHPXV0c=")</f>
        <v>#REF!</v>
      </c>
      <c r="BU159" t="e">
        <f>AND(#REF!,"AAAAAHPXV0g=")</f>
        <v>#REF!</v>
      </c>
      <c r="BV159" t="e">
        <f>AND(#REF!,"AAAAAHPXV0k=")</f>
        <v>#REF!</v>
      </c>
      <c r="BW159" t="e">
        <f>AND(#REF!,"AAAAAHPXV0o=")</f>
        <v>#REF!</v>
      </c>
      <c r="BX159" t="e">
        <f>AND(#REF!,"AAAAAHPXV0s=")</f>
        <v>#REF!</v>
      </c>
      <c r="BY159" t="e">
        <f>AND(#REF!,"AAAAAHPXV0w=")</f>
        <v>#REF!</v>
      </c>
      <c r="BZ159" t="e">
        <f>AND(#REF!,"AAAAAHPXV00=")</f>
        <v>#REF!</v>
      </c>
      <c r="CA159" t="e">
        <f>AND(#REF!,"AAAAAHPXV04=")</f>
        <v>#REF!</v>
      </c>
      <c r="CB159" t="e">
        <f>AND(#REF!,"AAAAAHPXV08=")</f>
        <v>#REF!</v>
      </c>
      <c r="CC159" t="e">
        <f>AND(#REF!,"AAAAAHPXV1A=")</f>
        <v>#REF!</v>
      </c>
      <c r="CD159" t="e">
        <f>AND(#REF!,"AAAAAHPXV1E=")</f>
        <v>#REF!</v>
      </c>
      <c r="CE159" t="e">
        <f>AND(#REF!,"AAAAAHPXV1I=")</f>
        <v>#REF!</v>
      </c>
      <c r="CF159" t="e">
        <f>AND(#REF!,"AAAAAHPXV1M=")</f>
        <v>#REF!</v>
      </c>
      <c r="CG159" t="e">
        <f>AND(#REF!,"AAAAAHPXV1Q=")</f>
        <v>#REF!</v>
      </c>
      <c r="CH159" t="e">
        <f>AND(#REF!,"AAAAAHPXV1U=")</f>
        <v>#REF!</v>
      </c>
      <c r="CI159" t="e">
        <f>AND(#REF!,"AAAAAHPXV1Y=")</f>
        <v>#REF!</v>
      </c>
      <c r="CJ159" t="e">
        <f>IF(#REF!,"AAAAAHPXV1c=",0)</f>
        <v>#REF!</v>
      </c>
      <c r="CK159" t="e">
        <f>AND(#REF!,"AAAAAHPXV1g=")</f>
        <v>#REF!</v>
      </c>
      <c r="CL159" t="e">
        <f>AND(#REF!,"AAAAAHPXV1k=")</f>
        <v>#REF!</v>
      </c>
      <c r="CM159" t="e">
        <f>AND(#REF!,"AAAAAHPXV1o=")</f>
        <v>#REF!</v>
      </c>
      <c r="CN159" t="e">
        <f>AND(#REF!,"AAAAAHPXV1s=")</f>
        <v>#REF!</v>
      </c>
      <c r="CO159" t="e">
        <f>AND(#REF!,"AAAAAHPXV1w=")</f>
        <v>#REF!</v>
      </c>
      <c r="CP159" t="e">
        <f>AND(#REF!,"AAAAAHPXV10=")</f>
        <v>#REF!</v>
      </c>
      <c r="CQ159" t="e">
        <f>AND(#REF!,"AAAAAHPXV14=")</f>
        <v>#REF!</v>
      </c>
      <c r="CR159" t="e">
        <f>AND(#REF!,"AAAAAHPXV18=")</f>
        <v>#REF!</v>
      </c>
      <c r="CS159" t="e">
        <f>AND(#REF!,"AAAAAHPXV2A=")</f>
        <v>#REF!</v>
      </c>
      <c r="CT159" t="e">
        <f>AND(#REF!,"AAAAAHPXV2E=")</f>
        <v>#REF!</v>
      </c>
      <c r="CU159" t="e">
        <f>AND(#REF!,"AAAAAHPXV2I=")</f>
        <v>#REF!</v>
      </c>
      <c r="CV159" t="e">
        <f>AND(#REF!,"AAAAAHPXV2M=")</f>
        <v>#REF!</v>
      </c>
      <c r="CW159" t="e">
        <f>AND(#REF!,"AAAAAHPXV2Q=")</f>
        <v>#REF!</v>
      </c>
      <c r="CX159" t="e">
        <f>AND(#REF!,"AAAAAHPXV2U=")</f>
        <v>#REF!</v>
      </c>
      <c r="CY159" t="e">
        <f>AND(#REF!,"AAAAAHPXV2Y=")</f>
        <v>#REF!</v>
      </c>
      <c r="CZ159" t="e">
        <f>AND(#REF!,"AAAAAHPXV2c=")</f>
        <v>#REF!</v>
      </c>
      <c r="DA159" t="e">
        <f>IF(#REF!,"AAAAAHPXV2g=",0)</f>
        <v>#REF!</v>
      </c>
      <c r="DB159" t="e">
        <f>AND(#REF!,"AAAAAHPXV2k=")</f>
        <v>#REF!</v>
      </c>
      <c r="DC159" t="e">
        <f>AND(#REF!,"AAAAAHPXV2o=")</f>
        <v>#REF!</v>
      </c>
      <c r="DD159" t="e">
        <f>AND(#REF!,"AAAAAHPXV2s=")</f>
        <v>#REF!</v>
      </c>
      <c r="DE159" t="e">
        <f>AND(#REF!,"AAAAAHPXV2w=")</f>
        <v>#REF!</v>
      </c>
      <c r="DF159" t="e">
        <f>AND(#REF!,"AAAAAHPXV20=")</f>
        <v>#REF!</v>
      </c>
      <c r="DG159" t="e">
        <f>AND(#REF!,"AAAAAHPXV24=")</f>
        <v>#REF!</v>
      </c>
      <c r="DH159" t="e">
        <f>AND(#REF!,"AAAAAHPXV28=")</f>
        <v>#REF!</v>
      </c>
      <c r="DI159" t="e">
        <f>AND(#REF!,"AAAAAHPXV3A=")</f>
        <v>#REF!</v>
      </c>
      <c r="DJ159" t="e">
        <f>AND(#REF!,"AAAAAHPXV3E=")</f>
        <v>#REF!</v>
      </c>
      <c r="DK159" t="e">
        <f>AND(#REF!,"AAAAAHPXV3I=")</f>
        <v>#REF!</v>
      </c>
      <c r="DL159" t="e">
        <f>AND(#REF!,"AAAAAHPXV3M=")</f>
        <v>#REF!</v>
      </c>
      <c r="DM159" t="e">
        <f>AND(#REF!,"AAAAAHPXV3Q=")</f>
        <v>#REF!</v>
      </c>
      <c r="DN159" t="e">
        <f>AND(#REF!,"AAAAAHPXV3U=")</f>
        <v>#REF!</v>
      </c>
      <c r="DO159" t="e">
        <f>AND(#REF!,"AAAAAHPXV3Y=")</f>
        <v>#REF!</v>
      </c>
      <c r="DP159" t="e">
        <f>AND(#REF!,"AAAAAHPXV3c=")</f>
        <v>#REF!</v>
      </c>
      <c r="DQ159" t="e">
        <f>AND(#REF!,"AAAAAHPXV3g=")</f>
        <v>#REF!</v>
      </c>
      <c r="DR159" t="e">
        <f>IF(#REF!,"AAAAAHPXV3k=",0)</f>
        <v>#REF!</v>
      </c>
      <c r="DS159" t="e">
        <f>IF(#REF!,"AAAAAHPXV3o=",0)</f>
        <v>#REF!</v>
      </c>
      <c r="DT159" t="e">
        <f>IF(#REF!,"AAAAAHPXV3s=",0)</f>
        <v>#REF!</v>
      </c>
      <c r="DU159" t="e">
        <f>IF(#REF!,"AAAAAHPXV3w=",0)</f>
        <v>#REF!</v>
      </c>
      <c r="DV159" t="e">
        <f>IF(#REF!,"AAAAAHPXV30=",0)</f>
        <v>#REF!</v>
      </c>
      <c r="DW159" t="e">
        <f>IF(#REF!,"AAAAAHPXV34=",0)</f>
        <v>#REF!</v>
      </c>
      <c r="DX159" t="e">
        <f>IF(#REF!,"AAAAAHPXV38=",0)</f>
        <v>#REF!</v>
      </c>
      <c r="DY159" t="e">
        <f>IF(#REF!,"AAAAAHPXV4A=",0)</f>
        <v>#REF!</v>
      </c>
      <c r="DZ159" t="e">
        <f>IF(#REF!,"AAAAAHPXV4E=",0)</f>
        <v>#REF!</v>
      </c>
      <c r="EA159" t="e">
        <f>IF(#REF!,"AAAAAHPXV4I=",0)</f>
        <v>#REF!</v>
      </c>
      <c r="EB159" t="e">
        <f>IF(#REF!,"AAAAAHPXV4M=",0)</f>
        <v>#REF!</v>
      </c>
      <c r="EC159" t="e">
        <f>IF(#REF!,"AAAAAHPXV4Q=",0)</f>
        <v>#REF!</v>
      </c>
      <c r="ED159" t="e">
        <f>IF(#REF!,"AAAAAHPXV4U=",0)</f>
        <v>#REF!</v>
      </c>
      <c r="EE159" t="e">
        <f>IF(#REF!,"AAAAAHPXV4Y=",0)</f>
        <v>#REF!</v>
      </c>
      <c r="EF159" t="e">
        <f>IF(#REF!,"AAAAAHPXV4c=",0)</f>
        <v>#REF!</v>
      </c>
      <c r="EG159" t="e">
        <f>IF(#REF!,"AAAAAHPXV4g=",0)</f>
        <v>#REF!</v>
      </c>
      <c r="EH159" t="e">
        <f>IF(#REF!,"AAAAAHPXV4k=",0)</f>
        <v>#REF!</v>
      </c>
      <c r="EI159" t="e">
        <f>IF(#REF!,"AAAAAHPXV4o=",0)</f>
        <v>#REF!</v>
      </c>
      <c r="EJ159" t="e">
        <f>IF(#REF!,"AAAAAHPXV4s=",0)</f>
        <v>#REF!</v>
      </c>
      <c r="EK159" t="e">
        <f>IF(#REF!,"AAAAAHPXV4w=",0)</f>
        <v>#REF!</v>
      </c>
      <c r="EL159" t="e">
        <f>IF(#REF!,"AAAAAHPXV40=",0)</f>
        <v>#REF!</v>
      </c>
      <c r="EM159" t="e">
        <f>IF(#REF!,"AAAAAHPXV44=",0)</f>
        <v>#REF!</v>
      </c>
      <c r="EN159" t="e">
        <f>IF(#REF!,"AAAAAHPXV48=",0)</f>
        <v>#REF!</v>
      </c>
      <c r="EO159" t="e">
        <f>IF(#REF!,"AAAAAHPXV5A=",0)</f>
        <v>#REF!</v>
      </c>
      <c r="EP159" t="e">
        <f>IF(#REF!,"AAAAAHPXV5E=",0)</f>
        <v>#REF!</v>
      </c>
      <c r="EQ159" t="e">
        <f>IF(#REF!,"AAAAAHPXV5I=",0)</f>
        <v>#REF!</v>
      </c>
      <c r="ER159" t="e">
        <f>IF(#REF!,"AAAAAHPXV5M=",0)</f>
        <v>#REF!</v>
      </c>
      <c r="ES159" t="e">
        <f>IF(#REF!,"AAAAAHPXV5Q=",0)</f>
        <v>#REF!</v>
      </c>
      <c r="ET159" t="e">
        <f>IF(#REF!,"AAAAAHPXV5U=",0)</f>
        <v>#REF!</v>
      </c>
      <c r="EU159" t="e">
        <f>IF(#REF!,"AAAAAHPXV5Y=",0)</f>
        <v>#REF!</v>
      </c>
      <c r="EV159" t="e">
        <f>IF(#REF!,"AAAAAHPXV5c=",0)</f>
        <v>#REF!</v>
      </c>
      <c r="EW159" t="e">
        <f>IF(#REF!,"AAAAAHPXV5g=",0)</f>
        <v>#REF!</v>
      </c>
      <c r="EX159" t="e">
        <f>IF(#REF!,"AAAAAHPXV5k=",0)</f>
        <v>#REF!</v>
      </c>
      <c r="EY159" t="e">
        <f>IF(#REF!,"AAAAAHPXV5o=",0)</f>
        <v>#REF!</v>
      </c>
      <c r="EZ159" t="e">
        <f>IF(#REF!,"AAAAAHPXV5s=",0)</f>
        <v>#REF!</v>
      </c>
      <c r="FA159" t="e">
        <f>IF(#REF!,"AAAAAHPXV5w=",0)</f>
        <v>#REF!</v>
      </c>
      <c r="FB159" t="e">
        <f>IF(#REF!,"AAAAAHPXV50=",0)</f>
        <v>#REF!</v>
      </c>
      <c r="FC159" t="e">
        <f>IF(#REF!,"AAAAAHPXV54=",0)</f>
        <v>#REF!</v>
      </c>
      <c r="FD159" t="e">
        <f>IF(#REF!,"AAAAAHPXV58=",0)</f>
        <v>#REF!</v>
      </c>
      <c r="FE159" t="e">
        <f>IF(#REF!,"AAAAAHPXV6A=",0)</f>
        <v>#REF!</v>
      </c>
      <c r="FF159" t="e">
        <f>IF(#REF!,"AAAAAHPXV6E=",0)</f>
        <v>#REF!</v>
      </c>
      <c r="FG159" t="e">
        <f>IF(#REF!,"AAAAAHPXV6I=",0)</f>
        <v>#REF!</v>
      </c>
      <c r="FH159" t="e">
        <f>IF(#REF!,"AAAAAHPXV6M=",0)</f>
        <v>#REF!</v>
      </c>
      <c r="FI159" t="e">
        <f>IF(#REF!,"AAAAAHPXV6Q=",0)</f>
        <v>#REF!</v>
      </c>
      <c r="FJ159" t="e">
        <f>IF(#REF!,"AAAAAHPXV6U=",0)</f>
        <v>#REF!</v>
      </c>
      <c r="FK159" t="e">
        <f>IF(#REF!,"AAAAAHPXV6Y=",0)</f>
        <v>#REF!</v>
      </c>
      <c r="FL159" t="e">
        <f>IF(#REF!,"AAAAAHPXV6c=",0)</f>
        <v>#REF!</v>
      </c>
      <c r="FM159" t="e">
        <f>IF(#REF!,"AAAAAHPXV6g=",0)</f>
        <v>#REF!</v>
      </c>
      <c r="FN159" t="e">
        <f>IF(#REF!,"AAAAAHPXV6k=",0)</f>
        <v>#REF!</v>
      </c>
      <c r="FO159" t="e">
        <f>IF(#REF!,"AAAAAHPXV6o=",0)</f>
        <v>#REF!</v>
      </c>
      <c r="FP159" t="e">
        <f>IF(#REF!,"AAAAAHPXV6s=",0)</f>
        <v>#REF!</v>
      </c>
      <c r="FQ159" t="e">
        <f>IF(#REF!,"AAAAAHPXV6w=",0)</f>
        <v>#REF!</v>
      </c>
      <c r="FR159" t="e">
        <f>IF(#REF!,"AAAAAHPXV60=",0)</f>
        <v>#REF!</v>
      </c>
      <c r="FS159" t="e">
        <f>IF(#REF!,"AAAAAHPXV64=",0)</f>
        <v>#REF!</v>
      </c>
      <c r="FT159" t="e">
        <f>IF(#REF!,"AAAAAHPXV68=",0)</f>
        <v>#REF!</v>
      </c>
      <c r="FU159" t="e">
        <f>IF(#REF!,"AAAAAHPXV7A=",0)</f>
        <v>#REF!</v>
      </c>
      <c r="FV159" t="e">
        <f>IF(#REF!,"AAAAAHPXV7E=",0)</f>
        <v>#REF!</v>
      </c>
      <c r="FW159" t="e">
        <f>IF(#REF!,"AAAAAHPXV7I=",0)</f>
        <v>#REF!</v>
      </c>
      <c r="FX159" t="e">
        <f>IF(#REF!,"AAAAAHPXV7M=",0)</f>
        <v>#REF!</v>
      </c>
      <c r="FY159" t="e">
        <f>IF(#REF!,"AAAAAHPXV7Q=",0)</f>
        <v>#REF!</v>
      </c>
      <c r="FZ159" t="e">
        <f>IF(#REF!,"AAAAAHPXV7U=",0)</f>
        <v>#REF!</v>
      </c>
      <c r="GA159" t="e">
        <f>IF(#REF!,"AAAAAHPXV7Y=",0)</f>
        <v>#REF!</v>
      </c>
      <c r="GB159" t="e">
        <f>IF(#REF!,"AAAAAHPXV7c=",0)</f>
        <v>#REF!</v>
      </c>
      <c r="GC159" t="e">
        <f>IF(#REF!,"AAAAAHPXV7g=",0)</f>
        <v>#REF!</v>
      </c>
      <c r="GD159" t="e">
        <f>IF(#REF!,"AAAAAHPXV7k=",0)</f>
        <v>#REF!</v>
      </c>
      <c r="GE159" t="e">
        <f>IF(#REF!,"AAAAAHPXV7o=",0)</f>
        <v>#REF!</v>
      </c>
      <c r="GF159" t="e">
        <f>IF(#REF!,"AAAAAHPXV7s=",0)</f>
        <v>#REF!</v>
      </c>
      <c r="GG159" t="e">
        <f>IF(#REF!,"AAAAAHPXV7w=",0)</f>
        <v>#REF!</v>
      </c>
      <c r="GH159" t="e">
        <f>IF(#REF!,"AAAAAHPXV70=",0)</f>
        <v>#REF!</v>
      </c>
      <c r="GI159" t="e">
        <f>IF(#REF!,"AAAAAHPXV74=",0)</f>
        <v>#REF!</v>
      </c>
      <c r="GJ159" t="e">
        <f>IF(#REF!,"AAAAAHPXV78=",0)</f>
        <v>#REF!</v>
      </c>
      <c r="GK159" t="e">
        <f>IF(#REF!,"AAAAAHPXV8A=",0)</f>
        <v>#REF!</v>
      </c>
      <c r="GL159" t="e">
        <f>IF(#REF!,"AAAAAHPXV8E=",0)</f>
        <v>#REF!</v>
      </c>
      <c r="GM159" t="e">
        <f>IF(#REF!,"AAAAAHPXV8I=",0)</f>
        <v>#REF!</v>
      </c>
      <c r="GN159" t="e">
        <f>IF(#REF!,"AAAAAHPXV8M=",0)</f>
        <v>#REF!</v>
      </c>
      <c r="GO159" t="e">
        <f>IF(#REF!,"AAAAAHPXV8Q=",0)</f>
        <v>#REF!</v>
      </c>
      <c r="GP159" t="e">
        <f>IF(#REF!,"AAAAAHPXV8U=",0)</f>
        <v>#REF!</v>
      </c>
      <c r="GQ159" t="e">
        <f>IF(#REF!,"AAAAAHPXV8Y=",0)</f>
        <v>#REF!</v>
      </c>
      <c r="GR159" t="e">
        <f>IF(#REF!,"AAAAAHPXV8c=",0)</f>
        <v>#REF!</v>
      </c>
      <c r="GS159" t="e">
        <f>IF(#REF!,"AAAAAHPXV8g=",0)</f>
        <v>#REF!</v>
      </c>
      <c r="GT159" t="e">
        <f>IF(#REF!,"AAAAAHPXV8k=",0)</f>
        <v>#REF!</v>
      </c>
      <c r="GU159" t="e">
        <f>IF(#REF!,"AAAAAHPXV8o=",0)</f>
        <v>#REF!</v>
      </c>
      <c r="GV159" t="e">
        <f>IF(#REF!,"AAAAAHPXV8s=",0)</f>
        <v>#REF!</v>
      </c>
      <c r="GW159" t="e">
        <f>IF(#REF!,"AAAAAHPXV8w=",0)</f>
        <v>#REF!</v>
      </c>
      <c r="GX159" t="e">
        <f>IF(#REF!,"AAAAAHPXV80=",0)</f>
        <v>#REF!</v>
      </c>
      <c r="GY159" t="e">
        <f>IF(#REF!,"AAAAAHPXV84=",0)</f>
        <v>#REF!</v>
      </c>
      <c r="GZ159" t="e">
        <f>IF(#REF!,"AAAAAHPXV88=",0)</f>
        <v>#REF!</v>
      </c>
      <c r="HA159" t="e">
        <f>IF(#REF!,"AAAAAHPXV9A=",0)</f>
        <v>#REF!</v>
      </c>
      <c r="HB159" t="e">
        <f>IF(#REF!,"AAAAAHPXV9E=",0)</f>
        <v>#REF!</v>
      </c>
      <c r="HC159" t="e">
        <f>IF(#REF!,"AAAAAHPXV9I=",0)</f>
        <v>#REF!</v>
      </c>
      <c r="HD159" t="e">
        <f>IF(#REF!,"AAAAAHPXV9M=",0)</f>
        <v>#REF!</v>
      </c>
      <c r="HE159" t="e">
        <f>IF(#REF!,"AAAAAHPXV9Q=",0)</f>
        <v>#REF!</v>
      </c>
      <c r="HF159" t="e">
        <f>IF(#REF!,"AAAAAHPXV9U=",0)</f>
        <v>#REF!</v>
      </c>
      <c r="HG159" t="e">
        <f>IF(#REF!,"AAAAAHPXV9Y=",0)</f>
        <v>#REF!</v>
      </c>
      <c r="HH159" t="e">
        <f>IF(#REF!,"AAAAAHPXV9c=",0)</f>
        <v>#REF!</v>
      </c>
      <c r="HI159" t="e">
        <f>IF(#REF!,"AAAAAHPXV9g=",0)</f>
        <v>#REF!</v>
      </c>
      <c r="HJ159" t="e">
        <f>IF(#REF!,"AAAAAHPXV9k=",0)</f>
        <v>#REF!</v>
      </c>
      <c r="HK159" t="e">
        <f>IF(#REF!,"AAAAAHPXV9o=",0)</f>
        <v>#REF!</v>
      </c>
      <c r="HL159" t="e">
        <f>IF(#REF!,"AAAAAHPXV9s=",0)</f>
        <v>#REF!</v>
      </c>
      <c r="HM159" t="e">
        <f>IF(#REF!,"AAAAAHPXV9w=",0)</f>
        <v>#REF!</v>
      </c>
      <c r="HN159" t="e">
        <f>IF(#REF!,"AAAAAHPXV90=",0)</f>
        <v>#REF!</v>
      </c>
      <c r="HO159" t="e">
        <f>IF(#REF!,"AAAAAHPXV94=",0)</f>
        <v>#REF!</v>
      </c>
      <c r="HP159" t="e">
        <f>IF(#REF!,"AAAAAHPXV98=",0)</f>
        <v>#REF!</v>
      </c>
      <c r="HQ159" t="e">
        <f>IF(#REF!,"AAAAAHPXV+A=",0)</f>
        <v>#REF!</v>
      </c>
      <c r="HR159" t="e">
        <f>IF(#REF!,"AAAAAHPXV+E=",0)</f>
        <v>#REF!</v>
      </c>
      <c r="HS159" t="e">
        <f>IF(#REF!,"AAAAAHPXV+I=",0)</f>
        <v>#REF!</v>
      </c>
      <c r="HT159" t="e">
        <f>IF(#REF!,"AAAAAHPXV+M=",0)</f>
        <v>#REF!</v>
      </c>
      <c r="HU159" t="e">
        <f>IF(#REF!,"AAAAAHPXV+Q=",0)</f>
        <v>#REF!</v>
      </c>
      <c r="HV159" t="e">
        <f>IF(#REF!,"AAAAAHPXV+U=",0)</f>
        <v>#REF!</v>
      </c>
      <c r="HW159" t="e">
        <f>IF(#REF!,"AAAAAHPXV+Y=",0)</f>
        <v>#REF!</v>
      </c>
      <c r="HX159" t="e">
        <f>IF(#REF!,"AAAAAHPXV+c=",0)</f>
        <v>#REF!</v>
      </c>
      <c r="HY159" t="e">
        <f>IF(#REF!,"AAAAAHPXV+g=",0)</f>
        <v>#REF!</v>
      </c>
      <c r="HZ159" t="e">
        <f>IF(#REF!,"AAAAAHPXV+k=",0)</f>
        <v>#REF!</v>
      </c>
      <c r="IA159" t="e">
        <f>IF(#REF!,"AAAAAHPXV+o=",0)</f>
        <v>#REF!</v>
      </c>
      <c r="IB159" t="e">
        <f>IF(#REF!,"AAAAAHPXV+s=",0)</f>
        <v>#REF!</v>
      </c>
      <c r="IC159" t="e">
        <f>IF(#REF!,"AAAAAHPXV+w=",0)</f>
        <v>#REF!</v>
      </c>
      <c r="ID159" t="e">
        <f>IF(#REF!,"AAAAAHPXV+0=",0)</f>
        <v>#REF!</v>
      </c>
      <c r="IE159" t="e">
        <f>IF(#REF!,"AAAAAHPXV+4=",0)</f>
        <v>#REF!</v>
      </c>
      <c r="IF159" t="e">
        <f>IF(#REF!,"AAAAAHPXV+8=",0)</f>
        <v>#REF!</v>
      </c>
      <c r="IG159" t="e">
        <f>IF(#REF!,"AAAAAHPXV/A=",0)</f>
        <v>#REF!</v>
      </c>
      <c r="IH159" t="e">
        <f>IF(#REF!,"AAAAAHPXV/E=",0)</f>
        <v>#REF!</v>
      </c>
      <c r="II159" t="e">
        <f>IF(#REF!,"AAAAAHPXV/I=",0)</f>
        <v>#REF!</v>
      </c>
      <c r="IJ159" t="e">
        <f>IF(#REF!,"AAAAAHPXV/M=",0)</f>
        <v>#REF!</v>
      </c>
      <c r="IK159" t="e">
        <f>IF(#REF!,"AAAAAHPXV/Q=",0)</f>
        <v>#REF!</v>
      </c>
      <c r="IL159" t="e">
        <f>IF(#REF!,"AAAAAHPXV/U=",0)</f>
        <v>#REF!</v>
      </c>
      <c r="IM159" t="e">
        <f>IF(#REF!,"AAAAAHPXV/Y=",0)</f>
        <v>#REF!</v>
      </c>
      <c r="IN159" t="e">
        <f>IF(#REF!,"AAAAAHPXV/c=",0)</f>
        <v>#REF!</v>
      </c>
      <c r="IO159" t="e">
        <f>IF(#REF!,"AAAAAHPXV/g=",0)</f>
        <v>#REF!</v>
      </c>
      <c r="IP159" t="e">
        <f>IF(#REF!,"AAAAAHPXV/k=",0)</f>
        <v>#REF!</v>
      </c>
      <c r="IQ159" t="e">
        <f>IF(#REF!,"AAAAAHPXV/o=",0)</f>
        <v>#REF!</v>
      </c>
      <c r="IR159" t="e">
        <f>IF(#REF!,"AAAAAHPXV/s=",0)</f>
        <v>#REF!</v>
      </c>
      <c r="IS159" t="e">
        <f>IF(#REF!,"AAAAAHPXV/w=",0)</f>
        <v>#REF!</v>
      </c>
      <c r="IT159" t="e">
        <f>IF(#REF!,"AAAAAHPXV/0=",0)</f>
        <v>#REF!</v>
      </c>
      <c r="IU159" t="e">
        <f>IF(#REF!,"AAAAAHPXV/4=",0)</f>
        <v>#REF!</v>
      </c>
      <c r="IV159" t="e">
        <f>IF(#REF!,"AAAAAHPXV/8=",0)</f>
        <v>#REF!</v>
      </c>
    </row>
    <row r="160" spans="1:256" x14ac:dyDescent="0.2">
      <c r="A160" t="e">
        <f>IF(#REF!,"AAAAAF81fgA=",0)</f>
        <v>#REF!</v>
      </c>
      <c r="B160" t="e">
        <f>IF(#REF!,"AAAAAF81fgE=",0)</f>
        <v>#REF!</v>
      </c>
      <c r="C160" t="e">
        <f>IF(#REF!,"AAAAAF81fgI=",0)</f>
        <v>#REF!</v>
      </c>
      <c r="D160" t="e">
        <f>IF(#REF!,"AAAAAF81fgM=",0)</f>
        <v>#REF!</v>
      </c>
      <c r="E160" t="e">
        <f>IF(#REF!,"AAAAAF81fgQ=",0)</f>
        <v>#REF!</v>
      </c>
      <c r="F160" t="e">
        <f>IF(#REF!,"AAAAAF81fgU=",0)</f>
        <v>#REF!</v>
      </c>
      <c r="G160" t="e">
        <f>IF(#REF!,"AAAAAF81fgY=",0)</f>
        <v>#REF!</v>
      </c>
      <c r="H160" t="e">
        <f>IF(#REF!,"AAAAAF81fgc=",0)</f>
        <v>#REF!</v>
      </c>
      <c r="I160" t="e">
        <f>IF(#REF!,"AAAAAF81fgg=",0)</f>
        <v>#REF!</v>
      </c>
      <c r="J160" t="e">
        <f>IF(#REF!,"AAAAAF81fgk=",0)</f>
        <v>#REF!</v>
      </c>
      <c r="K160" t="e">
        <f>IF(#REF!,"AAAAAF81fgo=",0)</f>
        <v>#REF!</v>
      </c>
      <c r="L160" t="e">
        <f>IF(#REF!,"AAAAAF81fgs=",0)</f>
        <v>#REF!</v>
      </c>
      <c r="M160" t="e">
        <f>IF(#REF!,"AAAAAF81fgw=",0)</f>
        <v>#REF!</v>
      </c>
      <c r="N160" t="e">
        <f>IF(#REF!,"AAAAAF81fg0=",0)</f>
        <v>#REF!</v>
      </c>
      <c r="O160" t="e">
        <f>IF(#REF!,"AAAAAF81fg4=",0)</f>
        <v>#REF!</v>
      </c>
      <c r="P160" t="e">
        <f>IF(#REF!,"AAAAAF81fg8=",0)</f>
        <v>#REF!</v>
      </c>
      <c r="Q160" t="e">
        <f>IF(#REF!,"AAAAAF81fhA=",0)</f>
        <v>#REF!</v>
      </c>
      <c r="R160" t="e">
        <f>IF(#REF!,"AAAAAF81fhE=",0)</f>
        <v>#REF!</v>
      </c>
      <c r="S160" t="e">
        <f>IF(#REF!,"AAAAAF81fhI=",0)</f>
        <v>#REF!</v>
      </c>
      <c r="T160" t="e">
        <f>IF(#REF!,"AAAAAF81fhM=",0)</f>
        <v>#REF!</v>
      </c>
      <c r="U160" t="e">
        <f>IF(#REF!,"AAAAAF81fhQ=",0)</f>
        <v>#REF!</v>
      </c>
      <c r="V160" t="e">
        <f>IF(#REF!,"AAAAAF81fhU=",0)</f>
        <v>#REF!</v>
      </c>
      <c r="W160" t="e">
        <f>IF(#REF!,"AAAAAF81fhY=",0)</f>
        <v>#REF!</v>
      </c>
      <c r="X160" t="e">
        <f>IF(#REF!,"AAAAAF81fhc=",0)</f>
        <v>#REF!</v>
      </c>
      <c r="Y160" t="e">
        <f>IF(#REF!,"AAAAAF81fhg=",0)</f>
        <v>#REF!</v>
      </c>
      <c r="Z160" t="e">
        <f>IF(#REF!,"AAAAAF81fhk=",0)</f>
        <v>#REF!</v>
      </c>
      <c r="AA160" t="e">
        <f>IF(#REF!,"AAAAAF81fho=",0)</f>
        <v>#REF!</v>
      </c>
      <c r="AB160" t="e">
        <f>IF(#REF!,"AAAAAF81fhs=",0)</f>
        <v>#REF!</v>
      </c>
      <c r="AC160" t="e">
        <f>IF(#REF!,"AAAAAF81fhw=",0)</f>
        <v>#REF!</v>
      </c>
      <c r="AD160" t="e">
        <f>IF(#REF!,"AAAAAF81fh0=",0)</f>
        <v>#REF!</v>
      </c>
      <c r="AE160" t="e">
        <f>IF(#REF!,"AAAAAF81fh4=",0)</f>
        <v>#REF!</v>
      </c>
      <c r="AF160" t="e">
        <f>IF(#REF!,"AAAAAF81fh8=",0)</f>
        <v>#REF!</v>
      </c>
      <c r="AG160" t="e">
        <f>IF(#REF!,"AAAAAF81fiA=",0)</f>
        <v>#REF!</v>
      </c>
      <c r="AH160" t="e">
        <f>IF(#REF!,"AAAAAF81fiE=",0)</f>
        <v>#REF!</v>
      </c>
      <c r="AI160" t="e">
        <f>IF(#REF!,"AAAAAF81fiI=",0)</f>
        <v>#REF!</v>
      </c>
      <c r="AJ160" t="e">
        <f>IF(#REF!,"AAAAAF81fiM=",0)</f>
        <v>#REF!</v>
      </c>
      <c r="AK160" t="e">
        <f>IF(#REF!,"AAAAAF81fiQ=",0)</f>
        <v>#REF!</v>
      </c>
      <c r="AL160" t="e">
        <f>IF(#REF!,"AAAAAF81fiU=",0)</f>
        <v>#REF!</v>
      </c>
      <c r="AM160" t="e">
        <f>IF(#REF!,"AAAAAF81fiY=",0)</f>
        <v>#REF!</v>
      </c>
      <c r="AN160" t="e">
        <f>IF(#REF!,"AAAAAF81fic=",0)</f>
        <v>#REF!</v>
      </c>
      <c r="AO160" t="e">
        <f>IF(#REF!,"AAAAAF81fig=",0)</f>
        <v>#REF!</v>
      </c>
      <c r="AP160" t="e">
        <f>IF(#REF!,"AAAAAF81fik=",0)</f>
        <v>#REF!</v>
      </c>
      <c r="AQ160" t="e">
        <f>IF(#REF!,"AAAAAF81fio=",0)</f>
        <v>#REF!</v>
      </c>
      <c r="AR160" t="e">
        <f>IF(#REF!,"AAAAAF81fis=",0)</f>
        <v>#REF!</v>
      </c>
      <c r="AS160" t="e">
        <f>IF(#REF!,"AAAAAF81fiw=",0)</f>
        <v>#REF!</v>
      </c>
      <c r="AT160" t="e">
        <f>IF(#REF!,"AAAAAF81fi0=",0)</f>
        <v>#REF!</v>
      </c>
      <c r="AU160" t="e">
        <f>IF(#REF!,"AAAAAF81fi4=",0)</f>
        <v>#REF!</v>
      </c>
      <c r="AV160" t="e">
        <f>IF(#REF!,"AAAAAF81fi8=",0)</f>
        <v>#REF!</v>
      </c>
      <c r="AW160" t="e">
        <f>IF(#REF!,"AAAAAF81fjA=",0)</f>
        <v>#REF!</v>
      </c>
      <c r="AX160" t="e">
        <f>IF(#REF!,"AAAAAF81fjE=",0)</f>
        <v>#REF!</v>
      </c>
      <c r="AY160" t="e">
        <f>IF(#REF!,"AAAAAF81fjI=",0)</f>
        <v>#REF!</v>
      </c>
      <c r="AZ160" t="e">
        <f>IF(#REF!,"AAAAAF81fjM=",0)</f>
        <v>#REF!</v>
      </c>
      <c r="BA160" t="e">
        <f>IF(#REF!,"AAAAAF81fjQ=",0)</f>
        <v>#REF!</v>
      </c>
      <c r="BB160" t="e">
        <f>IF(#REF!,"AAAAAF81fjU=",0)</f>
        <v>#REF!</v>
      </c>
      <c r="BC160" t="e">
        <f>IF(#REF!,"AAAAAF81fjY=",0)</f>
        <v>#REF!</v>
      </c>
      <c r="BD160" t="e">
        <f>IF(#REF!,"AAAAAF81fjc=",0)</f>
        <v>#REF!</v>
      </c>
      <c r="BE160" t="e">
        <f>IF(#REF!,"AAAAAF81fjg=",0)</f>
        <v>#REF!</v>
      </c>
      <c r="BF160" t="e">
        <f>IF(#REF!,"AAAAAF81fjk=",0)</f>
        <v>#REF!</v>
      </c>
      <c r="BG160" t="e">
        <f>IF(#REF!,"AAAAAF81fjo=",0)</f>
        <v>#REF!</v>
      </c>
      <c r="BH160" t="e">
        <f>IF(#REF!,"AAAAAF81fjs=",0)</f>
        <v>#REF!</v>
      </c>
      <c r="BI160" t="e">
        <f>IF(#REF!,"AAAAAF81fjw=",0)</f>
        <v>#REF!</v>
      </c>
      <c r="BJ160" t="e">
        <f>IF(#REF!,"AAAAAF81fj0=",0)</f>
        <v>#REF!</v>
      </c>
      <c r="BK160" t="e">
        <f>IF(#REF!,"AAAAAF81fj4=",0)</f>
        <v>#REF!</v>
      </c>
      <c r="BL160" t="e">
        <f>IF(#REF!,"AAAAAF81fj8=",0)</f>
        <v>#REF!</v>
      </c>
      <c r="BM160" t="e">
        <f>IF(#REF!,"AAAAAF81fkA=",0)</f>
        <v>#REF!</v>
      </c>
      <c r="BN160" t="e">
        <f>IF(#REF!,"AAAAAF81fkE=",0)</f>
        <v>#REF!</v>
      </c>
      <c r="BO160" t="e">
        <f>IF(#REF!,"AAAAAF81fkI=",0)</f>
        <v>#REF!</v>
      </c>
      <c r="BP160" t="e">
        <f>IF(#REF!,"AAAAAF81fkM=",0)</f>
        <v>#REF!</v>
      </c>
      <c r="BQ160" t="e">
        <f>IF(#REF!,"AAAAAF81fkQ=",0)</f>
        <v>#REF!</v>
      </c>
      <c r="BR160" t="e">
        <f>IF(#REF!,"AAAAAF81fkU=",0)</f>
        <v>#REF!</v>
      </c>
      <c r="BS160" t="e">
        <f>IF(#REF!,"AAAAAF81fkY=",0)</f>
        <v>#REF!</v>
      </c>
      <c r="BT160" t="e">
        <f>IF(#REF!,"AAAAAF81fkc=",0)</f>
        <v>#REF!</v>
      </c>
      <c r="BU160" t="e">
        <f>IF(#REF!,"AAAAAF81fkg=",0)</f>
        <v>#REF!</v>
      </c>
      <c r="BV160" t="e">
        <f>IF(#REF!,"AAAAAF81fkk=",0)</f>
        <v>#REF!</v>
      </c>
      <c r="BW160" t="e">
        <f>IF(#REF!,"AAAAAF81fko=",0)</f>
        <v>#REF!</v>
      </c>
      <c r="BX160" t="e">
        <f>IF(#REF!,"AAAAAF81fks=",0)</f>
        <v>#REF!</v>
      </c>
      <c r="BY160" t="e">
        <f>IF(#REF!,"AAAAAF81fkw=",0)</f>
        <v>#REF!</v>
      </c>
      <c r="BZ160" t="e">
        <f>IF(#REF!,"AAAAAF81fk0=",0)</f>
        <v>#REF!</v>
      </c>
      <c r="CA160" t="e">
        <f>IF(#REF!,"AAAAAF81fk4=",0)</f>
        <v>#REF!</v>
      </c>
      <c r="CB160" t="e">
        <f>IF(#REF!,"AAAAAF81fk8=",0)</f>
        <v>#REF!</v>
      </c>
      <c r="CC160" t="e">
        <f>IF(#REF!,"AAAAAF81flA=",0)</f>
        <v>#REF!</v>
      </c>
      <c r="CD160" t="e">
        <f>IF(#REF!,"AAAAAF81flE=",0)</f>
        <v>#REF!</v>
      </c>
      <c r="CE160" t="e">
        <f>IF(#REF!,"AAAAAF81flI=",0)</f>
        <v>#REF!</v>
      </c>
      <c r="CF160" t="e">
        <f>IF(#REF!,"AAAAAF81flM=",0)</f>
        <v>#REF!</v>
      </c>
      <c r="CG160" t="e">
        <f>IF(#REF!,"AAAAAF81flQ=",0)</f>
        <v>#REF!</v>
      </c>
      <c r="CH160" t="e">
        <f>IF(#REF!,"AAAAAF81flU=",0)</f>
        <v>#REF!</v>
      </c>
      <c r="CI160" t="e">
        <f>IF(#REF!,"AAAAAF81flY=",0)</f>
        <v>#REF!</v>
      </c>
      <c r="CJ160" t="e">
        <f>IF(#REF!,"AAAAAF81flc=",0)</f>
        <v>#REF!</v>
      </c>
      <c r="CK160" t="e">
        <f>IF(#REF!,"AAAAAF81flg=",0)</f>
        <v>#REF!</v>
      </c>
      <c r="CL160" t="e">
        <f>IF(#REF!,"AAAAAF81flk=",0)</f>
        <v>#REF!</v>
      </c>
      <c r="CM160" t="e">
        <f>IF(#REF!,"AAAAAF81flo=",0)</f>
        <v>#REF!</v>
      </c>
      <c r="CN160" t="e">
        <f>IF(#REF!,"AAAAAF81fls=",0)</f>
        <v>#REF!</v>
      </c>
      <c r="CO160" t="e">
        <f>IF(#REF!,"AAAAAF81flw=",0)</f>
        <v>#REF!</v>
      </c>
      <c r="CP160" t="e">
        <f>IF(#REF!,"AAAAAF81fl0=",0)</f>
        <v>#REF!</v>
      </c>
      <c r="CQ160" t="e">
        <f>IF(#REF!,"AAAAAF81fl4=",0)</f>
        <v>#REF!</v>
      </c>
      <c r="CR160" t="e">
        <f>IF(#REF!,"AAAAAF81fl8=",0)</f>
        <v>#REF!</v>
      </c>
      <c r="CS160" t="e">
        <f>IF(#REF!,"AAAAAF81fmA=",0)</f>
        <v>#REF!</v>
      </c>
      <c r="CT160" t="e">
        <f>IF(#REF!,"AAAAAF81fmE=",0)</f>
        <v>#REF!</v>
      </c>
      <c r="CU160" t="e">
        <f>IF(#REF!,"AAAAAF81fmI=",0)</f>
        <v>#REF!</v>
      </c>
      <c r="CV160" t="e">
        <f>IF(#REF!,"AAAAAF81fmM=",0)</f>
        <v>#REF!</v>
      </c>
      <c r="CW160" t="e">
        <f>IF(#REF!,"AAAAAF81fmQ=",0)</f>
        <v>#REF!</v>
      </c>
      <c r="CX160" t="e">
        <f>IF(#REF!,"AAAAAF81fmU=",0)</f>
        <v>#REF!</v>
      </c>
      <c r="CY160" t="e">
        <f>IF(#REF!,"AAAAAF81fmY=",0)</f>
        <v>#REF!</v>
      </c>
      <c r="CZ160" t="e">
        <f>IF(#REF!,"AAAAAF81fmc=",0)</f>
        <v>#REF!</v>
      </c>
      <c r="DA160" t="e">
        <f>IF(#REF!,"AAAAAF81fmg=",0)</f>
        <v>#REF!</v>
      </c>
      <c r="DB160" t="e">
        <f>IF(#REF!,"AAAAAF81fmk=",0)</f>
        <v>#REF!</v>
      </c>
      <c r="DC160" t="e">
        <f>IF(#REF!,"AAAAAF81fmo=",0)</f>
        <v>#REF!</v>
      </c>
      <c r="DD160" t="e">
        <f>IF(#REF!,"AAAAAF81fms=",0)</f>
        <v>#REF!</v>
      </c>
      <c r="DE160" t="e">
        <f>IF(#REF!,"AAAAAF81fmw=",0)</f>
        <v>#REF!</v>
      </c>
      <c r="DF160" t="e">
        <f>IF(#REF!,"AAAAAF81fm0=",0)</f>
        <v>#REF!</v>
      </c>
      <c r="DG160" t="e">
        <f>IF(#REF!,"AAAAAF81fm4=",0)</f>
        <v>#REF!</v>
      </c>
      <c r="DH160" t="e">
        <f>IF(#REF!,"AAAAAF81fm8=",0)</f>
        <v>#REF!</v>
      </c>
      <c r="DI160" t="e">
        <f>IF(#REF!,"AAAAAF81fnA=",0)</f>
        <v>#REF!</v>
      </c>
      <c r="DJ160" t="e">
        <f>IF(#REF!,"AAAAAF81fnE=",0)</f>
        <v>#REF!</v>
      </c>
      <c r="DK160" t="e">
        <f>IF(#REF!,"AAAAAF81fnI=",0)</f>
        <v>#REF!</v>
      </c>
      <c r="DL160" t="e">
        <f>IF(#REF!,"AAAAAF81fnM=",0)</f>
        <v>#REF!</v>
      </c>
      <c r="DM160" t="e">
        <f>IF(#REF!,"AAAAAF81fnQ=",0)</f>
        <v>#REF!</v>
      </c>
      <c r="DN160" t="e">
        <f>IF(#REF!,"AAAAAF81fnU=",0)</f>
        <v>#REF!</v>
      </c>
      <c r="DO160" t="e">
        <f>IF(#REF!,"AAAAAF81fnY=",0)</f>
        <v>#REF!</v>
      </c>
      <c r="DP160" t="e">
        <f>IF(#REF!,"AAAAAF81fnc=",0)</f>
        <v>#REF!</v>
      </c>
      <c r="DQ160" t="e">
        <f>IF(#REF!,"AAAAAF81fng=",0)</f>
        <v>#REF!</v>
      </c>
      <c r="DR160" t="e">
        <f>IF(#REF!,"AAAAAF81fnk=",0)</f>
        <v>#REF!</v>
      </c>
      <c r="DS160" t="e">
        <f>IF(#REF!,"AAAAAF81fno=",0)</f>
        <v>#REF!</v>
      </c>
      <c r="DT160" t="e">
        <f>IF(#REF!,"AAAAAF81fns=",0)</f>
        <v>#REF!</v>
      </c>
      <c r="DU160" t="e">
        <f>IF(#REF!,"AAAAAF81fnw=",0)</f>
        <v>#REF!</v>
      </c>
      <c r="DV160" t="e">
        <f>IF(#REF!,"AAAAAF81fn0=",0)</f>
        <v>#REF!</v>
      </c>
      <c r="DW160" t="e">
        <f>IF(#REF!,"AAAAAF81fn4=",0)</f>
        <v>#REF!</v>
      </c>
      <c r="DX160" t="e">
        <f>IF(#REF!,"AAAAAF81fn8=",0)</f>
        <v>#REF!</v>
      </c>
      <c r="DY160" t="e">
        <f>IF(#REF!,"AAAAAF81foA=",0)</f>
        <v>#REF!</v>
      </c>
      <c r="DZ160" t="e">
        <f>IF(#REF!,"AAAAAF81foE=",0)</f>
        <v>#REF!</v>
      </c>
      <c r="EA160" t="e">
        <f>IF(#REF!,"AAAAAF81foI=",0)</f>
        <v>#REF!</v>
      </c>
      <c r="EB160" t="e">
        <f>IF(#REF!,"AAAAAF81foM=",0)</f>
        <v>#REF!</v>
      </c>
      <c r="EC160" t="e">
        <f>IF(#REF!,"AAAAAF81foQ=",0)</f>
        <v>#REF!</v>
      </c>
      <c r="ED160" t="e">
        <f>IF(#REF!,"AAAAAF81foU=",0)</f>
        <v>#REF!</v>
      </c>
      <c r="EE160" t="e">
        <f>IF(#REF!,"AAAAAF81foY=",0)</f>
        <v>#REF!</v>
      </c>
      <c r="EF160" t="e">
        <f>IF(#REF!,"AAAAAF81foc=",0)</f>
        <v>#REF!</v>
      </c>
      <c r="EG160" t="e">
        <f>IF(#REF!,"AAAAAF81fog=",0)</f>
        <v>#REF!</v>
      </c>
      <c r="EH160" t="e">
        <f>IF(#REF!,"AAAAAF81fok=",0)</f>
        <v>#REF!</v>
      </c>
      <c r="EI160" t="e">
        <f>IF(#REF!,"AAAAAF81foo=",0)</f>
        <v>#REF!</v>
      </c>
      <c r="EJ160" t="e">
        <f>IF(#REF!,"AAAAAF81fos=",0)</f>
        <v>#REF!</v>
      </c>
      <c r="EK160" t="e">
        <f>IF(#REF!,"AAAAAF81fow=",0)</f>
        <v>#REF!</v>
      </c>
      <c r="EL160" t="e">
        <f>IF(#REF!,"AAAAAF81fo0=",0)</f>
        <v>#REF!</v>
      </c>
      <c r="EM160" t="e">
        <f>IF(#REF!,"AAAAAF81fo4=",0)</f>
        <v>#REF!</v>
      </c>
      <c r="EN160" t="e">
        <f>IF(#REF!,"AAAAAF81fo8=",0)</f>
        <v>#REF!</v>
      </c>
      <c r="EO160" t="e">
        <f>IF(#REF!,"AAAAAF81fpA=",0)</f>
        <v>#REF!</v>
      </c>
      <c r="EP160" t="e">
        <f>IF(#REF!,"AAAAAF81fpE=",0)</f>
        <v>#REF!</v>
      </c>
      <c r="EQ160" t="e">
        <f>IF(#REF!,"AAAAAF81fpI=",0)</f>
        <v>#REF!</v>
      </c>
      <c r="ER160" t="e">
        <f>IF(#REF!,"AAAAAF81fpM=",0)</f>
        <v>#REF!</v>
      </c>
      <c r="ES160" t="e">
        <f>IF(#REF!,"AAAAAF81fpQ=",0)</f>
        <v>#REF!</v>
      </c>
      <c r="ET160" t="e">
        <f>IF(#REF!,"AAAAAF81fpU=",0)</f>
        <v>#REF!</v>
      </c>
      <c r="EU160" t="e">
        <f>IF(#REF!,"AAAAAF81fpY=",0)</f>
        <v>#REF!</v>
      </c>
      <c r="EV160" t="e">
        <f>IF(#REF!,"AAAAAF81fpc=",0)</f>
        <v>#REF!</v>
      </c>
      <c r="EW160" t="e">
        <f>IF(#REF!,"AAAAAF81fpg=",0)</f>
        <v>#REF!</v>
      </c>
      <c r="EX160" t="e">
        <f>IF(#REF!,"AAAAAF81fpk=",0)</f>
        <v>#REF!</v>
      </c>
      <c r="EY160" t="e">
        <f>IF(#REF!,"AAAAAF81fpo=",0)</f>
        <v>#REF!</v>
      </c>
      <c r="EZ160" t="e">
        <f>IF(#REF!,"AAAAAF81fps=",0)</f>
        <v>#REF!</v>
      </c>
      <c r="FA160" t="e">
        <f>IF(#REF!,"AAAAAF81fpw=",0)</f>
        <v>#REF!</v>
      </c>
      <c r="FB160" t="e">
        <f>IF(#REF!,"AAAAAF81fp0=",0)</f>
        <v>#REF!</v>
      </c>
      <c r="FC160" t="e">
        <f>IF(#REF!,"AAAAAF81fp4=",0)</f>
        <v>#REF!</v>
      </c>
      <c r="FD160" t="e">
        <f>IF(#REF!,"AAAAAF81fp8=",0)</f>
        <v>#REF!</v>
      </c>
      <c r="FE160" t="e">
        <f>IF(#REF!,"AAAAAF81fqA=",0)</f>
        <v>#REF!</v>
      </c>
      <c r="FF160" t="e">
        <f>IF(#REF!,"AAAAAF81fqE=",0)</f>
        <v>#REF!</v>
      </c>
      <c r="FG160" t="e">
        <f>IF(#REF!,"AAAAAF81fqI=",0)</f>
        <v>#REF!</v>
      </c>
      <c r="FH160" t="e">
        <f>IF(#REF!,"AAAAAF81fqM=",0)</f>
        <v>#REF!</v>
      </c>
      <c r="FI160" t="e">
        <f>IF(#REF!,"AAAAAF81fqQ=",0)</f>
        <v>#REF!</v>
      </c>
      <c r="FJ160" t="e">
        <f>IF(#REF!,"AAAAAF81fqU=",0)</f>
        <v>#REF!</v>
      </c>
      <c r="FK160" t="e">
        <f>IF(#REF!,"AAAAAF81fqY=",0)</f>
        <v>#REF!</v>
      </c>
      <c r="FL160" t="e">
        <f>IF(#REF!,"AAAAAF81fqc=",0)</f>
        <v>#REF!</v>
      </c>
      <c r="FM160" t="e">
        <f>IF(#REF!,"AAAAAF81fqg=",0)</f>
        <v>#REF!</v>
      </c>
      <c r="FN160" t="e">
        <f>IF(#REF!,"AAAAAF81fqk=",0)</f>
        <v>#REF!</v>
      </c>
      <c r="FO160" t="e">
        <f>IF(#REF!,"AAAAAF81fqo=",0)</f>
        <v>#REF!</v>
      </c>
      <c r="FP160" t="e">
        <f>IF(#REF!,"AAAAAF81fqs=",0)</f>
        <v>#REF!</v>
      </c>
      <c r="FQ160" t="e">
        <f>IF(#REF!,"AAAAAF81fqw=",0)</f>
        <v>#REF!</v>
      </c>
      <c r="FR160" t="e">
        <f>IF(#REF!,"AAAAAF81fq0=",0)</f>
        <v>#REF!</v>
      </c>
      <c r="FS160" t="e">
        <f>IF(#REF!,"AAAAAF81fq4=",0)</f>
        <v>#REF!</v>
      </c>
      <c r="FT160" t="e">
        <f>IF(#REF!,"AAAAAF81fq8=",0)</f>
        <v>#REF!</v>
      </c>
      <c r="FU160" t="e">
        <f>IF(#REF!,"AAAAAF81frA=",0)</f>
        <v>#REF!</v>
      </c>
      <c r="FV160" t="e">
        <f>IF(#REF!,"AAAAAF81frE=",0)</f>
        <v>#REF!</v>
      </c>
      <c r="FW160" t="e">
        <f>IF(#REF!,"AAAAAF81frI=",0)</f>
        <v>#REF!</v>
      </c>
      <c r="FX160" t="e">
        <f>IF(#REF!,"AAAAAF81frM=",0)</f>
        <v>#REF!</v>
      </c>
      <c r="FY160" t="e">
        <f>IF(#REF!,"AAAAAF81frQ=",0)</f>
        <v>#REF!</v>
      </c>
      <c r="FZ160" t="e">
        <f>IF(#REF!,"AAAAAF81frU=",0)</f>
        <v>#REF!</v>
      </c>
      <c r="GA160" t="e">
        <f>IF(#REF!,"AAAAAF81frY=",0)</f>
        <v>#REF!</v>
      </c>
      <c r="GB160" t="e">
        <f>IF(#REF!,"AAAAAF81frc=",0)</f>
        <v>#REF!</v>
      </c>
      <c r="GC160" t="e">
        <f>IF(#REF!,"AAAAAF81frg=",0)</f>
        <v>#REF!</v>
      </c>
      <c r="GD160" t="e">
        <f>IF(#REF!,"AAAAAF81frk=",0)</f>
        <v>#REF!</v>
      </c>
      <c r="GE160" t="e">
        <f>IF(#REF!,"AAAAAF81fro=",0)</f>
        <v>#REF!</v>
      </c>
      <c r="GF160" t="e">
        <f>IF(#REF!,"AAAAAF81frs=",0)</f>
        <v>#REF!</v>
      </c>
      <c r="GG160" t="e">
        <f>IF(#REF!,"AAAAAF81frw=",0)</f>
        <v>#REF!</v>
      </c>
      <c r="GH160" t="e">
        <f>IF(#REF!,"AAAAAF81fr0=",0)</f>
        <v>#REF!</v>
      </c>
      <c r="GI160" t="e">
        <f>IF(#REF!,"AAAAAF81fr4=",0)</f>
        <v>#REF!</v>
      </c>
      <c r="GJ160" t="e">
        <f>IF(#REF!,"AAAAAF81fr8=",0)</f>
        <v>#REF!</v>
      </c>
      <c r="GK160" t="e">
        <f>IF(#REF!,"AAAAAF81fsA=",0)</f>
        <v>#REF!</v>
      </c>
      <c r="GL160" t="e">
        <f>IF(#REF!,"AAAAAF81fsE=",0)</f>
        <v>#REF!</v>
      </c>
      <c r="GM160" t="e">
        <f>IF(#REF!,"AAAAAF81fsI=",0)</f>
        <v>#REF!</v>
      </c>
      <c r="GN160" t="e">
        <f>IF(#REF!,"AAAAAF81fsM=",0)</f>
        <v>#REF!</v>
      </c>
      <c r="GO160" t="e">
        <f>IF(#REF!,"AAAAAF81fsQ=",0)</f>
        <v>#REF!</v>
      </c>
      <c r="GP160" t="e">
        <f>IF(#REF!,"AAAAAF81fsU=",0)</f>
        <v>#REF!</v>
      </c>
      <c r="GQ160" t="e">
        <f>IF(#REF!,"AAAAAF81fsY=",0)</f>
        <v>#REF!</v>
      </c>
      <c r="GR160" t="e">
        <f>IF(#REF!,"AAAAAF81fsc=",0)</f>
        <v>#REF!</v>
      </c>
      <c r="GS160" t="e">
        <f>IF(#REF!,"AAAAAF81fsg=",0)</f>
        <v>#REF!</v>
      </c>
      <c r="GT160" t="e">
        <f>IF(#REF!,"AAAAAF81fsk=",0)</f>
        <v>#REF!</v>
      </c>
      <c r="GU160" t="e">
        <f>IF(#REF!,"AAAAAF81fso=",0)</f>
        <v>#REF!</v>
      </c>
      <c r="GV160" t="e">
        <f>IF(#REF!,"AAAAAF81fss=",0)</f>
        <v>#REF!</v>
      </c>
      <c r="GW160" t="e">
        <f>IF(#REF!,"AAAAAF81fsw=",0)</f>
        <v>#REF!</v>
      </c>
      <c r="GX160" t="e">
        <f>IF(#REF!,"AAAAAF81fs0=",0)</f>
        <v>#REF!</v>
      </c>
      <c r="GY160" t="e">
        <f>IF(#REF!,"AAAAAF81fs4=",0)</f>
        <v>#REF!</v>
      </c>
      <c r="GZ160" t="e">
        <f>IF(#REF!,"AAAAAF81fs8=",0)</f>
        <v>#REF!</v>
      </c>
      <c r="HA160" t="e">
        <f>IF(#REF!,"AAAAAF81ftA=",0)</f>
        <v>#REF!</v>
      </c>
      <c r="HB160" t="e">
        <f>IF(#REF!,"AAAAAF81ftE=",0)</f>
        <v>#REF!</v>
      </c>
      <c r="HC160" t="e">
        <f>IF(#REF!,"AAAAAF81ftI=",0)</f>
        <v>#REF!</v>
      </c>
      <c r="HD160" t="e">
        <f>IF(#REF!,"AAAAAF81ftM=",0)</f>
        <v>#REF!</v>
      </c>
      <c r="HE160" t="e">
        <f>IF(#REF!,"AAAAAF81ftQ=",0)</f>
        <v>#REF!</v>
      </c>
      <c r="HF160" t="e">
        <f>IF(#REF!,"AAAAAF81ftU=",0)</f>
        <v>#REF!</v>
      </c>
      <c r="HG160" t="e">
        <f>IF(#REF!,"AAAAAF81ftY=",0)</f>
        <v>#REF!</v>
      </c>
      <c r="HH160" t="e">
        <f>IF(#REF!,"AAAAAF81ftc=",0)</f>
        <v>#REF!</v>
      </c>
      <c r="HI160" t="e">
        <f>IF(#REF!,"AAAAAF81ftg=",0)</f>
        <v>#REF!</v>
      </c>
      <c r="HJ160" t="e">
        <f>IF(#REF!,"AAAAAF81ftk=",0)</f>
        <v>#REF!</v>
      </c>
      <c r="HK160" t="e">
        <f>IF(#REF!,"AAAAAF81fto=",0)</f>
        <v>#REF!</v>
      </c>
      <c r="HL160" t="e">
        <f>IF(#REF!,"AAAAAF81fts=",0)</f>
        <v>#REF!</v>
      </c>
      <c r="HM160" t="e">
        <f>IF(#REF!,"AAAAAF81ftw=",0)</f>
        <v>#REF!</v>
      </c>
      <c r="HN160" t="e">
        <f>IF(#REF!,"AAAAAF81ft0=",0)</f>
        <v>#REF!</v>
      </c>
      <c r="HO160" t="e">
        <f>IF(#REF!,"AAAAAF81ft4=",0)</f>
        <v>#REF!</v>
      </c>
      <c r="HP160" t="e">
        <f>IF(#REF!,"AAAAAF81ft8=",0)</f>
        <v>#REF!</v>
      </c>
      <c r="HQ160" t="e">
        <f>IF(#REF!,"AAAAAF81fuA=",0)</f>
        <v>#REF!</v>
      </c>
      <c r="HR160" t="e">
        <f>IF(#REF!,"AAAAAF81fuE=",0)</f>
        <v>#REF!</v>
      </c>
      <c r="HS160" t="e">
        <f>IF(#REF!,"AAAAAF81fuI=",0)</f>
        <v>#REF!</v>
      </c>
      <c r="HT160" t="e">
        <f>IF(#REF!,"AAAAAF81fuM=",0)</f>
        <v>#REF!</v>
      </c>
      <c r="HU160" t="e">
        <f>IF(#REF!,"AAAAAF81fuQ=",0)</f>
        <v>#REF!</v>
      </c>
      <c r="HV160" t="e">
        <f>IF(#REF!,"AAAAAF81fuU=",0)</f>
        <v>#REF!</v>
      </c>
      <c r="HW160" t="e">
        <f>IF(#REF!,"AAAAAF81fuY=",0)</f>
        <v>#REF!</v>
      </c>
      <c r="HX160" t="e">
        <f>IF(#REF!,"AAAAAF81fuc=",0)</f>
        <v>#REF!</v>
      </c>
      <c r="HY160" t="e">
        <f>IF(#REF!,"AAAAAF81fug=",0)</f>
        <v>#REF!</v>
      </c>
      <c r="HZ160" t="e">
        <f>IF(#REF!,"AAAAAF81fuk=",0)</f>
        <v>#REF!</v>
      </c>
      <c r="IA160" t="e">
        <f>IF(#REF!,"AAAAAF81fuo=",0)</f>
        <v>#REF!</v>
      </c>
      <c r="IB160" t="e">
        <f>IF(#REF!,"AAAAAF81fus=",0)</f>
        <v>#REF!</v>
      </c>
      <c r="IC160" t="e">
        <f>IF(#REF!,"AAAAAF81fuw=",0)</f>
        <v>#REF!</v>
      </c>
      <c r="ID160" t="e">
        <f>IF(#REF!,"AAAAAF81fu0=",0)</f>
        <v>#REF!</v>
      </c>
      <c r="IE160" t="e">
        <f>IF(#REF!,"AAAAAF81fu4=",0)</f>
        <v>#REF!</v>
      </c>
      <c r="IF160" t="e">
        <f>IF(#REF!,"AAAAAF81fu8=",0)</f>
        <v>#REF!</v>
      </c>
      <c r="IG160" t="e">
        <f>IF(#REF!,"AAAAAF81fvA=",0)</f>
        <v>#REF!</v>
      </c>
      <c r="IH160" t="e">
        <f>IF(#REF!,"AAAAAF81fvE=",0)</f>
        <v>#REF!</v>
      </c>
      <c r="II160" t="e">
        <f>IF(#REF!,"AAAAAF81fvI=",0)</f>
        <v>#REF!</v>
      </c>
      <c r="IJ160" t="e">
        <f>IF(#REF!,"AAAAAF81fvM=",0)</f>
        <v>#REF!</v>
      </c>
      <c r="IK160" t="e">
        <f>IF(#REF!,"AAAAAF81fvQ=",0)</f>
        <v>#REF!</v>
      </c>
      <c r="IL160" t="e">
        <f>IF(#REF!,"AAAAAF81fvU=",0)</f>
        <v>#REF!</v>
      </c>
      <c r="IM160" t="e">
        <f>IF(#REF!,"AAAAAF81fvY=",0)</f>
        <v>#REF!</v>
      </c>
      <c r="IN160" t="e">
        <f>IF(#REF!,"AAAAAF81fvc=",0)</f>
        <v>#REF!</v>
      </c>
      <c r="IO160" t="e">
        <f>IF(#REF!,"AAAAAF81fvg=",0)</f>
        <v>#REF!</v>
      </c>
      <c r="IP160" t="e">
        <f>IF(#REF!,"AAAAAF81fvk=",0)</f>
        <v>#REF!</v>
      </c>
      <c r="IQ160" t="e">
        <f>IF(#REF!,"AAAAAF81fvo=",0)</f>
        <v>#REF!</v>
      </c>
      <c r="IR160" t="e">
        <f>IF(#REF!,"AAAAAF81fvs=",0)</f>
        <v>#REF!</v>
      </c>
      <c r="IS160" t="e">
        <f>IF(#REF!,"AAAAAF81fvw=",0)</f>
        <v>#REF!</v>
      </c>
      <c r="IT160" t="e">
        <f>IF(#REF!,"AAAAAF81fv0=",0)</f>
        <v>#REF!</v>
      </c>
      <c r="IU160" t="e">
        <f>IF(#REF!,"AAAAAF81fv4=",0)</f>
        <v>#REF!</v>
      </c>
      <c r="IV160" t="e">
        <f>IF(#REF!,"AAAAAF81fv8=",0)</f>
        <v>#REF!</v>
      </c>
    </row>
    <row r="161" spans="1:256" x14ac:dyDescent="0.2">
      <c r="A161" t="e">
        <f>IF(#REF!,"AAAAAHf+vwA=",0)</f>
        <v>#REF!</v>
      </c>
      <c r="B161" t="e">
        <f>IF(#REF!,"AAAAAHf+vwE=",0)</f>
        <v>#REF!</v>
      </c>
      <c r="C161" t="e">
        <f>IF(#REF!,"AAAAAHf+vwI=",0)</f>
        <v>#REF!</v>
      </c>
      <c r="D161" t="e">
        <f>IF(#REF!,"AAAAAHf+vwM=",0)</f>
        <v>#REF!</v>
      </c>
      <c r="E161" t="e">
        <f>IF(#REF!,"AAAAAHf+vwQ=",0)</f>
        <v>#REF!</v>
      </c>
      <c r="F161" t="e">
        <f>IF(#REF!,"AAAAAHf+vwU=",0)</f>
        <v>#REF!</v>
      </c>
      <c r="G161" t="e">
        <f>IF(#REF!,"AAAAAHf+vwY=",0)</f>
        <v>#REF!</v>
      </c>
      <c r="H161" t="e">
        <f>IF(#REF!,"AAAAAHf+vwc=",0)</f>
        <v>#REF!</v>
      </c>
      <c r="I161" t="e">
        <f>IF(#REF!,"AAAAAHf+vwg=",0)</f>
        <v>#REF!</v>
      </c>
      <c r="J161" t="e">
        <f>IF(#REF!,"AAAAAHf+vwk=",0)</f>
        <v>#REF!</v>
      </c>
      <c r="K161" t="e">
        <f>IF(#REF!,"AAAAAHf+vwo=",0)</f>
        <v>#REF!</v>
      </c>
      <c r="L161" t="e">
        <f>IF(#REF!,"AAAAAHf+vws=",0)</f>
        <v>#REF!</v>
      </c>
      <c r="M161" t="e">
        <f>IF(#REF!,"AAAAAHf+vww=",0)</f>
        <v>#REF!</v>
      </c>
      <c r="N161" t="e">
        <f>IF(#REF!,"AAAAAHf+vw0=",0)</f>
        <v>#REF!</v>
      </c>
      <c r="O161" t="e">
        <f>IF(#REF!,"AAAAAHf+vw4=",0)</f>
        <v>#REF!</v>
      </c>
      <c r="P161" t="e">
        <f>IF(#REF!,"AAAAAHf+vw8=",0)</f>
        <v>#REF!</v>
      </c>
      <c r="Q161" t="e">
        <f>IF(#REF!,"AAAAAHf+vxA=",0)</f>
        <v>#REF!</v>
      </c>
      <c r="R161" t="e">
        <f>IF(#REF!,"AAAAAHf+vxE=",0)</f>
        <v>#REF!</v>
      </c>
      <c r="S161" t="e">
        <f>IF(#REF!,"AAAAAHf+vxI=",0)</f>
        <v>#REF!</v>
      </c>
      <c r="T161" t="e">
        <f>IF(#REF!,"AAAAAHf+vxM=",0)</f>
        <v>#REF!</v>
      </c>
      <c r="U161" t="e">
        <f>IF(#REF!,"AAAAAHf+vxQ=",0)</f>
        <v>#REF!</v>
      </c>
      <c r="V161" t="e">
        <f>IF(#REF!,"AAAAAHf+vxU=",0)</f>
        <v>#REF!</v>
      </c>
      <c r="W161" t="e">
        <f>IF(#REF!,"AAAAAHf+vxY=",0)</f>
        <v>#REF!</v>
      </c>
      <c r="X161" t="e">
        <f>IF(#REF!,"AAAAAHf+vxc=",0)</f>
        <v>#REF!</v>
      </c>
      <c r="Y161" t="e">
        <f>IF(#REF!,"AAAAAHf+vxg=",0)</f>
        <v>#REF!</v>
      </c>
      <c r="Z161" t="e">
        <f>IF(#REF!,"AAAAAHf+vxk=",0)</f>
        <v>#REF!</v>
      </c>
      <c r="AA161" t="e">
        <f>IF(#REF!,"AAAAAHf+vxo=",0)</f>
        <v>#REF!</v>
      </c>
      <c r="AB161" t="e">
        <f>IF(#REF!,"AAAAAHf+vxs=",0)</f>
        <v>#REF!</v>
      </c>
      <c r="AC161" t="e">
        <f>IF(#REF!,"AAAAAHf+vxw=",0)</f>
        <v>#REF!</v>
      </c>
      <c r="AD161" t="e">
        <f>IF(#REF!,"AAAAAHf+vx0=",0)</f>
        <v>#REF!</v>
      </c>
      <c r="AE161" t="e">
        <f>IF(#REF!,"AAAAAHf+vx4=",0)</f>
        <v>#REF!</v>
      </c>
      <c r="AF161" t="e">
        <f>IF(#REF!,"AAAAAHf+vx8=",0)</f>
        <v>#REF!</v>
      </c>
      <c r="AG161" t="e">
        <f>IF(#REF!,"AAAAAHf+vyA=",0)</f>
        <v>#REF!</v>
      </c>
      <c r="AH161" t="e">
        <f>IF(#REF!,"AAAAAHf+vyE=",0)</f>
        <v>#REF!</v>
      </c>
      <c r="AI161" t="e">
        <f>IF(#REF!,"AAAAAHf+vyI=",0)</f>
        <v>#REF!</v>
      </c>
      <c r="AJ161" t="e">
        <f>IF(#REF!,"AAAAAHf+vyM=",0)</f>
        <v>#REF!</v>
      </c>
      <c r="AK161" t="e">
        <f>IF(#REF!,"AAAAAHf+vyQ=",0)</f>
        <v>#REF!</v>
      </c>
      <c r="AL161" t="e">
        <f>IF(#REF!,"AAAAAHf+vyU=",0)</f>
        <v>#REF!</v>
      </c>
      <c r="AM161" t="e">
        <f>IF(#REF!,"AAAAAHf+vyY=",0)</f>
        <v>#REF!</v>
      </c>
      <c r="AN161" t="e">
        <f>IF(#REF!,"AAAAAHf+vyc=",0)</f>
        <v>#REF!</v>
      </c>
      <c r="AO161" t="e">
        <f>IF(#REF!,"AAAAAHf+vyg=",0)</f>
        <v>#REF!</v>
      </c>
      <c r="AP161" t="e">
        <f>IF(#REF!,"AAAAAHf+vyk=",0)</f>
        <v>#REF!</v>
      </c>
      <c r="AQ161" t="e">
        <f>IF(#REF!,"AAAAAHf+vyo=",0)</f>
        <v>#REF!</v>
      </c>
      <c r="AR161" t="e">
        <f>IF(#REF!,"AAAAAHf+vys=",0)</f>
        <v>#REF!</v>
      </c>
      <c r="AS161" t="e">
        <f>IF(#REF!,"AAAAAHf+vyw=",0)</f>
        <v>#REF!</v>
      </c>
      <c r="AT161" t="e">
        <f>IF(#REF!,"AAAAAHf+vy0=",0)</f>
        <v>#REF!</v>
      </c>
      <c r="AU161" t="e">
        <f>IF(#REF!,"AAAAAHf+vy4=",0)</f>
        <v>#REF!</v>
      </c>
      <c r="AV161" t="e">
        <f>IF(#REF!,"AAAAAHf+vy8=",0)</f>
        <v>#REF!</v>
      </c>
      <c r="AW161" t="e">
        <f>IF(#REF!,"AAAAAHf+vzA=",0)</f>
        <v>#REF!</v>
      </c>
      <c r="AX161" t="e">
        <f>IF(#REF!,"AAAAAHf+vzE=",0)</f>
        <v>#REF!</v>
      </c>
      <c r="AY161" t="e">
        <f>IF(#REF!,"AAAAAHf+vzI=",0)</f>
        <v>#REF!</v>
      </c>
      <c r="AZ161" t="e">
        <f>IF(#REF!,"AAAAAHf+vzM=",0)</f>
        <v>#REF!</v>
      </c>
      <c r="BA161" t="e">
        <f>IF(#REF!,"AAAAAHf+vzQ=",0)</f>
        <v>#REF!</v>
      </c>
      <c r="BB161" t="e">
        <f>IF(#REF!,"AAAAAHf+vzU=",0)</f>
        <v>#REF!</v>
      </c>
      <c r="BC161" t="e">
        <f>IF(#REF!,"AAAAAHf+vzY=",0)</f>
        <v>#REF!</v>
      </c>
      <c r="BD161" t="e">
        <f>IF(#REF!,"AAAAAHf+vzc=",0)</f>
        <v>#REF!</v>
      </c>
      <c r="BE161" t="e">
        <f>IF(#REF!,"AAAAAHf+vzg=",0)</f>
        <v>#REF!</v>
      </c>
      <c r="BF161" t="e">
        <f>IF(#REF!,"AAAAAHf+vzk=",0)</f>
        <v>#REF!</v>
      </c>
      <c r="BG161" t="e">
        <f>IF(#REF!,"AAAAAHf+vzo=",0)</f>
        <v>#REF!</v>
      </c>
      <c r="BH161" t="e">
        <f>IF(#REF!,"AAAAAHf+vzs=",0)</f>
        <v>#REF!</v>
      </c>
      <c r="BI161" t="e">
        <f>IF(#REF!,"AAAAAHf+vzw=",0)</f>
        <v>#REF!</v>
      </c>
      <c r="BJ161" t="e">
        <f>IF(#REF!,"AAAAAHf+vz0=",0)</f>
        <v>#REF!</v>
      </c>
      <c r="BK161" t="e">
        <f>IF(#REF!,"AAAAAHf+vz4=",0)</f>
        <v>#REF!</v>
      </c>
      <c r="BL161" t="e">
        <f>IF(#REF!,"AAAAAHf+vz8=",0)</f>
        <v>#REF!</v>
      </c>
      <c r="BM161" t="e">
        <f>IF(#REF!,"AAAAAHf+v0A=",0)</f>
        <v>#REF!</v>
      </c>
      <c r="BN161" t="e">
        <f>IF(#REF!,"AAAAAHf+v0E=",0)</f>
        <v>#REF!</v>
      </c>
      <c r="BO161" t="e">
        <f>IF(#REF!,"AAAAAHf+v0I=",0)</f>
        <v>#REF!</v>
      </c>
      <c r="BP161" t="e">
        <f>IF(#REF!,"AAAAAHf+v0M=",0)</f>
        <v>#REF!</v>
      </c>
      <c r="BQ161" t="e">
        <f>IF(#REF!,"AAAAAHf+v0Q=",0)</f>
        <v>#REF!</v>
      </c>
      <c r="BR161" t="e">
        <f>IF(#REF!,"AAAAAHf+v0U=",0)</f>
        <v>#REF!</v>
      </c>
      <c r="BS161" t="e">
        <f>IF(#REF!,"AAAAAHf+v0Y=",0)</f>
        <v>#REF!</v>
      </c>
      <c r="BT161" t="e">
        <f>IF(#REF!,"AAAAAHf+v0c=",0)</f>
        <v>#REF!</v>
      </c>
      <c r="BU161" t="e">
        <f>IF(#REF!,"AAAAAHf+v0g=",0)</f>
        <v>#REF!</v>
      </c>
      <c r="BV161" t="e">
        <f>IF(#REF!,"AAAAAHf+v0k=",0)</f>
        <v>#REF!</v>
      </c>
      <c r="BW161" t="e">
        <f>IF(#REF!,"AAAAAHf+v0o=",0)</f>
        <v>#REF!</v>
      </c>
      <c r="BX161" t="e">
        <f>IF(#REF!,"AAAAAHf+v0s=",0)</f>
        <v>#REF!</v>
      </c>
      <c r="BY161" t="e">
        <f>IF(#REF!,"AAAAAHf+v0w=",0)</f>
        <v>#REF!</v>
      </c>
      <c r="BZ161" t="e">
        <f>IF(#REF!,"AAAAAHf+v00=",0)</f>
        <v>#REF!</v>
      </c>
      <c r="CA161" t="e">
        <f>IF(#REF!,"AAAAAHf+v04=",0)</f>
        <v>#REF!</v>
      </c>
      <c r="CB161" t="e">
        <f>IF(#REF!,"AAAAAHf+v08=",0)</f>
        <v>#REF!</v>
      </c>
      <c r="CC161" t="e">
        <f>IF(#REF!,"AAAAAHf+v1A=",0)</f>
        <v>#REF!</v>
      </c>
      <c r="CD161" t="e">
        <f>IF(#REF!,"AAAAAHf+v1E=",0)</f>
        <v>#REF!</v>
      </c>
      <c r="CE161" t="e">
        <f>IF(#REF!,"AAAAAHf+v1I=",0)</f>
        <v>#REF!</v>
      </c>
      <c r="CF161" t="e">
        <f>IF(#REF!,"AAAAAHf+v1M=",0)</f>
        <v>#REF!</v>
      </c>
      <c r="CG161" t="e">
        <f>IF(#REF!,"AAAAAHf+v1Q=",0)</f>
        <v>#REF!</v>
      </c>
      <c r="CH161" t="e">
        <f>IF(#REF!,"AAAAAHf+v1U=",0)</f>
        <v>#REF!</v>
      </c>
      <c r="CI161" t="e">
        <f>IF(#REF!,"AAAAAHf+v1Y=",0)</f>
        <v>#REF!</v>
      </c>
      <c r="CJ161" t="e">
        <f>IF(#REF!,"AAAAAHf+v1c=",0)</f>
        <v>#REF!</v>
      </c>
      <c r="CK161" t="e">
        <f>IF(#REF!,"AAAAAHf+v1g=",0)</f>
        <v>#REF!</v>
      </c>
      <c r="CL161" t="e">
        <f>IF(#REF!,"AAAAAHf+v1k=",0)</f>
        <v>#REF!</v>
      </c>
      <c r="CM161" t="e">
        <f>IF(#REF!,"AAAAAHf+v1o=",0)</f>
        <v>#REF!</v>
      </c>
      <c r="CN161" t="e">
        <f>IF(#REF!,"AAAAAHf+v1s=",0)</f>
        <v>#REF!</v>
      </c>
      <c r="CO161" t="e">
        <f>IF(#REF!,"AAAAAHf+v1w=",0)</f>
        <v>#REF!</v>
      </c>
      <c r="CP161" t="e">
        <f>IF(#REF!,"AAAAAHf+v10=",0)</f>
        <v>#REF!</v>
      </c>
      <c r="CQ161" t="e">
        <f>IF(#REF!,"AAAAAHf+v14=",0)</f>
        <v>#REF!</v>
      </c>
      <c r="CR161" t="e">
        <f>IF(#REF!,"AAAAAHf+v18=",0)</f>
        <v>#REF!</v>
      </c>
      <c r="CS161" t="e">
        <f>IF(#REF!,"AAAAAHf+v2A=",0)</f>
        <v>#REF!</v>
      </c>
      <c r="CT161" t="e">
        <f>IF(#REF!,"AAAAAHf+v2E=",0)</f>
        <v>#REF!</v>
      </c>
      <c r="CU161" t="e">
        <f>IF(#REF!,"AAAAAHf+v2I=",0)</f>
        <v>#REF!</v>
      </c>
      <c r="CV161" t="e">
        <f>IF(#REF!,"AAAAAHf+v2M=",0)</f>
        <v>#REF!</v>
      </c>
      <c r="CW161" t="e">
        <f>IF(#REF!,"AAAAAHf+v2Q=",0)</f>
        <v>#REF!</v>
      </c>
      <c r="CX161" t="e">
        <f>IF(#REF!,"AAAAAHf+v2U=",0)</f>
        <v>#REF!</v>
      </c>
      <c r="CY161" t="e">
        <f>IF(#REF!,"AAAAAHf+v2Y=",0)</f>
        <v>#REF!</v>
      </c>
      <c r="CZ161" t="e">
        <f>IF(#REF!,"AAAAAHf+v2c=",0)</f>
        <v>#REF!</v>
      </c>
      <c r="DA161" t="e">
        <f>IF(#REF!,"AAAAAHf+v2g=",0)</f>
        <v>#REF!</v>
      </c>
      <c r="DB161" t="e">
        <f>IF(#REF!,"AAAAAHf+v2k=",0)</f>
        <v>#REF!</v>
      </c>
      <c r="DC161" t="e">
        <f>IF(#REF!,"AAAAAHf+v2o=",0)</f>
        <v>#REF!</v>
      </c>
      <c r="DD161" t="e">
        <f>IF(#REF!,"AAAAAHf+v2s=",0)</f>
        <v>#REF!</v>
      </c>
      <c r="DE161" t="e">
        <f>IF(#REF!,"AAAAAHf+v2w=",0)</f>
        <v>#REF!</v>
      </c>
      <c r="DF161" t="e">
        <f>IF(#REF!,"AAAAAHf+v20=",0)</f>
        <v>#REF!</v>
      </c>
      <c r="DG161" t="e">
        <f>IF(#REF!,"AAAAAHf+v24=",0)</f>
        <v>#REF!</v>
      </c>
      <c r="DH161" t="e">
        <f>IF(#REF!,"AAAAAHf+v28=",0)</f>
        <v>#REF!</v>
      </c>
      <c r="DI161" t="e">
        <f>IF(#REF!,"AAAAAHf+v3A=",0)</f>
        <v>#REF!</v>
      </c>
      <c r="DJ161" t="e">
        <f>IF(#REF!,"AAAAAHf+v3E=",0)</f>
        <v>#REF!</v>
      </c>
      <c r="DK161" t="e">
        <f>IF(#REF!,"AAAAAHf+v3I=",0)</f>
        <v>#REF!</v>
      </c>
      <c r="DL161" t="e">
        <f>IF(#REF!,"AAAAAHf+v3M=",0)</f>
        <v>#REF!</v>
      </c>
      <c r="DM161" t="e">
        <f>IF(#REF!,"AAAAAHf+v3Q=",0)</f>
        <v>#REF!</v>
      </c>
      <c r="DN161" t="e">
        <f>IF(#REF!,"AAAAAHf+v3U=",0)</f>
        <v>#REF!</v>
      </c>
      <c r="DO161" t="e">
        <f>IF(#REF!,"AAAAAHf+v3Y=",0)</f>
        <v>#REF!</v>
      </c>
      <c r="DP161" t="e">
        <f>IF(#REF!,"AAAAAHf+v3c=",0)</f>
        <v>#REF!</v>
      </c>
      <c r="DQ161" t="e">
        <f>IF(#REF!,"AAAAAHf+v3g=",0)</f>
        <v>#REF!</v>
      </c>
      <c r="DR161" t="e">
        <f>IF(#REF!,"AAAAAHf+v3k=",0)</f>
        <v>#REF!</v>
      </c>
      <c r="DS161" t="e">
        <f>IF(#REF!,"AAAAAHf+v3o=",0)</f>
        <v>#REF!</v>
      </c>
      <c r="DT161" t="e">
        <f>IF(#REF!,"AAAAAHf+v3s=",0)</f>
        <v>#REF!</v>
      </c>
      <c r="DU161" t="e">
        <f>IF(#REF!,"AAAAAHf+v3w=",0)</f>
        <v>#REF!</v>
      </c>
      <c r="DV161" t="e">
        <f>IF(#REF!,"AAAAAHf+v30=",0)</f>
        <v>#REF!</v>
      </c>
      <c r="DW161" t="e">
        <f>IF(#REF!,"AAAAAHf+v34=",0)</f>
        <v>#REF!</v>
      </c>
      <c r="DX161" t="e">
        <f>IF(#REF!,"AAAAAHf+v38=",0)</f>
        <v>#REF!</v>
      </c>
      <c r="DY161" t="e">
        <f>IF(#REF!,"AAAAAHf+v4A=",0)</f>
        <v>#REF!</v>
      </c>
      <c r="DZ161" t="e">
        <f>IF(#REF!,"AAAAAHf+v4E=",0)</f>
        <v>#REF!</v>
      </c>
      <c r="EA161" t="e">
        <f>IF(#REF!,"AAAAAHf+v4I=",0)</f>
        <v>#REF!</v>
      </c>
      <c r="EB161" t="e">
        <f>IF(#REF!,"AAAAAHf+v4M=",0)</f>
        <v>#REF!</v>
      </c>
      <c r="EC161" t="e">
        <f>IF(#REF!,"AAAAAHf+v4Q=",0)</f>
        <v>#REF!</v>
      </c>
      <c r="ED161" t="e">
        <f>IF(#REF!,"AAAAAHf+v4U=",0)</f>
        <v>#REF!</v>
      </c>
      <c r="EE161" t="e">
        <f>IF(#REF!,"AAAAAHf+v4Y=",0)</f>
        <v>#REF!</v>
      </c>
      <c r="EF161" t="e">
        <f>IF(#REF!,"AAAAAHf+v4c=",0)</f>
        <v>#REF!</v>
      </c>
      <c r="EG161" t="e">
        <f>IF(#REF!,"AAAAAHf+v4g=",0)</f>
        <v>#REF!</v>
      </c>
      <c r="EH161" t="e">
        <f>IF(#REF!,"AAAAAHf+v4k=",0)</f>
        <v>#REF!</v>
      </c>
      <c r="EI161" t="e">
        <f>IF(#REF!,"AAAAAHf+v4o=",0)</f>
        <v>#REF!</v>
      </c>
      <c r="EJ161" t="e">
        <f>IF(#REF!,"AAAAAHf+v4s=",0)</f>
        <v>#REF!</v>
      </c>
      <c r="EK161" t="e">
        <f>IF(#REF!,"AAAAAHf+v4w=",0)</f>
        <v>#REF!</v>
      </c>
      <c r="EL161" t="e">
        <f>IF(#REF!,"AAAAAHf+v40=",0)</f>
        <v>#REF!</v>
      </c>
      <c r="EM161" t="e">
        <f>IF(#REF!,"AAAAAHf+v44=",0)</f>
        <v>#REF!</v>
      </c>
      <c r="EN161" t="e">
        <f>IF(#REF!,"AAAAAHf+v48=",0)</f>
        <v>#REF!</v>
      </c>
      <c r="EO161" t="e">
        <f>IF(#REF!,"AAAAAHf+v5A=",0)</f>
        <v>#REF!</v>
      </c>
      <c r="EP161" t="e">
        <f>IF(#REF!,"AAAAAHf+v5E=",0)</f>
        <v>#REF!</v>
      </c>
      <c r="EQ161" t="e">
        <f>IF(#REF!,"AAAAAHf+v5I=",0)</f>
        <v>#REF!</v>
      </c>
      <c r="ER161" t="e">
        <f>IF(#REF!,"AAAAAHf+v5M=",0)</f>
        <v>#REF!</v>
      </c>
      <c r="ES161" t="e">
        <f>IF(#REF!,"AAAAAHf+v5Q=",0)</f>
        <v>#REF!</v>
      </c>
      <c r="ET161" t="e">
        <f>IF(#REF!,"AAAAAHf+v5U=",0)</f>
        <v>#REF!</v>
      </c>
      <c r="EU161" t="e">
        <f>IF(#REF!,"AAAAAHf+v5Y=",0)</f>
        <v>#REF!</v>
      </c>
      <c r="EV161" t="e">
        <f>IF(#REF!,"AAAAAHf+v5c=",0)</f>
        <v>#REF!</v>
      </c>
      <c r="EW161" t="e">
        <f>IF(#REF!,"AAAAAHf+v5g=",0)</f>
        <v>#REF!</v>
      </c>
      <c r="EX161" t="e">
        <f>IF(#REF!,"AAAAAHf+v5k=",0)</f>
        <v>#REF!</v>
      </c>
      <c r="EY161" t="e">
        <f>IF(#REF!,"AAAAAHf+v5o=",0)</f>
        <v>#REF!</v>
      </c>
      <c r="EZ161" t="e">
        <f>IF(#REF!,"AAAAAHf+v5s=",0)</f>
        <v>#REF!</v>
      </c>
      <c r="FA161" t="e">
        <f>IF(#REF!,"AAAAAHf+v5w=",0)</f>
        <v>#REF!</v>
      </c>
      <c r="FB161" t="e">
        <f>IF(#REF!,"AAAAAHf+v50=",0)</f>
        <v>#REF!</v>
      </c>
      <c r="FC161" t="e">
        <f>IF(#REF!,"AAAAAHf+v54=",0)</f>
        <v>#REF!</v>
      </c>
      <c r="FD161" t="e">
        <f>IF(#REF!,"AAAAAHf+v58=",0)</f>
        <v>#REF!</v>
      </c>
      <c r="FE161" t="e">
        <f>IF(#REF!,"AAAAAHf+v6A=",0)</f>
        <v>#REF!</v>
      </c>
      <c r="FF161" t="e">
        <f>IF(#REF!,"AAAAAHf+v6E=",0)</f>
        <v>#REF!</v>
      </c>
      <c r="FG161" t="e">
        <f>IF(#REF!,"AAAAAHf+v6I=",0)</f>
        <v>#REF!</v>
      </c>
      <c r="FH161" t="e">
        <f>IF(#REF!,"AAAAAHf+v6M=",0)</f>
        <v>#REF!</v>
      </c>
      <c r="FI161" t="e">
        <f>IF(#REF!,"AAAAAHf+v6Q=",0)</f>
        <v>#REF!</v>
      </c>
      <c r="FJ161" t="e">
        <f>IF(#REF!,"AAAAAHf+v6U=",0)</f>
        <v>#REF!</v>
      </c>
      <c r="FK161" t="e">
        <f>IF(#REF!,"AAAAAHf+v6Y=",0)</f>
        <v>#REF!</v>
      </c>
      <c r="FL161" t="e">
        <f>IF(#REF!,"AAAAAHf+v6c=",0)</f>
        <v>#REF!</v>
      </c>
      <c r="FM161" t="e">
        <f>IF(#REF!,"AAAAAHf+v6g=",0)</f>
        <v>#REF!</v>
      </c>
      <c r="FN161" t="e">
        <f>IF(#REF!,"AAAAAHf+v6k=",0)</f>
        <v>#REF!</v>
      </c>
      <c r="FO161" t="e">
        <f>IF(#REF!,"AAAAAHf+v6o=",0)</f>
        <v>#REF!</v>
      </c>
      <c r="FP161" t="e">
        <f>IF(#REF!,"AAAAAHf+v6s=",0)</f>
        <v>#REF!</v>
      </c>
      <c r="FQ161" t="e">
        <f>IF(#REF!,"AAAAAHf+v6w=",0)</f>
        <v>#REF!</v>
      </c>
      <c r="FR161" t="e">
        <f>IF(#REF!,"AAAAAHf+v60=",0)</f>
        <v>#REF!</v>
      </c>
      <c r="FS161" t="e">
        <f>IF(#REF!,"AAAAAHf+v64=",0)</f>
        <v>#REF!</v>
      </c>
      <c r="FT161" t="e">
        <f>IF(#REF!,"AAAAAHf+v68=",0)</f>
        <v>#REF!</v>
      </c>
      <c r="FU161" t="e">
        <f>IF(#REF!,"AAAAAHf+v7A=",0)</f>
        <v>#REF!</v>
      </c>
      <c r="FV161" t="e">
        <f>IF(#REF!,"AAAAAHf+v7E=",0)</f>
        <v>#REF!</v>
      </c>
      <c r="FW161" t="e">
        <f>IF(#REF!,"AAAAAHf+v7I=",0)</f>
        <v>#REF!</v>
      </c>
      <c r="FX161" t="e">
        <f>IF(#REF!,"AAAAAHf+v7M=",0)</f>
        <v>#REF!</v>
      </c>
      <c r="FY161" t="e">
        <f>IF(#REF!,"AAAAAHf+v7Q=",0)</f>
        <v>#REF!</v>
      </c>
      <c r="FZ161" t="e">
        <f>IF(#REF!,"AAAAAHf+v7U=",0)</f>
        <v>#REF!</v>
      </c>
      <c r="GA161" t="e">
        <f>IF(#REF!,"AAAAAHf+v7Y=",0)</f>
        <v>#REF!</v>
      </c>
      <c r="GB161" t="e">
        <f>IF(#REF!,"AAAAAHf+v7c=",0)</f>
        <v>#REF!</v>
      </c>
      <c r="GC161" t="e">
        <f>IF(#REF!,"AAAAAHf+v7g=",0)</f>
        <v>#REF!</v>
      </c>
      <c r="GD161" t="e">
        <f>IF(#REF!,"AAAAAHf+v7k=",0)</f>
        <v>#REF!</v>
      </c>
      <c r="GE161" t="e">
        <f>IF(#REF!,"AAAAAHf+v7o=",0)</f>
        <v>#REF!</v>
      </c>
      <c r="GF161" t="e">
        <f>IF(#REF!,"AAAAAHf+v7s=",0)</f>
        <v>#REF!</v>
      </c>
      <c r="GG161" t="e">
        <f>IF(#REF!,"AAAAAHf+v7w=",0)</f>
        <v>#REF!</v>
      </c>
      <c r="GH161" t="e">
        <f>IF(#REF!,"AAAAAHf+v70=",0)</f>
        <v>#REF!</v>
      </c>
      <c r="GI161" t="e">
        <f>IF(#REF!,"AAAAAHf+v74=",0)</f>
        <v>#REF!</v>
      </c>
      <c r="GJ161" t="e">
        <f>IF(#REF!,"AAAAAHf+v78=",0)</f>
        <v>#REF!</v>
      </c>
      <c r="GK161" t="e">
        <f>IF(#REF!,"AAAAAHf+v8A=",0)</f>
        <v>#REF!</v>
      </c>
      <c r="GL161" t="e">
        <f>IF(#REF!,"AAAAAHf+v8E=",0)</f>
        <v>#REF!</v>
      </c>
      <c r="GM161" t="e">
        <f>IF(#REF!,"AAAAAHf+v8I=",0)</f>
        <v>#REF!</v>
      </c>
      <c r="GN161" t="e">
        <f>IF(#REF!,"AAAAAHf+v8M=",0)</f>
        <v>#REF!</v>
      </c>
      <c r="GO161" t="e">
        <f>IF(#REF!,"AAAAAHf+v8Q=",0)</f>
        <v>#REF!</v>
      </c>
      <c r="GP161" t="e">
        <f>IF(#REF!,"AAAAAHf+v8U=",0)</f>
        <v>#REF!</v>
      </c>
      <c r="GQ161" t="e">
        <f>IF(#REF!,"AAAAAHf+v8Y=",0)</f>
        <v>#REF!</v>
      </c>
      <c r="GR161" t="e">
        <f>IF(#REF!,"AAAAAHf+v8c=",0)</f>
        <v>#REF!</v>
      </c>
      <c r="GS161" t="e">
        <f>IF(#REF!,"AAAAAHf+v8g=",0)</f>
        <v>#REF!</v>
      </c>
      <c r="GT161" t="e">
        <f>IF(#REF!,"AAAAAHf+v8k=",0)</f>
        <v>#REF!</v>
      </c>
      <c r="GU161" t="e">
        <f>IF(#REF!,"AAAAAHf+v8o=",0)</f>
        <v>#REF!</v>
      </c>
      <c r="GV161" t="e">
        <f>IF(#REF!,"AAAAAHf+v8s=",0)</f>
        <v>#REF!</v>
      </c>
      <c r="GW161" t="e">
        <f>IF(#REF!,"AAAAAHf+v8w=",0)</f>
        <v>#REF!</v>
      </c>
      <c r="GX161" t="e">
        <f>IF(#REF!,"AAAAAHf+v80=",0)</f>
        <v>#REF!</v>
      </c>
      <c r="GY161" t="e">
        <f>IF(#REF!,"AAAAAHf+v84=",0)</f>
        <v>#REF!</v>
      </c>
      <c r="GZ161" t="e">
        <f>IF(#REF!,"AAAAAHf+v88=",0)</f>
        <v>#REF!</v>
      </c>
      <c r="HA161" t="e">
        <f>IF(#REF!,"AAAAAHf+v9A=",0)</f>
        <v>#REF!</v>
      </c>
      <c r="HB161" t="e">
        <f>IF(#REF!,"AAAAAHf+v9E=",0)</f>
        <v>#REF!</v>
      </c>
      <c r="HC161" t="e">
        <f>IF(#REF!,"AAAAAHf+v9I=",0)</f>
        <v>#REF!</v>
      </c>
      <c r="HD161" t="e">
        <f>IF(#REF!,"AAAAAHf+v9M=",0)</f>
        <v>#REF!</v>
      </c>
      <c r="HE161" t="e">
        <f>IF(#REF!,"AAAAAHf+v9Q=",0)</f>
        <v>#REF!</v>
      </c>
      <c r="HF161" t="e">
        <f>IF(#REF!,"AAAAAHf+v9U=",0)</f>
        <v>#REF!</v>
      </c>
      <c r="HG161" t="e">
        <f>IF(#REF!,"AAAAAHf+v9Y=",0)</f>
        <v>#REF!</v>
      </c>
      <c r="HH161" t="e">
        <f>IF(#REF!,"AAAAAHf+v9c=",0)</f>
        <v>#REF!</v>
      </c>
      <c r="HI161" t="e">
        <f>IF(#REF!,"AAAAAHf+v9g=",0)</f>
        <v>#REF!</v>
      </c>
      <c r="HJ161" t="e">
        <f>IF(#REF!,"AAAAAHf+v9k=",0)</f>
        <v>#REF!</v>
      </c>
      <c r="HK161" t="e">
        <f>IF(#REF!,"AAAAAHf+v9o=",0)</f>
        <v>#REF!</v>
      </c>
      <c r="HL161" t="e">
        <f>IF(#REF!,"AAAAAHf+v9s=",0)</f>
        <v>#REF!</v>
      </c>
      <c r="HM161" t="e">
        <f>IF(#REF!,"AAAAAHf+v9w=",0)</f>
        <v>#REF!</v>
      </c>
      <c r="HN161" t="e">
        <f>IF(#REF!,"AAAAAHf+v90=",0)</f>
        <v>#REF!</v>
      </c>
      <c r="HO161" t="e">
        <f>IF(#REF!,"AAAAAHf+v94=",0)</f>
        <v>#REF!</v>
      </c>
      <c r="HP161" t="e">
        <f>IF(#REF!,"AAAAAHf+v98=",0)</f>
        <v>#REF!</v>
      </c>
      <c r="HQ161" t="e">
        <f>IF(#REF!,"AAAAAHf+v+A=",0)</f>
        <v>#REF!</v>
      </c>
      <c r="HR161" t="e">
        <f>IF(#REF!,"AAAAAHf+v+E=",0)</f>
        <v>#REF!</v>
      </c>
      <c r="HS161" t="e">
        <f>IF(#REF!,"AAAAAHf+v+I=",0)</f>
        <v>#REF!</v>
      </c>
      <c r="HT161" t="e">
        <f>IF(#REF!,"AAAAAHf+v+M=",0)</f>
        <v>#REF!</v>
      </c>
      <c r="HU161" t="e">
        <f>IF(#REF!,"AAAAAHf+v+Q=",0)</f>
        <v>#REF!</v>
      </c>
      <c r="HV161" t="e">
        <f>IF(#REF!,"AAAAAHf+v+U=",0)</f>
        <v>#REF!</v>
      </c>
      <c r="HW161" t="e">
        <f>IF(#REF!,"AAAAAHf+v+Y=",0)</f>
        <v>#REF!</v>
      </c>
      <c r="HX161" t="e">
        <f>IF(#REF!,"AAAAAHf+v+c=",0)</f>
        <v>#REF!</v>
      </c>
      <c r="HY161" t="e">
        <f>IF(#REF!,"AAAAAHf+v+g=",0)</f>
        <v>#REF!</v>
      </c>
      <c r="HZ161" t="e">
        <f>IF(#REF!,"AAAAAHf+v+k=",0)</f>
        <v>#REF!</v>
      </c>
      <c r="IA161" t="e">
        <f>IF(#REF!,"AAAAAHf+v+o=",0)</f>
        <v>#REF!</v>
      </c>
      <c r="IB161" t="e">
        <f>IF(#REF!,"AAAAAHf+v+s=",0)</f>
        <v>#REF!</v>
      </c>
      <c r="IC161" t="e">
        <f>IF(#REF!,"AAAAAHf+v+w=",0)</f>
        <v>#REF!</v>
      </c>
      <c r="ID161" t="e">
        <f>IF(#REF!,"AAAAAHf+v+0=",0)</f>
        <v>#REF!</v>
      </c>
      <c r="IE161" t="e">
        <f>IF(#REF!,"AAAAAHf+v+4=",0)</f>
        <v>#REF!</v>
      </c>
      <c r="IF161" t="e">
        <f>IF(#REF!,"AAAAAHf+v+8=",0)</f>
        <v>#REF!</v>
      </c>
      <c r="IG161" t="e">
        <f>IF(#REF!,"AAAAAHf+v/A=",0)</f>
        <v>#REF!</v>
      </c>
      <c r="IH161" t="e">
        <f>IF(#REF!,"AAAAAHf+v/E=",0)</f>
        <v>#REF!</v>
      </c>
      <c r="II161" t="e">
        <f>IF(#REF!,"AAAAAHf+v/I=",0)</f>
        <v>#REF!</v>
      </c>
      <c r="IJ161" t="e">
        <f>IF(#REF!,"AAAAAHf+v/M=",0)</f>
        <v>#REF!</v>
      </c>
      <c r="IK161" t="e">
        <f>IF(#REF!,"AAAAAHf+v/Q=",0)</f>
        <v>#REF!</v>
      </c>
      <c r="IL161" t="e">
        <f>IF(#REF!,"AAAAAHf+v/U=",0)</f>
        <v>#REF!</v>
      </c>
      <c r="IM161" t="e">
        <f>IF(#REF!,"AAAAAHf+v/Y=",0)</f>
        <v>#REF!</v>
      </c>
      <c r="IN161" t="e">
        <f>IF(#REF!,"AAAAAHf+v/c=",0)</f>
        <v>#REF!</v>
      </c>
      <c r="IO161" t="e">
        <f>IF(#REF!,"AAAAAHf+v/g=",0)</f>
        <v>#REF!</v>
      </c>
      <c r="IP161" t="e">
        <f>IF(#REF!,"AAAAAHf+v/k=",0)</f>
        <v>#REF!</v>
      </c>
      <c r="IQ161" t="e">
        <f>IF(#REF!,"AAAAAHf+v/o=",0)</f>
        <v>#REF!</v>
      </c>
      <c r="IR161" t="e">
        <f>IF(#REF!,"AAAAAHf+v/s=",0)</f>
        <v>#REF!</v>
      </c>
      <c r="IS161" t="e">
        <f>IF(#REF!,"AAAAAHf+v/w=",0)</f>
        <v>#REF!</v>
      </c>
      <c r="IT161" t="e">
        <f>IF(#REF!,"AAAAAHf+v/0=",0)</f>
        <v>#REF!</v>
      </c>
      <c r="IU161" t="e">
        <f>IF(#REF!,"AAAAAHf+v/4=",0)</f>
        <v>#REF!</v>
      </c>
      <c r="IV161" t="e">
        <f>IF(#REF!,"AAAAAHf+v/8=",0)</f>
        <v>#REF!</v>
      </c>
    </row>
    <row r="162" spans="1:256" x14ac:dyDescent="0.2">
      <c r="A162" t="e">
        <f>IF(#REF!,"AAAAAD4ffwA=",0)</f>
        <v>#REF!</v>
      </c>
      <c r="B162" t="e">
        <f>IF(#REF!,"AAAAAD4ffwE=",0)</f>
        <v>#REF!</v>
      </c>
      <c r="C162" t="e">
        <f>IF(#REF!,"AAAAAD4ffwI=",0)</f>
        <v>#REF!</v>
      </c>
      <c r="D162" t="e">
        <f>IF(#REF!,"AAAAAD4ffwM=",0)</f>
        <v>#REF!</v>
      </c>
      <c r="E162" t="e">
        <f>IF(#REF!,"AAAAAD4ffwQ=",0)</f>
        <v>#REF!</v>
      </c>
      <c r="F162" t="e">
        <f>IF(#REF!,"AAAAAD4ffwU=",0)</f>
        <v>#REF!</v>
      </c>
      <c r="G162" t="e">
        <f>IF(#REF!,"AAAAAD4ffwY=",0)</f>
        <v>#REF!</v>
      </c>
      <c r="H162" t="e">
        <f>IF(#REF!,"AAAAAD4ffwc=",0)</f>
        <v>#REF!</v>
      </c>
      <c r="I162" t="e">
        <f>IF(#REF!,"AAAAAD4ffwg=",0)</f>
        <v>#REF!</v>
      </c>
      <c r="J162" t="e">
        <f>IF(#REF!,"AAAAAD4ffwk=",0)</f>
        <v>#REF!</v>
      </c>
      <c r="K162" t="e">
        <f>IF(#REF!,"AAAAAD4ffwo=",0)</f>
        <v>#REF!</v>
      </c>
      <c r="L162" t="e">
        <f>IF(#REF!,"AAAAAD4ffws=",0)</f>
        <v>#REF!</v>
      </c>
      <c r="M162" t="e">
        <f>IF(#REF!,"AAAAAD4ffww=",0)</f>
        <v>#REF!</v>
      </c>
      <c r="N162" t="e">
        <f>IF(#REF!,"AAAAAD4ffw0=",0)</f>
        <v>#REF!</v>
      </c>
      <c r="O162" t="e">
        <f>IF(#REF!,"AAAAAD4ffw4=",0)</f>
        <v>#REF!</v>
      </c>
      <c r="P162" t="e">
        <f>IF(#REF!,"AAAAAD4ffw8=",0)</f>
        <v>#REF!</v>
      </c>
      <c r="Q162" t="e">
        <f>IF(#REF!,"AAAAAD4ffxA=",0)</f>
        <v>#REF!</v>
      </c>
      <c r="R162" t="e">
        <f>IF(#REF!,"AAAAAD4ffxE=",0)</f>
        <v>#REF!</v>
      </c>
      <c r="S162" t="e">
        <f>IF(#REF!,"AAAAAD4ffxI=",0)</f>
        <v>#REF!</v>
      </c>
      <c r="T162" t="e">
        <f>IF(#REF!,"AAAAAD4ffxM=",0)</f>
        <v>#REF!</v>
      </c>
      <c r="U162" t="e">
        <f>IF(#REF!,"AAAAAD4ffxQ=",0)</f>
        <v>#REF!</v>
      </c>
      <c r="V162" t="e">
        <f>IF(#REF!,"AAAAAD4ffxU=",0)</f>
        <v>#REF!</v>
      </c>
      <c r="W162" t="e">
        <f>IF(#REF!,"AAAAAD4ffxY=",0)</f>
        <v>#REF!</v>
      </c>
      <c r="X162" t="e">
        <f>IF(#REF!,"AAAAAD4ffxc=",0)</f>
        <v>#REF!</v>
      </c>
      <c r="Y162" t="e">
        <f>IF(#REF!,"AAAAAD4ffxg=",0)</f>
        <v>#REF!</v>
      </c>
      <c r="Z162" t="e">
        <f>IF(#REF!,"AAAAAD4ffxk=",0)</f>
        <v>#REF!</v>
      </c>
      <c r="AA162" t="e">
        <f>IF(#REF!,"AAAAAD4ffxo=",0)</f>
        <v>#REF!</v>
      </c>
      <c r="AB162" t="e">
        <f>IF(#REF!,"AAAAAD4ffxs=",0)</f>
        <v>#REF!</v>
      </c>
      <c r="AC162" t="e">
        <f>IF(#REF!,"AAAAAD4ffxw=",0)</f>
        <v>#REF!</v>
      </c>
      <c r="AD162" t="e">
        <f>IF(#REF!,"AAAAAD4ffx0=",0)</f>
        <v>#REF!</v>
      </c>
      <c r="AE162" t="e">
        <f>IF(#REF!,"AAAAAD4ffx4=",0)</f>
        <v>#REF!</v>
      </c>
      <c r="AF162" t="e">
        <f>IF(#REF!,"AAAAAD4ffx8=",0)</f>
        <v>#REF!</v>
      </c>
      <c r="AG162" t="e">
        <f>IF(#REF!,"AAAAAD4ffyA=",0)</f>
        <v>#REF!</v>
      </c>
      <c r="AH162" t="e">
        <f>IF(#REF!,"AAAAAD4ffyE=",0)</f>
        <v>#REF!</v>
      </c>
      <c r="AI162" t="e">
        <f>IF(#REF!,"AAAAAD4ffyI=",0)</f>
        <v>#REF!</v>
      </c>
      <c r="AJ162" t="e">
        <f>IF(#REF!,"AAAAAD4ffyM=",0)</f>
        <v>#REF!</v>
      </c>
      <c r="AK162" t="e">
        <f>IF(#REF!,"AAAAAD4ffyQ=",0)</f>
        <v>#REF!</v>
      </c>
      <c r="AL162" t="e">
        <f>IF(#REF!,"AAAAAD4ffyU=",0)</f>
        <v>#REF!</v>
      </c>
      <c r="AM162" t="e">
        <f>IF(#REF!,"AAAAAD4ffyY=",0)</f>
        <v>#REF!</v>
      </c>
      <c r="AN162" t="e">
        <f>IF(#REF!,"AAAAAD4ffyc=",0)</f>
        <v>#REF!</v>
      </c>
      <c r="AO162" t="e">
        <f>IF(#REF!,"AAAAAD4ffyg=",0)</f>
        <v>#REF!</v>
      </c>
      <c r="AP162" t="e">
        <f>IF(#REF!,"AAAAAD4ffyk=",0)</f>
        <v>#REF!</v>
      </c>
      <c r="AQ162" t="e">
        <f>IF(#REF!,"AAAAAD4ffyo=",0)</f>
        <v>#REF!</v>
      </c>
      <c r="AR162" t="e">
        <f>IF(#REF!,"AAAAAD4ffys=",0)</f>
        <v>#REF!</v>
      </c>
      <c r="AS162" t="e">
        <f>IF(#REF!,"AAAAAD4ffyw=",0)</f>
        <v>#REF!</v>
      </c>
      <c r="AT162" t="e">
        <f>IF(#REF!,"AAAAAD4ffy0=",0)</f>
        <v>#REF!</v>
      </c>
      <c r="AU162" t="e">
        <f>IF(#REF!,"AAAAAD4ffy4=",0)</f>
        <v>#REF!</v>
      </c>
      <c r="AV162" t="e">
        <f>IF(#REF!,"AAAAAD4ffy8=",0)</f>
        <v>#REF!</v>
      </c>
      <c r="AW162" t="e">
        <f>IF(#REF!,"AAAAAD4ffzA=",0)</f>
        <v>#REF!</v>
      </c>
      <c r="AX162" t="e">
        <f>IF(#REF!,"AAAAAD4ffzE=",0)</f>
        <v>#REF!</v>
      </c>
      <c r="AY162" t="e">
        <f>IF(#REF!,"AAAAAD4ffzI=",0)</f>
        <v>#REF!</v>
      </c>
      <c r="AZ162" t="e">
        <f>IF(#REF!,"AAAAAD4ffzM=",0)</f>
        <v>#REF!</v>
      </c>
      <c r="BA162" t="e">
        <f>IF(#REF!,"AAAAAD4ffzQ=",0)</f>
        <v>#REF!</v>
      </c>
      <c r="BB162" t="e">
        <f>IF(#REF!,"AAAAAD4ffzU=",0)</f>
        <v>#REF!</v>
      </c>
      <c r="BC162" t="e">
        <f>IF(#REF!,"AAAAAD4ffzY=",0)</f>
        <v>#REF!</v>
      </c>
      <c r="BD162" t="e">
        <f>IF(#REF!,"AAAAAD4ffzc=",0)</f>
        <v>#REF!</v>
      </c>
      <c r="BE162" t="e">
        <f>IF(#REF!,"AAAAAD4ffzg=",0)</f>
        <v>#REF!</v>
      </c>
      <c r="BF162" t="e">
        <f>IF(#REF!,"AAAAAD4ffzk=",0)</f>
        <v>#REF!</v>
      </c>
      <c r="BG162" t="e">
        <f>IF(#REF!,"AAAAAD4ffzo=",0)</f>
        <v>#REF!</v>
      </c>
      <c r="BH162" t="e">
        <f>IF(#REF!,"AAAAAD4ffzs=",0)</f>
        <v>#REF!</v>
      </c>
      <c r="BI162" t="e">
        <f>IF(#REF!,"AAAAAD4ffzw=",0)</f>
        <v>#REF!</v>
      </c>
      <c r="BJ162" t="e">
        <f>IF(#REF!,"AAAAAD4ffz0=",0)</f>
        <v>#REF!</v>
      </c>
      <c r="BK162" t="e">
        <f>IF(#REF!,"AAAAAD4ffz4=",0)</f>
        <v>#REF!</v>
      </c>
      <c r="BL162" t="e">
        <f>IF(#REF!,"AAAAAD4ffz8=",0)</f>
        <v>#REF!</v>
      </c>
      <c r="BM162" t="e">
        <f>IF(#REF!,"AAAAAD4ff0A=",0)</f>
        <v>#REF!</v>
      </c>
      <c r="BN162" t="e">
        <f>IF(#REF!,"AAAAAD4ff0E=",0)</f>
        <v>#REF!</v>
      </c>
      <c r="BO162" t="e">
        <f>IF(#REF!,"AAAAAD4ff0I=",0)</f>
        <v>#REF!</v>
      </c>
      <c r="BP162" t="e">
        <f>IF(#REF!,"AAAAAD4ff0M=",0)</f>
        <v>#REF!</v>
      </c>
      <c r="BQ162" t="e">
        <f>IF(#REF!,"AAAAAD4ff0Q=",0)</f>
        <v>#REF!</v>
      </c>
      <c r="BR162" t="e">
        <f>IF(#REF!,"AAAAAD4ff0U=",0)</f>
        <v>#REF!</v>
      </c>
      <c r="BS162" t="e">
        <f>IF(#REF!,"AAAAAD4ff0Y=",0)</f>
        <v>#REF!</v>
      </c>
      <c r="BT162" t="e">
        <f>IF(#REF!,"AAAAAD4ff0c=",0)</f>
        <v>#REF!</v>
      </c>
      <c r="BU162" t="e">
        <f>IF(#REF!,"AAAAAD4ff0g=",0)</f>
        <v>#REF!</v>
      </c>
      <c r="BV162" t="e">
        <f>IF(#REF!,"AAAAAD4ff0k=",0)</f>
        <v>#REF!</v>
      </c>
      <c r="BW162" t="e">
        <f>IF(#REF!,"AAAAAD4ff0o=",0)</f>
        <v>#REF!</v>
      </c>
      <c r="BX162" t="e">
        <f>IF(#REF!,"AAAAAD4ff0s=",0)</f>
        <v>#REF!</v>
      </c>
      <c r="BY162" t="e">
        <f>IF(#REF!,"AAAAAD4ff0w=",0)</f>
        <v>#REF!</v>
      </c>
      <c r="BZ162" t="e">
        <f>IF(#REF!,"AAAAAD4ff00=",0)</f>
        <v>#REF!</v>
      </c>
      <c r="CA162" t="e">
        <f>IF(#REF!,"AAAAAD4ff04=",0)</f>
        <v>#REF!</v>
      </c>
      <c r="CB162" t="e">
        <f>IF(#REF!,"AAAAAD4ff08=",0)</f>
        <v>#REF!</v>
      </c>
      <c r="CC162" t="e">
        <f>IF(#REF!,"AAAAAD4ff1A=",0)</f>
        <v>#REF!</v>
      </c>
      <c r="CD162" t="e">
        <f>IF(#REF!,"AAAAAD4ff1E=",0)</f>
        <v>#REF!</v>
      </c>
      <c r="CE162" t="e">
        <f>IF(#REF!,"AAAAAD4ff1I=",0)</f>
        <v>#REF!</v>
      </c>
      <c r="CF162" t="e">
        <f>IF(#REF!,"AAAAAD4ff1M=",0)</f>
        <v>#REF!</v>
      </c>
      <c r="CG162" t="e">
        <f>IF(#REF!,"AAAAAD4ff1Q=",0)</f>
        <v>#REF!</v>
      </c>
      <c r="CH162" t="e">
        <f>IF(#REF!,"AAAAAD4ff1U=",0)</f>
        <v>#REF!</v>
      </c>
      <c r="CI162" t="e">
        <f>IF(#REF!,"AAAAAD4ff1Y=",0)</f>
        <v>#REF!</v>
      </c>
      <c r="CJ162" t="e">
        <f>IF(#REF!,"AAAAAD4ff1c=",0)</f>
        <v>#REF!</v>
      </c>
      <c r="CK162" t="e">
        <f>IF(#REF!,"AAAAAD4ff1g=",0)</f>
        <v>#REF!</v>
      </c>
      <c r="CL162" t="e">
        <f>IF(#REF!,"AAAAAD4ff1k=",0)</f>
        <v>#REF!</v>
      </c>
      <c r="CM162" t="e">
        <f>IF(#REF!,"AAAAAD4ff1o=",0)</f>
        <v>#REF!</v>
      </c>
      <c r="CN162" t="e">
        <f>IF(#REF!,"AAAAAD4ff1s=",0)</f>
        <v>#REF!</v>
      </c>
      <c r="CO162" t="e">
        <f>IF(#REF!,"AAAAAD4ff1w=",0)</f>
        <v>#REF!</v>
      </c>
      <c r="CP162" t="e">
        <f>IF(#REF!,"AAAAAD4ff10=",0)</f>
        <v>#REF!</v>
      </c>
      <c r="CQ162" t="e">
        <f>IF(#REF!,"AAAAAD4ff14=",0)</f>
        <v>#REF!</v>
      </c>
      <c r="CR162" t="e">
        <f>IF(#REF!,"AAAAAD4ff18=",0)</f>
        <v>#REF!</v>
      </c>
      <c r="CS162" t="e">
        <f>IF(#REF!,"AAAAAD4ff2A=",0)</f>
        <v>#REF!</v>
      </c>
      <c r="CT162" t="e">
        <f>IF(#REF!,"AAAAAD4ff2E=",0)</f>
        <v>#REF!</v>
      </c>
      <c r="CU162" t="e">
        <f>IF(#REF!,"AAAAAD4ff2I=",0)</f>
        <v>#REF!</v>
      </c>
      <c r="CV162" t="e">
        <f>IF(#REF!,"AAAAAD4ff2M=",0)</f>
        <v>#REF!</v>
      </c>
      <c r="CW162" t="e">
        <f>IF(#REF!,"AAAAAD4ff2Q=",0)</f>
        <v>#REF!</v>
      </c>
      <c r="CX162" t="e">
        <f>IF(#REF!,"AAAAAD4ff2U=",0)</f>
        <v>#REF!</v>
      </c>
      <c r="CY162" t="e">
        <f>IF(#REF!,"AAAAAD4ff2Y=",0)</f>
        <v>#REF!</v>
      </c>
      <c r="CZ162" t="e">
        <f>IF(#REF!,"AAAAAD4ff2c=",0)</f>
        <v>#REF!</v>
      </c>
      <c r="DA162" t="e">
        <f>IF(#REF!,"AAAAAD4ff2g=",0)</f>
        <v>#REF!</v>
      </c>
      <c r="DB162" t="e">
        <f>IF(#REF!,"AAAAAD4ff2k=",0)</f>
        <v>#REF!</v>
      </c>
      <c r="DC162" t="e">
        <f>IF(#REF!,"AAAAAD4ff2o=",0)</f>
        <v>#REF!</v>
      </c>
      <c r="DD162" t="e">
        <f>IF(#REF!,"AAAAAD4ff2s=",0)</f>
        <v>#REF!</v>
      </c>
      <c r="DE162" t="e">
        <f>IF(#REF!,"AAAAAD4ff2w=",0)</f>
        <v>#REF!</v>
      </c>
      <c r="DF162" t="e">
        <f>IF(#REF!,"AAAAAD4ff20=",0)</f>
        <v>#REF!</v>
      </c>
      <c r="DG162" t="e">
        <f>IF(#REF!,"AAAAAD4ff24=",0)</f>
        <v>#REF!</v>
      </c>
      <c r="DH162" t="e">
        <f>IF(#REF!,"AAAAAD4ff28=",0)</f>
        <v>#REF!</v>
      </c>
      <c r="DI162" t="e">
        <f>IF(#REF!,"AAAAAD4ff3A=",0)</f>
        <v>#REF!</v>
      </c>
      <c r="DJ162" t="e">
        <f>IF(#REF!,"AAAAAD4ff3E=",0)</f>
        <v>#REF!</v>
      </c>
      <c r="DK162" t="e">
        <f>IF(#REF!,"AAAAAD4ff3I=",0)</f>
        <v>#REF!</v>
      </c>
      <c r="DL162" t="e">
        <f>IF(#REF!,"AAAAAD4ff3M=",0)</f>
        <v>#REF!</v>
      </c>
      <c r="DM162" t="e">
        <f>IF(#REF!,"AAAAAD4ff3Q=",0)</f>
        <v>#REF!</v>
      </c>
      <c r="DN162" t="e">
        <f>IF(#REF!,"AAAAAD4ff3U=",0)</f>
        <v>#REF!</v>
      </c>
      <c r="DO162" t="e">
        <f>IF(#REF!,"AAAAAD4ff3Y=",0)</f>
        <v>#REF!</v>
      </c>
      <c r="DP162" t="e">
        <f>IF(#REF!,"AAAAAD4ff3c=",0)</f>
        <v>#REF!</v>
      </c>
      <c r="DQ162" t="e">
        <f>IF(#REF!,"AAAAAD4ff3g=",0)</f>
        <v>#REF!</v>
      </c>
      <c r="DR162" t="e">
        <f>IF(#REF!,"AAAAAD4ff3k=",0)</f>
        <v>#REF!</v>
      </c>
      <c r="DS162" t="e">
        <f>IF(#REF!,"AAAAAD4ff3o=",0)</f>
        <v>#REF!</v>
      </c>
      <c r="DT162" t="e">
        <f>IF(#REF!,"AAAAAD4ff3s=",0)</f>
        <v>#REF!</v>
      </c>
      <c r="DU162" t="e">
        <f>IF(#REF!,"AAAAAD4ff3w=",0)</f>
        <v>#REF!</v>
      </c>
      <c r="DV162" t="e">
        <f>IF(#REF!,"AAAAAD4ff30=",0)</f>
        <v>#REF!</v>
      </c>
      <c r="DW162" t="e">
        <f>IF(#REF!,"AAAAAD4ff34=",0)</f>
        <v>#REF!</v>
      </c>
      <c r="DX162" t="e">
        <f>IF(#REF!,"AAAAAD4ff38=",0)</f>
        <v>#REF!</v>
      </c>
      <c r="DY162" t="e">
        <f>IF(#REF!,"AAAAAD4ff4A=",0)</f>
        <v>#REF!</v>
      </c>
      <c r="DZ162" t="e">
        <f>IF(#REF!,"AAAAAD4ff4E=",0)</f>
        <v>#REF!</v>
      </c>
      <c r="EA162" t="e">
        <f>IF(#REF!,"AAAAAD4ff4I=",0)</f>
        <v>#REF!</v>
      </c>
      <c r="EB162" t="e">
        <f>IF(#REF!,"AAAAAD4ff4M=",0)</f>
        <v>#REF!</v>
      </c>
      <c r="EC162" t="e">
        <f>IF(#REF!,"AAAAAD4ff4Q=",0)</f>
        <v>#REF!</v>
      </c>
      <c r="ED162" t="e">
        <f>IF(#REF!,"AAAAAD4ff4U=",0)</f>
        <v>#REF!</v>
      </c>
      <c r="EE162" t="e">
        <f>IF(#REF!,"AAAAAD4ff4Y=",0)</f>
        <v>#REF!</v>
      </c>
      <c r="EF162" t="e">
        <f>IF(#REF!,"AAAAAD4ff4c=",0)</f>
        <v>#REF!</v>
      </c>
      <c r="EG162" t="e">
        <f>IF(#REF!,"AAAAAD4ff4g=",0)</f>
        <v>#REF!</v>
      </c>
      <c r="EH162" t="e">
        <f>IF(#REF!,"AAAAAD4ff4k=",0)</f>
        <v>#REF!</v>
      </c>
      <c r="EI162" t="e">
        <f>IF(#REF!,"AAAAAD4ff4o=",0)</f>
        <v>#REF!</v>
      </c>
      <c r="EJ162" t="e">
        <f>IF(#REF!,"AAAAAD4ff4s=",0)</f>
        <v>#REF!</v>
      </c>
      <c r="EK162" t="e">
        <f>IF(#REF!,"AAAAAD4ff4w=",0)</f>
        <v>#REF!</v>
      </c>
      <c r="EL162" t="e">
        <f>IF(#REF!,"AAAAAD4ff40=",0)</f>
        <v>#REF!</v>
      </c>
      <c r="EM162" t="e">
        <f>IF(#REF!,"AAAAAD4ff44=",0)</f>
        <v>#REF!</v>
      </c>
      <c r="EN162" t="e">
        <f>IF(#REF!,"AAAAAD4ff48=",0)</f>
        <v>#REF!</v>
      </c>
      <c r="EO162" t="e">
        <f>IF(#REF!,"AAAAAD4ff5A=",0)</f>
        <v>#REF!</v>
      </c>
      <c r="EP162" t="e">
        <f>IF(#REF!,"AAAAAD4ff5E=",0)</f>
        <v>#REF!</v>
      </c>
      <c r="EQ162" t="e">
        <f>IF(#REF!,"AAAAAD4ff5I=",0)</f>
        <v>#REF!</v>
      </c>
      <c r="ER162" t="e">
        <f>IF(#REF!,"AAAAAD4ff5M=",0)</f>
        <v>#REF!</v>
      </c>
      <c r="ES162" t="e">
        <f>IF(#REF!,"AAAAAD4ff5Q=",0)</f>
        <v>#REF!</v>
      </c>
      <c r="ET162" t="e">
        <f>IF(#REF!,"AAAAAD4ff5U=",0)</f>
        <v>#REF!</v>
      </c>
      <c r="EU162" t="e">
        <f>IF(#REF!,"AAAAAD4ff5Y=",0)</f>
        <v>#REF!</v>
      </c>
      <c r="EV162" t="e">
        <f>IF(#REF!,"AAAAAD4ff5c=",0)</f>
        <v>#REF!</v>
      </c>
      <c r="EW162" t="e">
        <f>IF(#REF!,"AAAAAD4ff5g=",0)</f>
        <v>#REF!</v>
      </c>
      <c r="EX162" t="e">
        <f>IF(#REF!,"AAAAAD4ff5k=",0)</f>
        <v>#REF!</v>
      </c>
      <c r="EY162" t="e">
        <f>IF(#REF!,"AAAAAD4ff5o=",0)</f>
        <v>#REF!</v>
      </c>
      <c r="EZ162" t="e">
        <f>IF(#REF!,"AAAAAD4ff5s=",0)</f>
        <v>#REF!</v>
      </c>
      <c r="FA162" t="e">
        <f>IF(#REF!,"AAAAAD4ff5w=",0)</f>
        <v>#REF!</v>
      </c>
      <c r="FB162" t="e">
        <f>IF(#REF!,"AAAAAD4ff50=",0)</f>
        <v>#REF!</v>
      </c>
      <c r="FC162" t="e">
        <f>IF(#REF!,"AAAAAD4ff54=",0)</f>
        <v>#REF!</v>
      </c>
      <c r="FD162" t="e">
        <f>IF(#REF!,"AAAAAD4ff58=",0)</f>
        <v>#REF!</v>
      </c>
      <c r="FE162" t="e">
        <f>IF(#REF!,"AAAAAD4ff6A=",0)</f>
        <v>#REF!</v>
      </c>
      <c r="FF162" t="e">
        <f>IF(#REF!,"AAAAAD4ff6E=",0)</f>
        <v>#REF!</v>
      </c>
      <c r="FG162" t="e">
        <f>IF(#REF!,"AAAAAD4ff6I=",0)</f>
        <v>#REF!</v>
      </c>
      <c r="FH162" t="e">
        <f>IF(#REF!,"AAAAAD4ff6M=",0)</f>
        <v>#REF!</v>
      </c>
      <c r="FI162" t="e">
        <f>IF(#REF!,"AAAAAD4ff6Q=",0)</f>
        <v>#REF!</v>
      </c>
      <c r="FJ162" t="e">
        <f>IF(#REF!,"AAAAAD4ff6U=",0)</f>
        <v>#REF!</v>
      </c>
      <c r="FK162" t="e">
        <f>IF(#REF!,"AAAAAD4ff6Y=",0)</f>
        <v>#REF!</v>
      </c>
      <c r="FL162" t="e">
        <f>IF(#REF!,"AAAAAD4ff6c=",0)</f>
        <v>#REF!</v>
      </c>
      <c r="FM162" t="e">
        <f>IF(#REF!,"AAAAAD4ff6g=",0)</f>
        <v>#REF!</v>
      </c>
      <c r="FN162" t="e">
        <f>IF(#REF!,"AAAAAD4ff6k=",0)</f>
        <v>#REF!</v>
      </c>
      <c r="FO162" t="e">
        <f>IF(#REF!,"AAAAAD4ff6o=",0)</f>
        <v>#REF!</v>
      </c>
      <c r="FP162" t="e">
        <f>IF(#REF!,"AAAAAD4ff6s=",0)</f>
        <v>#REF!</v>
      </c>
      <c r="FQ162" t="e">
        <f>IF(#REF!,"AAAAAD4ff6w=",0)</f>
        <v>#REF!</v>
      </c>
      <c r="FR162" t="e">
        <f>IF(#REF!,"AAAAAD4ff60=",0)</f>
        <v>#REF!</v>
      </c>
      <c r="FS162" t="e">
        <f>IF(#REF!,"AAAAAD4ff64=",0)</f>
        <v>#REF!</v>
      </c>
      <c r="FT162" t="e">
        <f>IF(#REF!,"AAAAAD4ff68=",0)</f>
        <v>#REF!</v>
      </c>
      <c r="FU162" t="e">
        <f>IF(#REF!,"AAAAAD4ff7A=",0)</f>
        <v>#REF!</v>
      </c>
      <c r="FV162" t="e">
        <f>IF(#REF!,"AAAAAD4ff7E=",0)</f>
        <v>#REF!</v>
      </c>
      <c r="FW162" t="e">
        <f>IF(#REF!,"AAAAAD4ff7I=",0)</f>
        <v>#REF!</v>
      </c>
      <c r="FX162" t="e">
        <f>IF(#REF!,"AAAAAD4ff7M=",0)</f>
        <v>#REF!</v>
      </c>
      <c r="FY162" t="e">
        <f>IF(#REF!,"AAAAAD4ff7Q=",0)</f>
        <v>#REF!</v>
      </c>
      <c r="FZ162" t="e">
        <f>IF(#REF!,"AAAAAD4ff7U=",0)</f>
        <v>#REF!</v>
      </c>
      <c r="GA162" t="e">
        <f>IF(#REF!,"AAAAAD4ff7Y=",0)</f>
        <v>#REF!</v>
      </c>
      <c r="GB162" t="e">
        <f>IF(#REF!,"AAAAAD4ff7c=",0)</f>
        <v>#REF!</v>
      </c>
      <c r="GC162" t="e">
        <f>IF(#REF!,"AAAAAD4ff7g=",0)</f>
        <v>#REF!</v>
      </c>
      <c r="GD162" t="e">
        <f>IF(#REF!,"AAAAAD4ff7k=",0)</f>
        <v>#REF!</v>
      </c>
      <c r="GE162" t="e">
        <f>IF(#REF!,"AAAAAD4ff7o=",0)</f>
        <v>#REF!</v>
      </c>
      <c r="GF162" t="e">
        <f>IF(#REF!,"AAAAAD4ff7s=",0)</f>
        <v>#REF!</v>
      </c>
      <c r="GG162" t="e">
        <f>IF(#REF!,"AAAAAD4ff7w=",0)</f>
        <v>#REF!</v>
      </c>
      <c r="GH162" t="e">
        <f>IF(#REF!,"AAAAAD4ff70=",0)</f>
        <v>#REF!</v>
      </c>
      <c r="GI162" t="e">
        <f>IF(#REF!,"AAAAAD4ff74=",0)</f>
        <v>#REF!</v>
      </c>
      <c r="GJ162" t="e">
        <f>IF(#REF!,"AAAAAD4ff78=",0)</f>
        <v>#REF!</v>
      </c>
      <c r="GK162" t="e">
        <f>IF(#REF!,"AAAAAD4ff8A=",0)</f>
        <v>#REF!</v>
      </c>
      <c r="GL162" t="e">
        <f>IF(#REF!,"AAAAAD4ff8E=",0)</f>
        <v>#REF!</v>
      </c>
      <c r="GM162" t="e">
        <f>IF(#REF!,"AAAAAD4ff8I=",0)</f>
        <v>#REF!</v>
      </c>
      <c r="GN162" t="e">
        <f>IF(#REF!,"AAAAAD4ff8M=",0)</f>
        <v>#REF!</v>
      </c>
      <c r="GO162" t="e">
        <f>IF(#REF!,"AAAAAD4ff8Q=",0)</f>
        <v>#REF!</v>
      </c>
      <c r="GP162" t="e">
        <f>IF(#REF!,"AAAAAD4ff8U=",0)</f>
        <v>#REF!</v>
      </c>
      <c r="GQ162" t="e">
        <f>IF(#REF!,"AAAAAD4ff8Y=",0)</f>
        <v>#REF!</v>
      </c>
      <c r="GR162" t="e">
        <f>IF(#REF!,"AAAAAD4ff8c=",0)</f>
        <v>#REF!</v>
      </c>
      <c r="GS162" t="e">
        <f>IF(#REF!,"AAAAAD4ff8g=",0)</f>
        <v>#REF!</v>
      </c>
      <c r="GT162" t="e">
        <f>IF(#REF!,"AAAAAD4ff8k=",0)</f>
        <v>#REF!</v>
      </c>
      <c r="GU162" t="e">
        <f>IF(#REF!,"AAAAAD4ff8o=",0)</f>
        <v>#REF!</v>
      </c>
      <c r="GV162" t="e">
        <f>IF(#REF!,"AAAAAD4ff8s=",0)</f>
        <v>#REF!</v>
      </c>
      <c r="GW162" t="e">
        <f>IF(#REF!,"AAAAAD4ff8w=",0)</f>
        <v>#REF!</v>
      </c>
      <c r="GX162" t="e">
        <f>IF(#REF!,"AAAAAD4ff80=",0)</f>
        <v>#REF!</v>
      </c>
      <c r="GY162" t="e">
        <f>IF(#REF!,"AAAAAD4ff84=",0)</f>
        <v>#REF!</v>
      </c>
      <c r="GZ162" t="e">
        <f>IF(#REF!,"AAAAAD4ff88=",0)</f>
        <v>#REF!</v>
      </c>
      <c r="HA162" t="e">
        <f>IF(#REF!,"AAAAAD4ff9A=",0)</f>
        <v>#REF!</v>
      </c>
      <c r="HB162" t="e">
        <f>IF(#REF!,"AAAAAD4ff9E=",0)</f>
        <v>#REF!</v>
      </c>
      <c r="HC162" t="e">
        <f>IF(#REF!,"AAAAAD4ff9I=",0)</f>
        <v>#REF!</v>
      </c>
      <c r="HD162" t="e">
        <f>IF(#REF!,"AAAAAD4ff9M=",0)</f>
        <v>#REF!</v>
      </c>
      <c r="HE162" t="e">
        <f>IF(#REF!,"AAAAAD4ff9Q=",0)</f>
        <v>#REF!</v>
      </c>
      <c r="HF162" t="e">
        <f>IF(#REF!,"AAAAAD4ff9U=",0)</f>
        <v>#REF!</v>
      </c>
      <c r="HG162" t="e">
        <f>IF(#REF!,"AAAAAD4ff9Y=",0)</f>
        <v>#REF!</v>
      </c>
      <c r="HH162" t="e">
        <f>IF(#REF!,"AAAAAD4ff9c=",0)</f>
        <v>#REF!</v>
      </c>
      <c r="HI162" t="e">
        <f>IF(#REF!,"AAAAAD4ff9g=",0)</f>
        <v>#REF!</v>
      </c>
      <c r="HJ162" t="e">
        <f>IF(#REF!,"AAAAAD4ff9k=",0)</f>
        <v>#REF!</v>
      </c>
      <c r="HK162" t="e">
        <f>IF(#REF!,"AAAAAD4ff9o=",0)</f>
        <v>#REF!</v>
      </c>
      <c r="HL162" t="e">
        <f>IF(#REF!,"AAAAAD4ff9s=",0)</f>
        <v>#REF!</v>
      </c>
      <c r="HM162" t="e">
        <f>IF(#REF!,"AAAAAD4ff9w=",0)</f>
        <v>#REF!</v>
      </c>
      <c r="HN162" t="e">
        <f>IF(#REF!,"AAAAAD4ff90=",0)</f>
        <v>#REF!</v>
      </c>
      <c r="HO162" t="e">
        <f>IF(#REF!,"AAAAAD4ff94=",0)</f>
        <v>#REF!</v>
      </c>
      <c r="HP162" t="e">
        <f>IF(#REF!,"AAAAAD4ff98=",0)</f>
        <v>#REF!</v>
      </c>
      <c r="HQ162" t="e">
        <f>IF(#REF!,"AAAAAD4ff+A=",0)</f>
        <v>#REF!</v>
      </c>
      <c r="HR162" t="e">
        <f>IF(#REF!,"AAAAAD4ff+E=",0)</f>
        <v>#REF!</v>
      </c>
      <c r="HS162" t="e">
        <f>IF(#REF!,"AAAAAD4ff+I=",0)</f>
        <v>#REF!</v>
      </c>
      <c r="HT162" t="e">
        <f>IF(#REF!,"AAAAAD4ff+M=",0)</f>
        <v>#REF!</v>
      </c>
      <c r="HU162" t="e">
        <f>IF(#REF!,"AAAAAD4ff+Q=",0)</f>
        <v>#REF!</v>
      </c>
      <c r="HV162" t="e">
        <f>IF(#REF!,"AAAAAD4ff+U=",0)</f>
        <v>#REF!</v>
      </c>
      <c r="HW162" t="e">
        <f>IF(#REF!,"AAAAAD4ff+Y=",0)</f>
        <v>#REF!</v>
      </c>
      <c r="HX162" t="e">
        <f>IF(#REF!,"AAAAAD4ff+c=",0)</f>
        <v>#REF!</v>
      </c>
      <c r="HY162" t="e">
        <f>IF(#REF!,"AAAAAD4ff+g=",0)</f>
        <v>#REF!</v>
      </c>
      <c r="HZ162" t="e">
        <f>IF(#REF!,"AAAAAD4ff+k=",0)</f>
        <v>#REF!</v>
      </c>
      <c r="IA162" t="e">
        <f>IF(#REF!,"AAAAAD4ff+o=",0)</f>
        <v>#REF!</v>
      </c>
      <c r="IB162" t="e">
        <f>IF(#REF!,"AAAAAD4ff+s=",0)</f>
        <v>#REF!</v>
      </c>
      <c r="IC162" t="e">
        <f>IF(#REF!,"AAAAAD4ff+w=",0)</f>
        <v>#REF!</v>
      </c>
      <c r="ID162" t="e">
        <f>IF(#REF!,"AAAAAD4ff+0=",0)</f>
        <v>#REF!</v>
      </c>
      <c r="IE162" t="e">
        <f>IF(#REF!,"AAAAAD4ff+4=",0)</f>
        <v>#REF!</v>
      </c>
      <c r="IF162" t="e">
        <f>IF(#REF!,"AAAAAD4ff+8=",0)</f>
        <v>#REF!</v>
      </c>
      <c r="IG162" t="e">
        <f>IF(#REF!,"AAAAAD4ff/A=",0)</f>
        <v>#REF!</v>
      </c>
      <c r="IH162" t="e">
        <f>IF(#REF!,"AAAAAD4ff/E=",0)</f>
        <v>#REF!</v>
      </c>
      <c r="II162" t="e">
        <f>IF(#REF!,"AAAAAD4ff/I=",0)</f>
        <v>#REF!</v>
      </c>
      <c r="IJ162" t="e">
        <f>IF(#REF!,"AAAAAD4ff/M=",0)</f>
        <v>#REF!</v>
      </c>
      <c r="IK162" t="e">
        <f>IF(#REF!,"AAAAAD4ff/Q=",0)</f>
        <v>#REF!</v>
      </c>
      <c r="IL162" t="e">
        <f>IF(#REF!,"AAAAAD4ff/U=",0)</f>
        <v>#REF!</v>
      </c>
      <c r="IM162" t="e">
        <f>IF(#REF!,"AAAAAD4ff/Y=",0)</f>
        <v>#REF!</v>
      </c>
      <c r="IN162" t="e">
        <f>IF(#REF!,"AAAAAD4ff/c=",0)</f>
        <v>#REF!</v>
      </c>
      <c r="IO162" t="e">
        <f>IF(#REF!,"AAAAAD4ff/g=",0)</f>
        <v>#REF!</v>
      </c>
      <c r="IP162" t="e">
        <f>IF(#REF!,"AAAAAD4ff/k=",0)</f>
        <v>#REF!</v>
      </c>
      <c r="IQ162" t="e">
        <f>IF(#REF!,"AAAAAD4ff/o=",0)</f>
        <v>#REF!</v>
      </c>
      <c r="IR162" t="e">
        <f>IF(#REF!,"AAAAAD4ff/s=",0)</f>
        <v>#REF!</v>
      </c>
      <c r="IS162" t="e">
        <f>IF(#REF!,"AAAAAD4ff/w=",0)</f>
        <v>#REF!</v>
      </c>
      <c r="IT162" t="e">
        <f>IF(#REF!,"AAAAAD4ff/0=",0)</f>
        <v>#REF!</v>
      </c>
      <c r="IU162" t="e">
        <f>IF(#REF!,"AAAAAD4ff/4=",0)</f>
        <v>#REF!</v>
      </c>
      <c r="IV162" t="e">
        <f>IF(#REF!,"AAAAAD4ff/8=",0)</f>
        <v>#REF!</v>
      </c>
    </row>
    <row r="163" spans="1:256" x14ac:dyDescent="0.2">
      <c r="A163" t="e">
        <f>IF(#REF!,"AAAAAH3//wA=",0)</f>
        <v>#REF!</v>
      </c>
      <c r="B163" t="e">
        <f>IF(#REF!,"AAAAAH3//wE=",0)</f>
        <v>#REF!</v>
      </c>
      <c r="C163" t="e">
        <f>IF(#REF!,"AAAAAH3//wI=",0)</f>
        <v>#REF!</v>
      </c>
      <c r="D163" t="e">
        <f>IF(#REF!,"AAAAAH3//wM=",0)</f>
        <v>#REF!</v>
      </c>
      <c r="E163" t="e">
        <f>IF(#REF!,"AAAAAH3//wQ=",0)</f>
        <v>#REF!</v>
      </c>
      <c r="F163" t="e">
        <f>IF(#REF!,"AAAAAH3//wU=",0)</f>
        <v>#REF!</v>
      </c>
      <c r="G163" t="e">
        <f>IF(#REF!,"AAAAAH3//wY=",0)</f>
        <v>#REF!</v>
      </c>
      <c r="H163" t="e">
        <f>IF(#REF!,"AAAAAH3//wc=",0)</f>
        <v>#REF!</v>
      </c>
      <c r="I163" t="e">
        <f>IF(#REF!,"AAAAAH3//wg=",0)</f>
        <v>#REF!</v>
      </c>
      <c r="J163" t="e">
        <f>IF(#REF!,"AAAAAH3//wk=",0)</f>
        <v>#REF!</v>
      </c>
      <c r="K163" t="e">
        <f>IF(#REF!,"AAAAAH3//wo=",0)</f>
        <v>#REF!</v>
      </c>
      <c r="L163" t="e">
        <f>IF(#REF!,"AAAAAH3//ws=",0)</f>
        <v>#REF!</v>
      </c>
      <c r="M163" t="e">
        <f>IF(#REF!,"AAAAAH3//ww=",0)</f>
        <v>#REF!</v>
      </c>
      <c r="N163" t="e">
        <f>IF(#REF!,"AAAAAH3//w0=",0)</f>
        <v>#REF!</v>
      </c>
      <c r="O163" t="e">
        <f>IF(#REF!,"AAAAAH3//w4=",0)</f>
        <v>#REF!</v>
      </c>
      <c r="P163" t="e">
        <f>IF(#REF!,"AAAAAH3//w8=",0)</f>
        <v>#REF!</v>
      </c>
      <c r="Q163" t="e">
        <f>IF(#REF!,"AAAAAH3//xA=",0)</f>
        <v>#REF!</v>
      </c>
      <c r="R163" t="e">
        <f>IF(#REF!,"AAAAAH3//xE=",0)</f>
        <v>#REF!</v>
      </c>
      <c r="S163" t="e">
        <f>IF(#REF!,"AAAAAH3//xI=",0)</f>
        <v>#REF!</v>
      </c>
      <c r="T163" t="e">
        <f>IF(#REF!,"AAAAAH3//xM=",0)</f>
        <v>#REF!</v>
      </c>
      <c r="U163" t="e">
        <f>IF(#REF!,"AAAAAH3//xQ=",0)</f>
        <v>#REF!</v>
      </c>
      <c r="V163" t="e">
        <f>IF(#REF!,"AAAAAH3//xU=",0)</f>
        <v>#REF!</v>
      </c>
      <c r="W163" t="e">
        <f>IF(#REF!,"AAAAAH3//xY=",0)</f>
        <v>#REF!</v>
      </c>
      <c r="X163" t="e">
        <f>IF(#REF!,"AAAAAH3//xc=",0)</f>
        <v>#REF!</v>
      </c>
      <c r="Y163" t="e">
        <f>IF(#REF!,"AAAAAH3//xg=",0)</f>
        <v>#REF!</v>
      </c>
      <c r="Z163" t="e">
        <f>IF(#REF!,"AAAAAH3//xk=",0)</f>
        <v>#REF!</v>
      </c>
      <c r="AA163" t="e">
        <f>IF(#REF!,"AAAAAH3//xo=",0)</f>
        <v>#REF!</v>
      </c>
      <c r="AB163" t="e">
        <f>IF(#REF!,"AAAAAH3//xs=",0)</f>
        <v>#REF!</v>
      </c>
      <c r="AC163" t="e">
        <f>IF(#REF!,"AAAAAH3//xw=",0)</f>
        <v>#REF!</v>
      </c>
      <c r="AD163" t="e">
        <f>IF(#REF!,"AAAAAH3//x0=",0)</f>
        <v>#REF!</v>
      </c>
      <c r="AE163" t="e">
        <f>IF(#REF!,"AAAAAH3//x4=",0)</f>
        <v>#REF!</v>
      </c>
      <c r="AF163" t="e">
        <f>IF(#REF!,"AAAAAH3//x8=",0)</f>
        <v>#REF!</v>
      </c>
      <c r="AG163" t="e">
        <f>IF(#REF!,"AAAAAH3//yA=",0)</f>
        <v>#REF!</v>
      </c>
      <c r="AH163" t="e">
        <f>IF(#REF!,"AAAAAH3//yE=",0)</f>
        <v>#REF!</v>
      </c>
      <c r="AI163" t="e">
        <f>IF(#REF!,"AAAAAH3//yI=",0)</f>
        <v>#REF!</v>
      </c>
      <c r="AJ163" t="e">
        <f>IF(#REF!,"AAAAAH3//yM=",0)</f>
        <v>#REF!</v>
      </c>
      <c r="AK163" t="e">
        <f>IF(#REF!,"AAAAAH3//yQ=",0)</f>
        <v>#REF!</v>
      </c>
      <c r="AL163" t="e">
        <f>IF(#REF!,"AAAAAH3//yU=",0)</f>
        <v>#REF!</v>
      </c>
      <c r="AM163" t="e">
        <f>IF(#REF!,"AAAAAH3//yY=",0)</f>
        <v>#REF!</v>
      </c>
      <c r="AN163" t="e">
        <f>IF(#REF!,"AAAAAH3//yc=",0)</f>
        <v>#REF!</v>
      </c>
      <c r="AO163" t="e">
        <f>IF(#REF!,"AAAAAH3//yg=",0)</f>
        <v>#REF!</v>
      </c>
      <c r="AP163" t="e">
        <f>IF(#REF!,"AAAAAH3//yk=",0)</f>
        <v>#REF!</v>
      </c>
      <c r="AQ163" t="e">
        <f>IF(#REF!,"AAAAAH3//yo=",0)</f>
        <v>#REF!</v>
      </c>
      <c r="AR163" t="e">
        <f>IF(#REF!,"AAAAAH3//ys=",0)</f>
        <v>#REF!</v>
      </c>
      <c r="AS163" t="e">
        <f>IF(#REF!,"AAAAAH3//yw=",0)</f>
        <v>#REF!</v>
      </c>
      <c r="AT163" t="e">
        <f>IF(#REF!,"AAAAAH3//y0=",0)</f>
        <v>#REF!</v>
      </c>
      <c r="AU163" t="e">
        <f>IF(#REF!,"AAAAAH3//y4=",0)</f>
        <v>#REF!</v>
      </c>
      <c r="AV163" t="e">
        <f>IF(#REF!,"AAAAAH3//y8=",0)</f>
        <v>#REF!</v>
      </c>
      <c r="AW163" t="e">
        <f>IF(#REF!,"AAAAAH3//zA=",0)</f>
        <v>#REF!</v>
      </c>
      <c r="AX163" t="e">
        <f>IF(#REF!,"AAAAAH3//zE=",0)</f>
        <v>#REF!</v>
      </c>
      <c r="AY163" t="e">
        <f>IF(#REF!,"AAAAAH3//zI=",0)</f>
        <v>#REF!</v>
      </c>
      <c r="AZ163" t="e">
        <f>IF(#REF!,"AAAAAH3//zM=",0)</f>
        <v>#REF!</v>
      </c>
      <c r="BA163" t="e">
        <f>IF(#REF!,"AAAAAH3//zQ=",0)</f>
        <v>#REF!</v>
      </c>
      <c r="BB163" t="e">
        <f>IF(#REF!,"AAAAAH3//zU=",0)</f>
        <v>#REF!</v>
      </c>
      <c r="BC163" t="e">
        <f>IF(#REF!,"AAAAAH3//zY=",0)</f>
        <v>#REF!</v>
      </c>
      <c r="BD163" t="e">
        <f>IF(#REF!,"AAAAAH3//zc=",0)</f>
        <v>#REF!</v>
      </c>
      <c r="BE163" t="e">
        <f>IF(#REF!,"AAAAAH3//zg=",0)</f>
        <v>#REF!</v>
      </c>
      <c r="BF163" t="e">
        <f>IF(#REF!,"AAAAAH3//zk=",0)</f>
        <v>#REF!</v>
      </c>
      <c r="BG163" t="e">
        <f>IF(#REF!,"AAAAAH3//zo=",0)</f>
        <v>#REF!</v>
      </c>
      <c r="BH163" t="e">
        <f>IF(#REF!,"AAAAAH3//zs=",0)</f>
        <v>#REF!</v>
      </c>
      <c r="BI163" t="e">
        <f>IF(#REF!,"AAAAAH3//zw=",0)</f>
        <v>#REF!</v>
      </c>
      <c r="BJ163" t="e">
        <f>IF(#REF!,"AAAAAH3//z0=",0)</f>
        <v>#REF!</v>
      </c>
      <c r="BK163" t="e">
        <f>IF(#REF!,"AAAAAH3//z4=",0)</f>
        <v>#REF!</v>
      </c>
      <c r="BL163" t="e">
        <f>IF(#REF!,"AAAAAH3//z8=",0)</f>
        <v>#REF!</v>
      </c>
      <c r="BM163" t="e">
        <f>IF(#REF!,"AAAAAH3//0A=",0)</f>
        <v>#REF!</v>
      </c>
      <c r="BN163" t="e">
        <f>IF(#REF!,"AAAAAH3//0E=",0)</f>
        <v>#REF!</v>
      </c>
      <c r="BO163" t="e">
        <f>IF(#REF!,"AAAAAH3//0I=",0)</f>
        <v>#REF!</v>
      </c>
      <c r="BP163" t="e">
        <f>IF(#REF!,"AAAAAH3//0M=",0)</f>
        <v>#REF!</v>
      </c>
      <c r="BQ163" t="e">
        <f>IF(#REF!,"AAAAAH3//0Q=",0)</f>
        <v>#REF!</v>
      </c>
      <c r="BR163" t="e">
        <f>IF(#REF!,"AAAAAH3//0U=",0)</f>
        <v>#REF!</v>
      </c>
      <c r="BS163" t="e">
        <f>IF(#REF!,"AAAAAH3//0Y=",0)</f>
        <v>#REF!</v>
      </c>
      <c r="BT163" t="e">
        <f>IF(#REF!,"AAAAAH3//0c=",0)</f>
        <v>#REF!</v>
      </c>
      <c r="BU163" t="e">
        <f>IF(#REF!,"AAAAAH3//0g=",0)</f>
        <v>#REF!</v>
      </c>
      <c r="BV163" t="e">
        <f>IF(#REF!,"AAAAAH3//0k=",0)</f>
        <v>#REF!</v>
      </c>
      <c r="BW163" t="e">
        <f>IF(#REF!,"AAAAAH3//0o=",0)</f>
        <v>#REF!</v>
      </c>
      <c r="BX163" t="e">
        <f>IF(#REF!,"AAAAAH3//0s=",0)</f>
        <v>#REF!</v>
      </c>
      <c r="BY163" t="e">
        <f>IF(#REF!,"AAAAAH3//0w=",0)</f>
        <v>#REF!</v>
      </c>
      <c r="BZ163" t="e">
        <f>IF(#REF!,"AAAAAH3//00=",0)</f>
        <v>#REF!</v>
      </c>
      <c r="CA163" t="e">
        <f>IF(#REF!,"AAAAAH3//04=",0)</f>
        <v>#REF!</v>
      </c>
      <c r="CB163" t="e">
        <f>IF(#REF!,"AAAAAH3//08=",0)</f>
        <v>#REF!</v>
      </c>
      <c r="CC163" t="e">
        <f>IF(#REF!,"AAAAAH3//1A=",0)</f>
        <v>#REF!</v>
      </c>
      <c r="CD163" t="e">
        <f>IF(#REF!,"AAAAAH3//1E=",0)</f>
        <v>#REF!</v>
      </c>
      <c r="CE163" t="e">
        <f>IF(#REF!,"AAAAAH3//1I=",0)</f>
        <v>#REF!</v>
      </c>
      <c r="CF163" t="e">
        <f>IF(#REF!,"AAAAAH3//1M=",0)</f>
        <v>#REF!</v>
      </c>
      <c r="CG163" t="e">
        <f>IF(#REF!,"AAAAAH3//1Q=",0)</f>
        <v>#REF!</v>
      </c>
      <c r="CH163" t="e">
        <f>IF(#REF!,"AAAAAH3//1U=",0)</f>
        <v>#REF!</v>
      </c>
      <c r="CI163" t="e">
        <f>IF(#REF!,"AAAAAH3//1Y=",0)</f>
        <v>#REF!</v>
      </c>
      <c r="CJ163" t="e">
        <f>IF(#REF!,"AAAAAH3//1c=",0)</f>
        <v>#REF!</v>
      </c>
      <c r="CK163" t="e">
        <f>IF(#REF!,"AAAAAH3//1g=",0)</f>
        <v>#REF!</v>
      </c>
      <c r="CL163" t="e">
        <f>IF(#REF!,"AAAAAH3//1k=",0)</f>
        <v>#REF!</v>
      </c>
      <c r="CM163" t="e">
        <f>IF(#REF!,"AAAAAH3//1o=",0)</f>
        <v>#REF!</v>
      </c>
      <c r="CN163" t="e">
        <f>IF(#REF!,"AAAAAH3//1s=",0)</f>
        <v>#REF!</v>
      </c>
      <c r="CO163" t="e">
        <f>IF(#REF!,"AAAAAH3//1w=",0)</f>
        <v>#REF!</v>
      </c>
      <c r="CP163" t="e">
        <f>IF(#REF!,"AAAAAH3//10=",0)</f>
        <v>#REF!</v>
      </c>
      <c r="CQ163" t="e">
        <f>IF(#REF!,"AAAAAH3//14=",0)</f>
        <v>#REF!</v>
      </c>
      <c r="CR163" t="e">
        <f>IF(#REF!,"AAAAAH3//18=",0)</f>
        <v>#REF!</v>
      </c>
      <c r="CS163" t="e">
        <f>IF(#REF!,"AAAAAH3//2A=",0)</f>
        <v>#REF!</v>
      </c>
      <c r="CT163" t="e">
        <f>IF(#REF!,"AAAAAH3//2E=",0)</f>
        <v>#REF!</v>
      </c>
      <c r="CU163" t="e">
        <f>IF(#REF!,"AAAAAH3//2I=",0)</f>
        <v>#REF!</v>
      </c>
      <c r="CV163" t="e">
        <f>IF(#REF!,"AAAAAH3//2M=",0)</f>
        <v>#REF!</v>
      </c>
      <c r="CW163" t="e">
        <f>IF(#REF!,"AAAAAH3//2Q=",0)</f>
        <v>#REF!</v>
      </c>
      <c r="CX163" t="e">
        <f>IF(#REF!,"AAAAAH3//2U=",0)</f>
        <v>#REF!</v>
      </c>
      <c r="CY163" t="e">
        <f>IF(#REF!,"AAAAAH3//2Y=",0)</f>
        <v>#REF!</v>
      </c>
      <c r="CZ163" t="e">
        <f>IF(#REF!,"AAAAAH3//2c=",0)</f>
        <v>#REF!</v>
      </c>
      <c r="DA163" t="e">
        <f>IF(#REF!,"AAAAAH3//2g=",0)</f>
        <v>#REF!</v>
      </c>
      <c r="DB163" t="e">
        <f>IF(#REF!,"AAAAAH3//2k=",0)</f>
        <v>#REF!</v>
      </c>
      <c r="DC163" t="e">
        <f>IF(#REF!,"AAAAAH3//2o=",0)</f>
        <v>#REF!</v>
      </c>
      <c r="DD163" t="e">
        <f>IF(#REF!,"AAAAAH3//2s=",0)</f>
        <v>#REF!</v>
      </c>
      <c r="DE163" t="e">
        <f>IF(#REF!,"AAAAAH3//2w=",0)</f>
        <v>#REF!</v>
      </c>
      <c r="DF163" t="e">
        <f>IF(#REF!,"AAAAAH3//20=",0)</f>
        <v>#REF!</v>
      </c>
      <c r="DG163" t="e">
        <f>IF(#REF!,"AAAAAH3//24=",0)</f>
        <v>#REF!</v>
      </c>
      <c r="DH163" t="e">
        <f>IF(#REF!,"AAAAAH3//28=",0)</f>
        <v>#REF!</v>
      </c>
      <c r="DI163" t="e">
        <f>IF(#REF!,"AAAAAH3//3A=",0)</f>
        <v>#REF!</v>
      </c>
      <c r="DJ163" t="e">
        <f>IF(#REF!,"AAAAAH3//3E=",0)</f>
        <v>#REF!</v>
      </c>
      <c r="DK163" t="e">
        <f>IF(#REF!,"AAAAAH3//3I=",0)</f>
        <v>#REF!</v>
      </c>
      <c r="DL163" t="e">
        <f>IF(#REF!,"AAAAAH3//3M=",0)</f>
        <v>#REF!</v>
      </c>
      <c r="DM163" t="e">
        <f>IF(#REF!,"AAAAAH3//3Q=",0)</f>
        <v>#REF!</v>
      </c>
      <c r="DN163" t="e">
        <f>IF(#REF!,"AAAAAH3//3U=",0)</f>
        <v>#REF!</v>
      </c>
      <c r="DO163" t="e">
        <f>IF(#REF!,"AAAAAH3//3Y=",0)</f>
        <v>#REF!</v>
      </c>
      <c r="DP163" t="e">
        <f>IF(#REF!,"AAAAAH3//3c=",0)</f>
        <v>#REF!</v>
      </c>
      <c r="DQ163" t="e">
        <f>IF(#REF!,"AAAAAH3//3g=",0)</f>
        <v>#REF!</v>
      </c>
      <c r="DR163" t="e">
        <f>IF(#REF!,"AAAAAH3//3k=",0)</f>
        <v>#REF!</v>
      </c>
      <c r="DS163" t="e">
        <f>IF(#REF!,"AAAAAH3//3o=",0)</f>
        <v>#REF!</v>
      </c>
      <c r="DT163" t="e">
        <f>IF(#REF!,"AAAAAH3//3s=",0)</f>
        <v>#REF!</v>
      </c>
      <c r="DU163" t="e">
        <f>IF(#REF!,"AAAAAH3//3w=",0)</f>
        <v>#REF!</v>
      </c>
      <c r="DV163" t="e">
        <f>IF(#REF!,"AAAAAH3//30=",0)</f>
        <v>#REF!</v>
      </c>
      <c r="DW163" t="e">
        <f>IF(#REF!,"AAAAAH3//34=",0)</f>
        <v>#REF!</v>
      </c>
      <c r="DX163" t="e">
        <f>IF(#REF!,"AAAAAH3//38=",0)</f>
        <v>#REF!</v>
      </c>
      <c r="DY163" t="e">
        <f>IF(#REF!,"AAAAAH3//4A=",0)</f>
        <v>#REF!</v>
      </c>
      <c r="DZ163" t="e">
        <f>IF(#REF!,"AAAAAH3//4E=",0)</f>
        <v>#REF!</v>
      </c>
      <c r="EA163" t="e">
        <f>IF(#REF!,"AAAAAH3//4I=",0)</f>
        <v>#REF!</v>
      </c>
      <c r="EB163" t="e">
        <f>IF(#REF!,"AAAAAH3//4M=",0)</f>
        <v>#REF!</v>
      </c>
      <c r="EC163" t="e">
        <f>IF(#REF!,"AAAAAH3//4Q=",0)</f>
        <v>#REF!</v>
      </c>
      <c r="ED163" t="e">
        <f>IF(#REF!,"AAAAAH3//4U=",0)</f>
        <v>#REF!</v>
      </c>
      <c r="EE163" t="e">
        <f>IF(#REF!,"AAAAAH3//4Y=",0)</f>
        <v>#REF!</v>
      </c>
      <c r="EF163" t="e">
        <f>IF(#REF!,"AAAAAH3//4c=",0)</f>
        <v>#REF!</v>
      </c>
      <c r="EG163" t="e">
        <f>IF(#REF!,"AAAAAH3//4g=",0)</f>
        <v>#REF!</v>
      </c>
      <c r="EH163" t="e">
        <f>IF(#REF!,"AAAAAH3//4k=",0)</f>
        <v>#REF!</v>
      </c>
      <c r="EI163" t="e">
        <f>IF(#REF!,"AAAAAH3//4o=",0)</f>
        <v>#REF!</v>
      </c>
      <c r="EJ163" t="e">
        <f>IF(#REF!,"AAAAAH3//4s=",0)</f>
        <v>#REF!</v>
      </c>
      <c r="EK163" t="e">
        <f>IF(#REF!,"AAAAAH3//4w=",0)</f>
        <v>#REF!</v>
      </c>
      <c r="EL163" t="e">
        <f>IF(#REF!,"AAAAAH3//40=",0)</f>
        <v>#REF!</v>
      </c>
      <c r="EM163" t="e">
        <f>IF(#REF!,"AAAAAH3//44=",0)</f>
        <v>#REF!</v>
      </c>
      <c r="EN163" t="e">
        <f>IF(#REF!,"AAAAAH3//48=",0)</f>
        <v>#REF!</v>
      </c>
      <c r="EO163" t="e">
        <f>IF(#REF!,"AAAAAH3//5A=",0)</f>
        <v>#REF!</v>
      </c>
      <c r="EP163" t="e">
        <f>IF(#REF!,"AAAAAH3//5E=",0)</f>
        <v>#REF!</v>
      </c>
      <c r="EQ163" t="e">
        <f>IF(#REF!,"AAAAAH3//5I=",0)</f>
        <v>#REF!</v>
      </c>
      <c r="ER163" t="e">
        <f>IF(#REF!,"AAAAAH3//5M=",0)</f>
        <v>#REF!</v>
      </c>
      <c r="ES163" t="e">
        <f>IF(#REF!,"AAAAAH3//5Q=",0)</f>
        <v>#REF!</v>
      </c>
      <c r="ET163" t="e">
        <f>IF(#REF!,"AAAAAH3//5U=",0)</f>
        <v>#REF!</v>
      </c>
      <c r="EU163" t="e">
        <f>IF(#REF!,"AAAAAH3//5Y=",0)</f>
        <v>#REF!</v>
      </c>
      <c r="EV163" t="e">
        <f>IF(#REF!,"AAAAAH3//5c=",0)</f>
        <v>#REF!</v>
      </c>
      <c r="EW163" t="e">
        <f>IF(#REF!,"AAAAAH3//5g=",0)</f>
        <v>#REF!</v>
      </c>
      <c r="EX163" t="e">
        <f>IF(#REF!,"AAAAAH3//5k=",0)</f>
        <v>#REF!</v>
      </c>
      <c r="EY163" t="e">
        <f>IF(#REF!,"AAAAAH3//5o=",0)</f>
        <v>#REF!</v>
      </c>
      <c r="EZ163" t="e">
        <f>IF(#REF!,"AAAAAH3//5s=",0)</f>
        <v>#REF!</v>
      </c>
      <c r="FA163" t="e">
        <f>IF(#REF!,"AAAAAH3//5w=",0)</f>
        <v>#REF!</v>
      </c>
      <c r="FB163" t="e">
        <f>IF(#REF!,"AAAAAH3//50=",0)</f>
        <v>#REF!</v>
      </c>
      <c r="FC163" t="e">
        <f>IF(#REF!,"AAAAAH3//54=",0)</f>
        <v>#REF!</v>
      </c>
      <c r="FD163" t="e">
        <f>IF(#REF!,"AAAAAH3//58=",0)</f>
        <v>#REF!</v>
      </c>
      <c r="FE163" t="e">
        <f>IF(#REF!,"AAAAAH3//6A=",0)</f>
        <v>#REF!</v>
      </c>
      <c r="FF163" t="e">
        <f>IF(#REF!,"AAAAAH3//6E=",0)</f>
        <v>#REF!</v>
      </c>
      <c r="FG163" t="e">
        <f>IF(#REF!,"AAAAAH3//6I=",0)</f>
        <v>#REF!</v>
      </c>
      <c r="FH163" t="e">
        <f>IF(#REF!,"AAAAAH3//6M=",0)</f>
        <v>#REF!</v>
      </c>
      <c r="FI163" t="e">
        <f>IF(#REF!,"AAAAAH3//6Q=",0)</f>
        <v>#REF!</v>
      </c>
      <c r="FJ163" t="e">
        <f>IF(#REF!,"AAAAAH3//6U=",0)</f>
        <v>#REF!</v>
      </c>
      <c r="FK163" t="e">
        <f>IF(#REF!,"AAAAAH3//6Y=",0)</f>
        <v>#REF!</v>
      </c>
      <c r="FL163" t="e">
        <f>IF(#REF!,"AAAAAH3//6c=",0)</f>
        <v>#REF!</v>
      </c>
      <c r="FM163" t="e">
        <f>IF(#REF!,"AAAAAH3//6g=",0)</f>
        <v>#REF!</v>
      </c>
      <c r="FN163" t="e">
        <f>IF(#REF!,"AAAAAH3//6k=",0)</f>
        <v>#REF!</v>
      </c>
      <c r="FO163" t="e">
        <f>IF(#REF!,"AAAAAH3//6o=",0)</f>
        <v>#REF!</v>
      </c>
      <c r="FP163" t="e">
        <f>IF(#REF!,"AAAAAH3//6s=",0)</f>
        <v>#REF!</v>
      </c>
      <c r="FQ163" t="e">
        <f>IF(#REF!,"AAAAAH3//6w=",0)</f>
        <v>#REF!</v>
      </c>
      <c r="FR163" t="e">
        <f>IF(#REF!,"AAAAAH3//60=",0)</f>
        <v>#REF!</v>
      </c>
      <c r="FS163" t="e">
        <f>IF(#REF!,"AAAAAH3//64=",0)</f>
        <v>#REF!</v>
      </c>
      <c r="FT163" t="e">
        <f>IF(#REF!,"AAAAAH3//68=",0)</f>
        <v>#REF!</v>
      </c>
      <c r="FU163" t="e">
        <f>IF(#REF!,"AAAAAH3//7A=",0)</f>
        <v>#REF!</v>
      </c>
      <c r="FV163" t="e">
        <f>IF(#REF!,"AAAAAH3//7E=",0)</f>
        <v>#REF!</v>
      </c>
      <c r="FW163" t="e">
        <f>IF(#REF!,"AAAAAH3//7I=",0)</f>
        <v>#REF!</v>
      </c>
      <c r="FX163" t="e">
        <f>IF(#REF!,"AAAAAH3//7M=",0)</f>
        <v>#REF!</v>
      </c>
      <c r="FY163" t="e">
        <f>IF(#REF!,"AAAAAH3//7Q=",0)</f>
        <v>#REF!</v>
      </c>
      <c r="FZ163" t="e">
        <f>IF(#REF!,"AAAAAH3//7U=",0)</f>
        <v>#REF!</v>
      </c>
      <c r="GA163" t="e">
        <f>IF(#REF!,"AAAAAH3//7Y=",0)</f>
        <v>#REF!</v>
      </c>
      <c r="GB163" t="e">
        <f>IF(#REF!,"AAAAAH3//7c=",0)</f>
        <v>#REF!</v>
      </c>
      <c r="GC163" t="e">
        <f>IF(#REF!,"AAAAAH3//7g=",0)</f>
        <v>#REF!</v>
      </c>
      <c r="GD163" t="e">
        <f>IF(#REF!,"AAAAAH3//7k=",0)</f>
        <v>#REF!</v>
      </c>
      <c r="GE163" t="e">
        <f>IF(#REF!,"AAAAAH3//7o=",0)</f>
        <v>#REF!</v>
      </c>
      <c r="GF163" t="e">
        <f>IF(#REF!,"AAAAAH3//7s=",0)</f>
        <v>#REF!</v>
      </c>
      <c r="GG163" t="e">
        <f>IF(#REF!,"AAAAAH3//7w=",0)</f>
        <v>#REF!</v>
      </c>
      <c r="GH163" t="e">
        <f>IF(#REF!,"AAAAAH3//70=",0)</f>
        <v>#REF!</v>
      </c>
      <c r="GI163" t="e">
        <f>IF(#REF!,"AAAAAH3//74=",0)</f>
        <v>#REF!</v>
      </c>
      <c r="GJ163" t="e">
        <f>IF(#REF!,"AAAAAH3//78=",0)</f>
        <v>#REF!</v>
      </c>
      <c r="GK163" t="e">
        <f>IF(#REF!,"AAAAAH3//8A=",0)</f>
        <v>#REF!</v>
      </c>
      <c r="GL163" t="e">
        <f>IF(#REF!,"AAAAAH3//8E=",0)</f>
        <v>#REF!</v>
      </c>
      <c r="GM163" t="e">
        <f>IF(#REF!,"AAAAAH3//8I=",0)</f>
        <v>#REF!</v>
      </c>
      <c r="GN163" t="e">
        <f>IF(#REF!,"AAAAAH3//8M=",0)</f>
        <v>#REF!</v>
      </c>
      <c r="GO163" t="e">
        <f>IF(#REF!,"AAAAAH3//8Q=",0)</f>
        <v>#REF!</v>
      </c>
      <c r="GP163" t="e">
        <f>IF(#REF!,"AAAAAH3//8U=",0)</f>
        <v>#REF!</v>
      </c>
      <c r="GQ163" t="e">
        <f>IF(#REF!,"AAAAAH3//8Y=",0)</f>
        <v>#REF!</v>
      </c>
      <c r="GR163" t="e">
        <f>IF(#REF!,"AAAAAH3//8c=",0)</f>
        <v>#REF!</v>
      </c>
      <c r="GS163" t="e">
        <f>IF(#REF!,"AAAAAH3//8g=",0)</f>
        <v>#REF!</v>
      </c>
      <c r="GT163" t="e">
        <f>IF(#REF!,"AAAAAH3//8k=",0)</f>
        <v>#REF!</v>
      </c>
      <c r="GU163" t="e">
        <f>IF(#REF!,"AAAAAH3//8o=",0)</f>
        <v>#REF!</v>
      </c>
      <c r="GV163" t="e">
        <f>IF(#REF!,"AAAAAH3//8s=",0)</f>
        <v>#REF!</v>
      </c>
      <c r="GW163" t="e">
        <f>IF(#REF!,"AAAAAH3//8w=",0)</f>
        <v>#REF!</v>
      </c>
      <c r="GX163" t="e">
        <f>IF(#REF!,"AAAAAH3//80=",0)</f>
        <v>#REF!</v>
      </c>
      <c r="GY163" t="e">
        <f>IF(#REF!,"AAAAAH3//84=",0)</f>
        <v>#REF!</v>
      </c>
      <c r="GZ163" t="e">
        <f>IF(#REF!,"AAAAAH3//88=",0)</f>
        <v>#REF!</v>
      </c>
      <c r="HA163" t="e">
        <f>IF(#REF!,"AAAAAH3//9A=",0)</f>
        <v>#REF!</v>
      </c>
      <c r="HB163" t="e">
        <f>IF(#REF!,"AAAAAH3//9E=",0)</f>
        <v>#REF!</v>
      </c>
      <c r="HC163" t="e">
        <f>IF(#REF!,"AAAAAH3//9I=",0)</f>
        <v>#REF!</v>
      </c>
      <c r="HD163" t="e">
        <f>IF(#REF!,"AAAAAH3//9M=",0)</f>
        <v>#REF!</v>
      </c>
      <c r="HE163" t="e">
        <f>IF(#REF!,"AAAAAH3//9Q=",0)</f>
        <v>#REF!</v>
      </c>
      <c r="HF163" t="e">
        <f>IF(#REF!,"AAAAAH3//9U=",0)</f>
        <v>#REF!</v>
      </c>
      <c r="HG163" t="e">
        <f>IF(#REF!,"AAAAAH3//9Y=",0)</f>
        <v>#REF!</v>
      </c>
      <c r="HH163" t="e">
        <f>IF(#REF!,"AAAAAH3//9c=",0)</f>
        <v>#REF!</v>
      </c>
      <c r="HI163" t="e">
        <f>IF(#REF!,"AAAAAH3//9g=",0)</f>
        <v>#REF!</v>
      </c>
      <c r="HJ163" t="e">
        <f>IF(#REF!,"AAAAAH3//9k=",0)</f>
        <v>#REF!</v>
      </c>
      <c r="HK163" t="e">
        <f>IF(#REF!,"AAAAAH3//9o=",0)</f>
        <v>#REF!</v>
      </c>
      <c r="HL163" t="e">
        <f>IF(#REF!,"AAAAAH3//9s=",0)</f>
        <v>#REF!</v>
      </c>
      <c r="HM163" t="e">
        <f>IF(#REF!,"AAAAAH3//9w=",0)</f>
        <v>#REF!</v>
      </c>
      <c r="HN163" t="e">
        <f>IF(#REF!,"AAAAAH3//90=",0)</f>
        <v>#REF!</v>
      </c>
      <c r="HO163" t="e">
        <f>IF(#REF!,"AAAAAH3//94=",0)</f>
        <v>#REF!</v>
      </c>
      <c r="HP163" t="e">
        <f>IF(#REF!,"AAAAAH3//98=",0)</f>
        <v>#REF!</v>
      </c>
      <c r="HQ163" t="e">
        <f>IF(#REF!,"AAAAAH3//+A=",0)</f>
        <v>#REF!</v>
      </c>
      <c r="HR163" t="e">
        <f>IF(#REF!,"AAAAAH3//+E=",0)</f>
        <v>#REF!</v>
      </c>
      <c r="HS163" t="e">
        <f>IF(#REF!,"AAAAAH3//+I=",0)</f>
        <v>#REF!</v>
      </c>
      <c r="HT163" t="e">
        <f>IF(#REF!,"AAAAAH3//+M=",0)</f>
        <v>#REF!</v>
      </c>
      <c r="HU163" t="e">
        <f>IF(#REF!,"AAAAAH3//+Q=",0)</f>
        <v>#REF!</v>
      </c>
      <c r="HV163" t="e">
        <f>IF(#REF!,"AAAAAH3//+U=",0)</f>
        <v>#REF!</v>
      </c>
      <c r="HW163" t="e">
        <f>IF(#REF!,"AAAAAH3//+Y=",0)</f>
        <v>#REF!</v>
      </c>
      <c r="HX163" t="e">
        <f>IF(#REF!,"AAAAAH3//+c=",0)</f>
        <v>#REF!</v>
      </c>
      <c r="HY163" t="e">
        <f>IF(#REF!,"AAAAAH3//+g=",0)</f>
        <v>#REF!</v>
      </c>
      <c r="HZ163" t="e">
        <f>IF(#REF!,"AAAAAH3//+k=",0)</f>
        <v>#REF!</v>
      </c>
      <c r="IA163" t="e">
        <f>IF(#REF!,"AAAAAH3//+o=",0)</f>
        <v>#REF!</v>
      </c>
      <c r="IB163" t="e">
        <f>IF(#REF!,"AAAAAH3//+s=",0)</f>
        <v>#REF!</v>
      </c>
      <c r="IC163" t="e">
        <f>IF(#REF!,"AAAAAH3//+w=",0)</f>
        <v>#REF!</v>
      </c>
      <c r="ID163" t="e">
        <f>IF(#REF!,"AAAAAH3//+0=",0)</f>
        <v>#REF!</v>
      </c>
      <c r="IE163" t="e">
        <f>IF(#REF!,"AAAAAH3//+4=",0)</f>
        <v>#REF!</v>
      </c>
      <c r="IF163" t="e">
        <f>IF(#REF!,"AAAAAH3//+8=",0)</f>
        <v>#REF!</v>
      </c>
      <c r="IG163" t="e">
        <f>IF(#REF!,"AAAAAH3///A=",0)</f>
        <v>#REF!</v>
      </c>
      <c r="IH163" t="e">
        <f>IF(#REF!,"AAAAAH3///E=",0)</f>
        <v>#REF!</v>
      </c>
      <c r="II163" t="e">
        <f>IF(#REF!,"AAAAAH3///I=",0)</f>
        <v>#REF!</v>
      </c>
      <c r="IJ163" t="e">
        <f>IF(#REF!,"AAAAAH3///M=",0)</f>
        <v>#REF!</v>
      </c>
      <c r="IK163" t="e">
        <f>IF(#REF!,"AAAAAH3///Q=",0)</f>
        <v>#REF!</v>
      </c>
      <c r="IL163" t="e">
        <f>IF(#REF!,"AAAAAH3///U=",0)</f>
        <v>#REF!</v>
      </c>
      <c r="IM163" t="e">
        <f>IF(#REF!,"AAAAAH3///Y=",0)</f>
        <v>#REF!</v>
      </c>
      <c r="IN163" t="e">
        <f>IF(#REF!,"AAAAAH3///c=",0)</f>
        <v>#REF!</v>
      </c>
      <c r="IO163" t="e">
        <f>IF(#REF!,"AAAAAH3///g=",0)</f>
        <v>#REF!</v>
      </c>
      <c r="IP163" t="e">
        <f>IF(#REF!,"AAAAAH3///k=",0)</f>
        <v>#REF!</v>
      </c>
      <c r="IQ163" t="e">
        <f>IF(#REF!,"AAAAAH3///o=",0)</f>
        <v>#REF!</v>
      </c>
      <c r="IR163" t="e">
        <f>IF(#REF!,"AAAAAH3///s=",0)</f>
        <v>#REF!</v>
      </c>
      <c r="IS163" t="e">
        <f>IF(#REF!,"AAAAAH3///w=",0)</f>
        <v>#REF!</v>
      </c>
      <c r="IT163" t="e">
        <f>IF(#REF!,"AAAAAH3///0=",0)</f>
        <v>#REF!</v>
      </c>
      <c r="IU163" t="e">
        <f>IF(#REF!,"AAAAAH3///4=",0)</f>
        <v>#REF!</v>
      </c>
      <c r="IV163" t="e">
        <f>IF(#REF!,"AAAAAH3///8=",0)</f>
        <v>#REF!</v>
      </c>
    </row>
    <row r="164" spans="1:256" x14ac:dyDescent="0.2">
      <c r="A164" t="e">
        <f>IF(#REF!,"AAAAAH6v2gA=",0)</f>
        <v>#REF!</v>
      </c>
      <c r="B164" t="e">
        <f>IF(#REF!,"AAAAAH6v2gE=",0)</f>
        <v>#REF!</v>
      </c>
      <c r="C164" t="e">
        <f>IF(#REF!,"AAAAAH6v2gI=",0)</f>
        <v>#REF!</v>
      </c>
      <c r="D164" t="e">
        <f>IF(#REF!,"AAAAAH6v2gM=",0)</f>
        <v>#REF!</v>
      </c>
      <c r="E164" t="e">
        <f>IF(#REF!,"AAAAAH6v2gQ=",0)</f>
        <v>#REF!</v>
      </c>
      <c r="F164" t="e">
        <f>IF(#REF!,"AAAAAH6v2gU=",0)</f>
        <v>#REF!</v>
      </c>
      <c r="G164" t="e">
        <f>IF(#REF!,"AAAAAH6v2gY=",0)</f>
        <v>#REF!</v>
      </c>
      <c r="H164" t="e">
        <f>IF(#REF!,"AAAAAH6v2gc=",0)</f>
        <v>#REF!</v>
      </c>
      <c r="I164" t="e">
        <f>IF(#REF!,"AAAAAH6v2gg=",0)</f>
        <v>#REF!</v>
      </c>
      <c r="J164" t="e">
        <f>IF(#REF!,"AAAAAH6v2gk=",0)</f>
        <v>#REF!</v>
      </c>
      <c r="K164" t="e">
        <f>IF(#REF!,"AAAAAH6v2go=",0)</f>
        <v>#REF!</v>
      </c>
      <c r="L164" t="e">
        <f>IF(#REF!,"AAAAAH6v2gs=",0)</f>
        <v>#REF!</v>
      </c>
      <c r="M164" t="e">
        <f>IF(#REF!,"AAAAAH6v2gw=",0)</f>
        <v>#REF!</v>
      </c>
      <c r="N164" t="e">
        <f>IF(#REF!,"AAAAAH6v2g0=",0)</f>
        <v>#REF!</v>
      </c>
      <c r="O164" t="e">
        <f>IF(#REF!,"AAAAAH6v2g4=",0)</f>
        <v>#REF!</v>
      </c>
      <c r="P164" t="e">
        <f>IF(#REF!,"AAAAAH6v2g8=",0)</f>
        <v>#REF!</v>
      </c>
      <c r="Q164" t="e">
        <f>IF(#REF!,"AAAAAH6v2hA=",0)</f>
        <v>#REF!</v>
      </c>
      <c r="R164" t="e">
        <f>IF(#REF!,"AAAAAH6v2hE=",0)</f>
        <v>#REF!</v>
      </c>
      <c r="S164" t="e">
        <f>IF(#REF!,"AAAAAH6v2hI=",0)</f>
        <v>#REF!</v>
      </c>
      <c r="T164" t="e">
        <f>IF(#REF!,"AAAAAH6v2hM=",0)</f>
        <v>#REF!</v>
      </c>
      <c r="U164" t="e">
        <f>IF(#REF!,"AAAAAH6v2hQ=",0)</f>
        <v>#REF!</v>
      </c>
      <c r="V164" t="e">
        <f>IF(#REF!,"AAAAAH6v2hU=",0)</f>
        <v>#REF!</v>
      </c>
      <c r="W164" t="e">
        <f>IF(#REF!,"AAAAAH6v2hY=",0)</f>
        <v>#REF!</v>
      </c>
      <c r="X164" t="e">
        <f>IF(#REF!,"AAAAAH6v2hc=",0)</f>
        <v>#REF!</v>
      </c>
      <c r="Y164" t="e">
        <f>IF(#REF!,"AAAAAH6v2hg=",0)</f>
        <v>#REF!</v>
      </c>
      <c r="Z164" t="e">
        <f>IF(#REF!,"AAAAAH6v2hk=",0)</f>
        <v>#REF!</v>
      </c>
      <c r="AA164" t="e">
        <f>IF(#REF!,"AAAAAH6v2ho=",0)</f>
        <v>#REF!</v>
      </c>
      <c r="AB164" t="e">
        <f>IF(#REF!,"AAAAAH6v2hs=",0)</f>
        <v>#REF!</v>
      </c>
      <c r="AC164" t="e">
        <f>IF(#REF!,"AAAAAH6v2hw=",0)</f>
        <v>#REF!</v>
      </c>
      <c r="AD164" t="e">
        <f>IF(#REF!,"AAAAAH6v2h0=",0)</f>
        <v>#REF!</v>
      </c>
      <c r="AE164" t="e">
        <f>IF(#REF!,"AAAAAH6v2h4=",0)</f>
        <v>#REF!</v>
      </c>
      <c r="AF164" t="e">
        <f>IF(#REF!,"AAAAAH6v2h8=",0)</f>
        <v>#REF!</v>
      </c>
      <c r="AG164" t="e">
        <f>IF(#REF!,"AAAAAH6v2iA=",0)</f>
        <v>#REF!</v>
      </c>
      <c r="AH164" t="e">
        <f>IF(#REF!,"AAAAAH6v2iE=",0)</f>
        <v>#REF!</v>
      </c>
      <c r="AI164" t="e">
        <f>IF(#REF!,"AAAAAH6v2iI=",0)</f>
        <v>#REF!</v>
      </c>
      <c r="AJ164" t="e">
        <f>IF(#REF!,"AAAAAH6v2iM=",0)</f>
        <v>#REF!</v>
      </c>
      <c r="AK164" t="e">
        <f>IF(#REF!,"AAAAAH6v2iQ=",0)</f>
        <v>#REF!</v>
      </c>
      <c r="AL164" t="e">
        <f>IF(#REF!,"AAAAAH6v2iU=",0)</f>
        <v>#REF!</v>
      </c>
      <c r="AM164" t="e">
        <f>IF(#REF!,"AAAAAH6v2iY=",0)</f>
        <v>#REF!</v>
      </c>
      <c r="AN164" t="e">
        <f>IF(#REF!,"AAAAAH6v2ic=",0)</f>
        <v>#REF!</v>
      </c>
      <c r="AO164" t="e">
        <f>IF(#REF!,"AAAAAH6v2ig=",0)</f>
        <v>#REF!</v>
      </c>
      <c r="AP164" t="e">
        <f>IF(#REF!,"AAAAAH6v2ik=",0)</f>
        <v>#REF!</v>
      </c>
      <c r="AQ164" t="e">
        <f>IF(#REF!,"AAAAAH6v2io=",0)</f>
        <v>#REF!</v>
      </c>
      <c r="AR164" t="e">
        <f>IF(#REF!,"AAAAAH6v2is=",0)</f>
        <v>#REF!</v>
      </c>
      <c r="AS164" t="e">
        <f>IF(#REF!,"AAAAAH6v2iw=",0)</f>
        <v>#REF!</v>
      </c>
      <c r="AT164" t="e">
        <f>IF(#REF!,"AAAAAH6v2i0=",0)</f>
        <v>#REF!</v>
      </c>
      <c r="AU164" t="e">
        <f>IF(#REF!,"AAAAAH6v2i4=",0)</f>
        <v>#REF!</v>
      </c>
      <c r="AV164" t="e">
        <f>IF(#REF!,"AAAAAH6v2i8=",0)</f>
        <v>#REF!</v>
      </c>
      <c r="AW164" t="e">
        <f>IF(#REF!,"AAAAAH6v2jA=",0)</f>
        <v>#REF!</v>
      </c>
      <c r="AX164" t="e">
        <f>IF(#REF!,"AAAAAH6v2jE=",0)</f>
        <v>#REF!</v>
      </c>
      <c r="AY164" t="e">
        <f>IF(#REF!,"AAAAAH6v2jI=",0)</f>
        <v>#REF!</v>
      </c>
      <c r="AZ164" t="e">
        <f>IF(#REF!,"AAAAAH6v2jM=",0)</f>
        <v>#REF!</v>
      </c>
      <c r="BA164" t="e">
        <f>IF(#REF!,"AAAAAH6v2jQ=",0)</f>
        <v>#REF!</v>
      </c>
      <c r="BB164" t="e">
        <f>IF(#REF!,"AAAAAH6v2jU=",0)</f>
        <v>#REF!</v>
      </c>
      <c r="BC164" t="e">
        <f>IF(#REF!,"AAAAAH6v2jY=",0)</f>
        <v>#REF!</v>
      </c>
      <c r="BD164" t="e">
        <f>IF(#REF!,"AAAAAH6v2jc=",0)</f>
        <v>#REF!</v>
      </c>
      <c r="BE164" t="e">
        <f>IF(#REF!,"AAAAAH6v2jg=",0)</f>
        <v>#REF!</v>
      </c>
      <c r="BF164" t="e">
        <f>IF(#REF!,"AAAAAH6v2jk=",0)</f>
        <v>#REF!</v>
      </c>
      <c r="BG164" t="e">
        <f>IF(#REF!,"AAAAAH6v2jo=",0)</f>
        <v>#REF!</v>
      </c>
      <c r="BH164" t="e">
        <f>IF(#REF!,"AAAAAH6v2js=",0)</f>
        <v>#REF!</v>
      </c>
      <c r="BI164" t="e">
        <f>IF(#REF!,"AAAAAH6v2jw=",0)</f>
        <v>#REF!</v>
      </c>
      <c r="BJ164" t="e">
        <f>IF(#REF!,"AAAAAH6v2j0=",0)</f>
        <v>#REF!</v>
      </c>
      <c r="BK164" t="e">
        <f>IF(#REF!,"AAAAAH6v2j4=",0)</f>
        <v>#REF!</v>
      </c>
      <c r="BL164" t="e">
        <f>IF(#REF!,"AAAAAH6v2j8=",0)</f>
        <v>#REF!</v>
      </c>
      <c r="BM164" t="e">
        <f>IF(#REF!,"AAAAAH6v2kA=",0)</f>
        <v>#REF!</v>
      </c>
      <c r="BN164" t="e">
        <f>IF(#REF!,"AAAAAH6v2kE=",0)</f>
        <v>#REF!</v>
      </c>
      <c r="BO164" t="e">
        <f>IF(#REF!,"AAAAAH6v2kI=",0)</f>
        <v>#REF!</v>
      </c>
      <c r="BP164" t="e">
        <f>IF(#REF!,"AAAAAH6v2kM=",0)</f>
        <v>#REF!</v>
      </c>
      <c r="BQ164" t="e">
        <f>IF(#REF!,"AAAAAH6v2kQ=",0)</f>
        <v>#REF!</v>
      </c>
      <c r="BR164" t="e">
        <f>IF(#REF!,"AAAAAH6v2kU=",0)</f>
        <v>#REF!</v>
      </c>
      <c r="BS164" t="e">
        <f>IF(#REF!,"AAAAAH6v2kY=",0)</f>
        <v>#REF!</v>
      </c>
      <c r="BT164" t="e">
        <f>IF(#REF!,"AAAAAH6v2kc=",0)</f>
        <v>#REF!</v>
      </c>
      <c r="BU164" t="e">
        <f>IF(#REF!,"AAAAAH6v2kg=",0)</f>
        <v>#REF!</v>
      </c>
      <c r="BV164" t="e">
        <f>IF(#REF!,"AAAAAH6v2kk=",0)</f>
        <v>#REF!</v>
      </c>
      <c r="BW164" t="e">
        <f>IF(#REF!,"AAAAAH6v2ko=",0)</f>
        <v>#REF!</v>
      </c>
      <c r="BX164" t="e">
        <f>IF(#REF!,"AAAAAH6v2ks=",0)</f>
        <v>#REF!</v>
      </c>
      <c r="BY164" t="e">
        <f>IF(#REF!,"AAAAAH6v2kw=",0)</f>
        <v>#REF!</v>
      </c>
      <c r="BZ164" t="e">
        <f>IF(#REF!,"AAAAAH6v2k0=",0)</f>
        <v>#REF!</v>
      </c>
      <c r="CA164" t="e">
        <f>IF(#REF!,"AAAAAH6v2k4=",0)</f>
        <v>#REF!</v>
      </c>
      <c r="CB164" t="e">
        <f>IF(#REF!,"AAAAAH6v2k8=",0)</f>
        <v>#REF!</v>
      </c>
      <c r="CC164" t="e">
        <f>IF(#REF!,"AAAAAH6v2lA=",0)</f>
        <v>#REF!</v>
      </c>
      <c r="CD164" t="e">
        <f>IF(#REF!,"AAAAAH6v2lE=",0)</f>
        <v>#REF!</v>
      </c>
      <c r="CE164" t="e">
        <f>IF(#REF!,"AAAAAH6v2lI=",0)</f>
        <v>#REF!</v>
      </c>
      <c r="CF164" t="e">
        <f>IF(#REF!,"AAAAAH6v2lM=",0)</f>
        <v>#REF!</v>
      </c>
      <c r="CG164" t="e">
        <f>IF(#REF!,"AAAAAH6v2lQ=",0)</f>
        <v>#REF!</v>
      </c>
      <c r="CH164" t="e">
        <f>IF(#REF!,"AAAAAH6v2lU=",0)</f>
        <v>#REF!</v>
      </c>
      <c r="CI164" t="e">
        <f>IF(#REF!,"AAAAAH6v2lY=",0)</f>
        <v>#REF!</v>
      </c>
      <c r="CJ164" t="e">
        <f>IF(#REF!,"AAAAAH6v2lc=",0)</f>
        <v>#REF!</v>
      </c>
      <c r="CK164" t="e">
        <f>IF(#REF!,"AAAAAH6v2lg=",0)</f>
        <v>#REF!</v>
      </c>
      <c r="CL164" t="e">
        <f>IF(#REF!,"AAAAAH6v2lk=",0)</f>
        <v>#REF!</v>
      </c>
      <c r="CM164" t="e">
        <f>IF(#REF!,"AAAAAH6v2lo=",0)</f>
        <v>#REF!</v>
      </c>
      <c r="CN164" t="e">
        <f>IF(#REF!,"AAAAAH6v2ls=",0)</f>
        <v>#REF!</v>
      </c>
      <c r="CO164" t="e">
        <f>IF(#REF!,"AAAAAH6v2lw=",0)</f>
        <v>#REF!</v>
      </c>
      <c r="CP164" t="e">
        <f>IF(#REF!,"AAAAAH6v2l0=",0)</f>
        <v>#REF!</v>
      </c>
      <c r="CQ164" t="e">
        <f>IF(#REF!,"AAAAAH6v2l4=",0)</f>
        <v>#REF!</v>
      </c>
      <c r="CR164" t="e">
        <f>IF(#REF!,"AAAAAH6v2l8=",0)</f>
        <v>#REF!</v>
      </c>
      <c r="CS164" t="e">
        <f>IF(#REF!,"AAAAAH6v2mA=",0)</f>
        <v>#REF!</v>
      </c>
      <c r="CT164" t="e">
        <f>IF(#REF!,"AAAAAH6v2mE=",0)</f>
        <v>#REF!</v>
      </c>
      <c r="CU164" t="e">
        <f>IF(#REF!,"AAAAAH6v2mI=",0)</f>
        <v>#REF!</v>
      </c>
      <c r="CV164" t="e">
        <f>IF(#REF!,"AAAAAH6v2mM=",0)</f>
        <v>#REF!</v>
      </c>
      <c r="CW164" t="e">
        <f>IF(#REF!,"AAAAAH6v2mQ=",0)</f>
        <v>#REF!</v>
      </c>
      <c r="CX164" t="e">
        <f>IF(#REF!,"AAAAAH6v2mU=",0)</f>
        <v>#REF!</v>
      </c>
      <c r="CY164">
        <f>IF(Demos!1:1,"AAAAAH6v2mY=",0)</f>
        <v>0</v>
      </c>
      <c r="CZ164" t="e">
        <f>AND(Demos!A1,"AAAAAH6v2mc=")</f>
        <v>#VALUE!</v>
      </c>
      <c r="DA164" t="e">
        <f>AND(Demos!B1,"AAAAAH6v2mg=")</f>
        <v>#VALUE!</v>
      </c>
      <c r="DB164" t="e">
        <f>AND(Demos!#REF!,"AAAAAH6v2mk=")</f>
        <v>#REF!</v>
      </c>
      <c r="DC164" t="e">
        <f>AND(Demos!C1,"AAAAAH6v2mo=")</f>
        <v>#VALUE!</v>
      </c>
      <c r="DD164" t="e">
        <f>AND(Demos!#REF!,"AAAAAH6v2ms=")</f>
        <v>#REF!</v>
      </c>
      <c r="DE164" t="e">
        <f>AND(Demos!#REF!,"AAAAAH6v2mw=")</f>
        <v>#REF!</v>
      </c>
      <c r="DF164" t="e">
        <f>AND(Demos!#REF!,"AAAAAH6v2m0=")</f>
        <v>#REF!</v>
      </c>
      <c r="DG164" t="e">
        <f>AND(Demos!#REF!,"AAAAAH6v2m4=")</f>
        <v>#REF!</v>
      </c>
      <c r="DH164" t="e">
        <f>AND(Demos!D1,"AAAAAH6v2m8=")</f>
        <v>#VALUE!</v>
      </c>
      <c r="DI164" t="e">
        <f>AND(Demos!#REF!,"AAAAAH6v2nA=")</f>
        <v>#REF!</v>
      </c>
      <c r="DJ164" t="e">
        <f>AND(Demos!E1,"AAAAAH6v2nE=")</f>
        <v>#VALUE!</v>
      </c>
      <c r="DK164" t="e">
        <f>AND(Demos!F1,"AAAAAH6v2nI=")</f>
        <v>#VALUE!</v>
      </c>
      <c r="DL164" t="e">
        <f>AND(Demos!G1,"AAAAAH6v2nM=")</f>
        <v>#VALUE!</v>
      </c>
      <c r="DM164">
        <f>IF(Demos!2:2,"AAAAAH6v2nQ=",0)</f>
        <v>0</v>
      </c>
      <c r="DN164" t="e">
        <f>AND(Demos!A2,"AAAAAH6v2nU=")</f>
        <v>#VALUE!</v>
      </c>
      <c r="DO164" t="e">
        <f>AND(Demos!B2,"AAAAAH6v2nY=")</f>
        <v>#VALUE!</v>
      </c>
      <c r="DP164" t="e">
        <f>AND(Demos!#REF!,"AAAAAH6v2nc=")</f>
        <v>#REF!</v>
      </c>
      <c r="DQ164" t="e">
        <f>AND(Demos!C2,"AAAAAH6v2ng=")</f>
        <v>#VALUE!</v>
      </c>
      <c r="DR164" t="e">
        <f>AND(Demos!#REF!,"AAAAAH6v2nk=")</f>
        <v>#REF!</v>
      </c>
      <c r="DS164" t="e">
        <f>AND(Demos!#REF!,"AAAAAH6v2no=")</f>
        <v>#REF!</v>
      </c>
      <c r="DT164" t="e">
        <f>AND(Demos!#REF!,"AAAAAH6v2ns=")</f>
        <v>#REF!</v>
      </c>
      <c r="DU164" t="e">
        <f>AND(Demos!#REF!,"AAAAAH6v2nw=")</f>
        <v>#REF!</v>
      </c>
      <c r="DV164" t="e">
        <f>AND(Demos!D2,"AAAAAH6v2n0=")</f>
        <v>#VALUE!</v>
      </c>
      <c r="DW164" t="e">
        <f>AND(Demos!#REF!,"AAAAAH6v2n4=")</f>
        <v>#REF!</v>
      </c>
      <c r="DX164" t="e">
        <f>AND(Demos!E2,"AAAAAH6v2n8=")</f>
        <v>#VALUE!</v>
      </c>
      <c r="DY164" t="e">
        <f>AND(Demos!F2,"AAAAAH6v2oA=")</f>
        <v>#VALUE!</v>
      </c>
      <c r="DZ164" t="e">
        <f>AND(Demos!G2,"AAAAAH6v2oE=")</f>
        <v>#VALUE!</v>
      </c>
      <c r="EA164">
        <f>IF(Demos!3:3,"AAAAAH6v2oI=",0)</f>
        <v>0</v>
      </c>
      <c r="EB164" t="e">
        <f>AND(Demos!A3,"AAAAAH6v2oM=")</f>
        <v>#VALUE!</v>
      </c>
      <c r="EC164" t="e">
        <f>AND(Demos!B3,"AAAAAH6v2oQ=")</f>
        <v>#VALUE!</v>
      </c>
      <c r="ED164" t="e">
        <f>AND(Demos!#REF!,"AAAAAH6v2oU=")</f>
        <v>#REF!</v>
      </c>
      <c r="EE164" t="e">
        <f>AND(Demos!C3,"AAAAAH6v2oY=")</f>
        <v>#VALUE!</v>
      </c>
      <c r="EF164" t="e">
        <f>AND(Demos!#REF!,"AAAAAH6v2oc=")</f>
        <v>#REF!</v>
      </c>
      <c r="EG164" t="e">
        <f>AND(Demos!#REF!,"AAAAAH6v2og=")</f>
        <v>#REF!</v>
      </c>
      <c r="EH164" t="e">
        <f>AND(Demos!#REF!,"AAAAAH6v2ok=")</f>
        <v>#REF!</v>
      </c>
      <c r="EI164" t="e">
        <f>AND(Demos!#REF!,"AAAAAH6v2oo=")</f>
        <v>#REF!</v>
      </c>
      <c r="EJ164" t="e">
        <f>AND(Demos!D3,"AAAAAH6v2os=")</f>
        <v>#VALUE!</v>
      </c>
      <c r="EK164" t="e">
        <f>AND(Demos!#REF!,"AAAAAH6v2ow=")</f>
        <v>#REF!</v>
      </c>
      <c r="EL164" t="e">
        <f>AND(Demos!E3,"AAAAAH6v2o0=")</f>
        <v>#VALUE!</v>
      </c>
      <c r="EM164" t="e">
        <f>AND(Demos!F3,"AAAAAH6v2o4=")</f>
        <v>#VALUE!</v>
      </c>
      <c r="EN164" t="e">
        <f>AND(Demos!G3,"AAAAAH6v2o8=")</f>
        <v>#VALUE!</v>
      </c>
      <c r="EO164" t="e">
        <f>IF(Demos!#REF!,"AAAAAH6v2pA=",0)</f>
        <v>#REF!</v>
      </c>
      <c r="EP164" t="e">
        <f>AND(Demos!#REF!,"AAAAAH6v2pE=")</f>
        <v>#REF!</v>
      </c>
      <c r="EQ164" t="e">
        <f>AND(Demos!#REF!,"AAAAAH6v2pI=")</f>
        <v>#REF!</v>
      </c>
      <c r="ER164" t="e">
        <f>AND(Demos!#REF!,"AAAAAH6v2pM=")</f>
        <v>#REF!</v>
      </c>
      <c r="ES164" t="e">
        <f>AND(Demos!#REF!,"AAAAAH6v2pQ=")</f>
        <v>#REF!</v>
      </c>
      <c r="ET164" t="e">
        <f>AND(Demos!#REF!,"AAAAAH6v2pU=")</f>
        <v>#REF!</v>
      </c>
      <c r="EU164" t="e">
        <f>AND(Demos!#REF!,"AAAAAH6v2pY=")</f>
        <v>#REF!</v>
      </c>
      <c r="EV164" t="e">
        <f>AND(Demos!#REF!,"AAAAAH6v2pc=")</f>
        <v>#REF!</v>
      </c>
      <c r="EW164" t="e">
        <f>AND(Demos!#REF!,"AAAAAH6v2pg=")</f>
        <v>#REF!</v>
      </c>
      <c r="EX164" t="e">
        <f>AND(Demos!#REF!,"AAAAAH6v2pk=")</f>
        <v>#REF!</v>
      </c>
      <c r="EY164" t="e">
        <f>AND(Demos!#REF!,"AAAAAH6v2po=")</f>
        <v>#REF!</v>
      </c>
      <c r="EZ164" t="e">
        <f>AND(Demos!#REF!,"AAAAAH6v2ps=")</f>
        <v>#REF!</v>
      </c>
      <c r="FA164" t="e">
        <f>AND(Demos!#REF!,"AAAAAH6v2pw=")</f>
        <v>#REF!</v>
      </c>
      <c r="FB164" t="e">
        <f>AND(Demos!#REF!,"AAAAAH6v2p0=")</f>
        <v>#REF!</v>
      </c>
      <c r="FC164" t="e">
        <f>IF(Demos!#REF!,"AAAAAH6v2p4=",0)</f>
        <v>#REF!</v>
      </c>
      <c r="FD164" t="e">
        <f>AND(Demos!#REF!,"AAAAAH6v2p8=")</f>
        <v>#REF!</v>
      </c>
      <c r="FE164" t="e">
        <f>AND(Demos!#REF!,"AAAAAH6v2qA=")</f>
        <v>#REF!</v>
      </c>
      <c r="FF164" t="e">
        <f>AND(Demos!#REF!,"AAAAAH6v2qE=")</f>
        <v>#REF!</v>
      </c>
      <c r="FG164" t="e">
        <f>AND(Demos!#REF!,"AAAAAH6v2qI=")</f>
        <v>#REF!</v>
      </c>
      <c r="FH164" t="e">
        <f>AND(Demos!#REF!,"AAAAAH6v2qM=")</f>
        <v>#REF!</v>
      </c>
      <c r="FI164" t="e">
        <f>AND(Demos!#REF!,"AAAAAH6v2qQ=")</f>
        <v>#REF!</v>
      </c>
      <c r="FJ164" t="e">
        <f>AND(Demos!#REF!,"AAAAAH6v2qU=")</f>
        <v>#REF!</v>
      </c>
      <c r="FK164" t="e">
        <f>AND(Demos!#REF!,"AAAAAH6v2qY=")</f>
        <v>#REF!</v>
      </c>
      <c r="FL164" t="e">
        <f>AND(Demos!#REF!,"AAAAAH6v2qc=")</f>
        <v>#REF!</v>
      </c>
      <c r="FM164" t="e">
        <f>AND(Demos!#REF!,"AAAAAH6v2qg=")</f>
        <v>#REF!</v>
      </c>
      <c r="FN164" t="e">
        <f>AND(Demos!#REF!,"AAAAAH6v2qk=")</f>
        <v>#REF!</v>
      </c>
      <c r="FO164" t="e">
        <f>AND(Demos!#REF!,"AAAAAH6v2qo=")</f>
        <v>#REF!</v>
      </c>
      <c r="FP164" t="e">
        <f>AND(Demos!#REF!,"AAAAAH6v2qs=")</f>
        <v>#REF!</v>
      </c>
      <c r="FQ164" t="e">
        <f>IF(Demos!#REF!,"AAAAAH6v2qw=",0)</f>
        <v>#REF!</v>
      </c>
      <c r="FR164" t="e">
        <f>AND(Demos!#REF!,"AAAAAH6v2q0=")</f>
        <v>#REF!</v>
      </c>
      <c r="FS164" t="e">
        <f>AND(Demos!#REF!,"AAAAAH6v2q4=")</f>
        <v>#REF!</v>
      </c>
      <c r="FT164" t="e">
        <f>AND(Demos!#REF!,"AAAAAH6v2q8=")</f>
        <v>#REF!</v>
      </c>
      <c r="FU164" t="e">
        <f>AND(Demos!#REF!,"AAAAAH6v2rA=")</f>
        <v>#REF!</v>
      </c>
      <c r="FV164" t="e">
        <f>AND(Demos!#REF!,"AAAAAH6v2rE=")</f>
        <v>#REF!</v>
      </c>
      <c r="FW164" t="e">
        <f>AND(Demos!#REF!,"AAAAAH6v2rI=")</f>
        <v>#REF!</v>
      </c>
      <c r="FX164" t="e">
        <f>AND(Demos!#REF!,"AAAAAH6v2rM=")</f>
        <v>#REF!</v>
      </c>
      <c r="FY164" t="e">
        <f>AND(Demos!#REF!,"AAAAAH6v2rQ=")</f>
        <v>#REF!</v>
      </c>
      <c r="FZ164" t="e">
        <f>AND(Demos!#REF!,"AAAAAH6v2rU=")</f>
        <v>#REF!</v>
      </c>
      <c r="GA164" t="e">
        <f>AND(Demos!#REF!,"AAAAAH6v2rY=")</f>
        <v>#REF!</v>
      </c>
      <c r="GB164" t="e">
        <f>AND(Demos!#REF!,"AAAAAH6v2rc=")</f>
        <v>#REF!</v>
      </c>
      <c r="GC164" t="e">
        <f>AND(Demos!#REF!,"AAAAAH6v2rg=")</f>
        <v>#REF!</v>
      </c>
      <c r="GD164" t="e">
        <f>AND(Demos!#REF!,"AAAAAH6v2rk=")</f>
        <v>#REF!</v>
      </c>
      <c r="GE164" t="e">
        <f>IF(Demos!#REF!,"AAAAAH6v2ro=",0)</f>
        <v>#REF!</v>
      </c>
      <c r="GF164" t="e">
        <f>AND(Demos!#REF!,"AAAAAH6v2rs=")</f>
        <v>#REF!</v>
      </c>
      <c r="GG164" t="e">
        <f>AND(Demos!#REF!,"AAAAAH6v2rw=")</f>
        <v>#REF!</v>
      </c>
      <c r="GH164" t="e">
        <f>AND(Demos!#REF!,"AAAAAH6v2r0=")</f>
        <v>#REF!</v>
      </c>
      <c r="GI164" t="e">
        <f>AND(Demos!#REF!,"AAAAAH6v2r4=")</f>
        <v>#REF!</v>
      </c>
      <c r="GJ164" t="e">
        <f>AND(Demos!#REF!,"AAAAAH6v2r8=")</f>
        <v>#REF!</v>
      </c>
      <c r="GK164" t="e">
        <f>AND(Demos!#REF!,"AAAAAH6v2sA=")</f>
        <v>#REF!</v>
      </c>
      <c r="GL164" t="e">
        <f>AND(Demos!#REF!,"AAAAAH6v2sE=")</f>
        <v>#REF!</v>
      </c>
      <c r="GM164" t="e">
        <f>AND(Demos!#REF!,"AAAAAH6v2sI=")</f>
        <v>#REF!</v>
      </c>
      <c r="GN164" t="e">
        <f>AND(Demos!#REF!,"AAAAAH6v2sM=")</f>
        <v>#REF!</v>
      </c>
      <c r="GO164" t="e">
        <f>AND(Demos!#REF!,"AAAAAH6v2sQ=")</f>
        <v>#REF!</v>
      </c>
      <c r="GP164" t="e">
        <f>AND(Demos!#REF!,"AAAAAH6v2sU=")</f>
        <v>#REF!</v>
      </c>
      <c r="GQ164" t="e">
        <f>AND(Demos!#REF!,"AAAAAH6v2sY=")</f>
        <v>#REF!</v>
      </c>
      <c r="GR164" t="e">
        <f>AND(Demos!#REF!,"AAAAAH6v2sc=")</f>
        <v>#REF!</v>
      </c>
      <c r="GS164" t="e">
        <f>IF(Demos!#REF!,"AAAAAH6v2sg=",0)</f>
        <v>#REF!</v>
      </c>
      <c r="GT164" t="e">
        <f>AND(Demos!#REF!,"AAAAAH6v2sk=")</f>
        <v>#REF!</v>
      </c>
      <c r="GU164" t="e">
        <f>AND(Demos!#REF!,"AAAAAH6v2so=")</f>
        <v>#REF!</v>
      </c>
      <c r="GV164" t="e">
        <f>AND(Demos!#REF!,"AAAAAH6v2ss=")</f>
        <v>#REF!</v>
      </c>
      <c r="GW164" t="e">
        <f>AND(Demos!#REF!,"AAAAAH6v2sw=")</f>
        <v>#REF!</v>
      </c>
      <c r="GX164" t="e">
        <f>AND(Demos!#REF!,"AAAAAH6v2s0=")</f>
        <v>#REF!</v>
      </c>
      <c r="GY164" t="e">
        <f>AND(Demos!#REF!,"AAAAAH6v2s4=")</f>
        <v>#REF!</v>
      </c>
      <c r="GZ164" t="e">
        <f>AND(Demos!#REF!,"AAAAAH6v2s8=")</f>
        <v>#REF!</v>
      </c>
      <c r="HA164" t="e">
        <f>AND(Demos!#REF!,"AAAAAH6v2tA=")</f>
        <v>#REF!</v>
      </c>
      <c r="HB164" t="e">
        <f>AND(Demos!#REF!,"AAAAAH6v2tE=")</f>
        <v>#REF!</v>
      </c>
      <c r="HC164" t="e">
        <f>AND(Demos!#REF!,"AAAAAH6v2tI=")</f>
        <v>#REF!</v>
      </c>
      <c r="HD164" t="e">
        <f>AND(Demos!#REF!,"AAAAAH6v2tM=")</f>
        <v>#REF!</v>
      </c>
      <c r="HE164" t="e">
        <f>AND(Demos!#REF!,"AAAAAH6v2tQ=")</f>
        <v>#REF!</v>
      </c>
      <c r="HF164" t="e">
        <f>AND(Demos!#REF!,"AAAAAH6v2tU=")</f>
        <v>#REF!</v>
      </c>
      <c r="HG164" t="e">
        <f>IF(Demos!#REF!,"AAAAAH6v2tY=",0)</f>
        <v>#REF!</v>
      </c>
      <c r="HH164" t="e">
        <f>AND(Demos!#REF!,"AAAAAH6v2tc=")</f>
        <v>#REF!</v>
      </c>
      <c r="HI164" t="e">
        <f>AND(Demos!#REF!,"AAAAAH6v2tg=")</f>
        <v>#REF!</v>
      </c>
      <c r="HJ164" t="e">
        <f>AND(Demos!#REF!,"AAAAAH6v2tk=")</f>
        <v>#REF!</v>
      </c>
      <c r="HK164" t="e">
        <f>AND(Demos!#REF!,"AAAAAH6v2to=")</f>
        <v>#REF!</v>
      </c>
      <c r="HL164" t="e">
        <f>AND(Demos!#REF!,"AAAAAH6v2ts=")</f>
        <v>#REF!</v>
      </c>
      <c r="HM164" t="e">
        <f>AND(Demos!#REF!,"AAAAAH6v2tw=")</f>
        <v>#REF!</v>
      </c>
      <c r="HN164" t="e">
        <f>AND(Demos!#REF!,"AAAAAH6v2t0=")</f>
        <v>#REF!</v>
      </c>
      <c r="HO164" t="e">
        <f>AND(Demos!#REF!,"AAAAAH6v2t4=")</f>
        <v>#REF!</v>
      </c>
      <c r="HP164" t="e">
        <f>AND(Demos!#REF!,"AAAAAH6v2t8=")</f>
        <v>#REF!</v>
      </c>
      <c r="HQ164" t="e">
        <f>AND(Demos!#REF!,"AAAAAH6v2uA=")</f>
        <v>#REF!</v>
      </c>
      <c r="HR164" t="e">
        <f>AND(Demos!#REF!,"AAAAAH6v2uE=")</f>
        <v>#REF!</v>
      </c>
      <c r="HS164" t="e">
        <f>AND(Demos!#REF!,"AAAAAH6v2uI=")</f>
        <v>#REF!</v>
      </c>
      <c r="HT164" t="e">
        <f>AND(Demos!#REF!,"AAAAAH6v2uM=")</f>
        <v>#REF!</v>
      </c>
      <c r="HU164" t="e">
        <f>IF(Demos!#REF!,"AAAAAH6v2uQ=",0)</f>
        <v>#REF!</v>
      </c>
      <c r="HV164" t="e">
        <f>AND(Demos!#REF!,"AAAAAH6v2uU=")</f>
        <v>#REF!</v>
      </c>
      <c r="HW164" t="e">
        <f>AND(Demos!#REF!,"AAAAAH6v2uY=")</f>
        <v>#REF!</v>
      </c>
      <c r="HX164" t="e">
        <f>AND(Demos!#REF!,"AAAAAH6v2uc=")</f>
        <v>#REF!</v>
      </c>
      <c r="HY164" t="e">
        <f>AND(Demos!#REF!,"AAAAAH6v2ug=")</f>
        <v>#REF!</v>
      </c>
      <c r="HZ164" t="e">
        <f>AND(Demos!#REF!,"AAAAAH6v2uk=")</f>
        <v>#REF!</v>
      </c>
      <c r="IA164" t="e">
        <f>AND(Demos!#REF!,"AAAAAH6v2uo=")</f>
        <v>#REF!</v>
      </c>
      <c r="IB164" t="e">
        <f>AND(Demos!#REF!,"AAAAAH6v2us=")</f>
        <v>#REF!</v>
      </c>
      <c r="IC164" t="e">
        <f>AND(Demos!#REF!,"AAAAAH6v2uw=")</f>
        <v>#REF!</v>
      </c>
      <c r="ID164" t="e">
        <f>AND(Demos!#REF!,"AAAAAH6v2u0=")</f>
        <v>#REF!</v>
      </c>
      <c r="IE164" t="e">
        <f>AND(Demos!#REF!,"AAAAAH6v2u4=")</f>
        <v>#REF!</v>
      </c>
      <c r="IF164" t="e">
        <f>AND(Demos!#REF!,"AAAAAH6v2u8=")</f>
        <v>#REF!</v>
      </c>
      <c r="IG164" t="e">
        <f>AND(Demos!#REF!,"AAAAAH6v2vA=")</f>
        <v>#REF!</v>
      </c>
      <c r="IH164" t="e">
        <f>AND(Demos!#REF!,"AAAAAH6v2vE=")</f>
        <v>#REF!</v>
      </c>
      <c r="II164" t="e">
        <f>IF(Demos!#REF!,"AAAAAH6v2vI=",0)</f>
        <v>#REF!</v>
      </c>
      <c r="IJ164" t="e">
        <f>AND(Demos!#REF!,"AAAAAH6v2vM=")</f>
        <v>#REF!</v>
      </c>
      <c r="IK164" t="e">
        <f>AND(Demos!#REF!,"AAAAAH6v2vQ=")</f>
        <v>#REF!</v>
      </c>
      <c r="IL164" t="e">
        <f>AND(Demos!#REF!,"AAAAAH6v2vU=")</f>
        <v>#REF!</v>
      </c>
      <c r="IM164" t="e">
        <f>AND(Demos!#REF!,"AAAAAH6v2vY=")</f>
        <v>#REF!</v>
      </c>
      <c r="IN164" t="e">
        <f>AND(Demos!#REF!,"AAAAAH6v2vc=")</f>
        <v>#REF!</v>
      </c>
      <c r="IO164" t="e">
        <f>AND(Demos!#REF!,"AAAAAH6v2vg=")</f>
        <v>#REF!</v>
      </c>
      <c r="IP164" t="e">
        <f>AND(Demos!#REF!,"AAAAAH6v2vk=")</f>
        <v>#REF!</v>
      </c>
      <c r="IQ164" t="e">
        <f>AND(Demos!#REF!,"AAAAAH6v2vo=")</f>
        <v>#REF!</v>
      </c>
      <c r="IR164" t="e">
        <f>AND(Demos!#REF!,"AAAAAH6v2vs=")</f>
        <v>#REF!</v>
      </c>
      <c r="IS164" t="e">
        <f>AND(Demos!#REF!,"AAAAAH6v2vw=")</f>
        <v>#REF!</v>
      </c>
      <c r="IT164" t="e">
        <f>AND(Demos!#REF!,"AAAAAH6v2v0=")</f>
        <v>#REF!</v>
      </c>
      <c r="IU164" t="e">
        <f>AND(Demos!#REF!,"AAAAAH6v2v4=")</f>
        <v>#REF!</v>
      </c>
      <c r="IV164" t="e">
        <f>AND(Demos!#REF!,"AAAAAH6v2v8=")</f>
        <v>#REF!</v>
      </c>
    </row>
    <row r="165" spans="1:256" x14ac:dyDescent="0.2">
      <c r="A165" t="e">
        <f>IF(Demos!#REF!,"AAAAAH/7fwA=",0)</f>
        <v>#REF!</v>
      </c>
      <c r="B165" t="e">
        <f>AND(Demos!#REF!,"AAAAAH/7fwE=")</f>
        <v>#REF!</v>
      </c>
      <c r="C165" t="e">
        <f>AND(Demos!#REF!,"AAAAAH/7fwI=")</f>
        <v>#REF!</v>
      </c>
      <c r="D165" t="e">
        <f>AND(Demos!#REF!,"AAAAAH/7fwM=")</f>
        <v>#REF!</v>
      </c>
      <c r="E165" t="e">
        <f>AND(Demos!#REF!,"AAAAAH/7fwQ=")</f>
        <v>#REF!</v>
      </c>
      <c r="F165" t="e">
        <f>AND(Demos!#REF!,"AAAAAH/7fwU=")</f>
        <v>#REF!</v>
      </c>
      <c r="G165" t="e">
        <f>AND(Demos!#REF!,"AAAAAH/7fwY=")</f>
        <v>#REF!</v>
      </c>
      <c r="H165" t="e">
        <f>AND(Demos!#REF!,"AAAAAH/7fwc=")</f>
        <v>#REF!</v>
      </c>
      <c r="I165" t="e">
        <f>AND(Demos!#REF!,"AAAAAH/7fwg=")</f>
        <v>#REF!</v>
      </c>
      <c r="J165" t="e">
        <f>AND(Demos!#REF!,"AAAAAH/7fwk=")</f>
        <v>#REF!</v>
      </c>
      <c r="K165" t="e">
        <f>AND(Demos!#REF!,"AAAAAH/7fwo=")</f>
        <v>#REF!</v>
      </c>
      <c r="L165" t="e">
        <f>AND(Demos!#REF!,"AAAAAH/7fws=")</f>
        <v>#REF!</v>
      </c>
      <c r="M165" t="e">
        <f>AND(Demos!#REF!,"AAAAAH/7fww=")</f>
        <v>#REF!</v>
      </c>
      <c r="N165" t="e">
        <f>AND(Demos!#REF!,"AAAAAH/7fw0=")</f>
        <v>#REF!</v>
      </c>
      <c r="O165" t="e">
        <f>IF(Demos!#REF!,"AAAAAH/7fw4=",0)</f>
        <v>#REF!</v>
      </c>
      <c r="P165" t="e">
        <f>AND(Demos!#REF!,"AAAAAH/7fw8=")</f>
        <v>#REF!</v>
      </c>
      <c r="Q165" t="e">
        <f>AND(Demos!#REF!,"AAAAAH/7fxA=")</f>
        <v>#REF!</v>
      </c>
      <c r="R165" t="e">
        <f>AND(Demos!#REF!,"AAAAAH/7fxE=")</f>
        <v>#REF!</v>
      </c>
      <c r="S165" t="e">
        <f>AND(Demos!#REF!,"AAAAAH/7fxI=")</f>
        <v>#REF!</v>
      </c>
      <c r="T165" t="e">
        <f>AND(Demos!#REF!,"AAAAAH/7fxM=")</f>
        <v>#REF!</v>
      </c>
      <c r="U165" t="e">
        <f>AND(Demos!#REF!,"AAAAAH/7fxQ=")</f>
        <v>#REF!</v>
      </c>
      <c r="V165" t="e">
        <f>AND(Demos!#REF!,"AAAAAH/7fxU=")</f>
        <v>#REF!</v>
      </c>
      <c r="W165" t="e">
        <f>AND(Demos!#REF!,"AAAAAH/7fxY=")</f>
        <v>#REF!</v>
      </c>
      <c r="X165" t="e">
        <f>AND(Demos!#REF!,"AAAAAH/7fxc=")</f>
        <v>#REF!</v>
      </c>
      <c r="Y165" t="e">
        <f>AND(Demos!#REF!,"AAAAAH/7fxg=")</f>
        <v>#REF!</v>
      </c>
      <c r="Z165" t="e">
        <f>AND(Demos!#REF!,"AAAAAH/7fxk=")</f>
        <v>#REF!</v>
      </c>
      <c r="AA165" t="e">
        <f>AND(Demos!#REF!,"AAAAAH/7fxo=")</f>
        <v>#REF!</v>
      </c>
      <c r="AB165" t="e">
        <f>AND(Demos!#REF!,"AAAAAH/7fxs=")</f>
        <v>#REF!</v>
      </c>
      <c r="AC165" t="e">
        <f>IF(Demos!#REF!,"AAAAAH/7fxw=",0)</f>
        <v>#REF!</v>
      </c>
      <c r="AD165" t="e">
        <f>AND(Demos!#REF!,"AAAAAH/7fx0=")</f>
        <v>#REF!</v>
      </c>
      <c r="AE165" t="e">
        <f>AND(Demos!#REF!,"AAAAAH/7fx4=")</f>
        <v>#REF!</v>
      </c>
      <c r="AF165" t="e">
        <f>AND(Demos!#REF!,"AAAAAH/7fx8=")</f>
        <v>#REF!</v>
      </c>
      <c r="AG165" t="e">
        <f>AND(Demos!#REF!,"AAAAAH/7fyA=")</f>
        <v>#REF!</v>
      </c>
      <c r="AH165" t="e">
        <f>AND(Demos!#REF!,"AAAAAH/7fyE=")</f>
        <v>#REF!</v>
      </c>
      <c r="AI165" t="e">
        <f>AND(Demos!#REF!,"AAAAAH/7fyI=")</f>
        <v>#REF!</v>
      </c>
      <c r="AJ165" t="e">
        <f>AND(Demos!#REF!,"AAAAAH/7fyM=")</f>
        <v>#REF!</v>
      </c>
      <c r="AK165" t="e">
        <f>AND(Demos!#REF!,"AAAAAH/7fyQ=")</f>
        <v>#REF!</v>
      </c>
      <c r="AL165" t="e">
        <f>AND(Demos!#REF!,"AAAAAH/7fyU=")</f>
        <v>#REF!</v>
      </c>
      <c r="AM165" t="e">
        <f>AND(Demos!#REF!,"AAAAAH/7fyY=")</f>
        <v>#REF!</v>
      </c>
      <c r="AN165" t="e">
        <f>AND(Demos!#REF!,"AAAAAH/7fyc=")</f>
        <v>#REF!</v>
      </c>
      <c r="AO165" t="e">
        <f>AND(Demos!#REF!,"AAAAAH/7fyg=")</f>
        <v>#REF!</v>
      </c>
      <c r="AP165" t="e">
        <f>AND(Demos!#REF!,"AAAAAH/7fyk=")</f>
        <v>#REF!</v>
      </c>
      <c r="AQ165" t="e">
        <f>IF(Demos!#REF!,"AAAAAH/7fyo=",0)</f>
        <v>#REF!</v>
      </c>
      <c r="AR165" t="e">
        <f>AND(Demos!#REF!,"AAAAAH/7fys=")</f>
        <v>#REF!</v>
      </c>
      <c r="AS165" t="e">
        <f>AND(Demos!#REF!,"AAAAAH/7fyw=")</f>
        <v>#REF!</v>
      </c>
      <c r="AT165" t="e">
        <f>AND(Demos!#REF!,"AAAAAH/7fy0=")</f>
        <v>#REF!</v>
      </c>
      <c r="AU165" t="e">
        <f>AND(Demos!#REF!,"AAAAAH/7fy4=")</f>
        <v>#REF!</v>
      </c>
      <c r="AV165" t="e">
        <f>AND(Demos!#REF!,"AAAAAH/7fy8=")</f>
        <v>#REF!</v>
      </c>
      <c r="AW165" t="e">
        <f>AND(Demos!#REF!,"AAAAAH/7fzA=")</f>
        <v>#REF!</v>
      </c>
      <c r="AX165" t="e">
        <f>AND(Demos!#REF!,"AAAAAH/7fzE=")</f>
        <v>#REF!</v>
      </c>
      <c r="AY165" t="e">
        <f>AND(Demos!#REF!,"AAAAAH/7fzI=")</f>
        <v>#REF!</v>
      </c>
      <c r="AZ165" t="e">
        <f>AND(Demos!#REF!,"AAAAAH/7fzM=")</f>
        <v>#REF!</v>
      </c>
      <c r="BA165" t="e">
        <f>AND(Demos!#REF!,"AAAAAH/7fzQ=")</f>
        <v>#REF!</v>
      </c>
      <c r="BB165" t="e">
        <f>AND(Demos!#REF!,"AAAAAH/7fzU=")</f>
        <v>#REF!</v>
      </c>
      <c r="BC165" t="e">
        <f>AND(Demos!#REF!,"AAAAAH/7fzY=")</f>
        <v>#REF!</v>
      </c>
      <c r="BD165" t="e">
        <f>AND(Demos!#REF!,"AAAAAH/7fzc=")</f>
        <v>#REF!</v>
      </c>
      <c r="BE165" t="e">
        <f>IF(Demos!#REF!,"AAAAAH/7fzg=",0)</f>
        <v>#REF!</v>
      </c>
      <c r="BF165" t="e">
        <f>AND(Demos!#REF!,"AAAAAH/7fzk=")</f>
        <v>#REF!</v>
      </c>
      <c r="BG165" t="e">
        <f>AND(Demos!#REF!,"AAAAAH/7fzo=")</f>
        <v>#REF!</v>
      </c>
      <c r="BH165" t="e">
        <f>AND(Demos!#REF!,"AAAAAH/7fzs=")</f>
        <v>#REF!</v>
      </c>
      <c r="BI165" t="e">
        <f>AND(Demos!#REF!,"AAAAAH/7fzw=")</f>
        <v>#REF!</v>
      </c>
      <c r="BJ165" t="e">
        <f>AND(Demos!#REF!,"AAAAAH/7fz0=")</f>
        <v>#REF!</v>
      </c>
      <c r="BK165" t="e">
        <f>AND(Demos!#REF!,"AAAAAH/7fz4=")</f>
        <v>#REF!</v>
      </c>
      <c r="BL165" t="e">
        <f>AND(Demos!#REF!,"AAAAAH/7fz8=")</f>
        <v>#REF!</v>
      </c>
      <c r="BM165" t="e">
        <f>AND(Demos!#REF!,"AAAAAH/7f0A=")</f>
        <v>#REF!</v>
      </c>
      <c r="BN165" t="e">
        <f>AND(Demos!#REF!,"AAAAAH/7f0E=")</f>
        <v>#REF!</v>
      </c>
      <c r="BO165" t="e">
        <f>AND(Demos!#REF!,"AAAAAH/7f0I=")</f>
        <v>#REF!</v>
      </c>
      <c r="BP165" t="e">
        <f>AND(Demos!#REF!,"AAAAAH/7f0M=")</f>
        <v>#REF!</v>
      </c>
      <c r="BQ165" t="e">
        <f>AND(Demos!#REF!,"AAAAAH/7f0Q=")</f>
        <v>#REF!</v>
      </c>
      <c r="BR165" t="e">
        <f>AND(Demos!#REF!,"AAAAAH/7f0U=")</f>
        <v>#REF!</v>
      </c>
      <c r="BS165" t="e">
        <f>IF(Demos!#REF!,"AAAAAH/7f0Y=",0)</f>
        <v>#REF!</v>
      </c>
      <c r="BT165" t="e">
        <f>AND(Demos!#REF!,"AAAAAH/7f0c=")</f>
        <v>#REF!</v>
      </c>
      <c r="BU165" t="e">
        <f>AND(Demos!#REF!,"AAAAAH/7f0g=")</f>
        <v>#REF!</v>
      </c>
      <c r="BV165" t="e">
        <f>AND(Demos!#REF!,"AAAAAH/7f0k=")</f>
        <v>#REF!</v>
      </c>
      <c r="BW165" t="e">
        <f>AND(Demos!#REF!,"AAAAAH/7f0o=")</f>
        <v>#REF!</v>
      </c>
      <c r="BX165" t="e">
        <f>AND(Demos!#REF!,"AAAAAH/7f0s=")</f>
        <v>#REF!</v>
      </c>
      <c r="BY165" t="e">
        <f>AND(Demos!#REF!,"AAAAAH/7f0w=")</f>
        <v>#REF!</v>
      </c>
      <c r="BZ165" t="e">
        <f>AND(Demos!#REF!,"AAAAAH/7f00=")</f>
        <v>#REF!</v>
      </c>
      <c r="CA165" t="e">
        <f>AND(Demos!#REF!,"AAAAAH/7f04=")</f>
        <v>#REF!</v>
      </c>
      <c r="CB165" t="e">
        <f>AND(Demos!#REF!,"AAAAAH/7f08=")</f>
        <v>#REF!</v>
      </c>
      <c r="CC165" t="e">
        <f>AND(Demos!#REF!,"AAAAAH/7f1A=")</f>
        <v>#REF!</v>
      </c>
      <c r="CD165" t="e">
        <f>AND(Demos!#REF!,"AAAAAH/7f1E=")</f>
        <v>#REF!</v>
      </c>
      <c r="CE165" t="e">
        <f>AND(Demos!#REF!,"AAAAAH/7f1I=")</f>
        <v>#REF!</v>
      </c>
      <c r="CF165" t="e">
        <f>AND(Demos!#REF!,"AAAAAH/7f1M=")</f>
        <v>#REF!</v>
      </c>
      <c r="CG165" t="e">
        <f>IF(Demos!#REF!,"AAAAAH/7f1Q=",0)</f>
        <v>#REF!</v>
      </c>
      <c r="CH165" t="e">
        <f>AND(Demos!#REF!,"AAAAAH/7f1U=")</f>
        <v>#REF!</v>
      </c>
      <c r="CI165" t="e">
        <f>AND(Demos!#REF!,"AAAAAH/7f1Y=")</f>
        <v>#REF!</v>
      </c>
      <c r="CJ165" t="e">
        <f>AND(Demos!#REF!,"AAAAAH/7f1c=")</f>
        <v>#REF!</v>
      </c>
      <c r="CK165" t="e">
        <f>AND(Demos!#REF!,"AAAAAH/7f1g=")</f>
        <v>#REF!</v>
      </c>
      <c r="CL165" t="e">
        <f>AND(Demos!#REF!,"AAAAAH/7f1k=")</f>
        <v>#REF!</v>
      </c>
      <c r="CM165" t="e">
        <f>AND(Demos!#REF!,"AAAAAH/7f1o=")</f>
        <v>#REF!</v>
      </c>
      <c r="CN165" t="e">
        <f>AND(Demos!#REF!,"AAAAAH/7f1s=")</f>
        <v>#REF!</v>
      </c>
      <c r="CO165" t="e">
        <f>AND(Demos!#REF!,"AAAAAH/7f1w=")</f>
        <v>#REF!</v>
      </c>
      <c r="CP165" t="e">
        <f>AND(Demos!#REF!,"AAAAAH/7f10=")</f>
        <v>#REF!</v>
      </c>
      <c r="CQ165" t="e">
        <f>AND(Demos!#REF!,"AAAAAH/7f14=")</f>
        <v>#REF!</v>
      </c>
      <c r="CR165" t="e">
        <f>AND(Demos!#REF!,"AAAAAH/7f18=")</f>
        <v>#REF!</v>
      </c>
      <c r="CS165" t="e">
        <f>AND(Demos!#REF!,"AAAAAH/7f2A=")</f>
        <v>#REF!</v>
      </c>
      <c r="CT165" t="e">
        <f>AND(Demos!#REF!,"AAAAAH/7f2E=")</f>
        <v>#REF!</v>
      </c>
      <c r="CU165" t="e">
        <f>IF(Demos!#REF!,"AAAAAH/7f2I=",0)</f>
        <v>#REF!</v>
      </c>
      <c r="CV165" t="e">
        <f>AND(Demos!#REF!,"AAAAAH/7f2M=")</f>
        <v>#REF!</v>
      </c>
      <c r="CW165" t="e">
        <f>AND(Demos!#REF!,"AAAAAH/7f2Q=")</f>
        <v>#REF!</v>
      </c>
      <c r="CX165" t="e">
        <f>AND(Demos!#REF!,"AAAAAH/7f2U=")</f>
        <v>#REF!</v>
      </c>
      <c r="CY165" t="e">
        <f>AND(Demos!#REF!,"AAAAAH/7f2Y=")</f>
        <v>#REF!</v>
      </c>
      <c r="CZ165" t="e">
        <f>AND(Demos!#REF!,"AAAAAH/7f2c=")</f>
        <v>#REF!</v>
      </c>
      <c r="DA165" t="e">
        <f>AND(Demos!#REF!,"AAAAAH/7f2g=")</f>
        <v>#REF!</v>
      </c>
      <c r="DB165" t="e">
        <f>AND(Demos!#REF!,"AAAAAH/7f2k=")</f>
        <v>#REF!</v>
      </c>
      <c r="DC165" t="e">
        <f>AND(Demos!#REF!,"AAAAAH/7f2o=")</f>
        <v>#REF!</v>
      </c>
      <c r="DD165" t="e">
        <f>AND(Demos!#REF!,"AAAAAH/7f2s=")</f>
        <v>#REF!</v>
      </c>
      <c r="DE165" t="e">
        <f>AND(Demos!#REF!,"AAAAAH/7f2w=")</f>
        <v>#REF!</v>
      </c>
      <c r="DF165" t="e">
        <f>AND(Demos!#REF!,"AAAAAH/7f20=")</f>
        <v>#REF!</v>
      </c>
      <c r="DG165" t="e">
        <f>AND(Demos!#REF!,"AAAAAH/7f24=")</f>
        <v>#REF!</v>
      </c>
      <c r="DH165" t="e">
        <f>AND(Demos!#REF!,"AAAAAH/7f28=")</f>
        <v>#REF!</v>
      </c>
      <c r="DI165" t="e">
        <f>IF(Demos!#REF!,"AAAAAH/7f3A=",0)</f>
        <v>#REF!</v>
      </c>
      <c r="DJ165" t="e">
        <f>AND(Demos!#REF!,"AAAAAH/7f3E=")</f>
        <v>#REF!</v>
      </c>
      <c r="DK165" t="e">
        <f>AND(Demos!#REF!,"AAAAAH/7f3I=")</f>
        <v>#REF!</v>
      </c>
      <c r="DL165" t="e">
        <f>AND(Demos!#REF!,"AAAAAH/7f3M=")</f>
        <v>#REF!</v>
      </c>
      <c r="DM165" t="e">
        <f>AND(Demos!#REF!,"AAAAAH/7f3Q=")</f>
        <v>#REF!</v>
      </c>
      <c r="DN165" t="e">
        <f>AND(Demos!#REF!,"AAAAAH/7f3U=")</f>
        <v>#REF!</v>
      </c>
      <c r="DO165" t="e">
        <f>AND(Demos!#REF!,"AAAAAH/7f3Y=")</f>
        <v>#REF!</v>
      </c>
      <c r="DP165" t="e">
        <f>AND(Demos!#REF!,"AAAAAH/7f3c=")</f>
        <v>#REF!</v>
      </c>
      <c r="DQ165" t="e">
        <f>AND(Demos!#REF!,"AAAAAH/7f3g=")</f>
        <v>#REF!</v>
      </c>
      <c r="DR165" t="e">
        <f>AND(Demos!#REF!,"AAAAAH/7f3k=")</f>
        <v>#REF!</v>
      </c>
      <c r="DS165" t="e">
        <f>AND(Demos!#REF!,"AAAAAH/7f3o=")</f>
        <v>#REF!</v>
      </c>
      <c r="DT165" t="e">
        <f>AND(Demos!#REF!,"AAAAAH/7f3s=")</f>
        <v>#REF!</v>
      </c>
      <c r="DU165" t="e">
        <f>AND(Demos!#REF!,"AAAAAH/7f3w=")</f>
        <v>#REF!</v>
      </c>
      <c r="DV165" t="e">
        <f>AND(Demos!#REF!,"AAAAAH/7f30=")</f>
        <v>#REF!</v>
      </c>
      <c r="DW165" t="e">
        <f>IF(Demos!#REF!,"AAAAAH/7f34=",0)</f>
        <v>#REF!</v>
      </c>
      <c r="DX165" t="e">
        <f>AND(Demos!#REF!,"AAAAAH/7f38=")</f>
        <v>#REF!</v>
      </c>
      <c r="DY165" t="e">
        <f>AND(Demos!#REF!,"AAAAAH/7f4A=")</f>
        <v>#REF!</v>
      </c>
      <c r="DZ165" t="e">
        <f>AND(Demos!#REF!,"AAAAAH/7f4E=")</f>
        <v>#REF!</v>
      </c>
      <c r="EA165" t="e">
        <f>AND(Demos!#REF!,"AAAAAH/7f4I=")</f>
        <v>#REF!</v>
      </c>
      <c r="EB165" t="e">
        <f>AND(Demos!#REF!,"AAAAAH/7f4M=")</f>
        <v>#REF!</v>
      </c>
      <c r="EC165" t="e">
        <f>AND(Demos!#REF!,"AAAAAH/7f4Q=")</f>
        <v>#REF!</v>
      </c>
      <c r="ED165" t="e">
        <f>AND(Demos!#REF!,"AAAAAH/7f4U=")</f>
        <v>#REF!</v>
      </c>
      <c r="EE165" t="e">
        <f>AND(Demos!#REF!,"AAAAAH/7f4Y=")</f>
        <v>#REF!</v>
      </c>
      <c r="EF165" t="e">
        <f>AND(Demos!#REF!,"AAAAAH/7f4c=")</f>
        <v>#REF!</v>
      </c>
      <c r="EG165" t="e">
        <f>AND(Demos!#REF!,"AAAAAH/7f4g=")</f>
        <v>#REF!</v>
      </c>
      <c r="EH165" t="e">
        <f>AND(Demos!#REF!,"AAAAAH/7f4k=")</f>
        <v>#REF!</v>
      </c>
      <c r="EI165" t="e">
        <f>AND(Demos!#REF!,"AAAAAH/7f4o=")</f>
        <v>#REF!</v>
      </c>
      <c r="EJ165" t="e">
        <f>AND(Demos!#REF!,"AAAAAH/7f4s=")</f>
        <v>#REF!</v>
      </c>
      <c r="EK165" t="e">
        <f>IF(Demos!#REF!,"AAAAAH/7f4w=",0)</f>
        <v>#REF!</v>
      </c>
      <c r="EL165" t="e">
        <f>AND(Demos!#REF!,"AAAAAH/7f40=")</f>
        <v>#REF!</v>
      </c>
      <c r="EM165" t="e">
        <f>AND(Demos!#REF!,"AAAAAH/7f44=")</f>
        <v>#REF!</v>
      </c>
      <c r="EN165" t="e">
        <f>AND(Demos!#REF!,"AAAAAH/7f48=")</f>
        <v>#REF!</v>
      </c>
      <c r="EO165" t="e">
        <f>AND(Demos!#REF!,"AAAAAH/7f5A=")</f>
        <v>#REF!</v>
      </c>
      <c r="EP165" t="e">
        <f>AND(Demos!#REF!,"AAAAAH/7f5E=")</f>
        <v>#REF!</v>
      </c>
      <c r="EQ165" t="e">
        <f>AND(Demos!#REF!,"AAAAAH/7f5I=")</f>
        <v>#REF!</v>
      </c>
      <c r="ER165" t="e">
        <f>AND(Demos!#REF!,"AAAAAH/7f5M=")</f>
        <v>#REF!</v>
      </c>
      <c r="ES165" t="e">
        <f>AND(Demos!#REF!,"AAAAAH/7f5Q=")</f>
        <v>#REF!</v>
      </c>
      <c r="ET165" t="e">
        <f>AND(Demos!#REF!,"AAAAAH/7f5U=")</f>
        <v>#REF!</v>
      </c>
      <c r="EU165" t="e">
        <f>AND(Demos!#REF!,"AAAAAH/7f5Y=")</f>
        <v>#REF!</v>
      </c>
      <c r="EV165" t="e">
        <f>AND(Demos!#REF!,"AAAAAH/7f5c=")</f>
        <v>#REF!</v>
      </c>
      <c r="EW165" t="e">
        <f>AND(Demos!#REF!,"AAAAAH/7f5g=")</f>
        <v>#REF!</v>
      </c>
      <c r="EX165" t="e">
        <f>AND(Demos!#REF!,"AAAAAH/7f5k=")</f>
        <v>#REF!</v>
      </c>
      <c r="EY165" t="e">
        <f>IF(Demos!#REF!,"AAAAAH/7f5o=",0)</f>
        <v>#REF!</v>
      </c>
      <c r="EZ165" t="e">
        <f>AND(Demos!#REF!,"AAAAAH/7f5s=")</f>
        <v>#REF!</v>
      </c>
      <c r="FA165" t="e">
        <f>AND(Demos!#REF!,"AAAAAH/7f5w=")</f>
        <v>#REF!</v>
      </c>
      <c r="FB165" t="e">
        <f>AND(Demos!#REF!,"AAAAAH/7f50=")</f>
        <v>#REF!</v>
      </c>
      <c r="FC165" t="e">
        <f>AND(Demos!#REF!,"AAAAAH/7f54=")</f>
        <v>#REF!</v>
      </c>
      <c r="FD165" t="e">
        <f>AND(Demos!#REF!,"AAAAAH/7f58=")</f>
        <v>#REF!</v>
      </c>
      <c r="FE165" t="e">
        <f>AND(Demos!#REF!,"AAAAAH/7f6A=")</f>
        <v>#REF!</v>
      </c>
      <c r="FF165" t="e">
        <f>AND(Demos!#REF!,"AAAAAH/7f6E=")</f>
        <v>#REF!</v>
      </c>
      <c r="FG165" t="e">
        <f>AND(Demos!#REF!,"AAAAAH/7f6I=")</f>
        <v>#REF!</v>
      </c>
      <c r="FH165" t="e">
        <f>AND(Demos!#REF!,"AAAAAH/7f6M=")</f>
        <v>#REF!</v>
      </c>
      <c r="FI165" t="e">
        <f>AND(Demos!#REF!,"AAAAAH/7f6Q=")</f>
        <v>#REF!</v>
      </c>
      <c r="FJ165" t="e">
        <f>AND(Demos!#REF!,"AAAAAH/7f6U=")</f>
        <v>#REF!</v>
      </c>
      <c r="FK165" t="e">
        <f>AND(Demos!#REF!,"AAAAAH/7f6Y=")</f>
        <v>#REF!</v>
      </c>
      <c r="FL165" t="e">
        <f>AND(Demos!#REF!,"AAAAAH/7f6c=")</f>
        <v>#REF!</v>
      </c>
      <c r="FM165" t="e">
        <f>IF(Demos!#REF!,"AAAAAH/7f6g=",0)</f>
        <v>#REF!</v>
      </c>
      <c r="FN165" t="e">
        <f>AND(Demos!#REF!,"AAAAAH/7f6k=")</f>
        <v>#REF!</v>
      </c>
      <c r="FO165" t="e">
        <f>AND(Demos!#REF!,"AAAAAH/7f6o=")</f>
        <v>#REF!</v>
      </c>
      <c r="FP165" t="e">
        <f>AND(Demos!#REF!,"AAAAAH/7f6s=")</f>
        <v>#REF!</v>
      </c>
      <c r="FQ165" t="e">
        <f>AND(Demos!#REF!,"AAAAAH/7f6w=")</f>
        <v>#REF!</v>
      </c>
      <c r="FR165" t="e">
        <f>AND(Demos!#REF!,"AAAAAH/7f60=")</f>
        <v>#REF!</v>
      </c>
      <c r="FS165" t="e">
        <f>AND(Demos!#REF!,"AAAAAH/7f64=")</f>
        <v>#REF!</v>
      </c>
      <c r="FT165" t="e">
        <f>AND(Demos!#REF!,"AAAAAH/7f68=")</f>
        <v>#REF!</v>
      </c>
      <c r="FU165" t="e">
        <f>AND(Demos!#REF!,"AAAAAH/7f7A=")</f>
        <v>#REF!</v>
      </c>
      <c r="FV165" t="e">
        <f>AND(Demos!#REF!,"AAAAAH/7f7E=")</f>
        <v>#REF!</v>
      </c>
      <c r="FW165" t="e">
        <f>AND(Demos!#REF!,"AAAAAH/7f7I=")</f>
        <v>#REF!</v>
      </c>
      <c r="FX165" t="e">
        <f>AND(Demos!#REF!,"AAAAAH/7f7M=")</f>
        <v>#REF!</v>
      </c>
      <c r="FY165" t="e">
        <f>AND(Demos!#REF!,"AAAAAH/7f7Q=")</f>
        <v>#REF!</v>
      </c>
      <c r="FZ165" t="e">
        <f>AND(Demos!#REF!,"AAAAAH/7f7U=")</f>
        <v>#REF!</v>
      </c>
      <c r="GA165" t="e">
        <f>IF(Demos!#REF!,"AAAAAH/7f7Y=",0)</f>
        <v>#REF!</v>
      </c>
      <c r="GB165" t="e">
        <f>AND(Demos!#REF!,"AAAAAH/7f7c=")</f>
        <v>#REF!</v>
      </c>
      <c r="GC165" t="e">
        <f>AND(Demos!#REF!,"AAAAAH/7f7g=")</f>
        <v>#REF!</v>
      </c>
      <c r="GD165" t="e">
        <f>AND(Demos!#REF!,"AAAAAH/7f7k=")</f>
        <v>#REF!</v>
      </c>
      <c r="GE165" t="e">
        <f>AND(Demos!#REF!,"AAAAAH/7f7o=")</f>
        <v>#REF!</v>
      </c>
      <c r="GF165" t="e">
        <f>AND(Demos!#REF!,"AAAAAH/7f7s=")</f>
        <v>#REF!</v>
      </c>
      <c r="GG165" t="e">
        <f>AND(Demos!#REF!,"AAAAAH/7f7w=")</f>
        <v>#REF!</v>
      </c>
      <c r="GH165" t="e">
        <f>AND(Demos!#REF!,"AAAAAH/7f70=")</f>
        <v>#REF!</v>
      </c>
      <c r="GI165" t="e">
        <f>AND(Demos!#REF!,"AAAAAH/7f74=")</f>
        <v>#REF!</v>
      </c>
      <c r="GJ165" t="e">
        <f>AND(Demos!#REF!,"AAAAAH/7f78=")</f>
        <v>#REF!</v>
      </c>
      <c r="GK165" t="e">
        <f>AND(Demos!#REF!,"AAAAAH/7f8A=")</f>
        <v>#REF!</v>
      </c>
      <c r="GL165" t="e">
        <f>AND(Demos!#REF!,"AAAAAH/7f8E=")</f>
        <v>#REF!</v>
      </c>
      <c r="GM165" t="e">
        <f>AND(Demos!#REF!,"AAAAAH/7f8I=")</f>
        <v>#REF!</v>
      </c>
      <c r="GN165" t="e">
        <f>AND(Demos!#REF!,"AAAAAH/7f8M=")</f>
        <v>#REF!</v>
      </c>
      <c r="GO165" t="e">
        <f>IF(Demos!#REF!,"AAAAAH/7f8Q=",0)</f>
        <v>#REF!</v>
      </c>
      <c r="GP165" t="e">
        <f>AND(Demos!#REF!,"AAAAAH/7f8U=")</f>
        <v>#REF!</v>
      </c>
      <c r="GQ165" t="e">
        <f>AND(Demos!#REF!,"AAAAAH/7f8Y=")</f>
        <v>#REF!</v>
      </c>
      <c r="GR165" t="e">
        <f>AND(Demos!#REF!,"AAAAAH/7f8c=")</f>
        <v>#REF!</v>
      </c>
      <c r="GS165" t="e">
        <f>AND(Demos!#REF!,"AAAAAH/7f8g=")</f>
        <v>#REF!</v>
      </c>
      <c r="GT165" t="e">
        <f>AND(Demos!#REF!,"AAAAAH/7f8k=")</f>
        <v>#REF!</v>
      </c>
      <c r="GU165" t="e">
        <f>AND(Demos!#REF!,"AAAAAH/7f8o=")</f>
        <v>#REF!</v>
      </c>
      <c r="GV165" t="e">
        <f>AND(Demos!#REF!,"AAAAAH/7f8s=")</f>
        <v>#REF!</v>
      </c>
      <c r="GW165" t="e">
        <f>AND(Demos!#REF!,"AAAAAH/7f8w=")</f>
        <v>#REF!</v>
      </c>
      <c r="GX165" t="e">
        <f>AND(Demos!#REF!,"AAAAAH/7f80=")</f>
        <v>#REF!</v>
      </c>
      <c r="GY165" t="e">
        <f>AND(Demos!#REF!,"AAAAAH/7f84=")</f>
        <v>#REF!</v>
      </c>
      <c r="GZ165" t="e">
        <f>AND(Demos!#REF!,"AAAAAH/7f88=")</f>
        <v>#REF!</v>
      </c>
      <c r="HA165" t="e">
        <f>AND(Demos!#REF!,"AAAAAH/7f9A=")</f>
        <v>#REF!</v>
      </c>
      <c r="HB165" t="e">
        <f>AND(Demos!#REF!,"AAAAAH/7f9E=")</f>
        <v>#REF!</v>
      </c>
      <c r="HC165" t="e">
        <f>IF(Demos!#REF!,"AAAAAH/7f9I=",0)</f>
        <v>#REF!</v>
      </c>
      <c r="HD165" t="e">
        <f>AND(Demos!#REF!,"AAAAAH/7f9M=")</f>
        <v>#REF!</v>
      </c>
      <c r="HE165" t="e">
        <f>AND(Demos!#REF!,"AAAAAH/7f9Q=")</f>
        <v>#REF!</v>
      </c>
      <c r="HF165" t="e">
        <f>AND(Demos!#REF!,"AAAAAH/7f9U=")</f>
        <v>#REF!</v>
      </c>
      <c r="HG165" t="e">
        <f>AND(Demos!#REF!,"AAAAAH/7f9Y=")</f>
        <v>#REF!</v>
      </c>
      <c r="HH165" t="e">
        <f>AND(Demos!#REF!,"AAAAAH/7f9c=")</f>
        <v>#REF!</v>
      </c>
      <c r="HI165" t="e">
        <f>AND(Demos!#REF!,"AAAAAH/7f9g=")</f>
        <v>#REF!</v>
      </c>
      <c r="HJ165" t="e">
        <f>AND(Demos!#REF!,"AAAAAH/7f9k=")</f>
        <v>#REF!</v>
      </c>
      <c r="HK165" t="e">
        <f>AND(Demos!#REF!,"AAAAAH/7f9o=")</f>
        <v>#REF!</v>
      </c>
      <c r="HL165" t="e">
        <f>AND(Demos!#REF!,"AAAAAH/7f9s=")</f>
        <v>#REF!</v>
      </c>
      <c r="HM165" t="e">
        <f>AND(Demos!#REF!,"AAAAAH/7f9w=")</f>
        <v>#REF!</v>
      </c>
      <c r="HN165" t="e">
        <f>AND(Demos!#REF!,"AAAAAH/7f90=")</f>
        <v>#REF!</v>
      </c>
      <c r="HO165" t="e">
        <f>AND(Demos!#REF!,"AAAAAH/7f94=")</f>
        <v>#REF!</v>
      </c>
      <c r="HP165" t="e">
        <f>AND(Demos!#REF!,"AAAAAH/7f98=")</f>
        <v>#REF!</v>
      </c>
      <c r="HQ165" t="e">
        <f>IF(Demos!#REF!,"AAAAAH/7f+A=",0)</f>
        <v>#REF!</v>
      </c>
      <c r="HR165" t="e">
        <f>AND(Demos!#REF!,"AAAAAH/7f+E=")</f>
        <v>#REF!</v>
      </c>
      <c r="HS165" t="e">
        <f>AND(Demos!#REF!,"AAAAAH/7f+I=")</f>
        <v>#REF!</v>
      </c>
      <c r="HT165" t="e">
        <f>AND(Demos!#REF!,"AAAAAH/7f+M=")</f>
        <v>#REF!</v>
      </c>
      <c r="HU165" t="e">
        <f>AND(Demos!#REF!,"AAAAAH/7f+Q=")</f>
        <v>#REF!</v>
      </c>
      <c r="HV165" t="e">
        <f>AND(Demos!#REF!,"AAAAAH/7f+U=")</f>
        <v>#REF!</v>
      </c>
      <c r="HW165" t="e">
        <f>AND(Demos!#REF!,"AAAAAH/7f+Y=")</f>
        <v>#REF!</v>
      </c>
      <c r="HX165" t="e">
        <f>AND(Demos!#REF!,"AAAAAH/7f+c=")</f>
        <v>#REF!</v>
      </c>
      <c r="HY165" t="e">
        <f>AND(Demos!#REF!,"AAAAAH/7f+g=")</f>
        <v>#REF!</v>
      </c>
      <c r="HZ165" t="e">
        <f>AND(Demos!#REF!,"AAAAAH/7f+k=")</f>
        <v>#REF!</v>
      </c>
      <c r="IA165" t="e">
        <f>AND(Demos!#REF!,"AAAAAH/7f+o=")</f>
        <v>#REF!</v>
      </c>
      <c r="IB165" t="e">
        <f>AND(Demos!#REF!,"AAAAAH/7f+s=")</f>
        <v>#REF!</v>
      </c>
      <c r="IC165" t="e">
        <f>AND(Demos!#REF!,"AAAAAH/7f+w=")</f>
        <v>#REF!</v>
      </c>
      <c r="ID165" t="e">
        <f>AND(Demos!#REF!,"AAAAAH/7f+0=")</f>
        <v>#REF!</v>
      </c>
      <c r="IE165" t="e">
        <f>IF(Demos!#REF!,"AAAAAH/7f+4=",0)</f>
        <v>#REF!</v>
      </c>
      <c r="IF165" t="e">
        <f>AND(Demos!#REF!,"AAAAAH/7f+8=")</f>
        <v>#REF!</v>
      </c>
      <c r="IG165" t="e">
        <f>AND(Demos!#REF!,"AAAAAH/7f/A=")</f>
        <v>#REF!</v>
      </c>
      <c r="IH165" t="e">
        <f>AND(Demos!#REF!,"AAAAAH/7f/E=")</f>
        <v>#REF!</v>
      </c>
      <c r="II165" t="e">
        <f>AND(Demos!#REF!,"AAAAAH/7f/I=")</f>
        <v>#REF!</v>
      </c>
      <c r="IJ165" t="e">
        <f>AND(Demos!#REF!,"AAAAAH/7f/M=")</f>
        <v>#REF!</v>
      </c>
      <c r="IK165" t="e">
        <f>AND(Demos!#REF!,"AAAAAH/7f/Q=")</f>
        <v>#REF!</v>
      </c>
      <c r="IL165" t="e">
        <f>AND(Demos!#REF!,"AAAAAH/7f/U=")</f>
        <v>#REF!</v>
      </c>
      <c r="IM165" t="e">
        <f>AND(Demos!#REF!,"AAAAAH/7f/Y=")</f>
        <v>#REF!</v>
      </c>
      <c r="IN165" t="e">
        <f>AND(Demos!#REF!,"AAAAAH/7f/c=")</f>
        <v>#REF!</v>
      </c>
      <c r="IO165" t="e">
        <f>AND(Demos!#REF!,"AAAAAH/7f/g=")</f>
        <v>#REF!</v>
      </c>
      <c r="IP165" t="e">
        <f>AND(Demos!#REF!,"AAAAAH/7f/k=")</f>
        <v>#REF!</v>
      </c>
      <c r="IQ165" t="e">
        <f>AND(Demos!#REF!,"AAAAAH/7f/o=")</f>
        <v>#REF!</v>
      </c>
      <c r="IR165" t="e">
        <f>AND(Demos!#REF!,"AAAAAH/7f/s=")</f>
        <v>#REF!</v>
      </c>
      <c r="IS165" t="e">
        <f>IF(Demos!#REF!,"AAAAAH/7f/w=",0)</f>
        <v>#REF!</v>
      </c>
      <c r="IT165" t="e">
        <f>AND(Demos!#REF!,"AAAAAH/7f/0=")</f>
        <v>#REF!</v>
      </c>
      <c r="IU165" t="e">
        <f>AND(Demos!#REF!,"AAAAAH/7f/4=")</f>
        <v>#REF!</v>
      </c>
      <c r="IV165" t="e">
        <f>AND(Demos!#REF!,"AAAAAH/7f/8=")</f>
        <v>#REF!</v>
      </c>
    </row>
    <row r="166" spans="1:256" x14ac:dyDescent="0.2">
      <c r="A166" t="e">
        <f>AND(Demos!#REF!,"AAAAABf/+wA=")</f>
        <v>#REF!</v>
      </c>
      <c r="B166" t="e">
        <f>AND(Demos!#REF!,"AAAAABf/+wE=")</f>
        <v>#REF!</v>
      </c>
      <c r="C166" t="e">
        <f>AND(Demos!#REF!,"AAAAABf/+wI=")</f>
        <v>#REF!</v>
      </c>
      <c r="D166" t="e">
        <f>AND(Demos!#REF!,"AAAAABf/+wM=")</f>
        <v>#REF!</v>
      </c>
      <c r="E166" t="e">
        <f>AND(Demos!#REF!,"AAAAABf/+wQ=")</f>
        <v>#REF!</v>
      </c>
      <c r="F166" t="e">
        <f>AND(Demos!#REF!,"AAAAABf/+wU=")</f>
        <v>#REF!</v>
      </c>
      <c r="G166" t="e">
        <f>AND(Demos!#REF!,"AAAAABf/+wY=")</f>
        <v>#REF!</v>
      </c>
      <c r="H166" t="e">
        <f>AND(Demos!#REF!,"AAAAABf/+wc=")</f>
        <v>#REF!</v>
      </c>
      <c r="I166" t="e">
        <f>AND(Demos!#REF!,"AAAAABf/+wg=")</f>
        <v>#REF!</v>
      </c>
      <c r="J166" t="e">
        <f>AND(Demos!#REF!,"AAAAABf/+wk=")</f>
        <v>#REF!</v>
      </c>
      <c r="K166" t="e">
        <f>IF(Demos!#REF!,"AAAAABf/+wo=",0)</f>
        <v>#REF!</v>
      </c>
      <c r="L166" t="e">
        <f>AND(Demos!#REF!,"AAAAABf/+ws=")</f>
        <v>#REF!</v>
      </c>
      <c r="M166" t="e">
        <f>AND(Demos!#REF!,"AAAAABf/+ww=")</f>
        <v>#REF!</v>
      </c>
      <c r="N166" t="e">
        <f>AND(Demos!#REF!,"AAAAABf/+w0=")</f>
        <v>#REF!</v>
      </c>
      <c r="O166" t="e">
        <f>AND(Demos!#REF!,"AAAAABf/+w4=")</f>
        <v>#REF!</v>
      </c>
      <c r="P166" t="e">
        <f>AND(Demos!#REF!,"AAAAABf/+w8=")</f>
        <v>#REF!</v>
      </c>
      <c r="Q166" t="e">
        <f>AND(Demos!#REF!,"AAAAABf/+xA=")</f>
        <v>#REF!</v>
      </c>
      <c r="R166" t="e">
        <f>AND(Demos!#REF!,"AAAAABf/+xE=")</f>
        <v>#REF!</v>
      </c>
      <c r="S166" t="e">
        <f>AND(Demos!#REF!,"AAAAABf/+xI=")</f>
        <v>#REF!</v>
      </c>
      <c r="T166" t="e">
        <f>AND(Demos!#REF!,"AAAAABf/+xM=")</f>
        <v>#REF!</v>
      </c>
      <c r="U166" t="e">
        <f>AND(Demos!#REF!,"AAAAABf/+xQ=")</f>
        <v>#REF!</v>
      </c>
      <c r="V166" t="e">
        <f>AND(Demos!#REF!,"AAAAABf/+xU=")</f>
        <v>#REF!</v>
      </c>
      <c r="W166" t="e">
        <f>AND(Demos!#REF!,"AAAAABf/+xY=")</f>
        <v>#REF!</v>
      </c>
      <c r="X166" t="e">
        <f>AND(Demos!#REF!,"AAAAABf/+xc=")</f>
        <v>#REF!</v>
      </c>
      <c r="Y166" t="e">
        <f>IF(Demos!#REF!,"AAAAABf/+xg=",0)</f>
        <v>#REF!</v>
      </c>
      <c r="Z166" t="e">
        <f>AND(Demos!#REF!,"AAAAABf/+xk=")</f>
        <v>#REF!</v>
      </c>
      <c r="AA166" t="e">
        <f>AND(Demos!#REF!,"AAAAABf/+xo=")</f>
        <v>#REF!</v>
      </c>
      <c r="AB166" t="e">
        <f>AND(Demos!#REF!,"AAAAABf/+xs=")</f>
        <v>#REF!</v>
      </c>
      <c r="AC166" t="e">
        <f>AND(Demos!#REF!,"AAAAABf/+xw=")</f>
        <v>#REF!</v>
      </c>
      <c r="AD166" t="e">
        <f>AND(Demos!#REF!,"AAAAABf/+x0=")</f>
        <v>#REF!</v>
      </c>
      <c r="AE166" t="e">
        <f>AND(Demos!#REF!,"AAAAABf/+x4=")</f>
        <v>#REF!</v>
      </c>
      <c r="AF166" t="e">
        <f>AND(Demos!#REF!,"AAAAABf/+x8=")</f>
        <v>#REF!</v>
      </c>
      <c r="AG166" t="e">
        <f>AND(Demos!#REF!,"AAAAABf/+yA=")</f>
        <v>#REF!</v>
      </c>
      <c r="AH166" t="e">
        <f>AND(Demos!#REF!,"AAAAABf/+yE=")</f>
        <v>#REF!</v>
      </c>
      <c r="AI166" t="e">
        <f>AND(Demos!#REF!,"AAAAABf/+yI=")</f>
        <v>#REF!</v>
      </c>
      <c r="AJ166" t="e">
        <f>AND(Demos!#REF!,"AAAAABf/+yM=")</f>
        <v>#REF!</v>
      </c>
      <c r="AK166" t="e">
        <f>AND(Demos!#REF!,"AAAAABf/+yQ=")</f>
        <v>#REF!</v>
      </c>
      <c r="AL166" t="e">
        <f>AND(Demos!#REF!,"AAAAABf/+yU=")</f>
        <v>#REF!</v>
      </c>
      <c r="AM166" t="e">
        <f>IF(Demos!#REF!,"AAAAABf/+yY=",0)</f>
        <v>#REF!</v>
      </c>
      <c r="AN166" t="e">
        <f>AND(Demos!#REF!,"AAAAABf/+yc=")</f>
        <v>#REF!</v>
      </c>
      <c r="AO166" t="e">
        <f>AND(Demos!#REF!,"AAAAABf/+yg=")</f>
        <v>#REF!</v>
      </c>
      <c r="AP166" t="e">
        <f>AND(Demos!#REF!,"AAAAABf/+yk=")</f>
        <v>#REF!</v>
      </c>
      <c r="AQ166" t="e">
        <f>AND(Demos!#REF!,"AAAAABf/+yo=")</f>
        <v>#REF!</v>
      </c>
      <c r="AR166" t="e">
        <f>AND(Demos!#REF!,"AAAAABf/+ys=")</f>
        <v>#REF!</v>
      </c>
      <c r="AS166" t="e">
        <f>AND(Demos!#REF!,"AAAAABf/+yw=")</f>
        <v>#REF!</v>
      </c>
      <c r="AT166" t="e">
        <f>AND(Demos!#REF!,"AAAAABf/+y0=")</f>
        <v>#REF!</v>
      </c>
      <c r="AU166" t="e">
        <f>AND(Demos!#REF!,"AAAAABf/+y4=")</f>
        <v>#REF!</v>
      </c>
      <c r="AV166" t="e">
        <f>AND(Demos!#REF!,"AAAAABf/+y8=")</f>
        <v>#REF!</v>
      </c>
      <c r="AW166" t="e">
        <f>AND(Demos!#REF!,"AAAAABf/+zA=")</f>
        <v>#REF!</v>
      </c>
      <c r="AX166" t="e">
        <f>AND(Demos!#REF!,"AAAAABf/+zE=")</f>
        <v>#REF!</v>
      </c>
      <c r="AY166" t="e">
        <f>AND(Demos!#REF!,"AAAAABf/+zI=")</f>
        <v>#REF!</v>
      </c>
      <c r="AZ166" t="e">
        <f>AND(Demos!#REF!,"AAAAABf/+zM=")</f>
        <v>#REF!</v>
      </c>
      <c r="BA166" t="e">
        <f>IF(Demos!#REF!,"AAAAABf/+zQ=",0)</f>
        <v>#REF!</v>
      </c>
      <c r="BB166" t="e">
        <f>AND(Demos!#REF!,"AAAAABf/+zU=")</f>
        <v>#REF!</v>
      </c>
      <c r="BC166" t="e">
        <f>AND(Demos!#REF!,"AAAAABf/+zY=")</f>
        <v>#REF!</v>
      </c>
      <c r="BD166" t="e">
        <f>AND(Demos!#REF!,"AAAAABf/+zc=")</f>
        <v>#REF!</v>
      </c>
      <c r="BE166" t="e">
        <f>AND(Demos!#REF!,"AAAAABf/+zg=")</f>
        <v>#REF!</v>
      </c>
      <c r="BF166" t="e">
        <f>AND(Demos!#REF!,"AAAAABf/+zk=")</f>
        <v>#REF!</v>
      </c>
      <c r="BG166" t="e">
        <f>AND(Demos!#REF!,"AAAAABf/+zo=")</f>
        <v>#REF!</v>
      </c>
      <c r="BH166" t="e">
        <f>AND(Demos!#REF!,"AAAAABf/+zs=")</f>
        <v>#REF!</v>
      </c>
      <c r="BI166" t="e">
        <f>AND(Demos!#REF!,"AAAAABf/+zw=")</f>
        <v>#REF!</v>
      </c>
      <c r="BJ166" t="e">
        <f>AND(Demos!#REF!,"AAAAABf/+z0=")</f>
        <v>#REF!</v>
      </c>
      <c r="BK166" t="e">
        <f>AND(Demos!#REF!,"AAAAABf/+z4=")</f>
        <v>#REF!</v>
      </c>
      <c r="BL166" t="e">
        <f>AND(Demos!#REF!,"AAAAABf/+z8=")</f>
        <v>#REF!</v>
      </c>
      <c r="BM166" t="e">
        <f>AND(Demos!#REF!,"AAAAABf/+0A=")</f>
        <v>#REF!</v>
      </c>
      <c r="BN166" t="e">
        <f>AND(Demos!#REF!,"AAAAABf/+0E=")</f>
        <v>#REF!</v>
      </c>
      <c r="BO166" t="e">
        <f>IF(Demos!#REF!,"AAAAABf/+0I=",0)</f>
        <v>#REF!</v>
      </c>
      <c r="BP166" t="e">
        <f>AND(Demos!#REF!,"AAAAABf/+0M=")</f>
        <v>#REF!</v>
      </c>
      <c r="BQ166" t="e">
        <f>AND(Demos!#REF!,"AAAAABf/+0Q=")</f>
        <v>#REF!</v>
      </c>
      <c r="BR166" t="e">
        <f>AND(Demos!#REF!,"AAAAABf/+0U=")</f>
        <v>#REF!</v>
      </c>
      <c r="BS166" t="e">
        <f>AND(Demos!#REF!,"AAAAABf/+0Y=")</f>
        <v>#REF!</v>
      </c>
      <c r="BT166" t="e">
        <f>AND(Demos!#REF!,"AAAAABf/+0c=")</f>
        <v>#REF!</v>
      </c>
      <c r="BU166" t="e">
        <f>AND(Demos!#REF!,"AAAAABf/+0g=")</f>
        <v>#REF!</v>
      </c>
      <c r="BV166" t="e">
        <f>AND(Demos!#REF!,"AAAAABf/+0k=")</f>
        <v>#REF!</v>
      </c>
      <c r="BW166" t="e">
        <f>AND(Demos!#REF!,"AAAAABf/+0o=")</f>
        <v>#REF!</v>
      </c>
      <c r="BX166" t="e">
        <f>AND(Demos!#REF!,"AAAAABf/+0s=")</f>
        <v>#REF!</v>
      </c>
      <c r="BY166" t="e">
        <f>AND(Demos!#REF!,"AAAAABf/+0w=")</f>
        <v>#REF!</v>
      </c>
      <c r="BZ166" t="e">
        <f>AND(Demos!#REF!,"AAAAABf/+00=")</f>
        <v>#REF!</v>
      </c>
      <c r="CA166" t="e">
        <f>AND(Demos!#REF!,"AAAAABf/+04=")</f>
        <v>#REF!</v>
      </c>
      <c r="CB166" t="e">
        <f>AND(Demos!#REF!,"AAAAABf/+08=")</f>
        <v>#REF!</v>
      </c>
      <c r="CC166" t="e">
        <f>IF(Demos!#REF!,"AAAAABf/+1A=",0)</f>
        <v>#REF!</v>
      </c>
      <c r="CD166" t="e">
        <f>AND(Demos!#REF!,"AAAAABf/+1E=")</f>
        <v>#REF!</v>
      </c>
      <c r="CE166" t="e">
        <f>AND(Demos!#REF!,"AAAAABf/+1I=")</f>
        <v>#REF!</v>
      </c>
      <c r="CF166" t="e">
        <f>AND(Demos!#REF!,"AAAAABf/+1M=")</f>
        <v>#REF!</v>
      </c>
      <c r="CG166" t="e">
        <f>AND(Demos!#REF!,"AAAAABf/+1Q=")</f>
        <v>#REF!</v>
      </c>
      <c r="CH166" t="e">
        <f>AND(Demos!#REF!,"AAAAABf/+1U=")</f>
        <v>#REF!</v>
      </c>
      <c r="CI166" t="e">
        <f>AND(Demos!#REF!,"AAAAABf/+1Y=")</f>
        <v>#REF!</v>
      </c>
      <c r="CJ166" t="e">
        <f>AND(Demos!#REF!,"AAAAABf/+1c=")</f>
        <v>#REF!</v>
      </c>
      <c r="CK166" t="e">
        <f>AND(Demos!#REF!,"AAAAABf/+1g=")</f>
        <v>#REF!</v>
      </c>
      <c r="CL166" t="e">
        <f>AND(Demos!#REF!,"AAAAABf/+1k=")</f>
        <v>#REF!</v>
      </c>
      <c r="CM166" t="e">
        <f>AND(Demos!#REF!,"AAAAABf/+1o=")</f>
        <v>#REF!</v>
      </c>
      <c r="CN166" t="e">
        <f>AND(Demos!#REF!,"AAAAABf/+1s=")</f>
        <v>#REF!</v>
      </c>
      <c r="CO166" t="e">
        <f>AND(Demos!#REF!,"AAAAABf/+1w=")</f>
        <v>#REF!</v>
      </c>
      <c r="CP166" t="e">
        <f>AND(Demos!#REF!,"AAAAABf/+10=")</f>
        <v>#REF!</v>
      </c>
      <c r="CQ166" t="e">
        <f>IF(Demos!#REF!,"AAAAABf/+14=",0)</f>
        <v>#REF!</v>
      </c>
      <c r="CR166" t="e">
        <f>AND(Demos!#REF!,"AAAAABf/+18=")</f>
        <v>#REF!</v>
      </c>
      <c r="CS166" t="e">
        <f>AND(Demos!#REF!,"AAAAABf/+2A=")</f>
        <v>#REF!</v>
      </c>
      <c r="CT166" t="e">
        <f>AND(Demos!#REF!,"AAAAABf/+2E=")</f>
        <v>#REF!</v>
      </c>
      <c r="CU166" t="e">
        <f>AND(Demos!#REF!,"AAAAABf/+2I=")</f>
        <v>#REF!</v>
      </c>
      <c r="CV166" t="e">
        <f>AND(Demos!#REF!,"AAAAABf/+2M=")</f>
        <v>#REF!</v>
      </c>
      <c r="CW166" t="e">
        <f>AND(Demos!#REF!,"AAAAABf/+2Q=")</f>
        <v>#REF!</v>
      </c>
      <c r="CX166" t="e">
        <f>AND(Demos!#REF!,"AAAAABf/+2U=")</f>
        <v>#REF!</v>
      </c>
      <c r="CY166" t="e">
        <f>AND(Demos!#REF!,"AAAAABf/+2Y=")</f>
        <v>#REF!</v>
      </c>
      <c r="CZ166" t="e">
        <f>AND(Demos!#REF!,"AAAAABf/+2c=")</f>
        <v>#REF!</v>
      </c>
      <c r="DA166" t="e">
        <f>AND(Demos!#REF!,"AAAAABf/+2g=")</f>
        <v>#REF!</v>
      </c>
      <c r="DB166" t="e">
        <f>AND(Demos!#REF!,"AAAAABf/+2k=")</f>
        <v>#REF!</v>
      </c>
      <c r="DC166" t="e">
        <f>AND(Demos!#REF!,"AAAAABf/+2o=")</f>
        <v>#REF!</v>
      </c>
      <c r="DD166" t="e">
        <f>AND(Demos!#REF!,"AAAAABf/+2s=")</f>
        <v>#REF!</v>
      </c>
      <c r="DE166" t="e">
        <f>IF(Demos!#REF!,"AAAAABf/+2w=",0)</f>
        <v>#REF!</v>
      </c>
      <c r="DF166" t="e">
        <f>AND(Demos!#REF!,"AAAAABf/+20=")</f>
        <v>#REF!</v>
      </c>
      <c r="DG166" t="e">
        <f>AND(Demos!#REF!,"AAAAABf/+24=")</f>
        <v>#REF!</v>
      </c>
      <c r="DH166" t="e">
        <f>AND(Demos!#REF!,"AAAAABf/+28=")</f>
        <v>#REF!</v>
      </c>
      <c r="DI166" t="e">
        <f>AND(Demos!#REF!,"AAAAABf/+3A=")</f>
        <v>#REF!</v>
      </c>
      <c r="DJ166" t="e">
        <f>AND(Demos!#REF!,"AAAAABf/+3E=")</f>
        <v>#REF!</v>
      </c>
      <c r="DK166" t="e">
        <f>AND(Demos!#REF!,"AAAAABf/+3I=")</f>
        <v>#REF!</v>
      </c>
      <c r="DL166" t="e">
        <f>AND(Demos!#REF!,"AAAAABf/+3M=")</f>
        <v>#REF!</v>
      </c>
      <c r="DM166" t="e">
        <f>AND(Demos!#REF!,"AAAAABf/+3Q=")</f>
        <v>#REF!</v>
      </c>
      <c r="DN166" t="e">
        <f>AND(Demos!#REF!,"AAAAABf/+3U=")</f>
        <v>#REF!</v>
      </c>
      <c r="DO166" t="e">
        <f>AND(Demos!#REF!,"AAAAABf/+3Y=")</f>
        <v>#REF!</v>
      </c>
      <c r="DP166" t="e">
        <f>AND(Demos!#REF!,"AAAAABf/+3c=")</f>
        <v>#REF!</v>
      </c>
      <c r="DQ166" t="e">
        <f>AND(Demos!#REF!,"AAAAABf/+3g=")</f>
        <v>#REF!</v>
      </c>
      <c r="DR166" t="e">
        <f>AND(Demos!#REF!,"AAAAABf/+3k=")</f>
        <v>#REF!</v>
      </c>
      <c r="DS166" t="e">
        <f>IF(Demos!#REF!,"AAAAABf/+3o=",0)</f>
        <v>#REF!</v>
      </c>
      <c r="DT166" t="e">
        <f>AND(Demos!#REF!,"AAAAABf/+3s=")</f>
        <v>#REF!</v>
      </c>
      <c r="DU166" t="e">
        <f>AND(Demos!#REF!,"AAAAABf/+3w=")</f>
        <v>#REF!</v>
      </c>
      <c r="DV166" t="e">
        <f>AND(Demos!#REF!,"AAAAABf/+30=")</f>
        <v>#REF!</v>
      </c>
      <c r="DW166" t="e">
        <f>AND(Demos!#REF!,"AAAAABf/+34=")</f>
        <v>#REF!</v>
      </c>
      <c r="DX166" t="e">
        <f>AND(Demos!#REF!,"AAAAABf/+38=")</f>
        <v>#REF!</v>
      </c>
      <c r="DY166" t="e">
        <f>AND(Demos!#REF!,"AAAAABf/+4A=")</f>
        <v>#REF!</v>
      </c>
      <c r="DZ166" t="e">
        <f>AND(Demos!#REF!,"AAAAABf/+4E=")</f>
        <v>#REF!</v>
      </c>
      <c r="EA166" t="e">
        <f>AND(Demos!#REF!,"AAAAABf/+4I=")</f>
        <v>#REF!</v>
      </c>
      <c r="EB166" t="e">
        <f>AND(Demos!#REF!,"AAAAABf/+4M=")</f>
        <v>#REF!</v>
      </c>
      <c r="EC166" t="e">
        <f>AND(Demos!#REF!,"AAAAABf/+4Q=")</f>
        <v>#REF!</v>
      </c>
      <c r="ED166" t="e">
        <f>AND(Demos!#REF!,"AAAAABf/+4U=")</f>
        <v>#REF!</v>
      </c>
      <c r="EE166" t="e">
        <f>AND(Demos!#REF!,"AAAAABf/+4Y=")</f>
        <v>#REF!</v>
      </c>
      <c r="EF166" t="e">
        <f>AND(Demos!#REF!,"AAAAABf/+4c=")</f>
        <v>#REF!</v>
      </c>
      <c r="EG166" t="e">
        <f>IF(Demos!#REF!,"AAAAABf/+4g=",0)</f>
        <v>#REF!</v>
      </c>
      <c r="EH166" t="e">
        <f>AND(Demos!#REF!,"AAAAABf/+4k=")</f>
        <v>#REF!</v>
      </c>
      <c r="EI166" t="e">
        <f>AND(Demos!#REF!,"AAAAABf/+4o=")</f>
        <v>#REF!</v>
      </c>
      <c r="EJ166" t="e">
        <f>AND(Demos!#REF!,"AAAAABf/+4s=")</f>
        <v>#REF!</v>
      </c>
      <c r="EK166" t="e">
        <f>AND(Demos!#REF!,"AAAAABf/+4w=")</f>
        <v>#REF!</v>
      </c>
      <c r="EL166" t="e">
        <f>AND(Demos!#REF!,"AAAAABf/+40=")</f>
        <v>#REF!</v>
      </c>
      <c r="EM166" t="e">
        <f>AND(Demos!#REF!,"AAAAABf/+44=")</f>
        <v>#REF!</v>
      </c>
      <c r="EN166" t="e">
        <f>AND(Demos!#REF!,"AAAAABf/+48=")</f>
        <v>#REF!</v>
      </c>
      <c r="EO166" t="e">
        <f>AND(Demos!#REF!,"AAAAABf/+5A=")</f>
        <v>#REF!</v>
      </c>
      <c r="EP166" t="e">
        <f>AND(Demos!#REF!,"AAAAABf/+5E=")</f>
        <v>#REF!</v>
      </c>
      <c r="EQ166" t="e">
        <f>AND(Demos!#REF!,"AAAAABf/+5I=")</f>
        <v>#REF!</v>
      </c>
      <c r="ER166" t="e">
        <f>AND(Demos!#REF!,"AAAAABf/+5M=")</f>
        <v>#REF!</v>
      </c>
      <c r="ES166" t="e">
        <f>AND(Demos!#REF!,"AAAAABf/+5Q=")</f>
        <v>#REF!</v>
      </c>
      <c r="ET166" t="e">
        <f>AND(Demos!#REF!,"AAAAABf/+5U=")</f>
        <v>#REF!</v>
      </c>
      <c r="EU166" t="e">
        <f>IF(Demos!#REF!,"AAAAABf/+5Y=",0)</f>
        <v>#REF!</v>
      </c>
      <c r="EV166" t="e">
        <f>AND(Demos!#REF!,"AAAAABf/+5c=")</f>
        <v>#REF!</v>
      </c>
      <c r="EW166" t="e">
        <f>AND(Demos!#REF!,"AAAAABf/+5g=")</f>
        <v>#REF!</v>
      </c>
      <c r="EX166" t="e">
        <f>AND(Demos!#REF!,"AAAAABf/+5k=")</f>
        <v>#REF!</v>
      </c>
      <c r="EY166" t="e">
        <f>AND(Demos!#REF!,"AAAAABf/+5o=")</f>
        <v>#REF!</v>
      </c>
      <c r="EZ166" t="e">
        <f>AND(Demos!#REF!,"AAAAABf/+5s=")</f>
        <v>#REF!</v>
      </c>
      <c r="FA166" t="e">
        <f>AND(Demos!#REF!,"AAAAABf/+5w=")</f>
        <v>#REF!</v>
      </c>
      <c r="FB166" t="e">
        <f>AND(Demos!#REF!,"AAAAABf/+50=")</f>
        <v>#REF!</v>
      </c>
      <c r="FC166" t="e">
        <f>AND(Demos!#REF!,"AAAAABf/+54=")</f>
        <v>#REF!</v>
      </c>
      <c r="FD166" t="e">
        <f>AND(Demos!#REF!,"AAAAABf/+58=")</f>
        <v>#REF!</v>
      </c>
      <c r="FE166" t="e">
        <f>AND(Demos!#REF!,"AAAAABf/+6A=")</f>
        <v>#REF!</v>
      </c>
      <c r="FF166" t="e">
        <f>AND(Demos!#REF!,"AAAAABf/+6E=")</f>
        <v>#REF!</v>
      </c>
      <c r="FG166" t="e">
        <f>AND(Demos!#REF!,"AAAAABf/+6I=")</f>
        <v>#REF!</v>
      </c>
      <c r="FH166" t="e">
        <f>AND(Demos!#REF!,"AAAAABf/+6M=")</f>
        <v>#REF!</v>
      </c>
      <c r="FI166" t="e">
        <f>IF(Demos!#REF!,"AAAAABf/+6Q=",0)</f>
        <v>#REF!</v>
      </c>
      <c r="FJ166" t="e">
        <f>AND(Demos!#REF!,"AAAAABf/+6U=")</f>
        <v>#REF!</v>
      </c>
      <c r="FK166" t="e">
        <f>AND(Demos!#REF!,"AAAAABf/+6Y=")</f>
        <v>#REF!</v>
      </c>
      <c r="FL166" t="e">
        <f>AND(Demos!#REF!,"AAAAABf/+6c=")</f>
        <v>#REF!</v>
      </c>
      <c r="FM166" t="e">
        <f>AND(Demos!#REF!,"AAAAABf/+6g=")</f>
        <v>#REF!</v>
      </c>
      <c r="FN166" t="e">
        <f>AND(Demos!#REF!,"AAAAABf/+6k=")</f>
        <v>#REF!</v>
      </c>
      <c r="FO166" t="e">
        <f>AND(Demos!#REF!,"AAAAABf/+6o=")</f>
        <v>#REF!</v>
      </c>
      <c r="FP166" t="e">
        <f>AND(Demos!#REF!,"AAAAABf/+6s=")</f>
        <v>#REF!</v>
      </c>
      <c r="FQ166" t="e">
        <f>AND(Demos!#REF!,"AAAAABf/+6w=")</f>
        <v>#REF!</v>
      </c>
      <c r="FR166" t="e">
        <f>AND(Demos!#REF!,"AAAAABf/+60=")</f>
        <v>#REF!</v>
      </c>
      <c r="FS166" t="e">
        <f>AND(Demos!#REF!,"AAAAABf/+64=")</f>
        <v>#REF!</v>
      </c>
      <c r="FT166" t="e">
        <f>AND(Demos!#REF!,"AAAAABf/+68=")</f>
        <v>#REF!</v>
      </c>
      <c r="FU166" t="e">
        <f>AND(Demos!#REF!,"AAAAABf/+7A=")</f>
        <v>#REF!</v>
      </c>
      <c r="FV166" t="e">
        <f>AND(Demos!#REF!,"AAAAABf/+7E=")</f>
        <v>#REF!</v>
      </c>
      <c r="FW166" t="e">
        <f>IF(Demos!#REF!,"AAAAABf/+7I=",0)</f>
        <v>#REF!</v>
      </c>
      <c r="FX166" t="e">
        <f>AND(Demos!#REF!,"AAAAABf/+7M=")</f>
        <v>#REF!</v>
      </c>
      <c r="FY166" t="e">
        <f>AND(Demos!#REF!,"AAAAABf/+7Q=")</f>
        <v>#REF!</v>
      </c>
      <c r="FZ166" t="e">
        <f>AND(Demos!#REF!,"AAAAABf/+7U=")</f>
        <v>#REF!</v>
      </c>
      <c r="GA166" t="e">
        <f>AND(Demos!#REF!,"AAAAABf/+7Y=")</f>
        <v>#REF!</v>
      </c>
      <c r="GB166" t="e">
        <f>AND(Demos!#REF!,"AAAAABf/+7c=")</f>
        <v>#REF!</v>
      </c>
      <c r="GC166" t="e">
        <f>AND(Demos!#REF!,"AAAAABf/+7g=")</f>
        <v>#REF!</v>
      </c>
      <c r="GD166" t="e">
        <f>AND(Demos!#REF!,"AAAAABf/+7k=")</f>
        <v>#REF!</v>
      </c>
      <c r="GE166" t="e">
        <f>AND(Demos!#REF!,"AAAAABf/+7o=")</f>
        <v>#REF!</v>
      </c>
      <c r="GF166" t="e">
        <f>AND(Demos!#REF!,"AAAAABf/+7s=")</f>
        <v>#REF!</v>
      </c>
      <c r="GG166" t="e">
        <f>AND(Demos!#REF!,"AAAAABf/+7w=")</f>
        <v>#REF!</v>
      </c>
      <c r="GH166" t="e">
        <f>AND(Demos!#REF!,"AAAAABf/+70=")</f>
        <v>#REF!</v>
      </c>
      <c r="GI166" t="e">
        <f>AND(Demos!#REF!,"AAAAABf/+74=")</f>
        <v>#REF!</v>
      </c>
      <c r="GJ166" t="e">
        <f>AND(Demos!#REF!,"AAAAABf/+78=")</f>
        <v>#REF!</v>
      </c>
      <c r="GK166" t="e">
        <f>IF(Demos!#REF!,"AAAAABf/+8A=",0)</f>
        <v>#REF!</v>
      </c>
      <c r="GL166" t="e">
        <f>AND(Demos!#REF!,"AAAAABf/+8E=")</f>
        <v>#REF!</v>
      </c>
      <c r="GM166" t="e">
        <f>AND(Demos!#REF!,"AAAAABf/+8I=")</f>
        <v>#REF!</v>
      </c>
      <c r="GN166" t="e">
        <f>AND(Demos!#REF!,"AAAAABf/+8M=")</f>
        <v>#REF!</v>
      </c>
      <c r="GO166" t="e">
        <f>AND(Demos!#REF!,"AAAAABf/+8Q=")</f>
        <v>#REF!</v>
      </c>
      <c r="GP166" t="e">
        <f>AND(Demos!#REF!,"AAAAABf/+8U=")</f>
        <v>#REF!</v>
      </c>
      <c r="GQ166" t="e">
        <f>AND(Demos!#REF!,"AAAAABf/+8Y=")</f>
        <v>#REF!</v>
      </c>
      <c r="GR166" t="e">
        <f>AND(Demos!#REF!,"AAAAABf/+8c=")</f>
        <v>#REF!</v>
      </c>
      <c r="GS166" t="e">
        <f>AND(Demos!#REF!,"AAAAABf/+8g=")</f>
        <v>#REF!</v>
      </c>
      <c r="GT166" t="e">
        <f>AND(Demos!#REF!,"AAAAABf/+8k=")</f>
        <v>#REF!</v>
      </c>
      <c r="GU166" t="e">
        <f>AND(Demos!#REF!,"AAAAABf/+8o=")</f>
        <v>#REF!</v>
      </c>
      <c r="GV166" t="e">
        <f>AND(Demos!#REF!,"AAAAABf/+8s=")</f>
        <v>#REF!</v>
      </c>
      <c r="GW166" t="e">
        <f>AND(Demos!#REF!,"AAAAABf/+8w=")</f>
        <v>#REF!</v>
      </c>
      <c r="GX166" t="e">
        <f>AND(Demos!#REF!,"AAAAABf/+80=")</f>
        <v>#REF!</v>
      </c>
      <c r="GY166" t="e">
        <f>IF(Demos!#REF!,"AAAAABf/+84=",0)</f>
        <v>#REF!</v>
      </c>
      <c r="GZ166" t="e">
        <f>AND(Demos!#REF!,"AAAAABf/+88=")</f>
        <v>#REF!</v>
      </c>
      <c r="HA166" t="e">
        <f>AND(Demos!#REF!,"AAAAABf/+9A=")</f>
        <v>#REF!</v>
      </c>
      <c r="HB166" t="e">
        <f>AND(Demos!#REF!,"AAAAABf/+9E=")</f>
        <v>#REF!</v>
      </c>
      <c r="HC166" t="e">
        <f>AND(Demos!#REF!,"AAAAABf/+9I=")</f>
        <v>#REF!</v>
      </c>
      <c r="HD166" t="e">
        <f>AND(Demos!#REF!,"AAAAABf/+9M=")</f>
        <v>#REF!</v>
      </c>
      <c r="HE166" t="e">
        <f>AND(Demos!#REF!,"AAAAABf/+9Q=")</f>
        <v>#REF!</v>
      </c>
      <c r="HF166" t="e">
        <f>AND(Demos!#REF!,"AAAAABf/+9U=")</f>
        <v>#REF!</v>
      </c>
      <c r="HG166" t="e">
        <f>AND(Demos!#REF!,"AAAAABf/+9Y=")</f>
        <v>#REF!</v>
      </c>
      <c r="HH166" t="e">
        <f>AND(Demos!#REF!,"AAAAABf/+9c=")</f>
        <v>#REF!</v>
      </c>
      <c r="HI166" t="e">
        <f>AND(Demos!#REF!,"AAAAABf/+9g=")</f>
        <v>#REF!</v>
      </c>
      <c r="HJ166" t="e">
        <f>AND(Demos!#REF!,"AAAAABf/+9k=")</f>
        <v>#REF!</v>
      </c>
      <c r="HK166" t="e">
        <f>AND(Demos!#REF!,"AAAAABf/+9o=")</f>
        <v>#REF!</v>
      </c>
      <c r="HL166" t="e">
        <f>AND(Demos!#REF!,"AAAAABf/+9s=")</f>
        <v>#REF!</v>
      </c>
      <c r="HM166" t="e">
        <f>IF(Demos!#REF!,"AAAAABf/+9w=",0)</f>
        <v>#REF!</v>
      </c>
      <c r="HN166" t="e">
        <f>AND(Demos!#REF!,"AAAAABf/+90=")</f>
        <v>#REF!</v>
      </c>
      <c r="HO166" t="e">
        <f>AND(Demos!#REF!,"AAAAABf/+94=")</f>
        <v>#REF!</v>
      </c>
      <c r="HP166" t="e">
        <f>AND(Demos!#REF!,"AAAAABf/+98=")</f>
        <v>#REF!</v>
      </c>
      <c r="HQ166" t="e">
        <f>AND(Demos!#REF!,"AAAAABf/++A=")</f>
        <v>#REF!</v>
      </c>
      <c r="HR166" t="e">
        <f>AND(Demos!#REF!,"AAAAABf/++E=")</f>
        <v>#REF!</v>
      </c>
      <c r="HS166" t="e">
        <f>AND(Demos!#REF!,"AAAAABf/++I=")</f>
        <v>#REF!</v>
      </c>
      <c r="HT166" t="e">
        <f>AND(Demos!#REF!,"AAAAABf/++M=")</f>
        <v>#REF!</v>
      </c>
      <c r="HU166" t="e">
        <f>AND(Demos!#REF!,"AAAAABf/++Q=")</f>
        <v>#REF!</v>
      </c>
      <c r="HV166" t="e">
        <f>AND(Demos!#REF!,"AAAAABf/++U=")</f>
        <v>#REF!</v>
      </c>
      <c r="HW166" t="e">
        <f>AND(Demos!#REF!,"AAAAABf/++Y=")</f>
        <v>#REF!</v>
      </c>
      <c r="HX166" t="e">
        <f>AND(Demos!#REF!,"AAAAABf/++c=")</f>
        <v>#REF!</v>
      </c>
      <c r="HY166" t="e">
        <f>AND(Demos!#REF!,"AAAAABf/++g=")</f>
        <v>#REF!</v>
      </c>
      <c r="HZ166" t="e">
        <f>AND(Demos!#REF!,"AAAAABf/++k=")</f>
        <v>#REF!</v>
      </c>
      <c r="IA166" t="e">
        <f>IF(Demos!#REF!,"AAAAABf/++o=",0)</f>
        <v>#REF!</v>
      </c>
      <c r="IB166" t="e">
        <f>AND(Demos!#REF!,"AAAAABf/++s=")</f>
        <v>#REF!</v>
      </c>
      <c r="IC166" t="e">
        <f>AND(Demos!#REF!,"AAAAABf/++w=")</f>
        <v>#REF!</v>
      </c>
      <c r="ID166" t="e">
        <f>AND(Demos!#REF!,"AAAAABf/++0=")</f>
        <v>#REF!</v>
      </c>
      <c r="IE166" t="e">
        <f>AND(Demos!#REF!,"AAAAABf/++4=")</f>
        <v>#REF!</v>
      </c>
      <c r="IF166" t="e">
        <f>AND(Demos!#REF!,"AAAAABf/++8=")</f>
        <v>#REF!</v>
      </c>
      <c r="IG166" t="e">
        <f>AND(Demos!#REF!,"AAAAABf/+/A=")</f>
        <v>#REF!</v>
      </c>
      <c r="IH166" t="e">
        <f>AND(Demos!#REF!,"AAAAABf/+/E=")</f>
        <v>#REF!</v>
      </c>
      <c r="II166" t="e">
        <f>AND(Demos!#REF!,"AAAAABf/+/I=")</f>
        <v>#REF!</v>
      </c>
      <c r="IJ166" t="e">
        <f>AND(Demos!#REF!,"AAAAABf/+/M=")</f>
        <v>#REF!</v>
      </c>
      <c r="IK166" t="e">
        <f>AND(Demos!#REF!,"AAAAABf/+/Q=")</f>
        <v>#REF!</v>
      </c>
      <c r="IL166" t="e">
        <f>AND(Demos!#REF!,"AAAAABf/+/U=")</f>
        <v>#REF!</v>
      </c>
      <c r="IM166" t="e">
        <f>AND(Demos!#REF!,"AAAAABf/+/Y=")</f>
        <v>#REF!</v>
      </c>
      <c r="IN166" t="e">
        <f>AND(Demos!#REF!,"AAAAABf/+/c=")</f>
        <v>#REF!</v>
      </c>
      <c r="IO166" t="e">
        <f>IF(Demos!#REF!,"AAAAABf/+/g=",0)</f>
        <v>#REF!</v>
      </c>
      <c r="IP166" t="e">
        <f>AND(Demos!#REF!,"AAAAABf/+/k=")</f>
        <v>#REF!</v>
      </c>
      <c r="IQ166" t="e">
        <f>AND(Demos!#REF!,"AAAAABf/+/o=")</f>
        <v>#REF!</v>
      </c>
      <c r="IR166" t="e">
        <f>AND(Demos!#REF!,"AAAAABf/+/s=")</f>
        <v>#REF!</v>
      </c>
      <c r="IS166" t="e">
        <f>AND(Demos!#REF!,"AAAAABf/+/w=")</f>
        <v>#REF!</v>
      </c>
      <c r="IT166" t="e">
        <f>AND(Demos!#REF!,"AAAAABf/+/0=")</f>
        <v>#REF!</v>
      </c>
      <c r="IU166" t="e">
        <f>AND(Demos!#REF!,"AAAAABf/+/4=")</f>
        <v>#REF!</v>
      </c>
      <c r="IV166" t="e">
        <f>AND(Demos!#REF!,"AAAAABf/+/8=")</f>
        <v>#REF!</v>
      </c>
    </row>
    <row r="167" spans="1:256" x14ac:dyDescent="0.2">
      <c r="A167" t="e">
        <f>AND(Demos!#REF!,"AAAAAH680wA=")</f>
        <v>#REF!</v>
      </c>
      <c r="B167" t="e">
        <f>AND(Demos!#REF!,"AAAAAH680wE=")</f>
        <v>#REF!</v>
      </c>
      <c r="C167" t="e">
        <f>AND(Demos!#REF!,"AAAAAH680wI=")</f>
        <v>#REF!</v>
      </c>
      <c r="D167" t="e">
        <f>AND(Demos!#REF!,"AAAAAH680wM=")</f>
        <v>#REF!</v>
      </c>
      <c r="E167" t="e">
        <f>AND(Demos!#REF!,"AAAAAH680wQ=")</f>
        <v>#REF!</v>
      </c>
      <c r="F167" t="e">
        <f>AND(Demos!#REF!,"AAAAAH680wU=")</f>
        <v>#REF!</v>
      </c>
      <c r="G167" t="e">
        <f>IF(Demos!#REF!,"AAAAAH680wY=",0)</f>
        <v>#REF!</v>
      </c>
      <c r="H167" t="e">
        <f>AND(Demos!#REF!,"AAAAAH680wc=")</f>
        <v>#REF!</v>
      </c>
      <c r="I167" t="e">
        <f>AND(Demos!#REF!,"AAAAAH680wg=")</f>
        <v>#REF!</v>
      </c>
      <c r="J167" t="e">
        <f>AND(Demos!#REF!,"AAAAAH680wk=")</f>
        <v>#REF!</v>
      </c>
      <c r="K167" t="e">
        <f>AND(Demos!#REF!,"AAAAAH680wo=")</f>
        <v>#REF!</v>
      </c>
      <c r="L167" t="e">
        <f>AND(Demos!#REF!,"AAAAAH680ws=")</f>
        <v>#REF!</v>
      </c>
      <c r="M167" t="e">
        <f>AND(Demos!#REF!,"AAAAAH680ww=")</f>
        <v>#REF!</v>
      </c>
      <c r="N167" t="e">
        <f>AND(Demos!#REF!,"AAAAAH680w0=")</f>
        <v>#REF!</v>
      </c>
      <c r="O167" t="e">
        <f>AND(Demos!#REF!,"AAAAAH680w4=")</f>
        <v>#REF!</v>
      </c>
      <c r="P167" t="e">
        <f>AND(Demos!#REF!,"AAAAAH680w8=")</f>
        <v>#REF!</v>
      </c>
      <c r="Q167" t="e">
        <f>AND(Demos!#REF!,"AAAAAH680xA=")</f>
        <v>#REF!</v>
      </c>
      <c r="R167" t="e">
        <f>AND(Demos!#REF!,"AAAAAH680xE=")</f>
        <v>#REF!</v>
      </c>
      <c r="S167" t="e">
        <f>AND(Demos!#REF!,"AAAAAH680xI=")</f>
        <v>#REF!</v>
      </c>
      <c r="T167" t="e">
        <f>AND(Demos!#REF!,"AAAAAH680xM=")</f>
        <v>#REF!</v>
      </c>
      <c r="U167" t="e">
        <f>IF(Demos!#REF!,"AAAAAH680xQ=",0)</f>
        <v>#REF!</v>
      </c>
      <c r="V167" t="e">
        <f>AND(Demos!#REF!,"AAAAAH680xU=")</f>
        <v>#REF!</v>
      </c>
      <c r="W167" t="e">
        <f>AND(Demos!#REF!,"AAAAAH680xY=")</f>
        <v>#REF!</v>
      </c>
      <c r="X167" t="e">
        <f>AND(Demos!#REF!,"AAAAAH680xc=")</f>
        <v>#REF!</v>
      </c>
      <c r="Y167" t="e">
        <f>AND(Demos!#REF!,"AAAAAH680xg=")</f>
        <v>#REF!</v>
      </c>
      <c r="Z167" t="e">
        <f>AND(Demos!#REF!,"AAAAAH680xk=")</f>
        <v>#REF!</v>
      </c>
      <c r="AA167" t="e">
        <f>AND(Demos!#REF!,"AAAAAH680xo=")</f>
        <v>#REF!</v>
      </c>
      <c r="AB167" t="e">
        <f>AND(Demos!#REF!,"AAAAAH680xs=")</f>
        <v>#REF!</v>
      </c>
      <c r="AC167" t="e">
        <f>AND(Demos!#REF!,"AAAAAH680xw=")</f>
        <v>#REF!</v>
      </c>
      <c r="AD167" t="e">
        <f>AND(Demos!#REF!,"AAAAAH680x0=")</f>
        <v>#REF!</v>
      </c>
      <c r="AE167" t="e">
        <f>AND(Demos!#REF!,"AAAAAH680x4=")</f>
        <v>#REF!</v>
      </c>
      <c r="AF167" t="e">
        <f>AND(Demos!#REF!,"AAAAAH680x8=")</f>
        <v>#REF!</v>
      </c>
      <c r="AG167" t="e">
        <f>AND(Demos!#REF!,"AAAAAH680yA=")</f>
        <v>#REF!</v>
      </c>
      <c r="AH167" t="e">
        <f>AND(Demos!#REF!,"AAAAAH680yE=")</f>
        <v>#REF!</v>
      </c>
      <c r="AI167" t="e">
        <f>IF(Demos!#REF!,"AAAAAH680yI=",0)</f>
        <v>#REF!</v>
      </c>
      <c r="AJ167" t="e">
        <f>AND(Demos!#REF!,"AAAAAH680yM=")</f>
        <v>#REF!</v>
      </c>
      <c r="AK167" t="e">
        <f>AND(Demos!#REF!,"AAAAAH680yQ=")</f>
        <v>#REF!</v>
      </c>
      <c r="AL167" t="e">
        <f>AND(Demos!#REF!,"AAAAAH680yU=")</f>
        <v>#REF!</v>
      </c>
      <c r="AM167" t="e">
        <f>AND(Demos!#REF!,"AAAAAH680yY=")</f>
        <v>#REF!</v>
      </c>
      <c r="AN167" t="e">
        <f>AND(Demos!#REF!,"AAAAAH680yc=")</f>
        <v>#REF!</v>
      </c>
      <c r="AO167" t="e">
        <f>AND(Demos!#REF!,"AAAAAH680yg=")</f>
        <v>#REF!</v>
      </c>
      <c r="AP167" t="e">
        <f>AND(Demos!#REF!,"AAAAAH680yk=")</f>
        <v>#REF!</v>
      </c>
      <c r="AQ167" t="e">
        <f>AND(Demos!#REF!,"AAAAAH680yo=")</f>
        <v>#REF!</v>
      </c>
      <c r="AR167" t="e">
        <f>AND(Demos!#REF!,"AAAAAH680ys=")</f>
        <v>#REF!</v>
      </c>
      <c r="AS167" t="e">
        <f>AND(Demos!#REF!,"AAAAAH680yw=")</f>
        <v>#REF!</v>
      </c>
      <c r="AT167" t="e">
        <f>AND(Demos!#REF!,"AAAAAH680y0=")</f>
        <v>#REF!</v>
      </c>
      <c r="AU167" t="e">
        <f>AND(Demos!#REF!,"AAAAAH680y4=")</f>
        <v>#REF!</v>
      </c>
      <c r="AV167" t="e">
        <f>AND(Demos!#REF!,"AAAAAH680y8=")</f>
        <v>#REF!</v>
      </c>
      <c r="AW167" t="e">
        <f>IF(Demos!#REF!,"AAAAAH680zA=",0)</f>
        <v>#REF!</v>
      </c>
      <c r="AX167" t="e">
        <f>AND(Demos!#REF!,"AAAAAH680zE=")</f>
        <v>#REF!</v>
      </c>
      <c r="AY167" t="e">
        <f>AND(Demos!#REF!,"AAAAAH680zI=")</f>
        <v>#REF!</v>
      </c>
      <c r="AZ167" t="e">
        <f>AND(Demos!#REF!,"AAAAAH680zM=")</f>
        <v>#REF!</v>
      </c>
      <c r="BA167" t="e">
        <f>AND(Demos!#REF!,"AAAAAH680zQ=")</f>
        <v>#REF!</v>
      </c>
      <c r="BB167" t="e">
        <f>AND(Demos!#REF!,"AAAAAH680zU=")</f>
        <v>#REF!</v>
      </c>
      <c r="BC167" t="e">
        <f>AND(Demos!#REF!,"AAAAAH680zY=")</f>
        <v>#REF!</v>
      </c>
      <c r="BD167" t="e">
        <f>AND(Demos!#REF!,"AAAAAH680zc=")</f>
        <v>#REF!</v>
      </c>
      <c r="BE167" t="e">
        <f>AND(Demos!#REF!,"AAAAAH680zg=")</f>
        <v>#REF!</v>
      </c>
      <c r="BF167" t="e">
        <f>AND(Demos!#REF!,"AAAAAH680zk=")</f>
        <v>#REF!</v>
      </c>
      <c r="BG167" t="e">
        <f>AND(Demos!#REF!,"AAAAAH680zo=")</f>
        <v>#REF!</v>
      </c>
      <c r="BH167" t="e">
        <f>AND(Demos!#REF!,"AAAAAH680zs=")</f>
        <v>#REF!</v>
      </c>
      <c r="BI167" t="e">
        <f>AND(Demos!#REF!,"AAAAAH680zw=")</f>
        <v>#REF!</v>
      </c>
      <c r="BJ167" t="e">
        <f>AND(Demos!#REF!,"AAAAAH680z0=")</f>
        <v>#REF!</v>
      </c>
      <c r="BK167" t="e">
        <f>IF(Demos!#REF!,"AAAAAH680z4=",0)</f>
        <v>#REF!</v>
      </c>
      <c r="BL167" t="e">
        <f>AND(Demos!#REF!,"AAAAAH680z8=")</f>
        <v>#REF!</v>
      </c>
      <c r="BM167" t="e">
        <f>AND(Demos!#REF!,"AAAAAH6800A=")</f>
        <v>#REF!</v>
      </c>
      <c r="BN167" t="e">
        <f>AND(Demos!#REF!,"AAAAAH6800E=")</f>
        <v>#REF!</v>
      </c>
      <c r="BO167" t="e">
        <f>AND(Demos!#REF!,"AAAAAH6800I=")</f>
        <v>#REF!</v>
      </c>
      <c r="BP167" t="e">
        <f>AND(Demos!#REF!,"AAAAAH6800M=")</f>
        <v>#REF!</v>
      </c>
      <c r="BQ167" t="e">
        <f>AND(Demos!#REF!,"AAAAAH6800Q=")</f>
        <v>#REF!</v>
      </c>
      <c r="BR167" t="e">
        <f>AND(Demos!#REF!,"AAAAAH6800U=")</f>
        <v>#REF!</v>
      </c>
      <c r="BS167" t="e">
        <f>AND(Demos!#REF!,"AAAAAH6800Y=")</f>
        <v>#REF!</v>
      </c>
      <c r="BT167" t="e">
        <f>AND(Demos!#REF!,"AAAAAH6800c=")</f>
        <v>#REF!</v>
      </c>
      <c r="BU167" t="e">
        <f>AND(Demos!#REF!,"AAAAAH6800g=")</f>
        <v>#REF!</v>
      </c>
      <c r="BV167" t="e">
        <f>AND(Demos!#REF!,"AAAAAH6800k=")</f>
        <v>#REF!</v>
      </c>
      <c r="BW167" t="e">
        <f>AND(Demos!#REF!,"AAAAAH6800o=")</f>
        <v>#REF!</v>
      </c>
      <c r="BX167" t="e">
        <f>AND(Demos!#REF!,"AAAAAH6800s=")</f>
        <v>#REF!</v>
      </c>
      <c r="BY167" t="e">
        <f>IF(Demos!#REF!,"AAAAAH6800w=",0)</f>
        <v>#REF!</v>
      </c>
      <c r="BZ167" t="e">
        <f>AND(Demos!#REF!,"AAAAAH68000=")</f>
        <v>#REF!</v>
      </c>
      <c r="CA167" t="e">
        <f>AND(Demos!#REF!,"AAAAAH68004=")</f>
        <v>#REF!</v>
      </c>
      <c r="CB167" t="e">
        <f>AND(Demos!#REF!,"AAAAAH68008=")</f>
        <v>#REF!</v>
      </c>
      <c r="CC167" t="e">
        <f>AND(Demos!#REF!,"AAAAAH6801A=")</f>
        <v>#REF!</v>
      </c>
      <c r="CD167" t="e">
        <f>AND(Demos!#REF!,"AAAAAH6801E=")</f>
        <v>#REF!</v>
      </c>
      <c r="CE167" t="e">
        <f>AND(Demos!#REF!,"AAAAAH6801I=")</f>
        <v>#REF!</v>
      </c>
      <c r="CF167" t="e">
        <f>AND(Demos!#REF!,"AAAAAH6801M=")</f>
        <v>#REF!</v>
      </c>
      <c r="CG167" t="e">
        <f>AND(Demos!#REF!,"AAAAAH6801Q=")</f>
        <v>#REF!</v>
      </c>
      <c r="CH167" t="e">
        <f>AND(Demos!#REF!,"AAAAAH6801U=")</f>
        <v>#REF!</v>
      </c>
      <c r="CI167" t="e">
        <f>AND(Demos!#REF!,"AAAAAH6801Y=")</f>
        <v>#REF!</v>
      </c>
      <c r="CJ167" t="e">
        <f>AND(Demos!#REF!,"AAAAAH6801c=")</f>
        <v>#REF!</v>
      </c>
      <c r="CK167" t="e">
        <f>AND(Demos!#REF!,"AAAAAH6801g=")</f>
        <v>#REF!</v>
      </c>
      <c r="CL167" t="e">
        <f>AND(Demos!#REF!,"AAAAAH6801k=")</f>
        <v>#REF!</v>
      </c>
      <c r="CM167" t="e">
        <f>IF(Demos!#REF!,"AAAAAH6801o=",0)</f>
        <v>#REF!</v>
      </c>
      <c r="CN167" t="e">
        <f>AND(Demos!#REF!,"AAAAAH6801s=")</f>
        <v>#REF!</v>
      </c>
      <c r="CO167" t="e">
        <f>AND(Demos!#REF!,"AAAAAH6801w=")</f>
        <v>#REF!</v>
      </c>
      <c r="CP167" t="e">
        <f>AND(Demos!#REF!,"AAAAAH68010=")</f>
        <v>#REF!</v>
      </c>
      <c r="CQ167" t="e">
        <f>AND(Demos!#REF!,"AAAAAH68014=")</f>
        <v>#REF!</v>
      </c>
      <c r="CR167" t="e">
        <f>AND(Demos!#REF!,"AAAAAH68018=")</f>
        <v>#REF!</v>
      </c>
      <c r="CS167" t="e">
        <f>AND(Demos!#REF!,"AAAAAH6802A=")</f>
        <v>#REF!</v>
      </c>
      <c r="CT167" t="e">
        <f>AND(Demos!#REF!,"AAAAAH6802E=")</f>
        <v>#REF!</v>
      </c>
      <c r="CU167" t="e">
        <f>AND(Demos!#REF!,"AAAAAH6802I=")</f>
        <v>#REF!</v>
      </c>
      <c r="CV167" t="e">
        <f>AND(Demos!#REF!,"AAAAAH6802M=")</f>
        <v>#REF!</v>
      </c>
      <c r="CW167" t="e">
        <f>AND(Demos!#REF!,"AAAAAH6802Q=")</f>
        <v>#REF!</v>
      </c>
      <c r="CX167" t="e">
        <f>AND(Demos!#REF!,"AAAAAH6802U=")</f>
        <v>#REF!</v>
      </c>
      <c r="CY167" t="e">
        <f>AND(Demos!#REF!,"AAAAAH6802Y=")</f>
        <v>#REF!</v>
      </c>
      <c r="CZ167" t="e">
        <f>AND(Demos!#REF!,"AAAAAH6802c=")</f>
        <v>#REF!</v>
      </c>
      <c r="DA167" t="e">
        <f>IF(Demos!#REF!,"AAAAAH6802g=",0)</f>
        <v>#REF!</v>
      </c>
      <c r="DB167" t="e">
        <f>AND(Demos!#REF!,"AAAAAH6802k=")</f>
        <v>#REF!</v>
      </c>
      <c r="DC167" t="e">
        <f>AND(Demos!#REF!,"AAAAAH6802o=")</f>
        <v>#REF!</v>
      </c>
      <c r="DD167" t="e">
        <f>AND(Demos!#REF!,"AAAAAH6802s=")</f>
        <v>#REF!</v>
      </c>
      <c r="DE167" t="e">
        <f>AND(Demos!#REF!,"AAAAAH6802w=")</f>
        <v>#REF!</v>
      </c>
      <c r="DF167" t="e">
        <f>AND(Demos!#REF!,"AAAAAH68020=")</f>
        <v>#REF!</v>
      </c>
      <c r="DG167" t="e">
        <f>AND(Demos!#REF!,"AAAAAH68024=")</f>
        <v>#REF!</v>
      </c>
      <c r="DH167" t="e">
        <f>AND(Demos!#REF!,"AAAAAH68028=")</f>
        <v>#REF!</v>
      </c>
      <c r="DI167" t="e">
        <f>AND(Demos!#REF!,"AAAAAH6803A=")</f>
        <v>#REF!</v>
      </c>
      <c r="DJ167" t="e">
        <f>AND(Demos!#REF!,"AAAAAH6803E=")</f>
        <v>#REF!</v>
      </c>
      <c r="DK167" t="e">
        <f>AND(Demos!#REF!,"AAAAAH6803I=")</f>
        <v>#REF!</v>
      </c>
      <c r="DL167" t="e">
        <f>AND(Demos!#REF!,"AAAAAH6803M=")</f>
        <v>#REF!</v>
      </c>
      <c r="DM167" t="e">
        <f>AND(Demos!#REF!,"AAAAAH6803Q=")</f>
        <v>#REF!</v>
      </c>
      <c r="DN167" t="e">
        <f>AND(Demos!#REF!,"AAAAAH6803U=")</f>
        <v>#REF!</v>
      </c>
      <c r="DO167" t="e">
        <f>IF(Demos!#REF!,"AAAAAH6803Y=",0)</f>
        <v>#REF!</v>
      </c>
      <c r="DP167" t="e">
        <f>AND(Demos!#REF!,"AAAAAH6803c=")</f>
        <v>#REF!</v>
      </c>
      <c r="DQ167" t="e">
        <f>AND(Demos!#REF!,"AAAAAH6803g=")</f>
        <v>#REF!</v>
      </c>
      <c r="DR167" t="e">
        <f>AND(Demos!#REF!,"AAAAAH6803k=")</f>
        <v>#REF!</v>
      </c>
      <c r="DS167" t="e">
        <f>AND(Demos!#REF!,"AAAAAH6803o=")</f>
        <v>#REF!</v>
      </c>
      <c r="DT167" t="e">
        <f>AND(Demos!#REF!,"AAAAAH6803s=")</f>
        <v>#REF!</v>
      </c>
      <c r="DU167" t="e">
        <f>AND(Demos!#REF!,"AAAAAH6803w=")</f>
        <v>#REF!</v>
      </c>
      <c r="DV167" t="e">
        <f>AND(Demos!#REF!,"AAAAAH68030=")</f>
        <v>#REF!</v>
      </c>
      <c r="DW167" t="e">
        <f>AND(Demos!#REF!,"AAAAAH68034=")</f>
        <v>#REF!</v>
      </c>
      <c r="DX167" t="e">
        <f>AND(Demos!#REF!,"AAAAAH68038=")</f>
        <v>#REF!</v>
      </c>
      <c r="DY167" t="e">
        <f>AND(Demos!#REF!,"AAAAAH6804A=")</f>
        <v>#REF!</v>
      </c>
      <c r="DZ167" t="e">
        <f>AND(Demos!#REF!,"AAAAAH6804E=")</f>
        <v>#REF!</v>
      </c>
      <c r="EA167" t="e">
        <f>AND(Demos!#REF!,"AAAAAH6804I=")</f>
        <v>#REF!</v>
      </c>
      <c r="EB167" t="e">
        <f>AND(Demos!#REF!,"AAAAAH6804M=")</f>
        <v>#REF!</v>
      </c>
      <c r="EC167" t="e">
        <f>IF(Demos!#REF!,"AAAAAH6804Q=",0)</f>
        <v>#REF!</v>
      </c>
      <c r="ED167" t="e">
        <f>AND(Demos!#REF!,"AAAAAH6804U=")</f>
        <v>#REF!</v>
      </c>
      <c r="EE167" t="e">
        <f>AND(Demos!#REF!,"AAAAAH6804Y=")</f>
        <v>#REF!</v>
      </c>
      <c r="EF167" t="e">
        <f>AND(Demos!#REF!,"AAAAAH6804c=")</f>
        <v>#REF!</v>
      </c>
      <c r="EG167" t="e">
        <f>AND(Demos!#REF!,"AAAAAH6804g=")</f>
        <v>#REF!</v>
      </c>
      <c r="EH167" t="e">
        <f>AND(Demos!#REF!,"AAAAAH6804k=")</f>
        <v>#REF!</v>
      </c>
      <c r="EI167" t="e">
        <f>AND(Demos!#REF!,"AAAAAH6804o=")</f>
        <v>#REF!</v>
      </c>
      <c r="EJ167" t="e">
        <f>AND(Demos!#REF!,"AAAAAH6804s=")</f>
        <v>#REF!</v>
      </c>
      <c r="EK167" t="e">
        <f>AND(Demos!#REF!,"AAAAAH6804w=")</f>
        <v>#REF!</v>
      </c>
      <c r="EL167" t="e">
        <f>AND(Demos!#REF!,"AAAAAH68040=")</f>
        <v>#REF!</v>
      </c>
      <c r="EM167" t="e">
        <f>AND(Demos!#REF!,"AAAAAH68044=")</f>
        <v>#REF!</v>
      </c>
      <c r="EN167" t="e">
        <f>AND(Demos!#REF!,"AAAAAH68048=")</f>
        <v>#REF!</v>
      </c>
      <c r="EO167" t="e">
        <f>AND(Demos!#REF!,"AAAAAH6805A=")</f>
        <v>#REF!</v>
      </c>
      <c r="EP167" t="e">
        <f>AND(Demos!#REF!,"AAAAAH6805E=")</f>
        <v>#REF!</v>
      </c>
      <c r="EQ167" t="e">
        <f>IF(Demos!#REF!,"AAAAAH6805I=",0)</f>
        <v>#REF!</v>
      </c>
      <c r="ER167" t="e">
        <f>AND(Demos!#REF!,"AAAAAH6805M=")</f>
        <v>#REF!</v>
      </c>
      <c r="ES167" t="e">
        <f>AND(Demos!#REF!,"AAAAAH6805Q=")</f>
        <v>#REF!</v>
      </c>
      <c r="ET167" t="e">
        <f>AND(Demos!#REF!,"AAAAAH6805U=")</f>
        <v>#REF!</v>
      </c>
      <c r="EU167" t="e">
        <f>AND(Demos!#REF!,"AAAAAH6805Y=")</f>
        <v>#REF!</v>
      </c>
      <c r="EV167" t="e">
        <f>AND(Demos!#REF!,"AAAAAH6805c=")</f>
        <v>#REF!</v>
      </c>
      <c r="EW167" t="e">
        <f>AND(Demos!#REF!,"AAAAAH6805g=")</f>
        <v>#REF!</v>
      </c>
      <c r="EX167" t="e">
        <f>AND(Demos!#REF!,"AAAAAH6805k=")</f>
        <v>#REF!</v>
      </c>
      <c r="EY167" t="e">
        <f>AND(Demos!#REF!,"AAAAAH6805o=")</f>
        <v>#REF!</v>
      </c>
      <c r="EZ167" t="e">
        <f>AND(Demos!#REF!,"AAAAAH6805s=")</f>
        <v>#REF!</v>
      </c>
      <c r="FA167" t="e">
        <f>AND(Demos!#REF!,"AAAAAH6805w=")</f>
        <v>#REF!</v>
      </c>
      <c r="FB167" t="e">
        <f>AND(Demos!#REF!,"AAAAAH68050=")</f>
        <v>#REF!</v>
      </c>
      <c r="FC167" t="e">
        <f>AND(Demos!#REF!,"AAAAAH68054=")</f>
        <v>#REF!</v>
      </c>
      <c r="FD167" t="e">
        <f>AND(Demos!#REF!,"AAAAAH68058=")</f>
        <v>#REF!</v>
      </c>
      <c r="FE167" t="e">
        <f>IF(Demos!#REF!,"AAAAAH6806A=",0)</f>
        <v>#REF!</v>
      </c>
      <c r="FF167" t="e">
        <f>AND(Demos!#REF!,"AAAAAH6806E=")</f>
        <v>#REF!</v>
      </c>
      <c r="FG167" t="e">
        <f>AND(Demos!#REF!,"AAAAAH6806I=")</f>
        <v>#REF!</v>
      </c>
      <c r="FH167" t="e">
        <f>AND(Demos!#REF!,"AAAAAH6806M=")</f>
        <v>#REF!</v>
      </c>
      <c r="FI167" t="e">
        <f>AND(Demos!#REF!,"AAAAAH6806Q=")</f>
        <v>#REF!</v>
      </c>
      <c r="FJ167" t="e">
        <f>AND(Demos!#REF!,"AAAAAH6806U=")</f>
        <v>#REF!</v>
      </c>
      <c r="FK167" t="e">
        <f>AND(Demos!#REF!,"AAAAAH6806Y=")</f>
        <v>#REF!</v>
      </c>
      <c r="FL167" t="e">
        <f>AND(Demos!#REF!,"AAAAAH6806c=")</f>
        <v>#REF!</v>
      </c>
      <c r="FM167" t="e">
        <f>AND(Demos!#REF!,"AAAAAH6806g=")</f>
        <v>#REF!</v>
      </c>
      <c r="FN167" t="e">
        <f>AND(Demos!#REF!,"AAAAAH6806k=")</f>
        <v>#REF!</v>
      </c>
      <c r="FO167" t="e">
        <f>AND(Demos!#REF!,"AAAAAH6806o=")</f>
        <v>#REF!</v>
      </c>
      <c r="FP167" t="e">
        <f>AND(Demos!#REF!,"AAAAAH6806s=")</f>
        <v>#REF!</v>
      </c>
      <c r="FQ167" t="e">
        <f>AND(Demos!#REF!,"AAAAAH6806w=")</f>
        <v>#REF!</v>
      </c>
      <c r="FR167" t="e">
        <f>AND(Demos!#REF!,"AAAAAH68060=")</f>
        <v>#REF!</v>
      </c>
      <c r="FS167" t="e">
        <f>IF(Demos!#REF!,"AAAAAH68064=",0)</f>
        <v>#REF!</v>
      </c>
      <c r="FT167" t="e">
        <f>AND(Demos!#REF!,"AAAAAH68068=")</f>
        <v>#REF!</v>
      </c>
      <c r="FU167" t="e">
        <f>AND(Demos!#REF!,"AAAAAH6807A=")</f>
        <v>#REF!</v>
      </c>
      <c r="FV167" t="e">
        <f>AND(Demos!#REF!,"AAAAAH6807E=")</f>
        <v>#REF!</v>
      </c>
      <c r="FW167" t="e">
        <f>AND(Demos!#REF!,"AAAAAH6807I=")</f>
        <v>#REF!</v>
      </c>
      <c r="FX167" t="e">
        <f>AND(Demos!#REF!,"AAAAAH6807M=")</f>
        <v>#REF!</v>
      </c>
      <c r="FY167" t="e">
        <f>AND(Demos!#REF!,"AAAAAH6807Q=")</f>
        <v>#REF!</v>
      </c>
      <c r="FZ167" t="e">
        <f>AND(Demos!#REF!,"AAAAAH6807U=")</f>
        <v>#REF!</v>
      </c>
      <c r="GA167" t="e">
        <f>AND(Demos!#REF!,"AAAAAH6807Y=")</f>
        <v>#REF!</v>
      </c>
      <c r="GB167" t="e">
        <f>AND(Demos!#REF!,"AAAAAH6807c=")</f>
        <v>#REF!</v>
      </c>
      <c r="GC167" t="e">
        <f>AND(Demos!#REF!,"AAAAAH6807g=")</f>
        <v>#REF!</v>
      </c>
      <c r="GD167" t="e">
        <f>AND(Demos!#REF!,"AAAAAH6807k=")</f>
        <v>#REF!</v>
      </c>
      <c r="GE167" t="e">
        <f>AND(Demos!#REF!,"AAAAAH6807o=")</f>
        <v>#REF!</v>
      </c>
      <c r="GF167" t="e">
        <f>AND(Demos!#REF!,"AAAAAH6807s=")</f>
        <v>#REF!</v>
      </c>
      <c r="GG167" t="e">
        <f>IF(Demos!#REF!,"AAAAAH6807w=",0)</f>
        <v>#REF!</v>
      </c>
      <c r="GH167" t="e">
        <f>AND(Demos!#REF!,"AAAAAH68070=")</f>
        <v>#REF!</v>
      </c>
      <c r="GI167" t="e">
        <f>AND(Demos!#REF!,"AAAAAH68074=")</f>
        <v>#REF!</v>
      </c>
      <c r="GJ167" t="e">
        <f>AND(Demos!#REF!,"AAAAAH68078=")</f>
        <v>#REF!</v>
      </c>
      <c r="GK167" t="e">
        <f>AND(Demos!#REF!,"AAAAAH6808A=")</f>
        <v>#REF!</v>
      </c>
      <c r="GL167" t="e">
        <f>AND(Demos!#REF!,"AAAAAH6808E=")</f>
        <v>#REF!</v>
      </c>
      <c r="GM167" t="e">
        <f>AND(Demos!#REF!,"AAAAAH6808I=")</f>
        <v>#REF!</v>
      </c>
      <c r="GN167" t="e">
        <f>AND(Demos!#REF!,"AAAAAH6808M=")</f>
        <v>#REF!</v>
      </c>
      <c r="GO167" t="e">
        <f>AND(Demos!#REF!,"AAAAAH6808Q=")</f>
        <v>#REF!</v>
      </c>
      <c r="GP167" t="e">
        <f>AND(Demos!#REF!,"AAAAAH6808U=")</f>
        <v>#REF!</v>
      </c>
      <c r="GQ167" t="e">
        <f>AND(Demos!#REF!,"AAAAAH6808Y=")</f>
        <v>#REF!</v>
      </c>
      <c r="GR167" t="e">
        <f>AND(Demos!#REF!,"AAAAAH6808c=")</f>
        <v>#REF!</v>
      </c>
      <c r="GS167" t="e">
        <f>AND(Demos!#REF!,"AAAAAH6808g=")</f>
        <v>#REF!</v>
      </c>
      <c r="GT167" t="e">
        <f>AND(Demos!#REF!,"AAAAAH6808k=")</f>
        <v>#REF!</v>
      </c>
      <c r="GU167" t="e">
        <f>IF(Demos!#REF!,"AAAAAH6808o=",0)</f>
        <v>#REF!</v>
      </c>
      <c r="GV167" t="e">
        <f>AND(Demos!#REF!,"AAAAAH6808s=")</f>
        <v>#REF!</v>
      </c>
      <c r="GW167" t="e">
        <f>AND(Demos!#REF!,"AAAAAH6808w=")</f>
        <v>#REF!</v>
      </c>
      <c r="GX167" t="e">
        <f>AND(Demos!#REF!,"AAAAAH68080=")</f>
        <v>#REF!</v>
      </c>
      <c r="GY167" t="e">
        <f>AND(Demos!#REF!,"AAAAAH68084=")</f>
        <v>#REF!</v>
      </c>
      <c r="GZ167" t="e">
        <f>AND(Demos!#REF!,"AAAAAH68088=")</f>
        <v>#REF!</v>
      </c>
      <c r="HA167" t="e">
        <f>AND(Demos!#REF!,"AAAAAH6809A=")</f>
        <v>#REF!</v>
      </c>
      <c r="HB167" t="e">
        <f>AND(Demos!#REF!,"AAAAAH6809E=")</f>
        <v>#REF!</v>
      </c>
      <c r="HC167" t="e">
        <f>AND(Demos!#REF!,"AAAAAH6809I=")</f>
        <v>#REF!</v>
      </c>
      <c r="HD167" t="e">
        <f>AND(Demos!#REF!,"AAAAAH6809M=")</f>
        <v>#REF!</v>
      </c>
      <c r="HE167" t="e">
        <f>AND(Demos!#REF!,"AAAAAH6809Q=")</f>
        <v>#REF!</v>
      </c>
      <c r="HF167" t="e">
        <f>AND(Demos!#REF!,"AAAAAH6809U=")</f>
        <v>#REF!</v>
      </c>
      <c r="HG167" t="e">
        <f>AND(Demos!#REF!,"AAAAAH6809Y=")</f>
        <v>#REF!</v>
      </c>
      <c r="HH167" t="e">
        <f>AND(Demos!#REF!,"AAAAAH6809c=")</f>
        <v>#REF!</v>
      </c>
      <c r="HI167" t="e">
        <f>IF(Demos!#REF!,"AAAAAH6809g=",0)</f>
        <v>#REF!</v>
      </c>
      <c r="HJ167" t="e">
        <f>AND(Demos!#REF!,"AAAAAH6809k=")</f>
        <v>#REF!</v>
      </c>
      <c r="HK167" t="e">
        <f>AND(Demos!#REF!,"AAAAAH6809o=")</f>
        <v>#REF!</v>
      </c>
      <c r="HL167" t="e">
        <f>AND(Demos!#REF!,"AAAAAH6809s=")</f>
        <v>#REF!</v>
      </c>
      <c r="HM167" t="e">
        <f>AND(Demos!#REF!,"AAAAAH6809w=")</f>
        <v>#REF!</v>
      </c>
      <c r="HN167" t="e">
        <f>AND(Demos!#REF!,"AAAAAH68090=")</f>
        <v>#REF!</v>
      </c>
      <c r="HO167" t="e">
        <f>AND(Demos!#REF!,"AAAAAH68094=")</f>
        <v>#REF!</v>
      </c>
      <c r="HP167" t="e">
        <f>AND(Demos!#REF!,"AAAAAH68098=")</f>
        <v>#REF!</v>
      </c>
      <c r="HQ167" t="e">
        <f>AND(Demos!#REF!,"AAAAAH680+A=")</f>
        <v>#REF!</v>
      </c>
      <c r="HR167" t="e">
        <f>AND(Demos!#REF!,"AAAAAH680+E=")</f>
        <v>#REF!</v>
      </c>
      <c r="HS167" t="e">
        <f>AND(Demos!#REF!,"AAAAAH680+I=")</f>
        <v>#REF!</v>
      </c>
      <c r="HT167" t="e">
        <f>AND(Demos!#REF!,"AAAAAH680+M=")</f>
        <v>#REF!</v>
      </c>
      <c r="HU167" t="e">
        <f>AND(Demos!#REF!,"AAAAAH680+Q=")</f>
        <v>#REF!</v>
      </c>
      <c r="HV167" t="e">
        <f>AND(Demos!#REF!,"AAAAAH680+U=")</f>
        <v>#REF!</v>
      </c>
      <c r="HW167" t="e">
        <f>IF(Demos!#REF!,"AAAAAH680+Y=",0)</f>
        <v>#REF!</v>
      </c>
      <c r="HX167" t="e">
        <f>AND(Demos!#REF!,"AAAAAH680+c=")</f>
        <v>#REF!</v>
      </c>
      <c r="HY167" t="e">
        <f>AND(Demos!#REF!,"AAAAAH680+g=")</f>
        <v>#REF!</v>
      </c>
      <c r="HZ167" t="e">
        <f>AND(Demos!#REF!,"AAAAAH680+k=")</f>
        <v>#REF!</v>
      </c>
      <c r="IA167" t="e">
        <f>AND(Demos!#REF!,"AAAAAH680+o=")</f>
        <v>#REF!</v>
      </c>
      <c r="IB167" t="e">
        <f>AND(Demos!#REF!,"AAAAAH680+s=")</f>
        <v>#REF!</v>
      </c>
      <c r="IC167" t="e">
        <f>AND(Demos!#REF!,"AAAAAH680+w=")</f>
        <v>#REF!</v>
      </c>
      <c r="ID167" t="e">
        <f>AND(Demos!#REF!,"AAAAAH680+0=")</f>
        <v>#REF!</v>
      </c>
      <c r="IE167" t="e">
        <f>AND(Demos!#REF!,"AAAAAH680+4=")</f>
        <v>#REF!</v>
      </c>
      <c r="IF167" t="e">
        <f>AND(Demos!#REF!,"AAAAAH680+8=")</f>
        <v>#REF!</v>
      </c>
      <c r="IG167" t="e">
        <f>AND(Demos!#REF!,"AAAAAH680/A=")</f>
        <v>#REF!</v>
      </c>
      <c r="IH167" t="e">
        <f>AND(Demos!#REF!,"AAAAAH680/E=")</f>
        <v>#REF!</v>
      </c>
      <c r="II167" t="e">
        <f>AND(Demos!#REF!,"AAAAAH680/I=")</f>
        <v>#REF!</v>
      </c>
      <c r="IJ167" t="e">
        <f>AND(Demos!#REF!,"AAAAAH680/M=")</f>
        <v>#REF!</v>
      </c>
      <c r="IK167" t="e">
        <f>IF(Demos!#REF!,"AAAAAH680/Q=",0)</f>
        <v>#REF!</v>
      </c>
      <c r="IL167" t="e">
        <f>AND(Demos!#REF!,"AAAAAH680/U=")</f>
        <v>#REF!</v>
      </c>
      <c r="IM167" t="e">
        <f>AND(Demos!#REF!,"AAAAAH680/Y=")</f>
        <v>#REF!</v>
      </c>
      <c r="IN167" t="e">
        <f>AND(Demos!#REF!,"AAAAAH680/c=")</f>
        <v>#REF!</v>
      </c>
      <c r="IO167" t="e">
        <f>AND(Demos!#REF!,"AAAAAH680/g=")</f>
        <v>#REF!</v>
      </c>
      <c r="IP167" t="e">
        <f>AND(Demos!#REF!,"AAAAAH680/k=")</f>
        <v>#REF!</v>
      </c>
      <c r="IQ167" t="e">
        <f>AND(Demos!#REF!,"AAAAAH680/o=")</f>
        <v>#REF!</v>
      </c>
      <c r="IR167" t="e">
        <f>AND(Demos!#REF!,"AAAAAH680/s=")</f>
        <v>#REF!</v>
      </c>
      <c r="IS167" t="e">
        <f>AND(Demos!#REF!,"AAAAAH680/w=")</f>
        <v>#REF!</v>
      </c>
      <c r="IT167" t="e">
        <f>AND(Demos!#REF!,"AAAAAH680/0=")</f>
        <v>#REF!</v>
      </c>
      <c r="IU167" t="e">
        <f>AND(Demos!#REF!,"AAAAAH680/4=")</f>
        <v>#REF!</v>
      </c>
      <c r="IV167" t="e">
        <f>AND(Demos!#REF!,"AAAAAH680/8=")</f>
        <v>#REF!</v>
      </c>
    </row>
    <row r="168" spans="1:256" x14ac:dyDescent="0.2">
      <c r="A168" t="e">
        <f>AND(Demos!#REF!,"AAAAAHb2rwA=")</f>
        <v>#REF!</v>
      </c>
      <c r="B168" t="e">
        <f>AND(Demos!#REF!,"AAAAAHb2rwE=")</f>
        <v>#REF!</v>
      </c>
      <c r="C168" t="e">
        <f>IF(Demos!#REF!,"AAAAAHb2rwI=",0)</f>
        <v>#REF!</v>
      </c>
      <c r="D168" t="e">
        <f>AND(Demos!#REF!,"AAAAAHb2rwM=")</f>
        <v>#REF!</v>
      </c>
      <c r="E168" t="e">
        <f>AND(Demos!#REF!,"AAAAAHb2rwQ=")</f>
        <v>#REF!</v>
      </c>
      <c r="F168" t="e">
        <f>AND(Demos!#REF!,"AAAAAHb2rwU=")</f>
        <v>#REF!</v>
      </c>
      <c r="G168" t="e">
        <f>AND(Demos!#REF!,"AAAAAHb2rwY=")</f>
        <v>#REF!</v>
      </c>
      <c r="H168" t="e">
        <f>AND(Demos!#REF!,"AAAAAHb2rwc=")</f>
        <v>#REF!</v>
      </c>
      <c r="I168" t="e">
        <f>AND(Demos!#REF!,"AAAAAHb2rwg=")</f>
        <v>#REF!</v>
      </c>
      <c r="J168" t="e">
        <f>AND(Demos!#REF!,"AAAAAHb2rwk=")</f>
        <v>#REF!</v>
      </c>
      <c r="K168" t="e">
        <f>AND(Demos!#REF!,"AAAAAHb2rwo=")</f>
        <v>#REF!</v>
      </c>
      <c r="L168" t="e">
        <f>AND(Demos!#REF!,"AAAAAHb2rws=")</f>
        <v>#REF!</v>
      </c>
      <c r="M168" t="e">
        <f>AND(Demos!#REF!,"AAAAAHb2rww=")</f>
        <v>#REF!</v>
      </c>
      <c r="N168" t="e">
        <f>AND(Demos!#REF!,"AAAAAHb2rw0=")</f>
        <v>#REF!</v>
      </c>
      <c r="O168" t="e">
        <f>AND(Demos!#REF!,"AAAAAHb2rw4=")</f>
        <v>#REF!</v>
      </c>
      <c r="P168" t="e">
        <f>AND(Demos!#REF!,"AAAAAHb2rw8=")</f>
        <v>#REF!</v>
      </c>
      <c r="Q168" t="e">
        <f>IF(Demos!#REF!,"AAAAAHb2rxA=",0)</f>
        <v>#REF!</v>
      </c>
      <c r="R168" t="e">
        <f>AND(Demos!#REF!,"AAAAAHb2rxE=")</f>
        <v>#REF!</v>
      </c>
      <c r="S168" t="e">
        <f>AND(Demos!#REF!,"AAAAAHb2rxI=")</f>
        <v>#REF!</v>
      </c>
      <c r="T168" t="e">
        <f>AND(Demos!#REF!,"AAAAAHb2rxM=")</f>
        <v>#REF!</v>
      </c>
      <c r="U168" t="e">
        <f>AND(Demos!#REF!,"AAAAAHb2rxQ=")</f>
        <v>#REF!</v>
      </c>
      <c r="V168" t="e">
        <f>AND(Demos!#REF!,"AAAAAHb2rxU=")</f>
        <v>#REF!</v>
      </c>
      <c r="W168" t="e">
        <f>AND(Demos!#REF!,"AAAAAHb2rxY=")</f>
        <v>#REF!</v>
      </c>
      <c r="X168" t="e">
        <f>AND(Demos!#REF!,"AAAAAHb2rxc=")</f>
        <v>#REF!</v>
      </c>
      <c r="Y168" t="e">
        <f>AND(Demos!#REF!,"AAAAAHb2rxg=")</f>
        <v>#REF!</v>
      </c>
      <c r="Z168" t="e">
        <f>AND(Demos!#REF!,"AAAAAHb2rxk=")</f>
        <v>#REF!</v>
      </c>
      <c r="AA168" t="e">
        <f>AND(Demos!#REF!,"AAAAAHb2rxo=")</f>
        <v>#REF!</v>
      </c>
      <c r="AB168" t="e">
        <f>AND(Demos!#REF!,"AAAAAHb2rxs=")</f>
        <v>#REF!</v>
      </c>
      <c r="AC168" t="e">
        <f>AND(Demos!#REF!,"AAAAAHb2rxw=")</f>
        <v>#REF!</v>
      </c>
      <c r="AD168" t="e">
        <f>AND(Demos!#REF!,"AAAAAHb2rx0=")</f>
        <v>#REF!</v>
      </c>
      <c r="AE168" t="e">
        <f>IF(Demos!#REF!,"AAAAAHb2rx4=",0)</f>
        <v>#REF!</v>
      </c>
      <c r="AF168" t="e">
        <f>AND(Demos!#REF!,"AAAAAHb2rx8=")</f>
        <v>#REF!</v>
      </c>
      <c r="AG168" t="e">
        <f>AND(Demos!#REF!,"AAAAAHb2ryA=")</f>
        <v>#REF!</v>
      </c>
      <c r="AH168" t="e">
        <f>AND(Demos!#REF!,"AAAAAHb2ryE=")</f>
        <v>#REF!</v>
      </c>
      <c r="AI168" t="e">
        <f>AND(Demos!#REF!,"AAAAAHb2ryI=")</f>
        <v>#REF!</v>
      </c>
      <c r="AJ168" t="e">
        <f>AND(Demos!#REF!,"AAAAAHb2ryM=")</f>
        <v>#REF!</v>
      </c>
      <c r="AK168" t="e">
        <f>AND(Demos!#REF!,"AAAAAHb2ryQ=")</f>
        <v>#REF!</v>
      </c>
      <c r="AL168" t="e">
        <f>AND(Demos!#REF!,"AAAAAHb2ryU=")</f>
        <v>#REF!</v>
      </c>
      <c r="AM168" t="e">
        <f>AND(Demos!#REF!,"AAAAAHb2ryY=")</f>
        <v>#REF!</v>
      </c>
      <c r="AN168" t="e">
        <f>AND(Demos!#REF!,"AAAAAHb2ryc=")</f>
        <v>#REF!</v>
      </c>
      <c r="AO168" t="e">
        <f>AND(Demos!#REF!,"AAAAAHb2ryg=")</f>
        <v>#REF!</v>
      </c>
      <c r="AP168" t="e">
        <f>AND(Demos!#REF!,"AAAAAHb2ryk=")</f>
        <v>#REF!</v>
      </c>
      <c r="AQ168" t="e">
        <f>AND(Demos!#REF!,"AAAAAHb2ryo=")</f>
        <v>#REF!</v>
      </c>
      <c r="AR168" t="e">
        <f>AND(Demos!#REF!,"AAAAAHb2rys=")</f>
        <v>#REF!</v>
      </c>
      <c r="AS168" t="e">
        <f>IF(Demos!#REF!,"AAAAAHb2ryw=",0)</f>
        <v>#REF!</v>
      </c>
      <c r="AT168" t="e">
        <f>AND(Demos!#REF!,"AAAAAHb2ry0=")</f>
        <v>#REF!</v>
      </c>
      <c r="AU168" t="e">
        <f>AND(Demos!#REF!,"AAAAAHb2ry4=")</f>
        <v>#REF!</v>
      </c>
      <c r="AV168" t="e">
        <f>AND(Demos!#REF!,"AAAAAHb2ry8=")</f>
        <v>#REF!</v>
      </c>
      <c r="AW168" t="e">
        <f>AND(Demos!#REF!,"AAAAAHb2rzA=")</f>
        <v>#REF!</v>
      </c>
      <c r="AX168" t="e">
        <f>AND(Demos!#REF!,"AAAAAHb2rzE=")</f>
        <v>#REF!</v>
      </c>
      <c r="AY168" t="e">
        <f>AND(Demos!#REF!,"AAAAAHb2rzI=")</f>
        <v>#REF!</v>
      </c>
      <c r="AZ168" t="e">
        <f>AND(Demos!#REF!,"AAAAAHb2rzM=")</f>
        <v>#REF!</v>
      </c>
      <c r="BA168" t="e">
        <f>AND(Demos!#REF!,"AAAAAHb2rzQ=")</f>
        <v>#REF!</v>
      </c>
      <c r="BB168" t="e">
        <f>AND(Demos!#REF!,"AAAAAHb2rzU=")</f>
        <v>#REF!</v>
      </c>
      <c r="BC168" t="e">
        <f>AND(Demos!#REF!,"AAAAAHb2rzY=")</f>
        <v>#REF!</v>
      </c>
      <c r="BD168" t="e">
        <f>AND(Demos!#REF!,"AAAAAHb2rzc=")</f>
        <v>#REF!</v>
      </c>
      <c r="BE168" t="e">
        <f>AND(Demos!#REF!,"AAAAAHb2rzg=")</f>
        <v>#REF!</v>
      </c>
      <c r="BF168" t="e">
        <f>AND(Demos!#REF!,"AAAAAHb2rzk=")</f>
        <v>#REF!</v>
      </c>
      <c r="BG168" t="e">
        <f>IF(Demos!#REF!,"AAAAAHb2rzo=",0)</f>
        <v>#REF!</v>
      </c>
      <c r="BH168" t="e">
        <f>AND(Demos!#REF!,"AAAAAHb2rzs=")</f>
        <v>#REF!</v>
      </c>
      <c r="BI168" t="e">
        <f>AND(Demos!#REF!,"AAAAAHb2rzw=")</f>
        <v>#REF!</v>
      </c>
      <c r="BJ168" t="e">
        <f>AND(Demos!#REF!,"AAAAAHb2rz0=")</f>
        <v>#REF!</v>
      </c>
      <c r="BK168" t="e">
        <f>AND(Demos!#REF!,"AAAAAHb2rz4=")</f>
        <v>#REF!</v>
      </c>
      <c r="BL168" t="e">
        <f>AND(Demos!#REF!,"AAAAAHb2rz8=")</f>
        <v>#REF!</v>
      </c>
      <c r="BM168" t="e">
        <f>AND(Demos!#REF!,"AAAAAHb2r0A=")</f>
        <v>#REF!</v>
      </c>
      <c r="BN168" t="e">
        <f>AND(Demos!#REF!,"AAAAAHb2r0E=")</f>
        <v>#REF!</v>
      </c>
      <c r="BO168" t="e">
        <f>AND(Demos!#REF!,"AAAAAHb2r0I=")</f>
        <v>#REF!</v>
      </c>
      <c r="BP168" t="e">
        <f>AND(Demos!#REF!,"AAAAAHb2r0M=")</f>
        <v>#REF!</v>
      </c>
      <c r="BQ168" t="e">
        <f>AND(Demos!#REF!,"AAAAAHb2r0Q=")</f>
        <v>#REF!</v>
      </c>
      <c r="BR168" t="e">
        <f>AND(Demos!#REF!,"AAAAAHb2r0U=")</f>
        <v>#REF!</v>
      </c>
      <c r="BS168" t="e">
        <f>AND(Demos!#REF!,"AAAAAHb2r0Y=")</f>
        <v>#REF!</v>
      </c>
      <c r="BT168" t="e">
        <f>AND(Demos!#REF!,"AAAAAHb2r0c=")</f>
        <v>#REF!</v>
      </c>
      <c r="BU168" t="e">
        <f>IF(Demos!#REF!,"AAAAAHb2r0g=",0)</f>
        <v>#REF!</v>
      </c>
      <c r="BV168" t="e">
        <f>AND(Demos!#REF!,"AAAAAHb2r0k=")</f>
        <v>#REF!</v>
      </c>
      <c r="BW168" t="e">
        <f>AND(Demos!#REF!,"AAAAAHb2r0o=")</f>
        <v>#REF!</v>
      </c>
      <c r="BX168" t="e">
        <f>AND(Demos!#REF!,"AAAAAHb2r0s=")</f>
        <v>#REF!</v>
      </c>
      <c r="BY168" t="e">
        <f>AND(Demos!#REF!,"AAAAAHb2r0w=")</f>
        <v>#REF!</v>
      </c>
      <c r="BZ168" t="e">
        <f>AND(Demos!#REF!,"AAAAAHb2r00=")</f>
        <v>#REF!</v>
      </c>
      <c r="CA168" t="e">
        <f>AND(Demos!#REF!,"AAAAAHb2r04=")</f>
        <v>#REF!</v>
      </c>
      <c r="CB168" t="e">
        <f>AND(Demos!#REF!,"AAAAAHb2r08=")</f>
        <v>#REF!</v>
      </c>
      <c r="CC168" t="e">
        <f>AND(Demos!#REF!,"AAAAAHb2r1A=")</f>
        <v>#REF!</v>
      </c>
      <c r="CD168" t="e">
        <f>AND(Demos!#REF!,"AAAAAHb2r1E=")</f>
        <v>#REF!</v>
      </c>
      <c r="CE168" t="e">
        <f>AND(Demos!#REF!,"AAAAAHb2r1I=")</f>
        <v>#REF!</v>
      </c>
      <c r="CF168" t="e">
        <f>AND(Demos!#REF!,"AAAAAHb2r1M=")</f>
        <v>#REF!</v>
      </c>
      <c r="CG168" t="e">
        <f>AND(Demos!#REF!,"AAAAAHb2r1Q=")</f>
        <v>#REF!</v>
      </c>
      <c r="CH168" t="e">
        <f>AND(Demos!#REF!,"AAAAAHb2r1U=")</f>
        <v>#REF!</v>
      </c>
      <c r="CI168" t="e">
        <f>IF(Demos!#REF!,"AAAAAHb2r1Y=",0)</f>
        <v>#REF!</v>
      </c>
      <c r="CJ168" t="e">
        <f>AND(Demos!#REF!,"AAAAAHb2r1c=")</f>
        <v>#REF!</v>
      </c>
      <c r="CK168" t="e">
        <f>AND(Demos!#REF!,"AAAAAHb2r1g=")</f>
        <v>#REF!</v>
      </c>
      <c r="CL168" t="e">
        <f>AND(Demos!#REF!,"AAAAAHb2r1k=")</f>
        <v>#REF!</v>
      </c>
      <c r="CM168" t="e">
        <f>AND(Demos!#REF!,"AAAAAHb2r1o=")</f>
        <v>#REF!</v>
      </c>
      <c r="CN168" t="e">
        <f>AND(Demos!#REF!,"AAAAAHb2r1s=")</f>
        <v>#REF!</v>
      </c>
      <c r="CO168" t="e">
        <f>AND(Demos!#REF!,"AAAAAHb2r1w=")</f>
        <v>#REF!</v>
      </c>
      <c r="CP168" t="e">
        <f>AND(Demos!#REF!,"AAAAAHb2r10=")</f>
        <v>#REF!</v>
      </c>
      <c r="CQ168" t="e">
        <f>AND(Demos!#REF!,"AAAAAHb2r14=")</f>
        <v>#REF!</v>
      </c>
      <c r="CR168" t="e">
        <f>AND(Demos!#REF!,"AAAAAHb2r18=")</f>
        <v>#REF!</v>
      </c>
      <c r="CS168" t="e">
        <f>AND(Demos!#REF!,"AAAAAHb2r2A=")</f>
        <v>#REF!</v>
      </c>
      <c r="CT168" t="e">
        <f>AND(Demos!#REF!,"AAAAAHb2r2E=")</f>
        <v>#REF!</v>
      </c>
      <c r="CU168" t="e">
        <f>AND(Demos!#REF!,"AAAAAHb2r2I=")</f>
        <v>#REF!</v>
      </c>
      <c r="CV168" t="e">
        <f>AND(Demos!#REF!,"AAAAAHb2r2M=")</f>
        <v>#REF!</v>
      </c>
      <c r="CW168" t="e">
        <f>IF(Demos!#REF!,"AAAAAHb2r2Q=",0)</f>
        <v>#REF!</v>
      </c>
      <c r="CX168" t="e">
        <f>AND(Demos!#REF!,"AAAAAHb2r2U=")</f>
        <v>#REF!</v>
      </c>
      <c r="CY168" t="e">
        <f>AND(Demos!#REF!,"AAAAAHb2r2Y=")</f>
        <v>#REF!</v>
      </c>
      <c r="CZ168" t="e">
        <f>AND(Demos!#REF!,"AAAAAHb2r2c=")</f>
        <v>#REF!</v>
      </c>
      <c r="DA168" t="e">
        <f>AND(Demos!#REF!,"AAAAAHb2r2g=")</f>
        <v>#REF!</v>
      </c>
      <c r="DB168" t="e">
        <f>AND(Demos!#REF!,"AAAAAHb2r2k=")</f>
        <v>#REF!</v>
      </c>
      <c r="DC168" t="e">
        <f>AND(Demos!#REF!,"AAAAAHb2r2o=")</f>
        <v>#REF!</v>
      </c>
      <c r="DD168" t="e">
        <f>AND(Demos!#REF!,"AAAAAHb2r2s=")</f>
        <v>#REF!</v>
      </c>
      <c r="DE168" t="e">
        <f>AND(Demos!#REF!,"AAAAAHb2r2w=")</f>
        <v>#REF!</v>
      </c>
      <c r="DF168" t="e">
        <f>AND(Demos!#REF!,"AAAAAHb2r20=")</f>
        <v>#REF!</v>
      </c>
      <c r="DG168" t="e">
        <f>AND(Demos!#REF!,"AAAAAHb2r24=")</f>
        <v>#REF!</v>
      </c>
      <c r="DH168" t="e">
        <f>AND(Demos!#REF!,"AAAAAHb2r28=")</f>
        <v>#REF!</v>
      </c>
      <c r="DI168" t="e">
        <f>AND(Demos!#REF!,"AAAAAHb2r3A=")</f>
        <v>#REF!</v>
      </c>
      <c r="DJ168" t="e">
        <f>AND(Demos!#REF!,"AAAAAHb2r3E=")</f>
        <v>#REF!</v>
      </c>
      <c r="DK168" t="e">
        <f>IF(Demos!#REF!,"AAAAAHb2r3I=",0)</f>
        <v>#REF!</v>
      </c>
      <c r="DL168" t="e">
        <f>AND(Demos!#REF!,"AAAAAHb2r3M=")</f>
        <v>#REF!</v>
      </c>
      <c r="DM168" t="e">
        <f>AND(Demos!#REF!,"AAAAAHb2r3Q=")</f>
        <v>#REF!</v>
      </c>
      <c r="DN168" t="e">
        <f>AND(Demos!#REF!,"AAAAAHb2r3U=")</f>
        <v>#REF!</v>
      </c>
      <c r="DO168" t="e">
        <f>AND(Demos!#REF!,"AAAAAHb2r3Y=")</f>
        <v>#REF!</v>
      </c>
      <c r="DP168" t="e">
        <f>AND(Demos!#REF!,"AAAAAHb2r3c=")</f>
        <v>#REF!</v>
      </c>
      <c r="DQ168" t="e">
        <f>AND(Demos!#REF!,"AAAAAHb2r3g=")</f>
        <v>#REF!</v>
      </c>
      <c r="DR168" t="e">
        <f>AND(Demos!#REF!,"AAAAAHb2r3k=")</f>
        <v>#REF!</v>
      </c>
      <c r="DS168" t="e">
        <f>AND(Demos!#REF!,"AAAAAHb2r3o=")</f>
        <v>#REF!</v>
      </c>
      <c r="DT168" t="e">
        <f>AND(Demos!#REF!,"AAAAAHb2r3s=")</f>
        <v>#REF!</v>
      </c>
      <c r="DU168" t="e">
        <f>AND(Demos!#REF!,"AAAAAHb2r3w=")</f>
        <v>#REF!</v>
      </c>
      <c r="DV168" t="e">
        <f>AND(Demos!#REF!,"AAAAAHb2r30=")</f>
        <v>#REF!</v>
      </c>
      <c r="DW168" t="e">
        <f>AND(Demos!#REF!,"AAAAAHb2r34=")</f>
        <v>#REF!</v>
      </c>
      <c r="DX168" t="e">
        <f>AND(Demos!#REF!,"AAAAAHb2r38=")</f>
        <v>#REF!</v>
      </c>
      <c r="DY168" t="e">
        <f>IF(Demos!#REF!,"AAAAAHb2r4A=",0)</f>
        <v>#REF!</v>
      </c>
      <c r="DZ168" t="e">
        <f>AND(Demos!#REF!,"AAAAAHb2r4E=")</f>
        <v>#REF!</v>
      </c>
      <c r="EA168" t="e">
        <f>AND(Demos!#REF!,"AAAAAHb2r4I=")</f>
        <v>#REF!</v>
      </c>
      <c r="EB168" t="e">
        <f>AND(Demos!#REF!,"AAAAAHb2r4M=")</f>
        <v>#REF!</v>
      </c>
      <c r="EC168" t="e">
        <f>AND(Demos!#REF!,"AAAAAHb2r4Q=")</f>
        <v>#REF!</v>
      </c>
      <c r="ED168" t="e">
        <f>AND(Demos!#REF!,"AAAAAHb2r4U=")</f>
        <v>#REF!</v>
      </c>
      <c r="EE168" t="e">
        <f>AND(Demos!#REF!,"AAAAAHb2r4Y=")</f>
        <v>#REF!</v>
      </c>
      <c r="EF168" t="e">
        <f>AND(Demos!#REF!,"AAAAAHb2r4c=")</f>
        <v>#REF!</v>
      </c>
      <c r="EG168" t="e">
        <f>AND(Demos!#REF!,"AAAAAHb2r4g=")</f>
        <v>#REF!</v>
      </c>
      <c r="EH168" t="e">
        <f>AND(Demos!#REF!,"AAAAAHb2r4k=")</f>
        <v>#REF!</v>
      </c>
      <c r="EI168" t="e">
        <f>AND(Demos!#REF!,"AAAAAHb2r4o=")</f>
        <v>#REF!</v>
      </c>
      <c r="EJ168" t="e">
        <f>AND(Demos!#REF!,"AAAAAHb2r4s=")</f>
        <v>#REF!</v>
      </c>
      <c r="EK168" t="e">
        <f>AND(Demos!#REF!,"AAAAAHb2r4w=")</f>
        <v>#REF!</v>
      </c>
      <c r="EL168" t="e">
        <f>AND(Demos!#REF!,"AAAAAHb2r40=")</f>
        <v>#REF!</v>
      </c>
      <c r="EM168" t="e">
        <f>IF(Demos!#REF!,"AAAAAHb2r44=",0)</f>
        <v>#REF!</v>
      </c>
      <c r="EN168" t="e">
        <f>AND(Demos!#REF!,"AAAAAHb2r48=")</f>
        <v>#REF!</v>
      </c>
      <c r="EO168" t="e">
        <f>AND(Demos!#REF!,"AAAAAHb2r5A=")</f>
        <v>#REF!</v>
      </c>
      <c r="EP168" t="e">
        <f>AND(Demos!#REF!,"AAAAAHb2r5E=")</f>
        <v>#REF!</v>
      </c>
      <c r="EQ168" t="e">
        <f>AND(Demos!#REF!,"AAAAAHb2r5I=")</f>
        <v>#REF!</v>
      </c>
      <c r="ER168" t="e">
        <f>AND(Demos!#REF!,"AAAAAHb2r5M=")</f>
        <v>#REF!</v>
      </c>
      <c r="ES168" t="e">
        <f>AND(Demos!#REF!,"AAAAAHb2r5Q=")</f>
        <v>#REF!</v>
      </c>
      <c r="ET168" t="e">
        <f>AND(Demos!#REF!,"AAAAAHb2r5U=")</f>
        <v>#REF!</v>
      </c>
      <c r="EU168" t="e">
        <f>AND(Demos!#REF!,"AAAAAHb2r5Y=")</f>
        <v>#REF!</v>
      </c>
      <c r="EV168" t="e">
        <f>AND(Demos!#REF!,"AAAAAHb2r5c=")</f>
        <v>#REF!</v>
      </c>
      <c r="EW168" t="e">
        <f>AND(Demos!#REF!,"AAAAAHb2r5g=")</f>
        <v>#REF!</v>
      </c>
      <c r="EX168" t="e">
        <f>AND(Demos!#REF!,"AAAAAHb2r5k=")</f>
        <v>#REF!</v>
      </c>
      <c r="EY168" t="e">
        <f>AND(Demos!#REF!,"AAAAAHb2r5o=")</f>
        <v>#REF!</v>
      </c>
      <c r="EZ168" t="e">
        <f>AND(Demos!#REF!,"AAAAAHb2r5s=")</f>
        <v>#REF!</v>
      </c>
      <c r="FA168" t="e">
        <f>IF(Demos!#REF!,"AAAAAHb2r5w=",0)</f>
        <v>#REF!</v>
      </c>
      <c r="FB168" t="e">
        <f>AND(Demos!#REF!,"AAAAAHb2r50=")</f>
        <v>#REF!</v>
      </c>
      <c r="FC168" t="e">
        <f>AND(Demos!#REF!,"AAAAAHb2r54=")</f>
        <v>#REF!</v>
      </c>
      <c r="FD168" t="e">
        <f>AND(Demos!#REF!,"AAAAAHb2r58=")</f>
        <v>#REF!</v>
      </c>
      <c r="FE168" t="e">
        <f>AND(Demos!#REF!,"AAAAAHb2r6A=")</f>
        <v>#REF!</v>
      </c>
      <c r="FF168" t="e">
        <f>AND(Demos!#REF!,"AAAAAHb2r6E=")</f>
        <v>#REF!</v>
      </c>
      <c r="FG168" t="e">
        <f>AND(Demos!#REF!,"AAAAAHb2r6I=")</f>
        <v>#REF!</v>
      </c>
      <c r="FH168" t="e">
        <f>AND(Demos!#REF!,"AAAAAHb2r6M=")</f>
        <v>#REF!</v>
      </c>
      <c r="FI168" t="e">
        <f>AND(Demos!#REF!,"AAAAAHb2r6Q=")</f>
        <v>#REF!</v>
      </c>
      <c r="FJ168" t="e">
        <f>AND(Demos!#REF!,"AAAAAHb2r6U=")</f>
        <v>#REF!</v>
      </c>
      <c r="FK168" t="e">
        <f>AND(Demos!#REF!,"AAAAAHb2r6Y=")</f>
        <v>#REF!</v>
      </c>
      <c r="FL168" t="e">
        <f>AND(Demos!#REF!,"AAAAAHb2r6c=")</f>
        <v>#REF!</v>
      </c>
      <c r="FM168" t="e">
        <f>AND(Demos!#REF!,"AAAAAHb2r6g=")</f>
        <v>#REF!</v>
      </c>
      <c r="FN168" t="e">
        <f>AND(Demos!#REF!,"AAAAAHb2r6k=")</f>
        <v>#REF!</v>
      </c>
      <c r="FO168" t="e">
        <f>IF(Demos!#REF!,"AAAAAHb2r6o=",0)</f>
        <v>#REF!</v>
      </c>
      <c r="FP168" t="e">
        <f>AND(Demos!#REF!,"AAAAAHb2r6s=")</f>
        <v>#REF!</v>
      </c>
      <c r="FQ168" t="e">
        <f>AND(Demos!#REF!,"AAAAAHb2r6w=")</f>
        <v>#REF!</v>
      </c>
      <c r="FR168" t="e">
        <f>AND(Demos!#REF!,"AAAAAHb2r60=")</f>
        <v>#REF!</v>
      </c>
      <c r="FS168" t="e">
        <f>AND(Demos!#REF!,"AAAAAHb2r64=")</f>
        <v>#REF!</v>
      </c>
      <c r="FT168" t="e">
        <f>AND(Demos!#REF!,"AAAAAHb2r68=")</f>
        <v>#REF!</v>
      </c>
      <c r="FU168" t="e">
        <f>AND(Demos!#REF!,"AAAAAHb2r7A=")</f>
        <v>#REF!</v>
      </c>
      <c r="FV168" t="e">
        <f>AND(Demos!#REF!,"AAAAAHb2r7E=")</f>
        <v>#REF!</v>
      </c>
      <c r="FW168" t="e">
        <f>AND(Demos!#REF!,"AAAAAHb2r7I=")</f>
        <v>#REF!</v>
      </c>
      <c r="FX168" t="e">
        <f>AND(Demos!#REF!,"AAAAAHb2r7M=")</f>
        <v>#REF!</v>
      </c>
      <c r="FY168" t="e">
        <f>AND(Demos!#REF!,"AAAAAHb2r7Q=")</f>
        <v>#REF!</v>
      </c>
      <c r="FZ168" t="e">
        <f>AND(Demos!#REF!,"AAAAAHb2r7U=")</f>
        <v>#REF!</v>
      </c>
      <c r="GA168" t="e">
        <f>AND(Demos!#REF!,"AAAAAHb2r7Y=")</f>
        <v>#REF!</v>
      </c>
      <c r="GB168" t="e">
        <f>AND(Demos!#REF!,"AAAAAHb2r7c=")</f>
        <v>#REF!</v>
      </c>
      <c r="GC168" t="e">
        <f>IF(Demos!#REF!,"AAAAAHb2r7g=",0)</f>
        <v>#REF!</v>
      </c>
      <c r="GD168" t="e">
        <f>AND(Demos!#REF!,"AAAAAHb2r7k=")</f>
        <v>#REF!</v>
      </c>
      <c r="GE168" t="e">
        <f>AND(Demos!#REF!,"AAAAAHb2r7o=")</f>
        <v>#REF!</v>
      </c>
      <c r="GF168" t="e">
        <f>AND(Demos!#REF!,"AAAAAHb2r7s=")</f>
        <v>#REF!</v>
      </c>
      <c r="GG168" t="e">
        <f>AND(Demos!#REF!,"AAAAAHb2r7w=")</f>
        <v>#REF!</v>
      </c>
      <c r="GH168" t="e">
        <f>AND(Demos!#REF!,"AAAAAHb2r70=")</f>
        <v>#REF!</v>
      </c>
      <c r="GI168" t="e">
        <f>AND(Demos!#REF!,"AAAAAHb2r74=")</f>
        <v>#REF!</v>
      </c>
      <c r="GJ168" t="e">
        <f>AND(Demos!#REF!,"AAAAAHb2r78=")</f>
        <v>#REF!</v>
      </c>
      <c r="GK168" t="e">
        <f>AND(Demos!#REF!,"AAAAAHb2r8A=")</f>
        <v>#REF!</v>
      </c>
      <c r="GL168" t="e">
        <f>AND(Demos!#REF!,"AAAAAHb2r8E=")</f>
        <v>#REF!</v>
      </c>
      <c r="GM168" t="e">
        <f>AND(Demos!#REF!,"AAAAAHb2r8I=")</f>
        <v>#REF!</v>
      </c>
      <c r="GN168" t="e">
        <f>AND(Demos!#REF!,"AAAAAHb2r8M=")</f>
        <v>#REF!</v>
      </c>
      <c r="GO168" t="e">
        <f>AND(Demos!#REF!,"AAAAAHb2r8Q=")</f>
        <v>#REF!</v>
      </c>
      <c r="GP168" t="e">
        <f>AND(Demos!#REF!,"AAAAAHb2r8U=")</f>
        <v>#REF!</v>
      </c>
      <c r="GQ168" t="e">
        <f>IF(Demos!#REF!,"AAAAAHb2r8Y=",0)</f>
        <v>#REF!</v>
      </c>
      <c r="GR168" t="e">
        <f>AND(Demos!#REF!,"AAAAAHb2r8c=")</f>
        <v>#REF!</v>
      </c>
      <c r="GS168" t="e">
        <f>AND(Demos!#REF!,"AAAAAHb2r8g=")</f>
        <v>#REF!</v>
      </c>
      <c r="GT168" t="e">
        <f>AND(Demos!#REF!,"AAAAAHb2r8k=")</f>
        <v>#REF!</v>
      </c>
      <c r="GU168" t="e">
        <f>AND(Demos!#REF!,"AAAAAHb2r8o=")</f>
        <v>#REF!</v>
      </c>
      <c r="GV168" t="e">
        <f>AND(Demos!#REF!,"AAAAAHb2r8s=")</f>
        <v>#REF!</v>
      </c>
      <c r="GW168" t="e">
        <f>AND(Demos!#REF!,"AAAAAHb2r8w=")</f>
        <v>#REF!</v>
      </c>
      <c r="GX168" t="e">
        <f>AND(Demos!#REF!,"AAAAAHb2r80=")</f>
        <v>#REF!</v>
      </c>
      <c r="GY168" t="e">
        <f>AND(Demos!#REF!,"AAAAAHb2r84=")</f>
        <v>#REF!</v>
      </c>
      <c r="GZ168" t="e">
        <f>AND(Demos!#REF!,"AAAAAHb2r88=")</f>
        <v>#REF!</v>
      </c>
      <c r="HA168" t="e">
        <f>AND(Demos!#REF!,"AAAAAHb2r9A=")</f>
        <v>#REF!</v>
      </c>
      <c r="HB168" t="e">
        <f>AND(Demos!#REF!,"AAAAAHb2r9E=")</f>
        <v>#REF!</v>
      </c>
      <c r="HC168" t="e">
        <f>AND(Demos!#REF!,"AAAAAHb2r9I=")</f>
        <v>#REF!</v>
      </c>
      <c r="HD168" t="e">
        <f>AND(Demos!#REF!,"AAAAAHb2r9M=")</f>
        <v>#REF!</v>
      </c>
      <c r="HE168" t="e">
        <f>IF(Demos!#REF!,"AAAAAHb2r9Q=",0)</f>
        <v>#REF!</v>
      </c>
      <c r="HF168" t="e">
        <f>AND(Demos!#REF!,"AAAAAHb2r9U=")</f>
        <v>#REF!</v>
      </c>
      <c r="HG168" t="e">
        <f>AND(Demos!#REF!,"AAAAAHb2r9Y=")</f>
        <v>#REF!</v>
      </c>
      <c r="HH168" t="e">
        <f>AND(Demos!#REF!,"AAAAAHb2r9c=")</f>
        <v>#REF!</v>
      </c>
      <c r="HI168" t="e">
        <f>AND(Demos!#REF!,"AAAAAHb2r9g=")</f>
        <v>#REF!</v>
      </c>
      <c r="HJ168" t="e">
        <f>AND(Demos!#REF!,"AAAAAHb2r9k=")</f>
        <v>#REF!</v>
      </c>
      <c r="HK168" t="e">
        <f>AND(Demos!#REF!,"AAAAAHb2r9o=")</f>
        <v>#REF!</v>
      </c>
      <c r="HL168" t="e">
        <f>AND(Demos!#REF!,"AAAAAHb2r9s=")</f>
        <v>#REF!</v>
      </c>
      <c r="HM168" t="e">
        <f>AND(Demos!#REF!,"AAAAAHb2r9w=")</f>
        <v>#REF!</v>
      </c>
      <c r="HN168" t="e">
        <f>AND(Demos!#REF!,"AAAAAHb2r90=")</f>
        <v>#REF!</v>
      </c>
      <c r="HO168" t="e">
        <f>AND(Demos!#REF!,"AAAAAHb2r94=")</f>
        <v>#REF!</v>
      </c>
      <c r="HP168" t="e">
        <f>AND(Demos!#REF!,"AAAAAHb2r98=")</f>
        <v>#REF!</v>
      </c>
      <c r="HQ168" t="e">
        <f>AND(Demos!#REF!,"AAAAAHb2r+A=")</f>
        <v>#REF!</v>
      </c>
      <c r="HR168" t="e">
        <f>AND(Demos!#REF!,"AAAAAHb2r+E=")</f>
        <v>#REF!</v>
      </c>
      <c r="HS168" t="e">
        <f>IF(Demos!#REF!,"AAAAAHb2r+I=",0)</f>
        <v>#REF!</v>
      </c>
      <c r="HT168" t="e">
        <f>AND(Demos!#REF!,"AAAAAHb2r+M=")</f>
        <v>#REF!</v>
      </c>
      <c r="HU168" t="e">
        <f>AND(Demos!#REF!,"AAAAAHb2r+Q=")</f>
        <v>#REF!</v>
      </c>
      <c r="HV168" t="e">
        <f>AND(Demos!#REF!,"AAAAAHb2r+U=")</f>
        <v>#REF!</v>
      </c>
      <c r="HW168" t="e">
        <f>AND(Demos!#REF!,"AAAAAHb2r+Y=")</f>
        <v>#REF!</v>
      </c>
      <c r="HX168" t="e">
        <f>AND(Demos!#REF!,"AAAAAHb2r+c=")</f>
        <v>#REF!</v>
      </c>
      <c r="HY168" t="e">
        <f>AND(Demos!#REF!,"AAAAAHb2r+g=")</f>
        <v>#REF!</v>
      </c>
      <c r="HZ168" t="e">
        <f>AND(Demos!#REF!,"AAAAAHb2r+k=")</f>
        <v>#REF!</v>
      </c>
      <c r="IA168" t="e">
        <f>AND(Demos!#REF!,"AAAAAHb2r+o=")</f>
        <v>#REF!</v>
      </c>
      <c r="IB168" t="e">
        <f>AND(Demos!#REF!,"AAAAAHb2r+s=")</f>
        <v>#REF!</v>
      </c>
      <c r="IC168" t="e">
        <f>AND(Demos!#REF!,"AAAAAHb2r+w=")</f>
        <v>#REF!</v>
      </c>
      <c r="ID168" t="e">
        <f>AND(Demos!#REF!,"AAAAAHb2r+0=")</f>
        <v>#REF!</v>
      </c>
      <c r="IE168" t="e">
        <f>AND(Demos!#REF!,"AAAAAHb2r+4=")</f>
        <v>#REF!</v>
      </c>
      <c r="IF168" t="e">
        <f>AND(Demos!#REF!,"AAAAAHb2r+8=")</f>
        <v>#REF!</v>
      </c>
      <c r="IG168" t="e">
        <f>IF(Demos!#REF!,"AAAAAHb2r/A=",0)</f>
        <v>#REF!</v>
      </c>
      <c r="IH168" t="e">
        <f>AND(Demos!#REF!,"AAAAAHb2r/E=")</f>
        <v>#REF!</v>
      </c>
      <c r="II168" t="e">
        <f>AND(Demos!#REF!,"AAAAAHb2r/I=")</f>
        <v>#REF!</v>
      </c>
      <c r="IJ168" t="e">
        <f>AND(Demos!#REF!,"AAAAAHb2r/M=")</f>
        <v>#REF!</v>
      </c>
      <c r="IK168" t="e">
        <f>AND(Demos!#REF!,"AAAAAHb2r/Q=")</f>
        <v>#REF!</v>
      </c>
      <c r="IL168" t="e">
        <f>AND(Demos!#REF!,"AAAAAHb2r/U=")</f>
        <v>#REF!</v>
      </c>
      <c r="IM168" t="e">
        <f>AND(Demos!#REF!,"AAAAAHb2r/Y=")</f>
        <v>#REF!</v>
      </c>
      <c r="IN168" t="e">
        <f>AND(Demos!#REF!,"AAAAAHb2r/c=")</f>
        <v>#REF!</v>
      </c>
      <c r="IO168" t="e">
        <f>AND(Demos!#REF!,"AAAAAHb2r/g=")</f>
        <v>#REF!</v>
      </c>
      <c r="IP168" t="e">
        <f>AND(Demos!#REF!,"AAAAAHb2r/k=")</f>
        <v>#REF!</v>
      </c>
      <c r="IQ168" t="e">
        <f>AND(Demos!#REF!,"AAAAAHb2r/o=")</f>
        <v>#REF!</v>
      </c>
      <c r="IR168" t="e">
        <f>AND(Demos!#REF!,"AAAAAHb2r/s=")</f>
        <v>#REF!</v>
      </c>
      <c r="IS168" t="e">
        <f>AND(Demos!#REF!,"AAAAAHb2r/w=")</f>
        <v>#REF!</v>
      </c>
      <c r="IT168" t="e">
        <f>AND(Demos!#REF!,"AAAAAHb2r/0=")</f>
        <v>#REF!</v>
      </c>
      <c r="IU168" t="e">
        <f>IF(Demos!#REF!,"AAAAAHb2r/4=",0)</f>
        <v>#REF!</v>
      </c>
      <c r="IV168" t="e">
        <f>AND(Demos!#REF!,"AAAAAHb2r/8=")</f>
        <v>#REF!</v>
      </c>
    </row>
    <row r="169" spans="1:256" x14ac:dyDescent="0.2">
      <c r="A169" t="e">
        <f>AND(Demos!#REF!,"AAAAABvc7QA=")</f>
        <v>#REF!</v>
      </c>
      <c r="B169" t="e">
        <f>AND(Demos!#REF!,"AAAAABvc7QE=")</f>
        <v>#REF!</v>
      </c>
      <c r="C169" t="e">
        <f>AND(Demos!#REF!,"AAAAABvc7QI=")</f>
        <v>#REF!</v>
      </c>
      <c r="D169" t="e">
        <f>AND(Demos!#REF!,"AAAAABvc7QM=")</f>
        <v>#REF!</v>
      </c>
      <c r="E169" t="e">
        <f>AND(Demos!#REF!,"AAAAABvc7QQ=")</f>
        <v>#REF!</v>
      </c>
      <c r="F169" t="e">
        <f>AND(Demos!#REF!,"AAAAABvc7QU=")</f>
        <v>#REF!</v>
      </c>
      <c r="G169" t="e">
        <f>AND(Demos!#REF!,"AAAAABvc7QY=")</f>
        <v>#REF!</v>
      </c>
      <c r="H169" t="e">
        <f>AND(Demos!#REF!,"AAAAABvc7Qc=")</f>
        <v>#REF!</v>
      </c>
      <c r="I169" t="e">
        <f>AND(Demos!#REF!,"AAAAABvc7Qg=")</f>
        <v>#REF!</v>
      </c>
      <c r="J169" t="e">
        <f>AND(Demos!#REF!,"AAAAABvc7Qk=")</f>
        <v>#REF!</v>
      </c>
      <c r="K169" t="e">
        <f>AND(Demos!#REF!,"AAAAABvc7Qo=")</f>
        <v>#REF!</v>
      </c>
      <c r="L169" t="e">
        <f>AND(Demos!#REF!,"AAAAABvc7Qs=")</f>
        <v>#REF!</v>
      </c>
      <c r="M169" t="e">
        <f>IF(Demos!#REF!,"AAAAABvc7Qw=",0)</f>
        <v>#REF!</v>
      </c>
      <c r="N169" t="e">
        <f>AND(Demos!#REF!,"AAAAABvc7Q0=")</f>
        <v>#REF!</v>
      </c>
      <c r="O169" t="e">
        <f>AND(Demos!#REF!,"AAAAABvc7Q4=")</f>
        <v>#REF!</v>
      </c>
      <c r="P169" t="e">
        <f>AND(Demos!#REF!,"AAAAABvc7Q8=")</f>
        <v>#REF!</v>
      </c>
      <c r="Q169" t="e">
        <f>AND(Demos!#REF!,"AAAAABvc7RA=")</f>
        <v>#REF!</v>
      </c>
      <c r="R169" t="e">
        <f>AND(Demos!#REF!,"AAAAABvc7RE=")</f>
        <v>#REF!</v>
      </c>
      <c r="S169" t="e">
        <f>AND(Demos!#REF!,"AAAAABvc7RI=")</f>
        <v>#REF!</v>
      </c>
      <c r="T169" t="e">
        <f>AND(Demos!#REF!,"AAAAABvc7RM=")</f>
        <v>#REF!</v>
      </c>
      <c r="U169" t="e">
        <f>AND(Demos!#REF!,"AAAAABvc7RQ=")</f>
        <v>#REF!</v>
      </c>
      <c r="V169" t="e">
        <f>AND(Demos!#REF!,"AAAAABvc7RU=")</f>
        <v>#REF!</v>
      </c>
      <c r="W169" t="e">
        <f>AND(Demos!#REF!,"AAAAABvc7RY=")</f>
        <v>#REF!</v>
      </c>
      <c r="X169" t="e">
        <f>AND(Demos!#REF!,"AAAAABvc7Rc=")</f>
        <v>#REF!</v>
      </c>
      <c r="Y169" t="e">
        <f>AND(Demos!#REF!,"AAAAABvc7Rg=")</f>
        <v>#REF!</v>
      </c>
      <c r="Z169" t="e">
        <f>AND(Demos!#REF!,"AAAAABvc7Rk=")</f>
        <v>#REF!</v>
      </c>
      <c r="AA169" t="e">
        <f>IF(Demos!#REF!,"AAAAABvc7Ro=",0)</f>
        <v>#REF!</v>
      </c>
      <c r="AB169" t="e">
        <f>AND(Demos!#REF!,"AAAAABvc7Rs=")</f>
        <v>#REF!</v>
      </c>
      <c r="AC169" t="e">
        <f>AND(Demos!#REF!,"AAAAABvc7Rw=")</f>
        <v>#REF!</v>
      </c>
      <c r="AD169" t="e">
        <f>AND(Demos!#REF!,"AAAAABvc7R0=")</f>
        <v>#REF!</v>
      </c>
      <c r="AE169" t="e">
        <f>AND(Demos!#REF!,"AAAAABvc7R4=")</f>
        <v>#REF!</v>
      </c>
      <c r="AF169" t="e">
        <f>AND(Demos!#REF!,"AAAAABvc7R8=")</f>
        <v>#REF!</v>
      </c>
      <c r="AG169" t="e">
        <f>AND(Demos!#REF!,"AAAAABvc7SA=")</f>
        <v>#REF!</v>
      </c>
      <c r="AH169" t="e">
        <f>AND(Demos!#REF!,"AAAAABvc7SE=")</f>
        <v>#REF!</v>
      </c>
      <c r="AI169" t="e">
        <f>AND(Demos!#REF!,"AAAAABvc7SI=")</f>
        <v>#REF!</v>
      </c>
      <c r="AJ169" t="e">
        <f>AND(Demos!#REF!,"AAAAABvc7SM=")</f>
        <v>#REF!</v>
      </c>
      <c r="AK169" t="e">
        <f>AND(Demos!#REF!,"AAAAABvc7SQ=")</f>
        <v>#REF!</v>
      </c>
      <c r="AL169" t="e">
        <f>AND(Demos!#REF!,"AAAAABvc7SU=")</f>
        <v>#REF!</v>
      </c>
      <c r="AM169" t="e">
        <f>AND(Demos!#REF!,"AAAAABvc7SY=")</f>
        <v>#REF!</v>
      </c>
      <c r="AN169" t="e">
        <f>AND(Demos!#REF!,"AAAAABvc7Sc=")</f>
        <v>#REF!</v>
      </c>
      <c r="AO169" t="e">
        <f>IF(Demos!#REF!,"AAAAABvc7Sg=",0)</f>
        <v>#REF!</v>
      </c>
      <c r="AP169" t="e">
        <f>AND(Demos!#REF!,"AAAAABvc7Sk=")</f>
        <v>#REF!</v>
      </c>
      <c r="AQ169" t="e">
        <f>AND(Demos!#REF!,"AAAAABvc7So=")</f>
        <v>#REF!</v>
      </c>
      <c r="AR169" t="e">
        <f>AND(Demos!#REF!,"AAAAABvc7Ss=")</f>
        <v>#REF!</v>
      </c>
      <c r="AS169" t="e">
        <f>AND(Demos!#REF!,"AAAAABvc7Sw=")</f>
        <v>#REF!</v>
      </c>
      <c r="AT169" t="e">
        <f>AND(Demos!#REF!,"AAAAABvc7S0=")</f>
        <v>#REF!</v>
      </c>
      <c r="AU169" t="e">
        <f>AND(Demos!#REF!,"AAAAABvc7S4=")</f>
        <v>#REF!</v>
      </c>
      <c r="AV169" t="e">
        <f>AND(Demos!#REF!,"AAAAABvc7S8=")</f>
        <v>#REF!</v>
      </c>
      <c r="AW169" t="e">
        <f>AND(Demos!#REF!,"AAAAABvc7TA=")</f>
        <v>#REF!</v>
      </c>
      <c r="AX169" t="e">
        <f>AND(Demos!#REF!,"AAAAABvc7TE=")</f>
        <v>#REF!</v>
      </c>
      <c r="AY169" t="e">
        <f>AND(Demos!#REF!,"AAAAABvc7TI=")</f>
        <v>#REF!</v>
      </c>
      <c r="AZ169" t="e">
        <f>AND(Demos!#REF!,"AAAAABvc7TM=")</f>
        <v>#REF!</v>
      </c>
      <c r="BA169" t="e">
        <f>AND(Demos!#REF!,"AAAAABvc7TQ=")</f>
        <v>#REF!</v>
      </c>
      <c r="BB169" t="e">
        <f>AND(Demos!#REF!,"AAAAABvc7TU=")</f>
        <v>#REF!</v>
      </c>
      <c r="BC169" t="e">
        <f>IF(Demos!#REF!,"AAAAABvc7TY=",0)</f>
        <v>#REF!</v>
      </c>
      <c r="BD169" t="e">
        <f>AND(Demos!#REF!,"AAAAABvc7Tc=")</f>
        <v>#REF!</v>
      </c>
      <c r="BE169" t="e">
        <f>AND(Demos!#REF!,"AAAAABvc7Tg=")</f>
        <v>#REF!</v>
      </c>
      <c r="BF169" t="e">
        <f>AND(Demos!#REF!,"AAAAABvc7Tk=")</f>
        <v>#REF!</v>
      </c>
      <c r="BG169" t="e">
        <f>AND(Demos!#REF!,"AAAAABvc7To=")</f>
        <v>#REF!</v>
      </c>
      <c r="BH169" t="e">
        <f>AND(Demos!#REF!,"AAAAABvc7Ts=")</f>
        <v>#REF!</v>
      </c>
      <c r="BI169" t="e">
        <f>AND(Demos!#REF!,"AAAAABvc7Tw=")</f>
        <v>#REF!</v>
      </c>
      <c r="BJ169" t="e">
        <f>AND(Demos!#REF!,"AAAAABvc7T0=")</f>
        <v>#REF!</v>
      </c>
      <c r="BK169" t="e">
        <f>AND(Demos!#REF!,"AAAAABvc7T4=")</f>
        <v>#REF!</v>
      </c>
      <c r="BL169" t="e">
        <f>AND(Demos!#REF!,"AAAAABvc7T8=")</f>
        <v>#REF!</v>
      </c>
      <c r="BM169" t="e">
        <f>AND(Demos!#REF!,"AAAAABvc7UA=")</f>
        <v>#REF!</v>
      </c>
      <c r="BN169" t="e">
        <f>AND(Demos!#REF!,"AAAAABvc7UE=")</f>
        <v>#REF!</v>
      </c>
      <c r="BO169" t="e">
        <f>AND(Demos!#REF!,"AAAAABvc7UI=")</f>
        <v>#REF!</v>
      </c>
      <c r="BP169" t="e">
        <f>AND(Demos!#REF!,"AAAAABvc7UM=")</f>
        <v>#REF!</v>
      </c>
      <c r="BQ169" t="e">
        <f>IF(Demos!#REF!,"AAAAABvc7UQ=",0)</f>
        <v>#REF!</v>
      </c>
      <c r="BR169" t="e">
        <f>AND(Demos!#REF!,"AAAAABvc7UU=")</f>
        <v>#REF!</v>
      </c>
      <c r="BS169" t="e">
        <f>AND(Demos!#REF!,"AAAAABvc7UY=")</f>
        <v>#REF!</v>
      </c>
      <c r="BT169" t="e">
        <f>AND(Demos!#REF!,"AAAAABvc7Uc=")</f>
        <v>#REF!</v>
      </c>
      <c r="BU169" t="e">
        <f>AND(Demos!#REF!,"AAAAABvc7Ug=")</f>
        <v>#REF!</v>
      </c>
      <c r="BV169" t="e">
        <f>AND(Demos!#REF!,"AAAAABvc7Uk=")</f>
        <v>#REF!</v>
      </c>
      <c r="BW169" t="e">
        <f>AND(Demos!#REF!,"AAAAABvc7Uo=")</f>
        <v>#REF!</v>
      </c>
      <c r="BX169" t="e">
        <f>AND(Demos!#REF!,"AAAAABvc7Us=")</f>
        <v>#REF!</v>
      </c>
      <c r="BY169" t="e">
        <f>AND(Demos!#REF!,"AAAAABvc7Uw=")</f>
        <v>#REF!</v>
      </c>
      <c r="BZ169" t="e">
        <f>AND(Demos!#REF!,"AAAAABvc7U0=")</f>
        <v>#REF!</v>
      </c>
      <c r="CA169" t="e">
        <f>AND(Demos!#REF!,"AAAAABvc7U4=")</f>
        <v>#REF!</v>
      </c>
      <c r="CB169" t="e">
        <f>AND(Demos!#REF!,"AAAAABvc7U8=")</f>
        <v>#REF!</v>
      </c>
      <c r="CC169" t="e">
        <f>AND(Demos!#REF!,"AAAAABvc7VA=")</f>
        <v>#REF!</v>
      </c>
      <c r="CD169" t="e">
        <f>AND(Demos!#REF!,"AAAAABvc7VE=")</f>
        <v>#REF!</v>
      </c>
      <c r="CE169" t="e">
        <f>IF(Demos!#REF!,"AAAAABvc7VI=",0)</f>
        <v>#REF!</v>
      </c>
      <c r="CF169" t="e">
        <f>AND(Demos!#REF!,"AAAAABvc7VM=")</f>
        <v>#REF!</v>
      </c>
      <c r="CG169" t="e">
        <f>AND(Demos!#REF!,"AAAAABvc7VQ=")</f>
        <v>#REF!</v>
      </c>
      <c r="CH169" t="e">
        <f>AND(Demos!#REF!,"AAAAABvc7VU=")</f>
        <v>#REF!</v>
      </c>
      <c r="CI169" t="e">
        <f>AND(Demos!#REF!,"AAAAABvc7VY=")</f>
        <v>#REF!</v>
      </c>
      <c r="CJ169" t="e">
        <f>AND(Demos!#REF!,"AAAAABvc7Vc=")</f>
        <v>#REF!</v>
      </c>
      <c r="CK169" t="e">
        <f>AND(Demos!#REF!,"AAAAABvc7Vg=")</f>
        <v>#REF!</v>
      </c>
      <c r="CL169" t="e">
        <f>AND(Demos!#REF!,"AAAAABvc7Vk=")</f>
        <v>#REF!</v>
      </c>
      <c r="CM169" t="e">
        <f>AND(Demos!#REF!,"AAAAABvc7Vo=")</f>
        <v>#REF!</v>
      </c>
      <c r="CN169" t="e">
        <f>AND(Demos!#REF!,"AAAAABvc7Vs=")</f>
        <v>#REF!</v>
      </c>
      <c r="CO169" t="e">
        <f>AND(Demos!#REF!,"AAAAABvc7Vw=")</f>
        <v>#REF!</v>
      </c>
      <c r="CP169" t="e">
        <f>AND(Demos!#REF!,"AAAAABvc7V0=")</f>
        <v>#REF!</v>
      </c>
      <c r="CQ169" t="e">
        <f>AND(Demos!#REF!,"AAAAABvc7V4=")</f>
        <v>#REF!</v>
      </c>
      <c r="CR169" t="e">
        <f>AND(Demos!#REF!,"AAAAABvc7V8=")</f>
        <v>#REF!</v>
      </c>
      <c r="CS169" t="e">
        <f>IF(Demos!#REF!,"AAAAABvc7WA=",0)</f>
        <v>#REF!</v>
      </c>
      <c r="CT169" t="e">
        <f>AND(Demos!#REF!,"AAAAABvc7WE=")</f>
        <v>#REF!</v>
      </c>
      <c r="CU169" t="e">
        <f>AND(Demos!#REF!,"AAAAABvc7WI=")</f>
        <v>#REF!</v>
      </c>
      <c r="CV169" t="e">
        <f>AND(Demos!#REF!,"AAAAABvc7WM=")</f>
        <v>#REF!</v>
      </c>
      <c r="CW169" t="e">
        <f>AND(Demos!#REF!,"AAAAABvc7WQ=")</f>
        <v>#REF!</v>
      </c>
      <c r="CX169" t="e">
        <f>AND(Demos!#REF!,"AAAAABvc7WU=")</f>
        <v>#REF!</v>
      </c>
      <c r="CY169" t="e">
        <f>AND(Demos!#REF!,"AAAAABvc7WY=")</f>
        <v>#REF!</v>
      </c>
      <c r="CZ169" t="e">
        <f>AND(Demos!#REF!,"AAAAABvc7Wc=")</f>
        <v>#REF!</v>
      </c>
      <c r="DA169" t="e">
        <f>AND(Demos!#REF!,"AAAAABvc7Wg=")</f>
        <v>#REF!</v>
      </c>
      <c r="DB169" t="e">
        <f>AND(Demos!#REF!,"AAAAABvc7Wk=")</f>
        <v>#REF!</v>
      </c>
      <c r="DC169" t="e">
        <f>AND(Demos!#REF!,"AAAAABvc7Wo=")</f>
        <v>#REF!</v>
      </c>
      <c r="DD169" t="e">
        <f>AND(Demos!#REF!,"AAAAABvc7Ws=")</f>
        <v>#REF!</v>
      </c>
      <c r="DE169" t="e">
        <f>AND(Demos!#REF!,"AAAAABvc7Ww=")</f>
        <v>#REF!</v>
      </c>
      <c r="DF169" t="e">
        <f>AND(Demos!#REF!,"AAAAABvc7W0=")</f>
        <v>#REF!</v>
      </c>
      <c r="DG169" t="e">
        <f>IF(Demos!#REF!,"AAAAABvc7W4=",0)</f>
        <v>#REF!</v>
      </c>
      <c r="DH169" t="e">
        <f>AND(Demos!#REF!,"AAAAABvc7W8=")</f>
        <v>#REF!</v>
      </c>
      <c r="DI169" t="e">
        <f>AND(Demos!#REF!,"AAAAABvc7XA=")</f>
        <v>#REF!</v>
      </c>
      <c r="DJ169" t="e">
        <f>AND(Demos!#REF!,"AAAAABvc7XE=")</f>
        <v>#REF!</v>
      </c>
      <c r="DK169" t="e">
        <f>AND(Demos!#REF!,"AAAAABvc7XI=")</f>
        <v>#REF!</v>
      </c>
      <c r="DL169" t="e">
        <f>AND(Demos!#REF!,"AAAAABvc7XM=")</f>
        <v>#REF!</v>
      </c>
      <c r="DM169" t="e">
        <f>AND(Demos!#REF!,"AAAAABvc7XQ=")</f>
        <v>#REF!</v>
      </c>
      <c r="DN169" t="e">
        <f>AND(Demos!#REF!,"AAAAABvc7XU=")</f>
        <v>#REF!</v>
      </c>
      <c r="DO169" t="e">
        <f>AND(Demos!#REF!,"AAAAABvc7XY=")</f>
        <v>#REF!</v>
      </c>
      <c r="DP169" t="e">
        <f>AND(Demos!#REF!,"AAAAABvc7Xc=")</f>
        <v>#REF!</v>
      </c>
      <c r="DQ169" t="e">
        <f>AND(Demos!#REF!,"AAAAABvc7Xg=")</f>
        <v>#REF!</v>
      </c>
      <c r="DR169" t="e">
        <f>AND(Demos!#REF!,"AAAAABvc7Xk=")</f>
        <v>#REF!</v>
      </c>
      <c r="DS169" t="e">
        <f>AND(Demos!#REF!,"AAAAABvc7Xo=")</f>
        <v>#REF!</v>
      </c>
      <c r="DT169" t="e">
        <f>AND(Demos!#REF!,"AAAAABvc7Xs=")</f>
        <v>#REF!</v>
      </c>
      <c r="DU169" t="e">
        <f>IF(Demos!#REF!,"AAAAABvc7Xw=",0)</f>
        <v>#REF!</v>
      </c>
      <c r="DV169" t="e">
        <f>AND(Demos!#REF!,"AAAAABvc7X0=")</f>
        <v>#REF!</v>
      </c>
      <c r="DW169" t="e">
        <f>AND(Demos!#REF!,"AAAAABvc7X4=")</f>
        <v>#REF!</v>
      </c>
      <c r="DX169" t="e">
        <f>AND(Demos!#REF!,"AAAAABvc7X8=")</f>
        <v>#REF!</v>
      </c>
      <c r="DY169" t="e">
        <f>AND(Demos!#REF!,"AAAAABvc7YA=")</f>
        <v>#REF!</v>
      </c>
      <c r="DZ169" t="e">
        <f>AND(Demos!#REF!,"AAAAABvc7YE=")</f>
        <v>#REF!</v>
      </c>
      <c r="EA169" t="e">
        <f>AND(Demos!#REF!,"AAAAABvc7YI=")</f>
        <v>#REF!</v>
      </c>
      <c r="EB169" t="e">
        <f>AND(Demos!#REF!,"AAAAABvc7YM=")</f>
        <v>#REF!</v>
      </c>
      <c r="EC169" t="e">
        <f>AND(Demos!#REF!,"AAAAABvc7YQ=")</f>
        <v>#REF!</v>
      </c>
      <c r="ED169" t="e">
        <f>AND(Demos!#REF!,"AAAAABvc7YU=")</f>
        <v>#REF!</v>
      </c>
      <c r="EE169" t="e">
        <f>AND(Demos!#REF!,"AAAAABvc7YY=")</f>
        <v>#REF!</v>
      </c>
      <c r="EF169" t="e">
        <f>AND(Demos!#REF!,"AAAAABvc7Yc=")</f>
        <v>#REF!</v>
      </c>
      <c r="EG169" t="e">
        <f>AND(Demos!#REF!,"AAAAABvc7Yg=")</f>
        <v>#REF!</v>
      </c>
      <c r="EH169" t="e">
        <f>AND(Demos!#REF!,"AAAAABvc7Yk=")</f>
        <v>#REF!</v>
      </c>
      <c r="EI169" t="e">
        <f>IF(Demos!#REF!,"AAAAABvc7Yo=",0)</f>
        <v>#REF!</v>
      </c>
      <c r="EJ169" t="e">
        <f>AND(Demos!#REF!,"AAAAABvc7Ys=")</f>
        <v>#REF!</v>
      </c>
      <c r="EK169" t="e">
        <f>AND(Demos!#REF!,"AAAAABvc7Yw=")</f>
        <v>#REF!</v>
      </c>
      <c r="EL169" t="e">
        <f>AND(Demos!#REF!,"AAAAABvc7Y0=")</f>
        <v>#REF!</v>
      </c>
      <c r="EM169" t="e">
        <f>AND(Demos!#REF!,"AAAAABvc7Y4=")</f>
        <v>#REF!</v>
      </c>
      <c r="EN169" t="e">
        <f>AND(Demos!#REF!,"AAAAABvc7Y8=")</f>
        <v>#REF!</v>
      </c>
      <c r="EO169" t="e">
        <f>AND(Demos!#REF!,"AAAAABvc7ZA=")</f>
        <v>#REF!</v>
      </c>
      <c r="EP169" t="e">
        <f>AND(Demos!#REF!,"AAAAABvc7ZE=")</f>
        <v>#REF!</v>
      </c>
      <c r="EQ169" t="e">
        <f>AND(Demos!#REF!,"AAAAABvc7ZI=")</f>
        <v>#REF!</v>
      </c>
      <c r="ER169" t="e">
        <f>AND(Demos!#REF!,"AAAAABvc7ZM=")</f>
        <v>#REF!</v>
      </c>
      <c r="ES169" t="e">
        <f>AND(Demos!#REF!,"AAAAABvc7ZQ=")</f>
        <v>#REF!</v>
      </c>
      <c r="ET169" t="e">
        <f>AND(Demos!#REF!,"AAAAABvc7ZU=")</f>
        <v>#REF!</v>
      </c>
      <c r="EU169" t="e">
        <f>AND(Demos!#REF!,"AAAAABvc7ZY=")</f>
        <v>#REF!</v>
      </c>
      <c r="EV169" t="e">
        <f>AND(Demos!#REF!,"AAAAABvc7Zc=")</f>
        <v>#REF!</v>
      </c>
      <c r="EW169" t="e">
        <f>IF(Demos!#REF!,"AAAAABvc7Zg=",0)</f>
        <v>#REF!</v>
      </c>
      <c r="EX169" t="e">
        <f>AND(Demos!#REF!,"AAAAABvc7Zk=")</f>
        <v>#REF!</v>
      </c>
      <c r="EY169" t="e">
        <f>AND(Demos!#REF!,"AAAAABvc7Zo=")</f>
        <v>#REF!</v>
      </c>
      <c r="EZ169" t="e">
        <f>AND(Demos!#REF!,"AAAAABvc7Zs=")</f>
        <v>#REF!</v>
      </c>
      <c r="FA169" t="e">
        <f>AND(Demos!#REF!,"AAAAABvc7Zw=")</f>
        <v>#REF!</v>
      </c>
      <c r="FB169" t="e">
        <f>AND(Demos!#REF!,"AAAAABvc7Z0=")</f>
        <v>#REF!</v>
      </c>
      <c r="FC169" t="e">
        <f>AND(Demos!#REF!,"AAAAABvc7Z4=")</f>
        <v>#REF!</v>
      </c>
      <c r="FD169" t="e">
        <f>AND(Demos!#REF!,"AAAAABvc7Z8=")</f>
        <v>#REF!</v>
      </c>
      <c r="FE169" t="e">
        <f>AND(Demos!#REF!,"AAAAABvc7aA=")</f>
        <v>#REF!</v>
      </c>
      <c r="FF169" t="e">
        <f>AND(Demos!#REF!,"AAAAABvc7aE=")</f>
        <v>#REF!</v>
      </c>
      <c r="FG169" t="e">
        <f>AND(Demos!#REF!,"AAAAABvc7aI=")</f>
        <v>#REF!</v>
      </c>
      <c r="FH169" t="e">
        <f>AND(Demos!#REF!,"AAAAABvc7aM=")</f>
        <v>#REF!</v>
      </c>
      <c r="FI169" t="e">
        <f>AND(Demos!#REF!,"AAAAABvc7aQ=")</f>
        <v>#REF!</v>
      </c>
      <c r="FJ169" t="e">
        <f>AND(Demos!#REF!,"AAAAABvc7aU=")</f>
        <v>#REF!</v>
      </c>
      <c r="FK169" t="e">
        <f>IF(Demos!#REF!,"AAAAABvc7aY=",0)</f>
        <v>#REF!</v>
      </c>
      <c r="FL169" t="e">
        <f>AND(Demos!#REF!,"AAAAABvc7ac=")</f>
        <v>#REF!</v>
      </c>
      <c r="FM169" t="e">
        <f>AND(Demos!#REF!,"AAAAABvc7ag=")</f>
        <v>#REF!</v>
      </c>
      <c r="FN169" t="e">
        <f>AND(Demos!#REF!,"AAAAABvc7ak=")</f>
        <v>#REF!</v>
      </c>
      <c r="FO169" t="e">
        <f>AND(Demos!#REF!,"AAAAABvc7ao=")</f>
        <v>#REF!</v>
      </c>
      <c r="FP169" t="e">
        <f>AND(Demos!#REF!,"AAAAABvc7as=")</f>
        <v>#REF!</v>
      </c>
      <c r="FQ169" t="e">
        <f>AND(Demos!#REF!,"AAAAABvc7aw=")</f>
        <v>#REF!</v>
      </c>
      <c r="FR169" t="e">
        <f>AND(Demos!#REF!,"AAAAABvc7a0=")</f>
        <v>#REF!</v>
      </c>
      <c r="FS169" t="e">
        <f>AND(Demos!#REF!,"AAAAABvc7a4=")</f>
        <v>#REF!</v>
      </c>
      <c r="FT169" t="e">
        <f>AND(Demos!#REF!,"AAAAABvc7a8=")</f>
        <v>#REF!</v>
      </c>
      <c r="FU169" t="e">
        <f>AND(Demos!#REF!,"AAAAABvc7bA=")</f>
        <v>#REF!</v>
      </c>
      <c r="FV169" t="e">
        <f>AND(Demos!#REF!,"AAAAABvc7bE=")</f>
        <v>#REF!</v>
      </c>
      <c r="FW169" t="e">
        <f>AND(Demos!#REF!,"AAAAABvc7bI=")</f>
        <v>#REF!</v>
      </c>
      <c r="FX169" t="e">
        <f>AND(Demos!#REF!,"AAAAABvc7bM=")</f>
        <v>#REF!</v>
      </c>
      <c r="FY169" t="e">
        <f>IF(Demos!#REF!,"AAAAABvc7bQ=",0)</f>
        <v>#REF!</v>
      </c>
      <c r="FZ169" t="e">
        <f>AND(Demos!#REF!,"AAAAABvc7bU=")</f>
        <v>#REF!</v>
      </c>
      <c r="GA169" t="e">
        <f>AND(Demos!#REF!,"AAAAABvc7bY=")</f>
        <v>#REF!</v>
      </c>
      <c r="GB169" t="e">
        <f>AND(Demos!#REF!,"AAAAABvc7bc=")</f>
        <v>#REF!</v>
      </c>
      <c r="GC169" t="e">
        <f>AND(Demos!#REF!,"AAAAABvc7bg=")</f>
        <v>#REF!</v>
      </c>
      <c r="GD169" t="e">
        <f>AND(Demos!#REF!,"AAAAABvc7bk=")</f>
        <v>#REF!</v>
      </c>
      <c r="GE169" t="e">
        <f>AND(Demos!#REF!,"AAAAABvc7bo=")</f>
        <v>#REF!</v>
      </c>
      <c r="GF169" t="e">
        <f>AND(Demos!#REF!,"AAAAABvc7bs=")</f>
        <v>#REF!</v>
      </c>
      <c r="GG169" t="e">
        <f>AND(Demos!#REF!,"AAAAABvc7bw=")</f>
        <v>#REF!</v>
      </c>
      <c r="GH169" t="e">
        <f>AND(Demos!#REF!,"AAAAABvc7b0=")</f>
        <v>#REF!</v>
      </c>
      <c r="GI169" t="e">
        <f>AND(Demos!#REF!,"AAAAABvc7b4=")</f>
        <v>#REF!</v>
      </c>
      <c r="GJ169" t="e">
        <f>AND(Demos!#REF!,"AAAAABvc7b8=")</f>
        <v>#REF!</v>
      </c>
      <c r="GK169" t="e">
        <f>AND(Demos!#REF!,"AAAAABvc7cA=")</f>
        <v>#REF!</v>
      </c>
      <c r="GL169" t="e">
        <f>AND(Demos!#REF!,"AAAAABvc7cE=")</f>
        <v>#REF!</v>
      </c>
      <c r="GM169" t="e">
        <f>IF(Demos!#REF!,"AAAAABvc7cI=",0)</f>
        <v>#REF!</v>
      </c>
      <c r="GN169" t="e">
        <f>AND(Demos!#REF!,"AAAAABvc7cM=")</f>
        <v>#REF!</v>
      </c>
      <c r="GO169" t="e">
        <f>AND(Demos!#REF!,"AAAAABvc7cQ=")</f>
        <v>#REF!</v>
      </c>
      <c r="GP169" t="e">
        <f>AND(Demos!#REF!,"AAAAABvc7cU=")</f>
        <v>#REF!</v>
      </c>
      <c r="GQ169" t="e">
        <f>AND(Demos!#REF!,"AAAAABvc7cY=")</f>
        <v>#REF!</v>
      </c>
      <c r="GR169" t="e">
        <f>AND(Demos!#REF!,"AAAAABvc7cc=")</f>
        <v>#REF!</v>
      </c>
      <c r="GS169" t="e">
        <f>AND(Demos!#REF!,"AAAAABvc7cg=")</f>
        <v>#REF!</v>
      </c>
      <c r="GT169" t="e">
        <f>AND(Demos!#REF!,"AAAAABvc7ck=")</f>
        <v>#REF!</v>
      </c>
      <c r="GU169" t="e">
        <f>AND(Demos!#REF!,"AAAAABvc7co=")</f>
        <v>#REF!</v>
      </c>
      <c r="GV169" t="e">
        <f>AND(Demos!#REF!,"AAAAABvc7cs=")</f>
        <v>#REF!</v>
      </c>
      <c r="GW169" t="e">
        <f>AND(Demos!#REF!,"AAAAABvc7cw=")</f>
        <v>#REF!</v>
      </c>
      <c r="GX169" t="e">
        <f>AND(Demos!#REF!,"AAAAABvc7c0=")</f>
        <v>#REF!</v>
      </c>
      <c r="GY169" t="e">
        <f>AND(Demos!#REF!,"AAAAABvc7c4=")</f>
        <v>#REF!</v>
      </c>
      <c r="GZ169" t="e">
        <f>AND(Demos!#REF!,"AAAAABvc7c8=")</f>
        <v>#REF!</v>
      </c>
      <c r="HA169" t="e">
        <f>IF(Demos!#REF!,"AAAAABvc7dA=",0)</f>
        <v>#REF!</v>
      </c>
      <c r="HB169" t="e">
        <f>AND(Demos!#REF!,"AAAAABvc7dE=")</f>
        <v>#REF!</v>
      </c>
      <c r="HC169" t="e">
        <f>AND(Demos!#REF!,"AAAAABvc7dI=")</f>
        <v>#REF!</v>
      </c>
      <c r="HD169" t="e">
        <f>AND(Demos!#REF!,"AAAAABvc7dM=")</f>
        <v>#REF!</v>
      </c>
      <c r="HE169" t="e">
        <f>AND(Demos!#REF!,"AAAAABvc7dQ=")</f>
        <v>#REF!</v>
      </c>
      <c r="HF169" t="e">
        <f>AND(Demos!#REF!,"AAAAABvc7dU=")</f>
        <v>#REF!</v>
      </c>
      <c r="HG169" t="e">
        <f>AND(Demos!#REF!,"AAAAABvc7dY=")</f>
        <v>#REF!</v>
      </c>
      <c r="HH169" t="e">
        <f>AND(Demos!#REF!,"AAAAABvc7dc=")</f>
        <v>#REF!</v>
      </c>
      <c r="HI169" t="e">
        <f>AND(Demos!#REF!,"AAAAABvc7dg=")</f>
        <v>#REF!</v>
      </c>
      <c r="HJ169" t="e">
        <f>AND(Demos!#REF!,"AAAAABvc7dk=")</f>
        <v>#REF!</v>
      </c>
      <c r="HK169" t="e">
        <f>AND(Demos!#REF!,"AAAAABvc7do=")</f>
        <v>#REF!</v>
      </c>
      <c r="HL169" t="e">
        <f>AND(Demos!#REF!,"AAAAABvc7ds=")</f>
        <v>#REF!</v>
      </c>
      <c r="HM169" t="e">
        <f>AND(Demos!#REF!,"AAAAABvc7dw=")</f>
        <v>#REF!</v>
      </c>
      <c r="HN169" t="e">
        <f>AND(Demos!#REF!,"AAAAABvc7d0=")</f>
        <v>#REF!</v>
      </c>
      <c r="HO169" t="e">
        <f>IF(Demos!#REF!,"AAAAABvc7d4=",0)</f>
        <v>#REF!</v>
      </c>
      <c r="HP169" t="e">
        <f>AND(Demos!#REF!,"AAAAABvc7d8=")</f>
        <v>#REF!</v>
      </c>
      <c r="HQ169" t="e">
        <f>AND(Demos!#REF!,"AAAAABvc7eA=")</f>
        <v>#REF!</v>
      </c>
      <c r="HR169" t="e">
        <f>AND(Demos!#REF!,"AAAAABvc7eE=")</f>
        <v>#REF!</v>
      </c>
      <c r="HS169" t="e">
        <f>AND(Demos!#REF!,"AAAAABvc7eI=")</f>
        <v>#REF!</v>
      </c>
      <c r="HT169" t="e">
        <f>AND(Demos!#REF!,"AAAAABvc7eM=")</f>
        <v>#REF!</v>
      </c>
      <c r="HU169" t="e">
        <f>AND(Demos!#REF!,"AAAAABvc7eQ=")</f>
        <v>#REF!</v>
      </c>
      <c r="HV169" t="e">
        <f>AND(Demos!#REF!,"AAAAABvc7eU=")</f>
        <v>#REF!</v>
      </c>
      <c r="HW169" t="e">
        <f>AND(Demos!#REF!,"AAAAABvc7eY=")</f>
        <v>#REF!</v>
      </c>
      <c r="HX169" t="e">
        <f>AND(Demos!#REF!,"AAAAABvc7ec=")</f>
        <v>#REF!</v>
      </c>
      <c r="HY169" t="e">
        <f>AND(Demos!#REF!,"AAAAABvc7eg=")</f>
        <v>#REF!</v>
      </c>
      <c r="HZ169" t="e">
        <f>AND(Demos!#REF!,"AAAAABvc7ek=")</f>
        <v>#REF!</v>
      </c>
      <c r="IA169" t="e">
        <f>AND(Demos!#REF!,"AAAAABvc7eo=")</f>
        <v>#REF!</v>
      </c>
      <c r="IB169" t="e">
        <f>AND(Demos!#REF!,"AAAAABvc7es=")</f>
        <v>#REF!</v>
      </c>
      <c r="IC169" t="e">
        <f>IF(Demos!#REF!,"AAAAABvc7ew=",0)</f>
        <v>#REF!</v>
      </c>
      <c r="ID169" t="e">
        <f>AND(Demos!#REF!,"AAAAABvc7e0=")</f>
        <v>#REF!</v>
      </c>
      <c r="IE169" t="e">
        <f>AND(Demos!#REF!,"AAAAABvc7e4=")</f>
        <v>#REF!</v>
      </c>
      <c r="IF169" t="e">
        <f>AND(Demos!#REF!,"AAAAABvc7e8=")</f>
        <v>#REF!</v>
      </c>
      <c r="IG169" t="e">
        <f>AND(Demos!#REF!,"AAAAABvc7fA=")</f>
        <v>#REF!</v>
      </c>
      <c r="IH169" t="e">
        <f>AND(Demos!#REF!,"AAAAABvc7fE=")</f>
        <v>#REF!</v>
      </c>
      <c r="II169" t="e">
        <f>AND(Demos!#REF!,"AAAAABvc7fI=")</f>
        <v>#REF!</v>
      </c>
      <c r="IJ169" t="e">
        <f>AND(Demos!#REF!,"AAAAABvc7fM=")</f>
        <v>#REF!</v>
      </c>
      <c r="IK169" t="e">
        <f>AND(Demos!#REF!,"AAAAABvc7fQ=")</f>
        <v>#REF!</v>
      </c>
      <c r="IL169" t="e">
        <f>AND(Demos!#REF!,"AAAAABvc7fU=")</f>
        <v>#REF!</v>
      </c>
      <c r="IM169" t="e">
        <f>AND(Demos!#REF!,"AAAAABvc7fY=")</f>
        <v>#REF!</v>
      </c>
      <c r="IN169" t="e">
        <f>AND(Demos!#REF!,"AAAAABvc7fc=")</f>
        <v>#REF!</v>
      </c>
      <c r="IO169" t="e">
        <f>AND(Demos!#REF!,"AAAAABvc7fg=")</f>
        <v>#REF!</v>
      </c>
      <c r="IP169" t="e">
        <f>AND(Demos!#REF!,"AAAAABvc7fk=")</f>
        <v>#REF!</v>
      </c>
      <c r="IQ169" t="e">
        <f>IF(Demos!#REF!,"AAAAABvc7fo=",0)</f>
        <v>#REF!</v>
      </c>
      <c r="IR169" t="e">
        <f>AND(Demos!#REF!,"AAAAABvc7fs=")</f>
        <v>#REF!</v>
      </c>
      <c r="IS169" t="e">
        <f>AND(Demos!#REF!,"AAAAABvc7fw=")</f>
        <v>#REF!</v>
      </c>
      <c r="IT169" t="e">
        <f>AND(Demos!#REF!,"AAAAABvc7f0=")</f>
        <v>#REF!</v>
      </c>
      <c r="IU169" t="e">
        <f>AND(Demos!#REF!,"AAAAABvc7f4=")</f>
        <v>#REF!</v>
      </c>
      <c r="IV169" t="e">
        <f>AND(Demos!#REF!,"AAAAABvc7f8=")</f>
        <v>#REF!</v>
      </c>
    </row>
    <row r="170" spans="1:256" x14ac:dyDescent="0.2">
      <c r="A170" t="e">
        <f>AND(Demos!#REF!,"AAAAAH1+GgA=")</f>
        <v>#REF!</v>
      </c>
      <c r="B170" t="e">
        <f>AND(Demos!#REF!,"AAAAAH1+GgE=")</f>
        <v>#REF!</v>
      </c>
      <c r="C170" t="e">
        <f>AND(Demos!#REF!,"AAAAAH1+GgI=")</f>
        <v>#REF!</v>
      </c>
      <c r="D170" t="e">
        <f>AND(Demos!#REF!,"AAAAAH1+GgM=")</f>
        <v>#REF!</v>
      </c>
      <c r="E170" t="e">
        <f>AND(Demos!#REF!,"AAAAAH1+GgQ=")</f>
        <v>#REF!</v>
      </c>
      <c r="F170" t="e">
        <f>AND(Demos!#REF!,"AAAAAH1+GgU=")</f>
        <v>#REF!</v>
      </c>
      <c r="G170" t="e">
        <f>AND(Demos!#REF!,"AAAAAH1+GgY=")</f>
        <v>#REF!</v>
      </c>
      <c r="H170" t="e">
        <f>AND(Demos!#REF!,"AAAAAH1+Ggc=")</f>
        <v>#REF!</v>
      </c>
      <c r="I170" t="e">
        <f>IF(Demos!#REF!,"AAAAAH1+Ggg=",0)</f>
        <v>#REF!</v>
      </c>
      <c r="J170" t="e">
        <f>AND(Demos!#REF!,"AAAAAH1+Ggk=")</f>
        <v>#REF!</v>
      </c>
      <c r="K170" t="e">
        <f>AND(Demos!#REF!,"AAAAAH1+Ggo=")</f>
        <v>#REF!</v>
      </c>
      <c r="L170" t="e">
        <f>AND(Demos!#REF!,"AAAAAH1+Ggs=")</f>
        <v>#REF!</v>
      </c>
      <c r="M170" t="e">
        <f>AND(Demos!#REF!,"AAAAAH1+Ggw=")</f>
        <v>#REF!</v>
      </c>
      <c r="N170" t="e">
        <f>AND(Demos!#REF!,"AAAAAH1+Gg0=")</f>
        <v>#REF!</v>
      </c>
      <c r="O170" t="e">
        <f>AND(Demos!#REF!,"AAAAAH1+Gg4=")</f>
        <v>#REF!</v>
      </c>
      <c r="P170" t="e">
        <f>AND(Demos!#REF!,"AAAAAH1+Gg8=")</f>
        <v>#REF!</v>
      </c>
      <c r="Q170" t="e">
        <f>AND(Demos!#REF!,"AAAAAH1+GhA=")</f>
        <v>#REF!</v>
      </c>
      <c r="R170" t="e">
        <f>AND(Demos!#REF!,"AAAAAH1+GhE=")</f>
        <v>#REF!</v>
      </c>
      <c r="S170" t="e">
        <f>AND(Demos!#REF!,"AAAAAH1+GhI=")</f>
        <v>#REF!</v>
      </c>
      <c r="T170" t="e">
        <f>AND(Demos!#REF!,"AAAAAH1+GhM=")</f>
        <v>#REF!</v>
      </c>
      <c r="U170" t="e">
        <f>AND(Demos!#REF!,"AAAAAH1+GhQ=")</f>
        <v>#REF!</v>
      </c>
      <c r="V170" t="e">
        <f>AND(Demos!#REF!,"AAAAAH1+GhU=")</f>
        <v>#REF!</v>
      </c>
      <c r="W170" t="e">
        <f>IF(Demos!#REF!,"AAAAAH1+GhY=",0)</f>
        <v>#REF!</v>
      </c>
      <c r="X170" t="e">
        <f>AND(Demos!#REF!,"AAAAAH1+Ghc=")</f>
        <v>#REF!</v>
      </c>
      <c r="Y170" t="e">
        <f>AND(Demos!#REF!,"AAAAAH1+Ghg=")</f>
        <v>#REF!</v>
      </c>
      <c r="Z170" t="e">
        <f>AND(Demos!#REF!,"AAAAAH1+Ghk=")</f>
        <v>#REF!</v>
      </c>
      <c r="AA170" t="e">
        <f>AND(Demos!#REF!,"AAAAAH1+Gho=")</f>
        <v>#REF!</v>
      </c>
      <c r="AB170" t="e">
        <f>AND(Demos!#REF!,"AAAAAH1+Ghs=")</f>
        <v>#REF!</v>
      </c>
      <c r="AC170" t="e">
        <f>AND(Demos!#REF!,"AAAAAH1+Ghw=")</f>
        <v>#REF!</v>
      </c>
      <c r="AD170" t="e">
        <f>AND(Demos!#REF!,"AAAAAH1+Gh0=")</f>
        <v>#REF!</v>
      </c>
      <c r="AE170" t="e">
        <f>AND(Demos!#REF!,"AAAAAH1+Gh4=")</f>
        <v>#REF!</v>
      </c>
      <c r="AF170" t="e">
        <f>AND(Demos!#REF!,"AAAAAH1+Gh8=")</f>
        <v>#REF!</v>
      </c>
      <c r="AG170" t="e">
        <f>AND(Demos!#REF!,"AAAAAH1+GiA=")</f>
        <v>#REF!</v>
      </c>
      <c r="AH170" t="e">
        <f>AND(Demos!#REF!,"AAAAAH1+GiE=")</f>
        <v>#REF!</v>
      </c>
      <c r="AI170" t="e">
        <f>AND(Demos!#REF!,"AAAAAH1+GiI=")</f>
        <v>#REF!</v>
      </c>
      <c r="AJ170" t="e">
        <f>AND(Demos!#REF!,"AAAAAH1+GiM=")</f>
        <v>#REF!</v>
      </c>
      <c r="AK170" t="e">
        <f>IF(Demos!#REF!,"AAAAAH1+GiQ=",0)</f>
        <v>#REF!</v>
      </c>
      <c r="AL170" t="e">
        <f>AND(Demos!#REF!,"AAAAAH1+GiU=")</f>
        <v>#REF!</v>
      </c>
      <c r="AM170" t="e">
        <f>AND(Demos!#REF!,"AAAAAH1+GiY=")</f>
        <v>#REF!</v>
      </c>
      <c r="AN170" t="e">
        <f>AND(Demos!#REF!,"AAAAAH1+Gic=")</f>
        <v>#REF!</v>
      </c>
      <c r="AO170" t="e">
        <f>AND(Demos!#REF!,"AAAAAH1+Gig=")</f>
        <v>#REF!</v>
      </c>
      <c r="AP170" t="e">
        <f>AND(Demos!#REF!,"AAAAAH1+Gik=")</f>
        <v>#REF!</v>
      </c>
      <c r="AQ170" t="e">
        <f>AND(Demos!#REF!,"AAAAAH1+Gio=")</f>
        <v>#REF!</v>
      </c>
      <c r="AR170" t="e">
        <f>AND(Demos!#REF!,"AAAAAH1+Gis=")</f>
        <v>#REF!</v>
      </c>
      <c r="AS170" t="e">
        <f>AND(Demos!#REF!,"AAAAAH1+Giw=")</f>
        <v>#REF!</v>
      </c>
      <c r="AT170" t="e">
        <f>AND(Demos!#REF!,"AAAAAH1+Gi0=")</f>
        <v>#REF!</v>
      </c>
      <c r="AU170" t="e">
        <f>AND(Demos!#REF!,"AAAAAH1+Gi4=")</f>
        <v>#REF!</v>
      </c>
      <c r="AV170" t="e">
        <f>AND(Demos!#REF!,"AAAAAH1+Gi8=")</f>
        <v>#REF!</v>
      </c>
      <c r="AW170" t="e">
        <f>AND(Demos!#REF!,"AAAAAH1+GjA=")</f>
        <v>#REF!</v>
      </c>
      <c r="AX170" t="e">
        <f>AND(Demos!#REF!,"AAAAAH1+GjE=")</f>
        <v>#REF!</v>
      </c>
      <c r="AY170" t="e">
        <f>IF(Demos!#REF!,"AAAAAH1+GjI=",0)</f>
        <v>#REF!</v>
      </c>
      <c r="AZ170" t="e">
        <f>AND(Demos!#REF!,"AAAAAH1+GjM=")</f>
        <v>#REF!</v>
      </c>
      <c r="BA170" t="e">
        <f>AND(Demos!#REF!,"AAAAAH1+GjQ=")</f>
        <v>#REF!</v>
      </c>
      <c r="BB170" t="e">
        <f>AND(Demos!#REF!,"AAAAAH1+GjU=")</f>
        <v>#REF!</v>
      </c>
      <c r="BC170" t="e">
        <f>AND(Demos!#REF!,"AAAAAH1+GjY=")</f>
        <v>#REF!</v>
      </c>
      <c r="BD170" t="e">
        <f>AND(Demos!#REF!,"AAAAAH1+Gjc=")</f>
        <v>#REF!</v>
      </c>
      <c r="BE170" t="e">
        <f>AND(Demos!#REF!,"AAAAAH1+Gjg=")</f>
        <v>#REF!</v>
      </c>
      <c r="BF170" t="e">
        <f>AND(Demos!#REF!,"AAAAAH1+Gjk=")</f>
        <v>#REF!</v>
      </c>
      <c r="BG170" t="e">
        <f>AND(Demos!#REF!,"AAAAAH1+Gjo=")</f>
        <v>#REF!</v>
      </c>
      <c r="BH170" t="e">
        <f>AND(Demos!#REF!,"AAAAAH1+Gjs=")</f>
        <v>#REF!</v>
      </c>
      <c r="BI170" t="e">
        <f>AND(Demos!#REF!,"AAAAAH1+Gjw=")</f>
        <v>#REF!</v>
      </c>
      <c r="BJ170" t="e">
        <f>AND(Demos!#REF!,"AAAAAH1+Gj0=")</f>
        <v>#REF!</v>
      </c>
      <c r="BK170" t="e">
        <f>AND(Demos!#REF!,"AAAAAH1+Gj4=")</f>
        <v>#REF!</v>
      </c>
      <c r="BL170" t="e">
        <f>AND(Demos!#REF!,"AAAAAH1+Gj8=")</f>
        <v>#REF!</v>
      </c>
      <c r="BM170" t="e">
        <f>IF(Demos!#REF!,"AAAAAH1+GkA=",0)</f>
        <v>#REF!</v>
      </c>
      <c r="BN170" t="e">
        <f>AND(Demos!#REF!,"AAAAAH1+GkE=")</f>
        <v>#REF!</v>
      </c>
      <c r="BO170" t="e">
        <f>AND(Demos!#REF!,"AAAAAH1+GkI=")</f>
        <v>#REF!</v>
      </c>
      <c r="BP170" t="e">
        <f>AND(Demos!#REF!,"AAAAAH1+GkM=")</f>
        <v>#REF!</v>
      </c>
      <c r="BQ170" t="e">
        <f>AND(Demos!#REF!,"AAAAAH1+GkQ=")</f>
        <v>#REF!</v>
      </c>
      <c r="BR170" t="e">
        <f>AND(Demos!#REF!,"AAAAAH1+GkU=")</f>
        <v>#REF!</v>
      </c>
      <c r="BS170" t="e">
        <f>AND(Demos!#REF!,"AAAAAH1+GkY=")</f>
        <v>#REF!</v>
      </c>
      <c r="BT170" t="e">
        <f>AND(Demos!#REF!,"AAAAAH1+Gkc=")</f>
        <v>#REF!</v>
      </c>
      <c r="BU170" t="e">
        <f>AND(Demos!#REF!,"AAAAAH1+Gkg=")</f>
        <v>#REF!</v>
      </c>
      <c r="BV170" t="e">
        <f>AND(Demos!#REF!,"AAAAAH1+Gkk=")</f>
        <v>#REF!</v>
      </c>
      <c r="BW170" t="e">
        <f>AND(Demos!#REF!,"AAAAAH1+Gko=")</f>
        <v>#REF!</v>
      </c>
      <c r="BX170" t="e">
        <f>AND(Demos!#REF!,"AAAAAH1+Gks=")</f>
        <v>#REF!</v>
      </c>
      <c r="BY170" t="e">
        <f>AND(Demos!#REF!,"AAAAAH1+Gkw=")</f>
        <v>#REF!</v>
      </c>
      <c r="BZ170" t="e">
        <f>AND(Demos!#REF!,"AAAAAH1+Gk0=")</f>
        <v>#REF!</v>
      </c>
      <c r="CA170" t="e">
        <f>IF(Demos!#REF!,"AAAAAH1+Gk4=",0)</f>
        <v>#REF!</v>
      </c>
      <c r="CB170" t="e">
        <f>AND(Demos!#REF!,"AAAAAH1+Gk8=")</f>
        <v>#REF!</v>
      </c>
      <c r="CC170" t="e">
        <f>AND(Demos!#REF!,"AAAAAH1+GlA=")</f>
        <v>#REF!</v>
      </c>
      <c r="CD170" t="e">
        <f>AND(Demos!#REF!,"AAAAAH1+GlE=")</f>
        <v>#REF!</v>
      </c>
      <c r="CE170" t="e">
        <f>AND(Demos!#REF!,"AAAAAH1+GlI=")</f>
        <v>#REF!</v>
      </c>
      <c r="CF170" t="e">
        <f>AND(Demos!#REF!,"AAAAAH1+GlM=")</f>
        <v>#REF!</v>
      </c>
      <c r="CG170" t="e">
        <f>AND(Demos!#REF!,"AAAAAH1+GlQ=")</f>
        <v>#REF!</v>
      </c>
      <c r="CH170" t="e">
        <f>AND(Demos!#REF!,"AAAAAH1+GlU=")</f>
        <v>#REF!</v>
      </c>
      <c r="CI170" t="e">
        <f>AND(Demos!#REF!,"AAAAAH1+GlY=")</f>
        <v>#REF!</v>
      </c>
      <c r="CJ170" t="e">
        <f>AND(Demos!#REF!,"AAAAAH1+Glc=")</f>
        <v>#REF!</v>
      </c>
      <c r="CK170" t="e">
        <f>AND(Demos!#REF!,"AAAAAH1+Glg=")</f>
        <v>#REF!</v>
      </c>
      <c r="CL170" t="e">
        <f>AND(Demos!#REF!,"AAAAAH1+Glk=")</f>
        <v>#REF!</v>
      </c>
      <c r="CM170" t="e">
        <f>AND(Demos!#REF!,"AAAAAH1+Glo=")</f>
        <v>#REF!</v>
      </c>
      <c r="CN170" t="e">
        <f>AND(Demos!#REF!,"AAAAAH1+Gls=")</f>
        <v>#REF!</v>
      </c>
      <c r="CO170" t="e">
        <f>IF(Demos!#REF!,"AAAAAH1+Glw=",0)</f>
        <v>#REF!</v>
      </c>
      <c r="CP170" t="e">
        <f>AND(Demos!#REF!,"AAAAAH1+Gl0=")</f>
        <v>#REF!</v>
      </c>
      <c r="CQ170" t="e">
        <f>AND(Demos!#REF!,"AAAAAH1+Gl4=")</f>
        <v>#REF!</v>
      </c>
      <c r="CR170" t="e">
        <f>AND(Demos!#REF!,"AAAAAH1+Gl8=")</f>
        <v>#REF!</v>
      </c>
      <c r="CS170" t="e">
        <f>AND(Demos!#REF!,"AAAAAH1+GmA=")</f>
        <v>#REF!</v>
      </c>
      <c r="CT170" t="e">
        <f>AND(Demos!#REF!,"AAAAAH1+GmE=")</f>
        <v>#REF!</v>
      </c>
      <c r="CU170" t="e">
        <f>AND(Demos!#REF!,"AAAAAH1+GmI=")</f>
        <v>#REF!</v>
      </c>
      <c r="CV170" t="e">
        <f>AND(Demos!#REF!,"AAAAAH1+GmM=")</f>
        <v>#REF!</v>
      </c>
      <c r="CW170" t="e">
        <f>AND(Demos!#REF!,"AAAAAH1+GmQ=")</f>
        <v>#REF!</v>
      </c>
      <c r="CX170" t="e">
        <f>AND(Demos!#REF!,"AAAAAH1+GmU=")</f>
        <v>#REF!</v>
      </c>
      <c r="CY170" t="e">
        <f>AND(Demos!#REF!,"AAAAAH1+GmY=")</f>
        <v>#REF!</v>
      </c>
      <c r="CZ170" t="e">
        <f>AND(Demos!#REF!,"AAAAAH1+Gmc=")</f>
        <v>#REF!</v>
      </c>
      <c r="DA170" t="e">
        <f>AND(Demos!#REF!,"AAAAAH1+Gmg=")</f>
        <v>#REF!</v>
      </c>
      <c r="DB170" t="e">
        <f>AND(Demos!#REF!,"AAAAAH1+Gmk=")</f>
        <v>#REF!</v>
      </c>
      <c r="DC170" t="e">
        <f>IF(Demos!#REF!,"AAAAAH1+Gmo=",0)</f>
        <v>#REF!</v>
      </c>
      <c r="DD170" t="e">
        <f>AND(Demos!#REF!,"AAAAAH1+Gms=")</f>
        <v>#REF!</v>
      </c>
      <c r="DE170" t="e">
        <f>AND(Demos!#REF!,"AAAAAH1+Gmw=")</f>
        <v>#REF!</v>
      </c>
      <c r="DF170" t="e">
        <f>AND(Demos!#REF!,"AAAAAH1+Gm0=")</f>
        <v>#REF!</v>
      </c>
      <c r="DG170" t="e">
        <f>AND(Demos!#REF!,"AAAAAH1+Gm4=")</f>
        <v>#REF!</v>
      </c>
      <c r="DH170" t="e">
        <f>AND(Demos!#REF!,"AAAAAH1+Gm8=")</f>
        <v>#REF!</v>
      </c>
      <c r="DI170" t="e">
        <f>AND(Demos!#REF!,"AAAAAH1+GnA=")</f>
        <v>#REF!</v>
      </c>
      <c r="DJ170" t="e">
        <f>AND(Demos!#REF!,"AAAAAH1+GnE=")</f>
        <v>#REF!</v>
      </c>
      <c r="DK170" t="e">
        <f>AND(Demos!#REF!,"AAAAAH1+GnI=")</f>
        <v>#REF!</v>
      </c>
      <c r="DL170" t="e">
        <f>AND(Demos!#REF!,"AAAAAH1+GnM=")</f>
        <v>#REF!</v>
      </c>
      <c r="DM170" t="e">
        <f>AND(Demos!#REF!,"AAAAAH1+GnQ=")</f>
        <v>#REF!</v>
      </c>
      <c r="DN170" t="e">
        <f>AND(Demos!#REF!,"AAAAAH1+GnU=")</f>
        <v>#REF!</v>
      </c>
      <c r="DO170" t="e">
        <f>AND(Demos!#REF!,"AAAAAH1+GnY=")</f>
        <v>#REF!</v>
      </c>
      <c r="DP170" t="e">
        <f>AND(Demos!#REF!,"AAAAAH1+Gnc=")</f>
        <v>#REF!</v>
      </c>
      <c r="DQ170" t="e">
        <f>IF(Demos!#REF!,"AAAAAH1+Gng=",0)</f>
        <v>#REF!</v>
      </c>
      <c r="DR170" t="e">
        <f>AND(Demos!#REF!,"AAAAAH1+Gnk=")</f>
        <v>#REF!</v>
      </c>
      <c r="DS170" t="e">
        <f>AND(Demos!#REF!,"AAAAAH1+Gno=")</f>
        <v>#REF!</v>
      </c>
      <c r="DT170" t="e">
        <f>AND(Demos!#REF!,"AAAAAH1+Gns=")</f>
        <v>#REF!</v>
      </c>
      <c r="DU170" t="e">
        <f>AND(Demos!#REF!,"AAAAAH1+Gnw=")</f>
        <v>#REF!</v>
      </c>
      <c r="DV170" t="e">
        <f>AND(Demos!#REF!,"AAAAAH1+Gn0=")</f>
        <v>#REF!</v>
      </c>
      <c r="DW170" t="e">
        <f>AND(Demos!#REF!,"AAAAAH1+Gn4=")</f>
        <v>#REF!</v>
      </c>
      <c r="DX170" t="e">
        <f>AND(Demos!#REF!,"AAAAAH1+Gn8=")</f>
        <v>#REF!</v>
      </c>
      <c r="DY170" t="e">
        <f>AND(Demos!#REF!,"AAAAAH1+GoA=")</f>
        <v>#REF!</v>
      </c>
      <c r="DZ170" t="e">
        <f>AND(Demos!#REF!,"AAAAAH1+GoE=")</f>
        <v>#REF!</v>
      </c>
      <c r="EA170" t="e">
        <f>AND(Demos!#REF!,"AAAAAH1+GoI=")</f>
        <v>#REF!</v>
      </c>
      <c r="EB170" t="e">
        <f>AND(Demos!#REF!,"AAAAAH1+GoM=")</f>
        <v>#REF!</v>
      </c>
      <c r="EC170" t="e">
        <f>AND(Demos!#REF!,"AAAAAH1+GoQ=")</f>
        <v>#REF!</v>
      </c>
      <c r="ED170" t="e">
        <f>AND(Demos!#REF!,"AAAAAH1+GoU=")</f>
        <v>#REF!</v>
      </c>
      <c r="EE170" t="e">
        <f>IF(Demos!#REF!,"AAAAAH1+GoY=",0)</f>
        <v>#REF!</v>
      </c>
      <c r="EF170" t="e">
        <f>AND(Demos!#REF!,"AAAAAH1+Goc=")</f>
        <v>#REF!</v>
      </c>
      <c r="EG170" t="e">
        <f>AND(Demos!#REF!,"AAAAAH1+Gog=")</f>
        <v>#REF!</v>
      </c>
      <c r="EH170" t="e">
        <f>AND(Demos!#REF!,"AAAAAH1+Gok=")</f>
        <v>#REF!</v>
      </c>
      <c r="EI170" t="e">
        <f>AND(Demos!#REF!,"AAAAAH1+Goo=")</f>
        <v>#REF!</v>
      </c>
      <c r="EJ170" t="e">
        <f>AND(Demos!#REF!,"AAAAAH1+Gos=")</f>
        <v>#REF!</v>
      </c>
      <c r="EK170" t="e">
        <f>AND(Demos!#REF!,"AAAAAH1+Gow=")</f>
        <v>#REF!</v>
      </c>
      <c r="EL170" t="e">
        <f>AND(Demos!#REF!,"AAAAAH1+Go0=")</f>
        <v>#REF!</v>
      </c>
      <c r="EM170" t="e">
        <f>AND(Demos!#REF!,"AAAAAH1+Go4=")</f>
        <v>#REF!</v>
      </c>
      <c r="EN170" t="e">
        <f>AND(Demos!#REF!,"AAAAAH1+Go8=")</f>
        <v>#REF!</v>
      </c>
      <c r="EO170" t="e">
        <f>AND(Demos!#REF!,"AAAAAH1+GpA=")</f>
        <v>#REF!</v>
      </c>
      <c r="EP170" t="e">
        <f>AND(Demos!#REF!,"AAAAAH1+GpE=")</f>
        <v>#REF!</v>
      </c>
      <c r="EQ170" t="e">
        <f>AND(Demos!#REF!,"AAAAAH1+GpI=")</f>
        <v>#REF!</v>
      </c>
      <c r="ER170" t="e">
        <f>AND(Demos!#REF!,"AAAAAH1+GpM=")</f>
        <v>#REF!</v>
      </c>
      <c r="ES170" t="e">
        <f>IF(Demos!#REF!,"AAAAAH1+GpQ=",0)</f>
        <v>#REF!</v>
      </c>
      <c r="ET170" t="e">
        <f>AND(Demos!#REF!,"AAAAAH1+GpU=")</f>
        <v>#REF!</v>
      </c>
      <c r="EU170" t="e">
        <f>AND(Demos!#REF!,"AAAAAH1+GpY=")</f>
        <v>#REF!</v>
      </c>
      <c r="EV170" t="e">
        <f>AND(Demos!#REF!,"AAAAAH1+Gpc=")</f>
        <v>#REF!</v>
      </c>
      <c r="EW170" t="e">
        <f>AND(Demos!#REF!,"AAAAAH1+Gpg=")</f>
        <v>#REF!</v>
      </c>
      <c r="EX170" t="e">
        <f>AND(Demos!#REF!,"AAAAAH1+Gpk=")</f>
        <v>#REF!</v>
      </c>
      <c r="EY170" t="e">
        <f>AND(Demos!#REF!,"AAAAAH1+Gpo=")</f>
        <v>#REF!</v>
      </c>
      <c r="EZ170" t="e">
        <f>AND(Demos!#REF!,"AAAAAH1+Gps=")</f>
        <v>#REF!</v>
      </c>
      <c r="FA170" t="e">
        <f>AND(Demos!#REF!,"AAAAAH1+Gpw=")</f>
        <v>#REF!</v>
      </c>
      <c r="FB170" t="e">
        <f>AND(Demos!#REF!,"AAAAAH1+Gp0=")</f>
        <v>#REF!</v>
      </c>
      <c r="FC170" t="e">
        <f>AND(Demos!#REF!,"AAAAAH1+Gp4=")</f>
        <v>#REF!</v>
      </c>
      <c r="FD170" t="e">
        <f>AND(Demos!#REF!,"AAAAAH1+Gp8=")</f>
        <v>#REF!</v>
      </c>
      <c r="FE170" t="e">
        <f>AND(Demos!#REF!,"AAAAAH1+GqA=")</f>
        <v>#REF!</v>
      </c>
      <c r="FF170" t="e">
        <f>AND(Demos!#REF!,"AAAAAH1+GqE=")</f>
        <v>#REF!</v>
      </c>
      <c r="FG170" t="e">
        <f>IF(Demos!#REF!,"AAAAAH1+GqI=",0)</f>
        <v>#REF!</v>
      </c>
      <c r="FH170" t="e">
        <f>AND(Demos!#REF!,"AAAAAH1+GqM=")</f>
        <v>#REF!</v>
      </c>
      <c r="FI170" t="e">
        <f>AND(Demos!#REF!,"AAAAAH1+GqQ=")</f>
        <v>#REF!</v>
      </c>
      <c r="FJ170" t="e">
        <f>AND(Demos!#REF!,"AAAAAH1+GqU=")</f>
        <v>#REF!</v>
      </c>
      <c r="FK170" t="e">
        <f>AND(Demos!#REF!,"AAAAAH1+GqY=")</f>
        <v>#REF!</v>
      </c>
      <c r="FL170" t="e">
        <f>AND(Demos!#REF!,"AAAAAH1+Gqc=")</f>
        <v>#REF!</v>
      </c>
      <c r="FM170" t="e">
        <f>AND(Demos!#REF!,"AAAAAH1+Gqg=")</f>
        <v>#REF!</v>
      </c>
      <c r="FN170" t="e">
        <f>AND(Demos!#REF!,"AAAAAH1+Gqk=")</f>
        <v>#REF!</v>
      </c>
      <c r="FO170" t="e">
        <f>AND(Demos!#REF!,"AAAAAH1+Gqo=")</f>
        <v>#REF!</v>
      </c>
      <c r="FP170" t="e">
        <f>AND(Demos!#REF!,"AAAAAH1+Gqs=")</f>
        <v>#REF!</v>
      </c>
      <c r="FQ170" t="e">
        <f>AND(Demos!#REF!,"AAAAAH1+Gqw=")</f>
        <v>#REF!</v>
      </c>
      <c r="FR170" t="e">
        <f>AND(Demos!#REF!,"AAAAAH1+Gq0=")</f>
        <v>#REF!</v>
      </c>
      <c r="FS170" t="e">
        <f>AND(Demos!#REF!,"AAAAAH1+Gq4=")</f>
        <v>#REF!</v>
      </c>
      <c r="FT170" t="e">
        <f>AND(Demos!#REF!,"AAAAAH1+Gq8=")</f>
        <v>#REF!</v>
      </c>
      <c r="FU170" t="e">
        <f>IF(Demos!#REF!,"AAAAAH1+GrA=",0)</f>
        <v>#REF!</v>
      </c>
      <c r="FV170" t="e">
        <f>AND(Demos!#REF!,"AAAAAH1+GrE=")</f>
        <v>#REF!</v>
      </c>
      <c r="FW170" t="e">
        <f>AND(Demos!#REF!,"AAAAAH1+GrI=")</f>
        <v>#REF!</v>
      </c>
      <c r="FX170" t="e">
        <f>AND(Demos!#REF!,"AAAAAH1+GrM=")</f>
        <v>#REF!</v>
      </c>
      <c r="FY170" t="e">
        <f>AND(Demos!#REF!,"AAAAAH1+GrQ=")</f>
        <v>#REF!</v>
      </c>
      <c r="FZ170" t="e">
        <f>AND(Demos!#REF!,"AAAAAH1+GrU=")</f>
        <v>#REF!</v>
      </c>
      <c r="GA170" t="e">
        <f>AND(Demos!#REF!,"AAAAAH1+GrY=")</f>
        <v>#REF!</v>
      </c>
      <c r="GB170" t="e">
        <f>AND(Demos!#REF!,"AAAAAH1+Grc=")</f>
        <v>#REF!</v>
      </c>
      <c r="GC170" t="e">
        <f>AND(Demos!#REF!,"AAAAAH1+Grg=")</f>
        <v>#REF!</v>
      </c>
      <c r="GD170" t="e">
        <f>AND(Demos!#REF!,"AAAAAH1+Grk=")</f>
        <v>#REF!</v>
      </c>
      <c r="GE170" t="e">
        <f>AND(Demos!#REF!,"AAAAAH1+Gro=")</f>
        <v>#REF!</v>
      </c>
      <c r="GF170" t="e">
        <f>AND(Demos!#REF!,"AAAAAH1+Grs=")</f>
        <v>#REF!</v>
      </c>
      <c r="GG170" t="e">
        <f>AND(Demos!#REF!,"AAAAAH1+Grw=")</f>
        <v>#REF!</v>
      </c>
      <c r="GH170" t="e">
        <f>AND(Demos!#REF!,"AAAAAH1+Gr0=")</f>
        <v>#REF!</v>
      </c>
      <c r="GI170" t="e">
        <f>IF(Demos!#REF!,"AAAAAH1+Gr4=",0)</f>
        <v>#REF!</v>
      </c>
      <c r="GJ170" t="e">
        <f>AND(Demos!#REF!,"AAAAAH1+Gr8=")</f>
        <v>#REF!</v>
      </c>
      <c r="GK170" t="e">
        <f>AND(Demos!#REF!,"AAAAAH1+GsA=")</f>
        <v>#REF!</v>
      </c>
      <c r="GL170" t="e">
        <f>AND(Demos!#REF!,"AAAAAH1+GsE=")</f>
        <v>#REF!</v>
      </c>
      <c r="GM170" t="e">
        <f>AND(Demos!#REF!,"AAAAAH1+GsI=")</f>
        <v>#REF!</v>
      </c>
      <c r="GN170" t="e">
        <f>AND(Demos!#REF!,"AAAAAH1+GsM=")</f>
        <v>#REF!</v>
      </c>
      <c r="GO170" t="e">
        <f>AND(Demos!#REF!,"AAAAAH1+GsQ=")</f>
        <v>#REF!</v>
      </c>
      <c r="GP170" t="e">
        <f>AND(Demos!#REF!,"AAAAAH1+GsU=")</f>
        <v>#REF!</v>
      </c>
      <c r="GQ170" t="e">
        <f>AND(Demos!#REF!,"AAAAAH1+GsY=")</f>
        <v>#REF!</v>
      </c>
      <c r="GR170" t="e">
        <f>AND(Demos!#REF!,"AAAAAH1+Gsc=")</f>
        <v>#REF!</v>
      </c>
      <c r="GS170" t="e">
        <f>AND(Demos!#REF!,"AAAAAH1+Gsg=")</f>
        <v>#REF!</v>
      </c>
      <c r="GT170" t="e">
        <f>AND(Demos!#REF!,"AAAAAH1+Gsk=")</f>
        <v>#REF!</v>
      </c>
      <c r="GU170" t="e">
        <f>AND(Demos!#REF!,"AAAAAH1+Gso=")</f>
        <v>#REF!</v>
      </c>
      <c r="GV170" t="e">
        <f>AND(Demos!#REF!,"AAAAAH1+Gss=")</f>
        <v>#REF!</v>
      </c>
      <c r="GW170" t="e">
        <f>IF(Demos!#REF!,"AAAAAH1+Gsw=",0)</f>
        <v>#REF!</v>
      </c>
      <c r="GX170" t="e">
        <f>AND(Demos!#REF!,"AAAAAH1+Gs0=")</f>
        <v>#REF!</v>
      </c>
      <c r="GY170" t="e">
        <f>AND(Demos!#REF!,"AAAAAH1+Gs4=")</f>
        <v>#REF!</v>
      </c>
      <c r="GZ170" t="e">
        <f>AND(Demos!#REF!,"AAAAAH1+Gs8=")</f>
        <v>#REF!</v>
      </c>
      <c r="HA170" t="e">
        <f>AND(Demos!#REF!,"AAAAAH1+GtA=")</f>
        <v>#REF!</v>
      </c>
      <c r="HB170" t="e">
        <f>AND(Demos!#REF!,"AAAAAH1+GtE=")</f>
        <v>#REF!</v>
      </c>
      <c r="HC170" t="e">
        <f>AND(Demos!#REF!,"AAAAAH1+GtI=")</f>
        <v>#REF!</v>
      </c>
      <c r="HD170" t="e">
        <f>AND(Demos!#REF!,"AAAAAH1+GtM=")</f>
        <v>#REF!</v>
      </c>
      <c r="HE170" t="e">
        <f>AND(Demos!#REF!,"AAAAAH1+GtQ=")</f>
        <v>#REF!</v>
      </c>
      <c r="HF170" t="e">
        <f>AND(Demos!#REF!,"AAAAAH1+GtU=")</f>
        <v>#REF!</v>
      </c>
      <c r="HG170" t="e">
        <f>AND(Demos!#REF!,"AAAAAH1+GtY=")</f>
        <v>#REF!</v>
      </c>
      <c r="HH170" t="e">
        <f>AND(Demos!#REF!,"AAAAAH1+Gtc=")</f>
        <v>#REF!</v>
      </c>
      <c r="HI170" t="e">
        <f>AND(Demos!#REF!,"AAAAAH1+Gtg=")</f>
        <v>#REF!</v>
      </c>
      <c r="HJ170" t="e">
        <f>AND(Demos!#REF!,"AAAAAH1+Gtk=")</f>
        <v>#REF!</v>
      </c>
      <c r="HK170" t="e">
        <f>IF(Demos!#REF!,"AAAAAH1+Gto=",0)</f>
        <v>#REF!</v>
      </c>
      <c r="HL170" t="e">
        <f>AND(Demos!#REF!,"AAAAAH1+Gts=")</f>
        <v>#REF!</v>
      </c>
      <c r="HM170" t="e">
        <f>AND(Demos!#REF!,"AAAAAH1+Gtw=")</f>
        <v>#REF!</v>
      </c>
      <c r="HN170" t="e">
        <f>AND(Demos!#REF!,"AAAAAH1+Gt0=")</f>
        <v>#REF!</v>
      </c>
      <c r="HO170" t="e">
        <f>AND(Demos!#REF!,"AAAAAH1+Gt4=")</f>
        <v>#REF!</v>
      </c>
      <c r="HP170" t="e">
        <f>AND(Demos!#REF!,"AAAAAH1+Gt8=")</f>
        <v>#REF!</v>
      </c>
      <c r="HQ170" t="e">
        <f>AND(Demos!#REF!,"AAAAAH1+GuA=")</f>
        <v>#REF!</v>
      </c>
      <c r="HR170" t="e">
        <f>AND(Demos!#REF!,"AAAAAH1+GuE=")</f>
        <v>#REF!</v>
      </c>
      <c r="HS170" t="e">
        <f>AND(Demos!#REF!,"AAAAAH1+GuI=")</f>
        <v>#REF!</v>
      </c>
      <c r="HT170" t="e">
        <f>AND(Demos!#REF!,"AAAAAH1+GuM=")</f>
        <v>#REF!</v>
      </c>
      <c r="HU170" t="e">
        <f>AND(Demos!#REF!,"AAAAAH1+GuQ=")</f>
        <v>#REF!</v>
      </c>
      <c r="HV170" t="e">
        <f>AND(Demos!#REF!,"AAAAAH1+GuU=")</f>
        <v>#REF!</v>
      </c>
      <c r="HW170" t="e">
        <f>AND(Demos!#REF!,"AAAAAH1+GuY=")</f>
        <v>#REF!</v>
      </c>
      <c r="HX170" t="e">
        <f>AND(Demos!#REF!,"AAAAAH1+Guc=")</f>
        <v>#REF!</v>
      </c>
      <c r="HY170" t="e">
        <f>IF(Demos!#REF!,"AAAAAH1+Gug=",0)</f>
        <v>#REF!</v>
      </c>
      <c r="HZ170" t="e">
        <f>AND(Demos!#REF!,"AAAAAH1+Guk=")</f>
        <v>#REF!</v>
      </c>
      <c r="IA170" t="e">
        <f>AND(Demos!#REF!,"AAAAAH1+Guo=")</f>
        <v>#REF!</v>
      </c>
      <c r="IB170" t="e">
        <f>AND(Demos!#REF!,"AAAAAH1+Gus=")</f>
        <v>#REF!</v>
      </c>
      <c r="IC170" t="e">
        <f>AND(Demos!#REF!,"AAAAAH1+Guw=")</f>
        <v>#REF!</v>
      </c>
      <c r="ID170" t="e">
        <f>AND(Demos!#REF!,"AAAAAH1+Gu0=")</f>
        <v>#REF!</v>
      </c>
      <c r="IE170" t="e">
        <f>AND(Demos!#REF!,"AAAAAH1+Gu4=")</f>
        <v>#REF!</v>
      </c>
      <c r="IF170" t="e">
        <f>AND(Demos!#REF!,"AAAAAH1+Gu8=")</f>
        <v>#REF!</v>
      </c>
      <c r="IG170" t="e">
        <f>AND(Demos!#REF!,"AAAAAH1+GvA=")</f>
        <v>#REF!</v>
      </c>
      <c r="IH170" t="e">
        <f>AND(Demos!#REF!,"AAAAAH1+GvE=")</f>
        <v>#REF!</v>
      </c>
      <c r="II170" t="e">
        <f>AND(Demos!#REF!,"AAAAAH1+GvI=")</f>
        <v>#REF!</v>
      </c>
      <c r="IJ170" t="e">
        <f>AND(Demos!#REF!,"AAAAAH1+GvM=")</f>
        <v>#REF!</v>
      </c>
      <c r="IK170" t="e">
        <f>AND(Demos!#REF!,"AAAAAH1+GvQ=")</f>
        <v>#REF!</v>
      </c>
      <c r="IL170" t="e">
        <f>AND(Demos!#REF!,"AAAAAH1+GvU=")</f>
        <v>#REF!</v>
      </c>
      <c r="IM170" t="e">
        <f>IF(Demos!#REF!,"AAAAAH1+GvY=",0)</f>
        <v>#REF!</v>
      </c>
      <c r="IN170" t="e">
        <f>AND(Demos!#REF!,"AAAAAH1+Gvc=")</f>
        <v>#REF!</v>
      </c>
      <c r="IO170" t="e">
        <f>AND(Demos!#REF!,"AAAAAH1+Gvg=")</f>
        <v>#REF!</v>
      </c>
      <c r="IP170" t="e">
        <f>AND(Demos!#REF!,"AAAAAH1+Gvk=")</f>
        <v>#REF!</v>
      </c>
      <c r="IQ170" t="e">
        <f>AND(Demos!#REF!,"AAAAAH1+Gvo=")</f>
        <v>#REF!</v>
      </c>
      <c r="IR170" t="e">
        <f>AND(Demos!#REF!,"AAAAAH1+Gvs=")</f>
        <v>#REF!</v>
      </c>
      <c r="IS170" t="e">
        <f>AND(Demos!#REF!,"AAAAAH1+Gvw=")</f>
        <v>#REF!</v>
      </c>
      <c r="IT170" t="e">
        <f>AND(Demos!#REF!,"AAAAAH1+Gv0=")</f>
        <v>#REF!</v>
      </c>
      <c r="IU170" t="e">
        <f>AND(Demos!#REF!,"AAAAAH1+Gv4=")</f>
        <v>#REF!</v>
      </c>
      <c r="IV170" t="e">
        <f>AND(Demos!#REF!,"AAAAAH1+Gv8=")</f>
        <v>#REF!</v>
      </c>
    </row>
    <row r="171" spans="1:256" x14ac:dyDescent="0.2">
      <c r="A171" t="e">
        <f>AND(Demos!#REF!,"AAAAAHvt/gA=")</f>
        <v>#REF!</v>
      </c>
      <c r="B171" t="e">
        <f>AND(Demos!#REF!,"AAAAAHvt/gE=")</f>
        <v>#REF!</v>
      </c>
      <c r="C171" t="e">
        <f>AND(Demos!#REF!,"AAAAAHvt/gI=")</f>
        <v>#REF!</v>
      </c>
      <c r="D171" t="e">
        <f>AND(Demos!#REF!,"AAAAAHvt/gM=")</f>
        <v>#REF!</v>
      </c>
      <c r="E171" t="e">
        <f>IF(Demos!#REF!,"AAAAAHvt/gQ=",0)</f>
        <v>#REF!</v>
      </c>
      <c r="F171" t="e">
        <f>AND(Demos!#REF!,"AAAAAHvt/gU=")</f>
        <v>#REF!</v>
      </c>
      <c r="G171" t="e">
        <f>AND(Demos!#REF!,"AAAAAHvt/gY=")</f>
        <v>#REF!</v>
      </c>
      <c r="H171" t="e">
        <f>AND(Demos!#REF!,"AAAAAHvt/gc=")</f>
        <v>#REF!</v>
      </c>
      <c r="I171" t="e">
        <f>AND(Demos!#REF!,"AAAAAHvt/gg=")</f>
        <v>#REF!</v>
      </c>
      <c r="J171" t="e">
        <f>AND(Demos!#REF!,"AAAAAHvt/gk=")</f>
        <v>#REF!</v>
      </c>
      <c r="K171" t="e">
        <f>AND(Demos!#REF!,"AAAAAHvt/go=")</f>
        <v>#REF!</v>
      </c>
      <c r="L171" t="e">
        <f>AND(Demos!#REF!,"AAAAAHvt/gs=")</f>
        <v>#REF!</v>
      </c>
      <c r="M171" t="e">
        <f>AND(Demos!#REF!,"AAAAAHvt/gw=")</f>
        <v>#REF!</v>
      </c>
      <c r="N171" t="e">
        <f>AND(Demos!#REF!,"AAAAAHvt/g0=")</f>
        <v>#REF!</v>
      </c>
      <c r="O171" t="e">
        <f>AND(Demos!#REF!,"AAAAAHvt/g4=")</f>
        <v>#REF!</v>
      </c>
      <c r="P171" t="e">
        <f>AND(Demos!#REF!,"AAAAAHvt/g8=")</f>
        <v>#REF!</v>
      </c>
      <c r="Q171" t="e">
        <f>AND(Demos!#REF!,"AAAAAHvt/hA=")</f>
        <v>#REF!</v>
      </c>
      <c r="R171" t="e">
        <f>AND(Demos!#REF!,"AAAAAHvt/hE=")</f>
        <v>#REF!</v>
      </c>
      <c r="S171" t="e">
        <f>IF(Demos!#REF!,"AAAAAHvt/hI=",0)</f>
        <v>#REF!</v>
      </c>
      <c r="T171" t="e">
        <f>AND(Demos!#REF!,"AAAAAHvt/hM=")</f>
        <v>#REF!</v>
      </c>
      <c r="U171" t="e">
        <f>AND(Demos!#REF!,"AAAAAHvt/hQ=")</f>
        <v>#REF!</v>
      </c>
      <c r="V171" t="e">
        <f>AND(Demos!#REF!,"AAAAAHvt/hU=")</f>
        <v>#REF!</v>
      </c>
      <c r="W171" t="e">
        <f>AND(Demos!#REF!,"AAAAAHvt/hY=")</f>
        <v>#REF!</v>
      </c>
      <c r="X171" t="e">
        <f>AND(Demos!#REF!,"AAAAAHvt/hc=")</f>
        <v>#REF!</v>
      </c>
      <c r="Y171" t="e">
        <f>AND(Demos!#REF!,"AAAAAHvt/hg=")</f>
        <v>#REF!</v>
      </c>
      <c r="Z171" t="e">
        <f>AND(Demos!#REF!,"AAAAAHvt/hk=")</f>
        <v>#REF!</v>
      </c>
      <c r="AA171" t="e">
        <f>AND(Demos!#REF!,"AAAAAHvt/ho=")</f>
        <v>#REF!</v>
      </c>
      <c r="AB171" t="e">
        <f>AND(Demos!#REF!,"AAAAAHvt/hs=")</f>
        <v>#REF!</v>
      </c>
      <c r="AC171" t="e">
        <f>AND(Demos!#REF!,"AAAAAHvt/hw=")</f>
        <v>#REF!</v>
      </c>
      <c r="AD171" t="e">
        <f>AND(Demos!#REF!,"AAAAAHvt/h0=")</f>
        <v>#REF!</v>
      </c>
      <c r="AE171" t="e">
        <f>AND(Demos!#REF!,"AAAAAHvt/h4=")</f>
        <v>#REF!</v>
      </c>
      <c r="AF171" t="e">
        <f>AND(Demos!#REF!,"AAAAAHvt/h8=")</f>
        <v>#REF!</v>
      </c>
      <c r="AG171" t="e">
        <f>IF(Demos!#REF!,"AAAAAHvt/iA=",0)</f>
        <v>#REF!</v>
      </c>
      <c r="AH171" t="e">
        <f>AND(Demos!#REF!,"AAAAAHvt/iE=")</f>
        <v>#REF!</v>
      </c>
      <c r="AI171" t="e">
        <f>AND(Demos!#REF!,"AAAAAHvt/iI=")</f>
        <v>#REF!</v>
      </c>
      <c r="AJ171" t="e">
        <f>AND(Demos!#REF!,"AAAAAHvt/iM=")</f>
        <v>#REF!</v>
      </c>
      <c r="AK171" t="e">
        <f>AND(Demos!#REF!,"AAAAAHvt/iQ=")</f>
        <v>#REF!</v>
      </c>
      <c r="AL171" t="e">
        <f>AND(Demos!#REF!,"AAAAAHvt/iU=")</f>
        <v>#REF!</v>
      </c>
      <c r="AM171" t="e">
        <f>AND(Demos!#REF!,"AAAAAHvt/iY=")</f>
        <v>#REF!</v>
      </c>
      <c r="AN171" t="e">
        <f>AND(Demos!#REF!,"AAAAAHvt/ic=")</f>
        <v>#REF!</v>
      </c>
      <c r="AO171" t="e">
        <f>AND(Demos!#REF!,"AAAAAHvt/ig=")</f>
        <v>#REF!</v>
      </c>
      <c r="AP171" t="e">
        <f>AND(Demos!#REF!,"AAAAAHvt/ik=")</f>
        <v>#REF!</v>
      </c>
      <c r="AQ171" t="e">
        <f>AND(Demos!#REF!,"AAAAAHvt/io=")</f>
        <v>#REF!</v>
      </c>
      <c r="AR171" t="e">
        <f>AND(Demos!#REF!,"AAAAAHvt/is=")</f>
        <v>#REF!</v>
      </c>
      <c r="AS171" t="e">
        <f>AND(Demos!#REF!,"AAAAAHvt/iw=")</f>
        <v>#REF!</v>
      </c>
      <c r="AT171" t="e">
        <f>AND(Demos!#REF!,"AAAAAHvt/i0=")</f>
        <v>#REF!</v>
      </c>
      <c r="AU171" t="e">
        <f>IF(Demos!#REF!,"AAAAAHvt/i4=",0)</f>
        <v>#REF!</v>
      </c>
      <c r="AV171" t="e">
        <f>AND(Demos!#REF!,"AAAAAHvt/i8=")</f>
        <v>#REF!</v>
      </c>
      <c r="AW171" t="e">
        <f>AND(Demos!#REF!,"AAAAAHvt/jA=")</f>
        <v>#REF!</v>
      </c>
      <c r="AX171" t="e">
        <f>AND(Demos!#REF!,"AAAAAHvt/jE=")</f>
        <v>#REF!</v>
      </c>
      <c r="AY171" t="e">
        <f>AND(Demos!#REF!,"AAAAAHvt/jI=")</f>
        <v>#REF!</v>
      </c>
      <c r="AZ171" t="e">
        <f>AND(Demos!#REF!,"AAAAAHvt/jM=")</f>
        <v>#REF!</v>
      </c>
      <c r="BA171" t="e">
        <f>AND(Demos!#REF!,"AAAAAHvt/jQ=")</f>
        <v>#REF!</v>
      </c>
      <c r="BB171" t="e">
        <f>AND(Demos!#REF!,"AAAAAHvt/jU=")</f>
        <v>#REF!</v>
      </c>
      <c r="BC171" t="e">
        <f>AND(Demos!#REF!,"AAAAAHvt/jY=")</f>
        <v>#REF!</v>
      </c>
      <c r="BD171" t="e">
        <f>AND(Demos!#REF!,"AAAAAHvt/jc=")</f>
        <v>#REF!</v>
      </c>
      <c r="BE171" t="e">
        <f>AND(Demos!#REF!,"AAAAAHvt/jg=")</f>
        <v>#REF!</v>
      </c>
      <c r="BF171" t="e">
        <f>AND(Demos!#REF!,"AAAAAHvt/jk=")</f>
        <v>#REF!</v>
      </c>
      <c r="BG171" t="e">
        <f>AND(Demos!#REF!,"AAAAAHvt/jo=")</f>
        <v>#REF!</v>
      </c>
      <c r="BH171" t="e">
        <f>AND(Demos!#REF!,"AAAAAHvt/js=")</f>
        <v>#REF!</v>
      </c>
      <c r="BI171" t="e">
        <f>IF(Demos!#REF!,"AAAAAHvt/jw=",0)</f>
        <v>#REF!</v>
      </c>
      <c r="BJ171" t="e">
        <f>AND(Demos!#REF!,"AAAAAHvt/j0=")</f>
        <v>#REF!</v>
      </c>
      <c r="BK171" t="e">
        <f>AND(Demos!#REF!,"AAAAAHvt/j4=")</f>
        <v>#REF!</v>
      </c>
      <c r="BL171" t="e">
        <f>AND(Demos!#REF!,"AAAAAHvt/j8=")</f>
        <v>#REF!</v>
      </c>
      <c r="BM171" t="e">
        <f>AND(Demos!#REF!,"AAAAAHvt/kA=")</f>
        <v>#REF!</v>
      </c>
      <c r="BN171" t="e">
        <f>AND(Demos!#REF!,"AAAAAHvt/kE=")</f>
        <v>#REF!</v>
      </c>
      <c r="BO171" t="e">
        <f>AND(Demos!#REF!,"AAAAAHvt/kI=")</f>
        <v>#REF!</v>
      </c>
      <c r="BP171" t="e">
        <f>AND(Demos!#REF!,"AAAAAHvt/kM=")</f>
        <v>#REF!</v>
      </c>
      <c r="BQ171" t="e">
        <f>AND(Demos!#REF!,"AAAAAHvt/kQ=")</f>
        <v>#REF!</v>
      </c>
      <c r="BR171" t="e">
        <f>AND(Demos!#REF!,"AAAAAHvt/kU=")</f>
        <v>#REF!</v>
      </c>
      <c r="BS171" t="e">
        <f>AND(Demos!#REF!,"AAAAAHvt/kY=")</f>
        <v>#REF!</v>
      </c>
      <c r="BT171" t="e">
        <f>AND(Demos!#REF!,"AAAAAHvt/kc=")</f>
        <v>#REF!</v>
      </c>
      <c r="BU171" t="e">
        <f>AND(Demos!#REF!,"AAAAAHvt/kg=")</f>
        <v>#REF!</v>
      </c>
      <c r="BV171" t="e">
        <f>AND(Demos!#REF!,"AAAAAHvt/kk=")</f>
        <v>#REF!</v>
      </c>
      <c r="BW171">
        <f>IF(Demos!4:4,"AAAAAHvt/ko=",0)</f>
        <v>0</v>
      </c>
      <c r="BX171" t="e">
        <f>AND(Demos!#REF!,"AAAAAHvt/ks=")</f>
        <v>#REF!</v>
      </c>
      <c r="BY171" t="e">
        <f>AND(Demos!#REF!,"AAAAAHvt/kw=")</f>
        <v>#REF!</v>
      </c>
      <c r="BZ171" t="e">
        <f>AND(Demos!#REF!,"AAAAAHvt/k0=")</f>
        <v>#REF!</v>
      </c>
      <c r="CA171" t="e">
        <f>AND(Demos!#REF!,"AAAAAHvt/k4=")</f>
        <v>#REF!</v>
      </c>
      <c r="CB171" t="e">
        <f>AND(Demos!#REF!,"AAAAAHvt/k8=")</f>
        <v>#REF!</v>
      </c>
      <c r="CC171" t="e">
        <f>AND(Demos!#REF!,"AAAAAHvt/lA=")</f>
        <v>#REF!</v>
      </c>
      <c r="CD171" t="e">
        <f>AND(Demos!#REF!,"AAAAAHvt/lE=")</f>
        <v>#REF!</v>
      </c>
      <c r="CE171" t="e">
        <f>AND(Demos!#REF!,"AAAAAHvt/lI=")</f>
        <v>#REF!</v>
      </c>
      <c r="CF171" t="e">
        <f>AND(Demos!#REF!,"AAAAAHvt/lM=")</f>
        <v>#REF!</v>
      </c>
      <c r="CG171" t="e">
        <f>AND(Demos!#REF!,"AAAAAHvt/lQ=")</f>
        <v>#REF!</v>
      </c>
      <c r="CH171" t="e">
        <f>AND(Demos!#REF!,"AAAAAHvt/lU=")</f>
        <v>#REF!</v>
      </c>
      <c r="CI171" t="e">
        <f>AND(Demos!#REF!,"AAAAAHvt/lY=")</f>
        <v>#REF!</v>
      </c>
      <c r="CJ171" t="e">
        <f>AND(Demos!#REF!,"AAAAAHvt/lc=")</f>
        <v>#REF!</v>
      </c>
      <c r="CK171">
        <f>IF(Demos!5:5,"AAAAAHvt/lg=",0)</f>
        <v>0</v>
      </c>
      <c r="CL171" t="e">
        <f>AND(Demos!#REF!,"AAAAAHvt/lk=")</f>
        <v>#REF!</v>
      </c>
      <c r="CM171" t="e">
        <f>AND(Demos!#REF!,"AAAAAHvt/lo=")</f>
        <v>#REF!</v>
      </c>
      <c r="CN171" t="e">
        <f>AND(Demos!#REF!,"AAAAAHvt/ls=")</f>
        <v>#REF!</v>
      </c>
      <c r="CO171" t="e">
        <f>AND(Demos!#REF!,"AAAAAHvt/lw=")</f>
        <v>#REF!</v>
      </c>
      <c r="CP171" t="e">
        <f>AND(Demos!#REF!,"AAAAAHvt/l0=")</f>
        <v>#REF!</v>
      </c>
      <c r="CQ171" t="e">
        <f>AND(Demos!#REF!,"AAAAAHvt/l4=")</f>
        <v>#REF!</v>
      </c>
      <c r="CR171" t="e">
        <f>AND(Demos!#REF!,"AAAAAHvt/l8=")</f>
        <v>#REF!</v>
      </c>
      <c r="CS171" t="e">
        <f>AND(Demos!#REF!,"AAAAAHvt/mA=")</f>
        <v>#REF!</v>
      </c>
      <c r="CT171" t="e">
        <f>AND(Demos!#REF!,"AAAAAHvt/mE=")</f>
        <v>#REF!</v>
      </c>
      <c r="CU171" t="e">
        <f>AND(Demos!#REF!,"AAAAAHvt/mI=")</f>
        <v>#REF!</v>
      </c>
      <c r="CV171" t="e">
        <f>AND(Demos!#REF!,"AAAAAHvt/mM=")</f>
        <v>#REF!</v>
      </c>
      <c r="CW171" t="e">
        <f>AND(Demos!#REF!,"AAAAAHvt/mQ=")</f>
        <v>#REF!</v>
      </c>
      <c r="CX171" t="e">
        <f>AND(Demos!#REF!,"AAAAAHvt/mU=")</f>
        <v>#REF!</v>
      </c>
      <c r="CY171" t="e">
        <f>IF(Demos!#REF!,"AAAAAHvt/mY=",0)</f>
        <v>#REF!</v>
      </c>
      <c r="CZ171" t="e">
        <f>AND(Demos!A9,"AAAAAHvt/mc=")</f>
        <v>#VALUE!</v>
      </c>
      <c r="DA171" t="e">
        <f>AND(Demos!B9,"AAAAAHvt/mg=")</f>
        <v>#VALUE!</v>
      </c>
      <c r="DB171" t="e">
        <f>AND(Demos!#REF!,"AAAAAHvt/mk=")</f>
        <v>#REF!</v>
      </c>
      <c r="DC171" t="e">
        <f>AND(Demos!C9,"AAAAAHvt/mo=")</f>
        <v>#VALUE!</v>
      </c>
      <c r="DD171" t="e">
        <f>AND(Demos!#REF!,"AAAAAHvt/ms=")</f>
        <v>#REF!</v>
      </c>
      <c r="DE171" t="e">
        <f>AND(Demos!#REF!,"AAAAAHvt/mw=")</f>
        <v>#REF!</v>
      </c>
      <c r="DF171" t="e">
        <f>AND(Demos!#REF!,"AAAAAHvt/m0=")</f>
        <v>#REF!</v>
      </c>
      <c r="DG171" t="e">
        <f>AND(Demos!#REF!,"AAAAAHvt/m4=")</f>
        <v>#REF!</v>
      </c>
      <c r="DH171" t="e">
        <f>AND(Demos!D9,"AAAAAHvt/m8=")</f>
        <v>#VALUE!</v>
      </c>
      <c r="DI171" t="e">
        <f>AND(Demos!#REF!,"AAAAAHvt/nA=")</f>
        <v>#REF!</v>
      </c>
      <c r="DJ171" t="e">
        <f>AND(Demos!E9,"AAAAAHvt/nE=")</f>
        <v>#VALUE!</v>
      </c>
      <c r="DK171" t="e">
        <f>AND(Demos!F9,"AAAAAHvt/nI=")</f>
        <v>#VALUE!</v>
      </c>
      <c r="DL171" t="e">
        <f>AND(Demos!G9,"AAAAAHvt/nM=")</f>
        <v>#VALUE!</v>
      </c>
      <c r="DM171" t="e">
        <f>IF(Demos!#REF!,"AAAAAHvt/nQ=",0)</f>
        <v>#REF!</v>
      </c>
      <c r="DN171" t="e">
        <f>AND(Demos!#REF!,"AAAAAHvt/nU=")</f>
        <v>#REF!</v>
      </c>
      <c r="DO171" t="e">
        <f>AND(Demos!#REF!,"AAAAAHvt/nY=")</f>
        <v>#REF!</v>
      </c>
      <c r="DP171" t="e">
        <f>AND(Demos!#REF!,"AAAAAHvt/nc=")</f>
        <v>#REF!</v>
      </c>
      <c r="DQ171" t="e">
        <f>AND(Demos!#REF!,"AAAAAHvt/ng=")</f>
        <v>#REF!</v>
      </c>
      <c r="DR171" t="e">
        <f>AND(Demos!#REF!,"AAAAAHvt/nk=")</f>
        <v>#REF!</v>
      </c>
      <c r="DS171" t="e">
        <f>AND(Demos!#REF!,"AAAAAHvt/no=")</f>
        <v>#REF!</v>
      </c>
      <c r="DT171" t="e">
        <f>AND(Demos!#REF!,"AAAAAHvt/ns=")</f>
        <v>#REF!</v>
      </c>
      <c r="DU171" t="e">
        <f>AND(Demos!#REF!,"AAAAAHvt/nw=")</f>
        <v>#REF!</v>
      </c>
      <c r="DV171" t="e">
        <f>AND(Demos!#REF!,"AAAAAHvt/n0=")</f>
        <v>#REF!</v>
      </c>
      <c r="DW171" t="e">
        <f>AND(Demos!#REF!,"AAAAAHvt/n4=")</f>
        <v>#REF!</v>
      </c>
      <c r="DX171" t="e">
        <f>AND(Demos!#REF!,"AAAAAHvt/n8=")</f>
        <v>#REF!</v>
      </c>
      <c r="DY171" t="e">
        <f>AND(Demos!#REF!,"AAAAAHvt/oA=")</f>
        <v>#REF!</v>
      </c>
      <c r="DZ171" t="e">
        <f>AND(Demos!#REF!,"AAAAAHvt/oE=")</f>
        <v>#REF!</v>
      </c>
      <c r="EA171" t="e">
        <f>IF(Demos!#REF!,"AAAAAHvt/oI=",0)</f>
        <v>#REF!</v>
      </c>
      <c r="EB171" t="e">
        <f>AND(Demos!#REF!,"AAAAAHvt/oM=")</f>
        <v>#REF!</v>
      </c>
      <c r="EC171" t="e">
        <f>AND(Demos!#REF!,"AAAAAHvt/oQ=")</f>
        <v>#REF!</v>
      </c>
      <c r="ED171" t="e">
        <f>AND(Demos!#REF!,"AAAAAHvt/oU=")</f>
        <v>#REF!</v>
      </c>
      <c r="EE171" t="e">
        <f>AND(Demos!#REF!,"AAAAAHvt/oY=")</f>
        <v>#REF!</v>
      </c>
      <c r="EF171" t="e">
        <f>AND(Demos!#REF!,"AAAAAHvt/oc=")</f>
        <v>#REF!</v>
      </c>
      <c r="EG171" t="e">
        <f>AND(Demos!#REF!,"AAAAAHvt/og=")</f>
        <v>#REF!</v>
      </c>
      <c r="EH171" t="e">
        <f>AND(Demos!#REF!,"AAAAAHvt/ok=")</f>
        <v>#REF!</v>
      </c>
      <c r="EI171" t="e">
        <f>AND(Demos!#REF!,"AAAAAHvt/oo=")</f>
        <v>#REF!</v>
      </c>
      <c r="EJ171" t="e">
        <f>AND(Demos!#REF!,"AAAAAHvt/os=")</f>
        <v>#REF!</v>
      </c>
      <c r="EK171" t="e">
        <f>AND(Demos!#REF!,"AAAAAHvt/ow=")</f>
        <v>#REF!</v>
      </c>
      <c r="EL171" t="e">
        <f>AND(Demos!#REF!,"AAAAAHvt/o0=")</f>
        <v>#REF!</v>
      </c>
      <c r="EM171" t="e">
        <f>AND(Demos!#REF!,"AAAAAHvt/o4=")</f>
        <v>#REF!</v>
      </c>
      <c r="EN171" t="e">
        <f>AND(Demos!#REF!,"AAAAAHvt/o8=")</f>
        <v>#REF!</v>
      </c>
      <c r="EO171" t="e">
        <f>IF(Demos!#REF!,"AAAAAHvt/pA=",0)</f>
        <v>#REF!</v>
      </c>
      <c r="EP171" t="e">
        <f>AND(Demos!#REF!,"AAAAAHvt/pE=")</f>
        <v>#REF!</v>
      </c>
      <c r="EQ171" t="e">
        <f>AND(Demos!#REF!,"AAAAAHvt/pI=")</f>
        <v>#REF!</v>
      </c>
      <c r="ER171" t="e">
        <f>AND(Demos!#REF!,"AAAAAHvt/pM=")</f>
        <v>#REF!</v>
      </c>
      <c r="ES171" t="e">
        <f>AND(Demos!#REF!,"AAAAAHvt/pQ=")</f>
        <v>#REF!</v>
      </c>
      <c r="ET171" t="e">
        <f>AND(Demos!#REF!,"AAAAAHvt/pU=")</f>
        <v>#REF!</v>
      </c>
      <c r="EU171" t="e">
        <f>AND(Demos!#REF!,"AAAAAHvt/pY=")</f>
        <v>#REF!</v>
      </c>
      <c r="EV171" t="e">
        <f>AND(Demos!#REF!,"AAAAAHvt/pc=")</f>
        <v>#REF!</v>
      </c>
      <c r="EW171" t="e">
        <f>AND(Demos!#REF!,"AAAAAHvt/pg=")</f>
        <v>#REF!</v>
      </c>
      <c r="EX171" t="e">
        <f>AND(Demos!#REF!,"AAAAAHvt/pk=")</f>
        <v>#REF!</v>
      </c>
      <c r="EY171" t="e">
        <f>AND(Demos!#REF!,"AAAAAHvt/po=")</f>
        <v>#REF!</v>
      </c>
      <c r="EZ171" t="e">
        <f>AND(Demos!#REF!,"AAAAAHvt/ps=")</f>
        <v>#REF!</v>
      </c>
      <c r="FA171" t="e">
        <f>AND(Demos!#REF!,"AAAAAHvt/pw=")</f>
        <v>#REF!</v>
      </c>
      <c r="FB171" t="e">
        <f>AND(Demos!#REF!,"AAAAAHvt/p0=")</f>
        <v>#REF!</v>
      </c>
      <c r="FC171" t="e">
        <f>IF(Demos!#REF!,"AAAAAHvt/p4=",0)</f>
        <v>#REF!</v>
      </c>
      <c r="FD171" t="e">
        <f>AND(Demos!#REF!,"AAAAAHvt/p8=")</f>
        <v>#REF!</v>
      </c>
      <c r="FE171" t="e">
        <f>AND(Demos!#REF!,"AAAAAHvt/qA=")</f>
        <v>#REF!</v>
      </c>
      <c r="FF171" t="e">
        <f>AND(Demos!#REF!,"AAAAAHvt/qE=")</f>
        <v>#REF!</v>
      </c>
      <c r="FG171" t="e">
        <f>AND(Demos!#REF!,"AAAAAHvt/qI=")</f>
        <v>#REF!</v>
      </c>
      <c r="FH171" t="e">
        <f>AND(Demos!#REF!,"AAAAAHvt/qM=")</f>
        <v>#REF!</v>
      </c>
      <c r="FI171" t="e">
        <f>AND(Demos!#REF!,"AAAAAHvt/qQ=")</f>
        <v>#REF!</v>
      </c>
      <c r="FJ171" t="e">
        <f>AND(Demos!#REF!,"AAAAAHvt/qU=")</f>
        <v>#REF!</v>
      </c>
      <c r="FK171" t="e">
        <f>AND(Demos!#REF!,"AAAAAHvt/qY=")</f>
        <v>#REF!</v>
      </c>
      <c r="FL171" t="e">
        <f>AND(Demos!#REF!,"AAAAAHvt/qc=")</f>
        <v>#REF!</v>
      </c>
      <c r="FM171" t="e">
        <f>AND(Demos!#REF!,"AAAAAHvt/qg=")</f>
        <v>#REF!</v>
      </c>
      <c r="FN171" t="e">
        <f>AND(Demos!#REF!,"AAAAAHvt/qk=")</f>
        <v>#REF!</v>
      </c>
      <c r="FO171" t="e">
        <f>AND(Demos!#REF!,"AAAAAHvt/qo=")</f>
        <v>#REF!</v>
      </c>
      <c r="FP171" t="e">
        <f>AND(Demos!#REF!,"AAAAAHvt/qs=")</f>
        <v>#REF!</v>
      </c>
      <c r="FQ171" t="e">
        <f>IF(Demos!#REF!,"AAAAAHvt/qw=",0)</f>
        <v>#REF!</v>
      </c>
      <c r="FR171" t="e">
        <f>AND(Demos!#REF!,"AAAAAHvt/q0=")</f>
        <v>#REF!</v>
      </c>
      <c r="FS171" t="e">
        <f>AND(Demos!#REF!,"AAAAAHvt/q4=")</f>
        <v>#REF!</v>
      </c>
      <c r="FT171" t="e">
        <f>AND(Demos!#REF!,"AAAAAHvt/q8=")</f>
        <v>#REF!</v>
      </c>
      <c r="FU171" t="e">
        <f>AND(Demos!#REF!,"AAAAAHvt/rA=")</f>
        <v>#REF!</v>
      </c>
      <c r="FV171" t="e">
        <f>AND(Demos!#REF!,"AAAAAHvt/rE=")</f>
        <v>#REF!</v>
      </c>
      <c r="FW171" t="e">
        <f>AND(Demos!#REF!,"AAAAAHvt/rI=")</f>
        <v>#REF!</v>
      </c>
      <c r="FX171" t="e">
        <f>AND(Demos!#REF!,"AAAAAHvt/rM=")</f>
        <v>#REF!</v>
      </c>
      <c r="FY171" t="e">
        <f>AND(Demos!#REF!,"AAAAAHvt/rQ=")</f>
        <v>#REF!</v>
      </c>
      <c r="FZ171" t="e">
        <f>AND(Demos!#REF!,"AAAAAHvt/rU=")</f>
        <v>#REF!</v>
      </c>
      <c r="GA171" t="e">
        <f>AND(Demos!#REF!,"AAAAAHvt/rY=")</f>
        <v>#REF!</v>
      </c>
      <c r="GB171" t="e">
        <f>AND(Demos!#REF!,"AAAAAHvt/rc=")</f>
        <v>#REF!</v>
      </c>
      <c r="GC171" t="e">
        <f>AND(Demos!#REF!,"AAAAAHvt/rg=")</f>
        <v>#REF!</v>
      </c>
      <c r="GD171" t="e">
        <f>AND(Demos!#REF!,"AAAAAHvt/rk=")</f>
        <v>#REF!</v>
      </c>
      <c r="GE171" t="e">
        <f>IF(Demos!#REF!,"AAAAAHvt/ro=",0)</f>
        <v>#REF!</v>
      </c>
      <c r="GF171" t="e">
        <f>AND(Demos!#REF!,"AAAAAHvt/rs=")</f>
        <v>#REF!</v>
      </c>
      <c r="GG171" t="e">
        <f>AND(Demos!#REF!,"AAAAAHvt/rw=")</f>
        <v>#REF!</v>
      </c>
      <c r="GH171" t="e">
        <f>AND(Demos!#REF!,"AAAAAHvt/r0=")</f>
        <v>#REF!</v>
      </c>
      <c r="GI171" t="e">
        <f>AND(Demos!#REF!,"AAAAAHvt/r4=")</f>
        <v>#REF!</v>
      </c>
      <c r="GJ171" t="e">
        <f>AND(Demos!#REF!,"AAAAAHvt/r8=")</f>
        <v>#REF!</v>
      </c>
      <c r="GK171" t="e">
        <f>AND(Demos!#REF!,"AAAAAHvt/sA=")</f>
        <v>#REF!</v>
      </c>
      <c r="GL171" t="e">
        <f>AND(Demos!#REF!,"AAAAAHvt/sE=")</f>
        <v>#REF!</v>
      </c>
      <c r="GM171" t="e">
        <f>AND(Demos!#REF!,"AAAAAHvt/sI=")</f>
        <v>#REF!</v>
      </c>
      <c r="GN171" t="e">
        <f>AND(Demos!#REF!,"AAAAAHvt/sM=")</f>
        <v>#REF!</v>
      </c>
      <c r="GO171" t="e">
        <f>AND(Demos!#REF!,"AAAAAHvt/sQ=")</f>
        <v>#REF!</v>
      </c>
      <c r="GP171" t="e">
        <f>AND(Demos!#REF!,"AAAAAHvt/sU=")</f>
        <v>#REF!</v>
      </c>
      <c r="GQ171" t="e">
        <f>AND(Demos!#REF!,"AAAAAHvt/sY=")</f>
        <v>#REF!</v>
      </c>
      <c r="GR171" t="e">
        <f>AND(Demos!#REF!,"AAAAAHvt/sc=")</f>
        <v>#REF!</v>
      </c>
      <c r="GS171" t="e">
        <f>IF(Demos!#REF!,"AAAAAHvt/sg=",0)</f>
        <v>#REF!</v>
      </c>
      <c r="GT171" t="e">
        <f>AND(Demos!#REF!,"AAAAAHvt/sk=")</f>
        <v>#REF!</v>
      </c>
      <c r="GU171" t="e">
        <f>AND(Demos!#REF!,"AAAAAHvt/so=")</f>
        <v>#REF!</v>
      </c>
      <c r="GV171" t="e">
        <f>AND(Demos!#REF!,"AAAAAHvt/ss=")</f>
        <v>#REF!</v>
      </c>
      <c r="GW171" t="e">
        <f>AND(Demos!#REF!,"AAAAAHvt/sw=")</f>
        <v>#REF!</v>
      </c>
      <c r="GX171" t="e">
        <f>AND(Demos!#REF!,"AAAAAHvt/s0=")</f>
        <v>#REF!</v>
      </c>
      <c r="GY171" t="e">
        <f>AND(Demos!#REF!,"AAAAAHvt/s4=")</f>
        <v>#REF!</v>
      </c>
      <c r="GZ171" t="e">
        <f>AND(Demos!#REF!,"AAAAAHvt/s8=")</f>
        <v>#REF!</v>
      </c>
      <c r="HA171" t="e">
        <f>AND(Demos!#REF!,"AAAAAHvt/tA=")</f>
        <v>#REF!</v>
      </c>
      <c r="HB171" t="e">
        <f>AND(Demos!#REF!,"AAAAAHvt/tE=")</f>
        <v>#REF!</v>
      </c>
      <c r="HC171" t="e">
        <f>AND(Demos!#REF!,"AAAAAHvt/tI=")</f>
        <v>#REF!</v>
      </c>
      <c r="HD171" t="e">
        <f>AND(Demos!#REF!,"AAAAAHvt/tM=")</f>
        <v>#REF!</v>
      </c>
      <c r="HE171" t="e">
        <f>AND(Demos!#REF!,"AAAAAHvt/tQ=")</f>
        <v>#REF!</v>
      </c>
      <c r="HF171" t="e">
        <f>AND(Demos!#REF!,"AAAAAHvt/tU=")</f>
        <v>#REF!</v>
      </c>
      <c r="HG171" t="e">
        <f>IF(Demos!#REF!,"AAAAAHvt/tY=",0)</f>
        <v>#REF!</v>
      </c>
      <c r="HH171" t="e">
        <f>AND(Demos!#REF!,"AAAAAHvt/tc=")</f>
        <v>#REF!</v>
      </c>
      <c r="HI171" t="e">
        <f>AND(Demos!#REF!,"AAAAAHvt/tg=")</f>
        <v>#REF!</v>
      </c>
      <c r="HJ171" t="e">
        <f>AND(Demos!#REF!,"AAAAAHvt/tk=")</f>
        <v>#REF!</v>
      </c>
      <c r="HK171" t="e">
        <f>AND(Demos!#REF!,"AAAAAHvt/to=")</f>
        <v>#REF!</v>
      </c>
      <c r="HL171" t="e">
        <f>AND(Demos!#REF!,"AAAAAHvt/ts=")</f>
        <v>#REF!</v>
      </c>
      <c r="HM171" t="e">
        <f>AND(Demos!#REF!,"AAAAAHvt/tw=")</f>
        <v>#REF!</v>
      </c>
      <c r="HN171" t="e">
        <f>AND(Demos!#REF!,"AAAAAHvt/t0=")</f>
        <v>#REF!</v>
      </c>
      <c r="HO171" t="e">
        <f>AND(Demos!#REF!,"AAAAAHvt/t4=")</f>
        <v>#REF!</v>
      </c>
      <c r="HP171" t="e">
        <f>AND(Demos!#REF!,"AAAAAHvt/t8=")</f>
        <v>#REF!</v>
      </c>
      <c r="HQ171" t="e">
        <f>AND(Demos!#REF!,"AAAAAHvt/uA=")</f>
        <v>#REF!</v>
      </c>
      <c r="HR171" t="e">
        <f>AND(Demos!#REF!,"AAAAAHvt/uE=")</f>
        <v>#REF!</v>
      </c>
      <c r="HS171" t="e">
        <f>AND(Demos!#REF!,"AAAAAHvt/uI=")</f>
        <v>#REF!</v>
      </c>
      <c r="HT171" t="e">
        <f>AND(Demos!#REF!,"AAAAAHvt/uM=")</f>
        <v>#REF!</v>
      </c>
      <c r="HU171" t="e">
        <f>IF(Demos!#REF!,"AAAAAHvt/uQ=",0)</f>
        <v>#REF!</v>
      </c>
      <c r="HV171" t="e">
        <f>AND(Demos!#REF!,"AAAAAHvt/uU=")</f>
        <v>#REF!</v>
      </c>
      <c r="HW171" t="e">
        <f>AND(Demos!#REF!,"AAAAAHvt/uY=")</f>
        <v>#REF!</v>
      </c>
      <c r="HX171" t="e">
        <f>AND(Demos!#REF!,"AAAAAHvt/uc=")</f>
        <v>#REF!</v>
      </c>
      <c r="HY171" t="e">
        <f>AND(Demos!#REF!,"AAAAAHvt/ug=")</f>
        <v>#REF!</v>
      </c>
      <c r="HZ171" t="e">
        <f>AND(Demos!#REF!,"AAAAAHvt/uk=")</f>
        <v>#REF!</v>
      </c>
      <c r="IA171" t="e">
        <f>AND(Demos!#REF!,"AAAAAHvt/uo=")</f>
        <v>#REF!</v>
      </c>
      <c r="IB171" t="e">
        <f>AND(Demos!#REF!,"AAAAAHvt/us=")</f>
        <v>#REF!</v>
      </c>
      <c r="IC171" t="e">
        <f>AND(Demos!#REF!,"AAAAAHvt/uw=")</f>
        <v>#REF!</v>
      </c>
      <c r="ID171" t="e">
        <f>AND(Demos!#REF!,"AAAAAHvt/u0=")</f>
        <v>#REF!</v>
      </c>
      <c r="IE171" t="e">
        <f>AND(Demos!#REF!,"AAAAAHvt/u4=")</f>
        <v>#REF!</v>
      </c>
      <c r="IF171" t="e">
        <f>AND(Demos!#REF!,"AAAAAHvt/u8=")</f>
        <v>#REF!</v>
      </c>
      <c r="IG171" t="e">
        <f>AND(Demos!#REF!,"AAAAAHvt/vA=")</f>
        <v>#REF!</v>
      </c>
      <c r="IH171" t="e">
        <f>AND(Demos!#REF!,"AAAAAHvt/vE=")</f>
        <v>#REF!</v>
      </c>
      <c r="II171" t="e">
        <f>IF(Demos!#REF!,"AAAAAHvt/vI=",0)</f>
        <v>#REF!</v>
      </c>
      <c r="IJ171" t="e">
        <f>AND(Demos!#REF!,"AAAAAHvt/vM=")</f>
        <v>#REF!</v>
      </c>
      <c r="IK171" t="e">
        <f>AND(Demos!#REF!,"AAAAAHvt/vQ=")</f>
        <v>#REF!</v>
      </c>
      <c r="IL171" t="e">
        <f>AND(Demos!#REF!,"AAAAAHvt/vU=")</f>
        <v>#REF!</v>
      </c>
      <c r="IM171" t="e">
        <f>AND(Demos!#REF!,"AAAAAHvt/vY=")</f>
        <v>#REF!</v>
      </c>
      <c r="IN171" t="e">
        <f>AND(Demos!#REF!,"AAAAAHvt/vc=")</f>
        <v>#REF!</v>
      </c>
      <c r="IO171" t="e">
        <f>AND(Demos!#REF!,"AAAAAHvt/vg=")</f>
        <v>#REF!</v>
      </c>
      <c r="IP171" t="e">
        <f>AND(Demos!#REF!,"AAAAAHvt/vk=")</f>
        <v>#REF!</v>
      </c>
      <c r="IQ171" t="e">
        <f>AND(Demos!#REF!,"AAAAAHvt/vo=")</f>
        <v>#REF!</v>
      </c>
      <c r="IR171" t="e">
        <f>AND(Demos!#REF!,"AAAAAHvt/vs=")</f>
        <v>#REF!</v>
      </c>
      <c r="IS171" t="e">
        <f>AND(Demos!#REF!,"AAAAAHvt/vw=")</f>
        <v>#REF!</v>
      </c>
      <c r="IT171" t="e">
        <f>AND(Demos!#REF!,"AAAAAHvt/v0=")</f>
        <v>#REF!</v>
      </c>
      <c r="IU171" t="e">
        <f>AND(Demos!#REF!,"AAAAAHvt/v4=")</f>
        <v>#REF!</v>
      </c>
      <c r="IV171" t="e">
        <f>AND(Demos!#REF!,"AAAAAHvt/v8=")</f>
        <v>#REF!</v>
      </c>
    </row>
    <row r="172" spans="1:256" x14ac:dyDescent="0.2">
      <c r="A172" t="e">
        <f>IF(Demos!#REF!,"AAAAAH/EdwA=",0)</f>
        <v>#REF!</v>
      </c>
      <c r="B172" t="e">
        <f>AND(Demos!#REF!,"AAAAAH/EdwE=")</f>
        <v>#REF!</v>
      </c>
      <c r="C172" t="e">
        <f>AND(Demos!#REF!,"AAAAAH/EdwI=")</f>
        <v>#REF!</v>
      </c>
      <c r="D172" t="e">
        <f>AND(Demos!#REF!,"AAAAAH/EdwM=")</f>
        <v>#REF!</v>
      </c>
      <c r="E172" t="e">
        <f>AND(Demos!#REF!,"AAAAAH/EdwQ=")</f>
        <v>#REF!</v>
      </c>
      <c r="F172" t="e">
        <f>AND(Demos!#REF!,"AAAAAH/EdwU=")</f>
        <v>#REF!</v>
      </c>
      <c r="G172" t="e">
        <f>AND(Demos!#REF!,"AAAAAH/EdwY=")</f>
        <v>#REF!</v>
      </c>
      <c r="H172" t="e">
        <f>AND(Demos!#REF!,"AAAAAH/Edwc=")</f>
        <v>#REF!</v>
      </c>
      <c r="I172" t="e">
        <f>AND(Demos!#REF!,"AAAAAH/Edwg=")</f>
        <v>#REF!</v>
      </c>
      <c r="J172" t="e">
        <f>AND(Demos!#REF!,"AAAAAH/Edwk=")</f>
        <v>#REF!</v>
      </c>
      <c r="K172" t="e">
        <f>AND(Demos!#REF!,"AAAAAH/Edwo=")</f>
        <v>#REF!</v>
      </c>
      <c r="L172" t="e">
        <f>AND(Demos!#REF!,"AAAAAH/Edws=")</f>
        <v>#REF!</v>
      </c>
      <c r="M172" t="e">
        <f>AND(Demos!#REF!,"AAAAAH/Edww=")</f>
        <v>#REF!</v>
      </c>
      <c r="N172" t="e">
        <f>AND(Demos!#REF!,"AAAAAH/Edw0=")</f>
        <v>#REF!</v>
      </c>
      <c r="O172" t="e">
        <f>IF(Demos!#REF!,"AAAAAH/Edw4=",0)</f>
        <v>#REF!</v>
      </c>
      <c r="P172" t="e">
        <f>AND(Demos!#REF!,"AAAAAH/Edw8=")</f>
        <v>#REF!</v>
      </c>
      <c r="Q172" t="e">
        <f>AND(Demos!#REF!,"AAAAAH/EdxA=")</f>
        <v>#REF!</v>
      </c>
      <c r="R172" t="e">
        <f>AND(Demos!#REF!,"AAAAAH/EdxE=")</f>
        <v>#REF!</v>
      </c>
      <c r="S172" t="e">
        <f>AND(Demos!#REF!,"AAAAAH/EdxI=")</f>
        <v>#REF!</v>
      </c>
      <c r="T172" t="e">
        <f>AND(Demos!#REF!,"AAAAAH/EdxM=")</f>
        <v>#REF!</v>
      </c>
      <c r="U172" t="e">
        <f>AND(Demos!#REF!,"AAAAAH/EdxQ=")</f>
        <v>#REF!</v>
      </c>
      <c r="V172" t="e">
        <f>AND(Demos!#REF!,"AAAAAH/EdxU=")</f>
        <v>#REF!</v>
      </c>
      <c r="W172" t="e">
        <f>AND(Demos!#REF!,"AAAAAH/EdxY=")</f>
        <v>#REF!</v>
      </c>
      <c r="X172" t="e">
        <f>AND(Demos!#REF!,"AAAAAH/Edxc=")</f>
        <v>#REF!</v>
      </c>
      <c r="Y172" t="e">
        <f>AND(Demos!#REF!,"AAAAAH/Edxg=")</f>
        <v>#REF!</v>
      </c>
      <c r="Z172" t="e">
        <f>AND(Demos!#REF!,"AAAAAH/Edxk=")</f>
        <v>#REF!</v>
      </c>
      <c r="AA172" t="e">
        <f>AND(Demos!#REF!,"AAAAAH/Edxo=")</f>
        <v>#REF!</v>
      </c>
      <c r="AB172" t="e">
        <f>AND(Demos!#REF!,"AAAAAH/Edxs=")</f>
        <v>#REF!</v>
      </c>
      <c r="AC172" t="e">
        <f>IF(Demos!#REF!,"AAAAAH/Edxw=",0)</f>
        <v>#REF!</v>
      </c>
      <c r="AD172" t="e">
        <f>AND(Demos!#REF!,"AAAAAH/Edx0=")</f>
        <v>#REF!</v>
      </c>
      <c r="AE172" t="e">
        <f>AND(Demos!#REF!,"AAAAAH/Edx4=")</f>
        <v>#REF!</v>
      </c>
      <c r="AF172" t="e">
        <f>AND(Demos!#REF!,"AAAAAH/Edx8=")</f>
        <v>#REF!</v>
      </c>
      <c r="AG172" t="e">
        <f>AND(Demos!#REF!,"AAAAAH/EdyA=")</f>
        <v>#REF!</v>
      </c>
      <c r="AH172" t="e">
        <f>AND(Demos!#REF!,"AAAAAH/EdyE=")</f>
        <v>#REF!</v>
      </c>
      <c r="AI172" t="e">
        <f>AND(Demos!#REF!,"AAAAAH/EdyI=")</f>
        <v>#REF!</v>
      </c>
      <c r="AJ172" t="e">
        <f>AND(Demos!#REF!,"AAAAAH/EdyM=")</f>
        <v>#REF!</v>
      </c>
      <c r="AK172" t="e">
        <f>AND(Demos!#REF!,"AAAAAH/EdyQ=")</f>
        <v>#REF!</v>
      </c>
      <c r="AL172" t="e">
        <f>AND(Demos!#REF!,"AAAAAH/EdyU=")</f>
        <v>#REF!</v>
      </c>
      <c r="AM172" t="e">
        <f>AND(Demos!#REF!,"AAAAAH/EdyY=")</f>
        <v>#REF!</v>
      </c>
      <c r="AN172" t="e">
        <f>AND(Demos!#REF!,"AAAAAH/Edyc=")</f>
        <v>#REF!</v>
      </c>
      <c r="AO172" t="e">
        <f>AND(Demos!#REF!,"AAAAAH/Edyg=")</f>
        <v>#REF!</v>
      </c>
      <c r="AP172" t="e">
        <f>AND(Demos!#REF!,"AAAAAH/Edyk=")</f>
        <v>#REF!</v>
      </c>
      <c r="AQ172" t="e">
        <f>IF(Demos!#REF!,"AAAAAH/Edyo=",0)</f>
        <v>#REF!</v>
      </c>
      <c r="AR172" t="e">
        <f>AND(Demos!#REF!,"AAAAAH/Edys=")</f>
        <v>#REF!</v>
      </c>
      <c r="AS172" t="e">
        <f>AND(Demos!#REF!,"AAAAAH/Edyw=")</f>
        <v>#REF!</v>
      </c>
      <c r="AT172" t="e">
        <f>AND(Demos!#REF!,"AAAAAH/Edy0=")</f>
        <v>#REF!</v>
      </c>
      <c r="AU172" t="e">
        <f>AND(Demos!#REF!,"AAAAAH/Edy4=")</f>
        <v>#REF!</v>
      </c>
      <c r="AV172" t="e">
        <f>AND(Demos!#REF!,"AAAAAH/Edy8=")</f>
        <v>#REF!</v>
      </c>
      <c r="AW172" t="e">
        <f>AND(Demos!#REF!,"AAAAAH/EdzA=")</f>
        <v>#REF!</v>
      </c>
      <c r="AX172" t="e">
        <f>AND(Demos!#REF!,"AAAAAH/EdzE=")</f>
        <v>#REF!</v>
      </c>
      <c r="AY172" t="e">
        <f>AND(Demos!#REF!,"AAAAAH/EdzI=")</f>
        <v>#REF!</v>
      </c>
      <c r="AZ172" t="e">
        <f>AND(Demos!#REF!,"AAAAAH/EdzM=")</f>
        <v>#REF!</v>
      </c>
      <c r="BA172" t="e">
        <f>AND(Demos!#REF!,"AAAAAH/EdzQ=")</f>
        <v>#REF!</v>
      </c>
      <c r="BB172" t="e">
        <f>AND(Demos!#REF!,"AAAAAH/EdzU=")</f>
        <v>#REF!</v>
      </c>
      <c r="BC172" t="e">
        <f>AND(Demos!#REF!,"AAAAAH/EdzY=")</f>
        <v>#REF!</v>
      </c>
      <c r="BD172" t="e">
        <f>AND(Demos!#REF!,"AAAAAH/Edzc=")</f>
        <v>#REF!</v>
      </c>
      <c r="BE172" t="e">
        <f>IF(Demos!#REF!,"AAAAAH/Edzg=",0)</f>
        <v>#REF!</v>
      </c>
      <c r="BF172" t="e">
        <f>AND(Demos!#REF!,"AAAAAH/Edzk=")</f>
        <v>#REF!</v>
      </c>
      <c r="BG172" t="e">
        <f>AND(Demos!#REF!,"AAAAAH/Edzo=")</f>
        <v>#REF!</v>
      </c>
      <c r="BH172" t="e">
        <f>AND(Demos!#REF!,"AAAAAH/Edzs=")</f>
        <v>#REF!</v>
      </c>
      <c r="BI172" t="e">
        <f>AND(Demos!#REF!,"AAAAAH/Edzw=")</f>
        <v>#REF!</v>
      </c>
      <c r="BJ172" t="e">
        <f>AND(Demos!#REF!,"AAAAAH/Edz0=")</f>
        <v>#REF!</v>
      </c>
      <c r="BK172" t="e">
        <f>AND(Demos!#REF!,"AAAAAH/Edz4=")</f>
        <v>#REF!</v>
      </c>
      <c r="BL172" t="e">
        <f>AND(Demos!#REF!,"AAAAAH/Edz8=")</f>
        <v>#REF!</v>
      </c>
      <c r="BM172" t="e">
        <f>AND(Demos!#REF!,"AAAAAH/Ed0A=")</f>
        <v>#REF!</v>
      </c>
      <c r="BN172" t="e">
        <f>AND(Demos!#REF!,"AAAAAH/Ed0E=")</f>
        <v>#REF!</v>
      </c>
      <c r="BO172" t="e">
        <f>AND(Demos!#REF!,"AAAAAH/Ed0I=")</f>
        <v>#REF!</v>
      </c>
      <c r="BP172" t="e">
        <f>AND(Demos!#REF!,"AAAAAH/Ed0M=")</f>
        <v>#REF!</v>
      </c>
      <c r="BQ172" t="e">
        <f>AND(Demos!#REF!,"AAAAAH/Ed0Q=")</f>
        <v>#REF!</v>
      </c>
      <c r="BR172" t="e">
        <f>AND(Demos!#REF!,"AAAAAH/Ed0U=")</f>
        <v>#REF!</v>
      </c>
      <c r="BS172" t="e">
        <f>IF(Demos!#REF!,"AAAAAH/Ed0Y=",0)</f>
        <v>#REF!</v>
      </c>
      <c r="BT172" t="e">
        <f>AND(Demos!#REF!,"AAAAAH/Ed0c=")</f>
        <v>#REF!</v>
      </c>
      <c r="BU172" t="e">
        <f>AND(Demos!#REF!,"AAAAAH/Ed0g=")</f>
        <v>#REF!</v>
      </c>
      <c r="BV172" t="e">
        <f>AND(Demos!#REF!,"AAAAAH/Ed0k=")</f>
        <v>#REF!</v>
      </c>
      <c r="BW172" t="e">
        <f>AND(Demos!#REF!,"AAAAAH/Ed0o=")</f>
        <v>#REF!</v>
      </c>
      <c r="BX172" t="e">
        <f>AND(Demos!#REF!,"AAAAAH/Ed0s=")</f>
        <v>#REF!</v>
      </c>
      <c r="BY172" t="e">
        <f>AND(Demos!#REF!,"AAAAAH/Ed0w=")</f>
        <v>#REF!</v>
      </c>
      <c r="BZ172" t="e">
        <f>AND(Demos!#REF!,"AAAAAH/Ed00=")</f>
        <v>#REF!</v>
      </c>
      <c r="CA172" t="e">
        <f>AND(Demos!#REF!,"AAAAAH/Ed04=")</f>
        <v>#REF!</v>
      </c>
      <c r="CB172" t="e">
        <f>AND(Demos!#REF!,"AAAAAH/Ed08=")</f>
        <v>#REF!</v>
      </c>
      <c r="CC172" t="e">
        <f>AND(Demos!#REF!,"AAAAAH/Ed1A=")</f>
        <v>#REF!</v>
      </c>
      <c r="CD172" t="e">
        <f>AND(Demos!#REF!,"AAAAAH/Ed1E=")</f>
        <v>#REF!</v>
      </c>
      <c r="CE172" t="e">
        <f>AND(Demos!#REF!,"AAAAAH/Ed1I=")</f>
        <v>#REF!</v>
      </c>
      <c r="CF172" t="e">
        <f>AND(Demos!#REF!,"AAAAAH/Ed1M=")</f>
        <v>#REF!</v>
      </c>
      <c r="CG172" t="e">
        <f>IF(Demos!#REF!,"AAAAAH/Ed1Q=",0)</f>
        <v>#REF!</v>
      </c>
      <c r="CH172" t="e">
        <f>AND(Demos!#REF!,"AAAAAH/Ed1U=")</f>
        <v>#REF!</v>
      </c>
      <c r="CI172" t="e">
        <f>AND(Demos!#REF!,"AAAAAH/Ed1Y=")</f>
        <v>#REF!</v>
      </c>
      <c r="CJ172" t="e">
        <f>AND(Demos!#REF!,"AAAAAH/Ed1c=")</f>
        <v>#REF!</v>
      </c>
      <c r="CK172" t="e">
        <f>AND(Demos!#REF!,"AAAAAH/Ed1g=")</f>
        <v>#REF!</v>
      </c>
      <c r="CL172" t="e">
        <f>AND(Demos!#REF!,"AAAAAH/Ed1k=")</f>
        <v>#REF!</v>
      </c>
      <c r="CM172" t="e">
        <f>AND(Demos!#REF!,"AAAAAH/Ed1o=")</f>
        <v>#REF!</v>
      </c>
      <c r="CN172" t="e">
        <f>AND(Demos!#REF!,"AAAAAH/Ed1s=")</f>
        <v>#REF!</v>
      </c>
      <c r="CO172" t="e">
        <f>AND(Demos!#REF!,"AAAAAH/Ed1w=")</f>
        <v>#REF!</v>
      </c>
      <c r="CP172" t="e">
        <f>AND(Demos!#REF!,"AAAAAH/Ed10=")</f>
        <v>#REF!</v>
      </c>
      <c r="CQ172" t="e">
        <f>AND(Demos!#REF!,"AAAAAH/Ed14=")</f>
        <v>#REF!</v>
      </c>
      <c r="CR172" t="e">
        <f>AND(Demos!#REF!,"AAAAAH/Ed18=")</f>
        <v>#REF!</v>
      </c>
      <c r="CS172" t="e">
        <f>AND(Demos!#REF!,"AAAAAH/Ed2A=")</f>
        <v>#REF!</v>
      </c>
      <c r="CT172" t="e">
        <f>AND(Demos!#REF!,"AAAAAH/Ed2E=")</f>
        <v>#REF!</v>
      </c>
      <c r="CU172" t="e">
        <f>IF(Demos!#REF!,"AAAAAH/Ed2I=",0)</f>
        <v>#REF!</v>
      </c>
      <c r="CV172" t="e">
        <f>AND(Demos!#REF!,"AAAAAH/Ed2M=")</f>
        <v>#REF!</v>
      </c>
      <c r="CW172" t="e">
        <f>AND(Demos!#REF!,"AAAAAH/Ed2Q=")</f>
        <v>#REF!</v>
      </c>
      <c r="CX172" t="e">
        <f>AND(Demos!#REF!,"AAAAAH/Ed2U=")</f>
        <v>#REF!</v>
      </c>
      <c r="CY172" t="e">
        <f>AND(Demos!#REF!,"AAAAAH/Ed2Y=")</f>
        <v>#REF!</v>
      </c>
      <c r="CZ172" t="e">
        <f>AND(Demos!#REF!,"AAAAAH/Ed2c=")</f>
        <v>#REF!</v>
      </c>
      <c r="DA172" t="e">
        <f>AND(Demos!#REF!,"AAAAAH/Ed2g=")</f>
        <v>#REF!</v>
      </c>
      <c r="DB172" t="e">
        <f>AND(Demos!#REF!,"AAAAAH/Ed2k=")</f>
        <v>#REF!</v>
      </c>
      <c r="DC172" t="e">
        <f>AND(Demos!#REF!,"AAAAAH/Ed2o=")</f>
        <v>#REF!</v>
      </c>
      <c r="DD172" t="e">
        <f>AND(Demos!#REF!,"AAAAAH/Ed2s=")</f>
        <v>#REF!</v>
      </c>
      <c r="DE172" t="e">
        <f>AND(Demos!#REF!,"AAAAAH/Ed2w=")</f>
        <v>#REF!</v>
      </c>
      <c r="DF172" t="e">
        <f>AND(Demos!#REF!,"AAAAAH/Ed20=")</f>
        <v>#REF!</v>
      </c>
      <c r="DG172" t="e">
        <f>AND(Demos!#REF!,"AAAAAH/Ed24=")</f>
        <v>#REF!</v>
      </c>
      <c r="DH172" t="e">
        <f>AND(Demos!#REF!,"AAAAAH/Ed28=")</f>
        <v>#REF!</v>
      </c>
      <c r="DI172" t="e">
        <f>IF(Demos!#REF!,"AAAAAH/Ed3A=",0)</f>
        <v>#REF!</v>
      </c>
      <c r="DJ172" t="e">
        <f>AND(Demos!#REF!,"AAAAAH/Ed3E=")</f>
        <v>#REF!</v>
      </c>
      <c r="DK172" t="e">
        <f>AND(Demos!#REF!,"AAAAAH/Ed3I=")</f>
        <v>#REF!</v>
      </c>
      <c r="DL172" t="e">
        <f>AND(Demos!#REF!,"AAAAAH/Ed3M=")</f>
        <v>#REF!</v>
      </c>
      <c r="DM172" t="e">
        <f>AND(Demos!#REF!,"AAAAAH/Ed3Q=")</f>
        <v>#REF!</v>
      </c>
      <c r="DN172" t="e">
        <f>AND(Demos!#REF!,"AAAAAH/Ed3U=")</f>
        <v>#REF!</v>
      </c>
      <c r="DO172" t="e">
        <f>AND(Demos!#REF!,"AAAAAH/Ed3Y=")</f>
        <v>#REF!</v>
      </c>
      <c r="DP172" t="e">
        <f>AND(Demos!#REF!,"AAAAAH/Ed3c=")</f>
        <v>#REF!</v>
      </c>
      <c r="DQ172" t="e">
        <f>AND(Demos!#REF!,"AAAAAH/Ed3g=")</f>
        <v>#REF!</v>
      </c>
      <c r="DR172" t="e">
        <f>AND(Demos!#REF!,"AAAAAH/Ed3k=")</f>
        <v>#REF!</v>
      </c>
      <c r="DS172" t="e">
        <f>AND(Demos!#REF!,"AAAAAH/Ed3o=")</f>
        <v>#REF!</v>
      </c>
      <c r="DT172" t="e">
        <f>AND(Demos!#REF!,"AAAAAH/Ed3s=")</f>
        <v>#REF!</v>
      </c>
      <c r="DU172" t="e">
        <f>AND(Demos!#REF!,"AAAAAH/Ed3w=")</f>
        <v>#REF!</v>
      </c>
      <c r="DV172" t="e">
        <f>AND(Demos!#REF!,"AAAAAH/Ed30=")</f>
        <v>#REF!</v>
      </c>
      <c r="DW172" t="e">
        <f>IF(Demos!#REF!,"AAAAAH/Ed34=",0)</f>
        <v>#REF!</v>
      </c>
      <c r="DX172" t="e">
        <f>AND(Demos!#REF!,"AAAAAH/Ed38=")</f>
        <v>#REF!</v>
      </c>
      <c r="DY172" t="e">
        <f>AND(Demos!#REF!,"AAAAAH/Ed4A=")</f>
        <v>#REF!</v>
      </c>
      <c r="DZ172" t="e">
        <f>AND(Demos!#REF!,"AAAAAH/Ed4E=")</f>
        <v>#REF!</v>
      </c>
      <c r="EA172" t="e">
        <f>AND(Demos!#REF!,"AAAAAH/Ed4I=")</f>
        <v>#REF!</v>
      </c>
      <c r="EB172" t="e">
        <f>AND(Demos!#REF!,"AAAAAH/Ed4M=")</f>
        <v>#REF!</v>
      </c>
      <c r="EC172" t="e">
        <f>AND(Demos!#REF!,"AAAAAH/Ed4Q=")</f>
        <v>#REF!</v>
      </c>
      <c r="ED172" t="e">
        <f>AND(Demos!#REF!,"AAAAAH/Ed4U=")</f>
        <v>#REF!</v>
      </c>
      <c r="EE172" t="e">
        <f>AND(Demos!#REF!,"AAAAAH/Ed4Y=")</f>
        <v>#REF!</v>
      </c>
      <c r="EF172" t="e">
        <f>AND(Demos!#REF!,"AAAAAH/Ed4c=")</f>
        <v>#REF!</v>
      </c>
      <c r="EG172" t="e">
        <f>AND(Demos!#REF!,"AAAAAH/Ed4g=")</f>
        <v>#REF!</v>
      </c>
      <c r="EH172" t="e">
        <f>AND(Demos!#REF!,"AAAAAH/Ed4k=")</f>
        <v>#REF!</v>
      </c>
      <c r="EI172" t="e">
        <f>AND(Demos!#REF!,"AAAAAH/Ed4o=")</f>
        <v>#REF!</v>
      </c>
      <c r="EJ172" t="e">
        <f>AND(Demos!#REF!,"AAAAAH/Ed4s=")</f>
        <v>#REF!</v>
      </c>
      <c r="EK172" t="e">
        <f>IF(Demos!#REF!,"AAAAAH/Ed4w=",0)</f>
        <v>#REF!</v>
      </c>
      <c r="EL172" t="e">
        <f>AND(Demos!#REF!,"AAAAAH/Ed40=")</f>
        <v>#REF!</v>
      </c>
      <c r="EM172" t="e">
        <f>AND(Demos!#REF!,"AAAAAH/Ed44=")</f>
        <v>#REF!</v>
      </c>
      <c r="EN172" t="e">
        <f>AND(Demos!#REF!,"AAAAAH/Ed48=")</f>
        <v>#REF!</v>
      </c>
      <c r="EO172" t="e">
        <f>AND(Demos!#REF!,"AAAAAH/Ed5A=")</f>
        <v>#REF!</v>
      </c>
      <c r="EP172" t="e">
        <f>AND(Demos!#REF!,"AAAAAH/Ed5E=")</f>
        <v>#REF!</v>
      </c>
      <c r="EQ172" t="e">
        <f>AND(Demos!#REF!,"AAAAAH/Ed5I=")</f>
        <v>#REF!</v>
      </c>
      <c r="ER172" t="e">
        <f>AND(Demos!#REF!,"AAAAAH/Ed5M=")</f>
        <v>#REF!</v>
      </c>
      <c r="ES172" t="e">
        <f>AND(Demos!#REF!,"AAAAAH/Ed5Q=")</f>
        <v>#REF!</v>
      </c>
      <c r="ET172" t="e">
        <f>AND(Demos!#REF!,"AAAAAH/Ed5U=")</f>
        <v>#REF!</v>
      </c>
      <c r="EU172" t="e">
        <f>AND(Demos!#REF!,"AAAAAH/Ed5Y=")</f>
        <v>#REF!</v>
      </c>
      <c r="EV172" t="e">
        <f>AND(Demos!#REF!,"AAAAAH/Ed5c=")</f>
        <v>#REF!</v>
      </c>
      <c r="EW172" t="e">
        <f>AND(Demos!#REF!,"AAAAAH/Ed5g=")</f>
        <v>#REF!</v>
      </c>
      <c r="EX172" t="e">
        <f>AND(Demos!#REF!,"AAAAAH/Ed5k=")</f>
        <v>#REF!</v>
      </c>
      <c r="EY172" t="e">
        <f>IF(Demos!#REF!,"AAAAAH/Ed5o=",0)</f>
        <v>#REF!</v>
      </c>
      <c r="EZ172" t="e">
        <f>AND(Demos!#REF!,"AAAAAH/Ed5s=")</f>
        <v>#REF!</v>
      </c>
      <c r="FA172" t="e">
        <f>AND(Demos!#REF!,"AAAAAH/Ed5w=")</f>
        <v>#REF!</v>
      </c>
      <c r="FB172" t="e">
        <f>AND(Demos!#REF!,"AAAAAH/Ed50=")</f>
        <v>#REF!</v>
      </c>
      <c r="FC172" t="e">
        <f>AND(Demos!#REF!,"AAAAAH/Ed54=")</f>
        <v>#REF!</v>
      </c>
      <c r="FD172" t="e">
        <f>AND(Demos!#REF!,"AAAAAH/Ed58=")</f>
        <v>#REF!</v>
      </c>
      <c r="FE172" t="e">
        <f>AND(Demos!#REF!,"AAAAAH/Ed6A=")</f>
        <v>#REF!</v>
      </c>
      <c r="FF172" t="e">
        <f>AND(Demos!#REF!,"AAAAAH/Ed6E=")</f>
        <v>#REF!</v>
      </c>
      <c r="FG172" t="e">
        <f>AND(Demos!#REF!,"AAAAAH/Ed6I=")</f>
        <v>#REF!</v>
      </c>
      <c r="FH172" t="e">
        <f>AND(Demos!#REF!,"AAAAAH/Ed6M=")</f>
        <v>#REF!</v>
      </c>
      <c r="FI172" t="e">
        <f>AND(Demos!#REF!,"AAAAAH/Ed6Q=")</f>
        <v>#REF!</v>
      </c>
      <c r="FJ172" t="e">
        <f>AND(Demos!#REF!,"AAAAAH/Ed6U=")</f>
        <v>#REF!</v>
      </c>
      <c r="FK172" t="e">
        <f>AND(Demos!#REF!,"AAAAAH/Ed6Y=")</f>
        <v>#REF!</v>
      </c>
      <c r="FL172" t="e">
        <f>AND(Demos!#REF!,"AAAAAH/Ed6c=")</f>
        <v>#REF!</v>
      </c>
      <c r="FM172" t="e">
        <f>IF(Demos!#REF!,"AAAAAH/Ed6g=",0)</f>
        <v>#REF!</v>
      </c>
      <c r="FN172" t="e">
        <f>AND(Demos!#REF!,"AAAAAH/Ed6k=")</f>
        <v>#REF!</v>
      </c>
      <c r="FO172" t="e">
        <f>AND(Demos!#REF!,"AAAAAH/Ed6o=")</f>
        <v>#REF!</v>
      </c>
      <c r="FP172" t="e">
        <f>AND(Demos!#REF!,"AAAAAH/Ed6s=")</f>
        <v>#REF!</v>
      </c>
      <c r="FQ172" t="e">
        <f>AND(Demos!#REF!,"AAAAAH/Ed6w=")</f>
        <v>#REF!</v>
      </c>
      <c r="FR172" t="e">
        <f>AND(Demos!#REF!,"AAAAAH/Ed60=")</f>
        <v>#REF!</v>
      </c>
      <c r="FS172" t="e">
        <f>AND(Demos!#REF!,"AAAAAH/Ed64=")</f>
        <v>#REF!</v>
      </c>
      <c r="FT172" t="e">
        <f>AND(Demos!#REF!,"AAAAAH/Ed68=")</f>
        <v>#REF!</v>
      </c>
      <c r="FU172" t="e">
        <f>AND(Demos!#REF!,"AAAAAH/Ed7A=")</f>
        <v>#REF!</v>
      </c>
      <c r="FV172" t="e">
        <f>AND(Demos!#REF!,"AAAAAH/Ed7E=")</f>
        <v>#REF!</v>
      </c>
      <c r="FW172" t="e">
        <f>AND(Demos!#REF!,"AAAAAH/Ed7I=")</f>
        <v>#REF!</v>
      </c>
      <c r="FX172" t="e">
        <f>AND(Demos!#REF!,"AAAAAH/Ed7M=")</f>
        <v>#REF!</v>
      </c>
      <c r="FY172" t="e">
        <f>AND(Demos!#REF!,"AAAAAH/Ed7Q=")</f>
        <v>#REF!</v>
      </c>
      <c r="FZ172" t="e">
        <f>AND(Demos!#REF!,"AAAAAH/Ed7U=")</f>
        <v>#REF!</v>
      </c>
      <c r="GA172" t="e">
        <f>IF(Demos!#REF!,"AAAAAH/Ed7Y=",0)</f>
        <v>#REF!</v>
      </c>
      <c r="GB172" t="e">
        <f>AND(Demos!#REF!,"AAAAAH/Ed7c=")</f>
        <v>#REF!</v>
      </c>
      <c r="GC172" t="e">
        <f>AND(Demos!#REF!,"AAAAAH/Ed7g=")</f>
        <v>#REF!</v>
      </c>
      <c r="GD172" t="e">
        <f>AND(Demos!#REF!,"AAAAAH/Ed7k=")</f>
        <v>#REF!</v>
      </c>
      <c r="GE172" t="e">
        <f>AND(Demos!#REF!,"AAAAAH/Ed7o=")</f>
        <v>#REF!</v>
      </c>
      <c r="GF172" t="e">
        <f>AND(Demos!#REF!,"AAAAAH/Ed7s=")</f>
        <v>#REF!</v>
      </c>
      <c r="GG172" t="e">
        <f>AND(Demos!#REF!,"AAAAAH/Ed7w=")</f>
        <v>#REF!</v>
      </c>
      <c r="GH172" t="e">
        <f>AND(Demos!#REF!,"AAAAAH/Ed70=")</f>
        <v>#REF!</v>
      </c>
      <c r="GI172" t="e">
        <f>AND(Demos!#REF!,"AAAAAH/Ed74=")</f>
        <v>#REF!</v>
      </c>
      <c r="GJ172" t="e">
        <f>AND(Demos!#REF!,"AAAAAH/Ed78=")</f>
        <v>#REF!</v>
      </c>
      <c r="GK172" t="e">
        <f>AND(Demos!#REF!,"AAAAAH/Ed8A=")</f>
        <v>#REF!</v>
      </c>
      <c r="GL172" t="e">
        <f>AND(Demos!#REF!,"AAAAAH/Ed8E=")</f>
        <v>#REF!</v>
      </c>
      <c r="GM172" t="e">
        <f>AND(Demos!#REF!,"AAAAAH/Ed8I=")</f>
        <v>#REF!</v>
      </c>
      <c r="GN172" t="e">
        <f>AND(Demos!#REF!,"AAAAAH/Ed8M=")</f>
        <v>#REF!</v>
      </c>
      <c r="GO172" t="e">
        <f>IF(Demos!#REF!,"AAAAAH/Ed8Q=",0)</f>
        <v>#REF!</v>
      </c>
      <c r="GP172" t="e">
        <f>AND(Demos!#REF!,"AAAAAH/Ed8U=")</f>
        <v>#REF!</v>
      </c>
      <c r="GQ172" t="e">
        <f>AND(Demos!#REF!,"AAAAAH/Ed8Y=")</f>
        <v>#REF!</v>
      </c>
      <c r="GR172" t="e">
        <f>AND(Demos!#REF!,"AAAAAH/Ed8c=")</f>
        <v>#REF!</v>
      </c>
      <c r="GS172" t="e">
        <f>AND(Demos!#REF!,"AAAAAH/Ed8g=")</f>
        <v>#REF!</v>
      </c>
      <c r="GT172" t="e">
        <f>AND(Demos!#REF!,"AAAAAH/Ed8k=")</f>
        <v>#REF!</v>
      </c>
      <c r="GU172" t="e">
        <f>AND(Demos!#REF!,"AAAAAH/Ed8o=")</f>
        <v>#REF!</v>
      </c>
      <c r="GV172" t="e">
        <f>AND(Demos!#REF!,"AAAAAH/Ed8s=")</f>
        <v>#REF!</v>
      </c>
      <c r="GW172" t="e">
        <f>AND(Demos!#REF!,"AAAAAH/Ed8w=")</f>
        <v>#REF!</v>
      </c>
      <c r="GX172" t="e">
        <f>AND(Demos!#REF!,"AAAAAH/Ed80=")</f>
        <v>#REF!</v>
      </c>
      <c r="GY172" t="e">
        <f>AND(Demos!#REF!,"AAAAAH/Ed84=")</f>
        <v>#REF!</v>
      </c>
      <c r="GZ172" t="e">
        <f>AND(Demos!#REF!,"AAAAAH/Ed88=")</f>
        <v>#REF!</v>
      </c>
      <c r="HA172" t="e">
        <f>AND(Demos!#REF!,"AAAAAH/Ed9A=")</f>
        <v>#REF!</v>
      </c>
      <c r="HB172" t="e">
        <f>AND(Demos!#REF!,"AAAAAH/Ed9E=")</f>
        <v>#REF!</v>
      </c>
      <c r="HC172" t="e">
        <f>IF(Demos!#REF!,"AAAAAH/Ed9I=",0)</f>
        <v>#REF!</v>
      </c>
      <c r="HD172" t="e">
        <f>AND(Demos!#REF!,"AAAAAH/Ed9M=")</f>
        <v>#REF!</v>
      </c>
      <c r="HE172" t="e">
        <f>AND(Demos!#REF!,"AAAAAH/Ed9Q=")</f>
        <v>#REF!</v>
      </c>
      <c r="HF172" t="e">
        <f>AND(Demos!#REF!,"AAAAAH/Ed9U=")</f>
        <v>#REF!</v>
      </c>
      <c r="HG172" t="e">
        <f>AND(Demos!#REF!,"AAAAAH/Ed9Y=")</f>
        <v>#REF!</v>
      </c>
      <c r="HH172" t="e">
        <f>AND(Demos!#REF!,"AAAAAH/Ed9c=")</f>
        <v>#REF!</v>
      </c>
      <c r="HI172" t="e">
        <f>AND(Demos!#REF!,"AAAAAH/Ed9g=")</f>
        <v>#REF!</v>
      </c>
      <c r="HJ172" t="e">
        <f>AND(Demos!#REF!,"AAAAAH/Ed9k=")</f>
        <v>#REF!</v>
      </c>
      <c r="HK172" t="e">
        <f>AND(Demos!#REF!,"AAAAAH/Ed9o=")</f>
        <v>#REF!</v>
      </c>
      <c r="HL172" t="e">
        <f>AND(Demos!#REF!,"AAAAAH/Ed9s=")</f>
        <v>#REF!</v>
      </c>
      <c r="HM172" t="e">
        <f>AND(Demos!#REF!,"AAAAAH/Ed9w=")</f>
        <v>#REF!</v>
      </c>
      <c r="HN172" t="e">
        <f>AND(Demos!#REF!,"AAAAAH/Ed90=")</f>
        <v>#REF!</v>
      </c>
      <c r="HO172" t="e">
        <f>AND(Demos!#REF!,"AAAAAH/Ed94=")</f>
        <v>#REF!</v>
      </c>
      <c r="HP172" t="e">
        <f>AND(Demos!#REF!,"AAAAAH/Ed98=")</f>
        <v>#REF!</v>
      </c>
      <c r="HQ172" t="e">
        <f>IF(Demos!#REF!,"AAAAAH/Ed+A=",0)</f>
        <v>#REF!</v>
      </c>
      <c r="HR172" t="e">
        <f>AND(Demos!A10,"AAAAAH/Ed+E=")</f>
        <v>#VALUE!</v>
      </c>
      <c r="HS172" t="e">
        <f>AND(Demos!B10,"AAAAAH/Ed+I=")</f>
        <v>#VALUE!</v>
      </c>
      <c r="HT172" t="e">
        <f>AND(Demos!#REF!,"AAAAAH/Ed+M=")</f>
        <v>#REF!</v>
      </c>
      <c r="HU172" t="e">
        <f>AND(Demos!C10,"AAAAAH/Ed+Q=")</f>
        <v>#VALUE!</v>
      </c>
      <c r="HV172" t="e">
        <f>AND(Demos!#REF!,"AAAAAH/Ed+U=")</f>
        <v>#REF!</v>
      </c>
      <c r="HW172" t="e">
        <f>AND(Demos!#REF!,"AAAAAH/Ed+Y=")</f>
        <v>#REF!</v>
      </c>
      <c r="HX172" t="e">
        <f>AND(Demos!#REF!,"AAAAAH/Ed+c=")</f>
        <v>#REF!</v>
      </c>
      <c r="HY172" t="e">
        <f>AND(Demos!#REF!,"AAAAAH/Ed+g=")</f>
        <v>#REF!</v>
      </c>
      <c r="HZ172" t="e">
        <f>AND(Demos!D10,"AAAAAH/Ed+k=")</f>
        <v>#VALUE!</v>
      </c>
      <c r="IA172" t="e">
        <f>AND(Demos!#REF!,"AAAAAH/Ed+o=")</f>
        <v>#REF!</v>
      </c>
      <c r="IB172" t="e">
        <f>AND(Demos!E10,"AAAAAH/Ed+s=")</f>
        <v>#VALUE!</v>
      </c>
      <c r="IC172" t="e">
        <f>AND(Demos!F10,"AAAAAH/Ed+w=")</f>
        <v>#VALUE!</v>
      </c>
      <c r="ID172" t="e">
        <f>AND(Demos!G10,"AAAAAH/Ed+0=")</f>
        <v>#VALUE!</v>
      </c>
      <c r="IE172">
        <f>IF(Demos!9:9,"AAAAAH/Ed+4=",0)</f>
        <v>0</v>
      </c>
      <c r="IF172" t="e">
        <f>AND(Demos!A11,"AAAAAH/Ed+8=")</f>
        <v>#VALUE!</v>
      </c>
      <c r="IG172" t="e">
        <f>AND(Demos!#REF!,"AAAAAH/Ed/A=")</f>
        <v>#REF!</v>
      </c>
      <c r="IH172" t="e">
        <f>AND(Demos!B11,"AAAAAH/Ed/E=")</f>
        <v>#VALUE!</v>
      </c>
      <c r="II172" t="e">
        <f>AND(Demos!#REF!,"AAAAAH/Ed/I=")</f>
        <v>#REF!</v>
      </c>
      <c r="IJ172" t="e">
        <f>AND(Demos!#REF!,"AAAAAH/Ed/M=")</f>
        <v>#REF!</v>
      </c>
      <c r="IK172" t="e">
        <f>AND(Demos!#REF!,"AAAAAH/Ed/Q=")</f>
        <v>#REF!</v>
      </c>
      <c r="IL172" t="e">
        <f>AND(Demos!#REF!,"AAAAAH/Ed/U=")</f>
        <v>#REF!</v>
      </c>
      <c r="IM172" t="e">
        <f>AND(Demos!#REF!,"AAAAAH/Ed/Y=")</f>
        <v>#REF!</v>
      </c>
      <c r="IN172" t="e">
        <f>AND(Demos!D11,"AAAAAH/Ed/c=")</f>
        <v>#VALUE!</v>
      </c>
      <c r="IO172" t="e">
        <f>AND(Demos!#REF!,"AAAAAH/Ed/g=")</f>
        <v>#REF!</v>
      </c>
      <c r="IP172" t="e">
        <f>AND(Demos!E11,"AAAAAH/Ed/k=")</f>
        <v>#VALUE!</v>
      </c>
      <c r="IQ172" t="e">
        <f>AND(Demos!F11,"AAAAAH/Ed/o=")</f>
        <v>#VALUE!</v>
      </c>
      <c r="IR172" t="e">
        <f>AND(Demos!G11,"AAAAAH/Ed/s=")</f>
        <v>#VALUE!</v>
      </c>
      <c r="IS172">
        <f>IF(Demos!10:10,"AAAAAH/Ed/w=",0)</f>
        <v>0</v>
      </c>
      <c r="IT172" t="e">
        <f>AND(Demos!A12,"AAAAAH/Ed/0=")</f>
        <v>#VALUE!</v>
      </c>
      <c r="IU172" t="e">
        <f>AND(Demos!#REF!,"AAAAAH/Ed/4=")</f>
        <v>#REF!</v>
      </c>
      <c r="IV172" t="e">
        <f>AND(Demos!B12,"AAAAAH/Ed/8=")</f>
        <v>#VALUE!</v>
      </c>
    </row>
    <row r="173" spans="1:256" x14ac:dyDescent="0.2">
      <c r="A173" t="e">
        <f>AND(Demos!#REF!,"AAAAADt+fAA=")</f>
        <v>#REF!</v>
      </c>
      <c r="B173" t="e">
        <f>AND(Demos!#REF!,"AAAAADt+fAE=")</f>
        <v>#REF!</v>
      </c>
      <c r="C173" t="e">
        <f>AND(Demos!#REF!,"AAAAADt+fAI=")</f>
        <v>#REF!</v>
      </c>
      <c r="D173" t="e">
        <f>AND(Demos!#REF!,"AAAAADt+fAM=")</f>
        <v>#REF!</v>
      </c>
      <c r="E173" t="e">
        <f>AND(Demos!C12,"AAAAADt+fAQ=")</f>
        <v>#VALUE!</v>
      </c>
      <c r="F173" t="e">
        <f>AND(Demos!#REF!,"AAAAADt+fAU=")</f>
        <v>#REF!</v>
      </c>
      <c r="G173" t="e">
        <f>AND(Demos!#REF!,"AAAAADt+fAY=")</f>
        <v>#REF!</v>
      </c>
      <c r="H173" t="e">
        <f>AND(Demos!D12,"AAAAADt+fAc=")</f>
        <v>#VALUE!</v>
      </c>
      <c r="I173" t="e">
        <f>AND(Demos!#REF!,"AAAAADt+fAg=")</f>
        <v>#REF!</v>
      </c>
      <c r="J173" t="e">
        <f>AND(Demos!E12,"AAAAADt+fAk=")</f>
        <v>#VALUE!</v>
      </c>
      <c r="K173">
        <f>IF(Demos!11:11,"AAAAADt+fAo=",0)</f>
        <v>0</v>
      </c>
      <c r="L173" t="e">
        <f>AND(Demos!A13,"AAAAADt+fAs=")</f>
        <v>#VALUE!</v>
      </c>
      <c r="M173" t="e">
        <f>AND(Demos!#REF!,"AAAAADt+fAw=")</f>
        <v>#REF!</v>
      </c>
      <c r="N173" t="e">
        <f>AND(Demos!B13,"AAAAADt+fA0=")</f>
        <v>#VALUE!</v>
      </c>
      <c r="O173" t="e">
        <f>AND(Demos!#REF!,"AAAAADt+fA4=")</f>
        <v>#REF!</v>
      </c>
      <c r="P173" t="e">
        <f>AND(Demos!#REF!,"AAAAADt+fA8=")</f>
        <v>#REF!</v>
      </c>
      <c r="Q173" t="e">
        <f>AND(Demos!#REF!,"AAAAADt+fBA=")</f>
        <v>#REF!</v>
      </c>
      <c r="R173" t="e">
        <f>AND(Demos!#REF!,"AAAAADt+fBE=")</f>
        <v>#REF!</v>
      </c>
      <c r="S173" t="e">
        <f>AND(Demos!C13,"AAAAADt+fBI=")</f>
        <v>#VALUE!</v>
      </c>
      <c r="T173" t="e">
        <f>AND(Demos!#REF!,"AAAAADt+fBM=")</f>
        <v>#REF!</v>
      </c>
      <c r="U173" t="e">
        <f>AND(Demos!#REF!,"AAAAADt+fBQ=")</f>
        <v>#REF!</v>
      </c>
      <c r="V173" t="e">
        <f>AND(Demos!D13,"AAAAADt+fBU=")</f>
        <v>#VALUE!</v>
      </c>
      <c r="W173" t="e">
        <f>AND(Demos!#REF!,"AAAAADt+fBY=")</f>
        <v>#REF!</v>
      </c>
      <c r="X173" t="e">
        <f>AND(Demos!E13,"AAAAADt+fBc=")</f>
        <v>#VALUE!</v>
      </c>
      <c r="Y173">
        <f>IF(Demos!12:12,"AAAAADt+fBg=",0)</f>
        <v>0</v>
      </c>
      <c r="Z173" t="e">
        <f>AND(Demos!A14,"AAAAADt+fBk=")</f>
        <v>#VALUE!</v>
      </c>
      <c r="AA173" t="e">
        <f>AND(Demos!#REF!,"AAAAADt+fBo=")</f>
        <v>#REF!</v>
      </c>
      <c r="AB173" t="e">
        <f>AND(Demos!B14,"AAAAADt+fBs=")</f>
        <v>#VALUE!</v>
      </c>
      <c r="AC173" t="e">
        <f>AND(Demos!#REF!,"AAAAADt+fBw=")</f>
        <v>#REF!</v>
      </c>
      <c r="AD173" t="e">
        <f>AND(Demos!#REF!,"AAAAADt+fB0=")</f>
        <v>#REF!</v>
      </c>
      <c r="AE173" t="e">
        <f>AND(Demos!#REF!,"AAAAADt+fB4=")</f>
        <v>#REF!</v>
      </c>
      <c r="AF173" t="e">
        <f>AND(Demos!#REF!,"AAAAADt+fB8=")</f>
        <v>#REF!</v>
      </c>
      <c r="AG173" t="e">
        <f>AND(Demos!C14,"AAAAADt+fCA=")</f>
        <v>#VALUE!</v>
      </c>
      <c r="AH173" t="e">
        <f>AND(Demos!#REF!,"AAAAADt+fCE=")</f>
        <v>#REF!</v>
      </c>
      <c r="AI173" t="e">
        <f>AND(Demos!#REF!,"AAAAADt+fCI=")</f>
        <v>#REF!</v>
      </c>
      <c r="AJ173" t="e">
        <f>AND(Demos!D14,"AAAAADt+fCM=")</f>
        <v>#VALUE!</v>
      </c>
      <c r="AK173" t="e">
        <f>AND(Demos!#REF!,"AAAAADt+fCQ=")</f>
        <v>#REF!</v>
      </c>
      <c r="AL173" t="e">
        <f>AND(Demos!E14,"AAAAADt+fCU=")</f>
        <v>#VALUE!</v>
      </c>
      <c r="AM173">
        <f>IF(Demos!13:13,"AAAAADt+fCY=",0)</f>
        <v>0</v>
      </c>
      <c r="AN173" t="e">
        <f>AND(Demos!#REF!,"AAAAADt+fCc=")</f>
        <v>#REF!</v>
      </c>
      <c r="AO173" t="e">
        <f>AND(Demos!#REF!,"AAAAADt+fCg=")</f>
        <v>#REF!</v>
      </c>
      <c r="AP173" t="e">
        <f>AND(Demos!#REF!,"AAAAADt+fCk=")</f>
        <v>#REF!</v>
      </c>
      <c r="AQ173" t="e">
        <f>AND(Demos!#REF!,"AAAAADt+fCo=")</f>
        <v>#REF!</v>
      </c>
      <c r="AR173" t="e">
        <f>AND(Demos!#REF!,"AAAAADt+fCs=")</f>
        <v>#REF!</v>
      </c>
      <c r="AS173" t="e">
        <f>AND(Demos!#REF!,"AAAAADt+fCw=")</f>
        <v>#REF!</v>
      </c>
      <c r="AT173" t="e">
        <f>AND(Demos!#REF!,"AAAAADt+fC0=")</f>
        <v>#REF!</v>
      </c>
      <c r="AU173" t="e">
        <f>AND(Demos!#REF!,"AAAAADt+fC4=")</f>
        <v>#REF!</v>
      </c>
      <c r="AV173" t="e">
        <f>AND(Demos!#REF!,"AAAAADt+fC8=")</f>
        <v>#REF!</v>
      </c>
      <c r="AW173" t="e">
        <f>AND(Demos!#REF!,"AAAAADt+fDA=")</f>
        <v>#REF!</v>
      </c>
      <c r="AX173" t="e">
        <f>AND(Demos!#REF!,"AAAAADt+fDE=")</f>
        <v>#REF!</v>
      </c>
      <c r="AY173" t="e">
        <f>AND(Demos!#REF!,"AAAAADt+fDI=")</f>
        <v>#REF!</v>
      </c>
      <c r="AZ173" t="e">
        <f>AND(Demos!#REF!,"AAAAADt+fDM=")</f>
        <v>#REF!</v>
      </c>
      <c r="BA173">
        <f>IF(Demos!14:14,"AAAAADt+fDQ=",0)</f>
        <v>0</v>
      </c>
      <c r="BB173" t="e">
        <f>AND(Demos!A15,"AAAAADt+fDU=")</f>
        <v>#VALUE!</v>
      </c>
      <c r="BC173" t="e">
        <f>AND(Demos!#REF!,"AAAAADt+fDY=")</f>
        <v>#REF!</v>
      </c>
      <c r="BD173" t="e">
        <f>AND(Demos!B15,"AAAAADt+fDc=")</f>
        <v>#VALUE!</v>
      </c>
      <c r="BE173" t="e">
        <f>AND(Demos!#REF!,"AAAAADt+fDg=")</f>
        <v>#REF!</v>
      </c>
      <c r="BF173" t="e">
        <f>AND(Demos!#REF!,"AAAAADt+fDk=")</f>
        <v>#REF!</v>
      </c>
      <c r="BG173" t="e">
        <f>AND(Demos!#REF!,"AAAAADt+fDo=")</f>
        <v>#REF!</v>
      </c>
      <c r="BH173" t="e">
        <f>AND(Demos!#REF!,"AAAAADt+fDs=")</f>
        <v>#REF!</v>
      </c>
      <c r="BI173" t="e">
        <f>AND(Demos!C15,"AAAAADt+fDw=")</f>
        <v>#VALUE!</v>
      </c>
      <c r="BJ173" t="e">
        <f>AND(Demos!#REF!,"AAAAADt+fD0=")</f>
        <v>#REF!</v>
      </c>
      <c r="BK173" t="e">
        <f>AND(Demos!#REF!,"AAAAADt+fD4=")</f>
        <v>#REF!</v>
      </c>
      <c r="BL173" t="e">
        <f>AND(Demos!D15,"AAAAADt+fD8=")</f>
        <v>#VALUE!</v>
      </c>
      <c r="BM173" t="e">
        <f>AND(Demos!#REF!,"AAAAADt+fEA=")</f>
        <v>#REF!</v>
      </c>
      <c r="BN173" t="e">
        <f>AND(Demos!E15,"AAAAADt+fEE=")</f>
        <v>#VALUE!</v>
      </c>
      <c r="BO173" t="e">
        <f>IF(Demos!#REF!,"AAAAADt+fEI=",0)</f>
        <v>#REF!</v>
      </c>
      <c r="BP173" t="e">
        <f>AND(Demos!A16,"AAAAADt+fEM=")</f>
        <v>#VALUE!</v>
      </c>
      <c r="BQ173" t="e">
        <f>AND(Demos!#REF!,"AAAAADt+fEQ=")</f>
        <v>#REF!</v>
      </c>
      <c r="BR173" t="e">
        <f>AND(Demos!B16,"AAAAADt+fEU=")</f>
        <v>#VALUE!</v>
      </c>
      <c r="BS173" t="e">
        <f>AND(Demos!#REF!,"AAAAADt+fEY=")</f>
        <v>#REF!</v>
      </c>
      <c r="BT173" t="e">
        <f>AND(Demos!C16,"AAAAADt+fEc=")</f>
        <v>#VALUE!</v>
      </c>
      <c r="BU173" t="e">
        <f>AND(Demos!#REF!,"AAAAADt+fEg=")</f>
        <v>#REF!</v>
      </c>
      <c r="BV173" t="e">
        <f>AND(Demos!#REF!,"AAAAADt+fEk=")</f>
        <v>#REF!</v>
      </c>
      <c r="BW173" t="e">
        <f>AND(Demos!#REF!,"AAAAADt+fEo=")</f>
        <v>#REF!</v>
      </c>
      <c r="BX173" t="e">
        <f>AND(Demos!#REF!,"AAAAADt+fEs=")</f>
        <v>#REF!</v>
      </c>
      <c r="BY173" t="e">
        <f>AND(Demos!#REF!,"AAAAADt+fEw=")</f>
        <v>#REF!</v>
      </c>
      <c r="BZ173" t="e">
        <f>AND(Demos!D16,"AAAAADt+fE0=")</f>
        <v>#VALUE!</v>
      </c>
      <c r="CA173" t="e">
        <f>AND(Demos!#REF!,"AAAAADt+fE4=")</f>
        <v>#REF!</v>
      </c>
      <c r="CB173" t="e">
        <f>AND(Demos!E16,"AAAAADt+fE8=")</f>
        <v>#VALUE!</v>
      </c>
      <c r="CC173" t="e">
        <f>IF(Demos!#REF!,"AAAAADt+fFA=",0)</f>
        <v>#REF!</v>
      </c>
      <c r="CD173" t="e">
        <f>AND(Demos!#REF!,"AAAAADt+fFE=")</f>
        <v>#REF!</v>
      </c>
      <c r="CE173" t="e">
        <f>AND(Demos!#REF!,"AAAAADt+fFI=")</f>
        <v>#REF!</v>
      </c>
      <c r="CF173" t="e">
        <f>AND(Demos!#REF!,"AAAAADt+fFM=")</f>
        <v>#REF!</v>
      </c>
      <c r="CG173" t="e">
        <f>AND(Demos!#REF!,"AAAAADt+fFQ=")</f>
        <v>#REF!</v>
      </c>
      <c r="CH173" t="e">
        <f>AND(Demos!#REF!,"AAAAADt+fFU=")</f>
        <v>#REF!</v>
      </c>
      <c r="CI173" t="e">
        <f>AND(Demos!#REF!,"AAAAADt+fFY=")</f>
        <v>#REF!</v>
      </c>
      <c r="CJ173" t="e">
        <f>AND(Demos!#REF!,"AAAAADt+fFc=")</f>
        <v>#REF!</v>
      </c>
      <c r="CK173" t="e">
        <f>AND(Demos!#REF!,"AAAAADt+fFg=")</f>
        <v>#REF!</v>
      </c>
      <c r="CL173" t="e">
        <f>AND(Demos!#REF!,"AAAAADt+fFk=")</f>
        <v>#REF!</v>
      </c>
      <c r="CM173" t="e">
        <f>AND(Demos!#REF!,"AAAAADt+fFo=")</f>
        <v>#REF!</v>
      </c>
      <c r="CN173" t="e">
        <f>AND(Demos!#REF!,"AAAAADt+fFs=")</f>
        <v>#REF!</v>
      </c>
      <c r="CO173" t="e">
        <f>AND(Demos!#REF!,"AAAAADt+fFw=")</f>
        <v>#REF!</v>
      </c>
      <c r="CP173" t="e">
        <f>AND(Demos!#REF!,"AAAAADt+fF0=")</f>
        <v>#REF!</v>
      </c>
      <c r="CQ173">
        <f>IF(Demos!15:15,"AAAAADt+fF4=",0)</f>
        <v>0</v>
      </c>
      <c r="CR173" t="e">
        <f>AND(Demos!A17,"AAAAADt+fF8=")</f>
        <v>#VALUE!</v>
      </c>
      <c r="CS173" t="e">
        <f>AND(Demos!B17,"AAAAADt+fGA=")</f>
        <v>#VALUE!</v>
      </c>
      <c r="CT173" t="e">
        <f>AND(Demos!#REF!,"AAAAADt+fGE=")</f>
        <v>#REF!</v>
      </c>
      <c r="CU173" t="e">
        <f>AND(Demos!C17,"AAAAADt+fGI=")</f>
        <v>#VALUE!</v>
      </c>
      <c r="CV173" t="e">
        <f>AND(Demos!#REF!,"AAAAADt+fGM=")</f>
        <v>#REF!</v>
      </c>
      <c r="CW173" t="e">
        <f>AND(Demos!#REF!,"AAAAADt+fGQ=")</f>
        <v>#REF!</v>
      </c>
      <c r="CX173" t="e">
        <f>AND(Demos!#REF!,"AAAAADt+fGU=")</f>
        <v>#REF!</v>
      </c>
      <c r="CY173" t="e">
        <f>AND(Demos!D17,"AAAAADt+fGY=")</f>
        <v>#VALUE!</v>
      </c>
      <c r="CZ173" t="e">
        <f>AND(Demos!#REF!,"AAAAADt+fGc=")</f>
        <v>#REF!</v>
      </c>
      <c r="DA173" t="e">
        <f>AND(Demos!#REF!,"AAAAADt+fGg=")</f>
        <v>#REF!</v>
      </c>
      <c r="DB173" t="e">
        <f>AND(Demos!G17,"AAAAADt+fGk=")</f>
        <v>#VALUE!</v>
      </c>
      <c r="DC173" t="e">
        <f>AND(Demos!#REF!,"AAAAADt+fGo=")</f>
        <v>#REF!</v>
      </c>
      <c r="DD173" t="e">
        <f>AND(Demos!H17,"AAAAADt+fGs=")</f>
        <v>#VALUE!</v>
      </c>
      <c r="DE173">
        <f>IF(Demos!16:16,"AAAAADt+fGw=",0)</f>
        <v>0</v>
      </c>
      <c r="DF173" t="e">
        <f>AND(Demos!A18,"AAAAADt+fG0=")</f>
        <v>#VALUE!</v>
      </c>
      <c r="DG173" t="e">
        <f>AND(Demos!B18,"AAAAADt+fG4=")</f>
        <v>#VALUE!</v>
      </c>
      <c r="DH173" t="e">
        <f>AND(Demos!#REF!,"AAAAADt+fG8=")</f>
        <v>#REF!</v>
      </c>
      <c r="DI173" t="e">
        <f>AND(Demos!C18,"AAAAADt+fHA=")</f>
        <v>#VALUE!</v>
      </c>
      <c r="DJ173" t="e">
        <f>AND(Demos!#REF!,"AAAAADt+fHE=")</f>
        <v>#REF!</v>
      </c>
      <c r="DK173" t="e">
        <f>AND(Demos!#REF!,"AAAAADt+fHI=")</f>
        <v>#REF!</v>
      </c>
      <c r="DL173" t="e">
        <f>AND(Demos!#REF!,"AAAAADt+fHM=")</f>
        <v>#REF!</v>
      </c>
      <c r="DM173" t="e">
        <f>AND(Demos!#REF!,"AAAAADt+fHQ=")</f>
        <v>#REF!</v>
      </c>
      <c r="DN173" t="e">
        <f>AND(Demos!D18,"AAAAADt+fHU=")</f>
        <v>#VALUE!</v>
      </c>
      <c r="DO173" t="e">
        <f>AND(Demos!#REF!,"AAAAADt+fHY=")</f>
        <v>#REF!</v>
      </c>
      <c r="DP173" t="e">
        <f>AND(Demos!G18,"AAAAADt+fHc=")</f>
        <v>#VALUE!</v>
      </c>
      <c r="DQ173" t="e">
        <f>AND(Demos!#REF!,"AAAAADt+fHg=")</f>
        <v>#REF!</v>
      </c>
      <c r="DR173" t="e">
        <f>AND(Demos!H18,"AAAAADt+fHk=")</f>
        <v>#VALUE!</v>
      </c>
      <c r="DS173">
        <f>IF(Demos!17:17,"AAAAADt+fHo=",0)</f>
        <v>0</v>
      </c>
      <c r="DT173" t="e">
        <f>AND(Demos!A19,"AAAAADt+fHs=")</f>
        <v>#VALUE!</v>
      </c>
      <c r="DU173" t="e">
        <f>AND(Demos!B19,"AAAAADt+fHw=")</f>
        <v>#VALUE!</v>
      </c>
      <c r="DV173" t="e">
        <f>AND(Demos!#REF!,"AAAAADt+fH0=")</f>
        <v>#REF!</v>
      </c>
      <c r="DW173" t="e">
        <f>AND(Demos!C19,"AAAAADt+fH4=")</f>
        <v>#VALUE!</v>
      </c>
      <c r="DX173" t="e">
        <f>AND(Demos!#REF!,"AAAAADt+fH8=")</f>
        <v>#REF!</v>
      </c>
      <c r="DY173" t="e">
        <f>AND(Demos!#REF!,"AAAAADt+fIA=")</f>
        <v>#REF!</v>
      </c>
      <c r="DZ173" t="e">
        <f>AND(Demos!#REF!,"AAAAADt+fIE=")</f>
        <v>#REF!</v>
      </c>
      <c r="EA173" t="e">
        <f>AND(Demos!#REF!,"AAAAADt+fII=")</f>
        <v>#REF!</v>
      </c>
      <c r="EB173" t="e">
        <f>AND(Demos!D19,"AAAAADt+fIM=")</f>
        <v>#VALUE!</v>
      </c>
      <c r="EC173" t="e">
        <f>AND(Demos!#REF!,"AAAAADt+fIQ=")</f>
        <v>#REF!</v>
      </c>
      <c r="ED173" t="e">
        <f>AND(Demos!G19,"AAAAADt+fIU=")</f>
        <v>#VALUE!</v>
      </c>
      <c r="EE173" t="e">
        <f>AND(Demos!#REF!,"AAAAADt+fIY=")</f>
        <v>#REF!</v>
      </c>
      <c r="EF173" t="e">
        <f>AND(Demos!H19,"AAAAADt+fIc=")</f>
        <v>#VALUE!</v>
      </c>
      <c r="EG173">
        <f>IF(Demos!18:18,"AAAAADt+fIg=",0)</f>
        <v>0</v>
      </c>
      <c r="EH173" t="e">
        <f>AND(Demos!A20,"AAAAADt+fIk=")</f>
        <v>#VALUE!</v>
      </c>
      <c r="EI173" t="e">
        <f>AND(Demos!B20,"AAAAADt+fIo=")</f>
        <v>#VALUE!</v>
      </c>
      <c r="EJ173" t="e">
        <f>AND(Demos!#REF!,"AAAAADt+fIs=")</f>
        <v>#REF!</v>
      </c>
      <c r="EK173" t="e">
        <f>AND(Demos!C20,"AAAAADt+fIw=")</f>
        <v>#VALUE!</v>
      </c>
      <c r="EL173" t="e">
        <f>AND(Demos!#REF!,"AAAAADt+fI0=")</f>
        <v>#REF!</v>
      </c>
      <c r="EM173" t="e">
        <f>AND(Demos!#REF!,"AAAAADt+fI4=")</f>
        <v>#REF!</v>
      </c>
      <c r="EN173" t="e">
        <f>AND(Demos!#REF!,"AAAAADt+fI8=")</f>
        <v>#REF!</v>
      </c>
      <c r="EO173" t="e">
        <f>AND(Demos!#REF!,"AAAAADt+fJA=")</f>
        <v>#REF!</v>
      </c>
      <c r="EP173" t="e">
        <f>AND(Demos!D20,"AAAAADt+fJE=")</f>
        <v>#VALUE!</v>
      </c>
      <c r="EQ173" t="e">
        <f>AND(Demos!#REF!,"AAAAADt+fJI=")</f>
        <v>#REF!</v>
      </c>
      <c r="ER173" t="e">
        <f>AND(Demos!G20,"AAAAADt+fJM=")</f>
        <v>#VALUE!</v>
      </c>
      <c r="ES173" t="e">
        <f>AND(Demos!#REF!,"AAAAADt+fJQ=")</f>
        <v>#REF!</v>
      </c>
      <c r="ET173" t="e">
        <f>AND(Demos!H20,"AAAAADt+fJU=")</f>
        <v>#VALUE!</v>
      </c>
      <c r="EU173">
        <f>IF(Demos!19:19,"AAAAADt+fJY=",0)</f>
        <v>0</v>
      </c>
      <c r="EV173" t="e">
        <f>AND(Demos!A21,"AAAAADt+fJc=")</f>
        <v>#VALUE!</v>
      </c>
      <c r="EW173" t="e">
        <f>AND(Demos!B21,"AAAAADt+fJg=")</f>
        <v>#VALUE!</v>
      </c>
      <c r="EX173" t="e">
        <f>AND(Demos!#REF!,"AAAAADt+fJk=")</f>
        <v>#REF!</v>
      </c>
      <c r="EY173" t="e">
        <f>AND(Demos!C21,"AAAAADt+fJo=")</f>
        <v>#VALUE!</v>
      </c>
      <c r="EZ173" t="e">
        <f>AND(Demos!#REF!,"AAAAADt+fJs=")</f>
        <v>#REF!</v>
      </c>
      <c r="FA173" t="e">
        <f>AND(Demos!#REF!,"AAAAADt+fJw=")</f>
        <v>#REF!</v>
      </c>
      <c r="FB173" t="e">
        <f>AND(Demos!#REF!,"AAAAADt+fJ0=")</f>
        <v>#REF!</v>
      </c>
      <c r="FC173" t="e">
        <f>AND(Demos!D21,"AAAAADt+fJ4=")</f>
        <v>#VALUE!</v>
      </c>
      <c r="FD173" t="e">
        <f>AND(Demos!#REF!,"AAAAADt+fJ8=")</f>
        <v>#REF!</v>
      </c>
      <c r="FE173" t="e">
        <f>AND(Demos!#REF!,"AAAAADt+fKA=")</f>
        <v>#REF!</v>
      </c>
      <c r="FF173" t="e">
        <f>AND(Demos!G21,"AAAAADt+fKE=")</f>
        <v>#VALUE!</v>
      </c>
      <c r="FG173" t="e">
        <f>AND(Demos!#REF!,"AAAAADt+fKI=")</f>
        <v>#REF!</v>
      </c>
      <c r="FH173" t="e">
        <f>AND(Demos!H21,"AAAAADt+fKM=")</f>
        <v>#VALUE!</v>
      </c>
      <c r="FI173" t="e">
        <f>IF(Demos!#REF!,"AAAAADt+fKQ=",0)</f>
        <v>#REF!</v>
      </c>
      <c r="FJ173" t="e">
        <f>AND(Demos!#REF!,"AAAAADt+fKU=")</f>
        <v>#REF!</v>
      </c>
      <c r="FK173" t="e">
        <f>AND(Demos!#REF!,"AAAAADt+fKY=")</f>
        <v>#REF!</v>
      </c>
      <c r="FL173" t="e">
        <f>AND(Demos!#REF!,"AAAAADt+fKc=")</f>
        <v>#REF!</v>
      </c>
      <c r="FM173" t="e">
        <f>AND(Demos!#REF!,"AAAAADt+fKg=")</f>
        <v>#REF!</v>
      </c>
      <c r="FN173" t="e">
        <f>AND(Demos!#REF!,"AAAAADt+fKk=")</f>
        <v>#REF!</v>
      </c>
      <c r="FO173" t="e">
        <f>AND(Demos!#REF!,"AAAAADt+fKo=")</f>
        <v>#REF!</v>
      </c>
      <c r="FP173" t="e">
        <f>AND(Demos!#REF!,"AAAAADt+fKs=")</f>
        <v>#REF!</v>
      </c>
      <c r="FQ173" t="e">
        <f>AND(Demos!#REF!,"AAAAADt+fKw=")</f>
        <v>#REF!</v>
      </c>
      <c r="FR173" t="e">
        <f>AND(Demos!#REF!,"AAAAADt+fK0=")</f>
        <v>#REF!</v>
      </c>
      <c r="FS173" t="e">
        <f>AND(Demos!#REF!,"AAAAADt+fK4=")</f>
        <v>#REF!</v>
      </c>
      <c r="FT173" t="e">
        <f>AND(Demos!#REF!,"AAAAADt+fK8=")</f>
        <v>#REF!</v>
      </c>
      <c r="FU173" t="e">
        <f>AND(Demos!#REF!,"AAAAADt+fLA=")</f>
        <v>#REF!</v>
      </c>
      <c r="FV173" t="e">
        <f>AND(Demos!#REF!,"AAAAADt+fLE=")</f>
        <v>#REF!</v>
      </c>
      <c r="FW173" t="e">
        <f>IF(Demos!#REF!,"AAAAADt+fLI=",0)</f>
        <v>#REF!</v>
      </c>
      <c r="FX173" t="e">
        <f>AND(Demos!#REF!,"AAAAADt+fLM=")</f>
        <v>#REF!</v>
      </c>
      <c r="FY173" t="e">
        <f>AND(Demos!#REF!,"AAAAADt+fLQ=")</f>
        <v>#REF!</v>
      </c>
      <c r="FZ173" t="e">
        <f>AND(Demos!#REF!,"AAAAADt+fLU=")</f>
        <v>#REF!</v>
      </c>
      <c r="GA173" t="e">
        <f>AND(Demos!#REF!,"AAAAADt+fLY=")</f>
        <v>#REF!</v>
      </c>
      <c r="GB173" t="e">
        <f>AND(Demos!#REF!,"AAAAADt+fLc=")</f>
        <v>#REF!</v>
      </c>
      <c r="GC173" t="e">
        <f>AND(Demos!#REF!,"AAAAADt+fLg=")</f>
        <v>#REF!</v>
      </c>
      <c r="GD173" t="e">
        <f>AND(Demos!#REF!,"AAAAADt+fLk=")</f>
        <v>#REF!</v>
      </c>
      <c r="GE173" t="e">
        <f>AND(Demos!#REF!,"AAAAADt+fLo=")</f>
        <v>#REF!</v>
      </c>
      <c r="GF173" t="e">
        <f>AND(Demos!#REF!,"AAAAADt+fLs=")</f>
        <v>#REF!</v>
      </c>
      <c r="GG173" t="e">
        <f>AND(Demos!#REF!,"AAAAADt+fLw=")</f>
        <v>#REF!</v>
      </c>
      <c r="GH173" t="e">
        <f>AND(Demos!#REF!,"AAAAADt+fL0=")</f>
        <v>#REF!</v>
      </c>
      <c r="GI173" t="e">
        <f>AND(Demos!#REF!,"AAAAADt+fL4=")</f>
        <v>#REF!</v>
      </c>
      <c r="GJ173" t="e">
        <f>AND(Demos!#REF!,"AAAAADt+fL8=")</f>
        <v>#REF!</v>
      </c>
      <c r="GK173">
        <f>IF(Demos!20:20,"AAAAADt+fMA=",0)</f>
        <v>0</v>
      </c>
      <c r="GL173" t="e">
        <f>AND(Demos!#REF!,"AAAAADt+fME=")</f>
        <v>#REF!</v>
      </c>
      <c r="GM173" t="e">
        <f>AND(Demos!#REF!,"AAAAADt+fMI=")</f>
        <v>#REF!</v>
      </c>
      <c r="GN173" t="e">
        <f>AND(Demos!#REF!,"AAAAADt+fMM=")</f>
        <v>#REF!</v>
      </c>
      <c r="GO173" t="e">
        <f>AND(Demos!#REF!,"AAAAADt+fMQ=")</f>
        <v>#REF!</v>
      </c>
      <c r="GP173" t="e">
        <f>AND(Demos!#REF!,"AAAAADt+fMU=")</f>
        <v>#REF!</v>
      </c>
      <c r="GQ173" t="e">
        <f>AND(Demos!#REF!,"AAAAADt+fMY=")</f>
        <v>#REF!</v>
      </c>
      <c r="GR173" t="e">
        <f>AND(Demos!#REF!,"AAAAADt+fMc=")</f>
        <v>#REF!</v>
      </c>
      <c r="GS173" t="e">
        <f>AND(Demos!#REF!,"AAAAADt+fMg=")</f>
        <v>#REF!</v>
      </c>
      <c r="GT173" t="e">
        <f>AND(Demos!#REF!,"AAAAADt+fMk=")</f>
        <v>#REF!</v>
      </c>
      <c r="GU173" t="e">
        <f>AND(Demos!#REF!,"AAAAADt+fMo=")</f>
        <v>#REF!</v>
      </c>
      <c r="GV173" t="e">
        <f>AND(Demos!#REF!,"AAAAADt+fMs=")</f>
        <v>#REF!</v>
      </c>
      <c r="GW173" t="e">
        <f>AND(Demos!#REF!,"AAAAADt+fMw=")</f>
        <v>#REF!</v>
      </c>
      <c r="GX173" t="e">
        <f>AND(Demos!#REF!,"AAAAADt+fM0=")</f>
        <v>#REF!</v>
      </c>
      <c r="GY173">
        <f>IF(Demos!21:21,"AAAAADt+fM4=",0)</f>
        <v>0</v>
      </c>
      <c r="GZ173" t="e">
        <f>AND(Demos!A22,"AAAAADt+fM8=")</f>
        <v>#VALUE!</v>
      </c>
      <c r="HA173" t="e">
        <f>AND(Demos!B22,"AAAAADt+fNA=")</f>
        <v>#VALUE!</v>
      </c>
      <c r="HB173" t="e">
        <f>AND(Demos!#REF!,"AAAAADt+fNE=")</f>
        <v>#REF!</v>
      </c>
      <c r="HC173" t="e">
        <f>AND(Demos!C22,"AAAAADt+fNI=")</f>
        <v>#VALUE!</v>
      </c>
      <c r="HD173" t="e">
        <f>AND(Demos!#REF!,"AAAAADt+fNM=")</f>
        <v>#REF!</v>
      </c>
      <c r="HE173" t="e">
        <f>AND(Demos!#REF!,"AAAAADt+fNQ=")</f>
        <v>#REF!</v>
      </c>
      <c r="HF173" t="e">
        <f>AND(Demos!#REF!,"AAAAADt+fNU=")</f>
        <v>#REF!</v>
      </c>
      <c r="HG173" t="e">
        <f>AND(Demos!#REF!,"AAAAADt+fNY=")</f>
        <v>#REF!</v>
      </c>
      <c r="HH173" t="e">
        <f>AND(Demos!D22,"AAAAADt+fNc=")</f>
        <v>#VALUE!</v>
      </c>
      <c r="HI173" t="e">
        <f>AND(Demos!#REF!,"AAAAADt+fNg=")</f>
        <v>#REF!</v>
      </c>
      <c r="HJ173" t="e">
        <f>AND(Demos!E22,"AAAAADt+fNk=")</f>
        <v>#VALUE!</v>
      </c>
      <c r="HK173" t="e">
        <f>AND(Demos!F22,"AAAAADt+fNo=")</f>
        <v>#VALUE!</v>
      </c>
      <c r="HL173" t="e">
        <f>AND(Demos!G22,"AAAAADt+fNs=")</f>
        <v>#VALUE!</v>
      </c>
      <c r="HM173" t="e">
        <f>IF(Demos!#REF!,"AAAAADt+fNw=",0)</f>
        <v>#REF!</v>
      </c>
      <c r="HN173" t="e">
        <f>AND(Demos!A47,"AAAAADt+fN0=")</f>
        <v>#VALUE!</v>
      </c>
      <c r="HO173" t="e">
        <f>AND(Demos!B47,"AAAAADt+fN4=")</f>
        <v>#VALUE!</v>
      </c>
      <c r="HP173" t="e">
        <f>AND(Demos!#REF!,"AAAAADt+fN8=")</f>
        <v>#REF!</v>
      </c>
      <c r="HQ173" t="e">
        <f>AND(Demos!C47,"AAAAADt+fOA=")</f>
        <v>#VALUE!</v>
      </c>
      <c r="HR173" t="e">
        <f>AND(Demos!#REF!,"AAAAADt+fOE=")</f>
        <v>#REF!</v>
      </c>
      <c r="HS173" t="e">
        <f>AND(Demos!#REF!,"AAAAADt+fOI=")</f>
        <v>#REF!</v>
      </c>
      <c r="HT173" t="e">
        <f>AND(Demos!#REF!,"AAAAADt+fOM=")</f>
        <v>#REF!</v>
      </c>
      <c r="HU173" t="e">
        <f>AND(Demos!#REF!,"AAAAADt+fOQ=")</f>
        <v>#REF!</v>
      </c>
      <c r="HV173" t="e">
        <f>AND(Demos!D47,"AAAAADt+fOU=")</f>
        <v>#VALUE!</v>
      </c>
      <c r="HW173" t="e">
        <f>AND(Demos!#REF!,"AAAAADt+fOY=")</f>
        <v>#REF!</v>
      </c>
      <c r="HX173" t="e">
        <f>AND(Demos!E47,"AAAAADt+fOc=")</f>
        <v>#VALUE!</v>
      </c>
      <c r="HY173" t="e">
        <f>AND(Demos!F47,"AAAAADt+fOg=")</f>
        <v>#VALUE!</v>
      </c>
      <c r="HZ173" t="e">
        <f>AND(Demos!G47,"AAAAADt+fOk=")</f>
        <v>#VALUE!</v>
      </c>
      <c r="IA173">
        <f>IF(Demos!22:22,"AAAAADt+fOo=",0)</f>
        <v>0</v>
      </c>
      <c r="IB173" t="e">
        <f>AND(Demos!#REF!,"AAAAADt+fOs=")</f>
        <v>#REF!</v>
      </c>
      <c r="IC173" t="e">
        <f>AND(Demos!#REF!,"AAAAADt+fOw=")</f>
        <v>#REF!</v>
      </c>
      <c r="ID173" t="e">
        <f>AND(Demos!#REF!,"AAAAADt+fO0=")</f>
        <v>#REF!</v>
      </c>
      <c r="IE173" t="e">
        <f>AND(Demos!#REF!,"AAAAADt+fO4=")</f>
        <v>#REF!</v>
      </c>
      <c r="IF173" t="e">
        <f>AND(Demos!#REF!,"AAAAADt+fO8=")</f>
        <v>#REF!</v>
      </c>
      <c r="IG173" t="e">
        <f>AND(Demos!#REF!,"AAAAADt+fPA=")</f>
        <v>#REF!</v>
      </c>
      <c r="IH173" t="e">
        <f>AND(Demos!#REF!,"AAAAADt+fPE=")</f>
        <v>#REF!</v>
      </c>
      <c r="II173" t="e">
        <f>AND(Demos!#REF!,"AAAAADt+fPI=")</f>
        <v>#REF!</v>
      </c>
      <c r="IJ173" t="e">
        <f>AND(Demos!#REF!,"AAAAADt+fPM=")</f>
        <v>#REF!</v>
      </c>
      <c r="IK173" t="e">
        <f>AND(Demos!#REF!,"AAAAADt+fPQ=")</f>
        <v>#REF!</v>
      </c>
      <c r="IL173" t="e">
        <f>AND(Demos!#REF!,"AAAAADt+fPU=")</f>
        <v>#REF!</v>
      </c>
      <c r="IM173" t="e">
        <f>AND(Demos!#REF!,"AAAAADt+fPY=")</f>
        <v>#REF!</v>
      </c>
      <c r="IN173" t="e">
        <f>AND(Demos!#REF!,"AAAAADt+fPc=")</f>
        <v>#REF!</v>
      </c>
      <c r="IO173">
        <f>IF(Demos!47:47,"AAAAADt+fPg=",0)</f>
        <v>0</v>
      </c>
      <c r="IP173" t="e">
        <f>AND(Demos!#REF!,"AAAAADt+fPk=")</f>
        <v>#REF!</v>
      </c>
      <c r="IQ173" t="e">
        <f>AND(Demos!#REF!,"AAAAADt+fPo=")</f>
        <v>#REF!</v>
      </c>
      <c r="IR173" t="e">
        <f>AND(Demos!#REF!,"AAAAADt+fPs=")</f>
        <v>#REF!</v>
      </c>
      <c r="IS173" t="e">
        <f>AND(Demos!#REF!,"AAAAADt+fPw=")</f>
        <v>#REF!</v>
      </c>
      <c r="IT173" t="e">
        <f>AND(Demos!#REF!,"AAAAADt+fP0=")</f>
        <v>#REF!</v>
      </c>
      <c r="IU173" t="e">
        <f>AND(Demos!#REF!,"AAAAADt+fP4=")</f>
        <v>#REF!</v>
      </c>
      <c r="IV173" t="e">
        <f>AND(Demos!#REF!,"AAAAADt+fP8=")</f>
        <v>#REF!</v>
      </c>
    </row>
    <row r="174" spans="1:256" x14ac:dyDescent="0.2">
      <c r="A174" t="e">
        <f>AND(Demos!#REF!,"AAAAAFLX/wA=")</f>
        <v>#REF!</v>
      </c>
      <c r="B174" t="e">
        <f>AND(Demos!#REF!,"AAAAAFLX/wE=")</f>
        <v>#REF!</v>
      </c>
      <c r="C174" t="e">
        <f>AND(Demos!#REF!,"AAAAAFLX/wI=")</f>
        <v>#REF!</v>
      </c>
      <c r="D174" t="e">
        <f>AND(Demos!#REF!,"AAAAAFLX/wM=")</f>
        <v>#REF!</v>
      </c>
      <c r="E174" t="e">
        <f>AND(Demos!#REF!,"AAAAAFLX/wQ=")</f>
        <v>#REF!</v>
      </c>
      <c r="F174" t="e">
        <f>AND(Demos!#REF!,"AAAAAFLX/wU=")</f>
        <v>#REF!</v>
      </c>
      <c r="G174" t="e">
        <f>IF(Demos!#REF!,"AAAAAFLX/wY=",0)</f>
        <v>#REF!</v>
      </c>
      <c r="H174" t="e">
        <f>AND(Demos!#REF!,"AAAAAFLX/wc=")</f>
        <v>#REF!</v>
      </c>
      <c r="I174" t="e">
        <f>AND(Demos!#REF!,"AAAAAFLX/wg=")</f>
        <v>#REF!</v>
      </c>
      <c r="J174" t="e">
        <f>AND(Demos!#REF!,"AAAAAFLX/wk=")</f>
        <v>#REF!</v>
      </c>
      <c r="K174" t="e">
        <f>AND(Demos!#REF!,"AAAAAFLX/wo=")</f>
        <v>#REF!</v>
      </c>
      <c r="L174" t="e">
        <f>AND(Demos!#REF!,"AAAAAFLX/ws=")</f>
        <v>#REF!</v>
      </c>
      <c r="M174" t="e">
        <f>AND(Demos!#REF!,"AAAAAFLX/ww=")</f>
        <v>#REF!</v>
      </c>
      <c r="N174" t="e">
        <f>AND(Demos!#REF!,"AAAAAFLX/w0=")</f>
        <v>#REF!</v>
      </c>
      <c r="O174" t="e">
        <f>AND(Demos!#REF!,"AAAAAFLX/w4=")</f>
        <v>#REF!</v>
      </c>
      <c r="P174" t="e">
        <f>AND(Demos!#REF!,"AAAAAFLX/w8=")</f>
        <v>#REF!</v>
      </c>
      <c r="Q174" t="e">
        <f>AND(Demos!#REF!,"AAAAAFLX/xA=")</f>
        <v>#REF!</v>
      </c>
      <c r="R174" t="e">
        <f>AND(Demos!#REF!,"AAAAAFLX/xE=")</f>
        <v>#REF!</v>
      </c>
      <c r="S174" t="e">
        <f>AND(Demos!#REF!,"AAAAAFLX/xI=")</f>
        <v>#REF!</v>
      </c>
      <c r="T174" t="e">
        <f>AND(Demos!#REF!,"AAAAAFLX/xM=")</f>
        <v>#REF!</v>
      </c>
      <c r="U174" t="e">
        <f>IF(Demos!#REF!,"AAAAAFLX/xQ=",0)</f>
        <v>#REF!</v>
      </c>
      <c r="V174" t="e">
        <f>AND(Demos!#REF!,"AAAAAFLX/xU=")</f>
        <v>#REF!</v>
      </c>
      <c r="W174" t="e">
        <f>AND(Demos!#REF!,"AAAAAFLX/xY=")</f>
        <v>#REF!</v>
      </c>
      <c r="X174" t="e">
        <f>AND(Demos!#REF!,"AAAAAFLX/xc=")</f>
        <v>#REF!</v>
      </c>
      <c r="Y174" t="e">
        <f>AND(Demos!#REF!,"AAAAAFLX/xg=")</f>
        <v>#REF!</v>
      </c>
      <c r="Z174" t="e">
        <f>AND(Demos!#REF!,"AAAAAFLX/xk=")</f>
        <v>#REF!</v>
      </c>
      <c r="AA174" t="e">
        <f>AND(Demos!#REF!,"AAAAAFLX/xo=")</f>
        <v>#REF!</v>
      </c>
      <c r="AB174" t="e">
        <f>AND(Demos!#REF!,"AAAAAFLX/xs=")</f>
        <v>#REF!</v>
      </c>
      <c r="AC174" t="e">
        <f>AND(Demos!#REF!,"AAAAAFLX/xw=")</f>
        <v>#REF!</v>
      </c>
      <c r="AD174" t="e">
        <f>AND(Demos!#REF!,"AAAAAFLX/x0=")</f>
        <v>#REF!</v>
      </c>
      <c r="AE174" t="e">
        <f>AND(Demos!#REF!,"AAAAAFLX/x4=")</f>
        <v>#REF!</v>
      </c>
      <c r="AF174" t="e">
        <f>AND(Demos!#REF!,"AAAAAFLX/x8=")</f>
        <v>#REF!</v>
      </c>
      <c r="AG174" t="e">
        <f>AND(Demos!#REF!,"AAAAAFLX/yA=")</f>
        <v>#REF!</v>
      </c>
      <c r="AH174" t="e">
        <f>AND(Demos!#REF!,"AAAAAFLX/yE=")</f>
        <v>#REF!</v>
      </c>
      <c r="AI174" t="e">
        <f>IF(Demos!#REF!,"AAAAAFLX/yI=",0)</f>
        <v>#REF!</v>
      </c>
      <c r="AJ174" t="e">
        <f>AND(Demos!#REF!,"AAAAAFLX/yM=")</f>
        <v>#REF!</v>
      </c>
      <c r="AK174" t="e">
        <f>AND(Demos!#REF!,"AAAAAFLX/yQ=")</f>
        <v>#REF!</v>
      </c>
      <c r="AL174" t="e">
        <f>AND(Demos!#REF!,"AAAAAFLX/yU=")</f>
        <v>#REF!</v>
      </c>
      <c r="AM174" t="e">
        <f>AND(Demos!#REF!,"AAAAAFLX/yY=")</f>
        <v>#REF!</v>
      </c>
      <c r="AN174" t="e">
        <f>AND(Demos!#REF!,"AAAAAFLX/yc=")</f>
        <v>#REF!</v>
      </c>
      <c r="AO174" t="e">
        <f>AND(Demos!#REF!,"AAAAAFLX/yg=")</f>
        <v>#REF!</v>
      </c>
      <c r="AP174" t="e">
        <f>AND(Demos!#REF!,"AAAAAFLX/yk=")</f>
        <v>#REF!</v>
      </c>
      <c r="AQ174" t="e">
        <f>AND(Demos!#REF!,"AAAAAFLX/yo=")</f>
        <v>#REF!</v>
      </c>
      <c r="AR174" t="e">
        <f>AND(Demos!#REF!,"AAAAAFLX/ys=")</f>
        <v>#REF!</v>
      </c>
      <c r="AS174" t="e">
        <f>AND(Demos!#REF!,"AAAAAFLX/yw=")</f>
        <v>#REF!</v>
      </c>
      <c r="AT174" t="e">
        <f>AND(Demos!#REF!,"AAAAAFLX/y0=")</f>
        <v>#REF!</v>
      </c>
      <c r="AU174" t="e">
        <f>AND(Demos!#REF!,"AAAAAFLX/y4=")</f>
        <v>#REF!</v>
      </c>
      <c r="AV174" t="e">
        <f>AND(Demos!#REF!,"AAAAAFLX/y8=")</f>
        <v>#REF!</v>
      </c>
      <c r="AW174" t="e">
        <f>IF(Demos!#REF!,"AAAAAFLX/zA=",0)</f>
        <v>#REF!</v>
      </c>
      <c r="AX174" t="e">
        <f>AND(Demos!#REF!,"AAAAAFLX/zE=")</f>
        <v>#REF!</v>
      </c>
      <c r="AY174" t="e">
        <f>AND(Demos!#REF!,"AAAAAFLX/zI=")</f>
        <v>#REF!</v>
      </c>
      <c r="AZ174" t="e">
        <f>AND(Demos!#REF!,"AAAAAFLX/zM=")</f>
        <v>#REF!</v>
      </c>
      <c r="BA174" t="e">
        <f>AND(Demos!#REF!,"AAAAAFLX/zQ=")</f>
        <v>#REF!</v>
      </c>
      <c r="BB174" t="e">
        <f>AND(Demos!#REF!,"AAAAAFLX/zU=")</f>
        <v>#REF!</v>
      </c>
      <c r="BC174" t="e">
        <f>AND(Demos!#REF!,"AAAAAFLX/zY=")</f>
        <v>#REF!</v>
      </c>
      <c r="BD174" t="e">
        <f>AND(Demos!#REF!,"AAAAAFLX/zc=")</f>
        <v>#REF!</v>
      </c>
      <c r="BE174" t="e">
        <f>AND(Demos!#REF!,"AAAAAFLX/zg=")</f>
        <v>#REF!</v>
      </c>
      <c r="BF174" t="e">
        <f>AND(Demos!#REF!,"AAAAAFLX/zk=")</f>
        <v>#REF!</v>
      </c>
      <c r="BG174" t="e">
        <f>AND(Demos!#REF!,"AAAAAFLX/zo=")</f>
        <v>#REF!</v>
      </c>
      <c r="BH174" t="e">
        <f>AND(Demos!#REF!,"AAAAAFLX/zs=")</f>
        <v>#REF!</v>
      </c>
      <c r="BI174" t="e">
        <f>AND(Demos!#REF!,"AAAAAFLX/zw=")</f>
        <v>#REF!</v>
      </c>
      <c r="BJ174" t="e">
        <f>AND(Demos!#REF!,"AAAAAFLX/z0=")</f>
        <v>#REF!</v>
      </c>
      <c r="BK174" t="e">
        <f>IF(Demos!#REF!,"AAAAAFLX/z4=",0)</f>
        <v>#REF!</v>
      </c>
      <c r="BL174" t="e">
        <f>AND(Demos!#REF!,"AAAAAFLX/z8=")</f>
        <v>#REF!</v>
      </c>
      <c r="BM174" t="e">
        <f>AND(Demos!#REF!,"AAAAAFLX/0A=")</f>
        <v>#REF!</v>
      </c>
      <c r="BN174" t="e">
        <f>AND(Demos!#REF!,"AAAAAFLX/0E=")</f>
        <v>#REF!</v>
      </c>
      <c r="BO174" t="e">
        <f>AND(Demos!#REF!,"AAAAAFLX/0I=")</f>
        <v>#REF!</v>
      </c>
      <c r="BP174" t="e">
        <f>AND(Demos!#REF!,"AAAAAFLX/0M=")</f>
        <v>#REF!</v>
      </c>
      <c r="BQ174" t="e">
        <f>AND(Demos!#REF!,"AAAAAFLX/0Q=")</f>
        <v>#REF!</v>
      </c>
      <c r="BR174" t="e">
        <f>AND(Demos!#REF!,"AAAAAFLX/0U=")</f>
        <v>#REF!</v>
      </c>
      <c r="BS174" t="e">
        <f>AND(Demos!#REF!,"AAAAAFLX/0Y=")</f>
        <v>#REF!</v>
      </c>
      <c r="BT174" t="e">
        <f>AND(Demos!#REF!,"AAAAAFLX/0c=")</f>
        <v>#REF!</v>
      </c>
      <c r="BU174" t="e">
        <f>AND(Demos!#REF!,"AAAAAFLX/0g=")</f>
        <v>#REF!</v>
      </c>
      <c r="BV174" t="e">
        <f>AND(Demos!#REF!,"AAAAAFLX/0k=")</f>
        <v>#REF!</v>
      </c>
      <c r="BW174" t="e">
        <f>AND(Demos!#REF!,"AAAAAFLX/0o=")</f>
        <v>#REF!</v>
      </c>
      <c r="BX174" t="e">
        <f>AND(Demos!#REF!,"AAAAAFLX/0s=")</f>
        <v>#REF!</v>
      </c>
      <c r="BY174" t="e">
        <f>IF(Demos!#REF!,"AAAAAFLX/0w=",0)</f>
        <v>#REF!</v>
      </c>
      <c r="BZ174" t="e">
        <f>AND(Demos!#REF!,"AAAAAFLX/00=")</f>
        <v>#REF!</v>
      </c>
      <c r="CA174" t="e">
        <f>AND(Demos!#REF!,"AAAAAFLX/04=")</f>
        <v>#REF!</v>
      </c>
      <c r="CB174" t="e">
        <f>AND(Demos!#REF!,"AAAAAFLX/08=")</f>
        <v>#REF!</v>
      </c>
      <c r="CC174" t="e">
        <f>AND(Demos!#REF!,"AAAAAFLX/1A=")</f>
        <v>#REF!</v>
      </c>
      <c r="CD174" t="e">
        <f>AND(Demos!#REF!,"AAAAAFLX/1E=")</f>
        <v>#REF!</v>
      </c>
      <c r="CE174" t="e">
        <f>AND(Demos!#REF!,"AAAAAFLX/1I=")</f>
        <v>#REF!</v>
      </c>
      <c r="CF174" t="e">
        <f>AND(Demos!#REF!,"AAAAAFLX/1M=")</f>
        <v>#REF!</v>
      </c>
      <c r="CG174" t="e">
        <f>AND(Demos!#REF!,"AAAAAFLX/1Q=")</f>
        <v>#REF!</v>
      </c>
      <c r="CH174" t="e">
        <f>AND(Demos!#REF!,"AAAAAFLX/1U=")</f>
        <v>#REF!</v>
      </c>
      <c r="CI174" t="e">
        <f>AND(Demos!#REF!,"AAAAAFLX/1Y=")</f>
        <v>#REF!</v>
      </c>
      <c r="CJ174" t="e">
        <f>AND(Demos!#REF!,"AAAAAFLX/1c=")</f>
        <v>#REF!</v>
      </c>
      <c r="CK174" t="e">
        <f>AND(Demos!#REF!,"AAAAAFLX/1g=")</f>
        <v>#REF!</v>
      </c>
      <c r="CL174" t="e">
        <f>AND(Demos!#REF!,"AAAAAFLX/1k=")</f>
        <v>#REF!</v>
      </c>
      <c r="CM174" t="e">
        <f>IF(Demos!#REF!,"AAAAAFLX/1o=",0)</f>
        <v>#REF!</v>
      </c>
      <c r="CN174" t="e">
        <f>AND(Demos!#REF!,"AAAAAFLX/1s=")</f>
        <v>#REF!</v>
      </c>
      <c r="CO174" t="e">
        <f>AND(Demos!#REF!,"AAAAAFLX/1w=")</f>
        <v>#REF!</v>
      </c>
      <c r="CP174" t="e">
        <f>AND(Demos!#REF!,"AAAAAFLX/10=")</f>
        <v>#REF!</v>
      </c>
      <c r="CQ174" t="e">
        <f>AND(Demos!#REF!,"AAAAAFLX/14=")</f>
        <v>#REF!</v>
      </c>
      <c r="CR174" t="e">
        <f>AND(Demos!#REF!,"AAAAAFLX/18=")</f>
        <v>#REF!</v>
      </c>
      <c r="CS174" t="e">
        <f>AND(Demos!#REF!,"AAAAAFLX/2A=")</f>
        <v>#REF!</v>
      </c>
      <c r="CT174" t="e">
        <f>AND(Demos!#REF!,"AAAAAFLX/2E=")</f>
        <v>#REF!</v>
      </c>
      <c r="CU174" t="e">
        <f>AND(Demos!#REF!,"AAAAAFLX/2I=")</f>
        <v>#REF!</v>
      </c>
      <c r="CV174" t="e">
        <f>AND(Demos!#REF!,"AAAAAFLX/2M=")</f>
        <v>#REF!</v>
      </c>
      <c r="CW174" t="e">
        <f>AND(Demos!#REF!,"AAAAAFLX/2Q=")</f>
        <v>#REF!</v>
      </c>
      <c r="CX174" t="e">
        <f>AND(Demos!#REF!,"AAAAAFLX/2U=")</f>
        <v>#REF!</v>
      </c>
      <c r="CY174" t="e">
        <f>AND(Demos!#REF!,"AAAAAFLX/2Y=")</f>
        <v>#REF!</v>
      </c>
      <c r="CZ174" t="e">
        <f>AND(Demos!#REF!,"AAAAAFLX/2c=")</f>
        <v>#REF!</v>
      </c>
      <c r="DA174" t="e">
        <f>IF(Demos!#REF!,"AAAAAFLX/2g=",0)</f>
        <v>#REF!</v>
      </c>
      <c r="DB174" t="e">
        <f>AND(Demos!#REF!,"AAAAAFLX/2k=")</f>
        <v>#REF!</v>
      </c>
      <c r="DC174" t="e">
        <f>AND(Demos!#REF!,"AAAAAFLX/2o=")</f>
        <v>#REF!</v>
      </c>
      <c r="DD174" t="e">
        <f>AND(Demos!#REF!,"AAAAAFLX/2s=")</f>
        <v>#REF!</v>
      </c>
      <c r="DE174" t="e">
        <f>AND(Demos!#REF!,"AAAAAFLX/2w=")</f>
        <v>#REF!</v>
      </c>
      <c r="DF174" t="e">
        <f>AND(Demos!#REF!,"AAAAAFLX/20=")</f>
        <v>#REF!</v>
      </c>
      <c r="DG174" t="e">
        <f>AND(Demos!#REF!,"AAAAAFLX/24=")</f>
        <v>#REF!</v>
      </c>
      <c r="DH174" t="e">
        <f>AND(Demos!#REF!,"AAAAAFLX/28=")</f>
        <v>#REF!</v>
      </c>
      <c r="DI174" t="e">
        <f>AND(Demos!#REF!,"AAAAAFLX/3A=")</f>
        <v>#REF!</v>
      </c>
      <c r="DJ174" t="e">
        <f>AND(Demos!#REF!,"AAAAAFLX/3E=")</f>
        <v>#REF!</v>
      </c>
      <c r="DK174" t="e">
        <f>AND(Demos!#REF!,"AAAAAFLX/3I=")</f>
        <v>#REF!</v>
      </c>
      <c r="DL174" t="e">
        <f>AND(Demos!#REF!,"AAAAAFLX/3M=")</f>
        <v>#REF!</v>
      </c>
      <c r="DM174" t="e">
        <f>AND(Demos!#REF!,"AAAAAFLX/3Q=")</f>
        <v>#REF!</v>
      </c>
      <c r="DN174" t="e">
        <f>AND(Demos!#REF!,"AAAAAFLX/3U=")</f>
        <v>#REF!</v>
      </c>
      <c r="DO174" t="e">
        <f>IF(Demos!#REF!,"AAAAAFLX/3Y=",0)</f>
        <v>#REF!</v>
      </c>
      <c r="DP174" t="e">
        <f>AND(Demos!#REF!,"AAAAAFLX/3c=")</f>
        <v>#REF!</v>
      </c>
      <c r="DQ174" t="e">
        <f>AND(Demos!#REF!,"AAAAAFLX/3g=")</f>
        <v>#REF!</v>
      </c>
      <c r="DR174" t="e">
        <f>AND(Demos!#REF!,"AAAAAFLX/3k=")</f>
        <v>#REF!</v>
      </c>
      <c r="DS174" t="e">
        <f>AND(Demos!#REF!,"AAAAAFLX/3o=")</f>
        <v>#REF!</v>
      </c>
      <c r="DT174" t="e">
        <f>AND(Demos!#REF!,"AAAAAFLX/3s=")</f>
        <v>#REF!</v>
      </c>
      <c r="DU174" t="e">
        <f>AND(Demos!#REF!,"AAAAAFLX/3w=")</f>
        <v>#REF!</v>
      </c>
      <c r="DV174" t="e">
        <f>AND(Demos!#REF!,"AAAAAFLX/30=")</f>
        <v>#REF!</v>
      </c>
      <c r="DW174" t="e">
        <f>AND(Demos!#REF!,"AAAAAFLX/34=")</f>
        <v>#REF!</v>
      </c>
      <c r="DX174" t="e">
        <f>AND(Demos!#REF!,"AAAAAFLX/38=")</f>
        <v>#REF!</v>
      </c>
      <c r="DY174" t="e">
        <f>AND(Demos!#REF!,"AAAAAFLX/4A=")</f>
        <v>#REF!</v>
      </c>
      <c r="DZ174" t="e">
        <f>AND(Demos!#REF!,"AAAAAFLX/4E=")</f>
        <v>#REF!</v>
      </c>
      <c r="EA174" t="e">
        <f>AND(Demos!#REF!,"AAAAAFLX/4I=")</f>
        <v>#REF!</v>
      </c>
      <c r="EB174" t="e">
        <f>AND(Demos!#REF!,"AAAAAFLX/4M=")</f>
        <v>#REF!</v>
      </c>
      <c r="EC174" t="e">
        <f>IF(Demos!#REF!,"AAAAAFLX/4Q=",0)</f>
        <v>#REF!</v>
      </c>
      <c r="ED174" t="e">
        <f>AND(Demos!#REF!,"AAAAAFLX/4U=")</f>
        <v>#REF!</v>
      </c>
      <c r="EE174" t="e">
        <f>AND(Demos!#REF!,"AAAAAFLX/4Y=")</f>
        <v>#REF!</v>
      </c>
      <c r="EF174" t="e">
        <f>AND(Demos!#REF!,"AAAAAFLX/4c=")</f>
        <v>#REF!</v>
      </c>
      <c r="EG174" t="e">
        <f>AND(Demos!#REF!,"AAAAAFLX/4g=")</f>
        <v>#REF!</v>
      </c>
      <c r="EH174" t="e">
        <f>AND(Demos!#REF!,"AAAAAFLX/4k=")</f>
        <v>#REF!</v>
      </c>
      <c r="EI174" t="e">
        <f>AND(Demos!#REF!,"AAAAAFLX/4o=")</f>
        <v>#REF!</v>
      </c>
      <c r="EJ174" t="e">
        <f>AND(Demos!#REF!,"AAAAAFLX/4s=")</f>
        <v>#REF!</v>
      </c>
      <c r="EK174" t="e">
        <f>AND(Demos!#REF!,"AAAAAFLX/4w=")</f>
        <v>#REF!</v>
      </c>
      <c r="EL174" t="e">
        <f>AND(Demos!#REF!,"AAAAAFLX/40=")</f>
        <v>#REF!</v>
      </c>
      <c r="EM174" t="e">
        <f>AND(Demos!#REF!,"AAAAAFLX/44=")</f>
        <v>#REF!</v>
      </c>
      <c r="EN174" t="e">
        <f>AND(Demos!#REF!,"AAAAAFLX/48=")</f>
        <v>#REF!</v>
      </c>
      <c r="EO174" t="e">
        <f>AND(Demos!#REF!,"AAAAAFLX/5A=")</f>
        <v>#REF!</v>
      </c>
      <c r="EP174" t="e">
        <f>AND(Demos!#REF!,"AAAAAFLX/5E=")</f>
        <v>#REF!</v>
      </c>
      <c r="EQ174" t="e">
        <f>IF(Demos!#REF!,"AAAAAFLX/5I=",0)</f>
        <v>#REF!</v>
      </c>
      <c r="ER174" t="e">
        <f>AND(Demos!#REF!,"AAAAAFLX/5M=")</f>
        <v>#REF!</v>
      </c>
      <c r="ES174" t="e">
        <f>AND(Demos!#REF!,"AAAAAFLX/5Q=")</f>
        <v>#REF!</v>
      </c>
      <c r="ET174" t="e">
        <f>AND(Demos!#REF!,"AAAAAFLX/5U=")</f>
        <v>#REF!</v>
      </c>
      <c r="EU174" t="e">
        <f>AND(Demos!#REF!,"AAAAAFLX/5Y=")</f>
        <v>#REF!</v>
      </c>
      <c r="EV174" t="e">
        <f>AND(Demos!#REF!,"AAAAAFLX/5c=")</f>
        <v>#REF!</v>
      </c>
      <c r="EW174" t="e">
        <f>AND(Demos!#REF!,"AAAAAFLX/5g=")</f>
        <v>#REF!</v>
      </c>
      <c r="EX174" t="e">
        <f>AND(Demos!#REF!,"AAAAAFLX/5k=")</f>
        <v>#REF!</v>
      </c>
      <c r="EY174" t="e">
        <f>AND(Demos!#REF!,"AAAAAFLX/5o=")</f>
        <v>#REF!</v>
      </c>
      <c r="EZ174" t="e">
        <f>AND(Demos!#REF!,"AAAAAFLX/5s=")</f>
        <v>#REF!</v>
      </c>
      <c r="FA174" t="e">
        <f>AND(Demos!#REF!,"AAAAAFLX/5w=")</f>
        <v>#REF!</v>
      </c>
      <c r="FB174" t="e">
        <f>AND(Demos!#REF!,"AAAAAFLX/50=")</f>
        <v>#REF!</v>
      </c>
      <c r="FC174" t="e">
        <f>AND(Demos!#REF!,"AAAAAFLX/54=")</f>
        <v>#REF!</v>
      </c>
      <c r="FD174" t="e">
        <f>AND(Demos!#REF!,"AAAAAFLX/58=")</f>
        <v>#REF!</v>
      </c>
      <c r="FE174" t="e">
        <f>IF(Demos!#REF!,"AAAAAFLX/6A=",0)</f>
        <v>#REF!</v>
      </c>
      <c r="FF174" t="e">
        <f>AND(Demos!#REF!,"AAAAAFLX/6E=")</f>
        <v>#REF!</v>
      </c>
      <c r="FG174" t="e">
        <f>AND(Demos!#REF!,"AAAAAFLX/6I=")</f>
        <v>#REF!</v>
      </c>
      <c r="FH174" t="e">
        <f>AND(Demos!#REF!,"AAAAAFLX/6M=")</f>
        <v>#REF!</v>
      </c>
      <c r="FI174" t="e">
        <f>AND(Demos!#REF!,"AAAAAFLX/6Q=")</f>
        <v>#REF!</v>
      </c>
      <c r="FJ174" t="e">
        <f>AND(Demos!#REF!,"AAAAAFLX/6U=")</f>
        <v>#REF!</v>
      </c>
      <c r="FK174" t="e">
        <f>AND(Demos!#REF!,"AAAAAFLX/6Y=")</f>
        <v>#REF!</v>
      </c>
      <c r="FL174" t="e">
        <f>AND(Demos!#REF!,"AAAAAFLX/6c=")</f>
        <v>#REF!</v>
      </c>
      <c r="FM174" t="e">
        <f>AND(Demos!#REF!,"AAAAAFLX/6g=")</f>
        <v>#REF!</v>
      </c>
      <c r="FN174" t="e">
        <f>AND(Demos!#REF!,"AAAAAFLX/6k=")</f>
        <v>#REF!</v>
      </c>
      <c r="FO174" t="e">
        <f>AND(Demos!#REF!,"AAAAAFLX/6o=")</f>
        <v>#REF!</v>
      </c>
      <c r="FP174" t="e">
        <f>AND(Demos!#REF!,"AAAAAFLX/6s=")</f>
        <v>#REF!</v>
      </c>
      <c r="FQ174" t="e">
        <f>AND(Demos!#REF!,"AAAAAFLX/6w=")</f>
        <v>#REF!</v>
      </c>
      <c r="FR174" t="e">
        <f>AND(Demos!#REF!,"AAAAAFLX/60=")</f>
        <v>#REF!</v>
      </c>
      <c r="FS174" t="e">
        <f>IF(Demos!#REF!,"AAAAAFLX/64=",0)</f>
        <v>#REF!</v>
      </c>
      <c r="FT174" t="e">
        <f>AND(Demos!#REF!,"AAAAAFLX/68=")</f>
        <v>#REF!</v>
      </c>
      <c r="FU174" t="e">
        <f>AND(Demos!#REF!,"AAAAAFLX/7A=")</f>
        <v>#REF!</v>
      </c>
      <c r="FV174" t="e">
        <f>AND(Demos!#REF!,"AAAAAFLX/7E=")</f>
        <v>#REF!</v>
      </c>
      <c r="FW174" t="e">
        <f>AND(Demos!#REF!,"AAAAAFLX/7I=")</f>
        <v>#REF!</v>
      </c>
      <c r="FX174" t="e">
        <f>AND(Demos!#REF!,"AAAAAFLX/7M=")</f>
        <v>#REF!</v>
      </c>
      <c r="FY174" t="e">
        <f>AND(Demos!#REF!,"AAAAAFLX/7Q=")</f>
        <v>#REF!</v>
      </c>
      <c r="FZ174" t="e">
        <f>AND(Demos!#REF!,"AAAAAFLX/7U=")</f>
        <v>#REF!</v>
      </c>
      <c r="GA174" t="e">
        <f>AND(Demos!#REF!,"AAAAAFLX/7Y=")</f>
        <v>#REF!</v>
      </c>
      <c r="GB174" t="e">
        <f>AND(Demos!#REF!,"AAAAAFLX/7c=")</f>
        <v>#REF!</v>
      </c>
      <c r="GC174" t="e">
        <f>AND(Demos!#REF!,"AAAAAFLX/7g=")</f>
        <v>#REF!</v>
      </c>
      <c r="GD174" t="e">
        <f>AND(Demos!#REF!,"AAAAAFLX/7k=")</f>
        <v>#REF!</v>
      </c>
      <c r="GE174" t="e">
        <f>AND(Demos!#REF!,"AAAAAFLX/7o=")</f>
        <v>#REF!</v>
      </c>
      <c r="GF174" t="e">
        <f>AND(Demos!#REF!,"AAAAAFLX/7s=")</f>
        <v>#REF!</v>
      </c>
      <c r="GG174" t="e">
        <f>IF(Demos!#REF!,"AAAAAFLX/7w=",0)</f>
        <v>#REF!</v>
      </c>
      <c r="GH174" t="e">
        <f>AND(Demos!#REF!,"AAAAAFLX/70=")</f>
        <v>#REF!</v>
      </c>
      <c r="GI174" t="e">
        <f>AND(Demos!#REF!,"AAAAAFLX/74=")</f>
        <v>#REF!</v>
      </c>
      <c r="GJ174" t="e">
        <f>AND(Demos!#REF!,"AAAAAFLX/78=")</f>
        <v>#REF!</v>
      </c>
      <c r="GK174" t="e">
        <f>AND(Demos!#REF!,"AAAAAFLX/8A=")</f>
        <v>#REF!</v>
      </c>
      <c r="GL174" t="e">
        <f>AND(Demos!#REF!,"AAAAAFLX/8E=")</f>
        <v>#REF!</v>
      </c>
      <c r="GM174" t="e">
        <f>AND(Demos!#REF!,"AAAAAFLX/8I=")</f>
        <v>#REF!</v>
      </c>
      <c r="GN174" t="e">
        <f>AND(Demos!#REF!,"AAAAAFLX/8M=")</f>
        <v>#REF!</v>
      </c>
      <c r="GO174" t="e">
        <f>AND(Demos!#REF!,"AAAAAFLX/8Q=")</f>
        <v>#REF!</v>
      </c>
      <c r="GP174" t="e">
        <f>AND(Demos!#REF!,"AAAAAFLX/8U=")</f>
        <v>#REF!</v>
      </c>
      <c r="GQ174" t="e">
        <f>AND(Demos!#REF!,"AAAAAFLX/8Y=")</f>
        <v>#REF!</v>
      </c>
      <c r="GR174" t="e">
        <f>AND(Demos!#REF!,"AAAAAFLX/8c=")</f>
        <v>#REF!</v>
      </c>
      <c r="GS174" t="e">
        <f>AND(Demos!#REF!,"AAAAAFLX/8g=")</f>
        <v>#REF!</v>
      </c>
      <c r="GT174" t="e">
        <f>AND(Demos!#REF!,"AAAAAFLX/8k=")</f>
        <v>#REF!</v>
      </c>
      <c r="GU174" t="e">
        <f>IF(Demos!#REF!,"AAAAAFLX/8o=",0)</f>
        <v>#REF!</v>
      </c>
      <c r="GV174" t="e">
        <f>AND(Demos!#REF!,"AAAAAFLX/8s=")</f>
        <v>#REF!</v>
      </c>
      <c r="GW174" t="e">
        <f>AND(Demos!#REF!,"AAAAAFLX/8w=")</f>
        <v>#REF!</v>
      </c>
      <c r="GX174" t="e">
        <f>AND(Demos!#REF!,"AAAAAFLX/80=")</f>
        <v>#REF!</v>
      </c>
      <c r="GY174" t="e">
        <f>AND(Demos!#REF!,"AAAAAFLX/84=")</f>
        <v>#REF!</v>
      </c>
      <c r="GZ174" t="e">
        <f>AND(Demos!#REF!,"AAAAAFLX/88=")</f>
        <v>#REF!</v>
      </c>
      <c r="HA174" t="e">
        <f>AND(Demos!#REF!,"AAAAAFLX/9A=")</f>
        <v>#REF!</v>
      </c>
      <c r="HB174" t="e">
        <f>AND(Demos!#REF!,"AAAAAFLX/9E=")</f>
        <v>#REF!</v>
      </c>
      <c r="HC174" t="e">
        <f>AND(Demos!#REF!,"AAAAAFLX/9I=")</f>
        <v>#REF!</v>
      </c>
      <c r="HD174" t="e">
        <f>AND(Demos!#REF!,"AAAAAFLX/9M=")</f>
        <v>#REF!</v>
      </c>
      <c r="HE174" t="e">
        <f>AND(Demos!#REF!,"AAAAAFLX/9Q=")</f>
        <v>#REF!</v>
      </c>
      <c r="HF174" t="e">
        <f>AND(Demos!#REF!,"AAAAAFLX/9U=")</f>
        <v>#REF!</v>
      </c>
      <c r="HG174" t="e">
        <f>AND(Demos!#REF!,"AAAAAFLX/9Y=")</f>
        <v>#REF!</v>
      </c>
      <c r="HH174" t="e">
        <f>AND(Demos!#REF!,"AAAAAFLX/9c=")</f>
        <v>#REF!</v>
      </c>
      <c r="HI174" t="e">
        <f>IF(Demos!#REF!,"AAAAAFLX/9g=",0)</f>
        <v>#REF!</v>
      </c>
      <c r="HJ174" t="e">
        <f>AND(Demos!#REF!,"AAAAAFLX/9k=")</f>
        <v>#REF!</v>
      </c>
      <c r="HK174" t="e">
        <f>AND(Demos!#REF!,"AAAAAFLX/9o=")</f>
        <v>#REF!</v>
      </c>
      <c r="HL174" t="e">
        <f>AND(Demos!#REF!,"AAAAAFLX/9s=")</f>
        <v>#REF!</v>
      </c>
      <c r="HM174" t="e">
        <f>AND(Demos!#REF!,"AAAAAFLX/9w=")</f>
        <v>#REF!</v>
      </c>
      <c r="HN174" t="e">
        <f>AND(Demos!#REF!,"AAAAAFLX/90=")</f>
        <v>#REF!</v>
      </c>
      <c r="HO174" t="e">
        <f>AND(Demos!#REF!,"AAAAAFLX/94=")</f>
        <v>#REF!</v>
      </c>
      <c r="HP174" t="e">
        <f>AND(Demos!#REF!,"AAAAAFLX/98=")</f>
        <v>#REF!</v>
      </c>
      <c r="HQ174" t="e">
        <f>AND(Demos!#REF!,"AAAAAFLX/+A=")</f>
        <v>#REF!</v>
      </c>
      <c r="HR174" t="e">
        <f>AND(Demos!#REF!,"AAAAAFLX/+E=")</f>
        <v>#REF!</v>
      </c>
      <c r="HS174" t="e">
        <f>AND(Demos!#REF!,"AAAAAFLX/+I=")</f>
        <v>#REF!</v>
      </c>
      <c r="HT174" t="e">
        <f>AND(Demos!#REF!,"AAAAAFLX/+M=")</f>
        <v>#REF!</v>
      </c>
      <c r="HU174" t="e">
        <f>AND(Demos!#REF!,"AAAAAFLX/+Q=")</f>
        <v>#REF!</v>
      </c>
      <c r="HV174" t="e">
        <f>AND(Demos!#REF!,"AAAAAFLX/+U=")</f>
        <v>#REF!</v>
      </c>
      <c r="HW174" t="e">
        <f>IF(Demos!#REF!,"AAAAAFLX/+Y=",0)</f>
        <v>#REF!</v>
      </c>
      <c r="HX174" t="e">
        <f>AND(Demos!#REF!,"AAAAAFLX/+c=")</f>
        <v>#REF!</v>
      </c>
      <c r="HY174" t="e">
        <f>AND(Demos!#REF!,"AAAAAFLX/+g=")</f>
        <v>#REF!</v>
      </c>
      <c r="HZ174" t="e">
        <f>AND(Demos!#REF!,"AAAAAFLX/+k=")</f>
        <v>#REF!</v>
      </c>
      <c r="IA174" t="e">
        <f>AND(Demos!#REF!,"AAAAAFLX/+o=")</f>
        <v>#REF!</v>
      </c>
      <c r="IB174" t="e">
        <f>AND(Demos!#REF!,"AAAAAFLX/+s=")</f>
        <v>#REF!</v>
      </c>
      <c r="IC174" t="e">
        <f>AND(Demos!#REF!,"AAAAAFLX/+w=")</f>
        <v>#REF!</v>
      </c>
      <c r="ID174" t="e">
        <f>AND(Demos!#REF!,"AAAAAFLX/+0=")</f>
        <v>#REF!</v>
      </c>
      <c r="IE174" t="e">
        <f>AND(Demos!#REF!,"AAAAAFLX/+4=")</f>
        <v>#REF!</v>
      </c>
      <c r="IF174" t="e">
        <f>AND(Demos!#REF!,"AAAAAFLX/+8=")</f>
        <v>#REF!</v>
      </c>
      <c r="IG174" t="e">
        <f>AND(Demos!#REF!,"AAAAAFLX//A=")</f>
        <v>#REF!</v>
      </c>
      <c r="IH174" t="e">
        <f>AND(Demos!#REF!,"AAAAAFLX//E=")</f>
        <v>#REF!</v>
      </c>
      <c r="II174" t="e">
        <f>AND(Demos!#REF!,"AAAAAFLX//I=")</f>
        <v>#REF!</v>
      </c>
      <c r="IJ174" t="e">
        <f>AND(Demos!#REF!,"AAAAAFLX//M=")</f>
        <v>#REF!</v>
      </c>
      <c r="IK174" t="e">
        <f>IF(Demos!#REF!,"AAAAAFLX//Q=",0)</f>
        <v>#REF!</v>
      </c>
      <c r="IL174" t="e">
        <f>AND(Demos!#REF!,"AAAAAFLX//U=")</f>
        <v>#REF!</v>
      </c>
      <c r="IM174" t="e">
        <f>AND(Demos!#REF!,"AAAAAFLX//Y=")</f>
        <v>#REF!</v>
      </c>
      <c r="IN174" t="e">
        <f>AND(Demos!#REF!,"AAAAAFLX//c=")</f>
        <v>#REF!</v>
      </c>
      <c r="IO174" t="e">
        <f>AND(Demos!#REF!,"AAAAAFLX//g=")</f>
        <v>#REF!</v>
      </c>
      <c r="IP174" t="e">
        <f>AND(Demos!#REF!,"AAAAAFLX//k=")</f>
        <v>#REF!</v>
      </c>
      <c r="IQ174" t="e">
        <f>AND(Demos!#REF!,"AAAAAFLX//o=")</f>
        <v>#REF!</v>
      </c>
      <c r="IR174" t="e">
        <f>AND(Demos!#REF!,"AAAAAFLX//s=")</f>
        <v>#REF!</v>
      </c>
      <c r="IS174" t="e">
        <f>AND(Demos!#REF!,"AAAAAFLX//w=")</f>
        <v>#REF!</v>
      </c>
      <c r="IT174" t="e">
        <f>AND(Demos!#REF!,"AAAAAFLX//0=")</f>
        <v>#REF!</v>
      </c>
      <c r="IU174" t="e">
        <f>AND(Demos!#REF!,"AAAAAFLX//4=")</f>
        <v>#REF!</v>
      </c>
      <c r="IV174" t="e">
        <f>AND(Demos!#REF!,"AAAAAFLX//8=")</f>
        <v>#REF!</v>
      </c>
    </row>
    <row r="175" spans="1:256" x14ac:dyDescent="0.2">
      <c r="A175" t="e">
        <f>AND(Demos!#REF!,"AAAAAHXf/wA=")</f>
        <v>#REF!</v>
      </c>
      <c r="B175" t="e">
        <f>AND(Demos!#REF!,"AAAAAHXf/wE=")</f>
        <v>#REF!</v>
      </c>
      <c r="C175" t="e">
        <f>IF(Demos!#REF!,"AAAAAHXf/wI=",0)</f>
        <v>#REF!</v>
      </c>
      <c r="D175" t="e">
        <f>AND(Demos!#REF!,"AAAAAHXf/wM=")</f>
        <v>#REF!</v>
      </c>
      <c r="E175" t="e">
        <f>AND(Demos!#REF!,"AAAAAHXf/wQ=")</f>
        <v>#REF!</v>
      </c>
      <c r="F175" t="e">
        <f>AND(Demos!#REF!,"AAAAAHXf/wU=")</f>
        <v>#REF!</v>
      </c>
      <c r="G175" t="e">
        <f>AND(Demos!#REF!,"AAAAAHXf/wY=")</f>
        <v>#REF!</v>
      </c>
      <c r="H175" t="e">
        <f>AND(Demos!#REF!,"AAAAAHXf/wc=")</f>
        <v>#REF!</v>
      </c>
      <c r="I175" t="e">
        <f>AND(Demos!#REF!,"AAAAAHXf/wg=")</f>
        <v>#REF!</v>
      </c>
      <c r="J175" t="e">
        <f>AND(Demos!#REF!,"AAAAAHXf/wk=")</f>
        <v>#REF!</v>
      </c>
      <c r="K175" t="e">
        <f>AND(Demos!#REF!,"AAAAAHXf/wo=")</f>
        <v>#REF!</v>
      </c>
      <c r="L175" t="e">
        <f>AND(Demos!#REF!,"AAAAAHXf/ws=")</f>
        <v>#REF!</v>
      </c>
      <c r="M175" t="e">
        <f>AND(Demos!#REF!,"AAAAAHXf/ww=")</f>
        <v>#REF!</v>
      </c>
      <c r="N175" t="e">
        <f>AND(Demos!#REF!,"AAAAAHXf/w0=")</f>
        <v>#REF!</v>
      </c>
      <c r="O175" t="e">
        <f>AND(Demos!#REF!,"AAAAAHXf/w4=")</f>
        <v>#REF!</v>
      </c>
      <c r="P175" t="e">
        <f>AND(Demos!#REF!,"AAAAAHXf/w8=")</f>
        <v>#REF!</v>
      </c>
      <c r="Q175" t="e">
        <f>IF(Demos!#REF!,"AAAAAHXf/xA=",0)</f>
        <v>#REF!</v>
      </c>
      <c r="R175" t="e">
        <f>AND(Demos!#REF!,"AAAAAHXf/xE=")</f>
        <v>#REF!</v>
      </c>
      <c r="S175" t="e">
        <f>AND(Demos!#REF!,"AAAAAHXf/xI=")</f>
        <v>#REF!</v>
      </c>
      <c r="T175" t="e">
        <f>AND(Demos!#REF!,"AAAAAHXf/xM=")</f>
        <v>#REF!</v>
      </c>
      <c r="U175" t="e">
        <f>AND(Demos!#REF!,"AAAAAHXf/xQ=")</f>
        <v>#REF!</v>
      </c>
      <c r="V175" t="e">
        <f>AND(Demos!#REF!,"AAAAAHXf/xU=")</f>
        <v>#REF!</v>
      </c>
      <c r="W175" t="e">
        <f>AND(Demos!#REF!,"AAAAAHXf/xY=")</f>
        <v>#REF!</v>
      </c>
      <c r="X175" t="e">
        <f>AND(Demos!#REF!,"AAAAAHXf/xc=")</f>
        <v>#REF!</v>
      </c>
      <c r="Y175" t="e">
        <f>AND(Demos!#REF!,"AAAAAHXf/xg=")</f>
        <v>#REF!</v>
      </c>
      <c r="Z175" t="e">
        <f>AND(Demos!#REF!,"AAAAAHXf/xk=")</f>
        <v>#REF!</v>
      </c>
      <c r="AA175" t="e">
        <f>AND(Demos!#REF!,"AAAAAHXf/xo=")</f>
        <v>#REF!</v>
      </c>
      <c r="AB175" t="e">
        <f>AND(Demos!#REF!,"AAAAAHXf/xs=")</f>
        <v>#REF!</v>
      </c>
      <c r="AC175" t="e">
        <f>AND(Demos!#REF!,"AAAAAHXf/xw=")</f>
        <v>#REF!</v>
      </c>
      <c r="AD175" t="e">
        <f>AND(Demos!#REF!,"AAAAAHXf/x0=")</f>
        <v>#REF!</v>
      </c>
      <c r="AE175" t="e">
        <f>IF(Demos!#REF!,"AAAAAHXf/x4=",0)</f>
        <v>#REF!</v>
      </c>
      <c r="AF175" t="e">
        <f>AND(Demos!#REF!,"AAAAAHXf/x8=")</f>
        <v>#REF!</v>
      </c>
      <c r="AG175" t="e">
        <f>AND(Demos!#REF!,"AAAAAHXf/yA=")</f>
        <v>#REF!</v>
      </c>
      <c r="AH175" t="e">
        <f>AND(Demos!#REF!,"AAAAAHXf/yE=")</f>
        <v>#REF!</v>
      </c>
      <c r="AI175" t="e">
        <f>AND(Demos!#REF!,"AAAAAHXf/yI=")</f>
        <v>#REF!</v>
      </c>
      <c r="AJ175" t="e">
        <f>AND(Demos!#REF!,"AAAAAHXf/yM=")</f>
        <v>#REF!</v>
      </c>
      <c r="AK175" t="e">
        <f>AND(Demos!#REF!,"AAAAAHXf/yQ=")</f>
        <v>#REF!</v>
      </c>
      <c r="AL175" t="e">
        <f>AND(Demos!#REF!,"AAAAAHXf/yU=")</f>
        <v>#REF!</v>
      </c>
      <c r="AM175" t="e">
        <f>AND(Demos!#REF!,"AAAAAHXf/yY=")</f>
        <v>#REF!</v>
      </c>
      <c r="AN175" t="e">
        <f>AND(Demos!#REF!,"AAAAAHXf/yc=")</f>
        <v>#REF!</v>
      </c>
      <c r="AO175" t="e">
        <f>AND(Demos!#REF!,"AAAAAHXf/yg=")</f>
        <v>#REF!</v>
      </c>
      <c r="AP175" t="e">
        <f>AND(Demos!#REF!,"AAAAAHXf/yk=")</f>
        <v>#REF!</v>
      </c>
      <c r="AQ175" t="e">
        <f>AND(Demos!#REF!,"AAAAAHXf/yo=")</f>
        <v>#REF!</v>
      </c>
      <c r="AR175" t="e">
        <f>AND(Demos!#REF!,"AAAAAHXf/ys=")</f>
        <v>#REF!</v>
      </c>
      <c r="AS175" t="e">
        <f>IF(Demos!#REF!,"AAAAAHXf/yw=",0)</f>
        <v>#REF!</v>
      </c>
      <c r="AT175" t="e">
        <f>AND(Demos!#REF!,"AAAAAHXf/y0=")</f>
        <v>#REF!</v>
      </c>
      <c r="AU175" t="e">
        <f>AND(Demos!#REF!,"AAAAAHXf/y4=")</f>
        <v>#REF!</v>
      </c>
      <c r="AV175" t="e">
        <f>AND(Demos!#REF!,"AAAAAHXf/y8=")</f>
        <v>#REF!</v>
      </c>
      <c r="AW175" t="e">
        <f>AND(Demos!#REF!,"AAAAAHXf/zA=")</f>
        <v>#REF!</v>
      </c>
      <c r="AX175" t="e">
        <f>AND(Demos!#REF!,"AAAAAHXf/zE=")</f>
        <v>#REF!</v>
      </c>
      <c r="AY175" t="e">
        <f>AND(Demos!#REF!,"AAAAAHXf/zI=")</f>
        <v>#REF!</v>
      </c>
      <c r="AZ175" t="e">
        <f>AND(Demos!#REF!,"AAAAAHXf/zM=")</f>
        <v>#REF!</v>
      </c>
      <c r="BA175" t="e">
        <f>AND(Demos!#REF!,"AAAAAHXf/zQ=")</f>
        <v>#REF!</v>
      </c>
      <c r="BB175" t="e">
        <f>AND(Demos!#REF!,"AAAAAHXf/zU=")</f>
        <v>#REF!</v>
      </c>
      <c r="BC175" t="e">
        <f>AND(Demos!#REF!,"AAAAAHXf/zY=")</f>
        <v>#REF!</v>
      </c>
      <c r="BD175" t="e">
        <f>AND(Demos!#REF!,"AAAAAHXf/zc=")</f>
        <v>#REF!</v>
      </c>
      <c r="BE175" t="e">
        <f>AND(Demos!#REF!,"AAAAAHXf/zg=")</f>
        <v>#REF!</v>
      </c>
      <c r="BF175" t="e">
        <f>AND(Demos!#REF!,"AAAAAHXf/zk=")</f>
        <v>#REF!</v>
      </c>
      <c r="BG175" t="e">
        <f>IF(Demos!#REF!,"AAAAAHXf/zo=",0)</f>
        <v>#REF!</v>
      </c>
      <c r="BH175" t="e">
        <f>AND(Demos!#REF!,"AAAAAHXf/zs=")</f>
        <v>#REF!</v>
      </c>
      <c r="BI175" t="e">
        <f>AND(Demos!#REF!,"AAAAAHXf/zw=")</f>
        <v>#REF!</v>
      </c>
      <c r="BJ175" t="e">
        <f>AND(Demos!#REF!,"AAAAAHXf/z0=")</f>
        <v>#REF!</v>
      </c>
      <c r="BK175" t="e">
        <f>AND(Demos!#REF!,"AAAAAHXf/z4=")</f>
        <v>#REF!</v>
      </c>
      <c r="BL175" t="e">
        <f>AND(Demos!#REF!,"AAAAAHXf/z8=")</f>
        <v>#REF!</v>
      </c>
      <c r="BM175" t="e">
        <f>AND(Demos!#REF!,"AAAAAHXf/0A=")</f>
        <v>#REF!</v>
      </c>
      <c r="BN175" t="e">
        <f>AND(Demos!#REF!,"AAAAAHXf/0E=")</f>
        <v>#REF!</v>
      </c>
      <c r="BO175" t="e">
        <f>AND(Demos!#REF!,"AAAAAHXf/0I=")</f>
        <v>#REF!</v>
      </c>
      <c r="BP175" t="e">
        <f>AND(Demos!#REF!,"AAAAAHXf/0M=")</f>
        <v>#REF!</v>
      </c>
      <c r="BQ175" t="e">
        <f>AND(Demos!#REF!,"AAAAAHXf/0Q=")</f>
        <v>#REF!</v>
      </c>
      <c r="BR175" t="e">
        <f>AND(Demos!#REF!,"AAAAAHXf/0U=")</f>
        <v>#REF!</v>
      </c>
      <c r="BS175" t="e">
        <f>AND(Demos!#REF!,"AAAAAHXf/0Y=")</f>
        <v>#REF!</v>
      </c>
      <c r="BT175" t="e">
        <f>AND(Demos!#REF!,"AAAAAHXf/0c=")</f>
        <v>#REF!</v>
      </c>
      <c r="BU175" t="e">
        <f>IF(Demos!#REF!,"AAAAAHXf/0g=",0)</f>
        <v>#REF!</v>
      </c>
      <c r="BV175" t="e">
        <f>AND(Demos!#REF!,"AAAAAHXf/0k=")</f>
        <v>#REF!</v>
      </c>
      <c r="BW175" t="e">
        <f>AND(Demos!#REF!,"AAAAAHXf/0o=")</f>
        <v>#REF!</v>
      </c>
      <c r="BX175" t="e">
        <f>AND(Demos!#REF!,"AAAAAHXf/0s=")</f>
        <v>#REF!</v>
      </c>
      <c r="BY175" t="e">
        <f>AND(Demos!#REF!,"AAAAAHXf/0w=")</f>
        <v>#REF!</v>
      </c>
      <c r="BZ175" t="e">
        <f>AND(Demos!#REF!,"AAAAAHXf/00=")</f>
        <v>#REF!</v>
      </c>
      <c r="CA175" t="e">
        <f>AND(Demos!#REF!,"AAAAAHXf/04=")</f>
        <v>#REF!</v>
      </c>
      <c r="CB175" t="e">
        <f>AND(Demos!#REF!,"AAAAAHXf/08=")</f>
        <v>#REF!</v>
      </c>
      <c r="CC175" t="e">
        <f>AND(Demos!#REF!,"AAAAAHXf/1A=")</f>
        <v>#REF!</v>
      </c>
      <c r="CD175" t="e">
        <f>AND(Demos!#REF!,"AAAAAHXf/1E=")</f>
        <v>#REF!</v>
      </c>
      <c r="CE175" t="e">
        <f>AND(Demos!#REF!,"AAAAAHXf/1I=")</f>
        <v>#REF!</v>
      </c>
      <c r="CF175" t="e">
        <f>AND(Demos!#REF!,"AAAAAHXf/1M=")</f>
        <v>#REF!</v>
      </c>
      <c r="CG175" t="e">
        <f>AND(Demos!#REF!,"AAAAAHXf/1Q=")</f>
        <v>#REF!</v>
      </c>
      <c r="CH175" t="e">
        <f>AND(Demos!#REF!,"AAAAAHXf/1U=")</f>
        <v>#REF!</v>
      </c>
      <c r="CI175" t="e">
        <f>IF(Demos!#REF!,"AAAAAHXf/1Y=",0)</f>
        <v>#REF!</v>
      </c>
      <c r="CJ175" t="e">
        <f>AND(Demos!#REF!,"AAAAAHXf/1c=")</f>
        <v>#REF!</v>
      </c>
      <c r="CK175" t="e">
        <f>AND(Demos!#REF!,"AAAAAHXf/1g=")</f>
        <v>#REF!</v>
      </c>
      <c r="CL175" t="e">
        <f>AND(Demos!#REF!,"AAAAAHXf/1k=")</f>
        <v>#REF!</v>
      </c>
      <c r="CM175" t="e">
        <f>AND(Demos!#REF!,"AAAAAHXf/1o=")</f>
        <v>#REF!</v>
      </c>
      <c r="CN175" t="e">
        <f>AND(Demos!#REF!,"AAAAAHXf/1s=")</f>
        <v>#REF!</v>
      </c>
      <c r="CO175" t="e">
        <f>AND(Demos!#REF!,"AAAAAHXf/1w=")</f>
        <v>#REF!</v>
      </c>
      <c r="CP175" t="e">
        <f>AND(Demos!#REF!,"AAAAAHXf/10=")</f>
        <v>#REF!</v>
      </c>
      <c r="CQ175" t="e">
        <f>AND(Demos!#REF!,"AAAAAHXf/14=")</f>
        <v>#REF!</v>
      </c>
      <c r="CR175" t="e">
        <f>AND(Demos!#REF!,"AAAAAHXf/18=")</f>
        <v>#REF!</v>
      </c>
      <c r="CS175" t="e">
        <f>AND(Demos!#REF!,"AAAAAHXf/2A=")</f>
        <v>#REF!</v>
      </c>
      <c r="CT175" t="e">
        <f>AND(Demos!#REF!,"AAAAAHXf/2E=")</f>
        <v>#REF!</v>
      </c>
      <c r="CU175" t="e">
        <f>AND(Demos!#REF!,"AAAAAHXf/2I=")</f>
        <v>#REF!</v>
      </c>
      <c r="CV175" t="e">
        <f>AND(Demos!#REF!,"AAAAAHXf/2M=")</f>
        <v>#REF!</v>
      </c>
      <c r="CW175" t="e">
        <f>IF(Demos!#REF!,"AAAAAHXf/2Q=",0)</f>
        <v>#REF!</v>
      </c>
      <c r="CX175" t="e">
        <f>AND(Demos!#REF!,"AAAAAHXf/2U=")</f>
        <v>#REF!</v>
      </c>
      <c r="CY175" t="e">
        <f>AND(Demos!#REF!,"AAAAAHXf/2Y=")</f>
        <v>#REF!</v>
      </c>
      <c r="CZ175" t="e">
        <f>AND(Demos!#REF!,"AAAAAHXf/2c=")</f>
        <v>#REF!</v>
      </c>
      <c r="DA175" t="e">
        <f>AND(Demos!#REF!,"AAAAAHXf/2g=")</f>
        <v>#REF!</v>
      </c>
      <c r="DB175" t="e">
        <f>AND(Demos!#REF!,"AAAAAHXf/2k=")</f>
        <v>#REF!</v>
      </c>
      <c r="DC175" t="e">
        <f>AND(Demos!#REF!,"AAAAAHXf/2o=")</f>
        <v>#REF!</v>
      </c>
      <c r="DD175" t="e">
        <f>AND(Demos!#REF!,"AAAAAHXf/2s=")</f>
        <v>#REF!</v>
      </c>
      <c r="DE175" t="e">
        <f>AND(Demos!#REF!,"AAAAAHXf/2w=")</f>
        <v>#REF!</v>
      </c>
      <c r="DF175" t="e">
        <f>AND(Demos!#REF!,"AAAAAHXf/20=")</f>
        <v>#REF!</v>
      </c>
      <c r="DG175" t="e">
        <f>AND(Demos!#REF!,"AAAAAHXf/24=")</f>
        <v>#REF!</v>
      </c>
      <c r="DH175" t="e">
        <f>AND(Demos!#REF!,"AAAAAHXf/28=")</f>
        <v>#REF!</v>
      </c>
      <c r="DI175" t="e">
        <f>AND(Demos!#REF!,"AAAAAHXf/3A=")</f>
        <v>#REF!</v>
      </c>
      <c r="DJ175" t="e">
        <f>AND(Demos!#REF!,"AAAAAHXf/3E=")</f>
        <v>#REF!</v>
      </c>
      <c r="DK175" t="e">
        <f>IF(Demos!#REF!,"AAAAAHXf/3I=",0)</f>
        <v>#REF!</v>
      </c>
      <c r="DL175" t="e">
        <f>AND(Demos!#REF!,"AAAAAHXf/3M=")</f>
        <v>#REF!</v>
      </c>
      <c r="DM175" t="e">
        <f>AND(Demos!#REF!,"AAAAAHXf/3Q=")</f>
        <v>#REF!</v>
      </c>
      <c r="DN175" t="e">
        <f>AND(Demos!#REF!,"AAAAAHXf/3U=")</f>
        <v>#REF!</v>
      </c>
      <c r="DO175" t="e">
        <f>AND(Demos!#REF!,"AAAAAHXf/3Y=")</f>
        <v>#REF!</v>
      </c>
      <c r="DP175" t="e">
        <f>AND(Demos!#REF!,"AAAAAHXf/3c=")</f>
        <v>#REF!</v>
      </c>
      <c r="DQ175" t="e">
        <f>AND(Demos!#REF!,"AAAAAHXf/3g=")</f>
        <v>#REF!</v>
      </c>
      <c r="DR175" t="e">
        <f>AND(Demos!#REF!,"AAAAAHXf/3k=")</f>
        <v>#REF!</v>
      </c>
      <c r="DS175" t="e">
        <f>AND(Demos!#REF!,"AAAAAHXf/3o=")</f>
        <v>#REF!</v>
      </c>
      <c r="DT175" t="e">
        <f>AND(Demos!#REF!,"AAAAAHXf/3s=")</f>
        <v>#REF!</v>
      </c>
      <c r="DU175" t="e">
        <f>AND(Demos!#REF!,"AAAAAHXf/3w=")</f>
        <v>#REF!</v>
      </c>
      <c r="DV175" t="e">
        <f>AND(Demos!#REF!,"AAAAAHXf/30=")</f>
        <v>#REF!</v>
      </c>
      <c r="DW175" t="e">
        <f>AND(Demos!#REF!,"AAAAAHXf/34=")</f>
        <v>#REF!</v>
      </c>
      <c r="DX175" t="e">
        <f>AND(Demos!#REF!,"AAAAAHXf/38=")</f>
        <v>#REF!</v>
      </c>
      <c r="DY175" t="e">
        <f>IF(Demos!#REF!,"AAAAAHXf/4A=",0)</f>
        <v>#REF!</v>
      </c>
      <c r="DZ175" t="e">
        <f>AND(Demos!#REF!,"AAAAAHXf/4E=")</f>
        <v>#REF!</v>
      </c>
      <c r="EA175" t="e">
        <f>AND(Demos!#REF!,"AAAAAHXf/4I=")</f>
        <v>#REF!</v>
      </c>
      <c r="EB175" t="e">
        <f>AND(Demos!#REF!,"AAAAAHXf/4M=")</f>
        <v>#REF!</v>
      </c>
      <c r="EC175" t="e">
        <f>AND(Demos!#REF!,"AAAAAHXf/4Q=")</f>
        <v>#REF!</v>
      </c>
      <c r="ED175" t="e">
        <f>AND(Demos!#REF!,"AAAAAHXf/4U=")</f>
        <v>#REF!</v>
      </c>
      <c r="EE175" t="e">
        <f>AND(Demos!#REF!,"AAAAAHXf/4Y=")</f>
        <v>#REF!</v>
      </c>
      <c r="EF175" t="e">
        <f>AND(Demos!#REF!,"AAAAAHXf/4c=")</f>
        <v>#REF!</v>
      </c>
      <c r="EG175" t="e">
        <f>AND(Demos!#REF!,"AAAAAHXf/4g=")</f>
        <v>#REF!</v>
      </c>
      <c r="EH175" t="e">
        <f>AND(Demos!#REF!,"AAAAAHXf/4k=")</f>
        <v>#REF!</v>
      </c>
      <c r="EI175" t="e">
        <f>AND(Demos!#REF!,"AAAAAHXf/4o=")</f>
        <v>#REF!</v>
      </c>
      <c r="EJ175" t="e">
        <f>AND(Demos!#REF!,"AAAAAHXf/4s=")</f>
        <v>#REF!</v>
      </c>
      <c r="EK175" t="e">
        <f>AND(Demos!#REF!,"AAAAAHXf/4w=")</f>
        <v>#REF!</v>
      </c>
      <c r="EL175" t="e">
        <f>AND(Demos!#REF!,"AAAAAHXf/40=")</f>
        <v>#REF!</v>
      </c>
      <c r="EM175" t="e">
        <f>IF(Demos!#REF!,"AAAAAHXf/44=",0)</f>
        <v>#REF!</v>
      </c>
      <c r="EN175" t="e">
        <f>AND(Demos!#REF!,"AAAAAHXf/48=")</f>
        <v>#REF!</v>
      </c>
      <c r="EO175" t="e">
        <f>AND(Demos!#REF!,"AAAAAHXf/5A=")</f>
        <v>#REF!</v>
      </c>
      <c r="EP175" t="e">
        <f>AND(Demos!#REF!,"AAAAAHXf/5E=")</f>
        <v>#REF!</v>
      </c>
      <c r="EQ175" t="e">
        <f>AND(Demos!#REF!,"AAAAAHXf/5I=")</f>
        <v>#REF!</v>
      </c>
      <c r="ER175" t="e">
        <f>AND(Demos!#REF!,"AAAAAHXf/5M=")</f>
        <v>#REF!</v>
      </c>
      <c r="ES175" t="e">
        <f>AND(Demos!#REF!,"AAAAAHXf/5Q=")</f>
        <v>#REF!</v>
      </c>
      <c r="ET175" t="e">
        <f>AND(Demos!#REF!,"AAAAAHXf/5U=")</f>
        <v>#REF!</v>
      </c>
      <c r="EU175" t="e">
        <f>AND(Demos!#REF!,"AAAAAHXf/5Y=")</f>
        <v>#REF!</v>
      </c>
      <c r="EV175" t="e">
        <f>AND(Demos!#REF!,"AAAAAHXf/5c=")</f>
        <v>#REF!</v>
      </c>
      <c r="EW175" t="e">
        <f>AND(Demos!#REF!,"AAAAAHXf/5g=")</f>
        <v>#REF!</v>
      </c>
      <c r="EX175" t="e">
        <f>AND(Demos!#REF!,"AAAAAHXf/5k=")</f>
        <v>#REF!</v>
      </c>
      <c r="EY175" t="e">
        <f>AND(Demos!#REF!,"AAAAAHXf/5o=")</f>
        <v>#REF!</v>
      </c>
      <c r="EZ175" t="e">
        <f>AND(Demos!#REF!,"AAAAAHXf/5s=")</f>
        <v>#REF!</v>
      </c>
      <c r="FA175" t="e">
        <f>IF(Demos!#REF!,"AAAAAHXf/5w=",0)</f>
        <v>#REF!</v>
      </c>
      <c r="FB175" t="e">
        <f>AND(Demos!#REF!,"AAAAAHXf/50=")</f>
        <v>#REF!</v>
      </c>
      <c r="FC175" t="e">
        <f>AND(Demos!#REF!,"AAAAAHXf/54=")</f>
        <v>#REF!</v>
      </c>
      <c r="FD175" t="e">
        <f>AND(Demos!#REF!,"AAAAAHXf/58=")</f>
        <v>#REF!</v>
      </c>
      <c r="FE175" t="e">
        <f>AND(Demos!#REF!,"AAAAAHXf/6A=")</f>
        <v>#REF!</v>
      </c>
      <c r="FF175" t="e">
        <f>AND(Demos!#REF!,"AAAAAHXf/6E=")</f>
        <v>#REF!</v>
      </c>
      <c r="FG175" t="e">
        <f>AND(Demos!#REF!,"AAAAAHXf/6I=")</f>
        <v>#REF!</v>
      </c>
      <c r="FH175" t="e">
        <f>AND(Demos!#REF!,"AAAAAHXf/6M=")</f>
        <v>#REF!</v>
      </c>
      <c r="FI175" t="e">
        <f>AND(Demos!#REF!,"AAAAAHXf/6Q=")</f>
        <v>#REF!</v>
      </c>
      <c r="FJ175" t="e">
        <f>AND(Demos!#REF!,"AAAAAHXf/6U=")</f>
        <v>#REF!</v>
      </c>
      <c r="FK175" t="e">
        <f>AND(Demos!#REF!,"AAAAAHXf/6Y=")</f>
        <v>#REF!</v>
      </c>
      <c r="FL175" t="e">
        <f>AND(Demos!#REF!,"AAAAAHXf/6c=")</f>
        <v>#REF!</v>
      </c>
      <c r="FM175" t="e">
        <f>AND(Demos!#REF!,"AAAAAHXf/6g=")</f>
        <v>#REF!</v>
      </c>
      <c r="FN175" t="e">
        <f>AND(Demos!#REF!,"AAAAAHXf/6k=")</f>
        <v>#REF!</v>
      </c>
      <c r="FO175" t="e">
        <f>IF(Demos!#REF!,"AAAAAHXf/6o=",0)</f>
        <v>#REF!</v>
      </c>
      <c r="FP175" t="e">
        <f>AND(Demos!#REF!,"AAAAAHXf/6s=")</f>
        <v>#REF!</v>
      </c>
      <c r="FQ175" t="e">
        <f>AND(Demos!#REF!,"AAAAAHXf/6w=")</f>
        <v>#REF!</v>
      </c>
      <c r="FR175" t="e">
        <f>AND(Demos!#REF!,"AAAAAHXf/60=")</f>
        <v>#REF!</v>
      </c>
      <c r="FS175" t="e">
        <f>AND(Demos!#REF!,"AAAAAHXf/64=")</f>
        <v>#REF!</v>
      </c>
      <c r="FT175" t="e">
        <f>AND(Demos!#REF!,"AAAAAHXf/68=")</f>
        <v>#REF!</v>
      </c>
      <c r="FU175" t="e">
        <f>AND(Demos!#REF!,"AAAAAHXf/7A=")</f>
        <v>#REF!</v>
      </c>
      <c r="FV175" t="e">
        <f>AND(Demos!#REF!,"AAAAAHXf/7E=")</f>
        <v>#REF!</v>
      </c>
      <c r="FW175" t="e">
        <f>AND(Demos!#REF!,"AAAAAHXf/7I=")</f>
        <v>#REF!</v>
      </c>
      <c r="FX175" t="e">
        <f>AND(Demos!#REF!,"AAAAAHXf/7M=")</f>
        <v>#REF!</v>
      </c>
      <c r="FY175" t="e">
        <f>AND(Demos!#REF!,"AAAAAHXf/7Q=")</f>
        <v>#REF!</v>
      </c>
      <c r="FZ175" t="e">
        <f>AND(Demos!#REF!,"AAAAAHXf/7U=")</f>
        <v>#REF!</v>
      </c>
      <c r="GA175" t="e">
        <f>AND(Demos!#REF!,"AAAAAHXf/7Y=")</f>
        <v>#REF!</v>
      </c>
      <c r="GB175" t="e">
        <f>AND(Demos!#REF!,"AAAAAHXf/7c=")</f>
        <v>#REF!</v>
      </c>
      <c r="GC175" t="e">
        <f>IF(Demos!#REF!,"AAAAAHXf/7g=",0)</f>
        <v>#REF!</v>
      </c>
      <c r="GD175" t="e">
        <f>AND(Demos!#REF!,"AAAAAHXf/7k=")</f>
        <v>#REF!</v>
      </c>
      <c r="GE175" t="e">
        <f>AND(Demos!#REF!,"AAAAAHXf/7o=")</f>
        <v>#REF!</v>
      </c>
      <c r="GF175" t="e">
        <f>AND(Demos!#REF!,"AAAAAHXf/7s=")</f>
        <v>#REF!</v>
      </c>
      <c r="GG175" t="e">
        <f>AND(Demos!#REF!,"AAAAAHXf/7w=")</f>
        <v>#REF!</v>
      </c>
      <c r="GH175" t="e">
        <f>AND(Demos!#REF!,"AAAAAHXf/70=")</f>
        <v>#REF!</v>
      </c>
      <c r="GI175" t="e">
        <f>AND(Demos!#REF!,"AAAAAHXf/74=")</f>
        <v>#REF!</v>
      </c>
      <c r="GJ175" t="e">
        <f>AND(Demos!#REF!,"AAAAAHXf/78=")</f>
        <v>#REF!</v>
      </c>
      <c r="GK175" t="e">
        <f>AND(Demos!#REF!,"AAAAAHXf/8A=")</f>
        <v>#REF!</v>
      </c>
      <c r="GL175" t="e">
        <f>AND(Demos!#REF!,"AAAAAHXf/8E=")</f>
        <v>#REF!</v>
      </c>
      <c r="GM175" t="e">
        <f>AND(Demos!#REF!,"AAAAAHXf/8I=")</f>
        <v>#REF!</v>
      </c>
      <c r="GN175" t="e">
        <f>AND(Demos!#REF!,"AAAAAHXf/8M=")</f>
        <v>#REF!</v>
      </c>
      <c r="GO175" t="e">
        <f>AND(Demos!#REF!,"AAAAAHXf/8Q=")</f>
        <v>#REF!</v>
      </c>
      <c r="GP175" t="e">
        <f>AND(Demos!#REF!,"AAAAAHXf/8U=")</f>
        <v>#REF!</v>
      </c>
      <c r="GQ175" t="e">
        <f>IF(Demos!#REF!,"AAAAAHXf/8Y=",0)</f>
        <v>#REF!</v>
      </c>
      <c r="GR175" t="e">
        <f>AND(Demos!#REF!,"AAAAAHXf/8c=")</f>
        <v>#REF!</v>
      </c>
      <c r="GS175" t="e">
        <f>AND(Demos!#REF!,"AAAAAHXf/8g=")</f>
        <v>#REF!</v>
      </c>
      <c r="GT175" t="e">
        <f>AND(Demos!#REF!,"AAAAAHXf/8k=")</f>
        <v>#REF!</v>
      </c>
      <c r="GU175" t="e">
        <f>AND(Demos!#REF!,"AAAAAHXf/8o=")</f>
        <v>#REF!</v>
      </c>
      <c r="GV175" t="e">
        <f>AND(Demos!#REF!,"AAAAAHXf/8s=")</f>
        <v>#REF!</v>
      </c>
      <c r="GW175" t="e">
        <f>AND(Demos!#REF!,"AAAAAHXf/8w=")</f>
        <v>#REF!</v>
      </c>
      <c r="GX175" t="e">
        <f>AND(Demos!#REF!,"AAAAAHXf/80=")</f>
        <v>#REF!</v>
      </c>
      <c r="GY175" t="e">
        <f>AND(Demos!#REF!,"AAAAAHXf/84=")</f>
        <v>#REF!</v>
      </c>
      <c r="GZ175" t="e">
        <f>AND(Demos!#REF!,"AAAAAHXf/88=")</f>
        <v>#REF!</v>
      </c>
      <c r="HA175" t="e">
        <f>AND(Demos!#REF!,"AAAAAHXf/9A=")</f>
        <v>#REF!</v>
      </c>
      <c r="HB175" t="e">
        <f>AND(Demos!#REF!,"AAAAAHXf/9E=")</f>
        <v>#REF!</v>
      </c>
      <c r="HC175" t="e">
        <f>AND(Demos!#REF!,"AAAAAHXf/9I=")</f>
        <v>#REF!</v>
      </c>
      <c r="HD175" t="e">
        <f>AND(Demos!#REF!,"AAAAAHXf/9M=")</f>
        <v>#REF!</v>
      </c>
      <c r="HE175" t="e">
        <f>IF(Demos!#REF!,"AAAAAHXf/9Q=",0)</f>
        <v>#REF!</v>
      </c>
      <c r="HF175" t="e">
        <f>AND(Demos!#REF!,"AAAAAHXf/9U=")</f>
        <v>#REF!</v>
      </c>
      <c r="HG175" t="e">
        <f>AND(Demos!#REF!,"AAAAAHXf/9Y=")</f>
        <v>#REF!</v>
      </c>
      <c r="HH175" t="e">
        <f>AND(Demos!#REF!,"AAAAAHXf/9c=")</f>
        <v>#REF!</v>
      </c>
      <c r="HI175" t="e">
        <f>AND(Demos!#REF!,"AAAAAHXf/9g=")</f>
        <v>#REF!</v>
      </c>
      <c r="HJ175" t="e">
        <f>AND(Demos!#REF!,"AAAAAHXf/9k=")</f>
        <v>#REF!</v>
      </c>
      <c r="HK175" t="e">
        <f>AND(Demos!#REF!,"AAAAAHXf/9o=")</f>
        <v>#REF!</v>
      </c>
      <c r="HL175" t="e">
        <f>AND(Demos!#REF!,"AAAAAHXf/9s=")</f>
        <v>#REF!</v>
      </c>
      <c r="HM175" t="e">
        <f>AND(Demos!#REF!,"AAAAAHXf/9w=")</f>
        <v>#REF!</v>
      </c>
      <c r="HN175" t="e">
        <f>AND(Demos!#REF!,"AAAAAHXf/90=")</f>
        <v>#REF!</v>
      </c>
      <c r="HO175" t="e">
        <f>AND(Demos!#REF!,"AAAAAHXf/94=")</f>
        <v>#REF!</v>
      </c>
      <c r="HP175" t="e">
        <f>AND(Demos!#REF!,"AAAAAHXf/98=")</f>
        <v>#REF!</v>
      </c>
      <c r="HQ175" t="e">
        <f>AND(Demos!#REF!,"AAAAAHXf/+A=")</f>
        <v>#REF!</v>
      </c>
      <c r="HR175" t="e">
        <f>AND(Demos!#REF!,"AAAAAHXf/+E=")</f>
        <v>#REF!</v>
      </c>
      <c r="HS175" t="e">
        <f>IF(Demos!#REF!,"AAAAAHXf/+I=",0)</f>
        <v>#REF!</v>
      </c>
      <c r="HT175" t="e">
        <f>AND(Demos!#REF!,"AAAAAHXf/+M=")</f>
        <v>#REF!</v>
      </c>
      <c r="HU175" t="e">
        <f>AND(Demos!#REF!,"AAAAAHXf/+Q=")</f>
        <v>#REF!</v>
      </c>
      <c r="HV175" t="e">
        <f>AND(Demos!#REF!,"AAAAAHXf/+U=")</f>
        <v>#REF!</v>
      </c>
      <c r="HW175" t="e">
        <f>AND(Demos!#REF!,"AAAAAHXf/+Y=")</f>
        <v>#REF!</v>
      </c>
      <c r="HX175" t="e">
        <f>AND(Demos!#REF!,"AAAAAHXf/+c=")</f>
        <v>#REF!</v>
      </c>
      <c r="HY175" t="e">
        <f>AND(Demos!#REF!,"AAAAAHXf/+g=")</f>
        <v>#REF!</v>
      </c>
      <c r="HZ175" t="e">
        <f>AND(Demos!#REF!,"AAAAAHXf/+k=")</f>
        <v>#REF!</v>
      </c>
      <c r="IA175" t="e">
        <f>AND(Demos!#REF!,"AAAAAHXf/+o=")</f>
        <v>#REF!</v>
      </c>
      <c r="IB175" t="e">
        <f>AND(Demos!#REF!,"AAAAAHXf/+s=")</f>
        <v>#REF!</v>
      </c>
      <c r="IC175" t="e">
        <f>AND(Demos!#REF!,"AAAAAHXf/+w=")</f>
        <v>#REF!</v>
      </c>
      <c r="ID175" t="e">
        <f>AND(Demos!#REF!,"AAAAAHXf/+0=")</f>
        <v>#REF!</v>
      </c>
      <c r="IE175" t="e">
        <f>AND(Demos!#REF!,"AAAAAHXf/+4=")</f>
        <v>#REF!</v>
      </c>
      <c r="IF175" t="e">
        <f>AND(Demos!#REF!,"AAAAAHXf/+8=")</f>
        <v>#REF!</v>
      </c>
      <c r="IG175" t="e">
        <f>IF(Demos!#REF!,"AAAAAHXf//A=",0)</f>
        <v>#REF!</v>
      </c>
      <c r="IH175" t="e">
        <f>AND(Demos!#REF!,"AAAAAHXf//E=")</f>
        <v>#REF!</v>
      </c>
      <c r="II175" t="e">
        <f>AND(Demos!#REF!,"AAAAAHXf//I=")</f>
        <v>#REF!</v>
      </c>
      <c r="IJ175" t="e">
        <f>AND(Demos!#REF!,"AAAAAHXf//M=")</f>
        <v>#REF!</v>
      </c>
      <c r="IK175" t="e">
        <f>AND(Demos!#REF!,"AAAAAHXf//Q=")</f>
        <v>#REF!</v>
      </c>
      <c r="IL175" t="e">
        <f>AND(Demos!#REF!,"AAAAAHXf//U=")</f>
        <v>#REF!</v>
      </c>
      <c r="IM175" t="e">
        <f>AND(Demos!#REF!,"AAAAAHXf//Y=")</f>
        <v>#REF!</v>
      </c>
      <c r="IN175" t="e">
        <f>AND(Demos!#REF!,"AAAAAHXf//c=")</f>
        <v>#REF!</v>
      </c>
      <c r="IO175" t="e">
        <f>AND(Demos!#REF!,"AAAAAHXf//g=")</f>
        <v>#REF!</v>
      </c>
      <c r="IP175" t="e">
        <f>AND(Demos!#REF!,"AAAAAHXf//k=")</f>
        <v>#REF!</v>
      </c>
      <c r="IQ175" t="e">
        <f>AND(Demos!#REF!,"AAAAAHXf//o=")</f>
        <v>#REF!</v>
      </c>
      <c r="IR175" t="e">
        <f>AND(Demos!#REF!,"AAAAAHXf//s=")</f>
        <v>#REF!</v>
      </c>
      <c r="IS175" t="e">
        <f>AND(Demos!#REF!,"AAAAAHXf//w=")</f>
        <v>#REF!</v>
      </c>
      <c r="IT175" t="e">
        <f>AND(Demos!#REF!,"AAAAAHXf//0=")</f>
        <v>#REF!</v>
      </c>
      <c r="IU175" t="e">
        <f>IF(Demos!#REF!,"AAAAAHXf//4=",0)</f>
        <v>#REF!</v>
      </c>
      <c r="IV175" t="e">
        <f>AND(Demos!#REF!,"AAAAAHXf//8=")</f>
        <v>#REF!</v>
      </c>
    </row>
    <row r="176" spans="1:256" x14ac:dyDescent="0.2">
      <c r="A176" t="e">
        <f>AND(Demos!#REF!,"AAAAAD7//wA=")</f>
        <v>#REF!</v>
      </c>
      <c r="B176" t="e">
        <f>AND(Demos!#REF!,"AAAAAD7//wE=")</f>
        <v>#REF!</v>
      </c>
      <c r="C176" t="e">
        <f>AND(Demos!#REF!,"AAAAAD7//wI=")</f>
        <v>#REF!</v>
      </c>
      <c r="D176" t="e">
        <f>AND(Demos!#REF!,"AAAAAD7//wM=")</f>
        <v>#REF!</v>
      </c>
      <c r="E176" t="e">
        <f>AND(Demos!#REF!,"AAAAAD7//wQ=")</f>
        <v>#REF!</v>
      </c>
      <c r="F176" t="e">
        <f>AND(Demos!#REF!,"AAAAAD7//wU=")</f>
        <v>#REF!</v>
      </c>
      <c r="G176" t="e">
        <f>AND(Demos!#REF!,"AAAAAD7//wY=")</f>
        <v>#REF!</v>
      </c>
      <c r="H176" t="e">
        <f>AND(Demos!#REF!,"AAAAAD7//wc=")</f>
        <v>#REF!</v>
      </c>
      <c r="I176" t="e">
        <f>AND(Demos!#REF!,"AAAAAD7//wg=")</f>
        <v>#REF!</v>
      </c>
      <c r="J176" t="e">
        <f>AND(Demos!#REF!,"AAAAAD7//wk=")</f>
        <v>#REF!</v>
      </c>
      <c r="K176" t="e">
        <f>AND(Demos!#REF!,"AAAAAD7//wo=")</f>
        <v>#REF!</v>
      </c>
      <c r="L176" t="e">
        <f>AND(Demos!#REF!,"AAAAAD7//ws=")</f>
        <v>#REF!</v>
      </c>
      <c r="M176" t="e">
        <f>IF(Demos!#REF!,"AAAAAD7//ww=",0)</f>
        <v>#REF!</v>
      </c>
      <c r="N176" t="e">
        <f>AND(Demos!#REF!,"AAAAAD7//w0=")</f>
        <v>#REF!</v>
      </c>
      <c r="O176" t="e">
        <f>AND(Demos!#REF!,"AAAAAD7//w4=")</f>
        <v>#REF!</v>
      </c>
      <c r="P176" t="e">
        <f>AND(Demos!#REF!,"AAAAAD7//w8=")</f>
        <v>#REF!</v>
      </c>
      <c r="Q176" t="e">
        <f>AND(Demos!#REF!,"AAAAAD7//xA=")</f>
        <v>#REF!</v>
      </c>
      <c r="R176" t="e">
        <f>AND(Demos!#REF!,"AAAAAD7//xE=")</f>
        <v>#REF!</v>
      </c>
      <c r="S176" t="e">
        <f>AND(Demos!#REF!,"AAAAAD7//xI=")</f>
        <v>#REF!</v>
      </c>
      <c r="T176" t="e">
        <f>AND(Demos!#REF!,"AAAAAD7//xM=")</f>
        <v>#REF!</v>
      </c>
      <c r="U176" t="e">
        <f>AND(Demos!#REF!,"AAAAAD7//xQ=")</f>
        <v>#REF!</v>
      </c>
      <c r="V176" t="e">
        <f>AND(Demos!#REF!,"AAAAAD7//xU=")</f>
        <v>#REF!</v>
      </c>
      <c r="W176" t="e">
        <f>AND(Demos!#REF!,"AAAAAD7//xY=")</f>
        <v>#REF!</v>
      </c>
      <c r="X176" t="e">
        <f>AND(Demos!#REF!,"AAAAAD7//xc=")</f>
        <v>#REF!</v>
      </c>
      <c r="Y176" t="e">
        <f>AND(Demos!#REF!,"AAAAAD7//xg=")</f>
        <v>#REF!</v>
      </c>
      <c r="Z176" t="e">
        <f>AND(Demos!#REF!,"AAAAAD7//xk=")</f>
        <v>#REF!</v>
      </c>
      <c r="AA176" t="e">
        <f>IF(Demos!#REF!,"AAAAAD7//xo=",0)</f>
        <v>#REF!</v>
      </c>
      <c r="AB176" t="e">
        <f>AND(Demos!#REF!,"AAAAAD7//xs=")</f>
        <v>#REF!</v>
      </c>
      <c r="AC176" t="e">
        <f>AND(Demos!#REF!,"AAAAAD7//xw=")</f>
        <v>#REF!</v>
      </c>
      <c r="AD176" t="e">
        <f>AND(Demos!#REF!,"AAAAAD7//x0=")</f>
        <v>#REF!</v>
      </c>
      <c r="AE176" t="e">
        <f>AND(Demos!#REF!,"AAAAAD7//x4=")</f>
        <v>#REF!</v>
      </c>
      <c r="AF176" t="e">
        <f>AND(Demos!#REF!,"AAAAAD7//x8=")</f>
        <v>#REF!</v>
      </c>
      <c r="AG176" t="e">
        <f>AND(Demos!#REF!,"AAAAAD7//yA=")</f>
        <v>#REF!</v>
      </c>
      <c r="AH176" t="e">
        <f>AND(Demos!#REF!,"AAAAAD7//yE=")</f>
        <v>#REF!</v>
      </c>
      <c r="AI176" t="e">
        <f>AND(Demos!#REF!,"AAAAAD7//yI=")</f>
        <v>#REF!</v>
      </c>
      <c r="AJ176" t="e">
        <f>AND(Demos!#REF!,"AAAAAD7//yM=")</f>
        <v>#REF!</v>
      </c>
      <c r="AK176" t="e">
        <f>AND(Demos!#REF!,"AAAAAD7//yQ=")</f>
        <v>#REF!</v>
      </c>
      <c r="AL176" t="e">
        <f>AND(Demos!#REF!,"AAAAAD7//yU=")</f>
        <v>#REF!</v>
      </c>
      <c r="AM176" t="e">
        <f>AND(Demos!#REF!,"AAAAAD7//yY=")</f>
        <v>#REF!</v>
      </c>
      <c r="AN176" t="e">
        <f>AND(Demos!#REF!,"AAAAAD7//yc=")</f>
        <v>#REF!</v>
      </c>
      <c r="AO176" t="e">
        <f>IF(Demos!#REF!,"AAAAAD7//yg=",0)</f>
        <v>#REF!</v>
      </c>
      <c r="AP176" t="e">
        <f>AND(Demos!#REF!,"AAAAAD7//yk=")</f>
        <v>#REF!</v>
      </c>
      <c r="AQ176" t="e">
        <f>AND(Demos!#REF!,"AAAAAD7//yo=")</f>
        <v>#REF!</v>
      </c>
      <c r="AR176" t="e">
        <f>AND(Demos!#REF!,"AAAAAD7//ys=")</f>
        <v>#REF!</v>
      </c>
      <c r="AS176" t="e">
        <f>AND(Demos!#REF!,"AAAAAD7//yw=")</f>
        <v>#REF!</v>
      </c>
      <c r="AT176" t="e">
        <f>AND(Demos!#REF!,"AAAAAD7//y0=")</f>
        <v>#REF!</v>
      </c>
      <c r="AU176" t="e">
        <f>AND(Demos!#REF!,"AAAAAD7//y4=")</f>
        <v>#REF!</v>
      </c>
      <c r="AV176" t="e">
        <f>AND(Demos!#REF!,"AAAAAD7//y8=")</f>
        <v>#REF!</v>
      </c>
      <c r="AW176" t="e">
        <f>AND(Demos!#REF!,"AAAAAD7//zA=")</f>
        <v>#REF!</v>
      </c>
      <c r="AX176" t="e">
        <f>AND(Demos!#REF!,"AAAAAD7//zE=")</f>
        <v>#REF!</v>
      </c>
      <c r="AY176" t="e">
        <f>AND(Demos!#REF!,"AAAAAD7//zI=")</f>
        <v>#REF!</v>
      </c>
      <c r="AZ176" t="e">
        <f>AND(Demos!#REF!,"AAAAAD7//zM=")</f>
        <v>#REF!</v>
      </c>
      <c r="BA176" t="e">
        <f>AND(Demos!#REF!,"AAAAAD7//zQ=")</f>
        <v>#REF!</v>
      </c>
      <c r="BB176" t="e">
        <f>AND(Demos!#REF!,"AAAAAD7//zU=")</f>
        <v>#REF!</v>
      </c>
      <c r="BC176" t="e">
        <f>IF(Demos!#REF!,"AAAAAD7//zY=",0)</f>
        <v>#REF!</v>
      </c>
      <c r="BD176" t="e">
        <f>AND(Demos!#REF!,"AAAAAD7//zc=")</f>
        <v>#REF!</v>
      </c>
      <c r="BE176" t="e">
        <f>AND(Demos!#REF!,"AAAAAD7//zg=")</f>
        <v>#REF!</v>
      </c>
      <c r="BF176" t="e">
        <f>AND(Demos!#REF!,"AAAAAD7//zk=")</f>
        <v>#REF!</v>
      </c>
      <c r="BG176" t="e">
        <f>AND(Demos!#REF!,"AAAAAD7//zo=")</f>
        <v>#REF!</v>
      </c>
      <c r="BH176" t="e">
        <f>AND(Demos!#REF!,"AAAAAD7//zs=")</f>
        <v>#REF!</v>
      </c>
      <c r="BI176" t="e">
        <f>AND(Demos!#REF!,"AAAAAD7//zw=")</f>
        <v>#REF!</v>
      </c>
      <c r="BJ176" t="e">
        <f>AND(Demos!#REF!,"AAAAAD7//z0=")</f>
        <v>#REF!</v>
      </c>
      <c r="BK176" t="e">
        <f>AND(Demos!#REF!,"AAAAAD7//z4=")</f>
        <v>#REF!</v>
      </c>
      <c r="BL176" t="e">
        <f>AND(Demos!#REF!,"AAAAAD7//z8=")</f>
        <v>#REF!</v>
      </c>
      <c r="BM176" t="e">
        <f>AND(Demos!#REF!,"AAAAAD7//0A=")</f>
        <v>#REF!</v>
      </c>
      <c r="BN176" t="e">
        <f>AND(Demos!#REF!,"AAAAAD7//0E=")</f>
        <v>#REF!</v>
      </c>
      <c r="BO176" t="e">
        <f>AND(Demos!#REF!,"AAAAAD7//0I=")</f>
        <v>#REF!</v>
      </c>
      <c r="BP176" t="e">
        <f>AND(Demos!#REF!,"AAAAAD7//0M=")</f>
        <v>#REF!</v>
      </c>
      <c r="BQ176" t="e">
        <f>IF(Demos!#REF!,"AAAAAD7//0Q=",0)</f>
        <v>#REF!</v>
      </c>
      <c r="BR176" t="e">
        <f>AND(Demos!#REF!,"AAAAAD7//0U=")</f>
        <v>#REF!</v>
      </c>
      <c r="BS176" t="e">
        <f>AND(Demos!#REF!,"AAAAAD7//0Y=")</f>
        <v>#REF!</v>
      </c>
      <c r="BT176" t="e">
        <f>AND(Demos!#REF!,"AAAAAD7//0c=")</f>
        <v>#REF!</v>
      </c>
      <c r="BU176" t="e">
        <f>AND(Demos!#REF!,"AAAAAD7//0g=")</f>
        <v>#REF!</v>
      </c>
      <c r="BV176" t="e">
        <f>AND(Demos!#REF!,"AAAAAD7//0k=")</f>
        <v>#REF!</v>
      </c>
      <c r="BW176" t="e">
        <f>AND(Demos!#REF!,"AAAAAD7//0o=")</f>
        <v>#REF!</v>
      </c>
      <c r="BX176" t="e">
        <f>AND(Demos!#REF!,"AAAAAD7//0s=")</f>
        <v>#REF!</v>
      </c>
      <c r="BY176" t="e">
        <f>AND(Demos!#REF!,"AAAAAD7//0w=")</f>
        <v>#REF!</v>
      </c>
      <c r="BZ176" t="e">
        <f>AND(Demos!#REF!,"AAAAAD7//00=")</f>
        <v>#REF!</v>
      </c>
      <c r="CA176" t="e">
        <f>AND(Demos!#REF!,"AAAAAD7//04=")</f>
        <v>#REF!</v>
      </c>
      <c r="CB176" t="e">
        <f>AND(Demos!#REF!,"AAAAAD7//08=")</f>
        <v>#REF!</v>
      </c>
      <c r="CC176" t="e">
        <f>AND(Demos!#REF!,"AAAAAD7//1A=")</f>
        <v>#REF!</v>
      </c>
      <c r="CD176" t="e">
        <f>AND(Demos!#REF!,"AAAAAD7//1E=")</f>
        <v>#REF!</v>
      </c>
      <c r="CE176" t="e">
        <f>IF(Demos!#REF!,"AAAAAD7//1I=",0)</f>
        <v>#REF!</v>
      </c>
      <c r="CF176" t="e">
        <f>AND(Demos!#REF!,"AAAAAD7//1M=")</f>
        <v>#REF!</v>
      </c>
      <c r="CG176" t="e">
        <f>AND(Demos!#REF!,"AAAAAD7//1Q=")</f>
        <v>#REF!</v>
      </c>
      <c r="CH176" t="e">
        <f>AND(Demos!#REF!,"AAAAAD7//1U=")</f>
        <v>#REF!</v>
      </c>
      <c r="CI176" t="e">
        <f>AND(Demos!#REF!,"AAAAAD7//1Y=")</f>
        <v>#REF!</v>
      </c>
      <c r="CJ176" t="e">
        <f>AND(Demos!#REF!,"AAAAAD7//1c=")</f>
        <v>#REF!</v>
      </c>
      <c r="CK176" t="e">
        <f>AND(Demos!#REF!,"AAAAAD7//1g=")</f>
        <v>#REF!</v>
      </c>
      <c r="CL176" t="e">
        <f>AND(Demos!#REF!,"AAAAAD7//1k=")</f>
        <v>#REF!</v>
      </c>
      <c r="CM176" t="e">
        <f>AND(Demos!#REF!,"AAAAAD7//1o=")</f>
        <v>#REF!</v>
      </c>
      <c r="CN176" t="e">
        <f>AND(Demos!#REF!,"AAAAAD7//1s=")</f>
        <v>#REF!</v>
      </c>
      <c r="CO176" t="e">
        <f>AND(Demos!#REF!,"AAAAAD7//1w=")</f>
        <v>#REF!</v>
      </c>
      <c r="CP176" t="e">
        <f>AND(Demos!#REF!,"AAAAAD7//10=")</f>
        <v>#REF!</v>
      </c>
      <c r="CQ176" t="e">
        <f>AND(Demos!#REF!,"AAAAAD7//14=")</f>
        <v>#REF!</v>
      </c>
      <c r="CR176" t="e">
        <f>AND(Demos!#REF!,"AAAAAD7//18=")</f>
        <v>#REF!</v>
      </c>
      <c r="CS176" t="e">
        <f>IF(Demos!#REF!,"AAAAAD7//2A=",0)</f>
        <v>#REF!</v>
      </c>
      <c r="CT176" t="e">
        <f>AND(Demos!#REF!,"AAAAAD7//2E=")</f>
        <v>#REF!</v>
      </c>
      <c r="CU176" t="e">
        <f>AND(Demos!#REF!,"AAAAAD7//2I=")</f>
        <v>#REF!</v>
      </c>
      <c r="CV176" t="e">
        <f>AND(Demos!#REF!,"AAAAAD7//2M=")</f>
        <v>#REF!</v>
      </c>
      <c r="CW176" t="e">
        <f>AND(Demos!#REF!,"AAAAAD7//2Q=")</f>
        <v>#REF!</v>
      </c>
      <c r="CX176" t="e">
        <f>AND(Demos!#REF!,"AAAAAD7//2U=")</f>
        <v>#REF!</v>
      </c>
      <c r="CY176" t="e">
        <f>AND(Demos!#REF!,"AAAAAD7//2Y=")</f>
        <v>#REF!</v>
      </c>
      <c r="CZ176" t="e">
        <f>AND(Demos!#REF!,"AAAAAD7//2c=")</f>
        <v>#REF!</v>
      </c>
      <c r="DA176" t="e">
        <f>AND(Demos!#REF!,"AAAAAD7//2g=")</f>
        <v>#REF!</v>
      </c>
      <c r="DB176" t="e">
        <f>AND(Demos!#REF!,"AAAAAD7//2k=")</f>
        <v>#REF!</v>
      </c>
      <c r="DC176" t="e">
        <f>AND(Demos!#REF!,"AAAAAD7//2o=")</f>
        <v>#REF!</v>
      </c>
      <c r="DD176" t="e">
        <f>AND(Demos!#REF!,"AAAAAD7//2s=")</f>
        <v>#REF!</v>
      </c>
      <c r="DE176" t="e">
        <f>AND(Demos!#REF!,"AAAAAD7//2w=")</f>
        <v>#REF!</v>
      </c>
      <c r="DF176" t="e">
        <f>AND(Demos!#REF!,"AAAAAD7//20=")</f>
        <v>#REF!</v>
      </c>
      <c r="DG176" t="e">
        <f>IF(Demos!#REF!,"AAAAAD7//24=",0)</f>
        <v>#REF!</v>
      </c>
      <c r="DH176" t="e">
        <f>AND(Demos!#REF!,"AAAAAD7//28=")</f>
        <v>#REF!</v>
      </c>
      <c r="DI176" t="e">
        <f>AND(Demos!#REF!,"AAAAAD7//3A=")</f>
        <v>#REF!</v>
      </c>
      <c r="DJ176" t="e">
        <f>AND(Demos!#REF!,"AAAAAD7//3E=")</f>
        <v>#REF!</v>
      </c>
      <c r="DK176" t="e">
        <f>AND(Demos!#REF!,"AAAAAD7//3I=")</f>
        <v>#REF!</v>
      </c>
      <c r="DL176" t="e">
        <f>AND(Demos!#REF!,"AAAAAD7//3M=")</f>
        <v>#REF!</v>
      </c>
      <c r="DM176" t="e">
        <f>AND(Demos!#REF!,"AAAAAD7//3Q=")</f>
        <v>#REF!</v>
      </c>
      <c r="DN176" t="e">
        <f>AND(Demos!#REF!,"AAAAAD7//3U=")</f>
        <v>#REF!</v>
      </c>
      <c r="DO176" t="e">
        <f>AND(Demos!#REF!,"AAAAAD7//3Y=")</f>
        <v>#REF!</v>
      </c>
      <c r="DP176" t="e">
        <f>AND(Demos!#REF!,"AAAAAD7//3c=")</f>
        <v>#REF!</v>
      </c>
      <c r="DQ176" t="e">
        <f>AND(Demos!#REF!,"AAAAAD7//3g=")</f>
        <v>#REF!</v>
      </c>
      <c r="DR176" t="e">
        <f>AND(Demos!#REF!,"AAAAAD7//3k=")</f>
        <v>#REF!</v>
      </c>
      <c r="DS176" t="e">
        <f>AND(Demos!#REF!,"AAAAAD7//3o=")</f>
        <v>#REF!</v>
      </c>
      <c r="DT176" t="e">
        <f>AND(Demos!#REF!,"AAAAAD7//3s=")</f>
        <v>#REF!</v>
      </c>
      <c r="DU176" t="e">
        <f>IF(Demos!#REF!,"AAAAAD7//3w=",0)</f>
        <v>#REF!</v>
      </c>
      <c r="DV176" t="e">
        <f>AND(Demos!#REF!,"AAAAAD7//30=")</f>
        <v>#REF!</v>
      </c>
      <c r="DW176" t="e">
        <f>AND(Demos!#REF!,"AAAAAD7//34=")</f>
        <v>#REF!</v>
      </c>
      <c r="DX176" t="e">
        <f>AND(Demos!#REF!,"AAAAAD7//38=")</f>
        <v>#REF!</v>
      </c>
      <c r="DY176" t="e">
        <f>AND(Demos!#REF!,"AAAAAD7//4A=")</f>
        <v>#REF!</v>
      </c>
      <c r="DZ176" t="e">
        <f>AND(Demos!#REF!,"AAAAAD7//4E=")</f>
        <v>#REF!</v>
      </c>
      <c r="EA176" t="e">
        <f>AND(Demos!#REF!,"AAAAAD7//4I=")</f>
        <v>#REF!</v>
      </c>
      <c r="EB176" t="e">
        <f>AND(Demos!#REF!,"AAAAAD7//4M=")</f>
        <v>#REF!</v>
      </c>
      <c r="EC176" t="e">
        <f>AND(Demos!#REF!,"AAAAAD7//4Q=")</f>
        <v>#REF!</v>
      </c>
      <c r="ED176" t="e">
        <f>AND(Demos!#REF!,"AAAAAD7//4U=")</f>
        <v>#REF!</v>
      </c>
      <c r="EE176" t="e">
        <f>AND(Demos!#REF!,"AAAAAD7//4Y=")</f>
        <v>#REF!</v>
      </c>
      <c r="EF176" t="e">
        <f>AND(Demos!#REF!,"AAAAAD7//4c=")</f>
        <v>#REF!</v>
      </c>
      <c r="EG176" t="e">
        <f>AND(Demos!#REF!,"AAAAAD7//4g=")</f>
        <v>#REF!</v>
      </c>
      <c r="EH176" t="e">
        <f>AND(Demos!#REF!,"AAAAAD7//4k=")</f>
        <v>#REF!</v>
      </c>
      <c r="EI176" t="e">
        <f>IF(Demos!#REF!,"AAAAAD7//4o=",0)</f>
        <v>#REF!</v>
      </c>
      <c r="EJ176" t="e">
        <f>AND(Demos!#REF!,"AAAAAD7//4s=")</f>
        <v>#REF!</v>
      </c>
      <c r="EK176" t="e">
        <f>AND(Demos!#REF!,"AAAAAD7//4w=")</f>
        <v>#REF!</v>
      </c>
      <c r="EL176" t="e">
        <f>AND(Demos!#REF!,"AAAAAD7//40=")</f>
        <v>#REF!</v>
      </c>
      <c r="EM176" t="e">
        <f>AND(Demos!#REF!,"AAAAAD7//44=")</f>
        <v>#REF!</v>
      </c>
      <c r="EN176" t="e">
        <f>AND(Demos!#REF!,"AAAAAD7//48=")</f>
        <v>#REF!</v>
      </c>
      <c r="EO176" t="e">
        <f>AND(Demos!#REF!,"AAAAAD7//5A=")</f>
        <v>#REF!</v>
      </c>
      <c r="EP176" t="e">
        <f>AND(Demos!#REF!,"AAAAAD7//5E=")</f>
        <v>#REF!</v>
      </c>
      <c r="EQ176" t="e">
        <f>AND(Demos!#REF!,"AAAAAD7//5I=")</f>
        <v>#REF!</v>
      </c>
      <c r="ER176" t="e">
        <f>AND(Demos!#REF!,"AAAAAD7//5M=")</f>
        <v>#REF!</v>
      </c>
      <c r="ES176" t="e">
        <f>AND(Demos!#REF!,"AAAAAD7//5Q=")</f>
        <v>#REF!</v>
      </c>
      <c r="ET176" t="e">
        <f>AND(Demos!#REF!,"AAAAAD7//5U=")</f>
        <v>#REF!</v>
      </c>
      <c r="EU176" t="e">
        <f>AND(Demos!#REF!,"AAAAAD7//5Y=")</f>
        <v>#REF!</v>
      </c>
      <c r="EV176" t="e">
        <f>AND(Demos!#REF!,"AAAAAD7//5c=")</f>
        <v>#REF!</v>
      </c>
      <c r="EW176" t="e">
        <f>IF(Demos!#REF!,"AAAAAD7//5g=",0)</f>
        <v>#REF!</v>
      </c>
      <c r="EX176" t="e">
        <f>AND(Demos!#REF!,"AAAAAD7//5k=")</f>
        <v>#REF!</v>
      </c>
      <c r="EY176" t="e">
        <f>AND(Demos!#REF!,"AAAAAD7//5o=")</f>
        <v>#REF!</v>
      </c>
      <c r="EZ176" t="e">
        <f>AND(Demos!#REF!,"AAAAAD7//5s=")</f>
        <v>#REF!</v>
      </c>
      <c r="FA176" t="e">
        <f>AND(Demos!#REF!,"AAAAAD7//5w=")</f>
        <v>#REF!</v>
      </c>
      <c r="FB176" t="e">
        <f>AND(Demos!#REF!,"AAAAAD7//50=")</f>
        <v>#REF!</v>
      </c>
      <c r="FC176" t="e">
        <f>AND(Demos!#REF!,"AAAAAD7//54=")</f>
        <v>#REF!</v>
      </c>
      <c r="FD176" t="e">
        <f>AND(Demos!#REF!,"AAAAAD7//58=")</f>
        <v>#REF!</v>
      </c>
      <c r="FE176" t="e">
        <f>AND(Demos!#REF!,"AAAAAD7//6A=")</f>
        <v>#REF!</v>
      </c>
      <c r="FF176" t="e">
        <f>AND(Demos!#REF!,"AAAAAD7//6E=")</f>
        <v>#REF!</v>
      </c>
      <c r="FG176" t="e">
        <f>AND(Demos!#REF!,"AAAAAD7//6I=")</f>
        <v>#REF!</v>
      </c>
      <c r="FH176" t="e">
        <f>AND(Demos!#REF!,"AAAAAD7//6M=")</f>
        <v>#REF!</v>
      </c>
      <c r="FI176" t="e">
        <f>AND(Demos!#REF!,"AAAAAD7//6Q=")</f>
        <v>#REF!</v>
      </c>
      <c r="FJ176" t="e">
        <f>AND(Demos!#REF!,"AAAAAD7//6U=")</f>
        <v>#REF!</v>
      </c>
      <c r="FK176" t="e">
        <f>IF(Demos!#REF!,"AAAAAD7//6Y=",0)</f>
        <v>#REF!</v>
      </c>
      <c r="FL176" t="e">
        <f>AND(Demos!#REF!,"AAAAAD7//6c=")</f>
        <v>#REF!</v>
      </c>
      <c r="FM176" t="e">
        <f>AND(Demos!#REF!,"AAAAAD7//6g=")</f>
        <v>#REF!</v>
      </c>
      <c r="FN176" t="e">
        <f>AND(Demos!#REF!,"AAAAAD7//6k=")</f>
        <v>#REF!</v>
      </c>
      <c r="FO176" t="e">
        <f>AND(Demos!#REF!,"AAAAAD7//6o=")</f>
        <v>#REF!</v>
      </c>
      <c r="FP176" t="e">
        <f>AND(Demos!#REF!,"AAAAAD7//6s=")</f>
        <v>#REF!</v>
      </c>
      <c r="FQ176" t="e">
        <f>AND(Demos!#REF!,"AAAAAD7//6w=")</f>
        <v>#REF!</v>
      </c>
      <c r="FR176" t="e">
        <f>AND(Demos!#REF!,"AAAAAD7//60=")</f>
        <v>#REF!</v>
      </c>
      <c r="FS176" t="e">
        <f>AND(Demos!#REF!,"AAAAAD7//64=")</f>
        <v>#REF!</v>
      </c>
      <c r="FT176" t="e">
        <f>AND(Demos!#REF!,"AAAAAD7//68=")</f>
        <v>#REF!</v>
      </c>
      <c r="FU176" t="e">
        <f>AND(Demos!#REF!,"AAAAAD7//7A=")</f>
        <v>#REF!</v>
      </c>
      <c r="FV176" t="e">
        <f>AND(Demos!#REF!,"AAAAAD7//7E=")</f>
        <v>#REF!</v>
      </c>
      <c r="FW176" t="e">
        <f>AND(Demos!#REF!,"AAAAAD7//7I=")</f>
        <v>#REF!</v>
      </c>
      <c r="FX176" t="e">
        <f>AND(Demos!#REF!,"AAAAAD7//7M=")</f>
        <v>#REF!</v>
      </c>
      <c r="FY176" t="e">
        <f>IF(Demos!#REF!,"AAAAAD7//7Q=",0)</f>
        <v>#REF!</v>
      </c>
      <c r="FZ176" t="e">
        <f>AND(Demos!#REF!,"AAAAAD7//7U=")</f>
        <v>#REF!</v>
      </c>
      <c r="GA176" t="e">
        <f>AND(Demos!#REF!,"AAAAAD7//7Y=")</f>
        <v>#REF!</v>
      </c>
      <c r="GB176" t="e">
        <f>AND(Demos!#REF!,"AAAAAD7//7c=")</f>
        <v>#REF!</v>
      </c>
      <c r="GC176" t="e">
        <f>AND(Demos!#REF!,"AAAAAD7//7g=")</f>
        <v>#REF!</v>
      </c>
      <c r="GD176" t="e">
        <f>AND(Demos!#REF!,"AAAAAD7//7k=")</f>
        <v>#REF!</v>
      </c>
      <c r="GE176" t="e">
        <f>AND(Demos!#REF!,"AAAAAD7//7o=")</f>
        <v>#REF!</v>
      </c>
      <c r="GF176" t="e">
        <f>AND(Demos!#REF!,"AAAAAD7//7s=")</f>
        <v>#REF!</v>
      </c>
      <c r="GG176" t="e">
        <f>AND(Demos!#REF!,"AAAAAD7//7w=")</f>
        <v>#REF!</v>
      </c>
      <c r="GH176" t="e">
        <f>AND(Demos!#REF!,"AAAAAD7//70=")</f>
        <v>#REF!</v>
      </c>
      <c r="GI176" t="e">
        <f>AND(Demos!#REF!,"AAAAAD7//74=")</f>
        <v>#REF!</v>
      </c>
      <c r="GJ176" t="e">
        <f>AND(Demos!#REF!,"AAAAAD7//78=")</f>
        <v>#REF!</v>
      </c>
      <c r="GK176" t="e">
        <f>AND(Demos!#REF!,"AAAAAD7//8A=")</f>
        <v>#REF!</v>
      </c>
      <c r="GL176" t="e">
        <f>AND(Demos!#REF!,"AAAAAD7//8E=")</f>
        <v>#REF!</v>
      </c>
      <c r="GM176" t="e">
        <f>IF(Demos!#REF!,"AAAAAD7//8I=",0)</f>
        <v>#REF!</v>
      </c>
      <c r="GN176" t="e">
        <f>AND(Demos!#REF!,"AAAAAD7//8M=")</f>
        <v>#REF!</v>
      </c>
      <c r="GO176" t="e">
        <f>AND(Demos!#REF!,"AAAAAD7//8Q=")</f>
        <v>#REF!</v>
      </c>
      <c r="GP176" t="e">
        <f>AND(Demos!#REF!,"AAAAAD7//8U=")</f>
        <v>#REF!</v>
      </c>
      <c r="GQ176" t="e">
        <f>AND(Demos!#REF!,"AAAAAD7//8Y=")</f>
        <v>#REF!</v>
      </c>
      <c r="GR176" t="e">
        <f>AND(Demos!#REF!,"AAAAAD7//8c=")</f>
        <v>#REF!</v>
      </c>
      <c r="GS176" t="e">
        <f>AND(Demos!#REF!,"AAAAAD7//8g=")</f>
        <v>#REF!</v>
      </c>
      <c r="GT176" t="e">
        <f>AND(Demos!#REF!,"AAAAAD7//8k=")</f>
        <v>#REF!</v>
      </c>
      <c r="GU176" t="e">
        <f>AND(Demos!#REF!,"AAAAAD7//8o=")</f>
        <v>#REF!</v>
      </c>
      <c r="GV176" t="e">
        <f>AND(Demos!#REF!,"AAAAAD7//8s=")</f>
        <v>#REF!</v>
      </c>
      <c r="GW176" t="e">
        <f>AND(Demos!#REF!,"AAAAAD7//8w=")</f>
        <v>#REF!</v>
      </c>
      <c r="GX176" t="e">
        <f>AND(Demos!#REF!,"AAAAAD7//80=")</f>
        <v>#REF!</v>
      </c>
      <c r="GY176" t="e">
        <f>AND(Demos!#REF!,"AAAAAD7//84=")</f>
        <v>#REF!</v>
      </c>
      <c r="GZ176" t="e">
        <f>AND(Demos!#REF!,"AAAAAD7//88=")</f>
        <v>#REF!</v>
      </c>
      <c r="HA176" t="e">
        <f>IF(Demos!#REF!,"AAAAAD7//9A=",0)</f>
        <v>#REF!</v>
      </c>
      <c r="HB176" t="e">
        <f>AND(Demos!#REF!,"AAAAAD7//9E=")</f>
        <v>#REF!</v>
      </c>
      <c r="HC176" t="e">
        <f>AND(Demos!#REF!,"AAAAAD7//9I=")</f>
        <v>#REF!</v>
      </c>
      <c r="HD176" t="e">
        <f>AND(Demos!#REF!,"AAAAAD7//9M=")</f>
        <v>#REF!</v>
      </c>
      <c r="HE176" t="e">
        <f>AND(Demos!#REF!,"AAAAAD7//9Q=")</f>
        <v>#REF!</v>
      </c>
      <c r="HF176" t="e">
        <f>AND(Demos!#REF!,"AAAAAD7//9U=")</f>
        <v>#REF!</v>
      </c>
      <c r="HG176" t="e">
        <f>AND(Demos!#REF!,"AAAAAD7//9Y=")</f>
        <v>#REF!</v>
      </c>
      <c r="HH176" t="e">
        <f>AND(Demos!#REF!,"AAAAAD7//9c=")</f>
        <v>#REF!</v>
      </c>
      <c r="HI176" t="e">
        <f>AND(Demos!#REF!,"AAAAAD7//9g=")</f>
        <v>#REF!</v>
      </c>
      <c r="HJ176" t="e">
        <f>AND(Demos!#REF!,"AAAAAD7//9k=")</f>
        <v>#REF!</v>
      </c>
      <c r="HK176" t="e">
        <f>AND(Demos!#REF!,"AAAAAD7//9o=")</f>
        <v>#REF!</v>
      </c>
      <c r="HL176" t="e">
        <f>AND(Demos!#REF!,"AAAAAD7//9s=")</f>
        <v>#REF!</v>
      </c>
      <c r="HM176" t="e">
        <f>AND(Demos!#REF!,"AAAAAD7//9w=")</f>
        <v>#REF!</v>
      </c>
      <c r="HN176" t="e">
        <f>AND(Demos!#REF!,"AAAAAD7//90=")</f>
        <v>#REF!</v>
      </c>
      <c r="HO176" t="e">
        <f>IF(Demos!#REF!,"AAAAAD7//94=",0)</f>
        <v>#REF!</v>
      </c>
      <c r="HP176" t="e">
        <f>AND(Demos!#REF!,"AAAAAD7//98=")</f>
        <v>#REF!</v>
      </c>
      <c r="HQ176" t="e">
        <f>AND(Demos!#REF!,"AAAAAD7//+A=")</f>
        <v>#REF!</v>
      </c>
      <c r="HR176" t="e">
        <f>AND(Demos!#REF!,"AAAAAD7//+E=")</f>
        <v>#REF!</v>
      </c>
      <c r="HS176" t="e">
        <f>AND(Demos!#REF!,"AAAAAD7//+I=")</f>
        <v>#REF!</v>
      </c>
      <c r="HT176" t="e">
        <f>AND(Demos!#REF!,"AAAAAD7//+M=")</f>
        <v>#REF!</v>
      </c>
      <c r="HU176" t="e">
        <f>AND(Demos!#REF!,"AAAAAD7//+Q=")</f>
        <v>#REF!</v>
      </c>
      <c r="HV176" t="e">
        <f>AND(Demos!#REF!,"AAAAAD7//+U=")</f>
        <v>#REF!</v>
      </c>
      <c r="HW176" t="e">
        <f>AND(Demos!#REF!,"AAAAAD7//+Y=")</f>
        <v>#REF!</v>
      </c>
      <c r="HX176" t="e">
        <f>AND(Demos!#REF!,"AAAAAD7//+c=")</f>
        <v>#REF!</v>
      </c>
      <c r="HY176" t="e">
        <f>AND(Demos!#REF!,"AAAAAD7//+g=")</f>
        <v>#REF!</v>
      </c>
      <c r="HZ176" t="e">
        <f>AND(Demos!#REF!,"AAAAAD7//+k=")</f>
        <v>#REF!</v>
      </c>
      <c r="IA176" t="e">
        <f>AND(Demos!#REF!,"AAAAAD7//+o=")</f>
        <v>#REF!</v>
      </c>
      <c r="IB176" t="e">
        <f>AND(Demos!#REF!,"AAAAAD7//+s=")</f>
        <v>#REF!</v>
      </c>
      <c r="IC176" t="e">
        <f>IF(Demos!#REF!,"AAAAAD7//+w=",0)</f>
        <v>#REF!</v>
      </c>
      <c r="ID176" t="e">
        <f>AND(Demos!#REF!,"AAAAAD7//+0=")</f>
        <v>#REF!</v>
      </c>
      <c r="IE176" t="e">
        <f>AND(Demos!#REF!,"AAAAAD7//+4=")</f>
        <v>#REF!</v>
      </c>
      <c r="IF176" t="e">
        <f>AND(Demos!#REF!,"AAAAAD7//+8=")</f>
        <v>#REF!</v>
      </c>
      <c r="IG176" t="e">
        <f>AND(Demos!#REF!,"AAAAAD7///A=")</f>
        <v>#REF!</v>
      </c>
      <c r="IH176" t="e">
        <f>AND(Demos!#REF!,"AAAAAD7///E=")</f>
        <v>#REF!</v>
      </c>
      <c r="II176" t="e">
        <f>AND(Demos!#REF!,"AAAAAD7///I=")</f>
        <v>#REF!</v>
      </c>
      <c r="IJ176" t="e">
        <f>AND(Demos!#REF!,"AAAAAD7///M=")</f>
        <v>#REF!</v>
      </c>
      <c r="IK176" t="e">
        <f>AND(Demos!#REF!,"AAAAAD7///Q=")</f>
        <v>#REF!</v>
      </c>
      <c r="IL176" t="e">
        <f>AND(Demos!#REF!,"AAAAAD7///U=")</f>
        <v>#REF!</v>
      </c>
      <c r="IM176" t="e">
        <f>AND(Demos!#REF!,"AAAAAD7///Y=")</f>
        <v>#REF!</v>
      </c>
      <c r="IN176" t="e">
        <f>AND(Demos!#REF!,"AAAAAD7///c=")</f>
        <v>#REF!</v>
      </c>
      <c r="IO176" t="e">
        <f>AND(Demos!#REF!,"AAAAAD7///g=")</f>
        <v>#REF!</v>
      </c>
      <c r="IP176" t="e">
        <f>AND(Demos!#REF!,"AAAAAD7///k=")</f>
        <v>#REF!</v>
      </c>
      <c r="IQ176" t="e">
        <f>IF(Demos!#REF!,"AAAAAD7///o=",0)</f>
        <v>#REF!</v>
      </c>
      <c r="IR176" t="e">
        <f>AND(Demos!#REF!,"AAAAAD7///s=")</f>
        <v>#REF!</v>
      </c>
      <c r="IS176" t="e">
        <f>AND(Demos!#REF!,"AAAAAD7///w=")</f>
        <v>#REF!</v>
      </c>
      <c r="IT176" t="e">
        <f>AND(Demos!#REF!,"AAAAAD7///0=")</f>
        <v>#REF!</v>
      </c>
      <c r="IU176" t="e">
        <f>AND(Demos!#REF!,"AAAAAD7///4=")</f>
        <v>#REF!</v>
      </c>
      <c r="IV176" t="e">
        <f>AND(Demos!#REF!,"AAAAAD7///8=")</f>
        <v>#REF!</v>
      </c>
    </row>
    <row r="177" spans="1:256" x14ac:dyDescent="0.2">
      <c r="A177" t="e">
        <f>AND(Demos!#REF!,"AAAAAGP3+wA=")</f>
        <v>#REF!</v>
      </c>
      <c r="B177" t="e">
        <f>AND(Demos!#REF!,"AAAAAGP3+wE=")</f>
        <v>#REF!</v>
      </c>
      <c r="C177" t="e">
        <f>AND(Demos!#REF!,"AAAAAGP3+wI=")</f>
        <v>#REF!</v>
      </c>
      <c r="D177" t="e">
        <f>AND(Demos!#REF!,"AAAAAGP3+wM=")</f>
        <v>#REF!</v>
      </c>
      <c r="E177" t="e">
        <f>AND(Demos!#REF!,"AAAAAGP3+wQ=")</f>
        <v>#REF!</v>
      </c>
      <c r="F177" t="e">
        <f>AND(Demos!#REF!,"AAAAAGP3+wU=")</f>
        <v>#REF!</v>
      </c>
      <c r="G177" t="e">
        <f>AND(Demos!#REF!,"AAAAAGP3+wY=")</f>
        <v>#REF!</v>
      </c>
      <c r="H177" t="e">
        <f>AND(Demos!#REF!,"AAAAAGP3+wc=")</f>
        <v>#REF!</v>
      </c>
      <c r="I177" t="e">
        <f>IF(Demos!#REF!,"AAAAAGP3+wg=",0)</f>
        <v>#REF!</v>
      </c>
      <c r="J177" t="e">
        <f>AND(Demos!#REF!,"AAAAAGP3+wk=")</f>
        <v>#REF!</v>
      </c>
      <c r="K177" t="e">
        <f>AND(Demos!#REF!,"AAAAAGP3+wo=")</f>
        <v>#REF!</v>
      </c>
      <c r="L177" t="e">
        <f>AND(Demos!#REF!,"AAAAAGP3+ws=")</f>
        <v>#REF!</v>
      </c>
      <c r="M177" t="e">
        <f>AND(Demos!#REF!,"AAAAAGP3+ww=")</f>
        <v>#REF!</v>
      </c>
      <c r="N177" t="e">
        <f>AND(Demos!#REF!,"AAAAAGP3+w0=")</f>
        <v>#REF!</v>
      </c>
      <c r="O177" t="e">
        <f>AND(Demos!#REF!,"AAAAAGP3+w4=")</f>
        <v>#REF!</v>
      </c>
      <c r="P177" t="e">
        <f>AND(Demos!#REF!,"AAAAAGP3+w8=")</f>
        <v>#REF!</v>
      </c>
      <c r="Q177" t="e">
        <f>AND(Demos!#REF!,"AAAAAGP3+xA=")</f>
        <v>#REF!</v>
      </c>
      <c r="R177" t="e">
        <f>AND(Demos!#REF!,"AAAAAGP3+xE=")</f>
        <v>#REF!</v>
      </c>
      <c r="S177" t="e">
        <f>AND(Demos!#REF!,"AAAAAGP3+xI=")</f>
        <v>#REF!</v>
      </c>
      <c r="T177" t="e">
        <f>AND(Demos!#REF!,"AAAAAGP3+xM=")</f>
        <v>#REF!</v>
      </c>
      <c r="U177" t="e">
        <f>AND(Demos!#REF!,"AAAAAGP3+xQ=")</f>
        <v>#REF!</v>
      </c>
      <c r="V177" t="e">
        <f>AND(Demos!#REF!,"AAAAAGP3+xU=")</f>
        <v>#REF!</v>
      </c>
      <c r="W177" t="e">
        <f>IF(Demos!#REF!,"AAAAAGP3+xY=",0)</f>
        <v>#REF!</v>
      </c>
      <c r="X177" t="e">
        <f>AND(Demos!#REF!,"AAAAAGP3+xc=")</f>
        <v>#REF!</v>
      </c>
      <c r="Y177" t="e">
        <f>AND(Demos!#REF!,"AAAAAGP3+xg=")</f>
        <v>#REF!</v>
      </c>
      <c r="Z177" t="e">
        <f>AND(Demos!#REF!,"AAAAAGP3+xk=")</f>
        <v>#REF!</v>
      </c>
      <c r="AA177" t="e">
        <f>AND(Demos!#REF!,"AAAAAGP3+xo=")</f>
        <v>#REF!</v>
      </c>
      <c r="AB177" t="e">
        <f>AND(Demos!#REF!,"AAAAAGP3+xs=")</f>
        <v>#REF!</v>
      </c>
      <c r="AC177" t="e">
        <f>AND(Demos!#REF!,"AAAAAGP3+xw=")</f>
        <v>#REF!</v>
      </c>
      <c r="AD177" t="e">
        <f>AND(Demos!#REF!,"AAAAAGP3+x0=")</f>
        <v>#REF!</v>
      </c>
      <c r="AE177" t="e">
        <f>AND(Demos!#REF!,"AAAAAGP3+x4=")</f>
        <v>#REF!</v>
      </c>
      <c r="AF177" t="e">
        <f>AND(Demos!#REF!,"AAAAAGP3+x8=")</f>
        <v>#REF!</v>
      </c>
      <c r="AG177" t="e">
        <f>AND(Demos!#REF!,"AAAAAGP3+yA=")</f>
        <v>#REF!</v>
      </c>
      <c r="AH177" t="e">
        <f>AND(Demos!#REF!,"AAAAAGP3+yE=")</f>
        <v>#REF!</v>
      </c>
      <c r="AI177" t="e">
        <f>AND(Demos!#REF!,"AAAAAGP3+yI=")</f>
        <v>#REF!</v>
      </c>
      <c r="AJ177" t="e">
        <f>AND(Demos!#REF!,"AAAAAGP3+yM=")</f>
        <v>#REF!</v>
      </c>
      <c r="AK177" t="e">
        <f>IF(Demos!#REF!,"AAAAAGP3+yQ=",0)</f>
        <v>#REF!</v>
      </c>
      <c r="AL177" t="e">
        <f>AND(Demos!#REF!,"AAAAAGP3+yU=")</f>
        <v>#REF!</v>
      </c>
      <c r="AM177" t="e">
        <f>AND(Demos!#REF!,"AAAAAGP3+yY=")</f>
        <v>#REF!</v>
      </c>
      <c r="AN177" t="e">
        <f>AND(Demos!#REF!,"AAAAAGP3+yc=")</f>
        <v>#REF!</v>
      </c>
      <c r="AO177" t="e">
        <f>AND(Demos!#REF!,"AAAAAGP3+yg=")</f>
        <v>#REF!</v>
      </c>
      <c r="AP177" t="e">
        <f>AND(Demos!#REF!,"AAAAAGP3+yk=")</f>
        <v>#REF!</v>
      </c>
      <c r="AQ177" t="e">
        <f>AND(Demos!#REF!,"AAAAAGP3+yo=")</f>
        <v>#REF!</v>
      </c>
      <c r="AR177" t="e">
        <f>AND(Demos!#REF!,"AAAAAGP3+ys=")</f>
        <v>#REF!</v>
      </c>
      <c r="AS177" t="e">
        <f>AND(Demos!#REF!,"AAAAAGP3+yw=")</f>
        <v>#REF!</v>
      </c>
      <c r="AT177" t="e">
        <f>AND(Demos!#REF!,"AAAAAGP3+y0=")</f>
        <v>#REF!</v>
      </c>
      <c r="AU177" t="e">
        <f>AND(Demos!#REF!,"AAAAAGP3+y4=")</f>
        <v>#REF!</v>
      </c>
      <c r="AV177" t="e">
        <f>AND(Demos!#REF!,"AAAAAGP3+y8=")</f>
        <v>#REF!</v>
      </c>
      <c r="AW177" t="e">
        <f>AND(Demos!#REF!,"AAAAAGP3+zA=")</f>
        <v>#REF!</v>
      </c>
      <c r="AX177" t="e">
        <f>AND(Demos!#REF!,"AAAAAGP3+zE=")</f>
        <v>#REF!</v>
      </c>
      <c r="AY177" t="e">
        <f>IF(Demos!#REF!,"AAAAAGP3+zI=",0)</f>
        <v>#REF!</v>
      </c>
      <c r="AZ177" t="e">
        <f>AND(Demos!A83,"AAAAAGP3+zM=")</f>
        <v>#VALUE!</v>
      </c>
      <c r="BA177" t="e">
        <f>AND(Demos!B83,"AAAAAGP3+zQ=")</f>
        <v>#VALUE!</v>
      </c>
      <c r="BB177" t="e">
        <f>AND(Demos!#REF!,"AAAAAGP3+zU=")</f>
        <v>#REF!</v>
      </c>
      <c r="BC177" t="e">
        <f>AND(Demos!C83,"AAAAAGP3+zY=")</f>
        <v>#VALUE!</v>
      </c>
      <c r="BD177" t="e">
        <f>AND(Demos!#REF!,"AAAAAGP3+zc=")</f>
        <v>#REF!</v>
      </c>
      <c r="BE177" t="e">
        <f>AND(Demos!#REF!,"AAAAAGP3+zg=")</f>
        <v>#REF!</v>
      </c>
      <c r="BF177" t="e">
        <f>AND(Demos!#REF!,"AAAAAGP3+zk=")</f>
        <v>#REF!</v>
      </c>
      <c r="BG177" t="e">
        <f>AND(Demos!#REF!,"AAAAAGP3+zo=")</f>
        <v>#REF!</v>
      </c>
      <c r="BH177" t="e">
        <f>AND(Demos!D83,"AAAAAGP3+zs=")</f>
        <v>#VALUE!</v>
      </c>
      <c r="BI177" t="e">
        <f>AND(Demos!#REF!,"AAAAAGP3+zw=")</f>
        <v>#REF!</v>
      </c>
      <c r="BJ177" t="e">
        <f>AND(Demos!E83,"AAAAAGP3+z0=")</f>
        <v>#VALUE!</v>
      </c>
      <c r="BK177" t="e">
        <f>AND(Demos!F83,"AAAAAGP3+z4=")</f>
        <v>#VALUE!</v>
      </c>
      <c r="BL177" t="e">
        <f>AND(Demos!G83,"AAAAAGP3+z8=")</f>
        <v>#VALUE!</v>
      </c>
      <c r="BM177" t="e">
        <f>IF(Demos!#REF!,"AAAAAGP3+0A=",0)</f>
        <v>#REF!</v>
      </c>
      <c r="BN177" t="e">
        <f>AND(Demos!#REF!,"AAAAAGP3+0E=")</f>
        <v>#REF!</v>
      </c>
      <c r="BO177" t="e">
        <f>AND(Demos!#REF!,"AAAAAGP3+0I=")</f>
        <v>#REF!</v>
      </c>
      <c r="BP177" t="e">
        <f>AND(Demos!#REF!,"AAAAAGP3+0M=")</f>
        <v>#REF!</v>
      </c>
      <c r="BQ177" t="e">
        <f>AND(Demos!#REF!,"AAAAAGP3+0Q=")</f>
        <v>#REF!</v>
      </c>
      <c r="BR177" t="e">
        <f>AND(Demos!#REF!,"AAAAAGP3+0U=")</f>
        <v>#REF!</v>
      </c>
      <c r="BS177" t="e">
        <f>AND(Demos!#REF!,"AAAAAGP3+0Y=")</f>
        <v>#REF!</v>
      </c>
      <c r="BT177" t="e">
        <f>AND(Demos!#REF!,"AAAAAGP3+0c=")</f>
        <v>#REF!</v>
      </c>
      <c r="BU177" t="e">
        <f>AND(Demos!#REF!,"AAAAAGP3+0g=")</f>
        <v>#REF!</v>
      </c>
      <c r="BV177" t="e">
        <f>AND(Demos!#REF!,"AAAAAGP3+0k=")</f>
        <v>#REF!</v>
      </c>
      <c r="BW177" t="e">
        <f>AND(Demos!#REF!,"AAAAAGP3+0o=")</f>
        <v>#REF!</v>
      </c>
      <c r="BX177" t="e">
        <f>AND(Demos!#REF!,"AAAAAGP3+0s=")</f>
        <v>#REF!</v>
      </c>
      <c r="BY177" t="e">
        <f>AND(Demos!#REF!,"AAAAAGP3+0w=")</f>
        <v>#REF!</v>
      </c>
      <c r="BZ177" t="e">
        <f>AND(Demos!#REF!,"AAAAAGP3+00=")</f>
        <v>#REF!</v>
      </c>
      <c r="CA177">
        <f>IF(Demos!83:83,"AAAAAGP3+04=",0)</f>
        <v>0</v>
      </c>
      <c r="CB177" t="e">
        <f>AND(Demos!A85,"AAAAAGP3+08=")</f>
        <v>#VALUE!</v>
      </c>
      <c r="CC177" t="e">
        <f>AND(Demos!B85,"AAAAAGP3+1A=")</f>
        <v>#VALUE!</v>
      </c>
      <c r="CD177" t="e">
        <f>AND(Demos!#REF!,"AAAAAGP3+1E=")</f>
        <v>#REF!</v>
      </c>
      <c r="CE177" t="e">
        <f>AND(Demos!C85,"AAAAAGP3+1I=")</f>
        <v>#VALUE!</v>
      </c>
      <c r="CF177" t="e">
        <f>AND(Demos!#REF!,"AAAAAGP3+1M=")</f>
        <v>#REF!</v>
      </c>
      <c r="CG177" t="e">
        <f>AND(Demos!#REF!,"AAAAAGP3+1Q=")</f>
        <v>#REF!</v>
      </c>
      <c r="CH177" t="e">
        <f>AND(Demos!#REF!,"AAAAAGP3+1U=")</f>
        <v>#REF!</v>
      </c>
      <c r="CI177" t="e">
        <f>AND(Demos!#REF!,"AAAAAGP3+1Y=")</f>
        <v>#REF!</v>
      </c>
      <c r="CJ177" t="e">
        <f>AND(Demos!D85,"AAAAAGP3+1c=")</f>
        <v>#VALUE!</v>
      </c>
      <c r="CK177" t="e">
        <f>AND(Demos!#REF!,"AAAAAGP3+1g=")</f>
        <v>#REF!</v>
      </c>
      <c r="CL177" t="e">
        <f>AND(Demos!E85,"AAAAAGP3+1k=")</f>
        <v>#VALUE!</v>
      </c>
      <c r="CM177" t="e">
        <f>AND(Demos!F85,"AAAAAGP3+1o=")</f>
        <v>#VALUE!</v>
      </c>
      <c r="CN177" t="e">
        <f>AND(Demos!G85,"AAAAAGP3+1s=")</f>
        <v>#VALUE!</v>
      </c>
      <c r="CO177" t="e">
        <f>IF(Demos!#REF!,"AAAAAGP3+1w=",0)</f>
        <v>#REF!</v>
      </c>
      <c r="CP177" t="e">
        <f>AND(Demos!A86,"AAAAAGP3+10=")</f>
        <v>#VALUE!</v>
      </c>
      <c r="CQ177" t="e">
        <f>AND(Demos!#REF!,"AAAAAGP3+14=")</f>
        <v>#REF!</v>
      </c>
      <c r="CR177" t="e">
        <f>AND(Demos!B86,"AAAAAGP3+18=")</f>
        <v>#VALUE!</v>
      </c>
      <c r="CS177" t="e">
        <f>AND(Demos!#REF!,"AAAAAGP3+2A=")</f>
        <v>#REF!</v>
      </c>
      <c r="CT177" t="e">
        <f>AND(Demos!C86,"AAAAAGP3+2E=")</f>
        <v>#VALUE!</v>
      </c>
      <c r="CU177" t="e">
        <f>AND(Demos!#REF!,"AAAAAGP3+2I=")</f>
        <v>#REF!</v>
      </c>
      <c r="CV177" t="e">
        <f>AND(Demos!#REF!,"AAAAAGP3+2M=")</f>
        <v>#REF!</v>
      </c>
      <c r="CW177" t="e">
        <f>AND(Demos!#REF!,"AAAAAGP3+2Q=")</f>
        <v>#REF!</v>
      </c>
      <c r="CX177" t="e">
        <f>AND(Demos!D86,"AAAAAGP3+2U=")</f>
        <v>#VALUE!</v>
      </c>
      <c r="CY177" t="e">
        <f>AND(Demos!#REF!,"AAAAAGP3+2Y=")</f>
        <v>#REF!</v>
      </c>
      <c r="CZ177" t="e">
        <f>AND(Demos!E86,"AAAAAGP3+2c=")</f>
        <v>#VALUE!</v>
      </c>
      <c r="DA177" t="e">
        <f>AND(Demos!F86,"AAAAAGP3+2g=")</f>
        <v>#VALUE!</v>
      </c>
      <c r="DB177" t="e">
        <f>AND(Demos!G86,"AAAAAGP3+2k=")</f>
        <v>#VALUE!</v>
      </c>
      <c r="DC177">
        <f>IF(Demos!85:85,"AAAAAGP3+2o=",0)</f>
        <v>0</v>
      </c>
      <c r="DD177" t="e">
        <f>AND(Demos!A87,"AAAAAGP3+2s=")</f>
        <v>#VALUE!</v>
      </c>
      <c r="DE177" t="e">
        <f>AND(Demos!#REF!,"AAAAAGP3+2w=")</f>
        <v>#REF!</v>
      </c>
      <c r="DF177" t="e">
        <f>AND(Demos!B87,"AAAAAGP3+20=")</f>
        <v>#VALUE!</v>
      </c>
      <c r="DG177" t="e">
        <f>AND(Demos!#REF!,"AAAAAGP3+24=")</f>
        <v>#REF!</v>
      </c>
      <c r="DH177" t="e">
        <f>AND(Demos!#REF!,"AAAAAGP3+28=")</f>
        <v>#REF!</v>
      </c>
      <c r="DI177" t="e">
        <f>AND(Demos!#REF!,"AAAAAGP3+3A=")</f>
        <v>#REF!</v>
      </c>
      <c r="DJ177" t="e">
        <f>AND(Demos!#REF!,"AAAAAGP3+3E=")</f>
        <v>#REF!</v>
      </c>
      <c r="DK177" t="e">
        <f>AND(Demos!C87,"AAAAAGP3+3I=")</f>
        <v>#VALUE!</v>
      </c>
      <c r="DL177" t="e">
        <f>AND(Demos!D87,"AAAAAGP3+3M=")</f>
        <v>#VALUE!</v>
      </c>
      <c r="DM177" t="e">
        <f>AND(Demos!#REF!,"AAAAAGP3+3Q=")</f>
        <v>#REF!</v>
      </c>
      <c r="DN177" t="e">
        <f>AND(Demos!E87,"AAAAAGP3+3U=")</f>
        <v>#VALUE!</v>
      </c>
      <c r="DO177" t="e">
        <f>AND(Demos!F87,"AAAAAGP3+3Y=")</f>
        <v>#VALUE!</v>
      </c>
      <c r="DP177" t="e">
        <f>AND(Demos!G87,"AAAAAGP3+3c=")</f>
        <v>#VALUE!</v>
      </c>
      <c r="DQ177">
        <f>IF(Demos!86:86,"AAAAAGP3+3g=",0)</f>
        <v>0</v>
      </c>
      <c r="DR177" t="e">
        <f>AND(Demos!A88,"AAAAAGP3+3k=")</f>
        <v>#VALUE!</v>
      </c>
      <c r="DS177" t="e">
        <f>AND(Demos!#REF!,"AAAAAGP3+3o=")</f>
        <v>#REF!</v>
      </c>
      <c r="DT177" t="e">
        <f>AND(Demos!B88,"AAAAAGP3+3s=")</f>
        <v>#VALUE!</v>
      </c>
      <c r="DU177" t="e">
        <f>AND(Demos!#REF!,"AAAAAGP3+3w=")</f>
        <v>#REF!</v>
      </c>
      <c r="DV177" t="e">
        <f>AND(Demos!#REF!,"AAAAAGP3+30=")</f>
        <v>#REF!</v>
      </c>
      <c r="DW177" t="e">
        <f>AND(Demos!#REF!,"AAAAAGP3+34=")</f>
        <v>#REF!</v>
      </c>
      <c r="DX177" t="e">
        <f>AND(Demos!#REF!,"AAAAAGP3+38=")</f>
        <v>#REF!</v>
      </c>
      <c r="DY177" t="e">
        <f>AND(Demos!C88,"AAAAAGP3+4A=")</f>
        <v>#VALUE!</v>
      </c>
      <c r="DZ177" t="e">
        <f>AND(Demos!D88,"AAAAAGP3+4E=")</f>
        <v>#VALUE!</v>
      </c>
      <c r="EA177" t="e">
        <f>AND(Demos!#REF!,"AAAAAGP3+4I=")</f>
        <v>#REF!</v>
      </c>
      <c r="EB177" t="e">
        <f>AND(Demos!E88,"AAAAAGP3+4M=")</f>
        <v>#VALUE!</v>
      </c>
      <c r="EC177" t="e">
        <f>AND(Demos!F88,"AAAAAGP3+4Q=")</f>
        <v>#VALUE!</v>
      </c>
      <c r="ED177" t="e">
        <f>AND(Demos!G88,"AAAAAGP3+4U=")</f>
        <v>#VALUE!</v>
      </c>
      <c r="EE177">
        <f>IF(Demos!87:87,"AAAAAGP3+4Y=",0)</f>
        <v>0</v>
      </c>
      <c r="EF177" t="e">
        <f>AND(Demos!A89,"AAAAAGP3+4c=")</f>
        <v>#VALUE!</v>
      </c>
      <c r="EG177" t="e">
        <f>AND(Demos!#REF!,"AAAAAGP3+4g=")</f>
        <v>#REF!</v>
      </c>
      <c r="EH177" t="e">
        <f>AND(Demos!B89,"AAAAAGP3+4k=")</f>
        <v>#VALUE!</v>
      </c>
      <c r="EI177" t="e">
        <f>AND(Demos!#REF!,"AAAAAGP3+4o=")</f>
        <v>#REF!</v>
      </c>
      <c r="EJ177" t="e">
        <f>AND(Demos!#REF!,"AAAAAGP3+4s=")</f>
        <v>#REF!</v>
      </c>
      <c r="EK177" t="e">
        <f>AND(Demos!#REF!,"AAAAAGP3+4w=")</f>
        <v>#REF!</v>
      </c>
      <c r="EL177" t="e">
        <f>AND(Demos!#REF!,"AAAAAGP3+40=")</f>
        <v>#REF!</v>
      </c>
      <c r="EM177" t="e">
        <f>AND(Demos!C89,"AAAAAGP3+44=")</f>
        <v>#VALUE!</v>
      </c>
      <c r="EN177" t="e">
        <f>AND(Demos!D89,"AAAAAGP3+48=")</f>
        <v>#VALUE!</v>
      </c>
      <c r="EO177" t="e">
        <f>AND(Demos!#REF!,"AAAAAGP3+5A=")</f>
        <v>#REF!</v>
      </c>
      <c r="EP177" t="e">
        <f>AND(Demos!E89,"AAAAAGP3+5E=")</f>
        <v>#VALUE!</v>
      </c>
      <c r="EQ177" t="e">
        <f>AND(Demos!F89,"AAAAAGP3+5I=")</f>
        <v>#VALUE!</v>
      </c>
      <c r="ER177" t="e">
        <f>AND(Demos!G89,"AAAAAGP3+5M=")</f>
        <v>#VALUE!</v>
      </c>
      <c r="ES177">
        <f>IF(Demos!88:88,"AAAAAGP3+5Q=",0)</f>
        <v>0</v>
      </c>
      <c r="ET177" t="e">
        <f>AND(Demos!#REF!,"AAAAAGP3+5U=")</f>
        <v>#REF!</v>
      </c>
      <c r="EU177" t="e">
        <f>AND(Demos!#REF!,"AAAAAGP3+5Y=")</f>
        <v>#REF!</v>
      </c>
      <c r="EV177" t="e">
        <f>AND(Demos!#REF!,"AAAAAGP3+5c=")</f>
        <v>#REF!</v>
      </c>
      <c r="EW177" t="e">
        <f>AND(Demos!#REF!,"AAAAAGP3+5g=")</f>
        <v>#REF!</v>
      </c>
      <c r="EX177" t="e">
        <f>AND(Demos!#REF!,"AAAAAGP3+5k=")</f>
        <v>#REF!</v>
      </c>
      <c r="EY177" t="e">
        <f>AND(Demos!#REF!,"AAAAAGP3+5o=")</f>
        <v>#REF!</v>
      </c>
      <c r="EZ177" t="e">
        <f>AND(Demos!#REF!,"AAAAAGP3+5s=")</f>
        <v>#REF!</v>
      </c>
      <c r="FA177" t="e">
        <f>AND(Demos!#REF!,"AAAAAGP3+5w=")</f>
        <v>#REF!</v>
      </c>
      <c r="FB177" t="e">
        <f>AND(Demos!#REF!,"AAAAAGP3+50=")</f>
        <v>#REF!</v>
      </c>
      <c r="FC177" t="e">
        <f>AND(Demos!#REF!,"AAAAAGP3+54=")</f>
        <v>#REF!</v>
      </c>
      <c r="FD177" t="e">
        <f>AND(Demos!#REF!,"AAAAAGP3+58=")</f>
        <v>#REF!</v>
      </c>
      <c r="FE177" t="e">
        <f>AND(Demos!#REF!,"AAAAAGP3+6A=")</f>
        <v>#REF!</v>
      </c>
      <c r="FF177" t="e">
        <f>AND(Demos!#REF!,"AAAAAGP3+6E=")</f>
        <v>#REF!</v>
      </c>
      <c r="FG177">
        <f>IF(Demos!89:89,"AAAAAGP3+6I=",0)</f>
        <v>0</v>
      </c>
      <c r="FH177" t="e">
        <f>AND(Demos!#REF!,"AAAAAGP3+6M=")</f>
        <v>#REF!</v>
      </c>
      <c r="FI177" t="e">
        <f>AND(Demos!#REF!,"AAAAAGP3+6Q=")</f>
        <v>#REF!</v>
      </c>
      <c r="FJ177" t="e">
        <f>AND(Demos!#REF!,"AAAAAGP3+6U=")</f>
        <v>#REF!</v>
      </c>
      <c r="FK177" t="e">
        <f>AND(Demos!#REF!,"AAAAAGP3+6Y=")</f>
        <v>#REF!</v>
      </c>
      <c r="FL177" t="e">
        <f>AND(Demos!#REF!,"AAAAAGP3+6c=")</f>
        <v>#REF!</v>
      </c>
      <c r="FM177" t="e">
        <f>AND(Demos!#REF!,"AAAAAGP3+6g=")</f>
        <v>#REF!</v>
      </c>
      <c r="FN177" t="e">
        <f>AND(Demos!#REF!,"AAAAAGP3+6k=")</f>
        <v>#REF!</v>
      </c>
      <c r="FO177" t="e">
        <f>AND(Demos!#REF!,"AAAAAGP3+6o=")</f>
        <v>#REF!</v>
      </c>
      <c r="FP177" t="e">
        <f>AND(Demos!#REF!,"AAAAAGP3+6s=")</f>
        <v>#REF!</v>
      </c>
      <c r="FQ177" t="e">
        <f>AND(Demos!#REF!,"AAAAAGP3+6w=")</f>
        <v>#REF!</v>
      </c>
      <c r="FR177" t="e">
        <f>AND(Demos!#REF!,"AAAAAGP3+60=")</f>
        <v>#REF!</v>
      </c>
      <c r="FS177" t="e">
        <f>AND(Demos!#REF!,"AAAAAGP3+64=")</f>
        <v>#REF!</v>
      </c>
      <c r="FT177" t="e">
        <f>AND(Demos!#REF!,"AAAAAGP3+68=")</f>
        <v>#REF!</v>
      </c>
      <c r="FU177" t="e">
        <f>IF(Demos!#REF!,"AAAAAGP3+7A=",0)</f>
        <v>#REF!</v>
      </c>
      <c r="FV177" t="e">
        <f>AND(Demos!A91,"AAAAAGP3+7E=")</f>
        <v>#VALUE!</v>
      </c>
      <c r="FW177" t="e">
        <f>AND(Demos!B91,"AAAAAGP3+7I=")</f>
        <v>#VALUE!</v>
      </c>
      <c r="FX177" t="e">
        <f>AND(Demos!#REF!,"AAAAAGP3+7M=")</f>
        <v>#REF!</v>
      </c>
      <c r="FY177" t="e">
        <f>AND(Demos!C91,"AAAAAGP3+7Q=")</f>
        <v>#VALUE!</v>
      </c>
      <c r="FZ177" t="e">
        <f>AND(Demos!#REF!,"AAAAAGP3+7U=")</f>
        <v>#REF!</v>
      </c>
      <c r="GA177" t="e">
        <f>AND(Demos!#REF!,"AAAAAGP3+7Y=")</f>
        <v>#REF!</v>
      </c>
      <c r="GB177" t="e">
        <f>AND(Demos!#REF!,"AAAAAGP3+7c=")</f>
        <v>#REF!</v>
      </c>
      <c r="GC177" t="e">
        <f>AND(Demos!#REF!,"AAAAAGP3+7g=")</f>
        <v>#REF!</v>
      </c>
      <c r="GD177" t="e">
        <f>AND(Demos!D91,"AAAAAGP3+7k=")</f>
        <v>#VALUE!</v>
      </c>
      <c r="GE177" t="e">
        <f>AND(Demos!#REF!,"AAAAAGP3+7o=")</f>
        <v>#REF!</v>
      </c>
      <c r="GF177" t="e">
        <f>AND(Demos!E91,"AAAAAGP3+7s=")</f>
        <v>#VALUE!</v>
      </c>
      <c r="GG177" t="e">
        <f>AND(Demos!F91,"AAAAAGP3+7w=")</f>
        <v>#VALUE!</v>
      </c>
      <c r="GH177" t="e">
        <f>AND(Demos!G91,"AAAAAGP3+70=")</f>
        <v>#VALUE!</v>
      </c>
      <c r="GI177" t="e">
        <f>IF(Demos!#REF!,"AAAAAGP3+74=",0)</f>
        <v>#REF!</v>
      </c>
      <c r="GJ177" t="e">
        <f>AND(Demos!A92,"AAAAAGP3+78=")</f>
        <v>#VALUE!</v>
      </c>
      <c r="GK177" t="e">
        <f>AND(Demos!B92,"AAAAAGP3+8A=")</f>
        <v>#VALUE!</v>
      </c>
      <c r="GL177" t="e">
        <f>AND(Demos!#REF!,"AAAAAGP3+8E=")</f>
        <v>#REF!</v>
      </c>
      <c r="GM177" t="e">
        <f>AND(Demos!C92,"AAAAAGP3+8I=")</f>
        <v>#VALUE!</v>
      </c>
      <c r="GN177" t="e">
        <f>AND(Demos!#REF!,"AAAAAGP3+8M=")</f>
        <v>#REF!</v>
      </c>
      <c r="GO177" t="e">
        <f>AND(Demos!#REF!,"AAAAAGP3+8Q=")</f>
        <v>#REF!</v>
      </c>
      <c r="GP177" t="e">
        <f>AND(Demos!#REF!,"AAAAAGP3+8U=")</f>
        <v>#REF!</v>
      </c>
      <c r="GQ177" t="e">
        <f>AND(Demos!D92,"AAAAAGP3+8Y=")</f>
        <v>#VALUE!</v>
      </c>
      <c r="GR177" t="e">
        <f>AND(Demos!#REF!,"AAAAAGP3+8c=")</f>
        <v>#REF!</v>
      </c>
      <c r="GS177" t="e">
        <f>AND(Demos!#REF!,"AAAAAGP3+8g=")</f>
        <v>#REF!</v>
      </c>
      <c r="GT177" t="e">
        <f>AND(Demos!F92,"AAAAAGP3+8k=")</f>
        <v>#VALUE!</v>
      </c>
      <c r="GU177" t="e">
        <f>AND(Demos!#REF!,"AAAAAGP3+8o=")</f>
        <v>#REF!</v>
      </c>
      <c r="GV177" t="e">
        <f>AND(Demos!G92,"AAAAAGP3+8s=")</f>
        <v>#VALUE!</v>
      </c>
      <c r="GW177">
        <f>IF(Demos!91:91,"AAAAAGP3+8w=",0)</f>
        <v>0</v>
      </c>
      <c r="GX177" t="e">
        <f>AND(Demos!A93,"AAAAAGP3+80=")</f>
        <v>#VALUE!</v>
      </c>
      <c r="GY177" t="e">
        <f>AND(Demos!B93,"AAAAAGP3+84=")</f>
        <v>#VALUE!</v>
      </c>
      <c r="GZ177" t="e">
        <f>AND(Demos!#REF!,"AAAAAGP3+88=")</f>
        <v>#REF!</v>
      </c>
      <c r="HA177" t="e">
        <f>AND(Demos!C93,"AAAAAGP3+9A=")</f>
        <v>#VALUE!</v>
      </c>
      <c r="HB177" t="e">
        <f>AND(Demos!#REF!,"AAAAAGP3+9E=")</f>
        <v>#REF!</v>
      </c>
      <c r="HC177" t="e">
        <f>AND(Demos!#REF!,"AAAAAGP3+9I=")</f>
        <v>#REF!</v>
      </c>
      <c r="HD177" t="e">
        <f>AND(Demos!#REF!,"AAAAAGP3+9M=")</f>
        <v>#REF!</v>
      </c>
      <c r="HE177" t="e">
        <f>AND(Demos!D93,"AAAAAGP3+9Q=")</f>
        <v>#VALUE!</v>
      </c>
      <c r="HF177" t="e">
        <f>AND(Demos!#REF!,"AAAAAGP3+9U=")</f>
        <v>#REF!</v>
      </c>
      <c r="HG177" t="e">
        <f>AND(Demos!#REF!,"AAAAAGP3+9Y=")</f>
        <v>#REF!</v>
      </c>
      <c r="HH177" t="e">
        <f>AND(Demos!F93,"AAAAAGP3+9c=")</f>
        <v>#VALUE!</v>
      </c>
      <c r="HI177" t="e">
        <f>AND(Demos!#REF!,"AAAAAGP3+9g=")</f>
        <v>#REF!</v>
      </c>
      <c r="HJ177" t="e">
        <f>AND(Demos!G93,"AAAAAGP3+9k=")</f>
        <v>#VALUE!</v>
      </c>
      <c r="HK177">
        <f>IF(Demos!92:92,"AAAAAGP3+9o=",0)</f>
        <v>0</v>
      </c>
      <c r="HL177" t="e">
        <f>AND(Demos!#REF!,"AAAAAGP3+9s=")</f>
        <v>#REF!</v>
      </c>
      <c r="HM177" t="e">
        <f>AND(Demos!#REF!,"AAAAAGP3+9w=")</f>
        <v>#REF!</v>
      </c>
      <c r="HN177" t="e">
        <f>AND(Demos!#REF!,"AAAAAGP3+90=")</f>
        <v>#REF!</v>
      </c>
      <c r="HO177" t="e">
        <f>AND(Demos!#REF!,"AAAAAGP3+94=")</f>
        <v>#REF!</v>
      </c>
      <c r="HP177" t="e">
        <f>AND(Demos!#REF!,"AAAAAGP3+98=")</f>
        <v>#REF!</v>
      </c>
      <c r="HQ177" t="e">
        <f>AND(Demos!#REF!,"AAAAAGP3++A=")</f>
        <v>#REF!</v>
      </c>
      <c r="HR177" t="e">
        <f>AND(Demos!#REF!,"AAAAAGP3++E=")</f>
        <v>#REF!</v>
      </c>
      <c r="HS177" t="e">
        <f>AND(Demos!#REF!,"AAAAAGP3++I=")</f>
        <v>#REF!</v>
      </c>
      <c r="HT177" t="e">
        <f>AND(Demos!#REF!,"AAAAAGP3++M=")</f>
        <v>#REF!</v>
      </c>
      <c r="HU177" t="e">
        <f>AND(Demos!#REF!,"AAAAAGP3++Q=")</f>
        <v>#REF!</v>
      </c>
      <c r="HV177" t="e">
        <f>AND(Demos!#REF!,"AAAAAGP3++U=")</f>
        <v>#REF!</v>
      </c>
      <c r="HW177" t="e">
        <f>AND(Demos!#REF!,"AAAAAGP3++Y=")</f>
        <v>#REF!</v>
      </c>
      <c r="HX177" t="e">
        <f>AND(Demos!#REF!,"AAAAAGP3++c=")</f>
        <v>#REF!</v>
      </c>
      <c r="HY177">
        <f>IF(Demos!93:93,"AAAAAGP3++g=",0)</f>
        <v>0</v>
      </c>
      <c r="HZ177" t="e">
        <f>AND(Demos!#REF!,"AAAAAGP3++k=")</f>
        <v>#REF!</v>
      </c>
      <c r="IA177" t="e">
        <f>AND(Demos!#REF!,"AAAAAGP3++o=")</f>
        <v>#REF!</v>
      </c>
      <c r="IB177" t="e">
        <f>AND(Demos!#REF!,"AAAAAGP3++s=")</f>
        <v>#REF!</v>
      </c>
      <c r="IC177" t="e">
        <f>AND(Demos!#REF!,"AAAAAGP3++w=")</f>
        <v>#REF!</v>
      </c>
      <c r="ID177" t="e">
        <f>AND(Demos!#REF!,"AAAAAGP3++0=")</f>
        <v>#REF!</v>
      </c>
      <c r="IE177" t="e">
        <f>AND(Demos!#REF!,"AAAAAGP3++4=")</f>
        <v>#REF!</v>
      </c>
      <c r="IF177" t="e">
        <f>AND(Demos!#REF!,"AAAAAGP3++8=")</f>
        <v>#REF!</v>
      </c>
      <c r="IG177" t="e">
        <f>AND(Demos!#REF!,"AAAAAGP3+/A=")</f>
        <v>#REF!</v>
      </c>
      <c r="IH177" t="e">
        <f>AND(Demos!#REF!,"AAAAAGP3+/E=")</f>
        <v>#REF!</v>
      </c>
      <c r="II177" t="e">
        <f>AND(Demos!#REF!,"AAAAAGP3+/I=")</f>
        <v>#REF!</v>
      </c>
      <c r="IJ177" t="e">
        <f>AND(Demos!#REF!,"AAAAAGP3+/M=")</f>
        <v>#REF!</v>
      </c>
      <c r="IK177" t="e">
        <f>AND(Demos!#REF!,"AAAAAGP3+/Q=")</f>
        <v>#REF!</v>
      </c>
      <c r="IL177" t="e">
        <f>AND(Demos!#REF!,"AAAAAGP3+/U=")</f>
        <v>#REF!</v>
      </c>
      <c r="IM177" t="e">
        <f>IF(Demos!#REF!,"AAAAAGP3+/Y=",0)</f>
        <v>#REF!</v>
      </c>
      <c r="IN177" t="e">
        <f>AND(Demos!A94,"AAAAAGP3+/c=")</f>
        <v>#VALUE!</v>
      </c>
      <c r="IO177" t="e">
        <f>AND(Demos!B94,"AAAAAGP3+/g=")</f>
        <v>#VALUE!</v>
      </c>
      <c r="IP177" t="e">
        <f>AND(Demos!#REF!,"AAAAAGP3+/k=")</f>
        <v>#REF!</v>
      </c>
      <c r="IQ177" t="e">
        <f>AND(Demos!C94,"AAAAAGP3+/o=")</f>
        <v>#VALUE!</v>
      </c>
      <c r="IR177" t="e">
        <f>AND(Demos!#REF!,"AAAAAGP3+/s=")</f>
        <v>#REF!</v>
      </c>
      <c r="IS177" t="e">
        <f>AND(Demos!#REF!,"AAAAAGP3+/w=")</f>
        <v>#REF!</v>
      </c>
      <c r="IT177" t="e">
        <f>AND(Demos!#REF!,"AAAAAGP3+/0=")</f>
        <v>#REF!</v>
      </c>
      <c r="IU177" t="e">
        <f>AND(Demos!#REF!,"AAAAAGP3+/4=")</f>
        <v>#REF!</v>
      </c>
      <c r="IV177" t="e">
        <f>AND(Demos!D94,"AAAAAGP3+/8=")</f>
        <v>#VALUE!</v>
      </c>
    </row>
    <row r="178" spans="1:256" x14ac:dyDescent="0.2">
      <c r="A178" t="e">
        <f>AND(Demos!#REF!,"AAAAAC/z/wA=")</f>
        <v>#REF!</v>
      </c>
      <c r="B178" t="e">
        <f>AND(Demos!E94,"AAAAAC/z/wE=")</f>
        <v>#VALUE!</v>
      </c>
      <c r="C178" t="e">
        <f>AND(Demos!F94,"AAAAAC/z/wI=")</f>
        <v>#VALUE!</v>
      </c>
      <c r="D178" t="e">
        <f>AND(Demos!G94,"AAAAAC/z/wM=")</f>
        <v>#VALUE!</v>
      </c>
      <c r="E178" t="e">
        <f>IF(Demos!#REF!,"AAAAAC/z/wQ=",0)</f>
        <v>#REF!</v>
      </c>
      <c r="F178" t="e">
        <f>AND(Demos!A95,"AAAAAC/z/wU=")</f>
        <v>#VALUE!</v>
      </c>
      <c r="G178" t="e">
        <f>AND(Demos!B95,"AAAAAC/z/wY=")</f>
        <v>#VALUE!</v>
      </c>
      <c r="H178" t="e">
        <f>AND(Demos!#REF!,"AAAAAC/z/wc=")</f>
        <v>#REF!</v>
      </c>
      <c r="I178" t="e">
        <f>AND(Demos!C95,"AAAAAC/z/wg=")</f>
        <v>#VALUE!</v>
      </c>
      <c r="J178" t="e">
        <f>AND(Demos!#REF!,"AAAAAC/z/wk=")</f>
        <v>#REF!</v>
      </c>
      <c r="K178" t="e">
        <f>AND(Demos!#REF!,"AAAAAC/z/wo=")</f>
        <v>#REF!</v>
      </c>
      <c r="L178" t="e">
        <f>AND(Demos!#REF!,"AAAAAC/z/ws=")</f>
        <v>#REF!</v>
      </c>
      <c r="M178" t="e">
        <f>AND(Demos!#REF!,"AAAAAC/z/ww=")</f>
        <v>#REF!</v>
      </c>
      <c r="N178" t="e">
        <f>AND(Demos!D95,"AAAAAC/z/w0=")</f>
        <v>#VALUE!</v>
      </c>
      <c r="O178" t="e">
        <f>AND(Demos!#REF!,"AAAAAC/z/w4=")</f>
        <v>#REF!</v>
      </c>
      <c r="P178" t="e">
        <f>AND(Demos!E95,"AAAAAC/z/w8=")</f>
        <v>#VALUE!</v>
      </c>
      <c r="Q178" t="e">
        <f>AND(Demos!F95,"AAAAAC/z/xA=")</f>
        <v>#VALUE!</v>
      </c>
      <c r="R178" t="e">
        <f>AND(Demos!G95,"AAAAAC/z/xE=")</f>
        <v>#VALUE!</v>
      </c>
      <c r="S178">
        <f>IF(Demos!94:94,"AAAAAC/z/xI=",0)</f>
        <v>0</v>
      </c>
      <c r="T178" t="e">
        <f>AND(Demos!A96,"AAAAAC/z/xM=")</f>
        <v>#VALUE!</v>
      </c>
      <c r="U178" t="e">
        <f>AND(Demos!#REF!,"AAAAAC/z/xQ=")</f>
        <v>#REF!</v>
      </c>
      <c r="V178" t="e">
        <f>AND(Demos!B96,"AAAAAC/z/xU=")</f>
        <v>#VALUE!</v>
      </c>
      <c r="W178" t="e">
        <f>AND(Demos!#REF!,"AAAAAC/z/xY=")</f>
        <v>#REF!</v>
      </c>
      <c r="X178" t="e">
        <f>AND(Demos!C96,"AAAAAC/z/xc=")</f>
        <v>#VALUE!</v>
      </c>
      <c r="Y178" t="e">
        <f>AND(Demos!#REF!,"AAAAAC/z/xg=")</f>
        <v>#REF!</v>
      </c>
      <c r="Z178" t="e">
        <f>AND(Demos!#REF!,"AAAAAC/z/xk=")</f>
        <v>#REF!</v>
      </c>
      <c r="AA178" t="e">
        <f>AND(Demos!#REF!,"AAAAAC/z/xo=")</f>
        <v>#REF!</v>
      </c>
      <c r="AB178" t="e">
        <f>AND(Demos!D96,"AAAAAC/z/xs=")</f>
        <v>#VALUE!</v>
      </c>
      <c r="AC178" t="e">
        <f>AND(Demos!#REF!,"AAAAAC/z/xw=")</f>
        <v>#REF!</v>
      </c>
      <c r="AD178" t="e">
        <f>AND(Demos!E96,"AAAAAC/z/x0=")</f>
        <v>#VALUE!</v>
      </c>
      <c r="AE178" t="e">
        <f>AND(Demos!F96,"AAAAAC/z/x4=")</f>
        <v>#VALUE!</v>
      </c>
      <c r="AF178" t="e">
        <f>AND(Demos!G96,"AAAAAC/z/x8=")</f>
        <v>#VALUE!</v>
      </c>
      <c r="AG178">
        <f>IF(Demos!95:95,"AAAAAC/z/yA=",0)</f>
        <v>0</v>
      </c>
      <c r="AH178" t="e">
        <f>AND(Demos!#REF!,"AAAAAC/z/yE=")</f>
        <v>#REF!</v>
      </c>
      <c r="AI178" t="e">
        <f>AND(Demos!#REF!,"AAAAAC/z/yI=")</f>
        <v>#REF!</v>
      </c>
      <c r="AJ178" t="e">
        <f>AND(Demos!#REF!,"AAAAAC/z/yM=")</f>
        <v>#REF!</v>
      </c>
      <c r="AK178" t="e">
        <f>AND(Demos!#REF!,"AAAAAC/z/yQ=")</f>
        <v>#REF!</v>
      </c>
      <c r="AL178" t="e">
        <f>AND(Demos!#REF!,"AAAAAC/z/yU=")</f>
        <v>#REF!</v>
      </c>
      <c r="AM178" t="e">
        <f>AND(Demos!#REF!,"AAAAAC/z/yY=")</f>
        <v>#REF!</v>
      </c>
      <c r="AN178" t="e">
        <f>AND(Demos!#REF!,"AAAAAC/z/yc=")</f>
        <v>#REF!</v>
      </c>
      <c r="AO178" t="e">
        <f>AND(Demos!#REF!,"AAAAAC/z/yg=")</f>
        <v>#REF!</v>
      </c>
      <c r="AP178" t="e">
        <f>AND(Demos!#REF!,"AAAAAC/z/yk=")</f>
        <v>#REF!</v>
      </c>
      <c r="AQ178" t="e">
        <f>AND(Demos!#REF!,"AAAAAC/z/yo=")</f>
        <v>#REF!</v>
      </c>
      <c r="AR178" t="e">
        <f>AND(Demos!#REF!,"AAAAAC/z/ys=")</f>
        <v>#REF!</v>
      </c>
      <c r="AS178" t="e">
        <f>AND(Demos!#REF!,"AAAAAC/z/yw=")</f>
        <v>#REF!</v>
      </c>
      <c r="AT178" t="e">
        <f>AND(Demos!#REF!,"AAAAAC/z/y0=")</f>
        <v>#REF!</v>
      </c>
      <c r="AU178">
        <f>IF(Demos!96:96,"AAAAAC/z/y4=",0)</f>
        <v>0</v>
      </c>
      <c r="AV178" t="e">
        <f>AND(Demos!#REF!,"AAAAAC/z/y8=")</f>
        <v>#REF!</v>
      </c>
      <c r="AW178" t="e">
        <f>AND(Demos!#REF!,"AAAAAC/z/zA=")</f>
        <v>#REF!</v>
      </c>
      <c r="AX178" t="e">
        <f>AND(Demos!#REF!,"AAAAAC/z/zE=")</f>
        <v>#REF!</v>
      </c>
      <c r="AY178" t="e">
        <f>AND(Demos!#REF!,"AAAAAC/z/zI=")</f>
        <v>#REF!</v>
      </c>
      <c r="AZ178" t="e">
        <f>AND(Demos!#REF!,"AAAAAC/z/zM=")</f>
        <v>#REF!</v>
      </c>
      <c r="BA178" t="e">
        <f>AND(Demos!#REF!,"AAAAAC/z/zQ=")</f>
        <v>#REF!</v>
      </c>
      <c r="BB178" t="e">
        <f>AND(Demos!#REF!,"AAAAAC/z/zU=")</f>
        <v>#REF!</v>
      </c>
      <c r="BC178" t="e">
        <f>AND(Demos!#REF!,"AAAAAC/z/zY=")</f>
        <v>#REF!</v>
      </c>
      <c r="BD178" t="e">
        <f>AND(Demos!#REF!,"AAAAAC/z/zc=")</f>
        <v>#REF!</v>
      </c>
      <c r="BE178" t="e">
        <f>AND(Demos!#REF!,"AAAAAC/z/zg=")</f>
        <v>#REF!</v>
      </c>
      <c r="BF178" t="e">
        <f>AND(Demos!#REF!,"AAAAAC/z/zk=")</f>
        <v>#REF!</v>
      </c>
      <c r="BG178" t="e">
        <f>AND(Demos!#REF!,"AAAAAC/z/zo=")</f>
        <v>#REF!</v>
      </c>
      <c r="BH178" t="e">
        <f>AND(Demos!#REF!,"AAAAAC/z/zs=")</f>
        <v>#REF!</v>
      </c>
      <c r="BI178" t="e">
        <f>IF(Demos!#REF!,"AAAAAC/z/zw=",0)</f>
        <v>#REF!</v>
      </c>
      <c r="BJ178" t="e">
        <f>AND(Demos!#REF!,"AAAAAC/z/z0=")</f>
        <v>#REF!</v>
      </c>
      <c r="BK178" t="e">
        <f>AND(Demos!#REF!,"AAAAAC/z/z4=")</f>
        <v>#REF!</v>
      </c>
      <c r="BL178" t="e">
        <f>AND(Demos!#REF!,"AAAAAC/z/z8=")</f>
        <v>#REF!</v>
      </c>
      <c r="BM178" t="e">
        <f>AND(Demos!#REF!,"AAAAAC/z/0A=")</f>
        <v>#REF!</v>
      </c>
      <c r="BN178" t="e">
        <f>AND(Demos!#REF!,"AAAAAC/z/0E=")</f>
        <v>#REF!</v>
      </c>
      <c r="BO178" t="e">
        <f>AND(Demos!#REF!,"AAAAAC/z/0I=")</f>
        <v>#REF!</v>
      </c>
      <c r="BP178" t="e">
        <f>AND(Demos!#REF!,"AAAAAC/z/0M=")</f>
        <v>#REF!</v>
      </c>
      <c r="BQ178" t="e">
        <f>AND(Demos!#REF!,"AAAAAC/z/0Q=")</f>
        <v>#REF!</v>
      </c>
      <c r="BR178" t="e">
        <f>AND(Demos!#REF!,"AAAAAC/z/0U=")</f>
        <v>#REF!</v>
      </c>
      <c r="BS178" t="e">
        <f>AND(Demos!#REF!,"AAAAAC/z/0Y=")</f>
        <v>#REF!</v>
      </c>
      <c r="BT178" t="e">
        <f>AND(Demos!#REF!,"AAAAAC/z/0c=")</f>
        <v>#REF!</v>
      </c>
      <c r="BU178" t="e">
        <f>AND(Demos!#REF!,"AAAAAC/z/0g=")</f>
        <v>#REF!</v>
      </c>
      <c r="BV178" t="e">
        <f>AND(Demos!#REF!,"AAAAAC/z/0k=")</f>
        <v>#REF!</v>
      </c>
      <c r="BW178" t="e">
        <f>IF(Demos!#REF!,"AAAAAC/z/0o=",0)</f>
        <v>#REF!</v>
      </c>
      <c r="BX178" t="e">
        <f>AND(Demos!#REF!,"AAAAAC/z/0s=")</f>
        <v>#REF!</v>
      </c>
      <c r="BY178" t="e">
        <f>AND(Demos!#REF!,"AAAAAC/z/0w=")</f>
        <v>#REF!</v>
      </c>
      <c r="BZ178" t="e">
        <f>AND(Demos!#REF!,"AAAAAC/z/00=")</f>
        <v>#REF!</v>
      </c>
      <c r="CA178" t="e">
        <f>AND(Demos!#REF!,"AAAAAC/z/04=")</f>
        <v>#REF!</v>
      </c>
      <c r="CB178" t="e">
        <f>AND(Demos!#REF!,"AAAAAC/z/08=")</f>
        <v>#REF!</v>
      </c>
      <c r="CC178" t="e">
        <f>AND(Demos!#REF!,"AAAAAC/z/1A=")</f>
        <v>#REF!</v>
      </c>
      <c r="CD178" t="e">
        <f>AND(Demos!#REF!,"AAAAAC/z/1E=")</f>
        <v>#REF!</v>
      </c>
      <c r="CE178" t="e">
        <f>AND(Demos!#REF!,"AAAAAC/z/1I=")</f>
        <v>#REF!</v>
      </c>
      <c r="CF178" t="e">
        <f>AND(Demos!#REF!,"AAAAAC/z/1M=")</f>
        <v>#REF!</v>
      </c>
      <c r="CG178" t="e">
        <f>AND(Demos!#REF!,"AAAAAC/z/1Q=")</f>
        <v>#REF!</v>
      </c>
      <c r="CH178" t="e">
        <f>AND(Demos!#REF!,"AAAAAC/z/1U=")</f>
        <v>#REF!</v>
      </c>
      <c r="CI178" t="e">
        <f>AND(Demos!#REF!,"AAAAAC/z/1Y=")</f>
        <v>#REF!</v>
      </c>
      <c r="CJ178" t="e">
        <f>AND(Demos!#REF!,"AAAAAC/z/1c=")</f>
        <v>#REF!</v>
      </c>
      <c r="CK178" t="e">
        <f>IF(Demos!#REF!,"AAAAAC/z/1g=",0)</f>
        <v>#REF!</v>
      </c>
      <c r="CL178" t="e">
        <f>AND(Demos!#REF!,"AAAAAC/z/1k=")</f>
        <v>#REF!</v>
      </c>
      <c r="CM178" t="e">
        <f>AND(Demos!#REF!,"AAAAAC/z/1o=")</f>
        <v>#REF!</v>
      </c>
      <c r="CN178" t="e">
        <f>AND(Demos!#REF!,"AAAAAC/z/1s=")</f>
        <v>#REF!</v>
      </c>
      <c r="CO178" t="e">
        <f>AND(Demos!#REF!,"AAAAAC/z/1w=")</f>
        <v>#REF!</v>
      </c>
      <c r="CP178" t="e">
        <f>AND(Demos!#REF!,"AAAAAC/z/10=")</f>
        <v>#REF!</v>
      </c>
      <c r="CQ178" t="e">
        <f>AND(Demos!#REF!,"AAAAAC/z/14=")</f>
        <v>#REF!</v>
      </c>
      <c r="CR178" t="e">
        <f>AND(Demos!#REF!,"AAAAAC/z/18=")</f>
        <v>#REF!</v>
      </c>
      <c r="CS178" t="e">
        <f>AND(Demos!#REF!,"AAAAAC/z/2A=")</f>
        <v>#REF!</v>
      </c>
      <c r="CT178" t="e">
        <f>AND(Demos!#REF!,"AAAAAC/z/2E=")</f>
        <v>#REF!</v>
      </c>
      <c r="CU178" t="e">
        <f>AND(Demos!#REF!,"AAAAAC/z/2I=")</f>
        <v>#REF!</v>
      </c>
      <c r="CV178" t="e">
        <f>AND(Demos!#REF!,"AAAAAC/z/2M=")</f>
        <v>#REF!</v>
      </c>
      <c r="CW178" t="e">
        <f>AND(Demos!#REF!,"AAAAAC/z/2Q=")</f>
        <v>#REF!</v>
      </c>
      <c r="CX178" t="e">
        <f>AND(Demos!#REF!,"AAAAAC/z/2U=")</f>
        <v>#REF!</v>
      </c>
      <c r="CY178" t="e">
        <f>IF(Demos!#REF!,"AAAAAC/z/2Y=",0)</f>
        <v>#REF!</v>
      </c>
      <c r="CZ178" t="e">
        <f>AND(Demos!A101,"AAAAAC/z/2c=")</f>
        <v>#VALUE!</v>
      </c>
      <c r="DA178" t="e">
        <f>AND(Demos!B101,"AAAAAC/z/2g=")</f>
        <v>#VALUE!</v>
      </c>
      <c r="DB178" t="e">
        <f>AND(Demos!#REF!,"AAAAAC/z/2k=")</f>
        <v>#REF!</v>
      </c>
      <c r="DC178" t="e">
        <f>AND(Demos!C101,"AAAAAC/z/2o=")</f>
        <v>#VALUE!</v>
      </c>
      <c r="DD178" t="e">
        <f>AND(Demos!#REF!,"AAAAAC/z/2s=")</f>
        <v>#REF!</v>
      </c>
      <c r="DE178" t="e">
        <f>AND(Demos!#REF!,"AAAAAC/z/2w=")</f>
        <v>#REF!</v>
      </c>
      <c r="DF178" t="e">
        <f>AND(Demos!#REF!,"AAAAAC/z/20=")</f>
        <v>#REF!</v>
      </c>
      <c r="DG178" t="e">
        <f>AND(Demos!#REF!,"AAAAAC/z/24=")</f>
        <v>#REF!</v>
      </c>
      <c r="DH178" t="e">
        <f>AND(Demos!D101,"AAAAAC/z/28=")</f>
        <v>#VALUE!</v>
      </c>
      <c r="DI178" t="e">
        <f>AND(Demos!#REF!,"AAAAAC/z/3A=")</f>
        <v>#REF!</v>
      </c>
      <c r="DJ178" t="e">
        <f>AND(Demos!E101,"AAAAAC/z/3E=")</f>
        <v>#VALUE!</v>
      </c>
      <c r="DK178" t="e">
        <f>AND(Demos!F101,"AAAAAC/z/3I=")</f>
        <v>#VALUE!</v>
      </c>
      <c r="DL178" t="e">
        <f>AND(Demos!G101,"AAAAAC/z/3M=")</f>
        <v>#VALUE!</v>
      </c>
      <c r="DM178" t="e">
        <f>IF(Demos!#REF!,"AAAAAC/z/3Q=",0)</f>
        <v>#REF!</v>
      </c>
      <c r="DN178" t="e">
        <f>AND(Demos!A102,"AAAAAC/z/3U=")</f>
        <v>#VALUE!</v>
      </c>
      <c r="DO178" t="e">
        <f>AND(Demos!B102,"AAAAAC/z/3Y=")</f>
        <v>#VALUE!</v>
      </c>
      <c r="DP178" t="e">
        <f>AND(Demos!#REF!,"AAAAAC/z/3c=")</f>
        <v>#REF!</v>
      </c>
      <c r="DQ178" t="e">
        <f>AND(Demos!C102,"AAAAAC/z/3g=")</f>
        <v>#VALUE!</v>
      </c>
      <c r="DR178" t="e">
        <f>AND(Demos!#REF!,"AAAAAC/z/3k=")</f>
        <v>#REF!</v>
      </c>
      <c r="DS178" t="e">
        <f>AND(Demos!#REF!,"AAAAAC/z/3o=")</f>
        <v>#REF!</v>
      </c>
      <c r="DT178" t="e">
        <f>AND(Demos!#REF!,"AAAAAC/z/3s=")</f>
        <v>#REF!</v>
      </c>
      <c r="DU178" t="e">
        <f>AND(Demos!D102,"AAAAAC/z/3w=")</f>
        <v>#VALUE!</v>
      </c>
      <c r="DV178" t="e">
        <f>AND(Demos!#REF!,"AAAAAC/z/30=")</f>
        <v>#REF!</v>
      </c>
      <c r="DW178" t="e">
        <f>AND(Demos!#REF!,"AAAAAC/z/34=")</f>
        <v>#REF!</v>
      </c>
      <c r="DX178" t="e">
        <f>AND(Demos!F102,"AAAAAC/z/38=")</f>
        <v>#VALUE!</v>
      </c>
      <c r="DY178" t="e">
        <f>AND(Demos!#REF!,"AAAAAC/z/4A=")</f>
        <v>#REF!</v>
      </c>
      <c r="DZ178" t="e">
        <f>AND(Demos!G102,"AAAAAC/z/4E=")</f>
        <v>#VALUE!</v>
      </c>
      <c r="EA178">
        <f>IF(Demos!101:101,"AAAAAC/z/4I=",0)</f>
        <v>0</v>
      </c>
      <c r="EB178" t="e">
        <f>AND(Demos!#REF!,"AAAAAC/z/4M=")</f>
        <v>#REF!</v>
      </c>
      <c r="EC178" t="e">
        <f>AND(Demos!#REF!,"AAAAAC/z/4Q=")</f>
        <v>#REF!</v>
      </c>
      <c r="ED178" t="e">
        <f>AND(Demos!#REF!,"AAAAAC/z/4U=")</f>
        <v>#REF!</v>
      </c>
      <c r="EE178" t="e">
        <f>AND(Demos!#REF!,"AAAAAC/z/4Y=")</f>
        <v>#REF!</v>
      </c>
      <c r="EF178" t="e">
        <f>AND(Demos!#REF!,"AAAAAC/z/4c=")</f>
        <v>#REF!</v>
      </c>
      <c r="EG178" t="e">
        <f>AND(Demos!#REF!,"AAAAAC/z/4g=")</f>
        <v>#REF!</v>
      </c>
      <c r="EH178" t="e">
        <f>AND(Demos!#REF!,"AAAAAC/z/4k=")</f>
        <v>#REF!</v>
      </c>
      <c r="EI178" t="e">
        <f>AND(Demos!#REF!,"AAAAAC/z/4o=")</f>
        <v>#REF!</v>
      </c>
      <c r="EJ178" t="e">
        <f>AND(Demos!#REF!,"AAAAAC/z/4s=")</f>
        <v>#REF!</v>
      </c>
      <c r="EK178" t="e">
        <f>AND(Demos!#REF!,"AAAAAC/z/4w=")</f>
        <v>#REF!</v>
      </c>
      <c r="EL178" t="e">
        <f>AND(Demos!#REF!,"AAAAAC/z/40=")</f>
        <v>#REF!</v>
      </c>
      <c r="EM178" t="e">
        <f>AND(Demos!#REF!,"AAAAAC/z/44=")</f>
        <v>#REF!</v>
      </c>
      <c r="EN178" t="e">
        <f>AND(Demos!#REF!,"AAAAAC/z/48=")</f>
        <v>#REF!</v>
      </c>
      <c r="EO178">
        <f>IF(Demos!102:102,"AAAAAC/z/5A=",0)</f>
        <v>0</v>
      </c>
      <c r="EP178" t="e">
        <f>AND(Demos!#REF!,"AAAAAC/z/5E=")</f>
        <v>#REF!</v>
      </c>
      <c r="EQ178" t="e">
        <f>AND(Demos!#REF!,"AAAAAC/z/5I=")</f>
        <v>#REF!</v>
      </c>
      <c r="ER178" t="e">
        <f>AND(Demos!#REF!,"AAAAAC/z/5M=")</f>
        <v>#REF!</v>
      </c>
      <c r="ES178" t="e">
        <f>AND(Demos!#REF!,"AAAAAC/z/5Q=")</f>
        <v>#REF!</v>
      </c>
      <c r="ET178" t="e">
        <f>AND(Demos!#REF!,"AAAAAC/z/5U=")</f>
        <v>#REF!</v>
      </c>
      <c r="EU178" t="e">
        <f>AND(Demos!#REF!,"AAAAAC/z/5Y=")</f>
        <v>#REF!</v>
      </c>
      <c r="EV178" t="e">
        <f>AND(Demos!#REF!,"AAAAAC/z/5c=")</f>
        <v>#REF!</v>
      </c>
      <c r="EW178" t="e">
        <f>AND(Demos!#REF!,"AAAAAC/z/5g=")</f>
        <v>#REF!</v>
      </c>
      <c r="EX178" t="e">
        <f>AND(Demos!#REF!,"AAAAAC/z/5k=")</f>
        <v>#REF!</v>
      </c>
      <c r="EY178" t="e">
        <f>AND(Demos!#REF!,"AAAAAC/z/5o=")</f>
        <v>#REF!</v>
      </c>
      <c r="EZ178" t="e">
        <f>AND(Demos!#REF!,"AAAAAC/z/5s=")</f>
        <v>#REF!</v>
      </c>
      <c r="FA178" t="e">
        <f>AND(Demos!#REF!,"AAAAAC/z/5w=")</f>
        <v>#REF!</v>
      </c>
      <c r="FB178" t="e">
        <f>AND(Demos!#REF!,"AAAAAC/z/50=")</f>
        <v>#REF!</v>
      </c>
      <c r="FC178" t="e">
        <f>IF(Demos!#REF!,"AAAAAC/z/54=",0)</f>
        <v>#REF!</v>
      </c>
      <c r="FD178" t="e">
        <f>AND(Demos!#REF!,"AAAAAC/z/58=")</f>
        <v>#REF!</v>
      </c>
      <c r="FE178" t="e">
        <f>AND(Demos!#REF!,"AAAAAC/z/6A=")</f>
        <v>#REF!</v>
      </c>
      <c r="FF178" t="e">
        <f>AND(Demos!#REF!,"AAAAAC/z/6E=")</f>
        <v>#REF!</v>
      </c>
      <c r="FG178" t="e">
        <f>AND(Demos!#REF!,"AAAAAC/z/6I=")</f>
        <v>#REF!</v>
      </c>
      <c r="FH178" t="e">
        <f>AND(Demos!#REF!,"AAAAAC/z/6M=")</f>
        <v>#REF!</v>
      </c>
      <c r="FI178" t="e">
        <f>AND(Demos!#REF!,"AAAAAC/z/6Q=")</f>
        <v>#REF!</v>
      </c>
      <c r="FJ178" t="e">
        <f>AND(Demos!#REF!,"AAAAAC/z/6U=")</f>
        <v>#REF!</v>
      </c>
      <c r="FK178" t="e">
        <f>AND(Demos!#REF!,"AAAAAC/z/6Y=")</f>
        <v>#REF!</v>
      </c>
      <c r="FL178" t="e">
        <f>AND(Demos!#REF!,"AAAAAC/z/6c=")</f>
        <v>#REF!</v>
      </c>
      <c r="FM178" t="e">
        <f>AND(Demos!#REF!,"AAAAAC/z/6g=")</f>
        <v>#REF!</v>
      </c>
      <c r="FN178" t="e">
        <f>AND(Demos!#REF!,"AAAAAC/z/6k=")</f>
        <v>#REF!</v>
      </c>
      <c r="FO178" t="e">
        <f>AND(Demos!#REF!,"AAAAAC/z/6o=")</f>
        <v>#REF!</v>
      </c>
      <c r="FP178" t="e">
        <f>AND(Demos!#REF!,"AAAAAC/z/6s=")</f>
        <v>#REF!</v>
      </c>
      <c r="FQ178" t="e">
        <f>IF(Demos!#REF!,"AAAAAC/z/6w=",0)</f>
        <v>#REF!</v>
      </c>
      <c r="FR178" t="e">
        <f>AND(Demos!#REF!,"AAAAAC/z/60=")</f>
        <v>#REF!</v>
      </c>
      <c r="FS178" t="e">
        <f>AND(Demos!#REF!,"AAAAAC/z/64=")</f>
        <v>#REF!</v>
      </c>
      <c r="FT178" t="e">
        <f>AND(Demos!#REF!,"AAAAAC/z/68=")</f>
        <v>#REF!</v>
      </c>
      <c r="FU178" t="e">
        <f>AND(Demos!#REF!,"AAAAAC/z/7A=")</f>
        <v>#REF!</v>
      </c>
      <c r="FV178" t="e">
        <f>AND(Demos!#REF!,"AAAAAC/z/7E=")</f>
        <v>#REF!</v>
      </c>
      <c r="FW178" t="e">
        <f>AND(Demos!#REF!,"AAAAAC/z/7I=")</f>
        <v>#REF!</v>
      </c>
      <c r="FX178" t="e">
        <f>AND(Demos!#REF!,"AAAAAC/z/7M=")</f>
        <v>#REF!</v>
      </c>
      <c r="FY178" t="e">
        <f>AND(Demos!#REF!,"AAAAAC/z/7Q=")</f>
        <v>#REF!</v>
      </c>
      <c r="FZ178" t="e">
        <f>AND(Demos!#REF!,"AAAAAC/z/7U=")</f>
        <v>#REF!</v>
      </c>
      <c r="GA178" t="e">
        <f>AND(Demos!#REF!,"AAAAAC/z/7Y=")</f>
        <v>#REF!</v>
      </c>
      <c r="GB178" t="e">
        <f>AND(Demos!#REF!,"AAAAAC/z/7c=")</f>
        <v>#REF!</v>
      </c>
      <c r="GC178" t="e">
        <f>AND(Demos!#REF!,"AAAAAC/z/7g=")</f>
        <v>#REF!</v>
      </c>
      <c r="GD178" t="e">
        <f>AND(Demos!#REF!,"AAAAAC/z/7k=")</f>
        <v>#REF!</v>
      </c>
      <c r="GE178" t="e">
        <f>IF(Demos!#REF!,"AAAAAC/z/7o=",0)</f>
        <v>#REF!</v>
      </c>
      <c r="GF178" t="e">
        <f>AND(Demos!#REF!,"AAAAAC/z/7s=")</f>
        <v>#REF!</v>
      </c>
      <c r="GG178" t="e">
        <f>AND(Demos!#REF!,"AAAAAC/z/7w=")</f>
        <v>#REF!</v>
      </c>
      <c r="GH178" t="e">
        <f>AND(Demos!#REF!,"AAAAAC/z/70=")</f>
        <v>#REF!</v>
      </c>
      <c r="GI178" t="e">
        <f>AND(Demos!#REF!,"AAAAAC/z/74=")</f>
        <v>#REF!</v>
      </c>
      <c r="GJ178" t="e">
        <f>AND(Demos!#REF!,"AAAAAC/z/78=")</f>
        <v>#REF!</v>
      </c>
      <c r="GK178" t="e">
        <f>AND(Demos!#REF!,"AAAAAC/z/8A=")</f>
        <v>#REF!</v>
      </c>
      <c r="GL178" t="e">
        <f>AND(Demos!#REF!,"AAAAAC/z/8E=")</f>
        <v>#REF!</v>
      </c>
      <c r="GM178" t="e">
        <f>AND(Demos!#REF!,"AAAAAC/z/8I=")</f>
        <v>#REF!</v>
      </c>
      <c r="GN178" t="e">
        <f>AND(Demos!#REF!,"AAAAAC/z/8M=")</f>
        <v>#REF!</v>
      </c>
      <c r="GO178" t="e">
        <f>AND(Demos!#REF!,"AAAAAC/z/8Q=")</f>
        <v>#REF!</v>
      </c>
      <c r="GP178" t="e">
        <f>AND(Demos!#REF!,"AAAAAC/z/8U=")</f>
        <v>#REF!</v>
      </c>
      <c r="GQ178" t="e">
        <f>AND(Demos!#REF!,"AAAAAC/z/8Y=")</f>
        <v>#REF!</v>
      </c>
      <c r="GR178" t="e">
        <f>AND(Demos!#REF!,"AAAAAC/z/8c=")</f>
        <v>#REF!</v>
      </c>
      <c r="GS178" t="e">
        <f>IF(Demos!#REF!,"AAAAAC/z/8g=",0)</f>
        <v>#REF!</v>
      </c>
      <c r="GT178" t="e">
        <f>AND(Demos!#REF!,"AAAAAC/z/8k=")</f>
        <v>#REF!</v>
      </c>
      <c r="GU178" t="e">
        <f>AND(Demos!#REF!,"AAAAAC/z/8o=")</f>
        <v>#REF!</v>
      </c>
      <c r="GV178" t="e">
        <f>AND(Demos!#REF!,"AAAAAC/z/8s=")</f>
        <v>#REF!</v>
      </c>
      <c r="GW178" t="e">
        <f>AND(Demos!#REF!,"AAAAAC/z/8w=")</f>
        <v>#REF!</v>
      </c>
      <c r="GX178" t="e">
        <f>AND(Demos!#REF!,"AAAAAC/z/80=")</f>
        <v>#REF!</v>
      </c>
      <c r="GY178" t="e">
        <f>AND(Demos!#REF!,"AAAAAC/z/84=")</f>
        <v>#REF!</v>
      </c>
      <c r="GZ178" t="e">
        <f>AND(Demos!#REF!,"AAAAAC/z/88=")</f>
        <v>#REF!</v>
      </c>
      <c r="HA178" t="e">
        <f>AND(Demos!#REF!,"AAAAAC/z/9A=")</f>
        <v>#REF!</v>
      </c>
      <c r="HB178" t="e">
        <f>AND(Demos!#REF!,"AAAAAC/z/9E=")</f>
        <v>#REF!</v>
      </c>
      <c r="HC178" t="e">
        <f>AND(Demos!#REF!,"AAAAAC/z/9I=")</f>
        <v>#REF!</v>
      </c>
      <c r="HD178" t="e">
        <f>AND(Demos!#REF!,"AAAAAC/z/9M=")</f>
        <v>#REF!</v>
      </c>
      <c r="HE178" t="e">
        <f>AND(Demos!#REF!,"AAAAAC/z/9Q=")</f>
        <v>#REF!</v>
      </c>
      <c r="HF178" t="e">
        <f>AND(Demos!#REF!,"AAAAAC/z/9U=")</f>
        <v>#REF!</v>
      </c>
      <c r="HG178" t="e">
        <f>IF(Demos!#REF!,"AAAAAC/z/9Y=",0)</f>
        <v>#REF!</v>
      </c>
      <c r="HH178" t="e">
        <f>AND(Demos!#REF!,"AAAAAC/z/9c=")</f>
        <v>#REF!</v>
      </c>
      <c r="HI178" t="e">
        <f>AND(Demos!#REF!,"AAAAAC/z/9g=")</f>
        <v>#REF!</v>
      </c>
      <c r="HJ178" t="e">
        <f>AND(Demos!#REF!,"AAAAAC/z/9k=")</f>
        <v>#REF!</v>
      </c>
      <c r="HK178" t="e">
        <f>AND(Demos!#REF!,"AAAAAC/z/9o=")</f>
        <v>#REF!</v>
      </c>
      <c r="HL178" t="e">
        <f>AND(Demos!#REF!,"AAAAAC/z/9s=")</f>
        <v>#REF!</v>
      </c>
      <c r="HM178" t="e">
        <f>AND(Demos!#REF!,"AAAAAC/z/9w=")</f>
        <v>#REF!</v>
      </c>
      <c r="HN178" t="e">
        <f>AND(Demos!#REF!,"AAAAAC/z/90=")</f>
        <v>#REF!</v>
      </c>
      <c r="HO178" t="e">
        <f>AND(Demos!#REF!,"AAAAAC/z/94=")</f>
        <v>#REF!</v>
      </c>
      <c r="HP178" t="e">
        <f>AND(Demos!#REF!,"AAAAAC/z/98=")</f>
        <v>#REF!</v>
      </c>
      <c r="HQ178" t="e">
        <f>AND(Demos!#REF!,"AAAAAC/z/+A=")</f>
        <v>#REF!</v>
      </c>
      <c r="HR178" t="e">
        <f>AND(Demos!#REF!,"AAAAAC/z/+E=")</f>
        <v>#REF!</v>
      </c>
      <c r="HS178" t="e">
        <f>AND(Demos!#REF!,"AAAAAC/z/+I=")</f>
        <v>#REF!</v>
      </c>
      <c r="HT178" t="e">
        <f>AND(Demos!#REF!,"AAAAAC/z/+M=")</f>
        <v>#REF!</v>
      </c>
      <c r="HU178" t="e">
        <f>IF(Demos!#REF!,"AAAAAC/z/+Q=",0)</f>
        <v>#REF!</v>
      </c>
      <c r="HV178" t="e">
        <f>AND(Demos!A103,"AAAAAC/z/+U=")</f>
        <v>#VALUE!</v>
      </c>
      <c r="HW178" t="e">
        <f>AND(Demos!B103,"AAAAAC/z/+Y=")</f>
        <v>#VALUE!</v>
      </c>
      <c r="HX178" t="e">
        <f>AND(Demos!#REF!,"AAAAAC/z/+c=")</f>
        <v>#REF!</v>
      </c>
      <c r="HY178" t="e">
        <f>AND(Demos!C103,"AAAAAC/z/+g=")</f>
        <v>#VALUE!</v>
      </c>
      <c r="HZ178" t="e">
        <f>AND(Demos!#REF!,"AAAAAC/z/+k=")</f>
        <v>#REF!</v>
      </c>
      <c r="IA178" t="e">
        <f>AND(Demos!#REF!,"AAAAAC/z/+o=")</f>
        <v>#REF!</v>
      </c>
      <c r="IB178" t="e">
        <f>AND(Demos!#REF!,"AAAAAC/z/+s=")</f>
        <v>#REF!</v>
      </c>
      <c r="IC178" t="e">
        <f>AND(Demos!#REF!,"AAAAAC/z/+w=")</f>
        <v>#REF!</v>
      </c>
      <c r="ID178" t="e">
        <f>AND(Demos!D103,"AAAAAC/z/+0=")</f>
        <v>#VALUE!</v>
      </c>
      <c r="IE178" t="e">
        <f>AND(Demos!#REF!,"AAAAAC/z/+4=")</f>
        <v>#REF!</v>
      </c>
      <c r="IF178" t="e">
        <f>AND(Demos!E103,"AAAAAC/z/+8=")</f>
        <v>#VALUE!</v>
      </c>
      <c r="IG178" t="e">
        <f>AND(Demos!F103,"AAAAAC/z//A=")</f>
        <v>#VALUE!</v>
      </c>
      <c r="IH178" t="e">
        <f>AND(Demos!G103,"AAAAAC/z//E=")</f>
        <v>#VALUE!</v>
      </c>
      <c r="II178" t="e">
        <f>IF(Demos!#REF!,"AAAAAC/z//I=",0)</f>
        <v>#REF!</v>
      </c>
      <c r="IJ178" t="e">
        <f>AND(Demos!A104,"AAAAAC/z//M=")</f>
        <v>#VALUE!</v>
      </c>
      <c r="IK178" t="e">
        <f>AND(Demos!B104,"AAAAAC/z//Q=")</f>
        <v>#VALUE!</v>
      </c>
      <c r="IL178" t="e">
        <f>AND(Demos!#REF!,"AAAAAC/z//U=")</f>
        <v>#REF!</v>
      </c>
      <c r="IM178" t="e">
        <f>AND(Demos!C104,"AAAAAC/z//Y=")</f>
        <v>#VALUE!</v>
      </c>
      <c r="IN178" t="e">
        <f>AND(Demos!#REF!,"AAAAAC/z//c=")</f>
        <v>#REF!</v>
      </c>
      <c r="IO178" t="e">
        <f>AND(Demos!#REF!,"AAAAAC/z//g=")</f>
        <v>#REF!</v>
      </c>
      <c r="IP178" t="e">
        <f>AND(Demos!#REF!,"AAAAAC/z//k=")</f>
        <v>#REF!</v>
      </c>
      <c r="IQ178" t="e">
        <f>AND(Demos!#REF!,"AAAAAC/z//o=")</f>
        <v>#REF!</v>
      </c>
      <c r="IR178" t="e">
        <f>AND(Demos!D104,"AAAAAC/z//s=")</f>
        <v>#VALUE!</v>
      </c>
      <c r="IS178" t="e">
        <f>AND(Demos!#REF!,"AAAAAC/z//w=")</f>
        <v>#REF!</v>
      </c>
      <c r="IT178" t="e">
        <f>AND(Demos!E104,"AAAAAC/z//0=")</f>
        <v>#VALUE!</v>
      </c>
      <c r="IU178" t="e">
        <f>AND(Demos!F104,"AAAAAC/z//4=")</f>
        <v>#VALUE!</v>
      </c>
      <c r="IV178" t="e">
        <f>AND(Demos!G104,"AAAAAC/z//8=")</f>
        <v>#VALUE!</v>
      </c>
    </row>
    <row r="179" spans="1:256" x14ac:dyDescent="0.2">
      <c r="A179">
        <f>IF(Demos!103:103,"AAAAAHb3/wA=",0)</f>
        <v>0</v>
      </c>
      <c r="B179" t="e">
        <f>AND(Demos!A105,"AAAAAHb3/wE=")</f>
        <v>#VALUE!</v>
      </c>
      <c r="C179" t="e">
        <f>AND(Demos!#REF!,"AAAAAHb3/wI=")</f>
        <v>#REF!</v>
      </c>
      <c r="D179" t="e">
        <f>AND(Demos!B105,"AAAAAHb3/wM=")</f>
        <v>#VALUE!</v>
      </c>
      <c r="E179" t="e">
        <f>AND(Demos!#REF!,"AAAAAHb3/wQ=")</f>
        <v>#REF!</v>
      </c>
      <c r="F179" t="e">
        <f>AND(Demos!C105,"AAAAAHb3/wU=")</f>
        <v>#VALUE!</v>
      </c>
      <c r="G179" t="e">
        <f>AND(Demos!#REF!,"AAAAAHb3/wY=")</f>
        <v>#REF!</v>
      </c>
      <c r="H179" t="e">
        <f>AND(Demos!#REF!,"AAAAAHb3/wc=")</f>
        <v>#REF!</v>
      </c>
      <c r="I179" t="e">
        <f>AND(Demos!#REF!,"AAAAAHb3/wg=")</f>
        <v>#REF!</v>
      </c>
      <c r="J179" t="e">
        <f>AND(Demos!D105,"AAAAAHb3/wk=")</f>
        <v>#VALUE!</v>
      </c>
      <c r="K179" t="e">
        <f>AND(Demos!#REF!,"AAAAAHb3/wo=")</f>
        <v>#REF!</v>
      </c>
      <c r="L179" t="e">
        <f>AND(Demos!E105,"AAAAAHb3/ws=")</f>
        <v>#VALUE!</v>
      </c>
      <c r="M179" t="e">
        <f>AND(Demos!F105,"AAAAAHb3/ww=")</f>
        <v>#VALUE!</v>
      </c>
      <c r="N179" t="e">
        <f>AND(Demos!G105,"AAAAAHb3/w0=")</f>
        <v>#VALUE!</v>
      </c>
      <c r="O179">
        <f>IF(Demos!104:104,"AAAAAHb3/w4=",0)</f>
        <v>0</v>
      </c>
      <c r="P179" t="e">
        <f>AND(Demos!#REF!,"AAAAAHb3/w8=")</f>
        <v>#REF!</v>
      </c>
      <c r="Q179" t="e">
        <f>AND(Demos!#REF!,"AAAAAHb3/xA=")</f>
        <v>#REF!</v>
      </c>
      <c r="R179" t="e">
        <f>AND(Demos!#REF!,"AAAAAHb3/xE=")</f>
        <v>#REF!</v>
      </c>
      <c r="S179" t="e">
        <f>AND(Demos!#REF!,"AAAAAHb3/xI=")</f>
        <v>#REF!</v>
      </c>
      <c r="T179" t="e">
        <f>AND(Demos!#REF!,"AAAAAHb3/xM=")</f>
        <v>#REF!</v>
      </c>
      <c r="U179" t="e">
        <f>AND(Demos!#REF!,"AAAAAHb3/xQ=")</f>
        <v>#REF!</v>
      </c>
      <c r="V179" t="e">
        <f>AND(Demos!#REF!,"AAAAAHb3/xU=")</f>
        <v>#REF!</v>
      </c>
      <c r="W179" t="e">
        <f>AND(Demos!#REF!,"AAAAAHb3/xY=")</f>
        <v>#REF!</v>
      </c>
      <c r="X179" t="e">
        <f>AND(Demos!#REF!,"AAAAAHb3/xc=")</f>
        <v>#REF!</v>
      </c>
      <c r="Y179" t="e">
        <f>AND(Demos!#REF!,"AAAAAHb3/xg=")</f>
        <v>#REF!</v>
      </c>
      <c r="Z179" t="e">
        <f>AND(Demos!#REF!,"AAAAAHb3/xk=")</f>
        <v>#REF!</v>
      </c>
      <c r="AA179" t="e">
        <f>AND(Demos!#REF!,"AAAAAHb3/xo=")</f>
        <v>#REF!</v>
      </c>
      <c r="AB179" t="e">
        <f>AND(Demos!#REF!,"AAAAAHb3/xs=")</f>
        <v>#REF!</v>
      </c>
      <c r="AC179">
        <f>IF(Demos!105:105,"AAAAAHb3/xw=",0)</f>
        <v>0</v>
      </c>
      <c r="AD179" t="e">
        <f>AND(Demos!#REF!,"AAAAAHb3/x0=")</f>
        <v>#REF!</v>
      </c>
      <c r="AE179" t="e">
        <f>AND(Demos!#REF!,"AAAAAHb3/x4=")</f>
        <v>#REF!</v>
      </c>
      <c r="AF179" t="e">
        <f>AND(Demos!#REF!,"AAAAAHb3/x8=")</f>
        <v>#REF!</v>
      </c>
      <c r="AG179" t="e">
        <f>AND(Demos!#REF!,"AAAAAHb3/yA=")</f>
        <v>#REF!</v>
      </c>
      <c r="AH179" t="e">
        <f>AND(Demos!#REF!,"AAAAAHb3/yE=")</f>
        <v>#REF!</v>
      </c>
      <c r="AI179" t="e">
        <f>AND(Demos!#REF!,"AAAAAHb3/yI=")</f>
        <v>#REF!</v>
      </c>
      <c r="AJ179" t="e">
        <f>AND(Demos!#REF!,"AAAAAHb3/yM=")</f>
        <v>#REF!</v>
      </c>
      <c r="AK179" t="e">
        <f>AND(Demos!#REF!,"AAAAAHb3/yQ=")</f>
        <v>#REF!</v>
      </c>
      <c r="AL179" t="e">
        <f>AND(Demos!#REF!,"AAAAAHb3/yU=")</f>
        <v>#REF!</v>
      </c>
      <c r="AM179" t="e">
        <f>AND(Demos!#REF!,"AAAAAHb3/yY=")</f>
        <v>#REF!</v>
      </c>
      <c r="AN179" t="e">
        <f>AND(Demos!#REF!,"AAAAAHb3/yc=")</f>
        <v>#REF!</v>
      </c>
      <c r="AO179" t="e">
        <f>AND(Demos!#REF!,"AAAAAHb3/yg=")</f>
        <v>#REF!</v>
      </c>
      <c r="AP179" t="e">
        <f>AND(Demos!#REF!,"AAAAAHb3/yk=")</f>
        <v>#REF!</v>
      </c>
      <c r="AQ179" t="e">
        <f>IF(Demos!#REF!,"AAAAAHb3/yo=",0)</f>
        <v>#REF!</v>
      </c>
      <c r="AR179" t="e">
        <f>AND(Demos!#REF!,"AAAAAHb3/ys=")</f>
        <v>#REF!</v>
      </c>
      <c r="AS179" t="e">
        <f>AND(Demos!#REF!,"AAAAAHb3/yw=")</f>
        <v>#REF!</v>
      </c>
      <c r="AT179" t="e">
        <f>AND(Demos!#REF!,"AAAAAHb3/y0=")</f>
        <v>#REF!</v>
      </c>
      <c r="AU179" t="e">
        <f>AND(Demos!#REF!,"AAAAAHb3/y4=")</f>
        <v>#REF!</v>
      </c>
      <c r="AV179" t="e">
        <f>AND(Demos!#REF!,"AAAAAHb3/y8=")</f>
        <v>#REF!</v>
      </c>
      <c r="AW179" t="e">
        <f>AND(Demos!#REF!,"AAAAAHb3/zA=")</f>
        <v>#REF!</v>
      </c>
      <c r="AX179" t="e">
        <f>AND(Demos!#REF!,"AAAAAHb3/zE=")</f>
        <v>#REF!</v>
      </c>
      <c r="AY179" t="e">
        <f>AND(Demos!#REF!,"AAAAAHb3/zI=")</f>
        <v>#REF!</v>
      </c>
      <c r="AZ179" t="e">
        <f>AND(Demos!#REF!,"AAAAAHb3/zM=")</f>
        <v>#REF!</v>
      </c>
      <c r="BA179" t="e">
        <f>AND(Demos!#REF!,"AAAAAHb3/zQ=")</f>
        <v>#REF!</v>
      </c>
      <c r="BB179" t="e">
        <f>AND(Demos!#REF!,"AAAAAHb3/zU=")</f>
        <v>#REF!</v>
      </c>
      <c r="BC179" t="e">
        <f>AND(Demos!#REF!,"AAAAAHb3/zY=")</f>
        <v>#REF!</v>
      </c>
      <c r="BD179" t="e">
        <f>AND(Demos!#REF!,"AAAAAHb3/zc=")</f>
        <v>#REF!</v>
      </c>
      <c r="BE179" t="e">
        <f>IF(Demos!#REF!,"AAAAAHb3/zg=",0)</f>
        <v>#REF!</v>
      </c>
      <c r="BF179" t="e">
        <f>AND(Demos!#REF!,"AAAAAHb3/zk=")</f>
        <v>#REF!</v>
      </c>
      <c r="BG179" t="e">
        <f>AND(Demos!#REF!,"AAAAAHb3/zo=")</f>
        <v>#REF!</v>
      </c>
      <c r="BH179" t="e">
        <f>AND(Demos!#REF!,"AAAAAHb3/zs=")</f>
        <v>#REF!</v>
      </c>
      <c r="BI179" t="e">
        <f>AND(Demos!#REF!,"AAAAAHb3/zw=")</f>
        <v>#REF!</v>
      </c>
      <c r="BJ179" t="e">
        <f>AND(Demos!#REF!,"AAAAAHb3/z0=")</f>
        <v>#REF!</v>
      </c>
      <c r="BK179" t="e">
        <f>AND(Demos!#REF!,"AAAAAHb3/z4=")</f>
        <v>#REF!</v>
      </c>
      <c r="BL179" t="e">
        <f>AND(Demos!#REF!,"AAAAAHb3/z8=")</f>
        <v>#REF!</v>
      </c>
      <c r="BM179" t="e">
        <f>AND(Demos!#REF!,"AAAAAHb3/0A=")</f>
        <v>#REF!</v>
      </c>
      <c r="BN179" t="e">
        <f>AND(Demos!#REF!,"AAAAAHb3/0E=")</f>
        <v>#REF!</v>
      </c>
      <c r="BO179" t="e">
        <f>AND(Demos!#REF!,"AAAAAHb3/0I=")</f>
        <v>#REF!</v>
      </c>
      <c r="BP179" t="e">
        <f>AND(Demos!#REF!,"AAAAAHb3/0M=")</f>
        <v>#REF!</v>
      </c>
      <c r="BQ179" t="e">
        <f>AND(Demos!#REF!,"AAAAAHb3/0Q=")</f>
        <v>#REF!</v>
      </c>
      <c r="BR179" t="e">
        <f>AND(Demos!#REF!,"AAAAAHb3/0U=")</f>
        <v>#REF!</v>
      </c>
      <c r="BS179" t="e">
        <f>IF(Demos!#REF!,"AAAAAHb3/0Y=",0)</f>
        <v>#REF!</v>
      </c>
      <c r="BT179" t="e">
        <f>AND(Demos!#REF!,"AAAAAHb3/0c=")</f>
        <v>#REF!</v>
      </c>
      <c r="BU179" t="e">
        <f>AND(Demos!#REF!,"AAAAAHb3/0g=")</f>
        <v>#REF!</v>
      </c>
      <c r="BV179" t="e">
        <f>AND(Demos!#REF!,"AAAAAHb3/0k=")</f>
        <v>#REF!</v>
      </c>
      <c r="BW179" t="e">
        <f>AND(Demos!#REF!,"AAAAAHb3/0o=")</f>
        <v>#REF!</v>
      </c>
      <c r="BX179" t="e">
        <f>AND(Demos!#REF!,"AAAAAHb3/0s=")</f>
        <v>#REF!</v>
      </c>
      <c r="BY179" t="e">
        <f>AND(Demos!#REF!,"AAAAAHb3/0w=")</f>
        <v>#REF!</v>
      </c>
      <c r="BZ179" t="e">
        <f>AND(Demos!#REF!,"AAAAAHb3/00=")</f>
        <v>#REF!</v>
      </c>
      <c r="CA179" t="e">
        <f>AND(Demos!#REF!,"AAAAAHb3/04=")</f>
        <v>#REF!</v>
      </c>
      <c r="CB179" t="e">
        <f>AND(Demos!#REF!,"AAAAAHb3/08=")</f>
        <v>#REF!</v>
      </c>
      <c r="CC179" t="e">
        <f>AND(Demos!#REF!,"AAAAAHb3/1A=")</f>
        <v>#REF!</v>
      </c>
      <c r="CD179" t="e">
        <f>AND(Demos!#REF!,"AAAAAHb3/1E=")</f>
        <v>#REF!</v>
      </c>
      <c r="CE179" t="e">
        <f>AND(Demos!#REF!,"AAAAAHb3/1I=")</f>
        <v>#REF!</v>
      </c>
      <c r="CF179" t="e">
        <f>AND(Demos!#REF!,"AAAAAHb3/1M=")</f>
        <v>#REF!</v>
      </c>
      <c r="CG179" t="e">
        <f>IF(Demos!#REF!,"AAAAAHb3/1Q=",0)</f>
        <v>#REF!</v>
      </c>
      <c r="CH179" t="e">
        <f>AND(Demos!A110,"AAAAAHb3/1U=")</f>
        <v>#VALUE!</v>
      </c>
      <c r="CI179" t="e">
        <f>AND(Demos!B110,"AAAAAHb3/1Y=")</f>
        <v>#VALUE!</v>
      </c>
      <c r="CJ179" t="e">
        <f>AND(Demos!#REF!,"AAAAAHb3/1c=")</f>
        <v>#REF!</v>
      </c>
      <c r="CK179" t="e">
        <f>AND(Demos!C110,"AAAAAHb3/1g=")</f>
        <v>#VALUE!</v>
      </c>
      <c r="CL179" t="e">
        <f>AND(Demos!#REF!,"AAAAAHb3/1k=")</f>
        <v>#REF!</v>
      </c>
      <c r="CM179" t="e">
        <f>AND(Demos!#REF!,"AAAAAHb3/1o=")</f>
        <v>#REF!</v>
      </c>
      <c r="CN179" t="e">
        <f>AND(Demos!#REF!,"AAAAAHb3/1s=")</f>
        <v>#REF!</v>
      </c>
      <c r="CO179" t="e">
        <f>AND(Demos!#REF!,"AAAAAHb3/1w=")</f>
        <v>#REF!</v>
      </c>
      <c r="CP179" t="e">
        <f>AND(Demos!D110,"AAAAAHb3/10=")</f>
        <v>#VALUE!</v>
      </c>
      <c r="CQ179" t="e">
        <f>AND(Demos!#REF!,"AAAAAHb3/14=")</f>
        <v>#REF!</v>
      </c>
      <c r="CR179" t="e">
        <f>AND(Demos!E110,"AAAAAHb3/18=")</f>
        <v>#VALUE!</v>
      </c>
      <c r="CS179" t="e">
        <f>AND(Demos!F110,"AAAAAHb3/2A=")</f>
        <v>#VALUE!</v>
      </c>
      <c r="CT179" t="e">
        <f>AND(Demos!G110,"AAAAAHb3/2E=")</f>
        <v>#VALUE!</v>
      </c>
      <c r="CU179" t="e">
        <f>IF(Demos!#REF!,"AAAAAHb3/2I=",0)</f>
        <v>#REF!</v>
      </c>
      <c r="CV179" t="e">
        <f>AND(Demos!A111,"AAAAAHb3/2M=")</f>
        <v>#VALUE!</v>
      </c>
      <c r="CW179" t="e">
        <f>AND(Demos!B111,"AAAAAHb3/2Q=")</f>
        <v>#VALUE!</v>
      </c>
      <c r="CX179" t="e">
        <f>AND(Demos!#REF!,"AAAAAHb3/2U=")</f>
        <v>#REF!</v>
      </c>
      <c r="CY179" t="e">
        <f>AND(Demos!C111,"AAAAAHb3/2Y=")</f>
        <v>#VALUE!</v>
      </c>
      <c r="CZ179" t="e">
        <f>AND(Demos!#REF!,"AAAAAHb3/2c=")</f>
        <v>#REF!</v>
      </c>
      <c r="DA179" t="e">
        <f>AND(Demos!#REF!,"AAAAAHb3/2g=")</f>
        <v>#REF!</v>
      </c>
      <c r="DB179" t="e">
        <f>AND(Demos!#REF!,"AAAAAHb3/2k=")</f>
        <v>#REF!</v>
      </c>
      <c r="DC179" t="e">
        <f>AND(Demos!D111,"AAAAAHb3/2o=")</f>
        <v>#VALUE!</v>
      </c>
      <c r="DD179" t="e">
        <f>AND(Demos!#REF!,"AAAAAHb3/2s=")</f>
        <v>#REF!</v>
      </c>
      <c r="DE179" t="e">
        <f>AND(Demos!#REF!,"AAAAAHb3/2w=")</f>
        <v>#REF!</v>
      </c>
      <c r="DF179" t="e">
        <f>AND(Demos!F111,"AAAAAHb3/20=")</f>
        <v>#VALUE!</v>
      </c>
      <c r="DG179" t="e">
        <f>AND(Demos!#REF!,"AAAAAHb3/24=")</f>
        <v>#REF!</v>
      </c>
      <c r="DH179" t="e">
        <f>AND(Demos!G111,"AAAAAHb3/28=")</f>
        <v>#VALUE!</v>
      </c>
      <c r="DI179">
        <f>IF(Demos!110:110,"AAAAAHb3/3A=",0)</f>
        <v>0</v>
      </c>
      <c r="DJ179" t="e">
        <f>AND(Demos!#REF!,"AAAAAHb3/3E=")</f>
        <v>#REF!</v>
      </c>
      <c r="DK179" t="e">
        <f>AND(Demos!#REF!,"AAAAAHb3/3I=")</f>
        <v>#REF!</v>
      </c>
      <c r="DL179" t="e">
        <f>AND(Demos!#REF!,"AAAAAHb3/3M=")</f>
        <v>#REF!</v>
      </c>
      <c r="DM179" t="e">
        <f>AND(Demos!#REF!,"AAAAAHb3/3Q=")</f>
        <v>#REF!</v>
      </c>
      <c r="DN179" t="e">
        <f>AND(Demos!#REF!,"AAAAAHb3/3U=")</f>
        <v>#REF!</v>
      </c>
      <c r="DO179" t="e">
        <f>AND(Demos!#REF!,"AAAAAHb3/3Y=")</f>
        <v>#REF!</v>
      </c>
      <c r="DP179" t="e">
        <f>AND(Demos!#REF!,"AAAAAHb3/3c=")</f>
        <v>#REF!</v>
      </c>
      <c r="DQ179" t="e">
        <f>AND(Demos!#REF!,"AAAAAHb3/3g=")</f>
        <v>#REF!</v>
      </c>
      <c r="DR179" t="e">
        <f>AND(Demos!#REF!,"AAAAAHb3/3k=")</f>
        <v>#REF!</v>
      </c>
      <c r="DS179" t="e">
        <f>AND(Demos!#REF!,"AAAAAHb3/3o=")</f>
        <v>#REF!</v>
      </c>
      <c r="DT179" t="e">
        <f>AND(Demos!#REF!,"AAAAAHb3/3s=")</f>
        <v>#REF!</v>
      </c>
      <c r="DU179" t="e">
        <f>AND(Demos!#REF!,"AAAAAHb3/3w=")</f>
        <v>#REF!</v>
      </c>
      <c r="DV179" t="e">
        <f>AND(Demos!#REF!,"AAAAAHb3/30=")</f>
        <v>#REF!</v>
      </c>
      <c r="DW179">
        <f>IF(Demos!111:111,"AAAAAHb3/34=",0)</f>
        <v>0</v>
      </c>
      <c r="DX179" t="e">
        <f>AND(Demos!#REF!,"AAAAAHb3/38=")</f>
        <v>#REF!</v>
      </c>
      <c r="DY179" t="e">
        <f>AND(Demos!#REF!,"AAAAAHb3/4A=")</f>
        <v>#REF!</v>
      </c>
      <c r="DZ179" t="e">
        <f>AND(Demos!#REF!,"AAAAAHb3/4E=")</f>
        <v>#REF!</v>
      </c>
      <c r="EA179" t="e">
        <f>AND(Demos!#REF!,"AAAAAHb3/4I=")</f>
        <v>#REF!</v>
      </c>
      <c r="EB179" t="e">
        <f>AND(Demos!#REF!,"AAAAAHb3/4M=")</f>
        <v>#REF!</v>
      </c>
      <c r="EC179" t="e">
        <f>AND(Demos!#REF!,"AAAAAHb3/4Q=")</f>
        <v>#REF!</v>
      </c>
      <c r="ED179" t="e">
        <f>AND(Demos!#REF!,"AAAAAHb3/4U=")</f>
        <v>#REF!</v>
      </c>
      <c r="EE179" t="e">
        <f>AND(Demos!#REF!,"AAAAAHb3/4Y=")</f>
        <v>#REF!</v>
      </c>
      <c r="EF179" t="e">
        <f>AND(Demos!#REF!,"AAAAAHb3/4c=")</f>
        <v>#REF!</v>
      </c>
      <c r="EG179" t="e">
        <f>AND(Demos!#REF!,"AAAAAHb3/4g=")</f>
        <v>#REF!</v>
      </c>
      <c r="EH179" t="e">
        <f>AND(Demos!#REF!,"AAAAAHb3/4k=")</f>
        <v>#REF!</v>
      </c>
      <c r="EI179" t="e">
        <f>AND(Demos!#REF!,"AAAAAHb3/4o=")</f>
        <v>#REF!</v>
      </c>
      <c r="EJ179" t="e">
        <f>AND(Demos!#REF!,"AAAAAHb3/4s=")</f>
        <v>#REF!</v>
      </c>
      <c r="EK179" t="e">
        <f>IF(Demos!#REF!,"AAAAAHb3/4w=",0)</f>
        <v>#REF!</v>
      </c>
      <c r="EL179" t="e">
        <f>AND(Demos!A112,"AAAAAHb3/40=")</f>
        <v>#VALUE!</v>
      </c>
      <c r="EM179" t="e">
        <f>AND(Demos!B112,"AAAAAHb3/44=")</f>
        <v>#VALUE!</v>
      </c>
      <c r="EN179" t="e">
        <f>AND(Demos!#REF!,"AAAAAHb3/48=")</f>
        <v>#REF!</v>
      </c>
      <c r="EO179" t="e">
        <f>AND(Demos!C112,"AAAAAHb3/5A=")</f>
        <v>#VALUE!</v>
      </c>
      <c r="EP179" t="e">
        <f>AND(Demos!#REF!,"AAAAAHb3/5E=")</f>
        <v>#REF!</v>
      </c>
      <c r="EQ179" t="e">
        <f>AND(Demos!#REF!,"AAAAAHb3/5I=")</f>
        <v>#REF!</v>
      </c>
      <c r="ER179" t="e">
        <f>AND(Demos!#REF!,"AAAAAHb3/5M=")</f>
        <v>#REF!</v>
      </c>
      <c r="ES179" t="e">
        <f>AND(Demos!#REF!,"AAAAAHb3/5Q=")</f>
        <v>#REF!</v>
      </c>
      <c r="ET179" t="e">
        <f>AND(Demos!D112,"AAAAAHb3/5U=")</f>
        <v>#VALUE!</v>
      </c>
      <c r="EU179" t="e">
        <f>AND(Demos!#REF!,"AAAAAHb3/5Y=")</f>
        <v>#REF!</v>
      </c>
      <c r="EV179" t="e">
        <f>AND(Demos!E112,"AAAAAHb3/5c=")</f>
        <v>#VALUE!</v>
      </c>
      <c r="EW179" t="e">
        <f>AND(Demos!F112,"AAAAAHb3/5g=")</f>
        <v>#VALUE!</v>
      </c>
      <c r="EX179" t="e">
        <f>AND(Demos!G112,"AAAAAHb3/5k=")</f>
        <v>#VALUE!</v>
      </c>
      <c r="EY179" t="e">
        <f>IF(Demos!#REF!,"AAAAAHb3/5o=",0)</f>
        <v>#REF!</v>
      </c>
      <c r="EZ179" t="e">
        <f>AND(Demos!A113,"AAAAAHb3/5s=")</f>
        <v>#VALUE!</v>
      </c>
      <c r="FA179" t="e">
        <f>AND(Demos!B113,"AAAAAHb3/5w=")</f>
        <v>#VALUE!</v>
      </c>
      <c r="FB179" t="e">
        <f>AND(Demos!#REF!,"AAAAAHb3/50=")</f>
        <v>#REF!</v>
      </c>
      <c r="FC179" t="e">
        <f>AND(Demos!C113,"AAAAAHb3/54=")</f>
        <v>#VALUE!</v>
      </c>
      <c r="FD179" t="e">
        <f>AND(Demos!#REF!,"AAAAAHb3/58=")</f>
        <v>#REF!</v>
      </c>
      <c r="FE179" t="e">
        <f>AND(Demos!#REF!,"AAAAAHb3/6A=")</f>
        <v>#REF!</v>
      </c>
      <c r="FF179" t="e">
        <f>AND(Demos!#REF!,"AAAAAHb3/6E=")</f>
        <v>#REF!</v>
      </c>
      <c r="FG179" t="e">
        <f>AND(Demos!#REF!,"AAAAAHb3/6I=")</f>
        <v>#REF!</v>
      </c>
      <c r="FH179" t="e">
        <f>AND(Demos!D113,"AAAAAHb3/6M=")</f>
        <v>#VALUE!</v>
      </c>
      <c r="FI179" t="e">
        <f>AND(Demos!#REF!,"AAAAAHb3/6Q=")</f>
        <v>#REF!</v>
      </c>
      <c r="FJ179" t="e">
        <f>AND(Demos!E113,"AAAAAHb3/6U=")</f>
        <v>#VALUE!</v>
      </c>
      <c r="FK179" t="e">
        <f>AND(Demos!F113,"AAAAAHb3/6Y=")</f>
        <v>#VALUE!</v>
      </c>
      <c r="FL179" t="e">
        <f>AND(Demos!G113,"AAAAAHb3/6c=")</f>
        <v>#VALUE!</v>
      </c>
      <c r="FM179">
        <f>IF(Demos!112:112,"AAAAAHb3/6g=",0)</f>
        <v>0</v>
      </c>
      <c r="FN179" t="e">
        <f>AND(Demos!A114,"AAAAAHb3/6k=")</f>
        <v>#VALUE!</v>
      </c>
      <c r="FO179" t="e">
        <f>AND(Demos!#REF!,"AAAAAHb3/6o=")</f>
        <v>#REF!</v>
      </c>
      <c r="FP179" t="e">
        <f>AND(Demos!B114,"AAAAAHb3/6s=")</f>
        <v>#VALUE!</v>
      </c>
      <c r="FQ179" t="e">
        <f>AND(Demos!#REF!,"AAAAAHb3/6w=")</f>
        <v>#REF!</v>
      </c>
      <c r="FR179" t="e">
        <f>AND(Demos!C114,"AAAAAHb3/60=")</f>
        <v>#VALUE!</v>
      </c>
      <c r="FS179" t="e">
        <f>AND(Demos!#REF!,"AAAAAHb3/64=")</f>
        <v>#REF!</v>
      </c>
      <c r="FT179" t="e">
        <f>AND(Demos!#REF!,"AAAAAHb3/68=")</f>
        <v>#REF!</v>
      </c>
      <c r="FU179" t="e">
        <f>AND(Demos!#REF!,"AAAAAHb3/7A=")</f>
        <v>#REF!</v>
      </c>
      <c r="FV179" t="e">
        <f>AND(Demos!D114,"AAAAAHb3/7E=")</f>
        <v>#VALUE!</v>
      </c>
      <c r="FW179" t="e">
        <f>AND(Demos!#REF!,"AAAAAHb3/7I=")</f>
        <v>#REF!</v>
      </c>
      <c r="FX179" t="e">
        <f>AND(Demos!E114,"AAAAAHb3/7M=")</f>
        <v>#VALUE!</v>
      </c>
      <c r="FY179" t="e">
        <f>AND(Demos!F114,"AAAAAHb3/7Q=")</f>
        <v>#VALUE!</v>
      </c>
      <c r="FZ179" t="e">
        <f>AND(Demos!G114,"AAAAAHb3/7U=")</f>
        <v>#VALUE!</v>
      </c>
      <c r="GA179">
        <f>IF(Demos!113:113,"AAAAAHb3/7Y=",0)</f>
        <v>0</v>
      </c>
      <c r="GB179" t="e">
        <f>AND(Demos!#REF!,"AAAAAHb3/7c=")</f>
        <v>#REF!</v>
      </c>
      <c r="GC179" t="e">
        <f>AND(Demos!#REF!,"AAAAAHb3/7g=")</f>
        <v>#REF!</v>
      </c>
      <c r="GD179" t="e">
        <f>AND(Demos!#REF!,"AAAAAHb3/7k=")</f>
        <v>#REF!</v>
      </c>
      <c r="GE179" t="e">
        <f>AND(Demos!#REF!,"AAAAAHb3/7o=")</f>
        <v>#REF!</v>
      </c>
      <c r="GF179" t="e">
        <f>AND(Demos!#REF!,"AAAAAHb3/7s=")</f>
        <v>#REF!</v>
      </c>
      <c r="GG179" t="e">
        <f>AND(Demos!#REF!,"AAAAAHb3/7w=")</f>
        <v>#REF!</v>
      </c>
      <c r="GH179" t="e">
        <f>AND(Demos!#REF!,"AAAAAHb3/70=")</f>
        <v>#REF!</v>
      </c>
      <c r="GI179" t="e">
        <f>AND(Demos!#REF!,"AAAAAHb3/74=")</f>
        <v>#REF!</v>
      </c>
      <c r="GJ179" t="e">
        <f>AND(Demos!#REF!,"AAAAAHb3/78=")</f>
        <v>#REF!</v>
      </c>
      <c r="GK179" t="e">
        <f>AND(Demos!#REF!,"AAAAAHb3/8A=")</f>
        <v>#REF!</v>
      </c>
      <c r="GL179" t="e">
        <f>AND(Demos!#REF!,"AAAAAHb3/8E=")</f>
        <v>#REF!</v>
      </c>
      <c r="GM179" t="e">
        <f>AND(Demos!#REF!,"AAAAAHb3/8I=")</f>
        <v>#REF!</v>
      </c>
      <c r="GN179" t="e">
        <f>AND(Demos!#REF!,"AAAAAHb3/8M=")</f>
        <v>#REF!</v>
      </c>
      <c r="GO179">
        <f>IF(Demos!114:114,"AAAAAHb3/8Q=",0)</f>
        <v>0</v>
      </c>
      <c r="GP179" t="e">
        <f>AND(Demos!#REF!,"AAAAAHb3/8U=")</f>
        <v>#REF!</v>
      </c>
      <c r="GQ179" t="e">
        <f>AND(Demos!#REF!,"AAAAAHb3/8Y=")</f>
        <v>#REF!</v>
      </c>
      <c r="GR179" t="e">
        <f>AND(Demos!#REF!,"AAAAAHb3/8c=")</f>
        <v>#REF!</v>
      </c>
      <c r="GS179" t="e">
        <f>AND(Demos!#REF!,"AAAAAHb3/8g=")</f>
        <v>#REF!</v>
      </c>
      <c r="GT179" t="e">
        <f>AND(Demos!#REF!,"AAAAAHb3/8k=")</f>
        <v>#REF!</v>
      </c>
      <c r="GU179" t="e">
        <f>AND(Demos!#REF!,"AAAAAHb3/8o=")</f>
        <v>#REF!</v>
      </c>
      <c r="GV179" t="e">
        <f>AND(Demos!#REF!,"AAAAAHb3/8s=")</f>
        <v>#REF!</v>
      </c>
      <c r="GW179" t="e">
        <f>AND(Demos!#REF!,"AAAAAHb3/8w=")</f>
        <v>#REF!</v>
      </c>
      <c r="GX179" t="e">
        <f>AND(Demos!#REF!,"AAAAAHb3/80=")</f>
        <v>#REF!</v>
      </c>
      <c r="GY179" t="e">
        <f>AND(Demos!#REF!,"AAAAAHb3/84=")</f>
        <v>#REF!</v>
      </c>
      <c r="GZ179" t="e">
        <f>AND(Demos!#REF!,"AAAAAHb3/88=")</f>
        <v>#REF!</v>
      </c>
      <c r="HA179" t="e">
        <f>AND(Demos!#REF!,"AAAAAHb3/9A=")</f>
        <v>#REF!</v>
      </c>
      <c r="HB179" t="e">
        <f>AND(Demos!#REF!,"AAAAAHb3/9E=")</f>
        <v>#REF!</v>
      </c>
      <c r="HC179" t="e">
        <f>IF(Demos!#REF!,"AAAAAHb3/9I=",0)</f>
        <v>#REF!</v>
      </c>
      <c r="HD179" t="e">
        <f>AND(Demos!#REF!,"AAAAAHb3/9M=")</f>
        <v>#REF!</v>
      </c>
      <c r="HE179" t="e">
        <f>AND(Demos!#REF!,"AAAAAHb3/9Q=")</f>
        <v>#REF!</v>
      </c>
      <c r="HF179" t="e">
        <f>AND(Demos!#REF!,"AAAAAHb3/9U=")</f>
        <v>#REF!</v>
      </c>
      <c r="HG179" t="e">
        <f>AND(Demos!#REF!,"AAAAAHb3/9Y=")</f>
        <v>#REF!</v>
      </c>
      <c r="HH179" t="e">
        <f>AND(Demos!#REF!,"AAAAAHb3/9c=")</f>
        <v>#REF!</v>
      </c>
      <c r="HI179" t="e">
        <f>AND(Demos!#REF!,"AAAAAHb3/9g=")</f>
        <v>#REF!</v>
      </c>
      <c r="HJ179" t="e">
        <f>AND(Demos!#REF!,"AAAAAHb3/9k=")</f>
        <v>#REF!</v>
      </c>
      <c r="HK179" t="e">
        <f>AND(Demos!#REF!,"AAAAAHb3/9o=")</f>
        <v>#REF!</v>
      </c>
      <c r="HL179" t="e">
        <f>AND(Demos!#REF!,"AAAAAHb3/9s=")</f>
        <v>#REF!</v>
      </c>
      <c r="HM179" t="e">
        <f>AND(Demos!#REF!,"AAAAAHb3/9w=")</f>
        <v>#REF!</v>
      </c>
      <c r="HN179" t="e">
        <f>AND(Demos!#REF!,"AAAAAHb3/90=")</f>
        <v>#REF!</v>
      </c>
      <c r="HO179" t="e">
        <f>AND(Demos!#REF!,"AAAAAHb3/94=")</f>
        <v>#REF!</v>
      </c>
      <c r="HP179" t="e">
        <f>AND(Demos!#REF!,"AAAAAHb3/98=")</f>
        <v>#REF!</v>
      </c>
      <c r="HQ179" t="e">
        <f>IF(Demos!#REF!,"AAAAAHb3/+A=",0)</f>
        <v>#REF!</v>
      </c>
      <c r="HR179" t="e">
        <f>AND(Demos!#REF!,"AAAAAHb3/+E=")</f>
        <v>#REF!</v>
      </c>
      <c r="HS179" t="e">
        <f>AND(Demos!#REF!,"AAAAAHb3/+I=")</f>
        <v>#REF!</v>
      </c>
      <c r="HT179" t="e">
        <f>AND(Demos!#REF!,"AAAAAHb3/+M=")</f>
        <v>#REF!</v>
      </c>
      <c r="HU179" t="e">
        <f>AND(Demos!#REF!,"AAAAAHb3/+Q=")</f>
        <v>#REF!</v>
      </c>
      <c r="HV179" t="e">
        <f>AND(Demos!#REF!,"AAAAAHb3/+U=")</f>
        <v>#REF!</v>
      </c>
      <c r="HW179" t="e">
        <f>AND(Demos!#REF!,"AAAAAHb3/+Y=")</f>
        <v>#REF!</v>
      </c>
      <c r="HX179" t="e">
        <f>AND(Demos!#REF!,"AAAAAHb3/+c=")</f>
        <v>#REF!</v>
      </c>
      <c r="HY179" t="e">
        <f>AND(Demos!#REF!,"AAAAAHb3/+g=")</f>
        <v>#REF!</v>
      </c>
      <c r="HZ179" t="e">
        <f>AND(Demos!#REF!,"AAAAAHb3/+k=")</f>
        <v>#REF!</v>
      </c>
      <c r="IA179" t="e">
        <f>AND(Demos!#REF!,"AAAAAHb3/+o=")</f>
        <v>#REF!</v>
      </c>
      <c r="IB179" t="e">
        <f>AND(Demos!#REF!,"AAAAAHb3/+s=")</f>
        <v>#REF!</v>
      </c>
      <c r="IC179" t="e">
        <f>AND(Demos!#REF!,"AAAAAHb3/+w=")</f>
        <v>#REF!</v>
      </c>
      <c r="ID179" t="e">
        <f>AND(Demos!#REF!,"AAAAAHb3/+0=")</f>
        <v>#REF!</v>
      </c>
      <c r="IE179" t="e">
        <f>IF(Demos!#REF!,"AAAAAHb3/+4=",0)</f>
        <v>#REF!</v>
      </c>
      <c r="IF179" t="e">
        <f>AND(Demos!#REF!,"AAAAAHb3/+8=")</f>
        <v>#REF!</v>
      </c>
      <c r="IG179" t="e">
        <f>AND(Demos!#REF!,"AAAAAHb3//A=")</f>
        <v>#REF!</v>
      </c>
      <c r="IH179" t="e">
        <f>AND(Demos!#REF!,"AAAAAHb3//E=")</f>
        <v>#REF!</v>
      </c>
      <c r="II179" t="e">
        <f>AND(Demos!#REF!,"AAAAAHb3//I=")</f>
        <v>#REF!</v>
      </c>
      <c r="IJ179" t="e">
        <f>AND(Demos!#REF!,"AAAAAHb3//M=")</f>
        <v>#REF!</v>
      </c>
      <c r="IK179" t="e">
        <f>AND(Demos!#REF!,"AAAAAHb3//Q=")</f>
        <v>#REF!</v>
      </c>
      <c r="IL179" t="e">
        <f>AND(Demos!#REF!,"AAAAAHb3//U=")</f>
        <v>#REF!</v>
      </c>
      <c r="IM179" t="e">
        <f>AND(Demos!#REF!,"AAAAAHb3//Y=")</f>
        <v>#REF!</v>
      </c>
      <c r="IN179" t="e">
        <f>AND(Demos!#REF!,"AAAAAHb3//c=")</f>
        <v>#REF!</v>
      </c>
      <c r="IO179" t="e">
        <f>AND(Demos!#REF!,"AAAAAHb3//g=")</f>
        <v>#REF!</v>
      </c>
      <c r="IP179" t="e">
        <f>AND(Demos!#REF!,"AAAAAHb3//k=")</f>
        <v>#REF!</v>
      </c>
      <c r="IQ179" t="e">
        <f>AND(Demos!#REF!,"AAAAAHb3//o=")</f>
        <v>#REF!</v>
      </c>
      <c r="IR179" t="e">
        <f>AND(Demos!#REF!,"AAAAAHb3//s=")</f>
        <v>#REF!</v>
      </c>
      <c r="IS179" t="e">
        <f>IF(Demos!#REF!,"AAAAAHb3//w=",0)</f>
        <v>#REF!</v>
      </c>
      <c r="IT179" t="e">
        <f>AND(Demos!#REF!,"AAAAAHb3//0=")</f>
        <v>#REF!</v>
      </c>
      <c r="IU179" t="e">
        <f>AND(Demos!#REF!,"AAAAAHb3//4=")</f>
        <v>#REF!</v>
      </c>
      <c r="IV179" t="e">
        <f>AND(Demos!#REF!,"AAAAAHb3//8=")</f>
        <v>#REF!</v>
      </c>
    </row>
    <row r="180" spans="1:256" x14ac:dyDescent="0.2">
      <c r="A180" t="e">
        <f>AND(Demos!#REF!,"AAAAAD+xvgA=")</f>
        <v>#REF!</v>
      </c>
      <c r="B180" t="e">
        <f>AND(Demos!#REF!,"AAAAAD+xvgE=")</f>
        <v>#REF!</v>
      </c>
      <c r="C180" t="e">
        <f>AND(Demos!#REF!,"AAAAAD+xvgI=")</f>
        <v>#REF!</v>
      </c>
      <c r="D180" t="e">
        <f>AND(Demos!#REF!,"AAAAAD+xvgM=")</f>
        <v>#REF!</v>
      </c>
      <c r="E180" t="e">
        <f>AND(Demos!#REF!,"AAAAAD+xvgQ=")</f>
        <v>#REF!</v>
      </c>
      <c r="F180" t="e">
        <f>AND(Demos!#REF!,"AAAAAD+xvgU=")</f>
        <v>#REF!</v>
      </c>
      <c r="G180" t="e">
        <f>AND(Demos!#REF!,"AAAAAD+xvgY=")</f>
        <v>#REF!</v>
      </c>
      <c r="H180" t="e">
        <f>AND(Demos!#REF!,"AAAAAD+xvgc=")</f>
        <v>#REF!</v>
      </c>
      <c r="I180" t="e">
        <f>AND(Demos!#REF!,"AAAAAD+xvgg=")</f>
        <v>#REF!</v>
      </c>
      <c r="J180" t="e">
        <f>AND(Demos!#REF!,"AAAAAD+xvgk=")</f>
        <v>#REF!</v>
      </c>
      <c r="K180" t="e">
        <f>IF(Demos!#REF!,"AAAAAD+xvgo=",0)</f>
        <v>#REF!</v>
      </c>
      <c r="L180" t="e">
        <f>AND(Demos!A119,"AAAAAD+xvgs=")</f>
        <v>#VALUE!</v>
      </c>
      <c r="M180" t="e">
        <f>AND(Demos!B119,"AAAAAD+xvgw=")</f>
        <v>#VALUE!</v>
      </c>
      <c r="N180" t="e">
        <f>AND(Demos!#REF!,"AAAAAD+xvg0=")</f>
        <v>#REF!</v>
      </c>
      <c r="O180" t="e">
        <f>AND(Demos!C119,"AAAAAD+xvg4=")</f>
        <v>#VALUE!</v>
      </c>
      <c r="P180" t="e">
        <f>AND(Demos!#REF!,"AAAAAD+xvg8=")</f>
        <v>#REF!</v>
      </c>
      <c r="Q180" t="e">
        <f>AND(Demos!#REF!,"AAAAAD+xvhA=")</f>
        <v>#REF!</v>
      </c>
      <c r="R180" t="e">
        <f>AND(Demos!#REF!,"AAAAAD+xvhE=")</f>
        <v>#REF!</v>
      </c>
      <c r="S180" t="e">
        <f>AND(Demos!#REF!,"AAAAAD+xvhI=")</f>
        <v>#REF!</v>
      </c>
      <c r="T180" t="e">
        <f>AND(Demos!D119,"AAAAAD+xvhM=")</f>
        <v>#VALUE!</v>
      </c>
      <c r="U180" t="e">
        <f>AND(Demos!#REF!,"AAAAAD+xvhQ=")</f>
        <v>#REF!</v>
      </c>
      <c r="V180" t="e">
        <f>AND(Demos!E119,"AAAAAD+xvhU=")</f>
        <v>#VALUE!</v>
      </c>
      <c r="W180" t="e">
        <f>AND(Demos!F119,"AAAAAD+xvhY=")</f>
        <v>#VALUE!</v>
      </c>
      <c r="X180" t="e">
        <f>AND(Demos!G119,"AAAAAD+xvhc=")</f>
        <v>#VALUE!</v>
      </c>
      <c r="Y180" t="e">
        <f>IF(Demos!#REF!,"AAAAAD+xvhg=",0)</f>
        <v>#REF!</v>
      </c>
      <c r="Z180" t="e">
        <f>AND(Demos!A120,"AAAAAD+xvhk=")</f>
        <v>#VALUE!</v>
      </c>
      <c r="AA180" t="e">
        <f>AND(Demos!B120,"AAAAAD+xvho=")</f>
        <v>#VALUE!</v>
      </c>
      <c r="AB180" t="e">
        <f>AND(Demos!#REF!,"AAAAAD+xvhs=")</f>
        <v>#REF!</v>
      </c>
      <c r="AC180" t="e">
        <f>AND(Demos!C120,"AAAAAD+xvhw=")</f>
        <v>#VALUE!</v>
      </c>
      <c r="AD180" t="e">
        <f>AND(Demos!#REF!,"AAAAAD+xvh0=")</f>
        <v>#REF!</v>
      </c>
      <c r="AE180" t="e">
        <f>AND(Demos!#REF!,"AAAAAD+xvh4=")</f>
        <v>#REF!</v>
      </c>
      <c r="AF180" t="e">
        <f>AND(Demos!#REF!,"AAAAAD+xvh8=")</f>
        <v>#REF!</v>
      </c>
      <c r="AG180" t="e">
        <f>AND(Demos!D120,"AAAAAD+xviA=")</f>
        <v>#VALUE!</v>
      </c>
      <c r="AH180" t="e">
        <f>AND(Demos!#REF!,"AAAAAD+xviE=")</f>
        <v>#REF!</v>
      </c>
      <c r="AI180" t="e">
        <f>AND(Demos!#REF!,"AAAAAD+xviI=")</f>
        <v>#REF!</v>
      </c>
      <c r="AJ180" t="e">
        <f>AND(Demos!F120,"AAAAAD+xviM=")</f>
        <v>#VALUE!</v>
      </c>
      <c r="AK180" t="e">
        <f>AND(Demos!#REF!,"AAAAAD+xviQ=")</f>
        <v>#REF!</v>
      </c>
      <c r="AL180" t="e">
        <f>AND(Demos!G120,"AAAAAD+xviU=")</f>
        <v>#VALUE!</v>
      </c>
      <c r="AM180">
        <f>IF(Demos!119:119,"AAAAAD+xviY=",0)</f>
        <v>0</v>
      </c>
      <c r="AN180" t="e">
        <f>AND(Demos!A121,"AAAAAD+xvic=")</f>
        <v>#VALUE!</v>
      </c>
      <c r="AO180" t="e">
        <f>AND(Demos!B121,"AAAAAD+xvig=")</f>
        <v>#VALUE!</v>
      </c>
      <c r="AP180" t="e">
        <f>AND(Demos!#REF!,"AAAAAD+xvik=")</f>
        <v>#REF!</v>
      </c>
      <c r="AQ180" t="e">
        <f>AND(Demos!C121,"AAAAAD+xvio=")</f>
        <v>#VALUE!</v>
      </c>
      <c r="AR180" t="e">
        <f>AND(Demos!#REF!,"AAAAAD+xvis=")</f>
        <v>#REF!</v>
      </c>
      <c r="AS180" t="e">
        <f>AND(Demos!#REF!,"AAAAAD+xviw=")</f>
        <v>#REF!</v>
      </c>
      <c r="AT180" t="e">
        <f>AND(Demos!#REF!,"AAAAAD+xvi0=")</f>
        <v>#REF!</v>
      </c>
      <c r="AU180" t="e">
        <f>AND(Demos!D121,"AAAAAD+xvi4=")</f>
        <v>#VALUE!</v>
      </c>
      <c r="AV180" t="e">
        <f>AND(Demos!#REF!,"AAAAAD+xvi8=")</f>
        <v>#REF!</v>
      </c>
      <c r="AW180" t="e">
        <f>AND(Demos!#REF!,"AAAAAD+xvjA=")</f>
        <v>#REF!</v>
      </c>
      <c r="AX180" t="e">
        <f>AND(Demos!F121,"AAAAAD+xvjE=")</f>
        <v>#VALUE!</v>
      </c>
      <c r="AY180" t="e">
        <f>AND(Demos!#REF!,"AAAAAD+xvjI=")</f>
        <v>#REF!</v>
      </c>
      <c r="AZ180" t="e">
        <f>AND(Demos!G121,"AAAAAD+xvjM=")</f>
        <v>#VALUE!</v>
      </c>
      <c r="BA180">
        <f>IF(Demos!120:120,"AAAAAD+xvjQ=",0)</f>
        <v>0</v>
      </c>
      <c r="BB180" t="e">
        <f>AND(Demos!#REF!,"AAAAAD+xvjU=")</f>
        <v>#REF!</v>
      </c>
      <c r="BC180" t="e">
        <f>AND(Demos!#REF!,"AAAAAD+xvjY=")</f>
        <v>#REF!</v>
      </c>
      <c r="BD180" t="e">
        <f>AND(Demos!#REF!,"AAAAAD+xvjc=")</f>
        <v>#REF!</v>
      </c>
      <c r="BE180" t="e">
        <f>AND(Demos!#REF!,"AAAAAD+xvjg=")</f>
        <v>#REF!</v>
      </c>
      <c r="BF180" t="e">
        <f>AND(Demos!#REF!,"AAAAAD+xvjk=")</f>
        <v>#REF!</v>
      </c>
      <c r="BG180" t="e">
        <f>AND(Demos!#REF!,"AAAAAD+xvjo=")</f>
        <v>#REF!</v>
      </c>
      <c r="BH180" t="e">
        <f>AND(Demos!#REF!,"AAAAAD+xvjs=")</f>
        <v>#REF!</v>
      </c>
      <c r="BI180" t="e">
        <f>AND(Demos!#REF!,"AAAAAD+xvjw=")</f>
        <v>#REF!</v>
      </c>
      <c r="BJ180" t="e">
        <f>AND(Demos!#REF!,"AAAAAD+xvj0=")</f>
        <v>#REF!</v>
      </c>
      <c r="BK180" t="e">
        <f>AND(Demos!#REF!,"AAAAAD+xvj4=")</f>
        <v>#REF!</v>
      </c>
      <c r="BL180" t="e">
        <f>AND(Demos!#REF!,"AAAAAD+xvj8=")</f>
        <v>#REF!</v>
      </c>
      <c r="BM180" t="e">
        <f>AND(Demos!#REF!,"AAAAAD+xvkA=")</f>
        <v>#REF!</v>
      </c>
      <c r="BN180" t="e">
        <f>AND(Demos!#REF!,"AAAAAD+xvkE=")</f>
        <v>#REF!</v>
      </c>
      <c r="BO180">
        <f>IF(Demos!121:121,"AAAAAD+xvkI=",0)</f>
        <v>0</v>
      </c>
      <c r="BP180" t="e">
        <f>AND(Demos!#REF!,"AAAAAD+xvkM=")</f>
        <v>#REF!</v>
      </c>
      <c r="BQ180" t="e">
        <f>AND(Demos!#REF!,"AAAAAD+xvkQ=")</f>
        <v>#REF!</v>
      </c>
      <c r="BR180" t="e">
        <f>AND(Demos!#REF!,"AAAAAD+xvkU=")</f>
        <v>#REF!</v>
      </c>
      <c r="BS180" t="e">
        <f>AND(Demos!#REF!,"AAAAAD+xvkY=")</f>
        <v>#REF!</v>
      </c>
      <c r="BT180" t="e">
        <f>AND(Demos!#REF!,"AAAAAD+xvkc=")</f>
        <v>#REF!</v>
      </c>
      <c r="BU180" t="e">
        <f>AND(Demos!#REF!,"AAAAAD+xvkg=")</f>
        <v>#REF!</v>
      </c>
      <c r="BV180" t="e">
        <f>AND(Demos!#REF!,"AAAAAD+xvkk=")</f>
        <v>#REF!</v>
      </c>
      <c r="BW180" t="e">
        <f>AND(Demos!#REF!,"AAAAAD+xvko=")</f>
        <v>#REF!</v>
      </c>
      <c r="BX180" t="e">
        <f>AND(Demos!#REF!,"AAAAAD+xvks=")</f>
        <v>#REF!</v>
      </c>
      <c r="BY180" t="e">
        <f>AND(Demos!#REF!,"AAAAAD+xvkw=")</f>
        <v>#REF!</v>
      </c>
      <c r="BZ180" t="e">
        <f>AND(Demos!#REF!,"AAAAAD+xvk0=")</f>
        <v>#REF!</v>
      </c>
      <c r="CA180" t="e">
        <f>AND(Demos!#REF!,"AAAAAD+xvk4=")</f>
        <v>#REF!</v>
      </c>
      <c r="CB180" t="e">
        <f>AND(Demos!#REF!,"AAAAAD+xvk8=")</f>
        <v>#REF!</v>
      </c>
      <c r="CC180" t="e">
        <f>IF(Demos!#REF!,"AAAAAD+xvlA=",0)</f>
        <v>#REF!</v>
      </c>
      <c r="CD180" t="e">
        <f>AND(Demos!#REF!,"AAAAAD+xvlE=")</f>
        <v>#REF!</v>
      </c>
      <c r="CE180" t="e">
        <f>AND(Demos!#REF!,"AAAAAD+xvlI=")</f>
        <v>#REF!</v>
      </c>
      <c r="CF180" t="e">
        <f>AND(Demos!#REF!,"AAAAAD+xvlM=")</f>
        <v>#REF!</v>
      </c>
      <c r="CG180" t="e">
        <f>AND(Demos!#REF!,"AAAAAD+xvlQ=")</f>
        <v>#REF!</v>
      </c>
      <c r="CH180" t="e">
        <f>AND(Demos!#REF!,"AAAAAD+xvlU=")</f>
        <v>#REF!</v>
      </c>
      <c r="CI180" t="e">
        <f>AND(Demos!#REF!,"AAAAAD+xvlY=")</f>
        <v>#REF!</v>
      </c>
      <c r="CJ180" t="e">
        <f>AND(Demos!#REF!,"AAAAAD+xvlc=")</f>
        <v>#REF!</v>
      </c>
      <c r="CK180" t="e">
        <f>AND(Demos!#REF!,"AAAAAD+xvlg=")</f>
        <v>#REF!</v>
      </c>
      <c r="CL180" t="e">
        <f>AND(Demos!#REF!,"AAAAAD+xvlk=")</f>
        <v>#REF!</v>
      </c>
      <c r="CM180" t="e">
        <f>AND(Demos!#REF!,"AAAAAD+xvlo=")</f>
        <v>#REF!</v>
      </c>
      <c r="CN180" t="e">
        <f>AND(Demos!#REF!,"AAAAAD+xvls=")</f>
        <v>#REF!</v>
      </c>
      <c r="CO180" t="e">
        <f>AND(Demos!#REF!,"AAAAAD+xvlw=")</f>
        <v>#REF!</v>
      </c>
      <c r="CP180" t="e">
        <f>AND(Demos!#REF!,"AAAAAD+xvl0=")</f>
        <v>#REF!</v>
      </c>
      <c r="CQ180" t="e">
        <f>IF(Demos!#REF!,"AAAAAD+xvl4=",0)</f>
        <v>#REF!</v>
      </c>
      <c r="CR180" t="e">
        <f>AND(Demos!#REF!,"AAAAAD+xvl8=")</f>
        <v>#REF!</v>
      </c>
      <c r="CS180" t="e">
        <f>AND(Demos!#REF!,"AAAAAD+xvmA=")</f>
        <v>#REF!</v>
      </c>
      <c r="CT180" t="e">
        <f>AND(Demos!#REF!,"AAAAAD+xvmE=")</f>
        <v>#REF!</v>
      </c>
      <c r="CU180" t="e">
        <f>AND(Demos!#REF!,"AAAAAD+xvmI=")</f>
        <v>#REF!</v>
      </c>
      <c r="CV180" t="e">
        <f>AND(Demos!#REF!,"AAAAAD+xvmM=")</f>
        <v>#REF!</v>
      </c>
      <c r="CW180" t="e">
        <f>AND(Demos!#REF!,"AAAAAD+xvmQ=")</f>
        <v>#REF!</v>
      </c>
      <c r="CX180" t="e">
        <f>AND(Demos!#REF!,"AAAAAD+xvmU=")</f>
        <v>#REF!</v>
      </c>
      <c r="CY180" t="e">
        <f>AND(Demos!#REF!,"AAAAAD+xvmY=")</f>
        <v>#REF!</v>
      </c>
      <c r="CZ180" t="e">
        <f>AND(Demos!#REF!,"AAAAAD+xvmc=")</f>
        <v>#REF!</v>
      </c>
      <c r="DA180" t="e">
        <f>AND(Demos!#REF!,"AAAAAD+xvmg=")</f>
        <v>#REF!</v>
      </c>
      <c r="DB180" t="e">
        <f>AND(Demos!#REF!,"AAAAAD+xvmk=")</f>
        <v>#REF!</v>
      </c>
      <c r="DC180" t="e">
        <f>AND(Demos!#REF!,"AAAAAD+xvmo=")</f>
        <v>#REF!</v>
      </c>
      <c r="DD180" t="e">
        <f>AND(Demos!#REF!,"AAAAAD+xvms=")</f>
        <v>#REF!</v>
      </c>
      <c r="DE180" t="e">
        <f>IF(Demos!#REF!,"AAAAAD+xvmw=",0)</f>
        <v>#REF!</v>
      </c>
      <c r="DF180" t="e">
        <f>AND(Demos!#REF!,"AAAAAD+xvm0=")</f>
        <v>#REF!</v>
      </c>
      <c r="DG180" t="e">
        <f>AND(Demos!#REF!,"AAAAAD+xvm4=")</f>
        <v>#REF!</v>
      </c>
      <c r="DH180" t="e">
        <f>AND(Demos!#REF!,"AAAAAD+xvm8=")</f>
        <v>#REF!</v>
      </c>
      <c r="DI180" t="e">
        <f>AND(Demos!#REF!,"AAAAAD+xvnA=")</f>
        <v>#REF!</v>
      </c>
      <c r="DJ180" t="e">
        <f>AND(Demos!#REF!,"AAAAAD+xvnE=")</f>
        <v>#REF!</v>
      </c>
      <c r="DK180" t="e">
        <f>AND(Demos!#REF!,"AAAAAD+xvnI=")</f>
        <v>#REF!</v>
      </c>
      <c r="DL180" t="e">
        <f>AND(Demos!#REF!,"AAAAAD+xvnM=")</f>
        <v>#REF!</v>
      </c>
      <c r="DM180" t="e">
        <f>AND(Demos!#REF!,"AAAAAD+xvnQ=")</f>
        <v>#REF!</v>
      </c>
      <c r="DN180" t="e">
        <f>AND(Demos!#REF!,"AAAAAD+xvnU=")</f>
        <v>#REF!</v>
      </c>
      <c r="DO180" t="e">
        <f>AND(Demos!#REF!,"AAAAAD+xvnY=")</f>
        <v>#REF!</v>
      </c>
      <c r="DP180" t="e">
        <f>AND(Demos!#REF!,"AAAAAD+xvnc=")</f>
        <v>#REF!</v>
      </c>
      <c r="DQ180" t="e">
        <f>AND(Demos!#REF!,"AAAAAD+xvng=")</f>
        <v>#REF!</v>
      </c>
      <c r="DR180" t="e">
        <f>AND(Demos!#REF!,"AAAAAD+xvnk=")</f>
        <v>#REF!</v>
      </c>
      <c r="DS180" t="e">
        <f>IF(Demos!#REF!,"AAAAAD+xvno=",0)</f>
        <v>#REF!</v>
      </c>
      <c r="DT180" t="e">
        <f>AND(Demos!#REF!,"AAAAAD+xvns=")</f>
        <v>#REF!</v>
      </c>
      <c r="DU180" t="e">
        <f>AND(Demos!#REF!,"AAAAAD+xvnw=")</f>
        <v>#REF!</v>
      </c>
      <c r="DV180" t="e">
        <f>AND(Demos!#REF!,"AAAAAD+xvn0=")</f>
        <v>#REF!</v>
      </c>
      <c r="DW180" t="e">
        <f>AND(Demos!#REF!,"AAAAAD+xvn4=")</f>
        <v>#REF!</v>
      </c>
      <c r="DX180" t="e">
        <f>AND(Demos!#REF!,"AAAAAD+xvn8=")</f>
        <v>#REF!</v>
      </c>
      <c r="DY180" t="e">
        <f>AND(Demos!#REF!,"AAAAAD+xvoA=")</f>
        <v>#REF!</v>
      </c>
      <c r="DZ180" t="e">
        <f>AND(Demos!#REF!,"AAAAAD+xvoE=")</f>
        <v>#REF!</v>
      </c>
      <c r="EA180" t="e">
        <f>AND(Demos!#REF!,"AAAAAD+xvoI=")</f>
        <v>#REF!</v>
      </c>
      <c r="EB180" t="e">
        <f>AND(Demos!#REF!,"AAAAAD+xvoM=")</f>
        <v>#REF!</v>
      </c>
      <c r="EC180" t="e">
        <f>AND(Demos!#REF!,"AAAAAD+xvoQ=")</f>
        <v>#REF!</v>
      </c>
      <c r="ED180" t="e">
        <f>AND(Demos!#REF!,"AAAAAD+xvoU=")</f>
        <v>#REF!</v>
      </c>
      <c r="EE180" t="e">
        <f>AND(Demos!#REF!,"AAAAAD+xvoY=")</f>
        <v>#REF!</v>
      </c>
      <c r="EF180" t="e">
        <f>AND(Demos!#REF!,"AAAAAD+xvoc=")</f>
        <v>#REF!</v>
      </c>
      <c r="EG180" t="e">
        <f>IF(Demos!#REF!,"AAAAAD+xvog=",0)</f>
        <v>#REF!</v>
      </c>
      <c r="EH180" t="e">
        <f>AND(Demos!#REF!,"AAAAAD+xvok=")</f>
        <v>#REF!</v>
      </c>
      <c r="EI180" t="e">
        <f>AND(Demos!#REF!,"AAAAAD+xvoo=")</f>
        <v>#REF!</v>
      </c>
      <c r="EJ180" t="e">
        <f>AND(Demos!#REF!,"AAAAAD+xvos=")</f>
        <v>#REF!</v>
      </c>
      <c r="EK180" t="e">
        <f>AND(Demos!#REF!,"AAAAAD+xvow=")</f>
        <v>#REF!</v>
      </c>
      <c r="EL180" t="e">
        <f>AND(Demos!#REF!,"AAAAAD+xvo0=")</f>
        <v>#REF!</v>
      </c>
      <c r="EM180" t="e">
        <f>AND(Demos!#REF!,"AAAAAD+xvo4=")</f>
        <v>#REF!</v>
      </c>
      <c r="EN180" t="e">
        <f>AND(Demos!#REF!,"AAAAAD+xvo8=")</f>
        <v>#REF!</v>
      </c>
      <c r="EO180" t="e">
        <f>AND(Demos!#REF!,"AAAAAD+xvpA=")</f>
        <v>#REF!</v>
      </c>
      <c r="EP180" t="e">
        <f>AND(Demos!#REF!,"AAAAAD+xvpE=")</f>
        <v>#REF!</v>
      </c>
      <c r="EQ180" t="e">
        <f>AND(Demos!#REF!,"AAAAAD+xvpI=")</f>
        <v>#REF!</v>
      </c>
      <c r="ER180" t="e">
        <f>AND(Demos!#REF!,"AAAAAD+xvpM=")</f>
        <v>#REF!</v>
      </c>
      <c r="ES180" t="e">
        <f>AND(Demos!#REF!,"AAAAAD+xvpQ=")</f>
        <v>#REF!</v>
      </c>
      <c r="ET180" t="e">
        <f>AND(Demos!#REF!,"AAAAAD+xvpU=")</f>
        <v>#REF!</v>
      </c>
      <c r="EU180" t="e">
        <f>IF(Demos!#REF!,"AAAAAD+xvpY=",0)</f>
        <v>#REF!</v>
      </c>
      <c r="EV180" t="e">
        <f>AND(Demos!#REF!,"AAAAAD+xvpc=")</f>
        <v>#REF!</v>
      </c>
      <c r="EW180" t="e">
        <f>AND(Demos!#REF!,"AAAAAD+xvpg=")</f>
        <v>#REF!</v>
      </c>
      <c r="EX180" t="e">
        <f>AND(Demos!#REF!,"AAAAAD+xvpk=")</f>
        <v>#REF!</v>
      </c>
      <c r="EY180" t="e">
        <f>AND(Demos!#REF!,"AAAAAD+xvpo=")</f>
        <v>#REF!</v>
      </c>
      <c r="EZ180" t="e">
        <f>AND(Demos!#REF!,"AAAAAD+xvps=")</f>
        <v>#REF!</v>
      </c>
      <c r="FA180" t="e">
        <f>AND(Demos!#REF!,"AAAAAD+xvpw=")</f>
        <v>#REF!</v>
      </c>
      <c r="FB180" t="e">
        <f>AND(Demos!#REF!,"AAAAAD+xvp0=")</f>
        <v>#REF!</v>
      </c>
      <c r="FC180" t="e">
        <f>AND(Demos!#REF!,"AAAAAD+xvp4=")</f>
        <v>#REF!</v>
      </c>
      <c r="FD180" t="e">
        <f>AND(Demos!#REF!,"AAAAAD+xvp8=")</f>
        <v>#REF!</v>
      </c>
      <c r="FE180" t="e">
        <f>AND(Demos!#REF!,"AAAAAD+xvqA=")</f>
        <v>#REF!</v>
      </c>
      <c r="FF180" t="e">
        <f>AND(Demos!#REF!,"AAAAAD+xvqE=")</f>
        <v>#REF!</v>
      </c>
      <c r="FG180" t="e">
        <f>AND(Demos!#REF!,"AAAAAD+xvqI=")</f>
        <v>#REF!</v>
      </c>
      <c r="FH180" t="e">
        <f>AND(Demos!#REF!,"AAAAAD+xvqM=")</f>
        <v>#REF!</v>
      </c>
      <c r="FI180" t="e">
        <f>IF(Demos!#REF!,"AAAAAD+xvqQ=",0)</f>
        <v>#REF!</v>
      </c>
      <c r="FJ180" t="e">
        <f>AND(Demos!#REF!,"AAAAAD+xvqU=")</f>
        <v>#REF!</v>
      </c>
      <c r="FK180" t="e">
        <f>AND(Demos!#REF!,"AAAAAD+xvqY=")</f>
        <v>#REF!</v>
      </c>
      <c r="FL180" t="e">
        <f>AND(Demos!#REF!,"AAAAAD+xvqc=")</f>
        <v>#REF!</v>
      </c>
      <c r="FM180" t="e">
        <f>AND(Demos!#REF!,"AAAAAD+xvqg=")</f>
        <v>#REF!</v>
      </c>
      <c r="FN180" t="e">
        <f>AND(Demos!#REF!,"AAAAAD+xvqk=")</f>
        <v>#REF!</v>
      </c>
      <c r="FO180" t="e">
        <f>AND(Demos!#REF!,"AAAAAD+xvqo=")</f>
        <v>#REF!</v>
      </c>
      <c r="FP180" t="e">
        <f>AND(Demos!#REF!,"AAAAAD+xvqs=")</f>
        <v>#REF!</v>
      </c>
      <c r="FQ180" t="e">
        <f>AND(Demos!#REF!,"AAAAAD+xvqw=")</f>
        <v>#REF!</v>
      </c>
      <c r="FR180" t="e">
        <f>AND(Demos!#REF!,"AAAAAD+xvq0=")</f>
        <v>#REF!</v>
      </c>
      <c r="FS180" t="e">
        <f>AND(Demos!#REF!,"AAAAAD+xvq4=")</f>
        <v>#REF!</v>
      </c>
      <c r="FT180" t="e">
        <f>AND(Demos!#REF!,"AAAAAD+xvq8=")</f>
        <v>#REF!</v>
      </c>
      <c r="FU180" t="e">
        <f>AND(Demos!#REF!,"AAAAAD+xvrA=")</f>
        <v>#REF!</v>
      </c>
      <c r="FV180" t="e">
        <f>AND(Demos!#REF!,"AAAAAD+xvrE=")</f>
        <v>#REF!</v>
      </c>
      <c r="FW180" t="e">
        <f>IF(Demos!#REF!,"AAAAAD+xvrI=",0)</f>
        <v>#REF!</v>
      </c>
      <c r="FX180" t="e">
        <f>AND(Demos!#REF!,"AAAAAD+xvrM=")</f>
        <v>#REF!</v>
      </c>
      <c r="FY180" t="e">
        <f>AND(Demos!#REF!,"AAAAAD+xvrQ=")</f>
        <v>#REF!</v>
      </c>
      <c r="FZ180" t="e">
        <f>AND(Demos!#REF!,"AAAAAD+xvrU=")</f>
        <v>#REF!</v>
      </c>
      <c r="GA180" t="e">
        <f>AND(Demos!#REF!,"AAAAAD+xvrY=")</f>
        <v>#REF!</v>
      </c>
      <c r="GB180" t="e">
        <f>AND(Demos!#REF!,"AAAAAD+xvrc=")</f>
        <v>#REF!</v>
      </c>
      <c r="GC180" t="e">
        <f>AND(Demos!#REF!,"AAAAAD+xvrg=")</f>
        <v>#REF!</v>
      </c>
      <c r="GD180" t="e">
        <f>AND(Demos!#REF!,"AAAAAD+xvrk=")</f>
        <v>#REF!</v>
      </c>
      <c r="GE180" t="e">
        <f>AND(Demos!#REF!,"AAAAAD+xvro=")</f>
        <v>#REF!</v>
      </c>
      <c r="GF180" t="e">
        <f>AND(Demos!#REF!,"AAAAAD+xvrs=")</f>
        <v>#REF!</v>
      </c>
      <c r="GG180" t="e">
        <f>AND(Demos!#REF!,"AAAAAD+xvrw=")</f>
        <v>#REF!</v>
      </c>
      <c r="GH180" t="e">
        <f>AND(Demos!#REF!,"AAAAAD+xvr0=")</f>
        <v>#REF!</v>
      </c>
      <c r="GI180" t="e">
        <f>AND(Demos!#REF!,"AAAAAD+xvr4=")</f>
        <v>#REF!</v>
      </c>
      <c r="GJ180" t="e">
        <f>AND(Demos!#REF!,"AAAAAD+xvr8=")</f>
        <v>#REF!</v>
      </c>
      <c r="GK180" t="e">
        <f>IF(Demos!#REF!,"AAAAAD+xvsA=",0)</f>
        <v>#REF!</v>
      </c>
      <c r="GL180" t="e">
        <f>AND(Demos!A122,"AAAAAD+xvsE=")</f>
        <v>#VALUE!</v>
      </c>
      <c r="GM180" t="e">
        <f>AND(Demos!B122,"AAAAAD+xvsI=")</f>
        <v>#VALUE!</v>
      </c>
      <c r="GN180" t="e">
        <f>AND(Demos!#REF!,"AAAAAD+xvsM=")</f>
        <v>#REF!</v>
      </c>
      <c r="GO180" t="e">
        <f>AND(Demos!C122,"AAAAAD+xvsQ=")</f>
        <v>#VALUE!</v>
      </c>
      <c r="GP180" t="e">
        <f>AND(Demos!#REF!,"AAAAAD+xvsU=")</f>
        <v>#REF!</v>
      </c>
      <c r="GQ180" t="e">
        <f>AND(Demos!#REF!,"AAAAAD+xvsY=")</f>
        <v>#REF!</v>
      </c>
      <c r="GR180" t="e">
        <f>AND(Demos!#REF!,"AAAAAD+xvsc=")</f>
        <v>#REF!</v>
      </c>
      <c r="GS180" t="e">
        <f>AND(Demos!#REF!,"AAAAAD+xvsg=")</f>
        <v>#REF!</v>
      </c>
      <c r="GT180" t="e">
        <f>AND(Demos!D122,"AAAAAD+xvsk=")</f>
        <v>#VALUE!</v>
      </c>
      <c r="GU180" t="e">
        <f>AND(Demos!#REF!,"AAAAAD+xvso=")</f>
        <v>#REF!</v>
      </c>
      <c r="GV180" t="e">
        <f>AND(Demos!E122,"AAAAAD+xvss=")</f>
        <v>#VALUE!</v>
      </c>
      <c r="GW180" t="e">
        <f>AND(Demos!F122,"AAAAAD+xvsw=")</f>
        <v>#VALUE!</v>
      </c>
      <c r="GX180" t="e">
        <f>AND(Demos!G122,"AAAAAD+xvs0=")</f>
        <v>#VALUE!</v>
      </c>
      <c r="GY180" t="e">
        <f>IF(Demos!#REF!,"AAAAAD+xvs4=",0)</f>
        <v>#REF!</v>
      </c>
      <c r="GZ180" t="e">
        <f>AND(Demos!A123,"AAAAAD+xvs8=")</f>
        <v>#VALUE!</v>
      </c>
      <c r="HA180" t="e">
        <f>AND(Demos!B123,"AAAAAD+xvtA=")</f>
        <v>#VALUE!</v>
      </c>
      <c r="HB180" t="e">
        <f>AND(Demos!#REF!,"AAAAAD+xvtE=")</f>
        <v>#REF!</v>
      </c>
      <c r="HC180" t="e">
        <f>AND(Demos!C123,"AAAAAD+xvtI=")</f>
        <v>#VALUE!</v>
      </c>
      <c r="HD180" t="e">
        <f>AND(Demos!#REF!,"AAAAAD+xvtM=")</f>
        <v>#REF!</v>
      </c>
      <c r="HE180" t="e">
        <f>AND(Demos!#REF!,"AAAAAD+xvtQ=")</f>
        <v>#REF!</v>
      </c>
      <c r="HF180" t="e">
        <f>AND(Demos!#REF!,"AAAAAD+xvtU=")</f>
        <v>#REF!</v>
      </c>
      <c r="HG180" t="e">
        <f>AND(Demos!#REF!,"AAAAAD+xvtY=")</f>
        <v>#REF!</v>
      </c>
      <c r="HH180" t="e">
        <f>AND(Demos!D123,"AAAAAD+xvtc=")</f>
        <v>#VALUE!</v>
      </c>
      <c r="HI180" t="e">
        <f>AND(Demos!#REF!,"AAAAAD+xvtg=")</f>
        <v>#REF!</v>
      </c>
      <c r="HJ180" t="e">
        <f>AND(Demos!E123,"AAAAAD+xvtk=")</f>
        <v>#VALUE!</v>
      </c>
      <c r="HK180" t="e">
        <f>AND(Demos!F123,"AAAAAD+xvto=")</f>
        <v>#VALUE!</v>
      </c>
      <c r="HL180" t="e">
        <f>AND(Demos!G123,"AAAAAD+xvts=")</f>
        <v>#VALUE!</v>
      </c>
      <c r="HM180">
        <f>IF(Demos!122:122,"AAAAAD+xvtw=",0)</f>
        <v>0</v>
      </c>
      <c r="HN180" t="e">
        <f>AND(Demos!A124,"AAAAAD+xvt0=")</f>
        <v>#VALUE!</v>
      </c>
      <c r="HO180" t="e">
        <f>AND(Demos!#REF!,"AAAAAD+xvt4=")</f>
        <v>#REF!</v>
      </c>
      <c r="HP180" t="e">
        <f>AND(Demos!B124,"AAAAAD+xvt8=")</f>
        <v>#VALUE!</v>
      </c>
      <c r="HQ180" t="e">
        <f>AND(Demos!#REF!,"AAAAAD+xvuA=")</f>
        <v>#REF!</v>
      </c>
      <c r="HR180" t="e">
        <f>AND(Demos!C124,"AAAAAD+xvuE=")</f>
        <v>#VALUE!</v>
      </c>
      <c r="HS180" t="e">
        <f>AND(Demos!#REF!,"AAAAAD+xvuI=")</f>
        <v>#REF!</v>
      </c>
      <c r="HT180" t="e">
        <f>AND(Demos!#REF!,"AAAAAD+xvuM=")</f>
        <v>#REF!</v>
      </c>
      <c r="HU180" t="e">
        <f>AND(Demos!#REF!,"AAAAAD+xvuQ=")</f>
        <v>#REF!</v>
      </c>
      <c r="HV180" t="e">
        <f>AND(Demos!D124,"AAAAAD+xvuU=")</f>
        <v>#VALUE!</v>
      </c>
      <c r="HW180" t="e">
        <f>AND(Demos!#REF!,"AAAAAD+xvuY=")</f>
        <v>#REF!</v>
      </c>
      <c r="HX180" t="e">
        <f>AND(Demos!E124,"AAAAAD+xvuc=")</f>
        <v>#VALUE!</v>
      </c>
      <c r="HY180" t="e">
        <f>AND(Demos!F124,"AAAAAD+xvug=")</f>
        <v>#VALUE!</v>
      </c>
      <c r="HZ180" t="e">
        <f>AND(Demos!G124,"AAAAAD+xvuk=")</f>
        <v>#VALUE!</v>
      </c>
      <c r="IA180">
        <f>IF(Demos!123:123,"AAAAAD+xvuo=",0)</f>
        <v>0</v>
      </c>
      <c r="IB180" t="e">
        <f>AND(Demos!#REF!,"AAAAAD+xvus=")</f>
        <v>#REF!</v>
      </c>
      <c r="IC180" t="e">
        <f>AND(Demos!#REF!,"AAAAAD+xvuw=")</f>
        <v>#REF!</v>
      </c>
      <c r="ID180" t="e">
        <f>AND(Demos!#REF!,"AAAAAD+xvu0=")</f>
        <v>#REF!</v>
      </c>
      <c r="IE180" t="e">
        <f>AND(Demos!#REF!,"AAAAAD+xvu4=")</f>
        <v>#REF!</v>
      </c>
      <c r="IF180" t="e">
        <f>AND(Demos!#REF!,"AAAAAD+xvu8=")</f>
        <v>#REF!</v>
      </c>
      <c r="IG180" t="e">
        <f>AND(Demos!#REF!,"AAAAAD+xvvA=")</f>
        <v>#REF!</v>
      </c>
      <c r="IH180" t="e">
        <f>AND(Demos!#REF!,"AAAAAD+xvvE=")</f>
        <v>#REF!</v>
      </c>
      <c r="II180" t="e">
        <f>AND(Demos!#REF!,"AAAAAD+xvvI=")</f>
        <v>#REF!</v>
      </c>
      <c r="IJ180" t="e">
        <f>AND(Demos!#REF!,"AAAAAD+xvvM=")</f>
        <v>#REF!</v>
      </c>
      <c r="IK180" t="e">
        <f>AND(Demos!#REF!,"AAAAAD+xvvQ=")</f>
        <v>#REF!</v>
      </c>
      <c r="IL180" t="e">
        <f>AND(Demos!#REF!,"AAAAAD+xvvU=")</f>
        <v>#REF!</v>
      </c>
      <c r="IM180" t="e">
        <f>AND(Demos!#REF!,"AAAAAD+xvvY=")</f>
        <v>#REF!</v>
      </c>
      <c r="IN180" t="e">
        <f>AND(Demos!#REF!,"AAAAAD+xvvc=")</f>
        <v>#REF!</v>
      </c>
      <c r="IO180">
        <f>IF(Demos!124:124,"AAAAAD+xvvg=",0)</f>
        <v>0</v>
      </c>
      <c r="IP180" t="e">
        <f>AND(Demos!#REF!,"AAAAAD+xvvk=")</f>
        <v>#REF!</v>
      </c>
      <c r="IQ180" t="e">
        <f>AND(Demos!#REF!,"AAAAAD+xvvo=")</f>
        <v>#REF!</v>
      </c>
      <c r="IR180" t="e">
        <f>AND(Demos!#REF!,"AAAAAD+xvvs=")</f>
        <v>#REF!</v>
      </c>
      <c r="IS180" t="e">
        <f>AND(Demos!#REF!,"AAAAAD+xvvw=")</f>
        <v>#REF!</v>
      </c>
      <c r="IT180" t="e">
        <f>AND(Demos!#REF!,"AAAAAD+xvv0=")</f>
        <v>#REF!</v>
      </c>
      <c r="IU180" t="e">
        <f>AND(Demos!#REF!,"AAAAAD+xvv4=")</f>
        <v>#REF!</v>
      </c>
      <c r="IV180" t="e">
        <f>AND(Demos!#REF!,"AAAAAD+xvv8=")</f>
        <v>#REF!</v>
      </c>
    </row>
    <row r="181" spans="1:256" x14ac:dyDescent="0.2">
      <c r="A181" t="e">
        <f>AND(Demos!#REF!,"AAAAAB/++gA=")</f>
        <v>#REF!</v>
      </c>
      <c r="B181" t="e">
        <f>AND(Demos!#REF!,"AAAAAB/++gE=")</f>
        <v>#REF!</v>
      </c>
      <c r="C181" t="e">
        <f>AND(Demos!#REF!,"AAAAAB/++gI=")</f>
        <v>#REF!</v>
      </c>
      <c r="D181" t="e">
        <f>AND(Demos!#REF!,"AAAAAB/++gM=")</f>
        <v>#REF!</v>
      </c>
      <c r="E181" t="e">
        <f>AND(Demos!#REF!,"AAAAAB/++gQ=")</f>
        <v>#REF!</v>
      </c>
      <c r="F181" t="e">
        <f>AND(Demos!#REF!,"AAAAAB/++gU=")</f>
        <v>#REF!</v>
      </c>
      <c r="G181" t="e">
        <f>IF(Demos!#REF!,"AAAAAB/++gY=",0)</f>
        <v>#REF!</v>
      </c>
      <c r="H181" t="e">
        <f>AND(Demos!#REF!,"AAAAAB/++gc=")</f>
        <v>#REF!</v>
      </c>
      <c r="I181" t="e">
        <f>AND(Demos!#REF!,"AAAAAB/++gg=")</f>
        <v>#REF!</v>
      </c>
      <c r="J181" t="e">
        <f>AND(Demos!#REF!,"AAAAAB/++gk=")</f>
        <v>#REF!</v>
      </c>
      <c r="K181" t="e">
        <f>AND(Demos!#REF!,"AAAAAB/++go=")</f>
        <v>#REF!</v>
      </c>
      <c r="L181" t="e">
        <f>AND(Demos!#REF!,"AAAAAB/++gs=")</f>
        <v>#REF!</v>
      </c>
      <c r="M181" t="e">
        <f>AND(Demos!#REF!,"AAAAAB/++gw=")</f>
        <v>#REF!</v>
      </c>
      <c r="N181" t="e">
        <f>AND(Demos!#REF!,"AAAAAB/++g0=")</f>
        <v>#REF!</v>
      </c>
      <c r="O181" t="e">
        <f>AND(Demos!#REF!,"AAAAAB/++g4=")</f>
        <v>#REF!</v>
      </c>
      <c r="P181" t="e">
        <f>AND(Demos!#REF!,"AAAAAB/++g8=")</f>
        <v>#REF!</v>
      </c>
      <c r="Q181" t="e">
        <f>AND(Demos!#REF!,"AAAAAB/++hA=")</f>
        <v>#REF!</v>
      </c>
      <c r="R181" t="e">
        <f>AND(Demos!#REF!,"AAAAAB/++hE=")</f>
        <v>#REF!</v>
      </c>
      <c r="S181" t="e">
        <f>AND(Demos!#REF!,"AAAAAB/++hI=")</f>
        <v>#REF!</v>
      </c>
      <c r="T181" t="e">
        <f>AND(Demos!#REF!,"AAAAAB/++hM=")</f>
        <v>#REF!</v>
      </c>
      <c r="U181" t="e">
        <f>IF(Demos!#REF!,"AAAAAB/++hQ=",0)</f>
        <v>#REF!</v>
      </c>
      <c r="V181" t="e">
        <f>AND(Demos!#REF!,"AAAAAB/++hU=")</f>
        <v>#REF!</v>
      </c>
      <c r="W181" t="e">
        <f>AND(Demos!#REF!,"AAAAAB/++hY=")</f>
        <v>#REF!</v>
      </c>
      <c r="X181" t="e">
        <f>AND(Demos!#REF!,"AAAAAB/++hc=")</f>
        <v>#REF!</v>
      </c>
      <c r="Y181" t="e">
        <f>AND(Demos!#REF!,"AAAAAB/++hg=")</f>
        <v>#REF!</v>
      </c>
      <c r="Z181" t="e">
        <f>AND(Demos!#REF!,"AAAAAB/++hk=")</f>
        <v>#REF!</v>
      </c>
      <c r="AA181" t="e">
        <f>AND(Demos!#REF!,"AAAAAB/++ho=")</f>
        <v>#REF!</v>
      </c>
      <c r="AB181" t="e">
        <f>AND(Demos!#REF!,"AAAAAB/++hs=")</f>
        <v>#REF!</v>
      </c>
      <c r="AC181" t="e">
        <f>AND(Demos!#REF!,"AAAAAB/++hw=")</f>
        <v>#REF!</v>
      </c>
      <c r="AD181" t="e">
        <f>AND(Demos!#REF!,"AAAAAB/++h0=")</f>
        <v>#REF!</v>
      </c>
      <c r="AE181" t="e">
        <f>AND(Demos!#REF!,"AAAAAB/++h4=")</f>
        <v>#REF!</v>
      </c>
      <c r="AF181" t="e">
        <f>AND(Demos!#REF!,"AAAAAB/++h8=")</f>
        <v>#REF!</v>
      </c>
      <c r="AG181" t="e">
        <f>AND(Demos!#REF!,"AAAAAB/++iA=")</f>
        <v>#REF!</v>
      </c>
      <c r="AH181" t="e">
        <f>AND(Demos!#REF!,"AAAAAB/++iE=")</f>
        <v>#REF!</v>
      </c>
      <c r="AI181" t="e">
        <f>IF(Demos!#REF!,"AAAAAB/++iI=",0)</f>
        <v>#REF!</v>
      </c>
      <c r="AJ181" t="e">
        <f>AND(Demos!#REF!,"AAAAAB/++iM=")</f>
        <v>#REF!</v>
      </c>
      <c r="AK181" t="e">
        <f>AND(Demos!#REF!,"AAAAAB/++iQ=")</f>
        <v>#REF!</v>
      </c>
      <c r="AL181" t="e">
        <f>AND(Demos!#REF!,"AAAAAB/++iU=")</f>
        <v>#REF!</v>
      </c>
      <c r="AM181" t="e">
        <f>AND(Demos!#REF!,"AAAAAB/++iY=")</f>
        <v>#REF!</v>
      </c>
      <c r="AN181" t="e">
        <f>AND(Demos!#REF!,"AAAAAB/++ic=")</f>
        <v>#REF!</v>
      </c>
      <c r="AO181" t="e">
        <f>AND(Demos!#REF!,"AAAAAB/++ig=")</f>
        <v>#REF!</v>
      </c>
      <c r="AP181" t="e">
        <f>AND(Demos!#REF!,"AAAAAB/++ik=")</f>
        <v>#REF!</v>
      </c>
      <c r="AQ181" t="e">
        <f>AND(Demos!#REF!,"AAAAAB/++io=")</f>
        <v>#REF!</v>
      </c>
      <c r="AR181" t="e">
        <f>AND(Demos!#REF!,"AAAAAB/++is=")</f>
        <v>#REF!</v>
      </c>
      <c r="AS181" t="e">
        <f>AND(Demos!#REF!,"AAAAAB/++iw=")</f>
        <v>#REF!</v>
      </c>
      <c r="AT181" t="e">
        <f>AND(Demos!#REF!,"AAAAAB/++i0=")</f>
        <v>#REF!</v>
      </c>
      <c r="AU181" t="e">
        <f>AND(Demos!#REF!,"AAAAAB/++i4=")</f>
        <v>#REF!</v>
      </c>
      <c r="AV181" t="e">
        <f>AND(Demos!#REF!,"AAAAAB/++i8=")</f>
        <v>#REF!</v>
      </c>
      <c r="AW181" t="e">
        <f>IF(Demos!#REF!,"AAAAAB/++jA=",0)</f>
        <v>#REF!</v>
      </c>
      <c r="AX181" t="e">
        <f>AND(Demos!#REF!,"AAAAAB/++jE=")</f>
        <v>#REF!</v>
      </c>
      <c r="AY181" t="e">
        <f>AND(Demos!#REF!,"AAAAAB/++jI=")</f>
        <v>#REF!</v>
      </c>
      <c r="AZ181" t="e">
        <f>AND(Demos!#REF!,"AAAAAB/++jM=")</f>
        <v>#REF!</v>
      </c>
      <c r="BA181" t="e">
        <f>AND(Demos!#REF!,"AAAAAB/++jQ=")</f>
        <v>#REF!</v>
      </c>
      <c r="BB181" t="e">
        <f>AND(Demos!#REF!,"AAAAAB/++jU=")</f>
        <v>#REF!</v>
      </c>
      <c r="BC181" t="e">
        <f>AND(Demos!#REF!,"AAAAAB/++jY=")</f>
        <v>#REF!</v>
      </c>
      <c r="BD181" t="e">
        <f>AND(Demos!#REF!,"AAAAAB/++jc=")</f>
        <v>#REF!</v>
      </c>
      <c r="BE181" t="e">
        <f>AND(Demos!#REF!,"AAAAAB/++jg=")</f>
        <v>#REF!</v>
      </c>
      <c r="BF181" t="e">
        <f>AND(Demos!#REF!,"AAAAAB/++jk=")</f>
        <v>#REF!</v>
      </c>
      <c r="BG181" t="e">
        <f>AND(Demos!#REF!,"AAAAAB/++jo=")</f>
        <v>#REF!</v>
      </c>
      <c r="BH181" t="e">
        <f>AND(Demos!#REF!,"AAAAAB/++js=")</f>
        <v>#REF!</v>
      </c>
      <c r="BI181" t="e">
        <f>AND(Demos!#REF!,"AAAAAB/++jw=")</f>
        <v>#REF!</v>
      </c>
      <c r="BJ181" t="e">
        <f>AND(Demos!#REF!,"AAAAAB/++j0=")</f>
        <v>#REF!</v>
      </c>
      <c r="BK181" t="e">
        <f>IF(Demos!#REF!,"AAAAAB/++j4=",0)</f>
        <v>#REF!</v>
      </c>
      <c r="BL181" t="e">
        <f>AND(Demos!A129,"AAAAAB/++j8=")</f>
        <v>#VALUE!</v>
      </c>
      <c r="BM181" t="e">
        <f>AND(Demos!B129,"AAAAAB/++kA=")</f>
        <v>#VALUE!</v>
      </c>
      <c r="BN181" t="e">
        <f>AND(Demos!#REF!,"AAAAAB/++kE=")</f>
        <v>#REF!</v>
      </c>
      <c r="BO181" t="e">
        <f>AND(Demos!C129,"AAAAAB/++kI=")</f>
        <v>#VALUE!</v>
      </c>
      <c r="BP181" t="e">
        <f>AND(Demos!#REF!,"AAAAAB/++kM=")</f>
        <v>#REF!</v>
      </c>
      <c r="BQ181" t="e">
        <f>AND(Demos!#REF!,"AAAAAB/++kQ=")</f>
        <v>#REF!</v>
      </c>
      <c r="BR181" t="e">
        <f>AND(Demos!#REF!,"AAAAAB/++kU=")</f>
        <v>#REF!</v>
      </c>
      <c r="BS181" t="e">
        <f>AND(Demos!#REF!,"AAAAAB/++kY=")</f>
        <v>#REF!</v>
      </c>
      <c r="BT181" t="e">
        <f>AND(Demos!D129,"AAAAAB/++kc=")</f>
        <v>#VALUE!</v>
      </c>
      <c r="BU181" t="e">
        <f>AND(Demos!#REF!,"AAAAAB/++kg=")</f>
        <v>#REF!</v>
      </c>
      <c r="BV181" t="e">
        <f>AND(Demos!E129,"AAAAAB/++kk=")</f>
        <v>#VALUE!</v>
      </c>
      <c r="BW181" t="e">
        <f>AND(Demos!F129,"AAAAAB/++ko=")</f>
        <v>#VALUE!</v>
      </c>
      <c r="BX181" t="e">
        <f>AND(Demos!G129,"AAAAAB/++ks=")</f>
        <v>#VALUE!</v>
      </c>
      <c r="BY181" t="e">
        <f>IF(Demos!#REF!,"AAAAAB/++kw=",0)</f>
        <v>#REF!</v>
      </c>
      <c r="BZ181" t="e">
        <f>AND(Demos!A130,"AAAAAB/++k0=")</f>
        <v>#VALUE!</v>
      </c>
      <c r="CA181" t="e">
        <f>AND(Demos!B130,"AAAAAB/++k4=")</f>
        <v>#VALUE!</v>
      </c>
      <c r="CB181" t="e">
        <f>AND(Demos!#REF!,"AAAAAB/++k8=")</f>
        <v>#REF!</v>
      </c>
      <c r="CC181" t="e">
        <f>AND(Demos!C130,"AAAAAB/++lA=")</f>
        <v>#VALUE!</v>
      </c>
      <c r="CD181" t="e">
        <f>AND(Demos!#REF!,"AAAAAB/++lE=")</f>
        <v>#REF!</v>
      </c>
      <c r="CE181" t="e">
        <f>AND(Demos!#REF!,"AAAAAB/++lI=")</f>
        <v>#REF!</v>
      </c>
      <c r="CF181" t="e">
        <f>AND(Demos!#REF!,"AAAAAB/++lM=")</f>
        <v>#REF!</v>
      </c>
      <c r="CG181" t="e">
        <f>AND(Demos!D130,"AAAAAB/++lQ=")</f>
        <v>#VALUE!</v>
      </c>
      <c r="CH181" t="e">
        <f>AND(Demos!#REF!,"AAAAAB/++lU=")</f>
        <v>#REF!</v>
      </c>
      <c r="CI181" t="e">
        <f>AND(Demos!#REF!,"AAAAAB/++lY=")</f>
        <v>#REF!</v>
      </c>
      <c r="CJ181" t="e">
        <f>AND(Demos!F130,"AAAAAB/++lc=")</f>
        <v>#VALUE!</v>
      </c>
      <c r="CK181" t="e">
        <f>AND(Demos!#REF!,"AAAAAB/++lg=")</f>
        <v>#REF!</v>
      </c>
      <c r="CL181" t="e">
        <f>AND(Demos!G130,"AAAAAB/++lk=")</f>
        <v>#VALUE!</v>
      </c>
      <c r="CM181">
        <f>IF(Demos!129:129,"AAAAAB/++lo=",0)</f>
        <v>0</v>
      </c>
      <c r="CN181" t="e">
        <f>AND(Demos!#REF!,"AAAAAB/++ls=")</f>
        <v>#REF!</v>
      </c>
      <c r="CO181" t="e">
        <f>AND(Demos!#REF!,"AAAAAB/++lw=")</f>
        <v>#REF!</v>
      </c>
      <c r="CP181" t="e">
        <f>AND(Demos!#REF!,"AAAAAB/++l0=")</f>
        <v>#REF!</v>
      </c>
      <c r="CQ181" t="e">
        <f>AND(Demos!#REF!,"AAAAAB/++l4=")</f>
        <v>#REF!</v>
      </c>
      <c r="CR181" t="e">
        <f>AND(Demos!#REF!,"AAAAAB/++l8=")</f>
        <v>#REF!</v>
      </c>
      <c r="CS181" t="e">
        <f>AND(Demos!#REF!,"AAAAAB/++mA=")</f>
        <v>#REF!</v>
      </c>
      <c r="CT181" t="e">
        <f>AND(Demos!#REF!,"AAAAAB/++mE=")</f>
        <v>#REF!</v>
      </c>
      <c r="CU181" t="e">
        <f>AND(Demos!#REF!,"AAAAAB/++mI=")</f>
        <v>#REF!</v>
      </c>
      <c r="CV181" t="e">
        <f>AND(Demos!#REF!,"AAAAAB/++mM=")</f>
        <v>#REF!</v>
      </c>
      <c r="CW181" t="e">
        <f>AND(Demos!#REF!,"AAAAAB/++mQ=")</f>
        <v>#REF!</v>
      </c>
      <c r="CX181" t="e">
        <f>AND(Demos!#REF!,"AAAAAB/++mU=")</f>
        <v>#REF!</v>
      </c>
      <c r="CY181" t="e">
        <f>AND(Demos!#REF!,"AAAAAB/++mY=")</f>
        <v>#REF!</v>
      </c>
      <c r="CZ181" t="e">
        <f>AND(Demos!#REF!,"AAAAAB/++mc=")</f>
        <v>#REF!</v>
      </c>
      <c r="DA181">
        <f>IF(Demos!130:130,"AAAAAB/++mg=",0)</f>
        <v>0</v>
      </c>
      <c r="DB181" t="e">
        <f>AND(Demos!#REF!,"AAAAAB/++mk=")</f>
        <v>#REF!</v>
      </c>
      <c r="DC181" t="e">
        <f>AND(Demos!#REF!,"AAAAAB/++mo=")</f>
        <v>#REF!</v>
      </c>
      <c r="DD181" t="e">
        <f>AND(Demos!#REF!,"AAAAAB/++ms=")</f>
        <v>#REF!</v>
      </c>
      <c r="DE181" t="e">
        <f>AND(Demos!#REF!,"AAAAAB/++mw=")</f>
        <v>#REF!</v>
      </c>
      <c r="DF181" t="e">
        <f>AND(Demos!#REF!,"AAAAAB/++m0=")</f>
        <v>#REF!</v>
      </c>
      <c r="DG181" t="e">
        <f>AND(Demos!#REF!,"AAAAAB/++m4=")</f>
        <v>#REF!</v>
      </c>
      <c r="DH181" t="e">
        <f>AND(Demos!#REF!,"AAAAAB/++m8=")</f>
        <v>#REF!</v>
      </c>
      <c r="DI181" t="e">
        <f>AND(Demos!#REF!,"AAAAAB/++nA=")</f>
        <v>#REF!</v>
      </c>
      <c r="DJ181" t="e">
        <f>AND(Demos!#REF!,"AAAAAB/++nE=")</f>
        <v>#REF!</v>
      </c>
      <c r="DK181" t="e">
        <f>AND(Demos!#REF!,"AAAAAB/++nI=")</f>
        <v>#REF!</v>
      </c>
      <c r="DL181" t="e">
        <f>AND(Demos!#REF!,"AAAAAB/++nM=")</f>
        <v>#REF!</v>
      </c>
      <c r="DM181" t="e">
        <f>AND(Demos!#REF!,"AAAAAB/++nQ=")</f>
        <v>#REF!</v>
      </c>
      <c r="DN181" t="e">
        <f>AND(Demos!#REF!,"AAAAAB/++nU=")</f>
        <v>#REF!</v>
      </c>
      <c r="DO181" t="e">
        <f>IF(Demos!#REF!,"AAAAAB/++nY=",0)</f>
        <v>#REF!</v>
      </c>
      <c r="DP181" t="e">
        <f>AND(Demos!A131,"AAAAAB/++nc=")</f>
        <v>#VALUE!</v>
      </c>
      <c r="DQ181" t="e">
        <f>AND(Demos!B131,"AAAAAB/++ng=")</f>
        <v>#VALUE!</v>
      </c>
      <c r="DR181" t="e">
        <f>AND(Demos!#REF!,"AAAAAB/++nk=")</f>
        <v>#REF!</v>
      </c>
      <c r="DS181" t="e">
        <f>AND(Demos!C131,"AAAAAB/++no=")</f>
        <v>#VALUE!</v>
      </c>
      <c r="DT181" t="e">
        <f>AND(Demos!#REF!,"AAAAAB/++ns=")</f>
        <v>#REF!</v>
      </c>
      <c r="DU181" t="e">
        <f>AND(Demos!#REF!,"AAAAAB/++nw=")</f>
        <v>#REF!</v>
      </c>
      <c r="DV181" t="e">
        <f>AND(Demos!#REF!,"AAAAAB/++n0=")</f>
        <v>#REF!</v>
      </c>
      <c r="DW181" t="e">
        <f>AND(Demos!#REF!,"AAAAAB/++n4=")</f>
        <v>#REF!</v>
      </c>
      <c r="DX181" t="e">
        <f>AND(Demos!D131,"AAAAAB/++n8=")</f>
        <v>#VALUE!</v>
      </c>
      <c r="DY181" t="e">
        <f>AND(Demos!#REF!,"AAAAAB/++oA=")</f>
        <v>#REF!</v>
      </c>
      <c r="DZ181" t="e">
        <f>AND(Demos!E131,"AAAAAB/++oE=")</f>
        <v>#VALUE!</v>
      </c>
      <c r="EA181" t="e">
        <f>AND(Demos!F131,"AAAAAB/++oI=")</f>
        <v>#VALUE!</v>
      </c>
      <c r="EB181" t="e">
        <f>AND(Demos!G131,"AAAAAB/++oM=")</f>
        <v>#VALUE!</v>
      </c>
      <c r="EC181" t="e">
        <f>IF(Demos!#REF!,"AAAAAB/++oQ=",0)</f>
        <v>#REF!</v>
      </c>
      <c r="ED181" t="e">
        <f>AND(Demos!A132,"AAAAAB/++oU=")</f>
        <v>#VALUE!</v>
      </c>
      <c r="EE181" t="e">
        <f>AND(Demos!B132,"AAAAAB/++oY=")</f>
        <v>#VALUE!</v>
      </c>
      <c r="EF181" t="e">
        <f>AND(Demos!#REF!,"AAAAAB/++oc=")</f>
        <v>#REF!</v>
      </c>
      <c r="EG181" t="e">
        <f>AND(Demos!C132,"AAAAAB/++og=")</f>
        <v>#VALUE!</v>
      </c>
      <c r="EH181" t="e">
        <f>AND(Demos!#REF!,"AAAAAB/++ok=")</f>
        <v>#REF!</v>
      </c>
      <c r="EI181" t="e">
        <f>AND(Demos!#REF!,"AAAAAB/++oo=")</f>
        <v>#REF!</v>
      </c>
      <c r="EJ181" t="e">
        <f>AND(Demos!#REF!,"AAAAAB/++os=")</f>
        <v>#REF!</v>
      </c>
      <c r="EK181" t="e">
        <f>AND(Demos!#REF!,"AAAAAB/++ow=")</f>
        <v>#REF!</v>
      </c>
      <c r="EL181" t="e">
        <f>AND(Demos!D132,"AAAAAB/++o0=")</f>
        <v>#VALUE!</v>
      </c>
      <c r="EM181" t="e">
        <f>AND(Demos!#REF!,"AAAAAB/++o4=")</f>
        <v>#REF!</v>
      </c>
      <c r="EN181" t="e">
        <f>AND(Demos!E132,"AAAAAB/++o8=")</f>
        <v>#VALUE!</v>
      </c>
      <c r="EO181" t="e">
        <f>AND(Demos!F132,"AAAAAB/++pA=")</f>
        <v>#VALUE!</v>
      </c>
      <c r="EP181" t="e">
        <f>AND(Demos!G132,"AAAAAB/++pE=")</f>
        <v>#VALUE!</v>
      </c>
      <c r="EQ181">
        <f>IF(Demos!131:131,"AAAAAB/++pI=",0)</f>
        <v>0</v>
      </c>
      <c r="ER181" t="e">
        <f>AND(Demos!A133,"AAAAAB/++pM=")</f>
        <v>#VALUE!</v>
      </c>
      <c r="ES181" t="e">
        <f>AND(Demos!#REF!,"AAAAAB/++pQ=")</f>
        <v>#REF!</v>
      </c>
      <c r="ET181" t="e">
        <f>AND(Demos!B133,"AAAAAB/++pU=")</f>
        <v>#VALUE!</v>
      </c>
      <c r="EU181" t="e">
        <f>AND(Demos!#REF!,"AAAAAB/++pY=")</f>
        <v>#REF!</v>
      </c>
      <c r="EV181" t="e">
        <f>AND(Demos!C133,"AAAAAB/++pc=")</f>
        <v>#VALUE!</v>
      </c>
      <c r="EW181" t="e">
        <f>AND(Demos!#REF!,"AAAAAB/++pg=")</f>
        <v>#REF!</v>
      </c>
      <c r="EX181" t="e">
        <f>AND(Demos!#REF!,"AAAAAB/++pk=")</f>
        <v>#REF!</v>
      </c>
      <c r="EY181" t="e">
        <f>AND(Demos!#REF!,"AAAAAB/++po=")</f>
        <v>#REF!</v>
      </c>
      <c r="EZ181" t="e">
        <f>AND(Demos!D133,"AAAAAB/++ps=")</f>
        <v>#VALUE!</v>
      </c>
      <c r="FA181" t="e">
        <f>AND(Demos!#REF!,"AAAAAB/++pw=")</f>
        <v>#REF!</v>
      </c>
      <c r="FB181" t="e">
        <f>AND(Demos!E133,"AAAAAB/++p0=")</f>
        <v>#VALUE!</v>
      </c>
      <c r="FC181" t="e">
        <f>AND(Demos!F133,"AAAAAB/++p4=")</f>
        <v>#VALUE!</v>
      </c>
      <c r="FD181" t="e">
        <f>AND(Demos!G133,"AAAAAB/++p8=")</f>
        <v>#VALUE!</v>
      </c>
      <c r="FE181">
        <f>IF(Demos!132:132,"AAAAAB/++qA=",0)</f>
        <v>0</v>
      </c>
      <c r="FF181" t="e">
        <f>AND(Demos!#REF!,"AAAAAB/++qE=")</f>
        <v>#REF!</v>
      </c>
      <c r="FG181" t="e">
        <f>AND(Demos!#REF!,"AAAAAB/++qI=")</f>
        <v>#REF!</v>
      </c>
      <c r="FH181" t="e">
        <f>AND(Demos!#REF!,"AAAAAB/++qM=")</f>
        <v>#REF!</v>
      </c>
      <c r="FI181" t="e">
        <f>AND(Demos!#REF!,"AAAAAB/++qQ=")</f>
        <v>#REF!</v>
      </c>
      <c r="FJ181" t="e">
        <f>AND(Demos!#REF!,"AAAAAB/++qU=")</f>
        <v>#REF!</v>
      </c>
      <c r="FK181" t="e">
        <f>AND(Demos!#REF!,"AAAAAB/++qY=")</f>
        <v>#REF!</v>
      </c>
      <c r="FL181" t="e">
        <f>AND(Demos!#REF!,"AAAAAB/++qc=")</f>
        <v>#REF!</v>
      </c>
      <c r="FM181" t="e">
        <f>AND(Demos!#REF!,"AAAAAB/++qg=")</f>
        <v>#REF!</v>
      </c>
      <c r="FN181" t="e">
        <f>AND(Demos!#REF!,"AAAAAB/++qk=")</f>
        <v>#REF!</v>
      </c>
      <c r="FO181" t="e">
        <f>AND(Demos!#REF!,"AAAAAB/++qo=")</f>
        <v>#REF!</v>
      </c>
      <c r="FP181" t="e">
        <f>AND(Demos!#REF!,"AAAAAB/++qs=")</f>
        <v>#REF!</v>
      </c>
      <c r="FQ181" t="e">
        <f>AND(Demos!#REF!,"AAAAAB/++qw=")</f>
        <v>#REF!</v>
      </c>
      <c r="FR181" t="e">
        <f>AND(Demos!#REF!,"AAAAAB/++q0=")</f>
        <v>#REF!</v>
      </c>
      <c r="FS181">
        <f>IF(Demos!133:133,"AAAAAB/++q4=",0)</f>
        <v>0</v>
      </c>
      <c r="FT181" t="e">
        <f>AND(Demos!#REF!,"AAAAAB/++q8=")</f>
        <v>#REF!</v>
      </c>
      <c r="FU181" t="e">
        <f>AND(Demos!#REF!,"AAAAAB/++rA=")</f>
        <v>#REF!</v>
      </c>
      <c r="FV181" t="e">
        <f>AND(Demos!#REF!,"AAAAAB/++rE=")</f>
        <v>#REF!</v>
      </c>
      <c r="FW181" t="e">
        <f>AND(Demos!#REF!,"AAAAAB/++rI=")</f>
        <v>#REF!</v>
      </c>
      <c r="FX181" t="e">
        <f>AND(Demos!#REF!,"AAAAAB/++rM=")</f>
        <v>#REF!</v>
      </c>
      <c r="FY181" t="e">
        <f>AND(Demos!#REF!,"AAAAAB/++rQ=")</f>
        <v>#REF!</v>
      </c>
      <c r="FZ181" t="e">
        <f>AND(Demos!#REF!,"AAAAAB/++rU=")</f>
        <v>#REF!</v>
      </c>
      <c r="GA181" t="e">
        <f>AND(Demos!#REF!,"AAAAAB/++rY=")</f>
        <v>#REF!</v>
      </c>
      <c r="GB181" t="e">
        <f>AND(Demos!#REF!,"AAAAAB/++rc=")</f>
        <v>#REF!</v>
      </c>
      <c r="GC181" t="e">
        <f>AND(Demos!#REF!,"AAAAAB/++rg=")</f>
        <v>#REF!</v>
      </c>
      <c r="GD181" t="e">
        <f>AND(Demos!#REF!,"AAAAAB/++rk=")</f>
        <v>#REF!</v>
      </c>
      <c r="GE181" t="e">
        <f>AND(Demos!#REF!,"AAAAAB/++ro=")</f>
        <v>#REF!</v>
      </c>
      <c r="GF181" t="e">
        <f>AND(Demos!#REF!,"AAAAAB/++rs=")</f>
        <v>#REF!</v>
      </c>
      <c r="GG181" t="e">
        <f>IF(Demos!#REF!,"AAAAAB/++rw=",0)</f>
        <v>#REF!</v>
      </c>
      <c r="GH181" t="e">
        <f>AND(Demos!#REF!,"AAAAAB/++r0=")</f>
        <v>#REF!</v>
      </c>
      <c r="GI181" t="e">
        <f>AND(Demos!#REF!,"AAAAAB/++r4=")</f>
        <v>#REF!</v>
      </c>
      <c r="GJ181" t="e">
        <f>AND(Demos!#REF!,"AAAAAB/++r8=")</f>
        <v>#REF!</v>
      </c>
      <c r="GK181" t="e">
        <f>AND(Demos!#REF!,"AAAAAB/++sA=")</f>
        <v>#REF!</v>
      </c>
      <c r="GL181" t="e">
        <f>AND(Demos!#REF!,"AAAAAB/++sE=")</f>
        <v>#REF!</v>
      </c>
      <c r="GM181" t="e">
        <f>AND(Demos!#REF!,"AAAAAB/++sI=")</f>
        <v>#REF!</v>
      </c>
      <c r="GN181" t="e">
        <f>AND(Demos!#REF!,"AAAAAB/++sM=")</f>
        <v>#REF!</v>
      </c>
      <c r="GO181" t="e">
        <f>AND(Demos!#REF!,"AAAAAB/++sQ=")</f>
        <v>#REF!</v>
      </c>
      <c r="GP181" t="e">
        <f>AND(Demos!#REF!,"AAAAAB/++sU=")</f>
        <v>#REF!</v>
      </c>
      <c r="GQ181" t="e">
        <f>AND(Demos!#REF!,"AAAAAB/++sY=")</f>
        <v>#REF!</v>
      </c>
      <c r="GR181" t="e">
        <f>AND(Demos!#REF!,"AAAAAB/++sc=")</f>
        <v>#REF!</v>
      </c>
      <c r="GS181" t="e">
        <f>AND(Demos!#REF!,"AAAAAB/++sg=")</f>
        <v>#REF!</v>
      </c>
      <c r="GT181" t="e">
        <f>AND(Demos!#REF!,"AAAAAB/++sk=")</f>
        <v>#REF!</v>
      </c>
      <c r="GU181" t="e">
        <f>IF(Demos!#REF!,"AAAAAB/++so=",0)</f>
        <v>#REF!</v>
      </c>
      <c r="GV181" t="e">
        <f>AND(Demos!#REF!,"AAAAAB/++ss=")</f>
        <v>#REF!</v>
      </c>
      <c r="GW181" t="e">
        <f>AND(Demos!#REF!,"AAAAAB/++sw=")</f>
        <v>#REF!</v>
      </c>
      <c r="GX181" t="e">
        <f>AND(Demos!#REF!,"AAAAAB/++s0=")</f>
        <v>#REF!</v>
      </c>
      <c r="GY181" t="e">
        <f>AND(Demos!#REF!,"AAAAAB/++s4=")</f>
        <v>#REF!</v>
      </c>
      <c r="GZ181" t="e">
        <f>AND(Demos!#REF!,"AAAAAB/++s8=")</f>
        <v>#REF!</v>
      </c>
      <c r="HA181" t="e">
        <f>AND(Demos!#REF!,"AAAAAB/++tA=")</f>
        <v>#REF!</v>
      </c>
      <c r="HB181" t="e">
        <f>AND(Demos!#REF!,"AAAAAB/++tE=")</f>
        <v>#REF!</v>
      </c>
      <c r="HC181" t="e">
        <f>AND(Demos!#REF!,"AAAAAB/++tI=")</f>
        <v>#REF!</v>
      </c>
      <c r="HD181" t="e">
        <f>AND(Demos!#REF!,"AAAAAB/++tM=")</f>
        <v>#REF!</v>
      </c>
      <c r="HE181" t="e">
        <f>AND(Demos!#REF!,"AAAAAB/++tQ=")</f>
        <v>#REF!</v>
      </c>
      <c r="HF181" t="e">
        <f>AND(Demos!#REF!,"AAAAAB/++tU=")</f>
        <v>#REF!</v>
      </c>
      <c r="HG181" t="e">
        <f>AND(Demos!#REF!,"AAAAAB/++tY=")</f>
        <v>#REF!</v>
      </c>
      <c r="HH181" t="e">
        <f>AND(Demos!#REF!,"AAAAAB/++tc=")</f>
        <v>#REF!</v>
      </c>
      <c r="HI181" t="e">
        <f>IF(Demos!#REF!,"AAAAAB/++tg=",0)</f>
        <v>#REF!</v>
      </c>
      <c r="HJ181" t="e">
        <f>AND(Demos!#REF!,"AAAAAB/++tk=")</f>
        <v>#REF!</v>
      </c>
      <c r="HK181" t="e">
        <f>AND(Demos!#REF!,"AAAAAB/++to=")</f>
        <v>#REF!</v>
      </c>
      <c r="HL181" t="e">
        <f>AND(Demos!#REF!,"AAAAAB/++ts=")</f>
        <v>#REF!</v>
      </c>
      <c r="HM181" t="e">
        <f>AND(Demos!#REF!,"AAAAAB/++tw=")</f>
        <v>#REF!</v>
      </c>
      <c r="HN181" t="e">
        <f>AND(Demos!#REF!,"AAAAAB/++t0=")</f>
        <v>#REF!</v>
      </c>
      <c r="HO181" t="e">
        <f>AND(Demos!#REF!,"AAAAAB/++t4=")</f>
        <v>#REF!</v>
      </c>
      <c r="HP181" t="e">
        <f>AND(Demos!#REF!,"AAAAAB/++t8=")</f>
        <v>#REF!</v>
      </c>
      <c r="HQ181" t="e">
        <f>AND(Demos!#REF!,"AAAAAB/++uA=")</f>
        <v>#REF!</v>
      </c>
      <c r="HR181" t="e">
        <f>AND(Demos!#REF!,"AAAAAB/++uE=")</f>
        <v>#REF!</v>
      </c>
      <c r="HS181" t="e">
        <f>AND(Demos!#REF!,"AAAAAB/++uI=")</f>
        <v>#REF!</v>
      </c>
      <c r="HT181" t="e">
        <f>AND(Demos!#REF!,"AAAAAB/++uM=")</f>
        <v>#REF!</v>
      </c>
      <c r="HU181" t="e">
        <f>AND(Demos!#REF!,"AAAAAB/++uQ=")</f>
        <v>#REF!</v>
      </c>
      <c r="HV181" t="e">
        <f>AND(Demos!#REF!,"AAAAAB/++uU=")</f>
        <v>#REF!</v>
      </c>
      <c r="HW181" t="e">
        <f>IF(Demos!#REF!,"AAAAAB/++uY=",0)</f>
        <v>#REF!</v>
      </c>
      <c r="HX181" t="e">
        <f>AND(Demos!#REF!,"AAAAAB/++uc=")</f>
        <v>#REF!</v>
      </c>
      <c r="HY181" t="e">
        <f>AND(Demos!#REF!,"AAAAAB/++ug=")</f>
        <v>#REF!</v>
      </c>
      <c r="HZ181" t="e">
        <f>AND(Demos!#REF!,"AAAAAB/++uk=")</f>
        <v>#REF!</v>
      </c>
      <c r="IA181" t="e">
        <f>AND(Demos!#REF!,"AAAAAB/++uo=")</f>
        <v>#REF!</v>
      </c>
      <c r="IB181" t="e">
        <f>AND(Demos!#REF!,"AAAAAB/++us=")</f>
        <v>#REF!</v>
      </c>
      <c r="IC181" t="e">
        <f>AND(Demos!#REF!,"AAAAAB/++uw=")</f>
        <v>#REF!</v>
      </c>
      <c r="ID181" t="e">
        <f>AND(Demos!#REF!,"AAAAAB/++u0=")</f>
        <v>#REF!</v>
      </c>
      <c r="IE181" t="e">
        <f>AND(Demos!#REF!,"AAAAAB/++u4=")</f>
        <v>#REF!</v>
      </c>
      <c r="IF181" t="e">
        <f>AND(Demos!#REF!,"AAAAAB/++u8=")</f>
        <v>#REF!</v>
      </c>
      <c r="IG181" t="e">
        <f>AND(Demos!#REF!,"AAAAAB/++vA=")</f>
        <v>#REF!</v>
      </c>
      <c r="IH181" t="e">
        <f>AND(Demos!#REF!,"AAAAAB/++vE=")</f>
        <v>#REF!</v>
      </c>
      <c r="II181" t="e">
        <f>AND(Demos!#REF!,"AAAAAB/++vI=")</f>
        <v>#REF!</v>
      </c>
      <c r="IJ181" t="e">
        <f>AND(Demos!#REF!,"AAAAAB/++vM=")</f>
        <v>#REF!</v>
      </c>
      <c r="IK181" t="e">
        <f>IF(Demos!#REF!,"AAAAAB/++vQ=",0)</f>
        <v>#REF!</v>
      </c>
      <c r="IL181" t="e">
        <f>AND(Demos!A138,"AAAAAB/++vU=")</f>
        <v>#VALUE!</v>
      </c>
      <c r="IM181" t="e">
        <f>AND(Demos!B138,"AAAAAB/++vY=")</f>
        <v>#VALUE!</v>
      </c>
      <c r="IN181" t="e">
        <f>AND(Demos!#REF!,"AAAAAB/++vc=")</f>
        <v>#REF!</v>
      </c>
      <c r="IO181" t="e">
        <f>AND(Demos!C138,"AAAAAB/++vg=")</f>
        <v>#VALUE!</v>
      </c>
      <c r="IP181" t="e">
        <f>AND(Demos!#REF!,"AAAAAB/++vk=")</f>
        <v>#REF!</v>
      </c>
      <c r="IQ181" t="e">
        <f>AND(Demos!#REF!,"AAAAAB/++vo=")</f>
        <v>#REF!</v>
      </c>
      <c r="IR181" t="e">
        <f>AND(Demos!#REF!,"AAAAAB/++vs=")</f>
        <v>#REF!</v>
      </c>
      <c r="IS181" t="e">
        <f>AND(Demos!#REF!,"AAAAAB/++vw=")</f>
        <v>#REF!</v>
      </c>
      <c r="IT181" t="e">
        <f>AND(Demos!D138,"AAAAAB/++v0=")</f>
        <v>#VALUE!</v>
      </c>
      <c r="IU181" t="e">
        <f>AND(Demos!#REF!,"AAAAAB/++v4=")</f>
        <v>#REF!</v>
      </c>
      <c r="IV181" t="e">
        <f>AND(Demos!E138,"AAAAAB/++v8=")</f>
        <v>#VALUE!</v>
      </c>
    </row>
    <row r="182" spans="1:256" x14ac:dyDescent="0.2">
      <c r="A182" t="e">
        <f>AND(Demos!F138,"AAAAAC//aQA=")</f>
        <v>#VALUE!</v>
      </c>
      <c r="B182" t="e">
        <f>AND(Demos!G138,"AAAAAC//aQE=")</f>
        <v>#VALUE!</v>
      </c>
      <c r="C182" t="e">
        <f>IF(Demos!#REF!,"AAAAAC//aQI=",0)</f>
        <v>#REF!</v>
      </c>
      <c r="D182" t="e">
        <f>AND(Demos!A139,"AAAAAC//aQM=")</f>
        <v>#VALUE!</v>
      </c>
      <c r="E182" t="e">
        <f>AND(Demos!B139,"AAAAAC//aQQ=")</f>
        <v>#VALUE!</v>
      </c>
      <c r="F182" t="e">
        <f>AND(Demos!#REF!,"AAAAAC//aQU=")</f>
        <v>#REF!</v>
      </c>
      <c r="G182" t="e">
        <f>AND(Demos!C139,"AAAAAC//aQY=")</f>
        <v>#VALUE!</v>
      </c>
      <c r="H182" t="e">
        <f>AND(Demos!#REF!,"AAAAAC//aQc=")</f>
        <v>#REF!</v>
      </c>
      <c r="I182" t="e">
        <f>AND(Demos!#REF!,"AAAAAC//aQg=")</f>
        <v>#REF!</v>
      </c>
      <c r="J182" t="e">
        <f>AND(Demos!#REF!,"AAAAAC//aQk=")</f>
        <v>#REF!</v>
      </c>
      <c r="K182" t="e">
        <f>AND(Demos!D139,"AAAAAC//aQo=")</f>
        <v>#VALUE!</v>
      </c>
      <c r="L182" t="e">
        <f>AND(Demos!#REF!,"AAAAAC//aQs=")</f>
        <v>#REF!</v>
      </c>
      <c r="M182" t="e">
        <f>AND(Demos!#REF!,"AAAAAC//aQw=")</f>
        <v>#REF!</v>
      </c>
      <c r="N182" t="e">
        <f>AND(Demos!F139,"AAAAAC//aQ0=")</f>
        <v>#VALUE!</v>
      </c>
      <c r="O182" t="e">
        <f>AND(Demos!#REF!,"AAAAAC//aQ4=")</f>
        <v>#REF!</v>
      </c>
      <c r="P182" t="e">
        <f>AND(Demos!G139,"AAAAAC//aQ8=")</f>
        <v>#VALUE!</v>
      </c>
      <c r="Q182">
        <f>IF(Demos!138:138,"AAAAAC//aRA=",0)</f>
        <v>0</v>
      </c>
      <c r="R182" t="e">
        <f>AND(Demos!#REF!,"AAAAAC//aRE=")</f>
        <v>#REF!</v>
      </c>
      <c r="S182" t="e">
        <f>AND(Demos!#REF!,"AAAAAC//aRI=")</f>
        <v>#REF!</v>
      </c>
      <c r="T182" t="e">
        <f>AND(Demos!#REF!,"AAAAAC//aRM=")</f>
        <v>#REF!</v>
      </c>
      <c r="U182" t="e">
        <f>AND(Demos!#REF!,"AAAAAC//aRQ=")</f>
        <v>#REF!</v>
      </c>
      <c r="V182" t="e">
        <f>AND(Demos!#REF!,"AAAAAC//aRU=")</f>
        <v>#REF!</v>
      </c>
      <c r="W182" t="e">
        <f>AND(Demos!#REF!,"AAAAAC//aRY=")</f>
        <v>#REF!</v>
      </c>
      <c r="X182" t="e">
        <f>AND(Demos!#REF!,"AAAAAC//aRc=")</f>
        <v>#REF!</v>
      </c>
      <c r="Y182" t="e">
        <f>AND(Demos!#REF!,"AAAAAC//aRg=")</f>
        <v>#REF!</v>
      </c>
      <c r="Z182" t="e">
        <f>AND(Demos!#REF!,"AAAAAC//aRk=")</f>
        <v>#REF!</v>
      </c>
      <c r="AA182" t="e">
        <f>AND(Demos!#REF!,"AAAAAC//aRo=")</f>
        <v>#REF!</v>
      </c>
      <c r="AB182" t="e">
        <f>AND(Demos!#REF!,"AAAAAC//aRs=")</f>
        <v>#REF!</v>
      </c>
      <c r="AC182" t="e">
        <f>AND(Demos!#REF!,"AAAAAC//aRw=")</f>
        <v>#REF!</v>
      </c>
      <c r="AD182" t="e">
        <f>AND(Demos!#REF!,"AAAAAC//aR0=")</f>
        <v>#REF!</v>
      </c>
      <c r="AE182">
        <f>IF(Demos!139:139,"AAAAAC//aR4=",0)</f>
        <v>0</v>
      </c>
      <c r="AF182" t="e">
        <f>AND(Demos!#REF!,"AAAAAC//aR8=")</f>
        <v>#REF!</v>
      </c>
      <c r="AG182" t="e">
        <f>AND(Demos!#REF!,"AAAAAC//aSA=")</f>
        <v>#REF!</v>
      </c>
      <c r="AH182" t="e">
        <f>AND(Demos!#REF!,"AAAAAC//aSE=")</f>
        <v>#REF!</v>
      </c>
      <c r="AI182" t="e">
        <f>AND(Demos!#REF!,"AAAAAC//aSI=")</f>
        <v>#REF!</v>
      </c>
      <c r="AJ182" t="e">
        <f>AND(Demos!#REF!,"AAAAAC//aSM=")</f>
        <v>#REF!</v>
      </c>
      <c r="AK182" t="e">
        <f>AND(Demos!#REF!,"AAAAAC//aSQ=")</f>
        <v>#REF!</v>
      </c>
      <c r="AL182" t="e">
        <f>AND(Demos!#REF!,"AAAAAC//aSU=")</f>
        <v>#REF!</v>
      </c>
      <c r="AM182" t="e">
        <f>AND(Demos!#REF!,"AAAAAC//aSY=")</f>
        <v>#REF!</v>
      </c>
      <c r="AN182" t="e">
        <f>AND(Demos!#REF!,"AAAAAC//aSc=")</f>
        <v>#REF!</v>
      </c>
      <c r="AO182" t="e">
        <f>AND(Demos!#REF!,"AAAAAC//aSg=")</f>
        <v>#REF!</v>
      </c>
      <c r="AP182" t="e">
        <f>AND(Demos!#REF!,"AAAAAC//aSk=")</f>
        <v>#REF!</v>
      </c>
      <c r="AQ182" t="e">
        <f>AND(Demos!#REF!,"AAAAAC//aSo=")</f>
        <v>#REF!</v>
      </c>
      <c r="AR182" t="e">
        <f>AND(Demos!#REF!,"AAAAAC//aSs=")</f>
        <v>#REF!</v>
      </c>
      <c r="AS182" t="e">
        <f>IF(Demos!#REF!,"AAAAAC//aSw=",0)</f>
        <v>#REF!</v>
      </c>
      <c r="AT182" t="e">
        <f>AND(Demos!#REF!,"AAAAAC//aS0=")</f>
        <v>#REF!</v>
      </c>
      <c r="AU182" t="e">
        <f>AND(Demos!#REF!,"AAAAAC//aS4=")</f>
        <v>#REF!</v>
      </c>
      <c r="AV182" t="e">
        <f>AND(Demos!#REF!,"AAAAAC//aS8=")</f>
        <v>#REF!</v>
      </c>
      <c r="AW182" t="e">
        <f>AND(Demos!#REF!,"AAAAAC//aTA=")</f>
        <v>#REF!</v>
      </c>
      <c r="AX182" t="e">
        <f>AND(Demos!#REF!,"AAAAAC//aTE=")</f>
        <v>#REF!</v>
      </c>
      <c r="AY182" t="e">
        <f>AND(Demos!#REF!,"AAAAAC//aTI=")</f>
        <v>#REF!</v>
      </c>
      <c r="AZ182" t="e">
        <f>AND(Demos!#REF!,"AAAAAC//aTM=")</f>
        <v>#REF!</v>
      </c>
      <c r="BA182" t="e">
        <f>AND(Demos!#REF!,"AAAAAC//aTQ=")</f>
        <v>#REF!</v>
      </c>
      <c r="BB182" t="e">
        <f>AND(Demos!#REF!,"AAAAAC//aTU=")</f>
        <v>#REF!</v>
      </c>
      <c r="BC182" t="e">
        <f>AND(Demos!#REF!,"AAAAAC//aTY=")</f>
        <v>#REF!</v>
      </c>
      <c r="BD182" t="e">
        <f>AND(Demos!#REF!,"AAAAAC//aTc=")</f>
        <v>#REF!</v>
      </c>
      <c r="BE182" t="e">
        <f>AND(Demos!#REF!,"AAAAAC//aTg=")</f>
        <v>#REF!</v>
      </c>
      <c r="BF182" t="e">
        <f>AND(Demos!#REF!,"AAAAAC//aTk=")</f>
        <v>#REF!</v>
      </c>
      <c r="BG182" t="e">
        <f>IF(Demos!#REF!,"AAAAAC//aTo=",0)</f>
        <v>#REF!</v>
      </c>
      <c r="BH182" t="e">
        <f>AND(Demos!#REF!,"AAAAAC//aTs=")</f>
        <v>#REF!</v>
      </c>
      <c r="BI182" t="e">
        <f>AND(Demos!#REF!,"AAAAAC//aTw=")</f>
        <v>#REF!</v>
      </c>
      <c r="BJ182" t="e">
        <f>AND(Demos!#REF!,"AAAAAC//aT0=")</f>
        <v>#REF!</v>
      </c>
      <c r="BK182" t="e">
        <f>AND(Demos!#REF!,"AAAAAC//aT4=")</f>
        <v>#REF!</v>
      </c>
      <c r="BL182" t="e">
        <f>AND(Demos!#REF!,"AAAAAC//aT8=")</f>
        <v>#REF!</v>
      </c>
      <c r="BM182" t="e">
        <f>AND(Demos!#REF!,"AAAAAC//aUA=")</f>
        <v>#REF!</v>
      </c>
      <c r="BN182" t="e">
        <f>AND(Demos!#REF!,"AAAAAC//aUE=")</f>
        <v>#REF!</v>
      </c>
      <c r="BO182" t="e">
        <f>AND(Demos!#REF!,"AAAAAC//aUI=")</f>
        <v>#REF!</v>
      </c>
      <c r="BP182" t="e">
        <f>AND(Demos!#REF!,"AAAAAC//aUM=")</f>
        <v>#REF!</v>
      </c>
      <c r="BQ182" t="e">
        <f>AND(Demos!#REF!,"AAAAAC//aUQ=")</f>
        <v>#REF!</v>
      </c>
      <c r="BR182" t="e">
        <f>AND(Demos!#REF!,"AAAAAC//aUU=")</f>
        <v>#REF!</v>
      </c>
      <c r="BS182" t="e">
        <f>AND(Demos!#REF!,"AAAAAC//aUY=")</f>
        <v>#REF!</v>
      </c>
      <c r="BT182" t="e">
        <f>AND(Demos!#REF!,"AAAAAC//aUc=")</f>
        <v>#REF!</v>
      </c>
      <c r="BU182" t="e">
        <f>IF(Demos!#REF!,"AAAAAC//aUg=",0)</f>
        <v>#REF!</v>
      </c>
      <c r="BV182" t="e">
        <f>AND(Demos!#REF!,"AAAAAC//aUk=")</f>
        <v>#REF!</v>
      </c>
      <c r="BW182" t="e">
        <f>AND(Demos!#REF!,"AAAAAC//aUo=")</f>
        <v>#REF!</v>
      </c>
      <c r="BX182" t="e">
        <f>AND(Demos!#REF!,"AAAAAC//aUs=")</f>
        <v>#REF!</v>
      </c>
      <c r="BY182" t="e">
        <f>AND(Demos!#REF!,"AAAAAC//aUw=")</f>
        <v>#REF!</v>
      </c>
      <c r="BZ182" t="e">
        <f>AND(Demos!#REF!,"AAAAAC//aU0=")</f>
        <v>#REF!</v>
      </c>
      <c r="CA182" t="e">
        <f>AND(Demos!#REF!,"AAAAAC//aU4=")</f>
        <v>#REF!</v>
      </c>
      <c r="CB182" t="e">
        <f>AND(Demos!#REF!,"AAAAAC//aU8=")</f>
        <v>#REF!</v>
      </c>
      <c r="CC182" t="e">
        <f>AND(Demos!#REF!,"AAAAAC//aVA=")</f>
        <v>#REF!</v>
      </c>
      <c r="CD182" t="e">
        <f>AND(Demos!#REF!,"AAAAAC//aVE=")</f>
        <v>#REF!</v>
      </c>
      <c r="CE182" t="e">
        <f>AND(Demos!#REF!,"AAAAAC//aVI=")</f>
        <v>#REF!</v>
      </c>
      <c r="CF182" t="e">
        <f>AND(Demos!#REF!,"AAAAAC//aVM=")</f>
        <v>#REF!</v>
      </c>
      <c r="CG182" t="e">
        <f>AND(Demos!#REF!,"AAAAAC//aVQ=")</f>
        <v>#REF!</v>
      </c>
      <c r="CH182" t="e">
        <f>AND(Demos!#REF!,"AAAAAC//aVU=")</f>
        <v>#REF!</v>
      </c>
      <c r="CI182" t="e">
        <f>IF(Demos!#REF!,"AAAAAC//aVY=",0)</f>
        <v>#REF!</v>
      </c>
      <c r="CJ182" t="e">
        <f>AND(Demos!#REF!,"AAAAAC//aVc=")</f>
        <v>#REF!</v>
      </c>
      <c r="CK182" t="e">
        <f>AND(Demos!#REF!,"AAAAAC//aVg=")</f>
        <v>#REF!</v>
      </c>
      <c r="CL182" t="e">
        <f>AND(Demos!#REF!,"AAAAAC//aVk=")</f>
        <v>#REF!</v>
      </c>
      <c r="CM182" t="e">
        <f>AND(Demos!#REF!,"AAAAAC//aVo=")</f>
        <v>#REF!</v>
      </c>
      <c r="CN182" t="e">
        <f>AND(Demos!#REF!,"AAAAAC//aVs=")</f>
        <v>#REF!</v>
      </c>
      <c r="CO182" t="e">
        <f>AND(Demos!#REF!,"AAAAAC//aVw=")</f>
        <v>#REF!</v>
      </c>
      <c r="CP182" t="e">
        <f>AND(Demos!#REF!,"AAAAAC//aV0=")</f>
        <v>#REF!</v>
      </c>
      <c r="CQ182" t="e">
        <f>AND(Demos!#REF!,"AAAAAC//aV4=")</f>
        <v>#REF!</v>
      </c>
      <c r="CR182" t="e">
        <f>AND(Demos!#REF!,"AAAAAC//aV8=")</f>
        <v>#REF!</v>
      </c>
      <c r="CS182" t="e">
        <f>AND(Demos!#REF!,"AAAAAC//aWA=")</f>
        <v>#REF!</v>
      </c>
      <c r="CT182" t="e">
        <f>AND(Demos!#REF!,"AAAAAC//aWE=")</f>
        <v>#REF!</v>
      </c>
      <c r="CU182" t="e">
        <f>AND(Demos!#REF!,"AAAAAC//aWI=")</f>
        <v>#REF!</v>
      </c>
      <c r="CV182" t="e">
        <f>AND(Demos!#REF!,"AAAAAC//aWM=")</f>
        <v>#REF!</v>
      </c>
      <c r="CW182" t="e">
        <f>IF(Demos!#REF!,"AAAAAC//aWQ=",0)</f>
        <v>#REF!</v>
      </c>
      <c r="CX182" t="e">
        <f>AND(Demos!#REF!,"AAAAAC//aWU=")</f>
        <v>#REF!</v>
      </c>
      <c r="CY182" t="e">
        <f>AND(Demos!#REF!,"AAAAAC//aWY=")</f>
        <v>#REF!</v>
      </c>
      <c r="CZ182" t="e">
        <f>AND(Demos!#REF!,"AAAAAC//aWc=")</f>
        <v>#REF!</v>
      </c>
      <c r="DA182" t="e">
        <f>AND(Demos!#REF!,"AAAAAC//aWg=")</f>
        <v>#REF!</v>
      </c>
      <c r="DB182" t="e">
        <f>AND(Demos!#REF!,"AAAAAC//aWk=")</f>
        <v>#REF!</v>
      </c>
      <c r="DC182" t="e">
        <f>AND(Demos!#REF!,"AAAAAC//aWo=")</f>
        <v>#REF!</v>
      </c>
      <c r="DD182" t="e">
        <f>AND(Demos!#REF!,"AAAAAC//aWs=")</f>
        <v>#REF!</v>
      </c>
      <c r="DE182" t="e">
        <f>AND(Demos!#REF!,"AAAAAC//aWw=")</f>
        <v>#REF!</v>
      </c>
      <c r="DF182" t="e">
        <f>AND(Demos!#REF!,"AAAAAC//aW0=")</f>
        <v>#REF!</v>
      </c>
      <c r="DG182" t="e">
        <f>AND(Demos!#REF!,"AAAAAC//aW4=")</f>
        <v>#REF!</v>
      </c>
      <c r="DH182" t="e">
        <f>AND(Demos!#REF!,"AAAAAC//aW8=")</f>
        <v>#REF!</v>
      </c>
      <c r="DI182" t="e">
        <f>AND(Demos!#REF!,"AAAAAC//aXA=")</f>
        <v>#REF!</v>
      </c>
      <c r="DJ182" t="e">
        <f>AND(Demos!#REF!,"AAAAAC//aXE=")</f>
        <v>#REF!</v>
      </c>
      <c r="DK182" t="e">
        <f>IF(Demos!#REF!,"AAAAAC//aXI=",0)</f>
        <v>#REF!</v>
      </c>
      <c r="DL182" t="e">
        <f>AND(Demos!#REF!,"AAAAAC//aXM=")</f>
        <v>#REF!</v>
      </c>
      <c r="DM182" t="e">
        <f>AND(Demos!#REF!,"AAAAAC//aXQ=")</f>
        <v>#REF!</v>
      </c>
      <c r="DN182" t="e">
        <f>AND(Demos!#REF!,"AAAAAC//aXU=")</f>
        <v>#REF!</v>
      </c>
      <c r="DO182" t="e">
        <f>AND(Demos!#REF!,"AAAAAC//aXY=")</f>
        <v>#REF!</v>
      </c>
      <c r="DP182" t="e">
        <f>AND(Demos!#REF!,"AAAAAC//aXc=")</f>
        <v>#REF!</v>
      </c>
      <c r="DQ182" t="e">
        <f>AND(Demos!#REF!,"AAAAAC//aXg=")</f>
        <v>#REF!</v>
      </c>
      <c r="DR182" t="e">
        <f>AND(Demos!#REF!,"AAAAAC//aXk=")</f>
        <v>#REF!</v>
      </c>
      <c r="DS182" t="e">
        <f>AND(Demos!#REF!,"AAAAAC//aXo=")</f>
        <v>#REF!</v>
      </c>
      <c r="DT182" t="e">
        <f>AND(Demos!#REF!,"AAAAAC//aXs=")</f>
        <v>#REF!</v>
      </c>
      <c r="DU182" t="e">
        <f>AND(Demos!#REF!,"AAAAAC//aXw=")</f>
        <v>#REF!</v>
      </c>
      <c r="DV182" t="e">
        <f>AND(Demos!#REF!,"AAAAAC//aX0=")</f>
        <v>#REF!</v>
      </c>
      <c r="DW182" t="e">
        <f>AND(Demos!#REF!,"AAAAAC//aX4=")</f>
        <v>#REF!</v>
      </c>
      <c r="DX182" t="e">
        <f>AND(Demos!#REF!,"AAAAAC//aX8=")</f>
        <v>#REF!</v>
      </c>
      <c r="DY182" t="e">
        <f>IF(Demos!#REF!,"AAAAAC//aYA=",0)</f>
        <v>#REF!</v>
      </c>
      <c r="DZ182" t="e">
        <f>AND(Demos!#REF!,"AAAAAC//aYE=")</f>
        <v>#REF!</v>
      </c>
      <c r="EA182" t="e">
        <f>AND(Demos!#REF!,"AAAAAC//aYI=")</f>
        <v>#REF!</v>
      </c>
      <c r="EB182" t="e">
        <f>AND(Demos!#REF!,"AAAAAC//aYM=")</f>
        <v>#REF!</v>
      </c>
      <c r="EC182" t="e">
        <f>AND(Demos!#REF!,"AAAAAC//aYQ=")</f>
        <v>#REF!</v>
      </c>
      <c r="ED182" t="e">
        <f>AND(Demos!#REF!,"AAAAAC//aYU=")</f>
        <v>#REF!</v>
      </c>
      <c r="EE182" t="e">
        <f>AND(Demos!#REF!,"AAAAAC//aYY=")</f>
        <v>#REF!</v>
      </c>
      <c r="EF182" t="e">
        <f>AND(Demos!#REF!,"AAAAAC//aYc=")</f>
        <v>#REF!</v>
      </c>
      <c r="EG182" t="e">
        <f>AND(Demos!#REF!,"AAAAAC//aYg=")</f>
        <v>#REF!</v>
      </c>
      <c r="EH182" t="e">
        <f>AND(Demos!#REF!,"AAAAAC//aYk=")</f>
        <v>#REF!</v>
      </c>
      <c r="EI182" t="e">
        <f>AND(Demos!#REF!,"AAAAAC//aYo=")</f>
        <v>#REF!</v>
      </c>
      <c r="EJ182" t="e">
        <f>AND(Demos!#REF!,"AAAAAC//aYs=")</f>
        <v>#REF!</v>
      </c>
      <c r="EK182" t="e">
        <f>AND(Demos!#REF!,"AAAAAC//aYw=")</f>
        <v>#REF!</v>
      </c>
      <c r="EL182" t="e">
        <f>AND(Demos!#REF!,"AAAAAC//aY0=")</f>
        <v>#REF!</v>
      </c>
      <c r="EM182" t="e">
        <f>IF(Demos!#REF!,"AAAAAC//aY4=",0)</f>
        <v>#REF!</v>
      </c>
      <c r="EN182" t="e">
        <f>AND(Demos!#REF!,"AAAAAC//aY8=")</f>
        <v>#REF!</v>
      </c>
      <c r="EO182" t="e">
        <f>AND(Demos!#REF!,"AAAAAC//aZA=")</f>
        <v>#REF!</v>
      </c>
      <c r="EP182" t="e">
        <f>AND(Demos!#REF!,"AAAAAC//aZE=")</f>
        <v>#REF!</v>
      </c>
      <c r="EQ182" t="e">
        <f>AND(Demos!#REF!,"AAAAAC//aZI=")</f>
        <v>#REF!</v>
      </c>
      <c r="ER182" t="e">
        <f>AND(Demos!#REF!,"AAAAAC//aZM=")</f>
        <v>#REF!</v>
      </c>
      <c r="ES182" t="e">
        <f>AND(Demos!#REF!,"AAAAAC//aZQ=")</f>
        <v>#REF!</v>
      </c>
      <c r="ET182" t="e">
        <f>AND(Demos!#REF!,"AAAAAC//aZU=")</f>
        <v>#REF!</v>
      </c>
      <c r="EU182" t="e">
        <f>AND(Demos!#REF!,"AAAAAC//aZY=")</f>
        <v>#REF!</v>
      </c>
      <c r="EV182" t="e">
        <f>AND(Demos!#REF!,"AAAAAC//aZc=")</f>
        <v>#REF!</v>
      </c>
      <c r="EW182" t="e">
        <f>AND(Demos!#REF!,"AAAAAC//aZg=")</f>
        <v>#REF!</v>
      </c>
      <c r="EX182" t="e">
        <f>AND(Demos!#REF!,"AAAAAC//aZk=")</f>
        <v>#REF!</v>
      </c>
      <c r="EY182" t="e">
        <f>AND(Demos!#REF!,"AAAAAC//aZo=")</f>
        <v>#REF!</v>
      </c>
      <c r="EZ182" t="e">
        <f>AND(Demos!#REF!,"AAAAAC//aZs=")</f>
        <v>#REF!</v>
      </c>
      <c r="FA182" t="e">
        <f>IF(Demos!#REF!,"AAAAAC//aZw=",0)</f>
        <v>#REF!</v>
      </c>
      <c r="FB182" t="e">
        <f>AND(Demos!#REF!,"AAAAAC//aZ0=")</f>
        <v>#REF!</v>
      </c>
      <c r="FC182" t="e">
        <f>AND(Demos!#REF!,"AAAAAC//aZ4=")</f>
        <v>#REF!</v>
      </c>
      <c r="FD182" t="e">
        <f>AND(Demos!#REF!,"AAAAAC//aZ8=")</f>
        <v>#REF!</v>
      </c>
      <c r="FE182" t="e">
        <f>AND(Demos!#REF!,"AAAAAC//aaA=")</f>
        <v>#REF!</v>
      </c>
      <c r="FF182" t="e">
        <f>AND(Demos!#REF!,"AAAAAC//aaE=")</f>
        <v>#REF!</v>
      </c>
      <c r="FG182" t="e">
        <f>AND(Demos!#REF!,"AAAAAC//aaI=")</f>
        <v>#REF!</v>
      </c>
      <c r="FH182" t="e">
        <f>AND(Demos!#REF!,"AAAAAC//aaM=")</f>
        <v>#REF!</v>
      </c>
      <c r="FI182" t="e">
        <f>AND(Demos!#REF!,"AAAAAC//aaQ=")</f>
        <v>#REF!</v>
      </c>
      <c r="FJ182" t="e">
        <f>AND(Demos!#REF!,"AAAAAC//aaU=")</f>
        <v>#REF!</v>
      </c>
      <c r="FK182" t="e">
        <f>AND(Demos!#REF!,"AAAAAC//aaY=")</f>
        <v>#REF!</v>
      </c>
      <c r="FL182" t="e">
        <f>AND(Demos!#REF!,"AAAAAC//aac=")</f>
        <v>#REF!</v>
      </c>
      <c r="FM182" t="e">
        <f>AND(Demos!#REF!,"AAAAAC//aag=")</f>
        <v>#REF!</v>
      </c>
      <c r="FN182" t="e">
        <f>AND(Demos!#REF!,"AAAAAC//aak=")</f>
        <v>#REF!</v>
      </c>
      <c r="FO182" t="e">
        <f>IF(Demos!#REF!,"AAAAAC//aao=",0)</f>
        <v>#REF!</v>
      </c>
      <c r="FP182" t="e">
        <f>AND(Demos!A140,"AAAAAC//aas=")</f>
        <v>#VALUE!</v>
      </c>
      <c r="FQ182" t="e">
        <f>AND(Demos!B140,"AAAAAC//aaw=")</f>
        <v>#VALUE!</v>
      </c>
      <c r="FR182" t="e">
        <f>AND(Demos!#REF!,"AAAAAC//aa0=")</f>
        <v>#REF!</v>
      </c>
      <c r="FS182" t="e">
        <f>AND(Demos!C140,"AAAAAC//aa4=")</f>
        <v>#VALUE!</v>
      </c>
      <c r="FT182" t="e">
        <f>AND(Demos!#REF!,"AAAAAC//aa8=")</f>
        <v>#REF!</v>
      </c>
      <c r="FU182" t="e">
        <f>AND(Demos!#REF!,"AAAAAC//abA=")</f>
        <v>#REF!</v>
      </c>
      <c r="FV182" t="e">
        <f>AND(Demos!#REF!,"AAAAAC//abE=")</f>
        <v>#REF!</v>
      </c>
      <c r="FW182" t="e">
        <f>AND(Demos!#REF!,"AAAAAC//abI=")</f>
        <v>#REF!</v>
      </c>
      <c r="FX182" t="e">
        <f>AND(Demos!D140,"AAAAAC//abM=")</f>
        <v>#VALUE!</v>
      </c>
      <c r="FY182" t="e">
        <f>AND(Demos!#REF!,"AAAAAC//abQ=")</f>
        <v>#REF!</v>
      </c>
      <c r="FZ182" t="e">
        <f>AND(Demos!E140,"AAAAAC//abU=")</f>
        <v>#VALUE!</v>
      </c>
      <c r="GA182" t="e">
        <f>AND(Demos!F140,"AAAAAC//abY=")</f>
        <v>#VALUE!</v>
      </c>
      <c r="GB182" t="e">
        <f>AND(Demos!G140,"AAAAAC//abc=")</f>
        <v>#VALUE!</v>
      </c>
      <c r="GC182" t="e">
        <f>IF(Demos!#REF!,"AAAAAC//abg=",0)</f>
        <v>#REF!</v>
      </c>
      <c r="GD182" t="e">
        <f>AND(Demos!A141,"AAAAAC//abk=")</f>
        <v>#VALUE!</v>
      </c>
      <c r="GE182" t="e">
        <f>AND(Demos!B141,"AAAAAC//abo=")</f>
        <v>#VALUE!</v>
      </c>
      <c r="GF182" t="e">
        <f>AND(Demos!#REF!,"AAAAAC//abs=")</f>
        <v>#REF!</v>
      </c>
      <c r="GG182" t="e">
        <f>AND(Demos!C141,"AAAAAC//abw=")</f>
        <v>#VALUE!</v>
      </c>
      <c r="GH182" t="e">
        <f>AND(Demos!#REF!,"AAAAAC//ab0=")</f>
        <v>#REF!</v>
      </c>
      <c r="GI182" t="e">
        <f>AND(Demos!#REF!,"AAAAAC//ab4=")</f>
        <v>#REF!</v>
      </c>
      <c r="GJ182" t="e">
        <f>AND(Demos!#REF!,"AAAAAC//ab8=")</f>
        <v>#REF!</v>
      </c>
      <c r="GK182" t="e">
        <f>AND(Demos!#REF!,"AAAAAC//acA=")</f>
        <v>#REF!</v>
      </c>
      <c r="GL182" t="e">
        <f>AND(Demos!D141,"AAAAAC//acE=")</f>
        <v>#VALUE!</v>
      </c>
      <c r="GM182" t="e">
        <f>AND(Demos!#REF!,"AAAAAC//acI=")</f>
        <v>#REF!</v>
      </c>
      <c r="GN182" t="e">
        <f>AND(Demos!E141,"AAAAAC//acM=")</f>
        <v>#VALUE!</v>
      </c>
      <c r="GO182" t="e">
        <f>AND(Demos!F141,"AAAAAC//acQ=")</f>
        <v>#VALUE!</v>
      </c>
      <c r="GP182" t="e">
        <f>AND(Demos!G141,"AAAAAC//acU=")</f>
        <v>#VALUE!</v>
      </c>
      <c r="GQ182">
        <f>IF(Demos!140:140,"AAAAAC//acY=",0)</f>
        <v>0</v>
      </c>
      <c r="GR182" t="e">
        <f>AND(Demos!A142,"AAAAAC//acc=")</f>
        <v>#VALUE!</v>
      </c>
      <c r="GS182" t="e">
        <f>AND(Demos!#REF!,"AAAAAC//acg=")</f>
        <v>#REF!</v>
      </c>
      <c r="GT182" t="e">
        <f>AND(Demos!B142,"AAAAAC//ack=")</f>
        <v>#VALUE!</v>
      </c>
      <c r="GU182" t="e">
        <f>AND(Demos!#REF!,"AAAAAC//aco=")</f>
        <v>#REF!</v>
      </c>
      <c r="GV182" t="e">
        <f>AND(Demos!C142,"AAAAAC//acs=")</f>
        <v>#VALUE!</v>
      </c>
      <c r="GW182" t="e">
        <f>AND(Demos!#REF!,"AAAAAC//acw=")</f>
        <v>#REF!</v>
      </c>
      <c r="GX182" t="e">
        <f>AND(Demos!#REF!,"AAAAAC//ac0=")</f>
        <v>#REF!</v>
      </c>
      <c r="GY182" t="e">
        <f>AND(Demos!#REF!,"AAAAAC//ac4=")</f>
        <v>#REF!</v>
      </c>
      <c r="GZ182" t="e">
        <f>AND(Demos!D142,"AAAAAC//ac8=")</f>
        <v>#VALUE!</v>
      </c>
      <c r="HA182" t="e">
        <f>AND(Demos!#REF!,"AAAAAC//adA=")</f>
        <v>#REF!</v>
      </c>
      <c r="HB182" t="e">
        <f>AND(Demos!E142,"AAAAAC//adE=")</f>
        <v>#VALUE!</v>
      </c>
      <c r="HC182" t="e">
        <f>AND(Demos!F142,"AAAAAC//adI=")</f>
        <v>#VALUE!</v>
      </c>
      <c r="HD182" t="e">
        <f>AND(Demos!G142,"AAAAAC//adM=")</f>
        <v>#VALUE!</v>
      </c>
      <c r="HE182">
        <f>IF(Demos!141:141,"AAAAAC//adQ=",0)</f>
        <v>0</v>
      </c>
      <c r="HF182" t="e">
        <f>AND(Demos!#REF!,"AAAAAC//adU=")</f>
        <v>#REF!</v>
      </c>
      <c r="HG182" t="e">
        <f>AND(Demos!#REF!,"AAAAAC//adY=")</f>
        <v>#REF!</v>
      </c>
      <c r="HH182" t="e">
        <f>AND(Demos!#REF!,"AAAAAC//adc=")</f>
        <v>#REF!</v>
      </c>
      <c r="HI182" t="e">
        <f>AND(Demos!#REF!,"AAAAAC//adg=")</f>
        <v>#REF!</v>
      </c>
      <c r="HJ182" t="e">
        <f>AND(Demos!#REF!,"AAAAAC//adk=")</f>
        <v>#REF!</v>
      </c>
      <c r="HK182" t="e">
        <f>AND(Demos!#REF!,"AAAAAC//ado=")</f>
        <v>#REF!</v>
      </c>
      <c r="HL182" t="e">
        <f>AND(Demos!#REF!,"AAAAAC//ads=")</f>
        <v>#REF!</v>
      </c>
      <c r="HM182" t="e">
        <f>AND(Demos!#REF!,"AAAAAC//adw=")</f>
        <v>#REF!</v>
      </c>
      <c r="HN182" t="e">
        <f>AND(Demos!#REF!,"AAAAAC//ad0=")</f>
        <v>#REF!</v>
      </c>
      <c r="HO182" t="e">
        <f>AND(Demos!#REF!,"AAAAAC//ad4=")</f>
        <v>#REF!</v>
      </c>
      <c r="HP182" t="e">
        <f>AND(Demos!#REF!,"AAAAAC//ad8=")</f>
        <v>#REF!</v>
      </c>
      <c r="HQ182" t="e">
        <f>AND(Demos!#REF!,"AAAAAC//aeA=")</f>
        <v>#REF!</v>
      </c>
      <c r="HR182" t="e">
        <f>AND(Demos!#REF!,"AAAAAC//aeE=")</f>
        <v>#REF!</v>
      </c>
      <c r="HS182">
        <f>IF(Demos!142:142,"AAAAAC//aeI=",0)</f>
        <v>0</v>
      </c>
      <c r="HT182" t="e">
        <f>AND(Demos!#REF!,"AAAAAC//aeM=")</f>
        <v>#REF!</v>
      </c>
      <c r="HU182" t="e">
        <f>AND(Demos!#REF!,"AAAAAC//aeQ=")</f>
        <v>#REF!</v>
      </c>
      <c r="HV182" t="e">
        <f>AND(Demos!#REF!,"AAAAAC//aeU=")</f>
        <v>#REF!</v>
      </c>
      <c r="HW182" t="e">
        <f>AND(Demos!#REF!,"AAAAAC//aeY=")</f>
        <v>#REF!</v>
      </c>
      <c r="HX182" t="e">
        <f>AND(Demos!#REF!,"AAAAAC//aec=")</f>
        <v>#REF!</v>
      </c>
      <c r="HY182" t="e">
        <f>AND(Demos!#REF!,"AAAAAC//aeg=")</f>
        <v>#REF!</v>
      </c>
      <c r="HZ182" t="e">
        <f>AND(Demos!#REF!,"AAAAAC//aek=")</f>
        <v>#REF!</v>
      </c>
      <c r="IA182" t="e">
        <f>AND(Demos!#REF!,"AAAAAC//aeo=")</f>
        <v>#REF!</v>
      </c>
      <c r="IB182" t="e">
        <f>AND(Demos!#REF!,"AAAAAC//aes=")</f>
        <v>#REF!</v>
      </c>
      <c r="IC182" t="e">
        <f>AND(Demos!#REF!,"AAAAAC//aew=")</f>
        <v>#REF!</v>
      </c>
      <c r="ID182" t="e">
        <f>AND(Demos!#REF!,"AAAAAC//ae0=")</f>
        <v>#REF!</v>
      </c>
      <c r="IE182" t="e">
        <f>AND(Demos!#REF!,"AAAAAC//ae4=")</f>
        <v>#REF!</v>
      </c>
      <c r="IF182" t="e">
        <f>AND(Demos!#REF!,"AAAAAC//ae8=")</f>
        <v>#REF!</v>
      </c>
      <c r="IG182" t="e">
        <f>IF(Demos!#REF!,"AAAAAC//afA=",0)</f>
        <v>#REF!</v>
      </c>
      <c r="IH182" t="e">
        <f>AND(Demos!#REF!,"AAAAAC//afE=")</f>
        <v>#REF!</v>
      </c>
      <c r="II182" t="e">
        <f>AND(Demos!#REF!,"AAAAAC//afI=")</f>
        <v>#REF!</v>
      </c>
      <c r="IJ182" t="e">
        <f>AND(Demos!#REF!,"AAAAAC//afM=")</f>
        <v>#REF!</v>
      </c>
      <c r="IK182" t="e">
        <f>AND(Demos!#REF!,"AAAAAC//afQ=")</f>
        <v>#REF!</v>
      </c>
      <c r="IL182" t="e">
        <f>AND(Demos!#REF!,"AAAAAC//afU=")</f>
        <v>#REF!</v>
      </c>
      <c r="IM182" t="e">
        <f>AND(Demos!#REF!,"AAAAAC//afY=")</f>
        <v>#REF!</v>
      </c>
      <c r="IN182" t="e">
        <f>AND(Demos!#REF!,"AAAAAC//afc=")</f>
        <v>#REF!</v>
      </c>
      <c r="IO182" t="e">
        <f>AND(Demos!#REF!,"AAAAAC//afg=")</f>
        <v>#REF!</v>
      </c>
      <c r="IP182" t="e">
        <f>AND(Demos!#REF!,"AAAAAC//afk=")</f>
        <v>#REF!</v>
      </c>
      <c r="IQ182" t="e">
        <f>AND(Demos!#REF!,"AAAAAC//afo=")</f>
        <v>#REF!</v>
      </c>
      <c r="IR182" t="e">
        <f>AND(Demos!#REF!,"AAAAAC//afs=")</f>
        <v>#REF!</v>
      </c>
      <c r="IS182" t="e">
        <f>AND(Demos!#REF!,"AAAAAC//afw=")</f>
        <v>#REF!</v>
      </c>
      <c r="IT182" t="e">
        <f>AND(Demos!#REF!,"AAAAAC//af0=")</f>
        <v>#REF!</v>
      </c>
      <c r="IU182" t="e">
        <f>IF(Demos!#REF!,"AAAAAC//af4=",0)</f>
        <v>#REF!</v>
      </c>
      <c r="IV182" t="e">
        <f>AND(Demos!#REF!,"AAAAAC//af8=")</f>
        <v>#REF!</v>
      </c>
    </row>
    <row r="183" spans="1:256" x14ac:dyDescent="0.2">
      <c r="A183" t="e">
        <f>AND(Demos!#REF!,"AAAAAHy1bwA=")</f>
        <v>#REF!</v>
      </c>
      <c r="B183" t="e">
        <f>AND(Demos!#REF!,"AAAAAHy1bwE=")</f>
        <v>#REF!</v>
      </c>
      <c r="C183" t="e">
        <f>AND(Demos!#REF!,"AAAAAHy1bwI=")</f>
        <v>#REF!</v>
      </c>
      <c r="D183" t="e">
        <f>AND(Demos!#REF!,"AAAAAHy1bwM=")</f>
        <v>#REF!</v>
      </c>
      <c r="E183" t="e">
        <f>AND(Demos!#REF!,"AAAAAHy1bwQ=")</f>
        <v>#REF!</v>
      </c>
      <c r="F183" t="e">
        <f>AND(Demos!#REF!,"AAAAAHy1bwU=")</f>
        <v>#REF!</v>
      </c>
      <c r="G183" t="e">
        <f>AND(Demos!#REF!,"AAAAAHy1bwY=")</f>
        <v>#REF!</v>
      </c>
      <c r="H183" t="e">
        <f>AND(Demos!#REF!,"AAAAAHy1bwc=")</f>
        <v>#REF!</v>
      </c>
      <c r="I183" t="e">
        <f>AND(Demos!#REF!,"AAAAAHy1bwg=")</f>
        <v>#REF!</v>
      </c>
      <c r="J183" t="e">
        <f>AND(Demos!#REF!,"AAAAAHy1bwk=")</f>
        <v>#REF!</v>
      </c>
      <c r="K183" t="e">
        <f>AND(Demos!#REF!,"AAAAAHy1bwo=")</f>
        <v>#REF!</v>
      </c>
      <c r="L183" t="e">
        <f>AND(Demos!#REF!,"AAAAAHy1bws=")</f>
        <v>#REF!</v>
      </c>
      <c r="M183" t="e">
        <f>IF(Demos!#REF!,"AAAAAHy1bww=",0)</f>
        <v>#REF!</v>
      </c>
      <c r="N183" t="e">
        <f>AND(Demos!#REF!,"AAAAAHy1bw0=")</f>
        <v>#REF!</v>
      </c>
      <c r="O183" t="e">
        <f>AND(Demos!#REF!,"AAAAAHy1bw4=")</f>
        <v>#REF!</v>
      </c>
      <c r="P183" t="e">
        <f>AND(Demos!#REF!,"AAAAAHy1bw8=")</f>
        <v>#REF!</v>
      </c>
      <c r="Q183" t="e">
        <f>AND(Demos!#REF!,"AAAAAHy1bxA=")</f>
        <v>#REF!</v>
      </c>
      <c r="R183" t="e">
        <f>AND(Demos!#REF!,"AAAAAHy1bxE=")</f>
        <v>#REF!</v>
      </c>
      <c r="S183" t="e">
        <f>AND(Demos!#REF!,"AAAAAHy1bxI=")</f>
        <v>#REF!</v>
      </c>
      <c r="T183" t="e">
        <f>AND(Demos!#REF!,"AAAAAHy1bxM=")</f>
        <v>#REF!</v>
      </c>
      <c r="U183" t="e">
        <f>AND(Demos!#REF!,"AAAAAHy1bxQ=")</f>
        <v>#REF!</v>
      </c>
      <c r="V183" t="e">
        <f>AND(Demos!#REF!,"AAAAAHy1bxU=")</f>
        <v>#REF!</v>
      </c>
      <c r="W183" t="e">
        <f>AND(Demos!#REF!,"AAAAAHy1bxY=")</f>
        <v>#REF!</v>
      </c>
      <c r="X183" t="e">
        <f>AND(Demos!#REF!,"AAAAAHy1bxc=")</f>
        <v>#REF!</v>
      </c>
      <c r="Y183" t="e">
        <f>AND(Demos!#REF!,"AAAAAHy1bxg=")</f>
        <v>#REF!</v>
      </c>
      <c r="Z183" t="e">
        <f>AND(Demos!#REF!,"AAAAAHy1bxk=")</f>
        <v>#REF!</v>
      </c>
      <c r="AA183" t="e">
        <f>IF(Demos!#REF!,"AAAAAHy1bxo=",0)</f>
        <v>#REF!</v>
      </c>
      <c r="AB183" t="e">
        <f>AND(Demos!#REF!,"AAAAAHy1bxs=")</f>
        <v>#REF!</v>
      </c>
      <c r="AC183" t="e">
        <f>AND(Demos!#REF!,"AAAAAHy1bxw=")</f>
        <v>#REF!</v>
      </c>
      <c r="AD183" t="e">
        <f>AND(Demos!#REF!,"AAAAAHy1bx0=")</f>
        <v>#REF!</v>
      </c>
      <c r="AE183" t="e">
        <f>AND(Demos!#REF!,"AAAAAHy1bx4=")</f>
        <v>#REF!</v>
      </c>
      <c r="AF183" t="e">
        <f>AND(Demos!#REF!,"AAAAAHy1bx8=")</f>
        <v>#REF!</v>
      </c>
      <c r="AG183" t="e">
        <f>AND(Demos!#REF!,"AAAAAHy1byA=")</f>
        <v>#REF!</v>
      </c>
      <c r="AH183" t="e">
        <f>AND(Demos!#REF!,"AAAAAHy1byE=")</f>
        <v>#REF!</v>
      </c>
      <c r="AI183" t="e">
        <f>AND(Demos!#REF!,"AAAAAHy1byI=")</f>
        <v>#REF!</v>
      </c>
      <c r="AJ183" t="e">
        <f>AND(Demos!#REF!,"AAAAAHy1byM=")</f>
        <v>#REF!</v>
      </c>
      <c r="AK183" t="e">
        <f>AND(Demos!#REF!,"AAAAAHy1byQ=")</f>
        <v>#REF!</v>
      </c>
      <c r="AL183" t="e">
        <f>AND(Demos!#REF!,"AAAAAHy1byU=")</f>
        <v>#REF!</v>
      </c>
      <c r="AM183" t="e">
        <f>AND(Demos!#REF!,"AAAAAHy1byY=")</f>
        <v>#REF!</v>
      </c>
      <c r="AN183" t="e">
        <f>AND(Demos!#REF!,"AAAAAHy1byc=")</f>
        <v>#REF!</v>
      </c>
      <c r="AO183" t="e">
        <f>IF(Demos!#REF!,"AAAAAHy1byg=",0)</f>
        <v>#REF!</v>
      </c>
      <c r="AP183" t="e">
        <f>AND(Demos!A147,"AAAAAHy1byk=")</f>
        <v>#VALUE!</v>
      </c>
      <c r="AQ183" t="e">
        <f>AND(Demos!B147,"AAAAAHy1byo=")</f>
        <v>#VALUE!</v>
      </c>
      <c r="AR183" t="e">
        <f>AND(Demos!#REF!,"AAAAAHy1bys=")</f>
        <v>#REF!</v>
      </c>
      <c r="AS183" t="e">
        <f>AND(Demos!C147,"AAAAAHy1byw=")</f>
        <v>#VALUE!</v>
      </c>
      <c r="AT183" t="e">
        <f>AND(Demos!#REF!,"AAAAAHy1by0=")</f>
        <v>#REF!</v>
      </c>
      <c r="AU183" t="e">
        <f>AND(Demos!#REF!,"AAAAAHy1by4=")</f>
        <v>#REF!</v>
      </c>
      <c r="AV183" t="e">
        <f>AND(Demos!#REF!,"AAAAAHy1by8=")</f>
        <v>#REF!</v>
      </c>
      <c r="AW183" t="e">
        <f>AND(Demos!#REF!,"AAAAAHy1bzA=")</f>
        <v>#REF!</v>
      </c>
      <c r="AX183" t="e">
        <f>AND(Demos!D147,"AAAAAHy1bzE=")</f>
        <v>#VALUE!</v>
      </c>
      <c r="AY183" t="e">
        <f>AND(Demos!#REF!,"AAAAAHy1bzI=")</f>
        <v>#REF!</v>
      </c>
      <c r="AZ183" t="e">
        <f>AND(Demos!E147,"AAAAAHy1bzM=")</f>
        <v>#VALUE!</v>
      </c>
      <c r="BA183" t="e">
        <f>AND(Demos!F147,"AAAAAHy1bzQ=")</f>
        <v>#VALUE!</v>
      </c>
      <c r="BB183" t="e">
        <f>AND(Demos!G147,"AAAAAHy1bzU=")</f>
        <v>#VALUE!</v>
      </c>
      <c r="BC183" t="e">
        <f>IF(Demos!#REF!,"AAAAAHy1bzY=",0)</f>
        <v>#REF!</v>
      </c>
      <c r="BD183" t="e">
        <f>AND(Demos!A148,"AAAAAHy1bzc=")</f>
        <v>#VALUE!</v>
      </c>
      <c r="BE183" t="e">
        <f>AND(Demos!B148,"AAAAAHy1bzg=")</f>
        <v>#VALUE!</v>
      </c>
      <c r="BF183" t="e">
        <f>AND(Demos!#REF!,"AAAAAHy1bzk=")</f>
        <v>#REF!</v>
      </c>
      <c r="BG183" t="e">
        <f>AND(Demos!C148,"AAAAAHy1bzo=")</f>
        <v>#VALUE!</v>
      </c>
      <c r="BH183" t="e">
        <f>AND(Demos!#REF!,"AAAAAHy1bzs=")</f>
        <v>#REF!</v>
      </c>
      <c r="BI183" t="e">
        <f>AND(Demos!#REF!,"AAAAAHy1bzw=")</f>
        <v>#REF!</v>
      </c>
      <c r="BJ183" t="e">
        <f>AND(Demos!#REF!,"AAAAAHy1bz0=")</f>
        <v>#REF!</v>
      </c>
      <c r="BK183" t="e">
        <f>AND(Demos!D148,"AAAAAHy1bz4=")</f>
        <v>#VALUE!</v>
      </c>
      <c r="BL183" t="e">
        <f>AND(Demos!#REF!,"AAAAAHy1bz8=")</f>
        <v>#REF!</v>
      </c>
      <c r="BM183" t="e">
        <f>AND(Demos!#REF!,"AAAAAHy1b0A=")</f>
        <v>#REF!</v>
      </c>
      <c r="BN183" t="e">
        <f>AND(Demos!F148,"AAAAAHy1b0E=")</f>
        <v>#VALUE!</v>
      </c>
      <c r="BO183" t="e">
        <f>AND(Demos!#REF!,"AAAAAHy1b0I=")</f>
        <v>#REF!</v>
      </c>
      <c r="BP183" t="e">
        <f>AND(Demos!G148,"AAAAAHy1b0M=")</f>
        <v>#VALUE!</v>
      </c>
      <c r="BQ183">
        <f>IF(Demos!147:147,"AAAAAHy1b0Q=",0)</f>
        <v>0</v>
      </c>
      <c r="BR183" t="e">
        <f>AND(Demos!#REF!,"AAAAAHy1b0U=")</f>
        <v>#REF!</v>
      </c>
      <c r="BS183" t="e">
        <f>AND(Demos!#REF!,"AAAAAHy1b0Y=")</f>
        <v>#REF!</v>
      </c>
      <c r="BT183" t="e">
        <f>AND(Demos!#REF!,"AAAAAHy1b0c=")</f>
        <v>#REF!</v>
      </c>
      <c r="BU183" t="e">
        <f>AND(Demos!#REF!,"AAAAAHy1b0g=")</f>
        <v>#REF!</v>
      </c>
      <c r="BV183" t="e">
        <f>AND(Demos!#REF!,"AAAAAHy1b0k=")</f>
        <v>#REF!</v>
      </c>
      <c r="BW183" t="e">
        <f>AND(Demos!#REF!,"AAAAAHy1b0o=")</f>
        <v>#REF!</v>
      </c>
      <c r="BX183" t="e">
        <f>AND(Demos!#REF!,"AAAAAHy1b0s=")</f>
        <v>#REF!</v>
      </c>
      <c r="BY183" t="e">
        <f>AND(Demos!#REF!,"AAAAAHy1b0w=")</f>
        <v>#REF!</v>
      </c>
      <c r="BZ183" t="e">
        <f>AND(Demos!#REF!,"AAAAAHy1b00=")</f>
        <v>#REF!</v>
      </c>
      <c r="CA183" t="e">
        <f>AND(Demos!#REF!,"AAAAAHy1b04=")</f>
        <v>#REF!</v>
      </c>
      <c r="CB183" t="e">
        <f>AND(Demos!#REF!,"AAAAAHy1b08=")</f>
        <v>#REF!</v>
      </c>
      <c r="CC183" t="e">
        <f>AND(Demos!#REF!,"AAAAAHy1b1A=")</f>
        <v>#REF!</v>
      </c>
      <c r="CD183" t="e">
        <f>AND(Demos!#REF!,"AAAAAHy1b1E=")</f>
        <v>#REF!</v>
      </c>
      <c r="CE183">
        <f>IF(Demos!148:148,"AAAAAHy1b1I=",0)</f>
        <v>0</v>
      </c>
      <c r="CF183" t="e">
        <f>AND(Demos!#REF!,"AAAAAHy1b1M=")</f>
        <v>#REF!</v>
      </c>
      <c r="CG183" t="e">
        <f>AND(Demos!#REF!,"AAAAAHy1b1Q=")</f>
        <v>#REF!</v>
      </c>
      <c r="CH183" t="e">
        <f>AND(Demos!#REF!,"AAAAAHy1b1U=")</f>
        <v>#REF!</v>
      </c>
      <c r="CI183" t="e">
        <f>AND(Demos!#REF!,"AAAAAHy1b1Y=")</f>
        <v>#REF!</v>
      </c>
      <c r="CJ183" t="e">
        <f>AND(Demos!#REF!,"AAAAAHy1b1c=")</f>
        <v>#REF!</v>
      </c>
      <c r="CK183" t="e">
        <f>AND(Demos!#REF!,"AAAAAHy1b1g=")</f>
        <v>#REF!</v>
      </c>
      <c r="CL183" t="e">
        <f>AND(Demos!#REF!,"AAAAAHy1b1k=")</f>
        <v>#REF!</v>
      </c>
      <c r="CM183" t="e">
        <f>AND(Demos!#REF!,"AAAAAHy1b1o=")</f>
        <v>#REF!</v>
      </c>
      <c r="CN183" t="e">
        <f>AND(Demos!#REF!,"AAAAAHy1b1s=")</f>
        <v>#REF!</v>
      </c>
      <c r="CO183" t="e">
        <f>AND(Demos!#REF!,"AAAAAHy1b1w=")</f>
        <v>#REF!</v>
      </c>
      <c r="CP183" t="e">
        <f>AND(Demos!#REF!,"AAAAAHy1b10=")</f>
        <v>#REF!</v>
      </c>
      <c r="CQ183" t="e">
        <f>AND(Demos!#REF!,"AAAAAHy1b14=")</f>
        <v>#REF!</v>
      </c>
      <c r="CR183" t="e">
        <f>AND(Demos!#REF!,"AAAAAHy1b18=")</f>
        <v>#REF!</v>
      </c>
      <c r="CS183" t="e">
        <f>IF(Demos!#REF!,"AAAAAHy1b2A=",0)</f>
        <v>#REF!</v>
      </c>
      <c r="CT183" t="e">
        <f>AND(Demos!A149,"AAAAAHy1b2E=")</f>
        <v>#VALUE!</v>
      </c>
      <c r="CU183" t="e">
        <f>AND(Demos!B149,"AAAAAHy1b2I=")</f>
        <v>#VALUE!</v>
      </c>
      <c r="CV183" t="e">
        <f>AND(Demos!#REF!,"AAAAAHy1b2M=")</f>
        <v>#REF!</v>
      </c>
      <c r="CW183" t="e">
        <f>AND(Demos!C149,"AAAAAHy1b2Q=")</f>
        <v>#VALUE!</v>
      </c>
      <c r="CX183" t="e">
        <f>AND(Demos!#REF!,"AAAAAHy1b2U=")</f>
        <v>#REF!</v>
      </c>
      <c r="CY183" t="e">
        <f>AND(Demos!#REF!,"AAAAAHy1b2Y=")</f>
        <v>#REF!</v>
      </c>
      <c r="CZ183" t="e">
        <f>AND(Demos!#REF!,"AAAAAHy1b2c=")</f>
        <v>#REF!</v>
      </c>
      <c r="DA183" t="e">
        <f>AND(Demos!#REF!,"AAAAAHy1b2g=")</f>
        <v>#REF!</v>
      </c>
      <c r="DB183" t="e">
        <f>AND(Demos!D149,"AAAAAHy1b2k=")</f>
        <v>#VALUE!</v>
      </c>
      <c r="DC183" t="e">
        <f>AND(Demos!#REF!,"AAAAAHy1b2o=")</f>
        <v>#REF!</v>
      </c>
      <c r="DD183" t="e">
        <f>AND(Demos!E149,"AAAAAHy1b2s=")</f>
        <v>#VALUE!</v>
      </c>
      <c r="DE183" t="e">
        <f>AND(Demos!F149,"AAAAAHy1b2w=")</f>
        <v>#VALUE!</v>
      </c>
      <c r="DF183" t="e">
        <f>AND(Demos!G149,"AAAAAHy1b20=")</f>
        <v>#VALUE!</v>
      </c>
      <c r="DG183" t="e">
        <f>IF(Demos!#REF!,"AAAAAHy1b24=",0)</f>
        <v>#REF!</v>
      </c>
      <c r="DH183" t="e">
        <f>AND(Demos!A150,"AAAAAHy1b28=")</f>
        <v>#VALUE!</v>
      </c>
      <c r="DI183" t="e">
        <f>AND(Demos!B150,"AAAAAHy1b3A=")</f>
        <v>#VALUE!</v>
      </c>
      <c r="DJ183" t="e">
        <f>AND(Demos!#REF!,"AAAAAHy1b3E=")</f>
        <v>#REF!</v>
      </c>
      <c r="DK183" t="e">
        <f>AND(Demos!C150,"AAAAAHy1b3I=")</f>
        <v>#VALUE!</v>
      </c>
      <c r="DL183" t="e">
        <f>AND(Demos!#REF!,"AAAAAHy1b3M=")</f>
        <v>#REF!</v>
      </c>
      <c r="DM183" t="e">
        <f>AND(Demos!#REF!,"AAAAAHy1b3Q=")</f>
        <v>#REF!</v>
      </c>
      <c r="DN183" t="e">
        <f>AND(Demos!#REF!,"AAAAAHy1b3U=")</f>
        <v>#REF!</v>
      </c>
      <c r="DO183" t="e">
        <f>AND(Demos!#REF!,"AAAAAHy1b3Y=")</f>
        <v>#REF!</v>
      </c>
      <c r="DP183" t="e">
        <f>AND(Demos!D150,"AAAAAHy1b3c=")</f>
        <v>#VALUE!</v>
      </c>
      <c r="DQ183" t="e">
        <f>AND(Demos!#REF!,"AAAAAHy1b3g=")</f>
        <v>#REF!</v>
      </c>
      <c r="DR183" t="e">
        <f>AND(Demos!E150,"AAAAAHy1b3k=")</f>
        <v>#VALUE!</v>
      </c>
      <c r="DS183" t="e">
        <f>AND(Demos!F150,"AAAAAHy1b3o=")</f>
        <v>#VALUE!</v>
      </c>
      <c r="DT183" t="e">
        <f>AND(Demos!G150,"AAAAAHy1b3s=")</f>
        <v>#VALUE!</v>
      </c>
      <c r="DU183">
        <f>IF(Demos!149:149,"AAAAAHy1b3w=",0)</f>
        <v>0</v>
      </c>
      <c r="DV183" t="e">
        <f>AND(Demos!A151,"AAAAAHy1b30=")</f>
        <v>#VALUE!</v>
      </c>
      <c r="DW183" t="e">
        <f>AND(Demos!#REF!,"AAAAAHy1b34=")</f>
        <v>#REF!</v>
      </c>
      <c r="DX183" t="e">
        <f>AND(Demos!B151,"AAAAAHy1b38=")</f>
        <v>#VALUE!</v>
      </c>
      <c r="DY183" t="e">
        <f>AND(Demos!#REF!,"AAAAAHy1b4A=")</f>
        <v>#REF!</v>
      </c>
      <c r="DZ183" t="e">
        <f>AND(Demos!C151,"AAAAAHy1b4E=")</f>
        <v>#VALUE!</v>
      </c>
      <c r="EA183" t="e">
        <f>AND(Demos!#REF!,"AAAAAHy1b4I=")</f>
        <v>#REF!</v>
      </c>
      <c r="EB183" t="e">
        <f>AND(Demos!#REF!,"AAAAAHy1b4M=")</f>
        <v>#REF!</v>
      </c>
      <c r="EC183" t="e">
        <f>AND(Demos!#REF!,"AAAAAHy1b4Q=")</f>
        <v>#REF!</v>
      </c>
      <c r="ED183" t="e">
        <f>AND(Demos!D151,"AAAAAHy1b4U=")</f>
        <v>#VALUE!</v>
      </c>
      <c r="EE183" t="e">
        <f>AND(Demos!#REF!,"AAAAAHy1b4Y=")</f>
        <v>#REF!</v>
      </c>
      <c r="EF183" t="e">
        <f>AND(Demos!E151,"AAAAAHy1b4c=")</f>
        <v>#VALUE!</v>
      </c>
      <c r="EG183" t="e">
        <f>AND(Demos!F151,"AAAAAHy1b4g=")</f>
        <v>#VALUE!</v>
      </c>
      <c r="EH183" t="e">
        <f>AND(Demos!G151,"AAAAAHy1b4k=")</f>
        <v>#VALUE!</v>
      </c>
      <c r="EI183">
        <f>IF(Demos!150:150,"AAAAAHy1b4o=",0)</f>
        <v>0</v>
      </c>
      <c r="EJ183" t="e">
        <f>AND(Demos!#REF!,"AAAAAHy1b4s=")</f>
        <v>#REF!</v>
      </c>
      <c r="EK183" t="e">
        <f>AND(Demos!#REF!,"AAAAAHy1b4w=")</f>
        <v>#REF!</v>
      </c>
      <c r="EL183" t="e">
        <f>AND(Demos!#REF!,"AAAAAHy1b40=")</f>
        <v>#REF!</v>
      </c>
      <c r="EM183" t="e">
        <f>AND(Demos!#REF!,"AAAAAHy1b44=")</f>
        <v>#REF!</v>
      </c>
      <c r="EN183" t="e">
        <f>AND(Demos!#REF!,"AAAAAHy1b48=")</f>
        <v>#REF!</v>
      </c>
      <c r="EO183" t="e">
        <f>AND(Demos!#REF!,"AAAAAHy1b5A=")</f>
        <v>#REF!</v>
      </c>
      <c r="EP183" t="e">
        <f>AND(Demos!#REF!,"AAAAAHy1b5E=")</f>
        <v>#REF!</v>
      </c>
      <c r="EQ183" t="e">
        <f>AND(Demos!#REF!,"AAAAAHy1b5I=")</f>
        <v>#REF!</v>
      </c>
      <c r="ER183" t="e">
        <f>AND(Demos!#REF!,"AAAAAHy1b5M=")</f>
        <v>#REF!</v>
      </c>
      <c r="ES183" t="e">
        <f>AND(Demos!#REF!,"AAAAAHy1b5Q=")</f>
        <v>#REF!</v>
      </c>
      <c r="ET183" t="e">
        <f>AND(Demos!#REF!,"AAAAAHy1b5U=")</f>
        <v>#REF!</v>
      </c>
      <c r="EU183" t="e">
        <f>AND(Demos!#REF!,"AAAAAHy1b5Y=")</f>
        <v>#REF!</v>
      </c>
      <c r="EV183" t="e">
        <f>AND(Demos!#REF!,"AAAAAHy1b5c=")</f>
        <v>#REF!</v>
      </c>
      <c r="EW183">
        <f>IF(Demos!151:151,"AAAAAHy1b5g=",0)</f>
        <v>0</v>
      </c>
      <c r="EX183" t="e">
        <f>AND(Demos!#REF!,"AAAAAHy1b5k=")</f>
        <v>#REF!</v>
      </c>
      <c r="EY183" t="e">
        <f>AND(Demos!#REF!,"AAAAAHy1b5o=")</f>
        <v>#REF!</v>
      </c>
      <c r="EZ183" t="e">
        <f>AND(Demos!#REF!,"AAAAAHy1b5s=")</f>
        <v>#REF!</v>
      </c>
      <c r="FA183" t="e">
        <f>AND(Demos!#REF!,"AAAAAHy1b5w=")</f>
        <v>#REF!</v>
      </c>
      <c r="FB183" t="e">
        <f>AND(Demos!#REF!,"AAAAAHy1b50=")</f>
        <v>#REF!</v>
      </c>
      <c r="FC183" t="e">
        <f>AND(Demos!#REF!,"AAAAAHy1b54=")</f>
        <v>#REF!</v>
      </c>
      <c r="FD183" t="e">
        <f>AND(Demos!#REF!,"AAAAAHy1b58=")</f>
        <v>#REF!</v>
      </c>
      <c r="FE183" t="e">
        <f>AND(Demos!#REF!,"AAAAAHy1b6A=")</f>
        <v>#REF!</v>
      </c>
      <c r="FF183" t="e">
        <f>AND(Demos!#REF!,"AAAAAHy1b6E=")</f>
        <v>#REF!</v>
      </c>
      <c r="FG183" t="e">
        <f>AND(Demos!#REF!,"AAAAAHy1b6I=")</f>
        <v>#REF!</v>
      </c>
      <c r="FH183" t="e">
        <f>AND(Demos!#REF!,"AAAAAHy1b6M=")</f>
        <v>#REF!</v>
      </c>
      <c r="FI183" t="e">
        <f>AND(Demos!#REF!,"AAAAAHy1b6Q=")</f>
        <v>#REF!</v>
      </c>
      <c r="FJ183" t="e">
        <f>AND(Demos!#REF!,"AAAAAHy1b6U=")</f>
        <v>#REF!</v>
      </c>
      <c r="FK183" t="e">
        <f>IF(Demos!#REF!,"AAAAAHy1b6Y=",0)</f>
        <v>#REF!</v>
      </c>
      <c r="FL183" t="e">
        <f>AND(Demos!#REF!,"AAAAAHy1b6c=")</f>
        <v>#REF!</v>
      </c>
      <c r="FM183" t="e">
        <f>AND(Demos!#REF!,"AAAAAHy1b6g=")</f>
        <v>#REF!</v>
      </c>
      <c r="FN183" t="e">
        <f>AND(Demos!#REF!,"AAAAAHy1b6k=")</f>
        <v>#REF!</v>
      </c>
      <c r="FO183" t="e">
        <f>AND(Demos!#REF!,"AAAAAHy1b6o=")</f>
        <v>#REF!</v>
      </c>
      <c r="FP183" t="e">
        <f>AND(Demos!#REF!,"AAAAAHy1b6s=")</f>
        <v>#REF!</v>
      </c>
      <c r="FQ183" t="e">
        <f>AND(Demos!#REF!,"AAAAAHy1b6w=")</f>
        <v>#REF!</v>
      </c>
      <c r="FR183" t="e">
        <f>AND(Demos!#REF!,"AAAAAHy1b60=")</f>
        <v>#REF!</v>
      </c>
      <c r="FS183" t="e">
        <f>AND(Demos!#REF!,"AAAAAHy1b64=")</f>
        <v>#REF!</v>
      </c>
      <c r="FT183" t="e">
        <f>AND(Demos!#REF!,"AAAAAHy1b68=")</f>
        <v>#REF!</v>
      </c>
      <c r="FU183" t="e">
        <f>AND(Demos!#REF!,"AAAAAHy1b7A=")</f>
        <v>#REF!</v>
      </c>
      <c r="FV183" t="e">
        <f>AND(Demos!#REF!,"AAAAAHy1b7E=")</f>
        <v>#REF!</v>
      </c>
      <c r="FW183" t="e">
        <f>AND(Demos!#REF!,"AAAAAHy1b7I=")</f>
        <v>#REF!</v>
      </c>
      <c r="FX183" t="e">
        <f>AND(Demos!#REF!,"AAAAAHy1b7M=")</f>
        <v>#REF!</v>
      </c>
      <c r="FY183" t="e">
        <f>IF(Demos!#REF!,"AAAAAHy1b7Q=",0)</f>
        <v>#REF!</v>
      </c>
      <c r="FZ183" t="e">
        <f>AND(Demos!#REF!,"AAAAAHy1b7U=")</f>
        <v>#REF!</v>
      </c>
      <c r="GA183" t="e">
        <f>AND(Demos!#REF!,"AAAAAHy1b7Y=")</f>
        <v>#REF!</v>
      </c>
      <c r="GB183" t="e">
        <f>AND(Demos!#REF!,"AAAAAHy1b7c=")</f>
        <v>#REF!</v>
      </c>
      <c r="GC183" t="e">
        <f>AND(Demos!#REF!,"AAAAAHy1b7g=")</f>
        <v>#REF!</v>
      </c>
      <c r="GD183" t="e">
        <f>AND(Demos!#REF!,"AAAAAHy1b7k=")</f>
        <v>#REF!</v>
      </c>
      <c r="GE183" t="e">
        <f>AND(Demos!#REF!,"AAAAAHy1b7o=")</f>
        <v>#REF!</v>
      </c>
      <c r="GF183" t="e">
        <f>AND(Demos!#REF!,"AAAAAHy1b7s=")</f>
        <v>#REF!</v>
      </c>
      <c r="GG183" t="e">
        <f>AND(Demos!#REF!,"AAAAAHy1b7w=")</f>
        <v>#REF!</v>
      </c>
      <c r="GH183" t="e">
        <f>AND(Demos!#REF!,"AAAAAHy1b70=")</f>
        <v>#REF!</v>
      </c>
      <c r="GI183" t="e">
        <f>AND(Demos!#REF!,"AAAAAHy1b74=")</f>
        <v>#REF!</v>
      </c>
      <c r="GJ183" t="e">
        <f>AND(Demos!#REF!,"AAAAAHy1b78=")</f>
        <v>#REF!</v>
      </c>
      <c r="GK183" t="e">
        <f>AND(Demos!#REF!,"AAAAAHy1b8A=")</f>
        <v>#REF!</v>
      </c>
      <c r="GL183" t="e">
        <f>AND(Demos!#REF!,"AAAAAHy1b8E=")</f>
        <v>#REF!</v>
      </c>
      <c r="GM183" t="e">
        <f>IF(Demos!#REF!,"AAAAAHy1b8I=",0)</f>
        <v>#REF!</v>
      </c>
      <c r="GN183" t="e">
        <f>AND(Demos!#REF!,"AAAAAHy1b8M=")</f>
        <v>#REF!</v>
      </c>
      <c r="GO183" t="e">
        <f>AND(Demos!#REF!,"AAAAAHy1b8Q=")</f>
        <v>#REF!</v>
      </c>
      <c r="GP183" t="e">
        <f>AND(Demos!#REF!,"AAAAAHy1b8U=")</f>
        <v>#REF!</v>
      </c>
      <c r="GQ183" t="e">
        <f>AND(Demos!#REF!,"AAAAAHy1b8Y=")</f>
        <v>#REF!</v>
      </c>
      <c r="GR183" t="e">
        <f>AND(Demos!#REF!,"AAAAAHy1b8c=")</f>
        <v>#REF!</v>
      </c>
      <c r="GS183" t="e">
        <f>AND(Demos!#REF!,"AAAAAHy1b8g=")</f>
        <v>#REF!</v>
      </c>
      <c r="GT183" t="e">
        <f>AND(Demos!#REF!,"AAAAAHy1b8k=")</f>
        <v>#REF!</v>
      </c>
      <c r="GU183" t="e">
        <f>AND(Demos!#REF!,"AAAAAHy1b8o=")</f>
        <v>#REF!</v>
      </c>
      <c r="GV183" t="e">
        <f>AND(Demos!#REF!,"AAAAAHy1b8s=")</f>
        <v>#REF!</v>
      </c>
      <c r="GW183" t="e">
        <f>AND(Demos!#REF!,"AAAAAHy1b8w=")</f>
        <v>#REF!</v>
      </c>
      <c r="GX183" t="e">
        <f>AND(Demos!#REF!,"AAAAAHy1b80=")</f>
        <v>#REF!</v>
      </c>
      <c r="GY183" t="e">
        <f>AND(Demos!#REF!,"AAAAAHy1b84=")</f>
        <v>#REF!</v>
      </c>
      <c r="GZ183" t="e">
        <f>AND(Demos!#REF!,"AAAAAHy1b88=")</f>
        <v>#REF!</v>
      </c>
      <c r="HA183" t="e">
        <f>IF(Demos!#REF!,"AAAAAHy1b9A=",0)</f>
        <v>#REF!</v>
      </c>
      <c r="HB183" t="e">
        <f>AND(Demos!#REF!,"AAAAAHy1b9E=")</f>
        <v>#REF!</v>
      </c>
      <c r="HC183" t="e">
        <f>AND(Demos!#REF!,"AAAAAHy1b9I=")</f>
        <v>#REF!</v>
      </c>
      <c r="HD183" t="e">
        <f>AND(Demos!#REF!,"AAAAAHy1b9M=")</f>
        <v>#REF!</v>
      </c>
      <c r="HE183" t="e">
        <f>AND(Demos!#REF!,"AAAAAHy1b9Q=")</f>
        <v>#REF!</v>
      </c>
      <c r="HF183" t="e">
        <f>AND(Demos!#REF!,"AAAAAHy1b9U=")</f>
        <v>#REF!</v>
      </c>
      <c r="HG183" t="e">
        <f>AND(Demos!#REF!,"AAAAAHy1b9Y=")</f>
        <v>#REF!</v>
      </c>
      <c r="HH183" t="e">
        <f>AND(Demos!#REF!,"AAAAAHy1b9c=")</f>
        <v>#REF!</v>
      </c>
      <c r="HI183" t="e">
        <f>AND(Demos!#REF!,"AAAAAHy1b9g=")</f>
        <v>#REF!</v>
      </c>
      <c r="HJ183" t="e">
        <f>AND(Demos!#REF!,"AAAAAHy1b9k=")</f>
        <v>#REF!</v>
      </c>
      <c r="HK183" t="e">
        <f>AND(Demos!#REF!,"AAAAAHy1b9o=")</f>
        <v>#REF!</v>
      </c>
      <c r="HL183" t="e">
        <f>AND(Demos!#REF!,"AAAAAHy1b9s=")</f>
        <v>#REF!</v>
      </c>
      <c r="HM183" t="e">
        <f>AND(Demos!#REF!,"AAAAAHy1b9w=")</f>
        <v>#REF!</v>
      </c>
      <c r="HN183" t="e">
        <f>AND(Demos!#REF!,"AAAAAHy1b90=")</f>
        <v>#REF!</v>
      </c>
      <c r="HO183" t="e">
        <f>IF(Demos!#REF!,"AAAAAHy1b94=",0)</f>
        <v>#REF!</v>
      </c>
      <c r="HP183" t="e">
        <f>AND(Demos!A156,"AAAAAHy1b98=")</f>
        <v>#VALUE!</v>
      </c>
      <c r="HQ183" t="e">
        <f>AND(Demos!B156,"AAAAAHy1b+A=")</f>
        <v>#VALUE!</v>
      </c>
      <c r="HR183" t="e">
        <f>AND(Demos!#REF!,"AAAAAHy1b+E=")</f>
        <v>#REF!</v>
      </c>
      <c r="HS183" t="e">
        <f>AND(Demos!C156,"AAAAAHy1b+I=")</f>
        <v>#VALUE!</v>
      </c>
      <c r="HT183" t="e">
        <f>AND(Demos!#REF!,"AAAAAHy1b+M=")</f>
        <v>#REF!</v>
      </c>
      <c r="HU183" t="e">
        <f>AND(Demos!#REF!,"AAAAAHy1b+Q=")</f>
        <v>#REF!</v>
      </c>
      <c r="HV183" t="e">
        <f>AND(Demos!#REF!,"AAAAAHy1b+U=")</f>
        <v>#REF!</v>
      </c>
      <c r="HW183" t="e">
        <f>AND(Demos!#REF!,"AAAAAHy1b+Y=")</f>
        <v>#REF!</v>
      </c>
      <c r="HX183" t="e">
        <f>AND(Demos!D156,"AAAAAHy1b+c=")</f>
        <v>#VALUE!</v>
      </c>
      <c r="HY183" t="e">
        <f>AND(Demos!#REF!,"AAAAAHy1b+g=")</f>
        <v>#REF!</v>
      </c>
      <c r="HZ183" t="e">
        <f>AND(Demos!E156,"AAAAAHy1b+k=")</f>
        <v>#VALUE!</v>
      </c>
      <c r="IA183" t="e">
        <f>AND(Demos!F156,"AAAAAHy1b+o=")</f>
        <v>#VALUE!</v>
      </c>
      <c r="IB183" t="e">
        <f>AND(Demos!G156,"AAAAAHy1b+s=")</f>
        <v>#VALUE!</v>
      </c>
      <c r="IC183" t="e">
        <f>IF(Demos!#REF!,"AAAAAHy1b+w=",0)</f>
        <v>#REF!</v>
      </c>
      <c r="ID183" t="e">
        <f>AND(Demos!A157,"AAAAAHy1b+0=")</f>
        <v>#VALUE!</v>
      </c>
      <c r="IE183" t="e">
        <f>AND(Demos!B157,"AAAAAHy1b+4=")</f>
        <v>#VALUE!</v>
      </c>
      <c r="IF183" t="e">
        <f>AND(Demos!#REF!,"AAAAAHy1b+8=")</f>
        <v>#REF!</v>
      </c>
      <c r="IG183" t="e">
        <f>AND(Demos!C157,"AAAAAHy1b/A=")</f>
        <v>#VALUE!</v>
      </c>
      <c r="IH183" t="e">
        <f>AND(Demos!#REF!,"AAAAAHy1b/E=")</f>
        <v>#REF!</v>
      </c>
      <c r="II183" t="e">
        <f>AND(Demos!#REF!,"AAAAAHy1b/I=")</f>
        <v>#REF!</v>
      </c>
      <c r="IJ183" t="e">
        <f>AND(Demos!#REF!,"AAAAAHy1b/M=")</f>
        <v>#REF!</v>
      </c>
      <c r="IK183" t="e">
        <f>AND(Demos!D157,"AAAAAHy1b/Q=")</f>
        <v>#VALUE!</v>
      </c>
      <c r="IL183" t="e">
        <f>AND(Demos!#REF!,"AAAAAHy1b/U=")</f>
        <v>#REF!</v>
      </c>
      <c r="IM183" t="e">
        <f>AND(Demos!#REF!,"AAAAAHy1b/Y=")</f>
        <v>#REF!</v>
      </c>
      <c r="IN183" t="e">
        <f>AND(Demos!F157,"AAAAAHy1b/c=")</f>
        <v>#VALUE!</v>
      </c>
      <c r="IO183" t="e">
        <f>AND(Demos!#REF!,"AAAAAHy1b/g=")</f>
        <v>#REF!</v>
      </c>
      <c r="IP183" t="e">
        <f>AND(Demos!G157,"AAAAAHy1b/k=")</f>
        <v>#VALUE!</v>
      </c>
      <c r="IQ183">
        <f>IF(Demos!156:156,"AAAAAHy1b/o=",0)</f>
        <v>0</v>
      </c>
      <c r="IR183" t="e">
        <f>AND(Demos!#REF!,"AAAAAHy1b/s=")</f>
        <v>#REF!</v>
      </c>
      <c r="IS183" t="e">
        <f>AND(Demos!#REF!,"AAAAAHy1b/w=")</f>
        <v>#REF!</v>
      </c>
      <c r="IT183" t="e">
        <f>AND(Demos!#REF!,"AAAAAHy1b/0=")</f>
        <v>#REF!</v>
      </c>
      <c r="IU183" t="e">
        <f>AND(Demos!#REF!,"AAAAAHy1b/4=")</f>
        <v>#REF!</v>
      </c>
      <c r="IV183" t="e">
        <f>AND(Demos!#REF!,"AAAAAHy1b/8=")</f>
        <v>#REF!</v>
      </c>
    </row>
    <row r="184" spans="1:256" x14ac:dyDescent="0.2">
      <c r="A184" t="e">
        <f>AND(Demos!#REF!,"AAAAAH/+uwA=")</f>
        <v>#REF!</v>
      </c>
      <c r="B184" t="e">
        <f>AND(Demos!#REF!,"AAAAAH/+uwE=")</f>
        <v>#REF!</v>
      </c>
      <c r="C184" t="e">
        <f>AND(Demos!#REF!,"AAAAAH/+uwI=")</f>
        <v>#REF!</v>
      </c>
      <c r="D184" t="e">
        <f>AND(Demos!#REF!,"AAAAAH/+uwM=")</f>
        <v>#REF!</v>
      </c>
      <c r="E184" t="e">
        <f>AND(Demos!#REF!,"AAAAAH/+uwQ=")</f>
        <v>#REF!</v>
      </c>
      <c r="F184" t="e">
        <f>AND(Demos!#REF!,"AAAAAH/+uwU=")</f>
        <v>#REF!</v>
      </c>
      <c r="G184" t="e">
        <f>AND(Demos!#REF!,"AAAAAH/+uwY=")</f>
        <v>#REF!</v>
      </c>
      <c r="H184" t="e">
        <f>AND(Demos!#REF!,"AAAAAH/+uwc=")</f>
        <v>#REF!</v>
      </c>
      <c r="I184">
        <f>IF(Demos!157:157,"AAAAAH/+uwg=",0)</f>
        <v>0</v>
      </c>
      <c r="J184" t="e">
        <f>AND(Demos!#REF!,"AAAAAH/+uwk=")</f>
        <v>#REF!</v>
      </c>
      <c r="K184" t="e">
        <f>AND(Demos!#REF!,"AAAAAH/+uwo=")</f>
        <v>#REF!</v>
      </c>
      <c r="L184" t="e">
        <f>AND(Demos!#REF!,"AAAAAH/+uws=")</f>
        <v>#REF!</v>
      </c>
      <c r="M184" t="e">
        <f>AND(Demos!#REF!,"AAAAAH/+uww=")</f>
        <v>#REF!</v>
      </c>
      <c r="N184" t="e">
        <f>AND(Demos!#REF!,"AAAAAH/+uw0=")</f>
        <v>#REF!</v>
      </c>
      <c r="O184" t="e">
        <f>AND(Demos!#REF!,"AAAAAH/+uw4=")</f>
        <v>#REF!</v>
      </c>
      <c r="P184" t="e">
        <f>AND(Demos!#REF!,"AAAAAH/+uw8=")</f>
        <v>#REF!</v>
      </c>
      <c r="Q184" t="e">
        <f>AND(Demos!#REF!,"AAAAAH/+uxA=")</f>
        <v>#REF!</v>
      </c>
      <c r="R184" t="e">
        <f>AND(Demos!#REF!,"AAAAAH/+uxE=")</f>
        <v>#REF!</v>
      </c>
      <c r="S184" t="e">
        <f>AND(Demos!#REF!,"AAAAAH/+uxI=")</f>
        <v>#REF!</v>
      </c>
      <c r="T184" t="e">
        <f>AND(Demos!#REF!,"AAAAAH/+uxM=")</f>
        <v>#REF!</v>
      </c>
      <c r="U184" t="e">
        <f>AND(Demos!#REF!,"AAAAAH/+uxQ=")</f>
        <v>#REF!</v>
      </c>
      <c r="V184" t="e">
        <f>AND(Demos!#REF!,"AAAAAH/+uxU=")</f>
        <v>#REF!</v>
      </c>
      <c r="W184" t="e">
        <f>IF(Demos!#REF!,"AAAAAH/+uxY=",0)</f>
        <v>#REF!</v>
      </c>
      <c r="X184" t="e">
        <f>AND(Demos!#REF!,"AAAAAH/+uxc=")</f>
        <v>#REF!</v>
      </c>
      <c r="Y184" t="e">
        <f>AND(Demos!#REF!,"AAAAAH/+uxg=")</f>
        <v>#REF!</v>
      </c>
      <c r="Z184" t="e">
        <f>AND(Demos!#REF!,"AAAAAH/+uxk=")</f>
        <v>#REF!</v>
      </c>
      <c r="AA184" t="e">
        <f>AND(Demos!#REF!,"AAAAAH/+uxo=")</f>
        <v>#REF!</v>
      </c>
      <c r="AB184" t="e">
        <f>AND(Demos!#REF!,"AAAAAH/+uxs=")</f>
        <v>#REF!</v>
      </c>
      <c r="AC184" t="e">
        <f>AND(Demos!#REF!,"AAAAAH/+uxw=")</f>
        <v>#REF!</v>
      </c>
      <c r="AD184" t="e">
        <f>AND(Demos!#REF!,"AAAAAH/+ux0=")</f>
        <v>#REF!</v>
      </c>
      <c r="AE184" t="e">
        <f>AND(Demos!#REF!,"AAAAAH/+ux4=")</f>
        <v>#REF!</v>
      </c>
      <c r="AF184" t="e">
        <f>AND(Demos!#REF!,"AAAAAH/+ux8=")</f>
        <v>#REF!</v>
      </c>
      <c r="AG184" t="e">
        <f>AND(Demos!#REF!,"AAAAAH/+uyA=")</f>
        <v>#REF!</v>
      </c>
      <c r="AH184" t="e">
        <f>AND(Demos!#REF!,"AAAAAH/+uyE=")</f>
        <v>#REF!</v>
      </c>
      <c r="AI184" t="e">
        <f>AND(Demos!#REF!,"AAAAAH/+uyI=")</f>
        <v>#REF!</v>
      </c>
      <c r="AJ184" t="e">
        <f>AND(Demos!#REF!,"AAAAAH/+uyM=")</f>
        <v>#REF!</v>
      </c>
      <c r="AK184" t="e">
        <f>IF(Demos!#REF!,"AAAAAH/+uyQ=",0)</f>
        <v>#REF!</v>
      </c>
      <c r="AL184" t="e">
        <f>AND(Demos!#REF!,"AAAAAH/+uyU=")</f>
        <v>#REF!</v>
      </c>
      <c r="AM184" t="e">
        <f>AND(Demos!#REF!,"AAAAAH/+uyY=")</f>
        <v>#REF!</v>
      </c>
      <c r="AN184" t="e">
        <f>AND(Demos!#REF!,"AAAAAH/+uyc=")</f>
        <v>#REF!</v>
      </c>
      <c r="AO184" t="e">
        <f>AND(Demos!#REF!,"AAAAAH/+uyg=")</f>
        <v>#REF!</v>
      </c>
      <c r="AP184" t="e">
        <f>AND(Demos!#REF!,"AAAAAH/+uyk=")</f>
        <v>#REF!</v>
      </c>
      <c r="AQ184" t="e">
        <f>AND(Demos!#REF!,"AAAAAH/+uyo=")</f>
        <v>#REF!</v>
      </c>
      <c r="AR184" t="e">
        <f>AND(Demos!#REF!,"AAAAAH/+uys=")</f>
        <v>#REF!</v>
      </c>
      <c r="AS184" t="e">
        <f>AND(Demos!#REF!,"AAAAAH/+uyw=")</f>
        <v>#REF!</v>
      </c>
      <c r="AT184" t="e">
        <f>AND(Demos!#REF!,"AAAAAH/+uy0=")</f>
        <v>#REF!</v>
      </c>
      <c r="AU184" t="e">
        <f>AND(Demos!#REF!,"AAAAAH/+uy4=")</f>
        <v>#REF!</v>
      </c>
      <c r="AV184" t="e">
        <f>AND(Demos!#REF!,"AAAAAH/+uy8=")</f>
        <v>#REF!</v>
      </c>
      <c r="AW184" t="e">
        <f>AND(Demos!#REF!,"AAAAAH/+uzA=")</f>
        <v>#REF!</v>
      </c>
      <c r="AX184" t="e">
        <f>AND(Demos!#REF!,"AAAAAH/+uzE=")</f>
        <v>#REF!</v>
      </c>
      <c r="AY184" t="e">
        <f>IF(Demos!#REF!,"AAAAAH/+uzI=",0)</f>
        <v>#REF!</v>
      </c>
      <c r="AZ184" t="e">
        <f>AND(Demos!#REF!,"AAAAAH/+uzM=")</f>
        <v>#REF!</v>
      </c>
      <c r="BA184" t="e">
        <f>AND(Demos!#REF!,"AAAAAH/+uzQ=")</f>
        <v>#REF!</v>
      </c>
      <c r="BB184" t="e">
        <f>AND(Demos!#REF!,"AAAAAH/+uzU=")</f>
        <v>#REF!</v>
      </c>
      <c r="BC184" t="e">
        <f>AND(Demos!#REF!,"AAAAAH/+uzY=")</f>
        <v>#REF!</v>
      </c>
      <c r="BD184" t="e">
        <f>AND(Demos!#REF!,"AAAAAH/+uzc=")</f>
        <v>#REF!</v>
      </c>
      <c r="BE184" t="e">
        <f>AND(Demos!#REF!,"AAAAAH/+uzg=")</f>
        <v>#REF!</v>
      </c>
      <c r="BF184" t="e">
        <f>AND(Demos!#REF!,"AAAAAH/+uzk=")</f>
        <v>#REF!</v>
      </c>
      <c r="BG184" t="e">
        <f>AND(Demos!#REF!,"AAAAAH/+uzo=")</f>
        <v>#REF!</v>
      </c>
      <c r="BH184" t="e">
        <f>AND(Demos!#REF!,"AAAAAH/+uzs=")</f>
        <v>#REF!</v>
      </c>
      <c r="BI184" t="e">
        <f>AND(Demos!#REF!,"AAAAAH/+uzw=")</f>
        <v>#REF!</v>
      </c>
      <c r="BJ184" t="e">
        <f>AND(Demos!#REF!,"AAAAAH/+uz0=")</f>
        <v>#REF!</v>
      </c>
      <c r="BK184" t="e">
        <f>AND(Demos!#REF!,"AAAAAH/+uz4=")</f>
        <v>#REF!</v>
      </c>
      <c r="BL184" t="e">
        <f>AND(Demos!#REF!,"AAAAAH/+uz8=")</f>
        <v>#REF!</v>
      </c>
      <c r="BM184" t="e">
        <f>IF(Demos!#REF!,"AAAAAH/+u0A=",0)</f>
        <v>#REF!</v>
      </c>
      <c r="BN184" t="e">
        <f>AND(Demos!#REF!,"AAAAAH/+u0E=")</f>
        <v>#REF!</v>
      </c>
      <c r="BO184" t="e">
        <f>AND(Demos!#REF!,"AAAAAH/+u0I=")</f>
        <v>#REF!</v>
      </c>
      <c r="BP184" t="e">
        <f>AND(Demos!#REF!,"AAAAAH/+u0M=")</f>
        <v>#REF!</v>
      </c>
      <c r="BQ184" t="e">
        <f>AND(Demos!#REF!,"AAAAAH/+u0Q=")</f>
        <v>#REF!</v>
      </c>
      <c r="BR184" t="e">
        <f>AND(Demos!#REF!,"AAAAAH/+u0U=")</f>
        <v>#REF!</v>
      </c>
      <c r="BS184" t="e">
        <f>AND(Demos!#REF!,"AAAAAH/+u0Y=")</f>
        <v>#REF!</v>
      </c>
      <c r="BT184" t="e">
        <f>AND(Demos!#REF!,"AAAAAH/+u0c=")</f>
        <v>#REF!</v>
      </c>
      <c r="BU184" t="e">
        <f>AND(Demos!#REF!,"AAAAAH/+u0g=")</f>
        <v>#REF!</v>
      </c>
      <c r="BV184" t="e">
        <f>AND(Demos!#REF!,"AAAAAH/+u0k=")</f>
        <v>#REF!</v>
      </c>
      <c r="BW184" t="e">
        <f>AND(Demos!#REF!,"AAAAAH/+u0o=")</f>
        <v>#REF!</v>
      </c>
      <c r="BX184" t="e">
        <f>AND(Demos!#REF!,"AAAAAH/+u0s=")</f>
        <v>#REF!</v>
      </c>
      <c r="BY184" t="e">
        <f>AND(Demos!#REF!,"AAAAAH/+u0w=")</f>
        <v>#REF!</v>
      </c>
      <c r="BZ184" t="e">
        <f>AND(Demos!#REF!,"AAAAAH/+u00=")</f>
        <v>#REF!</v>
      </c>
      <c r="CA184" t="e">
        <f>IF(Demos!#REF!,"AAAAAH/+u04=",0)</f>
        <v>#REF!</v>
      </c>
      <c r="CB184" t="e">
        <f>AND(Demos!#REF!,"AAAAAH/+u08=")</f>
        <v>#REF!</v>
      </c>
      <c r="CC184" t="e">
        <f>AND(Demos!#REF!,"AAAAAH/+u1A=")</f>
        <v>#REF!</v>
      </c>
      <c r="CD184" t="e">
        <f>AND(Demos!#REF!,"AAAAAH/+u1E=")</f>
        <v>#REF!</v>
      </c>
      <c r="CE184" t="e">
        <f>AND(Demos!#REF!,"AAAAAH/+u1I=")</f>
        <v>#REF!</v>
      </c>
      <c r="CF184" t="e">
        <f>AND(Demos!#REF!,"AAAAAH/+u1M=")</f>
        <v>#REF!</v>
      </c>
      <c r="CG184" t="e">
        <f>AND(Demos!#REF!,"AAAAAH/+u1Q=")</f>
        <v>#REF!</v>
      </c>
      <c r="CH184" t="e">
        <f>AND(Demos!#REF!,"AAAAAH/+u1U=")</f>
        <v>#REF!</v>
      </c>
      <c r="CI184" t="e">
        <f>AND(Demos!#REF!,"AAAAAH/+u1Y=")</f>
        <v>#REF!</v>
      </c>
      <c r="CJ184" t="e">
        <f>AND(Demos!#REF!,"AAAAAH/+u1c=")</f>
        <v>#REF!</v>
      </c>
      <c r="CK184" t="e">
        <f>AND(Demos!#REF!,"AAAAAH/+u1g=")</f>
        <v>#REF!</v>
      </c>
      <c r="CL184" t="e">
        <f>AND(Demos!#REF!,"AAAAAH/+u1k=")</f>
        <v>#REF!</v>
      </c>
      <c r="CM184" t="e">
        <f>AND(Demos!#REF!,"AAAAAH/+u1o=")</f>
        <v>#REF!</v>
      </c>
      <c r="CN184" t="e">
        <f>AND(Demos!#REF!,"AAAAAH/+u1s=")</f>
        <v>#REF!</v>
      </c>
      <c r="CO184" t="e">
        <f>IF(Demos!#REF!,"AAAAAH/+u1w=",0)</f>
        <v>#REF!</v>
      </c>
      <c r="CP184" t="e">
        <f>AND(Demos!#REF!,"AAAAAH/+u10=")</f>
        <v>#REF!</v>
      </c>
      <c r="CQ184" t="e">
        <f>AND(Demos!#REF!,"AAAAAH/+u14=")</f>
        <v>#REF!</v>
      </c>
      <c r="CR184" t="e">
        <f>AND(Demos!#REF!,"AAAAAH/+u18=")</f>
        <v>#REF!</v>
      </c>
      <c r="CS184" t="e">
        <f>AND(Demos!#REF!,"AAAAAH/+u2A=")</f>
        <v>#REF!</v>
      </c>
      <c r="CT184" t="e">
        <f>AND(Demos!#REF!,"AAAAAH/+u2E=")</f>
        <v>#REF!</v>
      </c>
      <c r="CU184" t="e">
        <f>AND(Demos!#REF!,"AAAAAH/+u2I=")</f>
        <v>#REF!</v>
      </c>
      <c r="CV184" t="e">
        <f>AND(Demos!#REF!,"AAAAAH/+u2M=")</f>
        <v>#REF!</v>
      </c>
      <c r="CW184" t="e">
        <f>AND(Demos!#REF!,"AAAAAH/+u2Q=")</f>
        <v>#REF!</v>
      </c>
      <c r="CX184" t="e">
        <f>AND(Demos!#REF!,"AAAAAH/+u2U=")</f>
        <v>#REF!</v>
      </c>
      <c r="CY184" t="e">
        <f>AND(Demos!#REF!,"AAAAAH/+u2Y=")</f>
        <v>#REF!</v>
      </c>
      <c r="CZ184" t="e">
        <f>AND(Demos!#REF!,"AAAAAH/+u2c=")</f>
        <v>#REF!</v>
      </c>
      <c r="DA184" t="e">
        <f>AND(Demos!#REF!,"AAAAAH/+u2g=")</f>
        <v>#REF!</v>
      </c>
      <c r="DB184" t="e">
        <f>AND(Demos!#REF!,"AAAAAH/+u2k=")</f>
        <v>#REF!</v>
      </c>
      <c r="DC184" t="e">
        <f>IF(Demos!#REF!,"AAAAAH/+u2o=",0)</f>
        <v>#REF!</v>
      </c>
      <c r="DD184" t="e">
        <f>AND(Demos!#REF!,"AAAAAH/+u2s=")</f>
        <v>#REF!</v>
      </c>
      <c r="DE184" t="e">
        <f>AND(Demos!#REF!,"AAAAAH/+u2w=")</f>
        <v>#REF!</v>
      </c>
      <c r="DF184" t="e">
        <f>AND(Demos!#REF!,"AAAAAH/+u20=")</f>
        <v>#REF!</v>
      </c>
      <c r="DG184" t="e">
        <f>AND(Demos!#REF!,"AAAAAH/+u24=")</f>
        <v>#REF!</v>
      </c>
      <c r="DH184" t="e">
        <f>AND(Demos!#REF!,"AAAAAH/+u28=")</f>
        <v>#REF!</v>
      </c>
      <c r="DI184" t="e">
        <f>AND(Demos!#REF!,"AAAAAH/+u3A=")</f>
        <v>#REF!</v>
      </c>
      <c r="DJ184" t="e">
        <f>AND(Demos!#REF!,"AAAAAH/+u3E=")</f>
        <v>#REF!</v>
      </c>
      <c r="DK184" t="e">
        <f>AND(Demos!#REF!,"AAAAAH/+u3I=")</f>
        <v>#REF!</v>
      </c>
      <c r="DL184" t="e">
        <f>AND(Demos!#REF!,"AAAAAH/+u3M=")</f>
        <v>#REF!</v>
      </c>
      <c r="DM184" t="e">
        <f>AND(Demos!#REF!,"AAAAAH/+u3Q=")</f>
        <v>#REF!</v>
      </c>
      <c r="DN184" t="e">
        <f>AND(Demos!#REF!,"AAAAAH/+u3U=")</f>
        <v>#REF!</v>
      </c>
      <c r="DO184" t="e">
        <f>AND(Demos!#REF!,"AAAAAH/+u3Y=")</f>
        <v>#REF!</v>
      </c>
      <c r="DP184" t="e">
        <f>AND(Demos!#REF!,"AAAAAH/+u3c=")</f>
        <v>#REF!</v>
      </c>
      <c r="DQ184" t="e">
        <f>IF(Demos!#REF!,"AAAAAH/+u3g=",0)</f>
        <v>#REF!</v>
      </c>
      <c r="DR184" t="e">
        <f>AND(Demos!#REF!,"AAAAAH/+u3k=")</f>
        <v>#REF!</v>
      </c>
      <c r="DS184" t="e">
        <f>AND(Demos!#REF!,"AAAAAH/+u3o=")</f>
        <v>#REF!</v>
      </c>
      <c r="DT184" t="e">
        <f>AND(Demos!#REF!,"AAAAAH/+u3s=")</f>
        <v>#REF!</v>
      </c>
      <c r="DU184" t="e">
        <f>AND(Demos!#REF!,"AAAAAH/+u3w=")</f>
        <v>#REF!</v>
      </c>
      <c r="DV184" t="e">
        <f>AND(Demos!#REF!,"AAAAAH/+u30=")</f>
        <v>#REF!</v>
      </c>
      <c r="DW184" t="e">
        <f>AND(Demos!#REF!,"AAAAAH/+u34=")</f>
        <v>#REF!</v>
      </c>
      <c r="DX184" t="e">
        <f>AND(Demos!#REF!,"AAAAAH/+u38=")</f>
        <v>#REF!</v>
      </c>
      <c r="DY184" t="e">
        <f>AND(Demos!#REF!,"AAAAAH/+u4A=")</f>
        <v>#REF!</v>
      </c>
      <c r="DZ184" t="e">
        <f>AND(Demos!#REF!,"AAAAAH/+u4E=")</f>
        <v>#REF!</v>
      </c>
      <c r="EA184" t="e">
        <f>AND(Demos!#REF!,"AAAAAH/+u4I=")</f>
        <v>#REF!</v>
      </c>
      <c r="EB184" t="e">
        <f>AND(Demos!#REF!,"AAAAAH/+u4M=")</f>
        <v>#REF!</v>
      </c>
      <c r="EC184" t="e">
        <f>AND(Demos!#REF!,"AAAAAH/+u4Q=")</f>
        <v>#REF!</v>
      </c>
      <c r="ED184" t="e">
        <f>AND(Demos!#REF!,"AAAAAH/+u4U=")</f>
        <v>#REF!</v>
      </c>
      <c r="EE184" t="e">
        <f>IF(Demos!#REF!,"AAAAAH/+u4Y=",0)</f>
        <v>#REF!</v>
      </c>
      <c r="EF184" t="e">
        <f>AND(Demos!#REF!,"AAAAAH/+u4c=")</f>
        <v>#REF!</v>
      </c>
      <c r="EG184" t="e">
        <f>AND(Demos!#REF!,"AAAAAH/+u4g=")</f>
        <v>#REF!</v>
      </c>
      <c r="EH184" t="e">
        <f>AND(Demos!#REF!,"AAAAAH/+u4k=")</f>
        <v>#REF!</v>
      </c>
      <c r="EI184" t="e">
        <f>AND(Demos!#REF!,"AAAAAH/+u4o=")</f>
        <v>#REF!</v>
      </c>
      <c r="EJ184" t="e">
        <f>AND(Demos!#REF!,"AAAAAH/+u4s=")</f>
        <v>#REF!</v>
      </c>
      <c r="EK184" t="e">
        <f>AND(Demos!#REF!,"AAAAAH/+u4w=")</f>
        <v>#REF!</v>
      </c>
      <c r="EL184" t="e">
        <f>AND(Demos!#REF!,"AAAAAH/+u40=")</f>
        <v>#REF!</v>
      </c>
      <c r="EM184" t="e">
        <f>AND(Demos!#REF!,"AAAAAH/+u44=")</f>
        <v>#REF!</v>
      </c>
      <c r="EN184" t="e">
        <f>AND(Demos!#REF!,"AAAAAH/+u48=")</f>
        <v>#REF!</v>
      </c>
      <c r="EO184" t="e">
        <f>AND(Demos!#REF!,"AAAAAH/+u5A=")</f>
        <v>#REF!</v>
      </c>
      <c r="EP184" t="e">
        <f>AND(Demos!#REF!,"AAAAAH/+u5E=")</f>
        <v>#REF!</v>
      </c>
      <c r="EQ184" t="e">
        <f>AND(Demos!#REF!,"AAAAAH/+u5I=")</f>
        <v>#REF!</v>
      </c>
      <c r="ER184" t="e">
        <f>AND(Demos!#REF!,"AAAAAH/+u5M=")</f>
        <v>#REF!</v>
      </c>
      <c r="ES184" t="e">
        <f>IF(Demos!#REF!,"AAAAAH/+u5Q=",0)</f>
        <v>#REF!</v>
      </c>
      <c r="ET184" t="e">
        <f>AND(Demos!A158,"AAAAAH/+u5U=")</f>
        <v>#VALUE!</v>
      </c>
      <c r="EU184" t="e">
        <f>AND(Demos!B158,"AAAAAH/+u5Y=")</f>
        <v>#VALUE!</v>
      </c>
      <c r="EV184" t="e">
        <f>AND(Demos!#REF!,"AAAAAH/+u5c=")</f>
        <v>#REF!</v>
      </c>
      <c r="EW184" t="e">
        <f>AND(Demos!C158,"AAAAAH/+u5g=")</f>
        <v>#VALUE!</v>
      </c>
      <c r="EX184" t="e">
        <f>AND(Demos!#REF!,"AAAAAH/+u5k=")</f>
        <v>#REF!</v>
      </c>
      <c r="EY184" t="e">
        <f>AND(Demos!#REF!,"AAAAAH/+u5o=")</f>
        <v>#REF!</v>
      </c>
      <c r="EZ184" t="e">
        <f>AND(Demos!#REF!,"AAAAAH/+u5s=")</f>
        <v>#REF!</v>
      </c>
      <c r="FA184" t="e">
        <f>AND(Demos!#REF!,"AAAAAH/+u5w=")</f>
        <v>#REF!</v>
      </c>
      <c r="FB184" t="e">
        <f>AND(Demos!D158,"AAAAAH/+u50=")</f>
        <v>#VALUE!</v>
      </c>
      <c r="FC184" t="e">
        <f>AND(Demos!#REF!,"AAAAAH/+u54=")</f>
        <v>#REF!</v>
      </c>
      <c r="FD184" t="e">
        <f>AND(Demos!E158,"AAAAAH/+u58=")</f>
        <v>#VALUE!</v>
      </c>
      <c r="FE184" t="e">
        <f>AND(Demos!F158,"AAAAAH/+u6A=")</f>
        <v>#VALUE!</v>
      </c>
      <c r="FF184" t="e">
        <f>AND(Demos!G158,"AAAAAH/+u6E=")</f>
        <v>#VALUE!</v>
      </c>
      <c r="FG184" t="e">
        <f>IF(Demos!#REF!,"AAAAAH/+u6I=",0)</f>
        <v>#REF!</v>
      </c>
      <c r="FH184" t="e">
        <f>AND(Demos!A159,"AAAAAH/+u6M=")</f>
        <v>#VALUE!</v>
      </c>
      <c r="FI184" t="e">
        <f>AND(Demos!B159,"AAAAAH/+u6Q=")</f>
        <v>#VALUE!</v>
      </c>
      <c r="FJ184" t="e">
        <f>AND(Demos!#REF!,"AAAAAH/+u6U=")</f>
        <v>#REF!</v>
      </c>
      <c r="FK184" t="e">
        <f>AND(Demos!C159,"AAAAAH/+u6Y=")</f>
        <v>#VALUE!</v>
      </c>
      <c r="FL184" t="e">
        <f>AND(Demos!#REF!,"AAAAAH/+u6c=")</f>
        <v>#REF!</v>
      </c>
      <c r="FM184" t="e">
        <f>AND(Demos!#REF!,"AAAAAH/+u6g=")</f>
        <v>#REF!</v>
      </c>
      <c r="FN184" t="e">
        <f>AND(Demos!#REF!,"AAAAAH/+u6k=")</f>
        <v>#REF!</v>
      </c>
      <c r="FO184" t="e">
        <f>AND(Demos!#REF!,"AAAAAH/+u6o=")</f>
        <v>#REF!</v>
      </c>
      <c r="FP184" t="e">
        <f>AND(Demos!D159,"AAAAAH/+u6s=")</f>
        <v>#VALUE!</v>
      </c>
      <c r="FQ184" t="e">
        <f>AND(Demos!#REF!,"AAAAAH/+u6w=")</f>
        <v>#REF!</v>
      </c>
      <c r="FR184" t="e">
        <f>AND(Demos!E159,"AAAAAH/+u60=")</f>
        <v>#VALUE!</v>
      </c>
      <c r="FS184" t="e">
        <f>AND(Demos!F159,"AAAAAH/+u64=")</f>
        <v>#VALUE!</v>
      </c>
      <c r="FT184" t="e">
        <f>AND(Demos!G159,"AAAAAH/+u68=")</f>
        <v>#VALUE!</v>
      </c>
      <c r="FU184">
        <f>IF(Demos!158:158,"AAAAAH/+u7A=",0)</f>
        <v>0</v>
      </c>
      <c r="FV184" t="e">
        <f>AND(Demos!A160,"AAAAAH/+u7E=")</f>
        <v>#VALUE!</v>
      </c>
      <c r="FW184" t="e">
        <f>AND(Demos!#REF!,"AAAAAH/+u7I=")</f>
        <v>#REF!</v>
      </c>
      <c r="FX184" t="e">
        <f>AND(Demos!B160,"AAAAAH/+u7M=")</f>
        <v>#VALUE!</v>
      </c>
      <c r="FY184" t="e">
        <f>AND(Demos!#REF!,"AAAAAH/+u7Q=")</f>
        <v>#REF!</v>
      </c>
      <c r="FZ184" t="e">
        <f>AND(Demos!C160,"AAAAAH/+u7U=")</f>
        <v>#VALUE!</v>
      </c>
      <c r="GA184" t="e">
        <f>AND(Demos!#REF!,"AAAAAH/+u7Y=")</f>
        <v>#REF!</v>
      </c>
      <c r="GB184" t="e">
        <f>AND(Demos!#REF!,"AAAAAH/+u7c=")</f>
        <v>#REF!</v>
      </c>
      <c r="GC184" t="e">
        <f>AND(Demos!#REF!,"AAAAAH/+u7g=")</f>
        <v>#REF!</v>
      </c>
      <c r="GD184" t="e">
        <f>AND(Demos!D160,"AAAAAH/+u7k=")</f>
        <v>#VALUE!</v>
      </c>
      <c r="GE184" t="e">
        <f>AND(Demos!#REF!,"AAAAAH/+u7o=")</f>
        <v>#REF!</v>
      </c>
      <c r="GF184" t="e">
        <f>AND(Demos!E160,"AAAAAH/+u7s=")</f>
        <v>#VALUE!</v>
      </c>
      <c r="GG184" t="e">
        <f>AND(Demos!F160,"AAAAAH/+u7w=")</f>
        <v>#VALUE!</v>
      </c>
      <c r="GH184" t="e">
        <f>AND(Demos!G160,"AAAAAH/+u70=")</f>
        <v>#VALUE!</v>
      </c>
      <c r="GI184">
        <f>IF(Demos!159:159,"AAAAAH/+u74=",0)</f>
        <v>0</v>
      </c>
      <c r="GJ184" t="e">
        <f>AND(Demos!#REF!,"AAAAAH/+u78=")</f>
        <v>#REF!</v>
      </c>
      <c r="GK184" t="e">
        <f>AND(Demos!#REF!,"AAAAAH/+u8A=")</f>
        <v>#REF!</v>
      </c>
      <c r="GL184" t="e">
        <f>AND(Demos!#REF!,"AAAAAH/+u8E=")</f>
        <v>#REF!</v>
      </c>
      <c r="GM184" t="e">
        <f>AND(Demos!#REF!,"AAAAAH/+u8I=")</f>
        <v>#REF!</v>
      </c>
      <c r="GN184" t="e">
        <f>AND(Demos!#REF!,"AAAAAH/+u8M=")</f>
        <v>#REF!</v>
      </c>
      <c r="GO184" t="e">
        <f>AND(Demos!#REF!,"AAAAAH/+u8Q=")</f>
        <v>#REF!</v>
      </c>
      <c r="GP184" t="e">
        <f>AND(Demos!#REF!,"AAAAAH/+u8U=")</f>
        <v>#REF!</v>
      </c>
      <c r="GQ184" t="e">
        <f>AND(Demos!#REF!,"AAAAAH/+u8Y=")</f>
        <v>#REF!</v>
      </c>
      <c r="GR184" t="e">
        <f>AND(Demos!#REF!,"AAAAAH/+u8c=")</f>
        <v>#REF!</v>
      </c>
      <c r="GS184" t="e">
        <f>AND(Demos!#REF!,"AAAAAH/+u8g=")</f>
        <v>#REF!</v>
      </c>
      <c r="GT184" t="e">
        <f>AND(Demos!#REF!,"AAAAAH/+u8k=")</f>
        <v>#REF!</v>
      </c>
      <c r="GU184" t="e">
        <f>AND(Demos!#REF!,"AAAAAH/+u8o=")</f>
        <v>#REF!</v>
      </c>
      <c r="GV184" t="e">
        <f>AND(Demos!#REF!,"AAAAAH/+u8s=")</f>
        <v>#REF!</v>
      </c>
      <c r="GW184">
        <f>IF(Demos!160:160,"AAAAAH/+u8w=",0)</f>
        <v>0</v>
      </c>
      <c r="GX184" t="e">
        <f>AND(Demos!#REF!,"AAAAAH/+u80=")</f>
        <v>#REF!</v>
      </c>
      <c r="GY184" t="e">
        <f>AND(Demos!#REF!,"AAAAAH/+u84=")</f>
        <v>#REF!</v>
      </c>
      <c r="GZ184" t="e">
        <f>AND(Demos!#REF!,"AAAAAH/+u88=")</f>
        <v>#REF!</v>
      </c>
      <c r="HA184" t="e">
        <f>AND(Demos!#REF!,"AAAAAH/+u9A=")</f>
        <v>#REF!</v>
      </c>
      <c r="HB184" t="e">
        <f>AND(Demos!#REF!,"AAAAAH/+u9E=")</f>
        <v>#REF!</v>
      </c>
      <c r="HC184" t="e">
        <f>AND(Demos!#REF!,"AAAAAH/+u9I=")</f>
        <v>#REF!</v>
      </c>
      <c r="HD184" t="e">
        <f>AND(Demos!#REF!,"AAAAAH/+u9M=")</f>
        <v>#REF!</v>
      </c>
      <c r="HE184" t="e">
        <f>AND(Demos!#REF!,"AAAAAH/+u9Q=")</f>
        <v>#REF!</v>
      </c>
      <c r="HF184" t="e">
        <f>AND(Demos!#REF!,"AAAAAH/+u9U=")</f>
        <v>#REF!</v>
      </c>
      <c r="HG184" t="e">
        <f>AND(Demos!#REF!,"AAAAAH/+u9Y=")</f>
        <v>#REF!</v>
      </c>
      <c r="HH184" t="e">
        <f>AND(Demos!#REF!,"AAAAAH/+u9c=")</f>
        <v>#REF!</v>
      </c>
      <c r="HI184" t="e">
        <f>AND(Demos!#REF!,"AAAAAH/+u9g=")</f>
        <v>#REF!</v>
      </c>
      <c r="HJ184" t="e">
        <f>AND(Demos!#REF!,"AAAAAH/+u9k=")</f>
        <v>#REF!</v>
      </c>
      <c r="HK184" t="e">
        <f>IF(Demos!#REF!,"AAAAAH/+u9o=",0)</f>
        <v>#REF!</v>
      </c>
      <c r="HL184" t="e">
        <f>AND(Demos!#REF!,"AAAAAH/+u9s=")</f>
        <v>#REF!</v>
      </c>
      <c r="HM184" t="e">
        <f>AND(Demos!#REF!,"AAAAAH/+u9w=")</f>
        <v>#REF!</v>
      </c>
      <c r="HN184" t="e">
        <f>AND(Demos!#REF!,"AAAAAH/+u90=")</f>
        <v>#REF!</v>
      </c>
      <c r="HO184" t="e">
        <f>AND(Demos!#REF!,"AAAAAH/+u94=")</f>
        <v>#REF!</v>
      </c>
      <c r="HP184" t="e">
        <f>AND(Demos!#REF!,"AAAAAH/+u98=")</f>
        <v>#REF!</v>
      </c>
      <c r="HQ184" t="e">
        <f>AND(Demos!#REF!,"AAAAAH/+u+A=")</f>
        <v>#REF!</v>
      </c>
      <c r="HR184" t="e">
        <f>AND(Demos!#REF!,"AAAAAH/+u+E=")</f>
        <v>#REF!</v>
      </c>
      <c r="HS184" t="e">
        <f>AND(Demos!#REF!,"AAAAAH/+u+I=")</f>
        <v>#REF!</v>
      </c>
      <c r="HT184" t="e">
        <f>AND(Demos!#REF!,"AAAAAH/+u+M=")</f>
        <v>#REF!</v>
      </c>
      <c r="HU184" t="e">
        <f>AND(Demos!#REF!,"AAAAAH/+u+Q=")</f>
        <v>#REF!</v>
      </c>
      <c r="HV184" t="e">
        <f>AND(Demos!#REF!,"AAAAAH/+u+U=")</f>
        <v>#REF!</v>
      </c>
      <c r="HW184" t="e">
        <f>AND(Demos!#REF!,"AAAAAH/+u+Y=")</f>
        <v>#REF!</v>
      </c>
      <c r="HX184" t="e">
        <f>AND(Demos!#REF!,"AAAAAH/+u+c=")</f>
        <v>#REF!</v>
      </c>
      <c r="HY184" t="e">
        <f>IF(Demos!#REF!,"AAAAAH/+u+g=",0)</f>
        <v>#REF!</v>
      </c>
      <c r="HZ184" t="e">
        <f>AND(Demos!#REF!,"AAAAAH/+u+k=")</f>
        <v>#REF!</v>
      </c>
      <c r="IA184" t="e">
        <f>AND(Demos!#REF!,"AAAAAH/+u+o=")</f>
        <v>#REF!</v>
      </c>
      <c r="IB184" t="e">
        <f>AND(Demos!#REF!,"AAAAAH/+u+s=")</f>
        <v>#REF!</v>
      </c>
      <c r="IC184" t="e">
        <f>AND(Demos!#REF!,"AAAAAH/+u+w=")</f>
        <v>#REF!</v>
      </c>
      <c r="ID184" t="e">
        <f>AND(Demos!#REF!,"AAAAAH/+u+0=")</f>
        <v>#REF!</v>
      </c>
      <c r="IE184" t="e">
        <f>AND(Demos!#REF!,"AAAAAH/+u+4=")</f>
        <v>#REF!</v>
      </c>
      <c r="IF184" t="e">
        <f>AND(Demos!#REF!,"AAAAAH/+u+8=")</f>
        <v>#REF!</v>
      </c>
      <c r="IG184" t="e">
        <f>AND(Demos!#REF!,"AAAAAH/+u/A=")</f>
        <v>#REF!</v>
      </c>
      <c r="IH184" t="e">
        <f>AND(Demos!#REF!,"AAAAAH/+u/E=")</f>
        <v>#REF!</v>
      </c>
      <c r="II184" t="e">
        <f>AND(Demos!#REF!,"AAAAAH/+u/I=")</f>
        <v>#REF!</v>
      </c>
      <c r="IJ184" t="e">
        <f>AND(Demos!#REF!,"AAAAAH/+u/M=")</f>
        <v>#REF!</v>
      </c>
      <c r="IK184" t="e">
        <f>AND(Demos!#REF!,"AAAAAH/+u/Q=")</f>
        <v>#REF!</v>
      </c>
      <c r="IL184" t="e">
        <f>AND(Demos!#REF!,"AAAAAH/+u/U=")</f>
        <v>#REF!</v>
      </c>
      <c r="IM184" t="e">
        <f>IF(Demos!#REF!,"AAAAAH/+u/Y=",0)</f>
        <v>#REF!</v>
      </c>
      <c r="IN184" t="e">
        <f>AND(Demos!#REF!,"AAAAAH/+u/c=")</f>
        <v>#REF!</v>
      </c>
      <c r="IO184" t="e">
        <f>AND(Demos!#REF!,"AAAAAH/+u/g=")</f>
        <v>#REF!</v>
      </c>
      <c r="IP184" t="e">
        <f>AND(Demos!#REF!,"AAAAAH/+u/k=")</f>
        <v>#REF!</v>
      </c>
      <c r="IQ184" t="e">
        <f>AND(Demos!#REF!,"AAAAAH/+u/o=")</f>
        <v>#REF!</v>
      </c>
      <c r="IR184" t="e">
        <f>AND(Demos!#REF!,"AAAAAH/+u/s=")</f>
        <v>#REF!</v>
      </c>
      <c r="IS184" t="e">
        <f>AND(Demos!#REF!,"AAAAAH/+u/w=")</f>
        <v>#REF!</v>
      </c>
      <c r="IT184" t="e">
        <f>AND(Demos!#REF!,"AAAAAH/+u/0=")</f>
        <v>#REF!</v>
      </c>
      <c r="IU184" t="e">
        <f>AND(Demos!#REF!,"AAAAAH/+u/4=")</f>
        <v>#REF!</v>
      </c>
      <c r="IV184" t="e">
        <f>AND(Demos!#REF!,"AAAAAH/+u/8=")</f>
        <v>#REF!</v>
      </c>
    </row>
    <row r="185" spans="1:256" x14ac:dyDescent="0.2">
      <c r="A185" t="e">
        <f>AND(Demos!#REF!,"AAAAAF1/lQA=")</f>
        <v>#REF!</v>
      </c>
      <c r="B185" t="e">
        <f>AND(Demos!#REF!,"AAAAAF1/lQE=")</f>
        <v>#REF!</v>
      </c>
      <c r="C185" t="e">
        <f>AND(Demos!#REF!,"AAAAAF1/lQI=")</f>
        <v>#REF!</v>
      </c>
      <c r="D185" t="e">
        <f>AND(Demos!#REF!,"AAAAAF1/lQM=")</f>
        <v>#REF!</v>
      </c>
      <c r="E185" t="e">
        <f>IF(Demos!#REF!,"AAAAAF1/lQQ=",0)</f>
        <v>#REF!</v>
      </c>
      <c r="F185" t="e">
        <f>AND(Demos!#REF!,"AAAAAF1/lQU=")</f>
        <v>#REF!</v>
      </c>
      <c r="G185" t="e">
        <f>AND(Demos!#REF!,"AAAAAF1/lQY=")</f>
        <v>#REF!</v>
      </c>
      <c r="H185" t="e">
        <f>AND(Demos!#REF!,"AAAAAF1/lQc=")</f>
        <v>#REF!</v>
      </c>
      <c r="I185" t="e">
        <f>AND(Demos!#REF!,"AAAAAF1/lQg=")</f>
        <v>#REF!</v>
      </c>
      <c r="J185" t="e">
        <f>AND(Demos!#REF!,"AAAAAF1/lQk=")</f>
        <v>#REF!</v>
      </c>
      <c r="K185" t="e">
        <f>AND(Demos!#REF!,"AAAAAF1/lQo=")</f>
        <v>#REF!</v>
      </c>
      <c r="L185" t="e">
        <f>AND(Demos!#REF!,"AAAAAF1/lQs=")</f>
        <v>#REF!</v>
      </c>
      <c r="M185" t="e">
        <f>AND(Demos!#REF!,"AAAAAF1/lQw=")</f>
        <v>#REF!</v>
      </c>
      <c r="N185" t="e">
        <f>AND(Demos!#REF!,"AAAAAF1/lQ0=")</f>
        <v>#REF!</v>
      </c>
      <c r="O185" t="e">
        <f>AND(Demos!#REF!,"AAAAAF1/lQ4=")</f>
        <v>#REF!</v>
      </c>
      <c r="P185" t="e">
        <f>AND(Demos!#REF!,"AAAAAF1/lQ8=")</f>
        <v>#REF!</v>
      </c>
      <c r="Q185" t="e">
        <f>AND(Demos!#REF!,"AAAAAF1/lRA=")</f>
        <v>#REF!</v>
      </c>
      <c r="R185" t="e">
        <f>AND(Demos!#REF!,"AAAAAF1/lRE=")</f>
        <v>#REF!</v>
      </c>
      <c r="S185" t="e">
        <f>IF(Demos!#REF!,"AAAAAF1/lRI=",0)</f>
        <v>#REF!</v>
      </c>
      <c r="T185" t="e">
        <f>AND(Demos!A165,"AAAAAF1/lRM=")</f>
        <v>#VALUE!</v>
      </c>
      <c r="U185" t="e">
        <f>AND(Demos!B165,"AAAAAF1/lRQ=")</f>
        <v>#VALUE!</v>
      </c>
      <c r="V185" t="e">
        <f>AND(Demos!#REF!,"AAAAAF1/lRU=")</f>
        <v>#REF!</v>
      </c>
      <c r="W185" t="e">
        <f>AND(Demos!C165,"AAAAAF1/lRY=")</f>
        <v>#VALUE!</v>
      </c>
      <c r="X185" t="e">
        <f>AND(Demos!#REF!,"AAAAAF1/lRc=")</f>
        <v>#REF!</v>
      </c>
      <c r="Y185" t="e">
        <f>AND(Demos!#REF!,"AAAAAF1/lRg=")</f>
        <v>#REF!</v>
      </c>
      <c r="Z185" t="e">
        <f>AND(Demos!#REF!,"AAAAAF1/lRk=")</f>
        <v>#REF!</v>
      </c>
      <c r="AA185" t="e">
        <f>AND(Demos!#REF!,"AAAAAF1/lRo=")</f>
        <v>#REF!</v>
      </c>
      <c r="AB185" t="e">
        <f>AND(Demos!D165,"AAAAAF1/lRs=")</f>
        <v>#VALUE!</v>
      </c>
      <c r="AC185" t="e">
        <f>AND(Demos!#REF!,"AAAAAF1/lRw=")</f>
        <v>#REF!</v>
      </c>
      <c r="AD185" t="e">
        <f>AND(Demos!E165,"AAAAAF1/lR0=")</f>
        <v>#VALUE!</v>
      </c>
      <c r="AE185" t="e">
        <f>AND(Demos!F165,"AAAAAF1/lR4=")</f>
        <v>#VALUE!</v>
      </c>
      <c r="AF185" t="e">
        <f>AND(Demos!G165,"AAAAAF1/lR8=")</f>
        <v>#VALUE!</v>
      </c>
      <c r="AG185" t="e">
        <f>IF(Demos!#REF!,"AAAAAF1/lSA=",0)</f>
        <v>#REF!</v>
      </c>
      <c r="AH185" t="e">
        <f>AND(Demos!A166,"AAAAAF1/lSE=")</f>
        <v>#VALUE!</v>
      </c>
      <c r="AI185" t="e">
        <f>AND(Demos!B166,"AAAAAF1/lSI=")</f>
        <v>#VALUE!</v>
      </c>
      <c r="AJ185" t="e">
        <f>AND(Demos!#REF!,"AAAAAF1/lSM=")</f>
        <v>#REF!</v>
      </c>
      <c r="AK185" t="e">
        <f>AND(Demos!C166,"AAAAAF1/lSQ=")</f>
        <v>#VALUE!</v>
      </c>
      <c r="AL185" t="e">
        <f>AND(Demos!#REF!,"AAAAAF1/lSU=")</f>
        <v>#REF!</v>
      </c>
      <c r="AM185" t="e">
        <f>AND(Demos!#REF!,"AAAAAF1/lSY=")</f>
        <v>#REF!</v>
      </c>
      <c r="AN185" t="e">
        <f>AND(Demos!#REF!,"AAAAAF1/lSc=")</f>
        <v>#REF!</v>
      </c>
      <c r="AO185" t="e">
        <f>AND(Demos!D166,"AAAAAF1/lSg=")</f>
        <v>#VALUE!</v>
      </c>
      <c r="AP185" t="e">
        <f>AND(Demos!#REF!,"AAAAAF1/lSk=")</f>
        <v>#REF!</v>
      </c>
      <c r="AQ185" t="e">
        <f>AND(Demos!#REF!,"AAAAAF1/lSo=")</f>
        <v>#REF!</v>
      </c>
      <c r="AR185" t="e">
        <f>AND(Demos!F166,"AAAAAF1/lSs=")</f>
        <v>#VALUE!</v>
      </c>
      <c r="AS185" t="e">
        <f>AND(Demos!#REF!,"AAAAAF1/lSw=")</f>
        <v>#REF!</v>
      </c>
      <c r="AT185" t="e">
        <f>AND(Demos!G166,"AAAAAF1/lS0=")</f>
        <v>#VALUE!</v>
      </c>
      <c r="AU185">
        <f>IF(Demos!165:165,"AAAAAF1/lS4=",0)</f>
        <v>0</v>
      </c>
      <c r="AV185" t="e">
        <f>AND(Demos!#REF!,"AAAAAF1/lS8=")</f>
        <v>#REF!</v>
      </c>
      <c r="AW185" t="e">
        <f>AND(Demos!#REF!,"AAAAAF1/lTA=")</f>
        <v>#REF!</v>
      </c>
      <c r="AX185" t="e">
        <f>AND(Demos!#REF!,"AAAAAF1/lTE=")</f>
        <v>#REF!</v>
      </c>
      <c r="AY185" t="e">
        <f>AND(Demos!#REF!,"AAAAAF1/lTI=")</f>
        <v>#REF!</v>
      </c>
      <c r="AZ185" t="e">
        <f>AND(Demos!#REF!,"AAAAAF1/lTM=")</f>
        <v>#REF!</v>
      </c>
      <c r="BA185" t="e">
        <f>AND(Demos!#REF!,"AAAAAF1/lTQ=")</f>
        <v>#REF!</v>
      </c>
      <c r="BB185" t="e">
        <f>AND(Demos!#REF!,"AAAAAF1/lTU=")</f>
        <v>#REF!</v>
      </c>
      <c r="BC185" t="e">
        <f>AND(Demos!#REF!,"AAAAAF1/lTY=")</f>
        <v>#REF!</v>
      </c>
      <c r="BD185" t="e">
        <f>AND(Demos!#REF!,"AAAAAF1/lTc=")</f>
        <v>#REF!</v>
      </c>
      <c r="BE185" t="e">
        <f>AND(Demos!#REF!,"AAAAAF1/lTg=")</f>
        <v>#REF!</v>
      </c>
      <c r="BF185" t="e">
        <f>AND(Demos!#REF!,"AAAAAF1/lTk=")</f>
        <v>#REF!</v>
      </c>
      <c r="BG185" t="e">
        <f>AND(Demos!#REF!,"AAAAAF1/lTo=")</f>
        <v>#REF!</v>
      </c>
      <c r="BH185" t="e">
        <f>AND(Demos!#REF!,"AAAAAF1/lTs=")</f>
        <v>#REF!</v>
      </c>
      <c r="BI185">
        <f>IF(Demos!166:166,"AAAAAF1/lTw=",0)</f>
        <v>0</v>
      </c>
      <c r="BJ185" t="e">
        <f>AND(Demos!#REF!,"AAAAAF1/lT0=")</f>
        <v>#REF!</v>
      </c>
      <c r="BK185" t="e">
        <f>AND(Demos!#REF!,"AAAAAF1/lT4=")</f>
        <v>#REF!</v>
      </c>
      <c r="BL185" t="e">
        <f>AND(Demos!#REF!,"AAAAAF1/lT8=")</f>
        <v>#REF!</v>
      </c>
      <c r="BM185" t="e">
        <f>AND(Demos!#REF!,"AAAAAF1/lUA=")</f>
        <v>#REF!</v>
      </c>
      <c r="BN185" t="e">
        <f>AND(Demos!#REF!,"AAAAAF1/lUE=")</f>
        <v>#REF!</v>
      </c>
      <c r="BO185" t="e">
        <f>AND(Demos!#REF!,"AAAAAF1/lUI=")</f>
        <v>#REF!</v>
      </c>
      <c r="BP185" t="e">
        <f>AND(Demos!#REF!,"AAAAAF1/lUM=")</f>
        <v>#REF!</v>
      </c>
      <c r="BQ185" t="e">
        <f>AND(Demos!#REF!,"AAAAAF1/lUQ=")</f>
        <v>#REF!</v>
      </c>
      <c r="BR185" t="e">
        <f>AND(Demos!#REF!,"AAAAAF1/lUU=")</f>
        <v>#REF!</v>
      </c>
      <c r="BS185" t="e">
        <f>AND(Demos!#REF!,"AAAAAF1/lUY=")</f>
        <v>#REF!</v>
      </c>
      <c r="BT185" t="e">
        <f>AND(Demos!#REF!,"AAAAAF1/lUc=")</f>
        <v>#REF!</v>
      </c>
      <c r="BU185" t="e">
        <f>AND(Demos!#REF!,"AAAAAF1/lUg=")</f>
        <v>#REF!</v>
      </c>
      <c r="BV185" t="e">
        <f>AND(Demos!#REF!,"AAAAAF1/lUk=")</f>
        <v>#REF!</v>
      </c>
      <c r="BW185" t="e">
        <f>IF(Demos!#REF!,"AAAAAF1/lUo=",0)</f>
        <v>#REF!</v>
      </c>
      <c r="BX185" t="e">
        <f>AND(Demos!A167,"AAAAAF1/lUs=")</f>
        <v>#VALUE!</v>
      </c>
      <c r="BY185" t="e">
        <f>AND(Demos!B167,"AAAAAF1/lUw=")</f>
        <v>#VALUE!</v>
      </c>
      <c r="BZ185" t="e">
        <f>AND(Demos!#REF!,"AAAAAF1/lU0=")</f>
        <v>#REF!</v>
      </c>
      <c r="CA185" t="e">
        <f>AND(Demos!C167,"AAAAAF1/lU4=")</f>
        <v>#VALUE!</v>
      </c>
      <c r="CB185" t="e">
        <f>AND(Demos!#REF!,"AAAAAF1/lU8=")</f>
        <v>#REF!</v>
      </c>
      <c r="CC185" t="e">
        <f>AND(Demos!#REF!,"AAAAAF1/lVA=")</f>
        <v>#REF!</v>
      </c>
      <c r="CD185" t="e">
        <f>AND(Demos!#REF!,"AAAAAF1/lVE=")</f>
        <v>#REF!</v>
      </c>
      <c r="CE185" t="e">
        <f>AND(Demos!#REF!,"AAAAAF1/lVI=")</f>
        <v>#REF!</v>
      </c>
      <c r="CF185" t="e">
        <f>AND(Demos!D167,"AAAAAF1/lVM=")</f>
        <v>#VALUE!</v>
      </c>
      <c r="CG185" t="e">
        <f>AND(Demos!#REF!,"AAAAAF1/lVQ=")</f>
        <v>#REF!</v>
      </c>
      <c r="CH185" t="e">
        <f>AND(Demos!E167,"AAAAAF1/lVU=")</f>
        <v>#VALUE!</v>
      </c>
      <c r="CI185" t="e">
        <f>AND(Demos!F167,"AAAAAF1/lVY=")</f>
        <v>#VALUE!</v>
      </c>
      <c r="CJ185" t="e">
        <f>AND(Demos!G167,"AAAAAF1/lVc=")</f>
        <v>#VALUE!</v>
      </c>
      <c r="CK185" t="e">
        <f>IF(Demos!#REF!,"AAAAAF1/lVg=",0)</f>
        <v>#REF!</v>
      </c>
      <c r="CL185" t="e">
        <f>AND(Demos!A168,"AAAAAF1/lVk=")</f>
        <v>#VALUE!</v>
      </c>
      <c r="CM185" t="e">
        <f>AND(Demos!B168,"AAAAAF1/lVo=")</f>
        <v>#VALUE!</v>
      </c>
      <c r="CN185" t="e">
        <f>AND(Demos!#REF!,"AAAAAF1/lVs=")</f>
        <v>#REF!</v>
      </c>
      <c r="CO185" t="e">
        <f>AND(Demos!C168,"AAAAAF1/lVw=")</f>
        <v>#VALUE!</v>
      </c>
      <c r="CP185" t="e">
        <f>AND(Demos!#REF!,"AAAAAF1/lV0=")</f>
        <v>#REF!</v>
      </c>
      <c r="CQ185" t="e">
        <f>AND(Demos!#REF!,"AAAAAF1/lV4=")</f>
        <v>#REF!</v>
      </c>
      <c r="CR185" t="e">
        <f>AND(Demos!#REF!,"AAAAAF1/lV8=")</f>
        <v>#REF!</v>
      </c>
      <c r="CS185" t="e">
        <f>AND(Demos!#REF!,"AAAAAF1/lWA=")</f>
        <v>#REF!</v>
      </c>
      <c r="CT185" t="e">
        <f>AND(Demos!D168,"AAAAAF1/lWE=")</f>
        <v>#VALUE!</v>
      </c>
      <c r="CU185" t="e">
        <f>AND(Demos!#REF!,"AAAAAF1/lWI=")</f>
        <v>#REF!</v>
      </c>
      <c r="CV185" t="e">
        <f>AND(Demos!E168,"AAAAAF1/lWM=")</f>
        <v>#VALUE!</v>
      </c>
      <c r="CW185" t="e">
        <f>AND(Demos!F168,"AAAAAF1/lWQ=")</f>
        <v>#VALUE!</v>
      </c>
      <c r="CX185" t="e">
        <f>AND(Demos!G168,"AAAAAF1/lWU=")</f>
        <v>#VALUE!</v>
      </c>
      <c r="CY185">
        <f>IF(Demos!167:167,"AAAAAF1/lWY=",0)</f>
        <v>0</v>
      </c>
      <c r="CZ185" t="e">
        <f>AND(Demos!A169,"AAAAAF1/lWc=")</f>
        <v>#VALUE!</v>
      </c>
      <c r="DA185" t="e">
        <f>AND(Demos!B169,"AAAAAF1/lWg=")</f>
        <v>#VALUE!</v>
      </c>
      <c r="DB185" t="e">
        <f>AND(Demos!#REF!,"AAAAAF1/lWk=")</f>
        <v>#REF!</v>
      </c>
      <c r="DC185" t="e">
        <f>AND(Demos!C169,"AAAAAF1/lWo=")</f>
        <v>#VALUE!</v>
      </c>
      <c r="DD185" t="e">
        <f>AND(Demos!#REF!,"AAAAAF1/lWs=")</f>
        <v>#REF!</v>
      </c>
      <c r="DE185" t="e">
        <f>AND(Demos!#REF!,"AAAAAF1/lWw=")</f>
        <v>#REF!</v>
      </c>
      <c r="DF185" t="e">
        <f>AND(Demos!#REF!,"AAAAAF1/lW0=")</f>
        <v>#REF!</v>
      </c>
      <c r="DG185" t="e">
        <f>AND(Demos!#REF!,"AAAAAF1/lW4=")</f>
        <v>#REF!</v>
      </c>
      <c r="DH185" t="e">
        <f>AND(Demos!D169,"AAAAAF1/lW8=")</f>
        <v>#VALUE!</v>
      </c>
      <c r="DI185" t="e">
        <f>AND(Demos!#REF!,"AAAAAF1/lXA=")</f>
        <v>#REF!</v>
      </c>
      <c r="DJ185" t="e">
        <f>AND(Demos!E169,"AAAAAF1/lXE=")</f>
        <v>#VALUE!</v>
      </c>
      <c r="DK185" t="e">
        <f>AND(Demos!F169,"AAAAAF1/lXI=")</f>
        <v>#VALUE!</v>
      </c>
      <c r="DL185" t="e">
        <f>AND(Demos!G169,"AAAAAF1/lXM=")</f>
        <v>#VALUE!</v>
      </c>
      <c r="DM185">
        <f>IF(Demos!168:168,"AAAAAF1/lXQ=",0)</f>
        <v>0</v>
      </c>
      <c r="DN185" t="e">
        <f>AND(Demos!A170,"AAAAAF1/lXU=")</f>
        <v>#VALUE!</v>
      </c>
      <c r="DO185" t="e">
        <f>AND(Demos!#REF!,"AAAAAF1/lXY=")</f>
        <v>#REF!</v>
      </c>
      <c r="DP185" t="e">
        <f>AND(Demos!B170,"AAAAAF1/lXc=")</f>
        <v>#VALUE!</v>
      </c>
      <c r="DQ185" t="e">
        <f>AND(Demos!#REF!,"AAAAAF1/lXg=")</f>
        <v>#REF!</v>
      </c>
      <c r="DR185" t="e">
        <f>AND(Demos!C170,"AAAAAF1/lXk=")</f>
        <v>#VALUE!</v>
      </c>
      <c r="DS185" t="e">
        <f>AND(Demos!#REF!,"AAAAAF1/lXo=")</f>
        <v>#REF!</v>
      </c>
      <c r="DT185" t="e">
        <f>AND(Demos!#REF!,"AAAAAF1/lXs=")</f>
        <v>#REF!</v>
      </c>
      <c r="DU185" t="e">
        <f>AND(Demos!#REF!,"AAAAAF1/lXw=")</f>
        <v>#REF!</v>
      </c>
      <c r="DV185" t="e">
        <f>AND(Demos!D170,"AAAAAF1/lX0=")</f>
        <v>#VALUE!</v>
      </c>
      <c r="DW185" t="e">
        <f>AND(Demos!#REF!,"AAAAAF1/lX4=")</f>
        <v>#REF!</v>
      </c>
      <c r="DX185" t="e">
        <f>AND(Demos!E170,"AAAAAF1/lX8=")</f>
        <v>#VALUE!</v>
      </c>
      <c r="DY185" t="e">
        <f>AND(Demos!F170,"AAAAAF1/lYA=")</f>
        <v>#VALUE!</v>
      </c>
      <c r="DZ185" t="e">
        <f>AND(Demos!G170,"AAAAAF1/lYE=")</f>
        <v>#VALUE!</v>
      </c>
      <c r="EA185">
        <f>IF(Demos!169:169,"AAAAAF1/lYI=",0)</f>
        <v>0</v>
      </c>
      <c r="EB185" t="e">
        <f>AND(Demos!#REF!,"AAAAAF1/lYM=")</f>
        <v>#REF!</v>
      </c>
      <c r="EC185" t="e">
        <f>AND(Demos!#REF!,"AAAAAF1/lYQ=")</f>
        <v>#REF!</v>
      </c>
      <c r="ED185" t="e">
        <f>AND(Demos!#REF!,"AAAAAF1/lYU=")</f>
        <v>#REF!</v>
      </c>
      <c r="EE185" t="e">
        <f>AND(Demos!#REF!,"AAAAAF1/lYY=")</f>
        <v>#REF!</v>
      </c>
      <c r="EF185" t="e">
        <f>AND(Demos!#REF!,"AAAAAF1/lYc=")</f>
        <v>#REF!</v>
      </c>
      <c r="EG185" t="e">
        <f>AND(Demos!#REF!,"AAAAAF1/lYg=")</f>
        <v>#REF!</v>
      </c>
      <c r="EH185" t="e">
        <f>AND(Demos!#REF!,"AAAAAF1/lYk=")</f>
        <v>#REF!</v>
      </c>
      <c r="EI185" t="e">
        <f>AND(Demos!#REF!,"AAAAAF1/lYo=")</f>
        <v>#REF!</v>
      </c>
      <c r="EJ185" t="e">
        <f>AND(Demos!#REF!,"AAAAAF1/lYs=")</f>
        <v>#REF!</v>
      </c>
      <c r="EK185" t="e">
        <f>AND(Demos!#REF!,"AAAAAF1/lYw=")</f>
        <v>#REF!</v>
      </c>
      <c r="EL185" t="e">
        <f>AND(Demos!#REF!,"AAAAAF1/lY0=")</f>
        <v>#REF!</v>
      </c>
      <c r="EM185" t="e">
        <f>AND(Demos!#REF!,"AAAAAF1/lY4=")</f>
        <v>#REF!</v>
      </c>
      <c r="EN185" t="e">
        <f>AND(Demos!#REF!,"AAAAAF1/lY8=")</f>
        <v>#REF!</v>
      </c>
      <c r="EO185">
        <f>IF(Demos!170:170,"AAAAAF1/lZA=",0)</f>
        <v>0</v>
      </c>
      <c r="EP185" t="e">
        <f>AND(Demos!#REF!,"AAAAAF1/lZE=")</f>
        <v>#REF!</v>
      </c>
      <c r="EQ185" t="e">
        <f>AND(Demos!#REF!,"AAAAAF1/lZI=")</f>
        <v>#REF!</v>
      </c>
      <c r="ER185" t="e">
        <f>AND(Demos!#REF!,"AAAAAF1/lZM=")</f>
        <v>#REF!</v>
      </c>
      <c r="ES185" t="e">
        <f>AND(Demos!#REF!,"AAAAAF1/lZQ=")</f>
        <v>#REF!</v>
      </c>
      <c r="ET185" t="e">
        <f>AND(Demos!#REF!,"AAAAAF1/lZU=")</f>
        <v>#REF!</v>
      </c>
      <c r="EU185" t="e">
        <f>AND(Demos!#REF!,"AAAAAF1/lZY=")</f>
        <v>#REF!</v>
      </c>
      <c r="EV185" t="e">
        <f>AND(Demos!#REF!,"AAAAAF1/lZc=")</f>
        <v>#REF!</v>
      </c>
      <c r="EW185" t="e">
        <f>AND(Demos!#REF!,"AAAAAF1/lZg=")</f>
        <v>#REF!</v>
      </c>
      <c r="EX185" t="e">
        <f>AND(Demos!#REF!,"AAAAAF1/lZk=")</f>
        <v>#REF!</v>
      </c>
      <c r="EY185" t="e">
        <f>AND(Demos!#REF!,"AAAAAF1/lZo=")</f>
        <v>#REF!</v>
      </c>
      <c r="EZ185" t="e">
        <f>AND(Demos!#REF!,"AAAAAF1/lZs=")</f>
        <v>#REF!</v>
      </c>
      <c r="FA185" t="e">
        <f>AND(Demos!#REF!,"AAAAAF1/lZw=")</f>
        <v>#REF!</v>
      </c>
      <c r="FB185" t="e">
        <f>AND(Demos!#REF!,"AAAAAF1/lZ0=")</f>
        <v>#REF!</v>
      </c>
      <c r="FC185" t="e">
        <f>IF(Demos!#REF!,"AAAAAF1/lZ4=",0)</f>
        <v>#REF!</v>
      </c>
      <c r="FD185" t="e">
        <f>AND(Demos!#REF!,"AAAAAF1/lZ8=")</f>
        <v>#REF!</v>
      </c>
      <c r="FE185" t="e">
        <f>AND(Demos!#REF!,"AAAAAF1/laA=")</f>
        <v>#REF!</v>
      </c>
      <c r="FF185" t="e">
        <f>AND(Demos!#REF!,"AAAAAF1/laE=")</f>
        <v>#REF!</v>
      </c>
      <c r="FG185" t="e">
        <f>AND(Demos!#REF!,"AAAAAF1/laI=")</f>
        <v>#REF!</v>
      </c>
      <c r="FH185" t="e">
        <f>AND(Demos!#REF!,"AAAAAF1/laM=")</f>
        <v>#REF!</v>
      </c>
      <c r="FI185" t="e">
        <f>AND(Demos!#REF!,"AAAAAF1/laQ=")</f>
        <v>#REF!</v>
      </c>
      <c r="FJ185" t="e">
        <f>AND(Demos!#REF!,"AAAAAF1/laU=")</f>
        <v>#REF!</v>
      </c>
      <c r="FK185" t="e">
        <f>AND(Demos!#REF!,"AAAAAF1/laY=")</f>
        <v>#REF!</v>
      </c>
      <c r="FL185" t="e">
        <f>AND(Demos!#REF!,"AAAAAF1/lac=")</f>
        <v>#REF!</v>
      </c>
      <c r="FM185" t="e">
        <f>AND(Demos!#REF!,"AAAAAF1/lag=")</f>
        <v>#REF!</v>
      </c>
      <c r="FN185" t="e">
        <f>AND(Demos!#REF!,"AAAAAF1/lak=")</f>
        <v>#REF!</v>
      </c>
      <c r="FO185" t="e">
        <f>AND(Demos!#REF!,"AAAAAF1/lao=")</f>
        <v>#REF!</v>
      </c>
      <c r="FP185" t="e">
        <f>AND(Demos!#REF!,"AAAAAF1/las=")</f>
        <v>#REF!</v>
      </c>
      <c r="FQ185" t="e">
        <f>IF(Demos!#REF!,"AAAAAF1/law=",0)</f>
        <v>#REF!</v>
      </c>
      <c r="FR185" t="e">
        <f>AND(Demos!#REF!,"AAAAAF1/la0=")</f>
        <v>#REF!</v>
      </c>
      <c r="FS185" t="e">
        <f>AND(Demos!#REF!,"AAAAAF1/la4=")</f>
        <v>#REF!</v>
      </c>
      <c r="FT185" t="e">
        <f>AND(Demos!#REF!,"AAAAAF1/la8=")</f>
        <v>#REF!</v>
      </c>
      <c r="FU185" t="e">
        <f>AND(Demos!#REF!,"AAAAAF1/lbA=")</f>
        <v>#REF!</v>
      </c>
      <c r="FV185" t="e">
        <f>AND(Demos!#REF!,"AAAAAF1/lbE=")</f>
        <v>#REF!</v>
      </c>
      <c r="FW185" t="e">
        <f>AND(Demos!#REF!,"AAAAAF1/lbI=")</f>
        <v>#REF!</v>
      </c>
      <c r="FX185" t="e">
        <f>AND(Demos!#REF!,"AAAAAF1/lbM=")</f>
        <v>#REF!</v>
      </c>
      <c r="FY185" t="e">
        <f>AND(Demos!#REF!,"AAAAAF1/lbQ=")</f>
        <v>#REF!</v>
      </c>
      <c r="FZ185" t="e">
        <f>AND(Demos!#REF!,"AAAAAF1/lbU=")</f>
        <v>#REF!</v>
      </c>
      <c r="GA185" t="e">
        <f>AND(Demos!#REF!,"AAAAAF1/lbY=")</f>
        <v>#REF!</v>
      </c>
      <c r="GB185" t="e">
        <f>AND(Demos!#REF!,"AAAAAF1/lbc=")</f>
        <v>#REF!</v>
      </c>
      <c r="GC185" t="e">
        <f>AND(Demos!#REF!,"AAAAAF1/lbg=")</f>
        <v>#REF!</v>
      </c>
      <c r="GD185" t="e">
        <f>AND(Demos!#REF!,"AAAAAF1/lbk=")</f>
        <v>#REF!</v>
      </c>
      <c r="GE185" t="e">
        <f>IF(Demos!#REF!,"AAAAAF1/lbo=",0)</f>
        <v>#REF!</v>
      </c>
      <c r="GF185" t="e">
        <f>AND(Demos!#REF!,"AAAAAF1/lbs=")</f>
        <v>#REF!</v>
      </c>
      <c r="GG185" t="e">
        <f>AND(Demos!#REF!,"AAAAAF1/lbw=")</f>
        <v>#REF!</v>
      </c>
      <c r="GH185" t="e">
        <f>AND(Demos!#REF!,"AAAAAF1/lb0=")</f>
        <v>#REF!</v>
      </c>
      <c r="GI185" t="e">
        <f>AND(Demos!#REF!,"AAAAAF1/lb4=")</f>
        <v>#REF!</v>
      </c>
      <c r="GJ185" t="e">
        <f>AND(Demos!#REF!,"AAAAAF1/lb8=")</f>
        <v>#REF!</v>
      </c>
      <c r="GK185" t="e">
        <f>AND(Demos!#REF!,"AAAAAF1/lcA=")</f>
        <v>#REF!</v>
      </c>
      <c r="GL185" t="e">
        <f>AND(Demos!#REF!,"AAAAAF1/lcE=")</f>
        <v>#REF!</v>
      </c>
      <c r="GM185" t="e">
        <f>AND(Demos!#REF!,"AAAAAF1/lcI=")</f>
        <v>#REF!</v>
      </c>
      <c r="GN185" t="e">
        <f>AND(Demos!#REF!,"AAAAAF1/lcM=")</f>
        <v>#REF!</v>
      </c>
      <c r="GO185" t="e">
        <f>AND(Demos!#REF!,"AAAAAF1/lcQ=")</f>
        <v>#REF!</v>
      </c>
      <c r="GP185" t="e">
        <f>AND(Demos!#REF!,"AAAAAF1/lcU=")</f>
        <v>#REF!</v>
      </c>
      <c r="GQ185" t="e">
        <f>AND(Demos!#REF!,"AAAAAF1/lcY=")</f>
        <v>#REF!</v>
      </c>
      <c r="GR185" t="e">
        <f>AND(Demos!#REF!,"AAAAAF1/lcc=")</f>
        <v>#REF!</v>
      </c>
      <c r="GS185" t="e">
        <f>IF(Demos!#REF!,"AAAAAF1/lcg=",0)</f>
        <v>#REF!</v>
      </c>
      <c r="GT185" t="e">
        <f>AND(Demos!#REF!,"AAAAAF1/lck=")</f>
        <v>#REF!</v>
      </c>
      <c r="GU185" t="e">
        <f>AND(Demos!#REF!,"AAAAAF1/lco=")</f>
        <v>#REF!</v>
      </c>
      <c r="GV185" t="e">
        <f>AND(Demos!#REF!,"AAAAAF1/lcs=")</f>
        <v>#REF!</v>
      </c>
      <c r="GW185" t="e">
        <f>AND(Demos!#REF!,"AAAAAF1/lcw=")</f>
        <v>#REF!</v>
      </c>
      <c r="GX185" t="e">
        <f>AND(Demos!#REF!,"AAAAAF1/lc0=")</f>
        <v>#REF!</v>
      </c>
      <c r="GY185" t="e">
        <f>AND(Demos!#REF!,"AAAAAF1/lc4=")</f>
        <v>#REF!</v>
      </c>
      <c r="GZ185" t="e">
        <f>AND(Demos!#REF!,"AAAAAF1/lc8=")</f>
        <v>#REF!</v>
      </c>
      <c r="HA185" t="e">
        <f>AND(Demos!#REF!,"AAAAAF1/ldA=")</f>
        <v>#REF!</v>
      </c>
      <c r="HB185" t="e">
        <f>AND(Demos!#REF!,"AAAAAF1/ldE=")</f>
        <v>#REF!</v>
      </c>
      <c r="HC185" t="e">
        <f>AND(Demos!#REF!,"AAAAAF1/ldI=")</f>
        <v>#REF!</v>
      </c>
      <c r="HD185" t="e">
        <f>AND(Demos!#REF!,"AAAAAF1/ldM=")</f>
        <v>#REF!</v>
      </c>
      <c r="HE185" t="e">
        <f>AND(Demos!#REF!,"AAAAAF1/ldQ=")</f>
        <v>#REF!</v>
      </c>
      <c r="HF185" t="e">
        <f>AND(Demos!#REF!,"AAAAAF1/ldU=")</f>
        <v>#REF!</v>
      </c>
      <c r="HG185" t="e">
        <f>IF(Demos!#REF!,"AAAAAF1/ldY=",0)</f>
        <v>#REF!</v>
      </c>
      <c r="HH185" t="e">
        <f>AND(Demos!A175,"AAAAAF1/ldc=")</f>
        <v>#VALUE!</v>
      </c>
      <c r="HI185" t="e">
        <f>AND(Demos!B175,"AAAAAF1/ldg=")</f>
        <v>#VALUE!</v>
      </c>
      <c r="HJ185" t="e">
        <f>AND(Demos!#REF!,"AAAAAF1/ldk=")</f>
        <v>#REF!</v>
      </c>
      <c r="HK185" t="e">
        <f>AND(Demos!C175,"AAAAAF1/ldo=")</f>
        <v>#VALUE!</v>
      </c>
      <c r="HL185" t="e">
        <f>AND(Demos!#REF!,"AAAAAF1/lds=")</f>
        <v>#REF!</v>
      </c>
      <c r="HM185" t="e">
        <f>AND(Demos!#REF!,"AAAAAF1/ldw=")</f>
        <v>#REF!</v>
      </c>
      <c r="HN185" t="e">
        <f>AND(Demos!#REF!,"AAAAAF1/ld0=")</f>
        <v>#REF!</v>
      </c>
      <c r="HO185" t="e">
        <f>AND(Demos!#REF!,"AAAAAF1/ld4=")</f>
        <v>#REF!</v>
      </c>
      <c r="HP185" t="e">
        <f>AND(Demos!D175,"AAAAAF1/ld8=")</f>
        <v>#VALUE!</v>
      </c>
      <c r="HQ185" t="e">
        <f>AND(Demos!#REF!,"AAAAAF1/leA=")</f>
        <v>#REF!</v>
      </c>
      <c r="HR185" t="e">
        <f>AND(Demos!E175,"AAAAAF1/leE=")</f>
        <v>#VALUE!</v>
      </c>
      <c r="HS185" t="e">
        <f>AND(Demos!F175,"AAAAAF1/leI=")</f>
        <v>#VALUE!</v>
      </c>
      <c r="HT185" t="e">
        <f>AND(Demos!G175,"AAAAAF1/leM=")</f>
        <v>#VALUE!</v>
      </c>
      <c r="HU185" t="e">
        <f>IF(Demos!#REF!,"AAAAAF1/leQ=",0)</f>
        <v>#REF!</v>
      </c>
      <c r="HV185" t="e">
        <f>AND(Demos!A176,"AAAAAF1/leU=")</f>
        <v>#VALUE!</v>
      </c>
      <c r="HW185" t="e">
        <f>AND(Demos!B176,"AAAAAF1/leY=")</f>
        <v>#VALUE!</v>
      </c>
      <c r="HX185" t="e">
        <f>AND(Demos!#REF!,"AAAAAF1/lec=")</f>
        <v>#REF!</v>
      </c>
      <c r="HY185" t="e">
        <f>AND(Demos!C176,"AAAAAF1/leg=")</f>
        <v>#VALUE!</v>
      </c>
      <c r="HZ185" t="e">
        <f>AND(Demos!#REF!,"AAAAAF1/lek=")</f>
        <v>#REF!</v>
      </c>
      <c r="IA185" t="e">
        <f>AND(Demos!#REF!,"AAAAAF1/leo=")</f>
        <v>#REF!</v>
      </c>
      <c r="IB185" t="e">
        <f>AND(Demos!#REF!,"AAAAAF1/les=")</f>
        <v>#REF!</v>
      </c>
      <c r="IC185" t="e">
        <f>AND(Demos!D176,"AAAAAF1/lew=")</f>
        <v>#VALUE!</v>
      </c>
      <c r="ID185" t="e">
        <f>AND(Demos!#REF!,"AAAAAF1/le0=")</f>
        <v>#REF!</v>
      </c>
      <c r="IE185" t="e">
        <f>AND(Demos!#REF!,"AAAAAF1/le4=")</f>
        <v>#REF!</v>
      </c>
      <c r="IF185" t="e">
        <f>AND(Demos!F176,"AAAAAF1/le8=")</f>
        <v>#VALUE!</v>
      </c>
      <c r="IG185" t="e">
        <f>AND(Demos!#REF!,"AAAAAF1/lfA=")</f>
        <v>#REF!</v>
      </c>
      <c r="IH185" t="e">
        <f>AND(Demos!G176,"AAAAAF1/lfE=")</f>
        <v>#VALUE!</v>
      </c>
      <c r="II185">
        <f>IF(Demos!175:175,"AAAAAF1/lfI=",0)</f>
        <v>0</v>
      </c>
      <c r="IJ185" t="e">
        <f>AND(Demos!#REF!,"AAAAAF1/lfM=")</f>
        <v>#REF!</v>
      </c>
      <c r="IK185" t="e">
        <f>AND(Demos!#REF!,"AAAAAF1/lfQ=")</f>
        <v>#REF!</v>
      </c>
      <c r="IL185" t="e">
        <f>AND(Demos!#REF!,"AAAAAF1/lfU=")</f>
        <v>#REF!</v>
      </c>
      <c r="IM185" t="e">
        <f>AND(Demos!#REF!,"AAAAAF1/lfY=")</f>
        <v>#REF!</v>
      </c>
      <c r="IN185" t="e">
        <f>AND(Demos!#REF!,"AAAAAF1/lfc=")</f>
        <v>#REF!</v>
      </c>
      <c r="IO185" t="e">
        <f>AND(Demos!#REF!,"AAAAAF1/lfg=")</f>
        <v>#REF!</v>
      </c>
      <c r="IP185" t="e">
        <f>AND(Demos!#REF!,"AAAAAF1/lfk=")</f>
        <v>#REF!</v>
      </c>
      <c r="IQ185" t="e">
        <f>AND(Demos!#REF!,"AAAAAF1/lfo=")</f>
        <v>#REF!</v>
      </c>
      <c r="IR185" t="e">
        <f>AND(Demos!#REF!,"AAAAAF1/lfs=")</f>
        <v>#REF!</v>
      </c>
      <c r="IS185" t="e">
        <f>AND(Demos!#REF!,"AAAAAF1/lfw=")</f>
        <v>#REF!</v>
      </c>
      <c r="IT185" t="e">
        <f>AND(Demos!#REF!,"AAAAAF1/lf0=")</f>
        <v>#REF!</v>
      </c>
      <c r="IU185" t="e">
        <f>AND(Demos!#REF!,"AAAAAF1/lf4=")</f>
        <v>#REF!</v>
      </c>
      <c r="IV185" t="e">
        <f>AND(Demos!#REF!,"AAAAAF1/lf8=")</f>
        <v>#REF!</v>
      </c>
    </row>
    <row r="186" spans="1:256" x14ac:dyDescent="0.2">
      <c r="A186">
        <f>IF(Demos!176:176,"AAAAAEjIHgA=",0)</f>
        <v>0</v>
      </c>
      <c r="B186" t="e">
        <f>AND(Demos!#REF!,"AAAAAEjIHgE=")</f>
        <v>#REF!</v>
      </c>
      <c r="C186" t="e">
        <f>AND(Demos!#REF!,"AAAAAEjIHgI=")</f>
        <v>#REF!</v>
      </c>
      <c r="D186" t="e">
        <f>AND(Demos!#REF!,"AAAAAEjIHgM=")</f>
        <v>#REF!</v>
      </c>
      <c r="E186" t="e">
        <f>AND(Demos!#REF!,"AAAAAEjIHgQ=")</f>
        <v>#REF!</v>
      </c>
      <c r="F186" t="e">
        <f>AND(Demos!#REF!,"AAAAAEjIHgU=")</f>
        <v>#REF!</v>
      </c>
      <c r="G186" t="e">
        <f>AND(Demos!#REF!,"AAAAAEjIHgY=")</f>
        <v>#REF!</v>
      </c>
      <c r="H186" t="e">
        <f>AND(Demos!#REF!,"AAAAAEjIHgc=")</f>
        <v>#REF!</v>
      </c>
      <c r="I186" t="e">
        <f>AND(Demos!#REF!,"AAAAAEjIHgg=")</f>
        <v>#REF!</v>
      </c>
      <c r="J186" t="e">
        <f>AND(Demos!#REF!,"AAAAAEjIHgk=")</f>
        <v>#REF!</v>
      </c>
      <c r="K186" t="e">
        <f>AND(Demos!#REF!,"AAAAAEjIHgo=")</f>
        <v>#REF!</v>
      </c>
      <c r="L186" t="e">
        <f>AND(Demos!#REF!,"AAAAAEjIHgs=")</f>
        <v>#REF!</v>
      </c>
      <c r="M186" t="e">
        <f>AND(Demos!#REF!,"AAAAAEjIHgw=")</f>
        <v>#REF!</v>
      </c>
      <c r="N186" t="e">
        <f>AND(Demos!#REF!,"AAAAAEjIHg0=")</f>
        <v>#REF!</v>
      </c>
      <c r="O186" t="e">
        <f>IF(Demos!#REF!,"AAAAAEjIHg4=",0)</f>
        <v>#REF!</v>
      </c>
      <c r="P186" t="e">
        <f>AND(Demos!#REF!,"AAAAAEjIHg8=")</f>
        <v>#REF!</v>
      </c>
      <c r="Q186" t="e">
        <f>AND(Demos!#REF!,"AAAAAEjIHhA=")</f>
        <v>#REF!</v>
      </c>
      <c r="R186" t="e">
        <f>AND(Demos!#REF!,"AAAAAEjIHhE=")</f>
        <v>#REF!</v>
      </c>
      <c r="S186" t="e">
        <f>AND(Demos!#REF!,"AAAAAEjIHhI=")</f>
        <v>#REF!</v>
      </c>
      <c r="T186" t="e">
        <f>AND(Demos!#REF!,"AAAAAEjIHhM=")</f>
        <v>#REF!</v>
      </c>
      <c r="U186" t="e">
        <f>AND(Demos!#REF!,"AAAAAEjIHhQ=")</f>
        <v>#REF!</v>
      </c>
      <c r="V186" t="e">
        <f>AND(Demos!#REF!,"AAAAAEjIHhU=")</f>
        <v>#REF!</v>
      </c>
      <c r="W186" t="e">
        <f>AND(Demos!#REF!,"AAAAAEjIHhY=")</f>
        <v>#REF!</v>
      </c>
      <c r="X186" t="e">
        <f>AND(Demos!#REF!,"AAAAAEjIHhc=")</f>
        <v>#REF!</v>
      </c>
      <c r="Y186" t="e">
        <f>AND(Demos!#REF!,"AAAAAEjIHhg=")</f>
        <v>#REF!</v>
      </c>
      <c r="Z186" t="e">
        <f>AND(Demos!#REF!,"AAAAAEjIHhk=")</f>
        <v>#REF!</v>
      </c>
      <c r="AA186" t="e">
        <f>AND(Demos!#REF!,"AAAAAEjIHho=")</f>
        <v>#REF!</v>
      </c>
      <c r="AB186" t="e">
        <f>AND(Demos!#REF!,"AAAAAEjIHhs=")</f>
        <v>#REF!</v>
      </c>
      <c r="AC186" t="e">
        <f>IF(Demos!#REF!,"AAAAAEjIHhw=",0)</f>
        <v>#REF!</v>
      </c>
      <c r="AD186" t="e">
        <f>AND(Demos!#REF!,"AAAAAEjIHh0=")</f>
        <v>#REF!</v>
      </c>
      <c r="AE186" t="e">
        <f>AND(Demos!#REF!,"AAAAAEjIHh4=")</f>
        <v>#REF!</v>
      </c>
      <c r="AF186" t="e">
        <f>AND(Demos!#REF!,"AAAAAEjIHh8=")</f>
        <v>#REF!</v>
      </c>
      <c r="AG186" t="e">
        <f>AND(Demos!#REF!,"AAAAAEjIHiA=")</f>
        <v>#REF!</v>
      </c>
      <c r="AH186" t="e">
        <f>AND(Demos!#REF!,"AAAAAEjIHiE=")</f>
        <v>#REF!</v>
      </c>
      <c r="AI186" t="e">
        <f>AND(Demos!#REF!,"AAAAAEjIHiI=")</f>
        <v>#REF!</v>
      </c>
      <c r="AJ186" t="e">
        <f>AND(Demos!#REF!,"AAAAAEjIHiM=")</f>
        <v>#REF!</v>
      </c>
      <c r="AK186" t="e">
        <f>AND(Demos!#REF!,"AAAAAEjIHiQ=")</f>
        <v>#REF!</v>
      </c>
      <c r="AL186" t="e">
        <f>AND(Demos!#REF!,"AAAAAEjIHiU=")</f>
        <v>#REF!</v>
      </c>
      <c r="AM186" t="e">
        <f>AND(Demos!#REF!,"AAAAAEjIHiY=")</f>
        <v>#REF!</v>
      </c>
      <c r="AN186" t="e">
        <f>AND(Demos!#REF!,"AAAAAEjIHic=")</f>
        <v>#REF!</v>
      </c>
      <c r="AO186" t="e">
        <f>AND(Demos!#REF!,"AAAAAEjIHig=")</f>
        <v>#REF!</v>
      </c>
      <c r="AP186" t="e">
        <f>AND(Demos!#REF!,"AAAAAEjIHik=")</f>
        <v>#REF!</v>
      </c>
      <c r="AQ186" t="e">
        <f>IF(Demos!#REF!,"AAAAAEjIHio=",0)</f>
        <v>#REF!</v>
      </c>
      <c r="AR186" t="e">
        <f>AND(Demos!#REF!,"AAAAAEjIHis=")</f>
        <v>#REF!</v>
      </c>
      <c r="AS186" t="e">
        <f>AND(Demos!#REF!,"AAAAAEjIHiw=")</f>
        <v>#REF!</v>
      </c>
      <c r="AT186" t="e">
        <f>AND(Demos!#REF!,"AAAAAEjIHi0=")</f>
        <v>#REF!</v>
      </c>
      <c r="AU186" t="e">
        <f>AND(Demos!#REF!,"AAAAAEjIHi4=")</f>
        <v>#REF!</v>
      </c>
      <c r="AV186" t="e">
        <f>AND(Demos!#REF!,"AAAAAEjIHi8=")</f>
        <v>#REF!</v>
      </c>
      <c r="AW186" t="e">
        <f>AND(Demos!#REF!,"AAAAAEjIHjA=")</f>
        <v>#REF!</v>
      </c>
      <c r="AX186" t="e">
        <f>AND(Demos!#REF!,"AAAAAEjIHjE=")</f>
        <v>#REF!</v>
      </c>
      <c r="AY186" t="e">
        <f>AND(Demos!#REF!,"AAAAAEjIHjI=")</f>
        <v>#REF!</v>
      </c>
      <c r="AZ186" t="e">
        <f>AND(Demos!#REF!,"AAAAAEjIHjM=")</f>
        <v>#REF!</v>
      </c>
      <c r="BA186" t="e">
        <f>AND(Demos!#REF!,"AAAAAEjIHjQ=")</f>
        <v>#REF!</v>
      </c>
      <c r="BB186" t="e">
        <f>AND(Demos!#REF!,"AAAAAEjIHjU=")</f>
        <v>#REF!</v>
      </c>
      <c r="BC186" t="e">
        <f>AND(Demos!#REF!,"AAAAAEjIHjY=")</f>
        <v>#REF!</v>
      </c>
      <c r="BD186" t="e">
        <f>AND(Demos!#REF!,"AAAAAEjIHjc=")</f>
        <v>#REF!</v>
      </c>
      <c r="BE186" t="e">
        <f>IF(Demos!#REF!,"AAAAAEjIHjg=",0)</f>
        <v>#REF!</v>
      </c>
      <c r="BF186" t="e">
        <f>AND(Demos!#REF!,"AAAAAEjIHjk=")</f>
        <v>#REF!</v>
      </c>
      <c r="BG186" t="e">
        <f>AND(Demos!#REF!,"AAAAAEjIHjo=")</f>
        <v>#REF!</v>
      </c>
      <c r="BH186" t="e">
        <f>AND(Demos!#REF!,"AAAAAEjIHjs=")</f>
        <v>#REF!</v>
      </c>
      <c r="BI186" t="e">
        <f>AND(Demos!#REF!,"AAAAAEjIHjw=")</f>
        <v>#REF!</v>
      </c>
      <c r="BJ186" t="e">
        <f>AND(Demos!#REF!,"AAAAAEjIHj0=")</f>
        <v>#REF!</v>
      </c>
      <c r="BK186" t="e">
        <f>AND(Demos!#REF!,"AAAAAEjIHj4=")</f>
        <v>#REF!</v>
      </c>
      <c r="BL186" t="e">
        <f>AND(Demos!#REF!,"AAAAAEjIHj8=")</f>
        <v>#REF!</v>
      </c>
      <c r="BM186" t="e">
        <f>AND(Demos!#REF!,"AAAAAEjIHkA=")</f>
        <v>#REF!</v>
      </c>
      <c r="BN186" t="e">
        <f>AND(Demos!#REF!,"AAAAAEjIHkE=")</f>
        <v>#REF!</v>
      </c>
      <c r="BO186" t="e">
        <f>AND(Demos!#REF!,"AAAAAEjIHkI=")</f>
        <v>#REF!</v>
      </c>
      <c r="BP186" t="e">
        <f>AND(Demos!#REF!,"AAAAAEjIHkM=")</f>
        <v>#REF!</v>
      </c>
      <c r="BQ186" t="e">
        <f>AND(Demos!#REF!,"AAAAAEjIHkQ=")</f>
        <v>#REF!</v>
      </c>
      <c r="BR186" t="e">
        <f>AND(Demos!#REF!,"AAAAAEjIHkU=")</f>
        <v>#REF!</v>
      </c>
      <c r="BS186" t="e">
        <f>IF(Demos!#REF!,"AAAAAEjIHkY=",0)</f>
        <v>#REF!</v>
      </c>
      <c r="BT186" t="e">
        <f>AND(Demos!#REF!,"AAAAAEjIHkc=")</f>
        <v>#REF!</v>
      </c>
      <c r="BU186" t="e">
        <f>AND(Demos!#REF!,"AAAAAEjIHkg=")</f>
        <v>#REF!</v>
      </c>
      <c r="BV186" t="e">
        <f>AND(Demos!#REF!,"AAAAAEjIHkk=")</f>
        <v>#REF!</v>
      </c>
      <c r="BW186" t="e">
        <f>AND(Demos!#REF!,"AAAAAEjIHko=")</f>
        <v>#REF!</v>
      </c>
      <c r="BX186" t="e">
        <f>AND(Demos!#REF!,"AAAAAEjIHks=")</f>
        <v>#REF!</v>
      </c>
      <c r="BY186" t="e">
        <f>AND(Demos!#REF!,"AAAAAEjIHkw=")</f>
        <v>#REF!</v>
      </c>
      <c r="BZ186" t="e">
        <f>AND(Demos!#REF!,"AAAAAEjIHk0=")</f>
        <v>#REF!</v>
      </c>
      <c r="CA186" t="e">
        <f>AND(Demos!#REF!,"AAAAAEjIHk4=")</f>
        <v>#REF!</v>
      </c>
      <c r="CB186" t="e">
        <f>AND(Demos!#REF!,"AAAAAEjIHk8=")</f>
        <v>#REF!</v>
      </c>
      <c r="CC186" t="e">
        <f>AND(Demos!#REF!,"AAAAAEjIHlA=")</f>
        <v>#REF!</v>
      </c>
      <c r="CD186" t="e">
        <f>AND(Demos!#REF!,"AAAAAEjIHlE=")</f>
        <v>#REF!</v>
      </c>
      <c r="CE186" t="e">
        <f>AND(Demos!#REF!,"AAAAAEjIHlI=")</f>
        <v>#REF!</v>
      </c>
      <c r="CF186" t="e">
        <f>AND(Demos!#REF!,"AAAAAEjIHlM=")</f>
        <v>#REF!</v>
      </c>
      <c r="CG186" t="e">
        <f>IF(Demos!#REF!,"AAAAAEjIHlQ=",0)</f>
        <v>#REF!</v>
      </c>
      <c r="CH186" t="e">
        <f>AND(Demos!#REF!,"AAAAAEjIHlU=")</f>
        <v>#REF!</v>
      </c>
      <c r="CI186" t="e">
        <f>AND(Demos!#REF!,"AAAAAEjIHlY=")</f>
        <v>#REF!</v>
      </c>
      <c r="CJ186" t="e">
        <f>AND(Demos!#REF!,"AAAAAEjIHlc=")</f>
        <v>#REF!</v>
      </c>
      <c r="CK186" t="e">
        <f>AND(Demos!#REF!,"AAAAAEjIHlg=")</f>
        <v>#REF!</v>
      </c>
      <c r="CL186" t="e">
        <f>AND(Demos!#REF!,"AAAAAEjIHlk=")</f>
        <v>#REF!</v>
      </c>
      <c r="CM186" t="e">
        <f>AND(Demos!#REF!,"AAAAAEjIHlo=")</f>
        <v>#REF!</v>
      </c>
      <c r="CN186" t="e">
        <f>AND(Demos!#REF!,"AAAAAEjIHls=")</f>
        <v>#REF!</v>
      </c>
      <c r="CO186" t="e">
        <f>AND(Demos!#REF!,"AAAAAEjIHlw=")</f>
        <v>#REF!</v>
      </c>
      <c r="CP186" t="e">
        <f>AND(Demos!#REF!,"AAAAAEjIHl0=")</f>
        <v>#REF!</v>
      </c>
      <c r="CQ186" t="e">
        <f>AND(Demos!#REF!,"AAAAAEjIHl4=")</f>
        <v>#REF!</v>
      </c>
      <c r="CR186" t="e">
        <f>AND(Demos!#REF!,"AAAAAEjIHl8=")</f>
        <v>#REF!</v>
      </c>
      <c r="CS186" t="e">
        <f>AND(Demos!#REF!,"AAAAAEjIHmA=")</f>
        <v>#REF!</v>
      </c>
      <c r="CT186" t="e">
        <f>AND(Demos!#REF!,"AAAAAEjIHmE=")</f>
        <v>#REF!</v>
      </c>
      <c r="CU186" t="e">
        <f>IF(Demos!#REF!,"AAAAAEjIHmI=",0)</f>
        <v>#REF!</v>
      </c>
      <c r="CV186" t="e">
        <f>AND(Demos!#REF!,"AAAAAEjIHmM=")</f>
        <v>#REF!</v>
      </c>
      <c r="CW186" t="e">
        <f>AND(Demos!#REF!,"AAAAAEjIHmQ=")</f>
        <v>#REF!</v>
      </c>
      <c r="CX186" t="e">
        <f>AND(Demos!#REF!,"AAAAAEjIHmU=")</f>
        <v>#REF!</v>
      </c>
      <c r="CY186" t="e">
        <f>AND(Demos!#REF!,"AAAAAEjIHmY=")</f>
        <v>#REF!</v>
      </c>
      <c r="CZ186" t="e">
        <f>AND(Demos!#REF!,"AAAAAEjIHmc=")</f>
        <v>#REF!</v>
      </c>
      <c r="DA186" t="e">
        <f>AND(Demos!#REF!,"AAAAAEjIHmg=")</f>
        <v>#REF!</v>
      </c>
      <c r="DB186" t="e">
        <f>AND(Demos!#REF!,"AAAAAEjIHmk=")</f>
        <v>#REF!</v>
      </c>
      <c r="DC186" t="e">
        <f>AND(Demos!#REF!,"AAAAAEjIHmo=")</f>
        <v>#REF!</v>
      </c>
      <c r="DD186" t="e">
        <f>AND(Demos!#REF!,"AAAAAEjIHms=")</f>
        <v>#REF!</v>
      </c>
      <c r="DE186" t="e">
        <f>AND(Demos!#REF!,"AAAAAEjIHmw=")</f>
        <v>#REF!</v>
      </c>
      <c r="DF186" t="e">
        <f>AND(Demos!#REF!,"AAAAAEjIHm0=")</f>
        <v>#REF!</v>
      </c>
      <c r="DG186" t="e">
        <f>AND(Demos!#REF!,"AAAAAEjIHm4=")</f>
        <v>#REF!</v>
      </c>
      <c r="DH186" t="e">
        <f>AND(Demos!#REF!,"AAAAAEjIHm8=")</f>
        <v>#REF!</v>
      </c>
      <c r="DI186" t="e">
        <f>IF(Demos!#REF!,"AAAAAEjIHnA=",0)</f>
        <v>#REF!</v>
      </c>
      <c r="DJ186" t="e">
        <f>AND(Demos!A177,"AAAAAEjIHnE=")</f>
        <v>#VALUE!</v>
      </c>
      <c r="DK186" t="e">
        <f>AND(Demos!B177,"AAAAAEjIHnI=")</f>
        <v>#VALUE!</v>
      </c>
      <c r="DL186" t="e">
        <f>AND(Demos!#REF!,"AAAAAEjIHnM=")</f>
        <v>#REF!</v>
      </c>
      <c r="DM186" t="e">
        <f>AND(Demos!C177,"AAAAAEjIHnQ=")</f>
        <v>#VALUE!</v>
      </c>
      <c r="DN186" t="e">
        <f>AND(Demos!#REF!,"AAAAAEjIHnU=")</f>
        <v>#REF!</v>
      </c>
      <c r="DO186" t="e">
        <f>AND(Demos!#REF!,"AAAAAEjIHnY=")</f>
        <v>#REF!</v>
      </c>
      <c r="DP186" t="e">
        <f>AND(Demos!#REF!,"AAAAAEjIHnc=")</f>
        <v>#REF!</v>
      </c>
      <c r="DQ186" t="e">
        <f>AND(Demos!#REF!,"AAAAAEjIHng=")</f>
        <v>#REF!</v>
      </c>
      <c r="DR186" t="e">
        <f>AND(Demos!D177,"AAAAAEjIHnk=")</f>
        <v>#VALUE!</v>
      </c>
      <c r="DS186" t="e">
        <f>AND(Demos!#REF!,"AAAAAEjIHno=")</f>
        <v>#REF!</v>
      </c>
      <c r="DT186" t="e">
        <f>AND(Demos!E177,"AAAAAEjIHns=")</f>
        <v>#VALUE!</v>
      </c>
      <c r="DU186" t="e">
        <f>AND(Demos!F177,"AAAAAEjIHnw=")</f>
        <v>#VALUE!</v>
      </c>
      <c r="DV186" t="e">
        <f>AND(Demos!G177,"AAAAAEjIHn0=")</f>
        <v>#VALUE!</v>
      </c>
      <c r="DW186" t="e">
        <f>IF(Demos!#REF!,"AAAAAEjIHn4=",0)</f>
        <v>#REF!</v>
      </c>
      <c r="DX186" t="e">
        <f>AND(Demos!A178,"AAAAAEjIHn8=")</f>
        <v>#VALUE!</v>
      </c>
      <c r="DY186" t="e">
        <f>AND(Demos!B178,"AAAAAEjIHoA=")</f>
        <v>#VALUE!</v>
      </c>
      <c r="DZ186" t="e">
        <f>AND(Demos!#REF!,"AAAAAEjIHoE=")</f>
        <v>#REF!</v>
      </c>
      <c r="EA186" t="e">
        <f>AND(Demos!C178,"AAAAAEjIHoI=")</f>
        <v>#VALUE!</v>
      </c>
      <c r="EB186" t="e">
        <f>AND(Demos!#REF!,"AAAAAEjIHoM=")</f>
        <v>#REF!</v>
      </c>
      <c r="EC186" t="e">
        <f>AND(Demos!#REF!,"AAAAAEjIHoQ=")</f>
        <v>#REF!</v>
      </c>
      <c r="ED186" t="e">
        <f>AND(Demos!#REF!,"AAAAAEjIHoU=")</f>
        <v>#REF!</v>
      </c>
      <c r="EE186" t="e">
        <f>AND(Demos!#REF!,"AAAAAEjIHoY=")</f>
        <v>#REF!</v>
      </c>
      <c r="EF186" t="e">
        <f>AND(Demos!D178,"AAAAAEjIHoc=")</f>
        <v>#VALUE!</v>
      </c>
      <c r="EG186" t="e">
        <f>AND(Demos!#REF!,"AAAAAEjIHog=")</f>
        <v>#REF!</v>
      </c>
      <c r="EH186" t="e">
        <f>AND(Demos!E178,"AAAAAEjIHok=")</f>
        <v>#VALUE!</v>
      </c>
      <c r="EI186" t="e">
        <f>AND(Demos!F178,"AAAAAEjIHoo=")</f>
        <v>#VALUE!</v>
      </c>
      <c r="EJ186" t="e">
        <f>AND(Demos!G178,"AAAAAEjIHos=")</f>
        <v>#VALUE!</v>
      </c>
      <c r="EK186">
        <f>IF(Demos!177:177,"AAAAAEjIHow=",0)</f>
        <v>0</v>
      </c>
      <c r="EL186" t="e">
        <f>AND(Demos!A179,"AAAAAEjIHo0=")</f>
        <v>#VALUE!</v>
      </c>
      <c r="EM186" t="e">
        <f>AND(Demos!#REF!,"AAAAAEjIHo4=")</f>
        <v>#REF!</v>
      </c>
      <c r="EN186" t="e">
        <f>AND(Demos!B179,"AAAAAEjIHo8=")</f>
        <v>#VALUE!</v>
      </c>
      <c r="EO186" t="e">
        <f>AND(Demos!#REF!,"AAAAAEjIHpA=")</f>
        <v>#REF!</v>
      </c>
      <c r="EP186" t="e">
        <f>AND(Demos!C179,"AAAAAEjIHpE=")</f>
        <v>#VALUE!</v>
      </c>
      <c r="EQ186" t="e">
        <f>AND(Demos!#REF!,"AAAAAEjIHpI=")</f>
        <v>#REF!</v>
      </c>
      <c r="ER186" t="e">
        <f>AND(Demos!#REF!,"AAAAAEjIHpM=")</f>
        <v>#REF!</v>
      </c>
      <c r="ES186" t="e">
        <f>AND(Demos!#REF!,"AAAAAEjIHpQ=")</f>
        <v>#REF!</v>
      </c>
      <c r="ET186" t="e">
        <f>AND(Demos!D179,"AAAAAEjIHpU=")</f>
        <v>#VALUE!</v>
      </c>
      <c r="EU186" t="e">
        <f>AND(Demos!#REF!,"AAAAAEjIHpY=")</f>
        <v>#REF!</v>
      </c>
      <c r="EV186" t="e">
        <f>AND(Demos!E179,"AAAAAEjIHpc=")</f>
        <v>#VALUE!</v>
      </c>
      <c r="EW186" t="e">
        <f>AND(Demos!F179,"AAAAAEjIHpg=")</f>
        <v>#VALUE!</v>
      </c>
      <c r="EX186" t="e">
        <f>AND(Demos!G179,"AAAAAEjIHpk=")</f>
        <v>#VALUE!</v>
      </c>
      <c r="EY186">
        <f>IF(Demos!178:178,"AAAAAEjIHpo=",0)</f>
        <v>0</v>
      </c>
      <c r="EZ186" t="e">
        <f>AND(Demos!#REF!,"AAAAAEjIHps=")</f>
        <v>#REF!</v>
      </c>
      <c r="FA186" t="e">
        <f>AND(Demos!#REF!,"AAAAAEjIHpw=")</f>
        <v>#REF!</v>
      </c>
      <c r="FB186" t="e">
        <f>AND(Demos!#REF!,"AAAAAEjIHp0=")</f>
        <v>#REF!</v>
      </c>
      <c r="FC186" t="e">
        <f>AND(Demos!#REF!,"AAAAAEjIHp4=")</f>
        <v>#REF!</v>
      </c>
      <c r="FD186" t="e">
        <f>AND(Demos!#REF!,"AAAAAEjIHp8=")</f>
        <v>#REF!</v>
      </c>
      <c r="FE186" t="e">
        <f>AND(Demos!#REF!,"AAAAAEjIHqA=")</f>
        <v>#REF!</v>
      </c>
      <c r="FF186" t="e">
        <f>AND(Demos!#REF!,"AAAAAEjIHqE=")</f>
        <v>#REF!</v>
      </c>
      <c r="FG186" t="e">
        <f>AND(Demos!#REF!,"AAAAAEjIHqI=")</f>
        <v>#REF!</v>
      </c>
      <c r="FH186" t="e">
        <f>AND(Demos!#REF!,"AAAAAEjIHqM=")</f>
        <v>#REF!</v>
      </c>
      <c r="FI186" t="e">
        <f>AND(Demos!#REF!,"AAAAAEjIHqQ=")</f>
        <v>#REF!</v>
      </c>
      <c r="FJ186" t="e">
        <f>AND(Demos!#REF!,"AAAAAEjIHqU=")</f>
        <v>#REF!</v>
      </c>
      <c r="FK186" t="e">
        <f>AND(Demos!#REF!,"AAAAAEjIHqY=")</f>
        <v>#REF!</v>
      </c>
      <c r="FL186" t="e">
        <f>AND(Demos!#REF!,"AAAAAEjIHqc=")</f>
        <v>#REF!</v>
      </c>
      <c r="FM186">
        <f>IF(Demos!179:179,"AAAAAEjIHqg=",0)</f>
        <v>0</v>
      </c>
      <c r="FN186" t="e">
        <f>AND(Demos!#REF!,"AAAAAEjIHqk=")</f>
        <v>#REF!</v>
      </c>
      <c r="FO186" t="e">
        <f>AND(Demos!#REF!,"AAAAAEjIHqo=")</f>
        <v>#REF!</v>
      </c>
      <c r="FP186" t="e">
        <f>AND(Demos!#REF!,"AAAAAEjIHqs=")</f>
        <v>#REF!</v>
      </c>
      <c r="FQ186" t="e">
        <f>AND(Demos!#REF!,"AAAAAEjIHqw=")</f>
        <v>#REF!</v>
      </c>
      <c r="FR186" t="e">
        <f>AND(Demos!#REF!,"AAAAAEjIHq0=")</f>
        <v>#REF!</v>
      </c>
      <c r="FS186" t="e">
        <f>AND(Demos!#REF!,"AAAAAEjIHq4=")</f>
        <v>#REF!</v>
      </c>
      <c r="FT186" t="e">
        <f>AND(Demos!#REF!,"AAAAAEjIHq8=")</f>
        <v>#REF!</v>
      </c>
      <c r="FU186" t="e">
        <f>AND(Demos!#REF!,"AAAAAEjIHrA=")</f>
        <v>#REF!</v>
      </c>
      <c r="FV186" t="e">
        <f>AND(Demos!#REF!,"AAAAAEjIHrE=")</f>
        <v>#REF!</v>
      </c>
      <c r="FW186" t="e">
        <f>AND(Demos!#REF!,"AAAAAEjIHrI=")</f>
        <v>#REF!</v>
      </c>
      <c r="FX186" t="e">
        <f>AND(Demos!#REF!,"AAAAAEjIHrM=")</f>
        <v>#REF!</v>
      </c>
      <c r="FY186" t="e">
        <f>AND(Demos!#REF!,"AAAAAEjIHrQ=")</f>
        <v>#REF!</v>
      </c>
      <c r="FZ186" t="e">
        <f>AND(Demos!#REF!,"AAAAAEjIHrU=")</f>
        <v>#REF!</v>
      </c>
      <c r="GA186" t="e">
        <f>IF(Demos!#REF!,"AAAAAEjIHrY=",0)</f>
        <v>#REF!</v>
      </c>
      <c r="GB186" t="e">
        <f>AND(Demos!#REF!,"AAAAAEjIHrc=")</f>
        <v>#REF!</v>
      </c>
      <c r="GC186" t="e">
        <f>AND(Demos!#REF!,"AAAAAEjIHrg=")</f>
        <v>#REF!</v>
      </c>
      <c r="GD186" t="e">
        <f>AND(Demos!#REF!,"AAAAAEjIHrk=")</f>
        <v>#REF!</v>
      </c>
      <c r="GE186" t="e">
        <f>AND(Demos!#REF!,"AAAAAEjIHro=")</f>
        <v>#REF!</v>
      </c>
      <c r="GF186" t="e">
        <f>AND(Demos!#REF!,"AAAAAEjIHrs=")</f>
        <v>#REF!</v>
      </c>
      <c r="GG186" t="e">
        <f>AND(Demos!#REF!,"AAAAAEjIHrw=")</f>
        <v>#REF!</v>
      </c>
      <c r="GH186" t="e">
        <f>AND(Demos!#REF!,"AAAAAEjIHr0=")</f>
        <v>#REF!</v>
      </c>
      <c r="GI186" t="e">
        <f>AND(Demos!#REF!,"AAAAAEjIHr4=")</f>
        <v>#REF!</v>
      </c>
      <c r="GJ186" t="e">
        <f>AND(Demos!#REF!,"AAAAAEjIHr8=")</f>
        <v>#REF!</v>
      </c>
      <c r="GK186" t="e">
        <f>AND(Demos!#REF!,"AAAAAEjIHsA=")</f>
        <v>#REF!</v>
      </c>
      <c r="GL186" t="e">
        <f>AND(Demos!#REF!,"AAAAAEjIHsE=")</f>
        <v>#REF!</v>
      </c>
      <c r="GM186" t="e">
        <f>AND(Demos!#REF!,"AAAAAEjIHsI=")</f>
        <v>#REF!</v>
      </c>
      <c r="GN186" t="e">
        <f>AND(Demos!#REF!,"AAAAAEjIHsM=")</f>
        <v>#REF!</v>
      </c>
      <c r="GO186" t="e">
        <f>IF(Demos!#REF!,"AAAAAEjIHsQ=",0)</f>
        <v>#REF!</v>
      </c>
      <c r="GP186" t="e">
        <f>AND(Demos!#REF!,"AAAAAEjIHsU=")</f>
        <v>#REF!</v>
      </c>
      <c r="GQ186" t="e">
        <f>AND(Demos!#REF!,"AAAAAEjIHsY=")</f>
        <v>#REF!</v>
      </c>
      <c r="GR186" t="e">
        <f>AND(Demos!#REF!,"AAAAAEjIHsc=")</f>
        <v>#REF!</v>
      </c>
      <c r="GS186" t="e">
        <f>AND(Demos!#REF!,"AAAAAEjIHsg=")</f>
        <v>#REF!</v>
      </c>
      <c r="GT186" t="e">
        <f>AND(Demos!#REF!,"AAAAAEjIHsk=")</f>
        <v>#REF!</v>
      </c>
      <c r="GU186" t="e">
        <f>AND(Demos!#REF!,"AAAAAEjIHso=")</f>
        <v>#REF!</v>
      </c>
      <c r="GV186" t="e">
        <f>AND(Demos!#REF!,"AAAAAEjIHss=")</f>
        <v>#REF!</v>
      </c>
      <c r="GW186" t="e">
        <f>AND(Demos!#REF!,"AAAAAEjIHsw=")</f>
        <v>#REF!</v>
      </c>
      <c r="GX186" t="e">
        <f>AND(Demos!#REF!,"AAAAAEjIHs0=")</f>
        <v>#REF!</v>
      </c>
      <c r="GY186" t="e">
        <f>AND(Demos!#REF!,"AAAAAEjIHs4=")</f>
        <v>#REF!</v>
      </c>
      <c r="GZ186" t="e">
        <f>AND(Demos!#REF!,"AAAAAEjIHs8=")</f>
        <v>#REF!</v>
      </c>
      <c r="HA186" t="e">
        <f>AND(Demos!#REF!,"AAAAAEjIHtA=")</f>
        <v>#REF!</v>
      </c>
      <c r="HB186" t="e">
        <f>AND(Demos!#REF!,"AAAAAEjIHtE=")</f>
        <v>#REF!</v>
      </c>
      <c r="HC186" t="e">
        <f>IF(Demos!#REF!,"AAAAAEjIHtI=",0)</f>
        <v>#REF!</v>
      </c>
      <c r="HD186" t="e">
        <f>AND(Demos!#REF!,"AAAAAEjIHtM=")</f>
        <v>#REF!</v>
      </c>
      <c r="HE186" t="e">
        <f>AND(Demos!#REF!,"AAAAAEjIHtQ=")</f>
        <v>#REF!</v>
      </c>
      <c r="HF186" t="e">
        <f>AND(Demos!#REF!,"AAAAAEjIHtU=")</f>
        <v>#REF!</v>
      </c>
      <c r="HG186" t="e">
        <f>AND(Demos!#REF!,"AAAAAEjIHtY=")</f>
        <v>#REF!</v>
      </c>
      <c r="HH186" t="e">
        <f>AND(Demos!#REF!,"AAAAAEjIHtc=")</f>
        <v>#REF!</v>
      </c>
      <c r="HI186" t="e">
        <f>AND(Demos!#REF!,"AAAAAEjIHtg=")</f>
        <v>#REF!</v>
      </c>
      <c r="HJ186" t="e">
        <f>AND(Demos!#REF!,"AAAAAEjIHtk=")</f>
        <v>#REF!</v>
      </c>
      <c r="HK186" t="e">
        <f>AND(Demos!#REF!,"AAAAAEjIHto=")</f>
        <v>#REF!</v>
      </c>
      <c r="HL186" t="e">
        <f>AND(Demos!#REF!,"AAAAAEjIHts=")</f>
        <v>#REF!</v>
      </c>
      <c r="HM186" t="e">
        <f>AND(Demos!#REF!,"AAAAAEjIHtw=")</f>
        <v>#REF!</v>
      </c>
      <c r="HN186" t="e">
        <f>AND(Demos!#REF!,"AAAAAEjIHt0=")</f>
        <v>#REF!</v>
      </c>
      <c r="HO186" t="e">
        <f>AND(Demos!#REF!,"AAAAAEjIHt4=")</f>
        <v>#REF!</v>
      </c>
      <c r="HP186" t="e">
        <f>AND(Demos!#REF!,"AAAAAEjIHt8=")</f>
        <v>#REF!</v>
      </c>
      <c r="HQ186" t="e">
        <f>IF(Demos!#REF!,"AAAAAEjIHuA=",0)</f>
        <v>#REF!</v>
      </c>
      <c r="HR186" t="e">
        <f>AND(Demos!#REF!,"AAAAAEjIHuE=")</f>
        <v>#REF!</v>
      </c>
      <c r="HS186" t="e">
        <f>AND(Demos!#REF!,"AAAAAEjIHuI=")</f>
        <v>#REF!</v>
      </c>
      <c r="HT186" t="e">
        <f>AND(Demos!#REF!,"AAAAAEjIHuM=")</f>
        <v>#REF!</v>
      </c>
      <c r="HU186" t="e">
        <f>AND(Demos!#REF!,"AAAAAEjIHuQ=")</f>
        <v>#REF!</v>
      </c>
      <c r="HV186" t="e">
        <f>AND(Demos!#REF!,"AAAAAEjIHuU=")</f>
        <v>#REF!</v>
      </c>
      <c r="HW186" t="e">
        <f>AND(Demos!#REF!,"AAAAAEjIHuY=")</f>
        <v>#REF!</v>
      </c>
      <c r="HX186" t="e">
        <f>AND(Demos!#REF!,"AAAAAEjIHuc=")</f>
        <v>#REF!</v>
      </c>
      <c r="HY186" t="e">
        <f>AND(Demos!#REF!,"AAAAAEjIHug=")</f>
        <v>#REF!</v>
      </c>
      <c r="HZ186" t="e">
        <f>AND(Demos!#REF!,"AAAAAEjIHuk=")</f>
        <v>#REF!</v>
      </c>
      <c r="IA186" t="e">
        <f>AND(Demos!#REF!,"AAAAAEjIHuo=")</f>
        <v>#REF!</v>
      </c>
      <c r="IB186" t="e">
        <f>AND(Demos!#REF!,"AAAAAEjIHus=")</f>
        <v>#REF!</v>
      </c>
      <c r="IC186" t="e">
        <f>AND(Demos!#REF!,"AAAAAEjIHuw=")</f>
        <v>#REF!</v>
      </c>
      <c r="ID186" t="e">
        <f>AND(Demos!#REF!,"AAAAAEjIHu0=")</f>
        <v>#REF!</v>
      </c>
      <c r="IE186" t="e">
        <f>IF(Demos!#REF!,"AAAAAEjIHu4=",0)</f>
        <v>#REF!</v>
      </c>
      <c r="IF186" t="e">
        <f>AND(Demos!A184,"AAAAAEjIHu8=")</f>
        <v>#VALUE!</v>
      </c>
      <c r="IG186" t="e">
        <f>AND(Demos!B184,"AAAAAEjIHvA=")</f>
        <v>#VALUE!</v>
      </c>
      <c r="IH186" t="e">
        <f>AND(Demos!#REF!,"AAAAAEjIHvE=")</f>
        <v>#REF!</v>
      </c>
      <c r="II186" t="e">
        <f>AND(Demos!C184,"AAAAAEjIHvI=")</f>
        <v>#VALUE!</v>
      </c>
      <c r="IJ186" t="e">
        <f>AND(Demos!#REF!,"AAAAAEjIHvM=")</f>
        <v>#REF!</v>
      </c>
      <c r="IK186" t="e">
        <f>AND(Demos!#REF!,"AAAAAEjIHvQ=")</f>
        <v>#REF!</v>
      </c>
      <c r="IL186" t="e">
        <f>AND(Demos!#REF!,"AAAAAEjIHvU=")</f>
        <v>#REF!</v>
      </c>
      <c r="IM186" t="e">
        <f>AND(Demos!#REF!,"AAAAAEjIHvY=")</f>
        <v>#REF!</v>
      </c>
      <c r="IN186" t="e">
        <f>AND(Demos!D184,"AAAAAEjIHvc=")</f>
        <v>#VALUE!</v>
      </c>
      <c r="IO186" t="e">
        <f>AND(Demos!#REF!,"AAAAAEjIHvg=")</f>
        <v>#REF!</v>
      </c>
      <c r="IP186" t="e">
        <f>AND(Demos!E184,"AAAAAEjIHvk=")</f>
        <v>#VALUE!</v>
      </c>
      <c r="IQ186" t="e">
        <f>AND(Demos!F184,"AAAAAEjIHvo=")</f>
        <v>#VALUE!</v>
      </c>
      <c r="IR186" t="e">
        <f>AND(Demos!G184,"AAAAAEjIHvs=")</f>
        <v>#VALUE!</v>
      </c>
      <c r="IS186" t="e">
        <f>IF(Demos!#REF!,"AAAAAEjIHvw=",0)</f>
        <v>#REF!</v>
      </c>
      <c r="IT186" t="e">
        <f>AND(Demos!A185,"AAAAAEjIHv0=")</f>
        <v>#VALUE!</v>
      </c>
      <c r="IU186" t="e">
        <f>AND(Demos!B185,"AAAAAEjIHv4=")</f>
        <v>#VALUE!</v>
      </c>
      <c r="IV186" t="e">
        <f>AND(Demos!#REF!,"AAAAAEjIHv8=")</f>
        <v>#REF!</v>
      </c>
    </row>
    <row r="187" spans="1:256" x14ac:dyDescent="0.2">
      <c r="A187" t="e">
        <f>AND(Demos!C185,"AAAAAF27PAA=")</f>
        <v>#VALUE!</v>
      </c>
      <c r="B187" t="e">
        <f>AND(Demos!#REF!,"AAAAAF27PAE=")</f>
        <v>#REF!</v>
      </c>
      <c r="C187" t="e">
        <f>AND(Demos!#REF!,"AAAAAF27PAI=")</f>
        <v>#REF!</v>
      </c>
      <c r="D187" t="e">
        <f>AND(Demos!#REF!,"AAAAAF27PAM=")</f>
        <v>#REF!</v>
      </c>
      <c r="E187" t="e">
        <f>AND(Demos!D185,"AAAAAF27PAQ=")</f>
        <v>#VALUE!</v>
      </c>
      <c r="F187" t="e">
        <f>AND(Demos!#REF!,"AAAAAF27PAU=")</f>
        <v>#REF!</v>
      </c>
      <c r="G187" t="e">
        <f>AND(Demos!#REF!,"AAAAAF27PAY=")</f>
        <v>#REF!</v>
      </c>
      <c r="H187" t="e">
        <f>AND(Demos!F185,"AAAAAF27PAc=")</f>
        <v>#VALUE!</v>
      </c>
      <c r="I187" t="e">
        <f>AND(Demos!#REF!,"AAAAAF27PAg=")</f>
        <v>#REF!</v>
      </c>
      <c r="J187" t="e">
        <f>AND(Demos!G185,"AAAAAF27PAk=")</f>
        <v>#VALUE!</v>
      </c>
      <c r="K187">
        <f>IF(Demos!184:184,"AAAAAF27PAo=",0)</f>
        <v>0</v>
      </c>
      <c r="L187" t="e">
        <f>AND(Demos!#REF!,"AAAAAF27PAs=")</f>
        <v>#REF!</v>
      </c>
      <c r="M187" t="e">
        <f>AND(Demos!#REF!,"AAAAAF27PAw=")</f>
        <v>#REF!</v>
      </c>
      <c r="N187" t="e">
        <f>AND(Demos!#REF!,"AAAAAF27PA0=")</f>
        <v>#REF!</v>
      </c>
      <c r="O187" t="e">
        <f>AND(Demos!#REF!,"AAAAAF27PA4=")</f>
        <v>#REF!</v>
      </c>
      <c r="P187" t="e">
        <f>AND(Demos!#REF!,"AAAAAF27PA8=")</f>
        <v>#REF!</v>
      </c>
      <c r="Q187" t="e">
        <f>AND(Demos!#REF!,"AAAAAF27PBA=")</f>
        <v>#REF!</v>
      </c>
      <c r="R187" t="e">
        <f>AND(Demos!#REF!,"AAAAAF27PBE=")</f>
        <v>#REF!</v>
      </c>
      <c r="S187" t="e">
        <f>AND(Demos!#REF!,"AAAAAF27PBI=")</f>
        <v>#REF!</v>
      </c>
      <c r="T187" t="e">
        <f>AND(Demos!#REF!,"AAAAAF27PBM=")</f>
        <v>#REF!</v>
      </c>
      <c r="U187" t="e">
        <f>AND(Demos!#REF!,"AAAAAF27PBQ=")</f>
        <v>#REF!</v>
      </c>
      <c r="V187" t="e">
        <f>AND(Demos!#REF!,"AAAAAF27PBU=")</f>
        <v>#REF!</v>
      </c>
      <c r="W187" t="e">
        <f>AND(Demos!#REF!,"AAAAAF27PBY=")</f>
        <v>#REF!</v>
      </c>
      <c r="X187" t="e">
        <f>AND(Demos!#REF!,"AAAAAF27PBc=")</f>
        <v>#REF!</v>
      </c>
      <c r="Y187">
        <f>IF(Demos!185:185,"AAAAAF27PBg=",0)</f>
        <v>0</v>
      </c>
      <c r="Z187" t="e">
        <f>AND(Demos!#REF!,"AAAAAF27PBk=")</f>
        <v>#REF!</v>
      </c>
      <c r="AA187" t="e">
        <f>AND(Demos!#REF!,"AAAAAF27PBo=")</f>
        <v>#REF!</v>
      </c>
      <c r="AB187" t="e">
        <f>AND(Demos!#REF!,"AAAAAF27PBs=")</f>
        <v>#REF!</v>
      </c>
      <c r="AC187" t="e">
        <f>AND(Demos!#REF!,"AAAAAF27PBw=")</f>
        <v>#REF!</v>
      </c>
      <c r="AD187" t="e">
        <f>AND(Demos!#REF!,"AAAAAF27PB0=")</f>
        <v>#REF!</v>
      </c>
      <c r="AE187" t="e">
        <f>AND(Demos!#REF!,"AAAAAF27PB4=")</f>
        <v>#REF!</v>
      </c>
      <c r="AF187" t="e">
        <f>AND(Demos!#REF!,"AAAAAF27PB8=")</f>
        <v>#REF!</v>
      </c>
      <c r="AG187" t="e">
        <f>AND(Demos!#REF!,"AAAAAF27PCA=")</f>
        <v>#REF!</v>
      </c>
      <c r="AH187" t="e">
        <f>AND(Demos!#REF!,"AAAAAF27PCE=")</f>
        <v>#REF!</v>
      </c>
      <c r="AI187" t="e">
        <f>AND(Demos!#REF!,"AAAAAF27PCI=")</f>
        <v>#REF!</v>
      </c>
      <c r="AJ187" t="e">
        <f>AND(Demos!#REF!,"AAAAAF27PCM=")</f>
        <v>#REF!</v>
      </c>
      <c r="AK187" t="e">
        <f>AND(Demos!#REF!,"AAAAAF27PCQ=")</f>
        <v>#REF!</v>
      </c>
      <c r="AL187" t="e">
        <f>AND(Demos!#REF!,"AAAAAF27PCU=")</f>
        <v>#REF!</v>
      </c>
      <c r="AM187" t="e">
        <f>IF(Demos!#REF!,"AAAAAF27PCY=",0)</f>
        <v>#REF!</v>
      </c>
      <c r="AN187" t="e">
        <f>AND(Demos!A186,"AAAAAF27PCc=")</f>
        <v>#VALUE!</v>
      </c>
      <c r="AO187" t="e">
        <f>AND(Demos!B186,"AAAAAF27PCg=")</f>
        <v>#VALUE!</v>
      </c>
      <c r="AP187" t="e">
        <f>AND(Demos!#REF!,"AAAAAF27PCk=")</f>
        <v>#REF!</v>
      </c>
      <c r="AQ187" t="e">
        <f>AND(Demos!C186,"AAAAAF27PCo=")</f>
        <v>#VALUE!</v>
      </c>
      <c r="AR187" t="e">
        <f>AND(Demos!#REF!,"AAAAAF27PCs=")</f>
        <v>#REF!</v>
      </c>
      <c r="AS187" t="e">
        <f>AND(Demos!#REF!,"AAAAAF27PCw=")</f>
        <v>#REF!</v>
      </c>
      <c r="AT187" t="e">
        <f>AND(Demos!#REF!,"AAAAAF27PC0=")</f>
        <v>#REF!</v>
      </c>
      <c r="AU187" t="e">
        <f>AND(Demos!#REF!,"AAAAAF27PC4=")</f>
        <v>#REF!</v>
      </c>
      <c r="AV187" t="e">
        <f>AND(Demos!D186,"AAAAAF27PC8=")</f>
        <v>#VALUE!</v>
      </c>
      <c r="AW187" t="e">
        <f>AND(Demos!#REF!,"AAAAAF27PDA=")</f>
        <v>#REF!</v>
      </c>
      <c r="AX187" t="e">
        <f>AND(Demos!E186,"AAAAAF27PDE=")</f>
        <v>#VALUE!</v>
      </c>
      <c r="AY187" t="e">
        <f>AND(Demos!F186,"AAAAAF27PDI=")</f>
        <v>#VALUE!</v>
      </c>
      <c r="AZ187" t="e">
        <f>AND(Demos!G186,"AAAAAF27PDM=")</f>
        <v>#VALUE!</v>
      </c>
      <c r="BA187" t="e">
        <f>IF(Demos!#REF!,"AAAAAF27PDQ=",0)</f>
        <v>#REF!</v>
      </c>
      <c r="BB187" t="e">
        <f>AND(Demos!A187,"AAAAAF27PDU=")</f>
        <v>#VALUE!</v>
      </c>
      <c r="BC187" t="e">
        <f>AND(Demos!B187,"AAAAAF27PDY=")</f>
        <v>#VALUE!</v>
      </c>
      <c r="BD187" t="e">
        <f>AND(Demos!#REF!,"AAAAAF27PDc=")</f>
        <v>#REF!</v>
      </c>
      <c r="BE187" t="e">
        <f>AND(Demos!C187,"AAAAAF27PDg=")</f>
        <v>#VALUE!</v>
      </c>
      <c r="BF187" t="e">
        <f>AND(Demos!#REF!,"AAAAAF27PDk=")</f>
        <v>#REF!</v>
      </c>
      <c r="BG187" t="e">
        <f>AND(Demos!#REF!,"AAAAAF27PDo=")</f>
        <v>#REF!</v>
      </c>
      <c r="BH187" t="e">
        <f>AND(Demos!#REF!,"AAAAAF27PDs=")</f>
        <v>#REF!</v>
      </c>
      <c r="BI187" t="e">
        <f>AND(Demos!#REF!,"AAAAAF27PDw=")</f>
        <v>#REF!</v>
      </c>
      <c r="BJ187" t="e">
        <f>AND(Demos!D187,"AAAAAF27PD0=")</f>
        <v>#VALUE!</v>
      </c>
      <c r="BK187" t="e">
        <f>AND(Demos!#REF!,"AAAAAF27PD4=")</f>
        <v>#REF!</v>
      </c>
      <c r="BL187" t="e">
        <f>AND(Demos!E187,"AAAAAF27PD8=")</f>
        <v>#VALUE!</v>
      </c>
      <c r="BM187" t="e">
        <f>AND(Demos!F187,"AAAAAF27PEA=")</f>
        <v>#VALUE!</v>
      </c>
      <c r="BN187" t="e">
        <f>AND(Demos!G187,"AAAAAF27PEE=")</f>
        <v>#VALUE!</v>
      </c>
      <c r="BO187">
        <f>IF(Demos!186:186,"AAAAAF27PEI=",0)</f>
        <v>0</v>
      </c>
      <c r="BP187" t="e">
        <f>AND(Demos!A188,"AAAAAF27PEM=")</f>
        <v>#VALUE!</v>
      </c>
      <c r="BQ187" t="e">
        <f>AND(Demos!#REF!,"AAAAAF27PEQ=")</f>
        <v>#REF!</v>
      </c>
      <c r="BR187" t="e">
        <f>AND(Demos!B188,"AAAAAF27PEU=")</f>
        <v>#VALUE!</v>
      </c>
      <c r="BS187" t="e">
        <f>AND(Demos!#REF!,"AAAAAF27PEY=")</f>
        <v>#REF!</v>
      </c>
      <c r="BT187" t="e">
        <f>AND(Demos!C188,"AAAAAF27PEc=")</f>
        <v>#VALUE!</v>
      </c>
      <c r="BU187" t="e">
        <f>AND(Demos!#REF!,"AAAAAF27PEg=")</f>
        <v>#REF!</v>
      </c>
      <c r="BV187" t="e">
        <f>AND(Demos!#REF!,"AAAAAF27PEk=")</f>
        <v>#REF!</v>
      </c>
      <c r="BW187" t="e">
        <f>AND(Demos!#REF!,"AAAAAF27PEo=")</f>
        <v>#REF!</v>
      </c>
      <c r="BX187" t="e">
        <f>AND(Demos!D188,"AAAAAF27PEs=")</f>
        <v>#VALUE!</v>
      </c>
      <c r="BY187" t="e">
        <f>AND(Demos!#REF!,"AAAAAF27PEw=")</f>
        <v>#REF!</v>
      </c>
      <c r="BZ187" t="e">
        <f>AND(Demos!E188,"AAAAAF27PE0=")</f>
        <v>#VALUE!</v>
      </c>
      <c r="CA187" t="e">
        <f>AND(Demos!F188,"AAAAAF27PE4=")</f>
        <v>#VALUE!</v>
      </c>
      <c r="CB187" t="e">
        <f>AND(Demos!G188,"AAAAAF27PE8=")</f>
        <v>#VALUE!</v>
      </c>
      <c r="CC187">
        <f>IF(Demos!187:187,"AAAAAF27PFA=",0)</f>
        <v>0</v>
      </c>
      <c r="CD187" t="e">
        <f>AND(Demos!#REF!,"AAAAAF27PFE=")</f>
        <v>#REF!</v>
      </c>
      <c r="CE187" t="e">
        <f>AND(Demos!#REF!,"AAAAAF27PFI=")</f>
        <v>#REF!</v>
      </c>
      <c r="CF187" t="e">
        <f>AND(Demos!#REF!,"AAAAAF27PFM=")</f>
        <v>#REF!</v>
      </c>
      <c r="CG187" t="e">
        <f>AND(Demos!#REF!,"AAAAAF27PFQ=")</f>
        <v>#REF!</v>
      </c>
      <c r="CH187" t="e">
        <f>AND(Demos!#REF!,"AAAAAF27PFU=")</f>
        <v>#REF!</v>
      </c>
      <c r="CI187" t="e">
        <f>AND(Demos!#REF!,"AAAAAF27PFY=")</f>
        <v>#REF!</v>
      </c>
      <c r="CJ187" t="e">
        <f>AND(Demos!#REF!,"AAAAAF27PFc=")</f>
        <v>#REF!</v>
      </c>
      <c r="CK187" t="e">
        <f>AND(Demos!#REF!,"AAAAAF27PFg=")</f>
        <v>#REF!</v>
      </c>
      <c r="CL187" t="e">
        <f>AND(Demos!#REF!,"AAAAAF27PFk=")</f>
        <v>#REF!</v>
      </c>
      <c r="CM187" t="e">
        <f>AND(Demos!#REF!,"AAAAAF27PFo=")</f>
        <v>#REF!</v>
      </c>
      <c r="CN187" t="e">
        <f>AND(Demos!#REF!,"AAAAAF27PFs=")</f>
        <v>#REF!</v>
      </c>
      <c r="CO187" t="e">
        <f>AND(Demos!#REF!,"AAAAAF27PFw=")</f>
        <v>#REF!</v>
      </c>
      <c r="CP187" t="e">
        <f>AND(Demos!#REF!,"AAAAAF27PF0=")</f>
        <v>#REF!</v>
      </c>
      <c r="CQ187">
        <f>IF(Demos!188:188,"AAAAAF27PF4=",0)</f>
        <v>0</v>
      </c>
      <c r="CR187" t="e">
        <f>AND(Demos!#REF!,"AAAAAF27PF8=")</f>
        <v>#REF!</v>
      </c>
      <c r="CS187" t="e">
        <f>AND(Demos!#REF!,"AAAAAF27PGA=")</f>
        <v>#REF!</v>
      </c>
      <c r="CT187" t="e">
        <f>AND(Demos!#REF!,"AAAAAF27PGE=")</f>
        <v>#REF!</v>
      </c>
      <c r="CU187" t="e">
        <f>AND(Demos!#REF!,"AAAAAF27PGI=")</f>
        <v>#REF!</v>
      </c>
      <c r="CV187" t="e">
        <f>AND(Demos!#REF!,"AAAAAF27PGM=")</f>
        <v>#REF!</v>
      </c>
      <c r="CW187" t="e">
        <f>AND(Demos!#REF!,"AAAAAF27PGQ=")</f>
        <v>#REF!</v>
      </c>
      <c r="CX187" t="e">
        <f>AND(Demos!#REF!,"AAAAAF27PGU=")</f>
        <v>#REF!</v>
      </c>
      <c r="CY187" t="e">
        <f>AND(Demos!#REF!,"AAAAAF27PGY=")</f>
        <v>#REF!</v>
      </c>
      <c r="CZ187" t="e">
        <f>AND(Demos!#REF!,"AAAAAF27PGc=")</f>
        <v>#REF!</v>
      </c>
      <c r="DA187" t="e">
        <f>AND(Demos!#REF!,"AAAAAF27PGg=")</f>
        <v>#REF!</v>
      </c>
      <c r="DB187" t="e">
        <f>AND(Demos!#REF!,"AAAAAF27PGk=")</f>
        <v>#REF!</v>
      </c>
      <c r="DC187" t="e">
        <f>AND(Demos!#REF!,"AAAAAF27PGo=")</f>
        <v>#REF!</v>
      </c>
      <c r="DD187" t="e">
        <f>AND(Demos!#REF!,"AAAAAF27PGs=")</f>
        <v>#REF!</v>
      </c>
      <c r="DE187" t="e">
        <f>IF(Demos!#REF!,"AAAAAF27PGw=",0)</f>
        <v>#REF!</v>
      </c>
      <c r="DF187" t="e">
        <f>AND(Demos!#REF!,"AAAAAF27PG0=")</f>
        <v>#REF!</v>
      </c>
      <c r="DG187" t="e">
        <f>AND(Demos!#REF!,"AAAAAF27PG4=")</f>
        <v>#REF!</v>
      </c>
      <c r="DH187" t="e">
        <f>AND(Demos!#REF!,"AAAAAF27PG8=")</f>
        <v>#REF!</v>
      </c>
      <c r="DI187" t="e">
        <f>AND(Demos!#REF!,"AAAAAF27PHA=")</f>
        <v>#REF!</v>
      </c>
      <c r="DJ187" t="e">
        <f>AND(Demos!#REF!,"AAAAAF27PHE=")</f>
        <v>#REF!</v>
      </c>
      <c r="DK187" t="e">
        <f>AND(Demos!#REF!,"AAAAAF27PHI=")</f>
        <v>#REF!</v>
      </c>
      <c r="DL187" t="e">
        <f>AND(Demos!#REF!,"AAAAAF27PHM=")</f>
        <v>#REF!</v>
      </c>
      <c r="DM187" t="e">
        <f>AND(Demos!#REF!,"AAAAAF27PHQ=")</f>
        <v>#REF!</v>
      </c>
      <c r="DN187" t="e">
        <f>AND(Demos!#REF!,"AAAAAF27PHU=")</f>
        <v>#REF!</v>
      </c>
      <c r="DO187" t="e">
        <f>AND(Demos!#REF!,"AAAAAF27PHY=")</f>
        <v>#REF!</v>
      </c>
      <c r="DP187" t="e">
        <f>AND(Demos!#REF!,"AAAAAF27PHc=")</f>
        <v>#REF!</v>
      </c>
      <c r="DQ187" t="e">
        <f>AND(Demos!#REF!,"AAAAAF27PHg=")</f>
        <v>#REF!</v>
      </c>
      <c r="DR187" t="e">
        <f>AND(Demos!#REF!,"AAAAAF27PHk=")</f>
        <v>#REF!</v>
      </c>
      <c r="DS187" t="e">
        <f>IF(Demos!#REF!,"AAAAAF27PHo=",0)</f>
        <v>#REF!</v>
      </c>
      <c r="DT187" t="e">
        <f>AND(Demos!#REF!,"AAAAAF27PHs=")</f>
        <v>#REF!</v>
      </c>
      <c r="DU187" t="e">
        <f>AND(Demos!#REF!,"AAAAAF27PHw=")</f>
        <v>#REF!</v>
      </c>
      <c r="DV187" t="e">
        <f>AND(Demos!#REF!,"AAAAAF27PH0=")</f>
        <v>#REF!</v>
      </c>
      <c r="DW187" t="e">
        <f>AND(Demos!#REF!,"AAAAAF27PH4=")</f>
        <v>#REF!</v>
      </c>
      <c r="DX187" t="e">
        <f>AND(Demos!#REF!,"AAAAAF27PH8=")</f>
        <v>#REF!</v>
      </c>
      <c r="DY187" t="e">
        <f>AND(Demos!#REF!,"AAAAAF27PIA=")</f>
        <v>#REF!</v>
      </c>
      <c r="DZ187" t="e">
        <f>AND(Demos!#REF!,"AAAAAF27PIE=")</f>
        <v>#REF!</v>
      </c>
      <c r="EA187" t="e">
        <f>AND(Demos!#REF!,"AAAAAF27PII=")</f>
        <v>#REF!</v>
      </c>
      <c r="EB187" t="e">
        <f>AND(Demos!#REF!,"AAAAAF27PIM=")</f>
        <v>#REF!</v>
      </c>
      <c r="EC187" t="e">
        <f>AND(Demos!#REF!,"AAAAAF27PIQ=")</f>
        <v>#REF!</v>
      </c>
      <c r="ED187" t="e">
        <f>AND(Demos!#REF!,"AAAAAF27PIU=")</f>
        <v>#REF!</v>
      </c>
      <c r="EE187" t="e">
        <f>AND(Demos!#REF!,"AAAAAF27PIY=")</f>
        <v>#REF!</v>
      </c>
      <c r="EF187" t="e">
        <f>AND(Demos!#REF!,"AAAAAF27PIc=")</f>
        <v>#REF!</v>
      </c>
      <c r="EG187" t="e">
        <f>IF(Demos!#REF!,"AAAAAF27PIg=",0)</f>
        <v>#REF!</v>
      </c>
      <c r="EH187" t="e">
        <f>AND(Demos!#REF!,"AAAAAF27PIk=")</f>
        <v>#REF!</v>
      </c>
      <c r="EI187" t="e">
        <f>AND(Demos!#REF!,"AAAAAF27PIo=")</f>
        <v>#REF!</v>
      </c>
      <c r="EJ187" t="e">
        <f>AND(Demos!#REF!,"AAAAAF27PIs=")</f>
        <v>#REF!</v>
      </c>
      <c r="EK187" t="e">
        <f>AND(Demos!#REF!,"AAAAAF27PIw=")</f>
        <v>#REF!</v>
      </c>
      <c r="EL187" t="e">
        <f>AND(Demos!#REF!,"AAAAAF27PI0=")</f>
        <v>#REF!</v>
      </c>
      <c r="EM187" t="e">
        <f>AND(Demos!#REF!,"AAAAAF27PI4=")</f>
        <v>#REF!</v>
      </c>
      <c r="EN187" t="e">
        <f>AND(Demos!#REF!,"AAAAAF27PI8=")</f>
        <v>#REF!</v>
      </c>
      <c r="EO187" t="e">
        <f>AND(Demos!#REF!,"AAAAAF27PJA=")</f>
        <v>#REF!</v>
      </c>
      <c r="EP187" t="e">
        <f>AND(Demos!#REF!,"AAAAAF27PJE=")</f>
        <v>#REF!</v>
      </c>
      <c r="EQ187" t="e">
        <f>AND(Demos!#REF!,"AAAAAF27PJI=")</f>
        <v>#REF!</v>
      </c>
      <c r="ER187" t="e">
        <f>AND(Demos!#REF!,"AAAAAF27PJM=")</f>
        <v>#REF!</v>
      </c>
      <c r="ES187" t="e">
        <f>AND(Demos!#REF!,"AAAAAF27PJQ=")</f>
        <v>#REF!</v>
      </c>
      <c r="ET187" t="e">
        <f>AND(Demos!#REF!,"AAAAAF27PJU=")</f>
        <v>#REF!</v>
      </c>
      <c r="EU187" t="e">
        <f>IF(Demos!#REF!,"AAAAAF27PJY=",0)</f>
        <v>#REF!</v>
      </c>
      <c r="EV187" t="e">
        <f>AND(Demos!#REF!,"AAAAAF27PJc=")</f>
        <v>#REF!</v>
      </c>
      <c r="EW187" t="e">
        <f>AND(Demos!#REF!,"AAAAAF27PJg=")</f>
        <v>#REF!</v>
      </c>
      <c r="EX187" t="e">
        <f>AND(Demos!#REF!,"AAAAAF27PJk=")</f>
        <v>#REF!</v>
      </c>
      <c r="EY187" t="e">
        <f>AND(Demos!#REF!,"AAAAAF27PJo=")</f>
        <v>#REF!</v>
      </c>
      <c r="EZ187" t="e">
        <f>AND(Demos!#REF!,"AAAAAF27PJs=")</f>
        <v>#REF!</v>
      </c>
      <c r="FA187" t="e">
        <f>AND(Demos!#REF!,"AAAAAF27PJw=")</f>
        <v>#REF!</v>
      </c>
      <c r="FB187" t="e">
        <f>AND(Demos!#REF!,"AAAAAF27PJ0=")</f>
        <v>#REF!</v>
      </c>
      <c r="FC187" t="e">
        <f>AND(Demos!#REF!,"AAAAAF27PJ4=")</f>
        <v>#REF!</v>
      </c>
      <c r="FD187" t="e">
        <f>AND(Demos!#REF!,"AAAAAF27PJ8=")</f>
        <v>#REF!</v>
      </c>
      <c r="FE187" t="e">
        <f>AND(Demos!#REF!,"AAAAAF27PKA=")</f>
        <v>#REF!</v>
      </c>
      <c r="FF187" t="e">
        <f>AND(Demos!#REF!,"AAAAAF27PKE=")</f>
        <v>#REF!</v>
      </c>
      <c r="FG187" t="e">
        <f>AND(Demos!#REF!,"AAAAAF27PKI=")</f>
        <v>#REF!</v>
      </c>
      <c r="FH187" t="e">
        <f>AND(Demos!#REF!,"AAAAAF27PKM=")</f>
        <v>#REF!</v>
      </c>
      <c r="FI187" t="e">
        <f>IF(Demos!#REF!,"AAAAAF27PKQ=",0)</f>
        <v>#REF!</v>
      </c>
      <c r="FJ187" t="e">
        <f>AND(Demos!A193,"AAAAAF27PKU=")</f>
        <v>#VALUE!</v>
      </c>
      <c r="FK187" t="e">
        <f>AND(Demos!B193,"AAAAAF27PKY=")</f>
        <v>#VALUE!</v>
      </c>
      <c r="FL187" t="e">
        <f>AND(Demos!#REF!,"AAAAAF27PKc=")</f>
        <v>#REF!</v>
      </c>
      <c r="FM187" t="e">
        <f>AND(Demos!C193,"AAAAAF27PKg=")</f>
        <v>#VALUE!</v>
      </c>
      <c r="FN187" t="e">
        <f>AND(Demos!#REF!,"AAAAAF27PKk=")</f>
        <v>#REF!</v>
      </c>
      <c r="FO187" t="e">
        <f>AND(Demos!#REF!,"AAAAAF27PKo=")</f>
        <v>#REF!</v>
      </c>
      <c r="FP187" t="e">
        <f>AND(Demos!#REF!,"AAAAAF27PKs=")</f>
        <v>#REF!</v>
      </c>
      <c r="FQ187" t="e">
        <f>AND(Demos!#REF!,"AAAAAF27PKw=")</f>
        <v>#REF!</v>
      </c>
      <c r="FR187" t="e">
        <f>AND(Demos!D193,"AAAAAF27PK0=")</f>
        <v>#VALUE!</v>
      </c>
      <c r="FS187" t="e">
        <f>AND(Demos!#REF!,"AAAAAF27PK4=")</f>
        <v>#REF!</v>
      </c>
      <c r="FT187" t="e">
        <f>AND(Demos!E193,"AAAAAF27PK8=")</f>
        <v>#VALUE!</v>
      </c>
      <c r="FU187" t="e">
        <f>AND(Demos!F193,"AAAAAF27PLA=")</f>
        <v>#VALUE!</v>
      </c>
      <c r="FV187" t="e">
        <f>AND(Demos!G193,"AAAAAF27PLE=")</f>
        <v>#VALUE!</v>
      </c>
      <c r="FW187" t="e">
        <f>IF(Demos!#REF!,"AAAAAF27PLI=",0)</f>
        <v>#REF!</v>
      </c>
      <c r="FX187" t="e">
        <f>AND(Demos!A194,"AAAAAF27PLM=")</f>
        <v>#VALUE!</v>
      </c>
      <c r="FY187" t="e">
        <f>AND(Demos!B194,"AAAAAF27PLQ=")</f>
        <v>#VALUE!</v>
      </c>
      <c r="FZ187" t="e">
        <f>AND(Demos!#REF!,"AAAAAF27PLU=")</f>
        <v>#REF!</v>
      </c>
      <c r="GA187" t="e">
        <f>AND(Demos!C194,"AAAAAF27PLY=")</f>
        <v>#VALUE!</v>
      </c>
      <c r="GB187" t="e">
        <f>AND(Demos!#REF!,"AAAAAF27PLc=")</f>
        <v>#REF!</v>
      </c>
      <c r="GC187" t="e">
        <f>AND(Demos!#REF!,"AAAAAF27PLg=")</f>
        <v>#REF!</v>
      </c>
      <c r="GD187" t="e">
        <f>AND(Demos!#REF!,"AAAAAF27PLk=")</f>
        <v>#REF!</v>
      </c>
      <c r="GE187" t="e">
        <f>AND(Demos!D194,"AAAAAF27PLo=")</f>
        <v>#VALUE!</v>
      </c>
      <c r="GF187" t="e">
        <f>AND(Demos!#REF!,"AAAAAF27PLs=")</f>
        <v>#REF!</v>
      </c>
      <c r="GG187" t="e">
        <f>AND(Demos!#REF!,"AAAAAF27PLw=")</f>
        <v>#REF!</v>
      </c>
      <c r="GH187" t="e">
        <f>AND(Demos!F194,"AAAAAF27PL0=")</f>
        <v>#VALUE!</v>
      </c>
      <c r="GI187" t="e">
        <f>AND(Demos!#REF!,"AAAAAF27PL4=")</f>
        <v>#REF!</v>
      </c>
      <c r="GJ187" t="e">
        <f>AND(Demos!G194,"AAAAAF27PL8=")</f>
        <v>#VALUE!</v>
      </c>
      <c r="GK187">
        <f>IF(Demos!193:193,"AAAAAF27PMA=",0)</f>
        <v>0</v>
      </c>
      <c r="GL187" t="e">
        <f>AND(Demos!#REF!,"AAAAAF27PME=")</f>
        <v>#REF!</v>
      </c>
      <c r="GM187" t="e">
        <f>AND(Demos!#REF!,"AAAAAF27PMI=")</f>
        <v>#REF!</v>
      </c>
      <c r="GN187" t="e">
        <f>AND(Demos!#REF!,"AAAAAF27PMM=")</f>
        <v>#REF!</v>
      </c>
      <c r="GO187" t="e">
        <f>AND(Demos!#REF!,"AAAAAF27PMQ=")</f>
        <v>#REF!</v>
      </c>
      <c r="GP187" t="e">
        <f>AND(Demos!#REF!,"AAAAAF27PMU=")</f>
        <v>#REF!</v>
      </c>
      <c r="GQ187" t="e">
        <f>AND(Demos!#REF!,"AAAAAF27PMY=")</f>
        <v>#REF!</v>
      </c>
      <c r="GR187" t="e">
        <f>AND(Demos!#REF!,"AAAAAF27PMc=")</f>
        <v>#REF!</v>
      </c>
      <c r="GS187" t="e">
        <f>AND(Demos!#REF!,"AAAAAF27PMg=")</f>
        <v>#REF!</v>
      </c>
      <c r="GT187" t="e">
        <f>AND(Demos!#REF!,"AAAAAF27PMk=")</f>
        <v>#REF!</v>
      </c>
      <c r="GU187" t="e">
        <f>AND(Demos!#REF!,"AAAAAF27PMo=")</f>
        <v>#REF!</v>
      </c>
      <c r="GV187" t="e">
        <f>AND(Demos!#REF!,"AAAAAF27PMs=")</f>
        <v>#REF!</v>
      </c>
      <c r="GW187" t="e">
        <f>AND(Demos!#REF!,"AAAAAF27PMw=")</f>
        <v>#REF!</v>
      </c>
      <c r="GX187" t="e">
        <f>AND(Demos!#REF!,"AAAAAF27PM0=")</f>
        <v>#REF!</v>
      </c>
      <c r="GY187">
        <f>IF(Demos!194:194,"AAAAAF27PM4=",0)</f>
        <v>0</v>
      </c>
      <c r="GZ187" t="e">
        <f>AND(Demos!#REF!,"AAAAAF27PM8=")</f>
        <v>#REF!</v>
      </c>
      <c r="HA187" t="e">
        <f>AND(Demos!#REF!,"AAAAAF27PNA=")</f>
        <v>#REF!</v>
      </c>
      <c r="HB187" t="e">
        <f>AND(Demos!#REF!,"AAAAAF27PNE=")</f>
        <v>#REF!</v>
      </c>
      <c r="HC187" t="e">
        <f>AND(Demos!#REF!,"AAAAAF27PNI=")</f>
        <v>#REF!</v>
      </c>
      <c r="HD187" t="e">
        <f>AND(Demos!#REF!,"AAAAAF27PNM=")</f>
        <v>#REF!</v>
      </c>
      <c r="HE187" t="e">
        <f>AND(Demos!#REF!,"AAAAAF27PNQ=")</f>
        <v>#REF!</v>
      </c>
      <c r="HF187" t="e">
        <f>AND(Demos!#REF!,"AAAAAF27PNU=")</f>
        <v>#REF!</v>
      </c>
      <c r="HG187" t="e">
        <f>AND(Demos!#REF!,"AAAAAF27PNY=")</f>
        <v>#REF!</v>
      </c>
      <c r="HH187" t="e">
        <f>AND(Demos!#REF!,"AAAAAF27PNc=")</f>
        <v>#REF!</v>
      </c>
      <c r="HI187" t="e">
        <f>AND(Demos!#REF!,"AAAAAF27PNg=")</f>
        <v>#REF!</v>
      </c>
      <c r="HJ187" t="e">
        <f>AND(Demos!#REF!,"AAAAAF27PNk=")</f>
        <v>#REF!</v>
      </c>
      <c r="HK187" t="e">
        <f>AND(Demos!#REF!,"AAAAAF27PNo=")</f>
        <v>#REF!</v>
      </c>
      <c r="HL187" t="e">
        <f>AND(Demos!#REF!,"AAAAAF27PNs=")</f>
        <v>#REF!</v>
      </c>
      <c r="HM187" t="e">
        <f>IF(Demos!#REF!,"AAAAAF27PNw=",0)</f>
        <v>#REF!</v>
      </c>
      <c r="HN187" t="e">
        <f>AND(Demos!#REF!,"AAAAAF27PN0=")</f>
        <v>#REF!</v>
      </c>
      <c r="HO187" t="e">
        <f>AND(Demos!#REF!,"AAAAAF27PN4=")</f>
        <v>#REF!</v>
      </c>
      <c r="HP187" t="e">
        <f>AND(Demos!#REF!,"AAAAAF27PN8=")</f>
        <v>#REF!</v>
      </c>
      <c r="HQ187" t="e">
        <f>AND(Demos!#REF!,"AAAAAF27POA=")</f>
        <v>#REF!</v>
      </c>
      <c r="HR187" t="e">
        <f>AND(Demos!#REF!,"AAAAAF27POE=")</f>
        <v>#REF!</v>
      </c>
      <c r="HS187" t="e">
        <f>AND(Demos!#REF!,"AAAAAF27POI=")</f>
        <v>#REF!</v>
      </c>
      <c r="HT187" t="e">
        <f>AND(Demos!#REF!,"AAAAAF27POM=")</f>
        <v>#REF!</v>
      </c>
      <c r="HU187" t="e">
        <f>AND(Demos!#REF!,"AAAAAF27POQ=")</f>
        <v>#REF!</v>
      </c>
      <c r="HV187" t="e">
        <f>AND(Demos!#REF!,"AAAAAF27POU=")</f>
        <v>#REF!</v>
      </c>
      <c r="HW187" t="e">
        <f>AND(Demos!#REF!,"AAAAAF27POY=")</f>
        <v>#REF!</v>
      </c>
      <c r="HX187" t="e">
        <f>AND(Demos!#REF!,"AAAAAF27POc=")</f>
        <v>#REF!</v>
      </c>
      <c r="HY187" t="e">
        <f>AND(Demos!#REF!,"AAAAAF27POg=")</f>
        <v>#REF!</v>
      </c>
      <c r="HZ187" t="e">
        <f>AND(Demos!#REF!,"AAAAAF27POk=")</f>
        <v>#REF!</v>
      </c>
      <c r="IA187" t="e">
        <f>IF(Demos!#REF!,"AAAAAF27POo=",0)</f>
        <v>#REF!</v>
      </c>
      <c r="IB187" t="e">
        <f>AND(Demos!#REF!,"AAAAAF27POs=")</f>
        <v>#REF!</v>
      </c>
      <c r="IC187" t="e">
        <f>AND(Demos!#REF!,"AAAAAF27POw=")</f>
        <v>#REF!</v>
      </c>
      <c r="ID187" t="e">
        <f>AND(Demos!#REF!,"AAAAAF27PO0=")</f>
        <v>#REF!</v>
      </c>
      <c r="IE187" t="e">
        <f>AND(Demos!#REF!,"AAAAAF27PO4=")</f>
        <v>#REF!</v>
      </c>
      <c r="IF187" t="e">
        <f>AND(Demos!#REF!,"AAAAAF27PO8=")</f>
        <v>#REF!</v>
      </c>
      <c r="IG187" t="e">
        <f>AND(Demos!#REF!,"AAAAAF27PPA=")</f>
        <v>#REF!</v>
      </c>
      <c r="IH187" t="e">
        <f>AND(Demos!#REF!,"AAAAAF27PPE=")</f>
        <v>#REF!</v>
      </c>
      <c r="II187" t="e">
        <f>AND(Demos!#REF!,"AAAAAF27PPI=")</f>
        <v>#REF!</v>
      </c>
      <c r="IJ187" t="e">
        <f>AND(Demos!#REF!,"AAAAAF27PPM=")</f>
        <v>#REF!</v>
      </c>
      <c r="IK187" t="e">
        <f>AND(Demos!#REF!,"AAAAAF27PPQ=")</f>
        <v>#REF!</v>
      </c>
      <c r="IL187" t="e">
        <f>AND(Demos!#REF!,"AAAAAF27PPU=")</f>
        <v>#REF!</v>
      </c>
      <c r="IM187" t="e">
        <f>AND(Demos!#REF!,"AAAAAF27PPY=")</f>
        <v>#REF!</v>
      </c>
      <c r="IN187" t="e">
        <f>AND(Demos!#REF!,"AAAAAF27PPc=")</f>
        <v>#REF!</v>
      </c>
      <c r="IO187" t="e">
        <f>IF(Demos!#REF!,"AAAAAF27PPg=",0)</f>
        <v>#REF!</v>
      </c>
      <c r="IP187" t="e">
        <f>AND(Demos!#REF!,"AAAAAF27PPk=")</f>
        <v>#REF!</v>
      </c>
      <c r="IQ187" t="e">
        <f>AND(Demos!#REF!,"AAAAAF27PPo=")</f>
        <v>#REF!</v>
      </c>
      <c r="IR187" t="e">
        <f>AND(Demos!#REF!,"AAAAAF27PPs=")</f>
        <v>#REF!</v>
      </c>
      <c r="IS187" t="e">
        <f>AND(Demos!#REF!,"AAAAAF27PPw=")</f>
        <v>#REF!</v>
      </c>
      <c r="IT187" t="e">
        <f>AND(Demos!#REF!,"AAAAAF27PP0=")</f>
        <v>#REF!</v>
      </c>
      <c r="IU187" t="e">
        <f>AND(Demos!#REF!,"AAAAAF27PP4=")</f>
        <v>#REF!</v>
      </c>
      <c r="IV187" t="e">
        <f>AND(Demos!#REF!,"AAAAAF27PP8=")</f>
        <v>#REF!</v>
      </c>
    </row>
    <row r="188" spans="1:256" x14ac:dyDescent="0.2">
      <c r="A188" t="e">
        <f>AND(Demos!#REF!,"AAAAAH/4/wA=")</f>
        <v>#REF!</v>
      </c>
      <c r="B188" t="e">
        <f>AND(Demos!#REF!,"AAAAAH/4/wE=")</f>
        <v>#REF!</v>
      </c>
      <c r="C188" t="e">
        <f>AND(Demos!#REF!,"AAAAAH/4/wI=")</f>
        <v>#REF!</v>
      </c>
      <c r="D188" t="e">
        <f>AND(Demos!#REF!,"AAAAAH/4/wM=")</f>
        <v>#REF!</v>
      </c>
      <c r="E188" t="e">
        <f>AND(Demos!#REF!,"AAAAAH/4/wQ=")</f>
        <v>#REF!</v>
      </c>
      <c r="F188" t="e">
        <f>AND(Demos!#REF!,"AAAAAH/4/wU=")</f>
        <v>#REF!</v>
      </c>
      <c r="G188" t="e">
        <f>IF(Demos!#REF!,"AAAAAH/4/wY=",0)</f>
        <v>#REF!</v>
      </c>
      <c r="H188" t="e">
        <f>AND(Demos!#REF!,"AAAAAH/4/wc=")</f>
        <v>#REF!</v>
      </c>
      <c r="I188" t="e">
        <f>AND(Demos!#REF!,"AAAAAH/4/wg=")</f>
        <v>#REF!</v>
      </c>
      <c r="J188" t="e">
        <f>AND(Demos!#REF!,"AAAAAH/4/wk=")</f>
        <v>#REF!</v>
      </c>
      <c r="K188" t="e">
        <f>AND(Demos!#REF!,"AAAAAH/4/wo=")</f>
        <v>#REF!</v>
      </c>
      <c r="L188" t="e">
        <f>AND(Demos!#REF!,"AAAAAH/4/ws=")</f>
        <v>#REF!</v>
      </c>
      <c r="M188" t="e">
        <f>AND(Demos!#REF!,"AAAAAH/4/ww=")</f>
        <v>#REF!</v>
      </c>
      <c r="N188" t="e">
        <f>AND(Demos!#REF!,"AAAAAH/4/w0=")</f>
        <v>#REF!</v>
      </c>
      <c r="O188" t="e">
        <f>AND(Demos!#REF!,"AAAAAH/4/w4=")</f>
        <v>#REF!</v>
      </c>
      <c r="P188" t="e">
        <f>AND(Demos!#REF!,"AAAAAH/4/w8=")</f>
        <v>#REF!</v>
      </c>
      <c r="Q188" t="e">
        <f>AND(Demos!#REF!,"AAAAAH/4/xA=")</f>
        <v>#REF!</v>
      </c>
      <c r="R188" t="e">
        <f>AND(Demos!#REF!,"AAAAAH/4/xE=")</f>
        <v>#REF!</v>
      </c>
      <c r="S188" t="e">
        <f>AND(Demos!#REF!,"AAAAAH/4/xI=")</f>
        <v>#REF!</v>
      </c>
      <c r="T188" t="e">
        <f>AND(Demos!#REF!,"AAAAAH/4/xM=")</f>
        <v>#REF!</v>
      </c>
      <c r="U188" t="e">
        <f>IF(Demos!#REF!,"AAAAAH/4/xQ=",0)</f>
        <v>#REF!</v>
      </c>
      <c r="V188" t="e">
        <f>AND(Demos!#REF!,"AAAAAH/4/xU=")</f>
        <v>#REF!</v>
      </c>
      <c r="W188" t="e">
        <f>AND(Demos!#REF!,"AAAAAH/4/xY=")</f>
        <v>#REF!</v>
      </c>
      <c r="X188" t="e">
        <f>AND(Demos!#REF!,"AAAAAH/4/xc=")</f>
        <v>#REF!</v>
      </c>
      <c r="Y188" t="e">
        <f>AND(Demos!#REF!,"AAAAAH/4/xg=")</f>
        <v>#REF!</v>
      </c>
      <c r="Z188" t="e">
        <f>AND(Demos!#REF!,"AAAAAH/4/xk=")</f>
        <v>#REF!</v>
      </c>
      <c r="AA188" t="e">
        <f>AND(Demos!#REF!,"AAAAAH/4/xo=")</f>
        <v>#REF!</v>
      </c>
      <c r="AB188" t="e">
        <f>AND(Demos!#REF!,"AAAAAH/4/xs=")</f>
        <v>#REF!</v>
      </c>
      <c r="AC188" t="e">
        <f>AND(Demos!#REF!,"AAAAAH/4/xw=")</f>
        <v>#REF!</v>
      </c>
      <c r="AD188" t="e">
        <f>AND(Demos!#REF!,"AAAAAH/4/x0=")</f>
        <v>#REF!</v>
      </c>
      <c r="AE188" t="e">
        <f>AND(Demos!#REF!,"AAAAAH/4/x4=")</f>
        <v>#REF!</v>
      </c>
      <c r="AF188" t="e">
        <f>AND(Demos!#REF!,"AAAAAH/4/x8=")</f>
        <v>#REF!</v>
      </c>
      <c r="AG188" t="e">
        <f>AND(Demos!#REF!,"AAAAAH/4/yA=")</f>
        <v>#REF!</v>
      </c>
      <c r="AH188" t="e">
        <f>AND(Demos!#REF!,"AAAAAH/4/yE=")</f>
        <v>#REF!</v>
      </c>
      <c r="AI188" t="e">
        <f>IF(Demos!#REF!,"AAAAAH/4/yI=",0)</f>
        <v>#REF!</v>
      </c>
      <c r="AJ188" t="e">
        <f>AND(Demos!#REF!,"AAAAAH/4/yM=")</f>
        <v>#REF!</v>
      </c>
      <c r="AK188" t="e">
        <f>AND(Demos!#REF!,"AAAAAH/4/yQ=")</f>
        <v>#REF!</v>
      </c>
      <c r="AL188" t="e">
        <f>AND(Demos!#REF!,"AAAAAH/4/yU=")</f>
        <v>#REF!</v>
      </c>
      <c r="AM188" t="e">
        <f>AND(Demos!#REF!,"AAAAAH/4/yY=")</f>
        <v>#REF!</v>
      </c>
      <c r="AN188" t="e">
        <f>AND(Demos!#REF!,"AAAAAH/4/yc=")</f>
        <v>#REF!</v>
      </c>
      <c r="AO188" t="e">
        <f>AND(Demos!#REF!,"AAAAAH/4/yg=")</f>
        <v>#REF!</v>
      </c>
      <c r="AP188" t="e">
        <f>AND(Demos!#REF!,"AAAAAH/4/yk=")</f>
        <v>#REF!</v>
      </c>
      <c r="AQ188" t="e">
        <f>AND(Demos!#REF!,"AAAAAH/4/yo=")</f>
        <v>#REF!</v>
      </c>
      <c r="AR188" t="e">
        <f>AND(Demos!#REF!,"AAAAAH/4/ys=")</f>
        <v>#REF!</v>
      </c>
      <c r="AS188" t="e">
        <f>AND(Demos!#REF!,"AAAAAH/4/yw=")</f>
        <v>#REF!</v>
      </c>
      <c r="AT188" t="e">
        <f>AND(Demos!#REF!,"AAAAAH/4/y0=")</f>
        <v>#REF!</v>
      </c>
      <c r="AU188" t="e">
        <f>AND(Demos!#REF!,"AAAAAH/4/y4=")</f>
        <v>#REF!</v>
      </c>
      <c r="AV188" t="e">
        <f>AND(Demos!#REF!,"AAAAAH/4/y8=")</f>
        <v>#REF!</v>
      </c>
      <c r="AW188" t="e">
        <f>IF(Demos!#REF!,"AAAAAH/4/zA=",0)</f>
        <v>#REF!</v>
      </c>
      <c r="AX188" t="e">
        <f>AND(Demos!#REF!,"AAAAAH/4/zE=")</f>
        <v>#REF!</v>
      </c>
      <c r="AY188" t="e">
        <f>AND(Demos!#REF!,"AAAAAH/4/zI=")</f>
        <v>#REF!</v>
      </c>
      <c r="AZ188" t="e">
        <f>AND(Demos!#REF!,"AAAAAH/4/zM=")</f>
        <v>#REF!</v>
      </c>
      <c r="BA188" t="e">
        <f>AND(Demos!#REF!,"AAAAAH/4/zQ=")</f>
        <v>#REF!</v>
      </c>
      <c r="BB188" t="e">
        <f>AND(Demos!#REF!,"AAAAAH/4/zU=")</f>
        <v>#REF!</v>
      </c>
      <c r="BC188" t="e">
        <f>AND(Demos!#REF!,"AAAAAH/4/zY=")</f>
        <v>#REF!</v>
      </c>
      <c r="BD188" t="e">
        <f>AND(Demos!#REF!,"AAAAAH/4/zc=")</f>
        <v>#REF!</v>
      </c>
      <c r="BE188" t="e">
        <f>AND(Demos!#REF!,"AAAAAH/4/zg=")</f>
        <v>#REF!</v>
      </c>
      <c r="BF188" t="e">
        <f>AND(Demos!#REF!,"AAAAAH/4/zk=")</f>
        <v>#REF!</v>
      </c>
      <c r="BG188" t="e">
        <f>AND(Demos!#REF!,"AAAAAH/4/zo=")</f>
        <v>#REF!</v>
      </c>
      <c r="BH188" t="e">
        <f>AND(Demos!#REF!,"AAAAAH/4/zs=")</f>
        <v>#REF!</v>
      </c>
      <c r="BI188" t="e">
        <f>AND(Demos!#REF!,"AAAAAH/4/zw=")</f>
        <v>#REF!</v>
      </c>
      <c r="BJ188" t="e">
        <f>AND(Demos!#REF!,"AAAAAH/4/z0=")</f>
        <v>#REF!</v>
      </c>
      <c r="BK188" t="e">
        <f>IF(Demos!#REF!,"AAAAAH/4/z4=",0)</f>
        <v>#REF!</v>
      </c>
      <c r="BL188" t="e">
        <f>AND(Demos!#REF!,"AAAAAH/4/z8=")</f>
        <v>#REF!</v>
      </c>
      <c r="BM188" t="e">
        <f>AND(Demos!#REF!,"AAAAAH/4/0A=")</f>
        <v>#REF!</v>
      </c>
      <c r="BN188" t="e">
        <f>AND(Demos!#REF!,"AAAAAH/4/0E=")</f>
        <v>#REF!</v>
      </c>
      <c r="BO188" t="e">
        <f>AND(Demos!#REF!,"AAAAAH/4/0I=")</f>
        <v>#REF!</v>
      </c>
      <c r="BP188" t="e">
        <f>AND(Demos!#REF!,"AAAAAH/4/0M=")</f>
        <v>#REF!</v>
      </c>
      <c r="BQ188" t="e">
        <f>AND(Demos!#REF!,"AAAAAH/4/0Q=")</f>
        <v>#REF!</v>
      </c>
      <c r="BR188" t="e">
        <f>AND(Demos!#REF!,"AAAAAH/4/0U=")</f>
        <v>#REF!</v>
      </c>
      <c r="BS188" t="e">
        <f>AND(Demos!#REF!,"AAAAAH/4/0Y=")</f>
        <v>#REF!</v>
      </c>
      <c r="BT188" t="e">
        <f>AND(Demos!#REF!,"AAAAAH/4/0c=")</f>
        <v>#REF!</v>
      </c>
      <c r="BU188" t="e">
        <f>AND(Demos!#REF!,"AAAAAH/4/0g=")</f>
        <v>#REF!</v>
      </c>
      <c r="BV188" t="e">
        <f>AND(Demos!#REF!,"AAAAAH/4/0k=")</f>
        <v>#REF!</v>
      </c>
      <c r="BW188" t="e">
        <f>AND(Demos!#REF!,"AAAAAH/4/0o=")</f>
        <v>#REF!</v>
      </c>
      <c r="BX188" t="e">
        <f>AND(Demos!#REF!,"AAAAAH/4/0s=")</f>
        <v>#REF!</v>
      </c>
      <c r="BY188" t="e">
        <f>IF(Demos!#REF!,"AAAAAH/4/0w=",0)</f>
        <v>#REF!</v>
      </c>
      <c r="BZ188" t="e">
        <f>AND(Demos!#REF!,"AAAAAH/4/00=")</f>
        <v>#REF!</v>
      </c>
      <c r="CA188" t="e">
        <f>AND(Demos!#REF!,"AAAAAH/4/04=")</f>
        <v>#REF!</v>
      </c>
      <c r="CB188" t="e">
        <f>AND(Demos!#REF!,"AAAAAH/4/08=")</f>
        <v>#REF!</v>
      </c>
      <c r="CC188" t="e">
        <f>AND(Demos!#REF!,"AAAAAH/4/1A=")</f>
        <v>#REF!</v>
      </c>
      <c r="CD188" t="e">
        <f>AND(Demos!#REF!,"AAAAAH/4/1E=")</f>
        <v>#REF!</v>
      </c>
      <c r="CE188" t="e">
        <f>AND(Demos!#REF!,"AAAAAH/4/1I=")</f>
        <v>#REF!</v>
      </c>
      <c r="CF188" t="e">
        <f>AND(Demos!#REF!,"AAAAAH/4/1M=")</f>
        <v>#REF!</v>
      </c>
      <c r="CG188" t="e">
        <f>AND(Demos!#REF!,"AAAAAH/4/1Q=")</f>
        <v>#REF!</v>
      </c>
      <c r="CH188" t="e">
        <f>AND(Demos!#REF!,"AAAAAH/4/1U=")</f>
        <v>#REF!</v>
      </c>
      <c r="CI188" t="e">
        <f>AND(Demos!#REF!,"AAAAAH/4/1Y=")</f>
        <v>#REF!</v>
      </c>
      <c r="CJ188" t="e">
        <f>AND(Demos!#REF!,"AAAAAH/4/1c=")</f>
        <v>#REF!</v>
      </c>
      <c r="CK188" t="e">
        <f>AND(Demos!#REF!,"AAAAAH/4/1g=")</f>
        <v>#REF!</v>
      </c>
      <c r="CL188" t="e">
        <f>AND(Demos!#REF!,"AAAAAH/4/1k=")</f>
        <v>#REF!</v>
      </c>
      <c r="CM188" t="e">
        <f>IF(Demos!#REF!,"AAAAAH/4/1o=",0)</f>
        <v>#REF!</v>
      </c>
      <c r="CN188" t="e">
        <f>AND(Demos!A195,"AAAAAH/4/1s=")</f>
        <v>#VALUE!</v>
      </c>
      <c r="CO188" t="e">
        <f>AND(Demos!B195,"AAAAAH/4/1w=")</f>
        <v>#VALUE!</v>
      </c>
      <c r="CP188" t="e">
        <f>AND(Demos!#REF!,"AAAAAH/4/10=")</f>
        <v>#REF!</v>
      </c>
      <c r="CQ188" t="e">
        <f>AND(Demos!C195,"AAAAAH/4/14=")</f>
        <v>#VALUE!</v>
      </c>
      <c r="CR188" t="e">
        <f>AND(Demos!#REF!,"AAAAAH/4/18=")</f>
        <v>#REF!</v>
      </c>
      <c r="CS188" t="e">
        <f>AND(Demos!#REF!,"AAAAAH/4/2A=")</f>
        <v>#REF!</v>
      </c>
      <c r="CT188" t="e">
        <f>AND(Demos!#REF!,"AAAAAH/4/2E=")</f>
        <v>#REF!</v>
      </c>
      <c r="CU188" t="e">
        <f>AND(Demos!#REF!,"AAAAAH/4/2I=")</f>
        <v>#REF!</v>
      </c>
      <c r="CV188" t="e">
        <f>AND(Demos!D195,"AAAAAH/4/2M=")</f>
        <v>#VALUE!</v>
      </c>
      <c r="CW188" t="e">
        <f>AND(Demos!#REF!,"AAAAAH/4/2Q=")</f>
        <v>#REF!</v>
      </c>
      <c r="CX188" t="e">
        <f>AND(Demos!E195,"AAAAAH/4/2U=")</f>
        <v>#VALUE!</v>
      </c>
      <c r="CY188" t="e">
        <f>AND(Demos!F195,"AAAAAH/4/2Y=")</f>
        <v>#VALUE!</v>
      </c>
      <c r="CZ188" t="e">
        <f>AND(Demos!G195,"AAAAAH/4/2c=")</f>
        <v>#VALUE!</v>
      </c>
      <c r="DA188" t="e">
        <f>IF(Demos!#REF!,"AAAAAH/4/2g=",0)</f>
        <v>#REF!</v>
      </c>
      <c r="DB188" t="e">
        <f>AND(Demos!A196,"AAAAAH/4/2k=")</f>
        <v>#VALUE!</v>
      </c>
      <c r="DC188" t="e">
        <f>AND(Demos!B196,"AAAAAH/4/2o=")</f>
        <v>#VALUE!</v>
      </c>
      <c r="DD188" t="e">
        <f>AND(Demos!#REF!,"AAAAAH/4/2s=")</f>
        <v>#REF!</v>
      </c>
      <c r="DE188" t="e">
        <f>AND(Demos!C196,"AAAAAH/4/2w=")</f>
        <v>#VALUE!</v>
      </c>
      <c r="DF188" t="e">
        <f>AND(Demos!#REF!,"AAAAAH/4/20=")</f>
        <v>#REF!</v>
      </c>
      <c r="DG188" t="e">
        <f>AND(Demos!#REF!,"AAAAAH/4/24=")</f>
        <v>#REF!</v>
      </c>
      <c r="DH188" t="e">
        <f>AND(Demos!#REF!,"AAAAAH/4/28=")</f>
        <v>#REF!</v>
      </c>
      <c r="DI188" t="e">
        <f>AND(Demos!#REF!,"AAAAAH/4/3A=")</f>
        <v>#REF!</v>
      </c>
      <c r="DJ188" t="e">
        <f>AND(Demos!D196,"AAAAAH/4/3E=")</f>
        <v>#VALUE!</v>
      </c>
      <c r="DK188" t="e">
        <f>AND(Demos!#REF!,"AAAAAH/4/3I=")</f>
        <v>#REF!</v>
      </c>
      <c r="DL188" t="e">
        <f>AND(Demos!E196,"AAAAAH/4/3M=")</f>
        <v>#VALUE!</v>
      </c>
      <c r="DM188" t="e">
        <f>AND(Demos!F196,"AAAAAH/4/3Q=")</f>
        <v>#VALUE!</v>
      </c>
      <c r="DN188" t="e">
        <f>AND(Demos!G196,"AAAAAH/4/3U=")</f>
        <v>#VALUE!</v>
      </c>
      <c r="DO188">
        <f>IF(Demos!195:195,"AAAAAH/4/3Y=",0)</f>
        <v>0</v>
      </c>
      <c r="DP188" t="e">
        <f>AND(Demos!A197,"AAAAAH/4/3c=")</f>
        <v>#VALUE!</v>
      </c>
      <c r="DQ188" t="e">
        <f>AND(Demos!#REF!,"AAAAAH/4/3g=")</f>
        <v>#REF!</v>
      </c>
      <c r="DR188" t="e">
        <f>AND(Demos!B197,"AAAAAH/4/3k=")</f>
        <v>#VALUE!</v>
      </c>
      <c r="DS188" t="e">
        <f>AND(Demos!#REF!,"AAAAAH/4/3o=")</f>
        <v>#REF!</v>
      </c>
      <c r="DT188" t="e">
        <f>AND(Demos!C197,"AAAAAH/4/3s=")</f>
        <v>#VALUE!</v>
      </c>
      <c r="DU188" t="e">
        <f>AND(Demos!#REF!,"AAAAAH/4/3w=")</f>
        <v>#REF!</v>
      </c>
      <c r="DV188" t="e">
        <f>AND(Demos!#REF!,"AAAAAH/4/30=")</f>
        <v>#REF!</v>
      </c>
      <c r="DW188" t="e">
        <f>AND(Demos!#REF!,"AAAAAH/4/34=")</f>
        <v>#REF!</v>
      </c>
      <c r="DX188" t="e">
        <f>AND(Demos!D197,"AAAAAH/4/38=")</f>
        <v>#VALUE!</v>
      </c>
      <c r="DY188" t="e">
        <f>AND(Demos!#REF!,"AAAAAH/4/4A=")</f>
        <v>#REF!</v>
      </c>
      <c r="DZ188" t="e">
        <f>AND(Demos!E197,"AAAAAH/4/4E=")</f>
        <v>#VALUE!</v>
      </c>
      <c r="EA188" t="e">
        <f>AND(Demos!F197,"AAAAAH/4/4I=")</f>
        <v>#VALUE!</v>
      </c>
      <c r="EB188" t="e">
        <f>AND(Demos!G197,"AAAAAH/4/4M=")</f>
        <v>#VALUE!</v>
      </c>
      <c r="EC188">
        <f>IF(Demos!196:196,"AAAAAH/4/4Q=",0)</f>
        <v>0</v>
      </c>
      <c r="ED188" t="e">
        <f>AND(Demos!#REF!,"AAAAAH/4/4U=")</f>
        <v>#REF!</v>
      </c>
      <c r="EE188" t="e">
        <f>AND(Demos!#REF!,"AAAAAH/4/4Y=")</f>
        <v>#REF!</v>
      </c>
      <c r="EF188" t="e">
        <f>AND(Demos!#REF!,"AAAAAH/4/4c=")</f>
        <v>#REF!</v>
      </c>
      <c r="EG188" t="e">
        <f>AND(Demos!#REF!,"AAAAAH/4/4g=")</f>
        <v>#REF!</v>
      </c>
      <c r="EH188" t="e">
        <f>AND(Demos!#REF!,"AAAAAH/4/4k=")</f>
        <v>#REF!</v>
      </c>
      <c r="EI188" t="e">
        <f>AND(Demos!#REF!,"AAAAAH/4/4o=")</f>
        <v>#REF!</v>
      </c>
      <c r="EJ188" t="e">
        <f>AND(Demos!#REF!,"AAAAAH/4/4s=")</f>
        <v>#REF!</v>
      </c>
      <c r="EK188" t="e">
        <f>AND(Demos!#REF!,"AAAAAH/4/4w=")</f>
        <v>#REF!</v>
      </c>
      <c r="EL188" t="e">
        <f>AND(Demos!#REF!,"AAAAAH/4/40=")</f>
        <v>#REF!</v>
      </c>
      <c r="EM188" t="e">
        <f>AND(Demos!#REF!,"AAAAAH/4/44=")</f>
        <v>#REF!</v>
      </c>
      <c r="EN188" t="e">
        <f>AND(Demos!#REF!,"AAAAAH/4/48=")</f>
        <v>#REF!</v>
      </c>
      <c r="EO188" t="e">
        <f>AND(Demos!#REF!,"AAAAAH/4/5A=")</f>
        <v>#REF!</v>
      </c>
      <c r="EP188" t="e">
        <f>AND(Demos!#REF!,"AAAAAH/4/5E=")</f>
        <v>#REF!</v>
      </c>
      <c r="EQ188">
        <f>IF(Demos!197:197,"AAAAAH/4/5I=",0)</f>
        <v>0</v>
      </c>
      <c r="ER188" t="e">
        <f>AND(Demos!#REF!,"AAAAAH/4/5M=")</f>
        <v>#REF!</v>
      </c>
      <c r="ES188" t="e">
        <f>AND(Demos!#REF!,"AAAAAH/4/5Q=")</f>
        <v>#REF!</v>
      </c>
      <c r="ET188" t="e">
        <f>AND(Demos!#REF!,"AAAAAH/4/5U=")</f>
        <v>#REF!</v>
      </c>
      <c r="EU188" t="e">
        <f>AND(Demos!#REF!,"AAAAAH/4/5Y=")</f>
        <v>#REF!</v>
      </c>
      <c r="EV188" t="e">
        <f>AND(Demos!#REF!,"AAAAAH/4/5c=")</f>
        <v>#REF!</v>
      </c>
      <c r="EW188" t="e">
        <f>AND(Demos!#REF!,"AAAAAH/4/5g=")</f>
        <v>#REF!</v>
      </c>
      <c r="EX188" t="e">
        <f>AND(Demos!#REF!,"AAAAAH/4/5k=")</f>
        <v>#REF!</v>
      </c>
      <c r="EY188" t="e">
        <f>AND(Demos!#REF!,"AAAAAH/4/5o=")</f>
        <v>#REF!</v>
      </c>
      <c r="EZ188" t="e">
        <f>AND(Demos!#REF!,"AAAAAH/4/5s=")</f>
        <v>#REF!</v>
      </c>
      <c r="FA188" t="e">
        <f>AND(Demos!#REF!,"AAAAAH/4/5w=")</f>
        <v>#REF!</v>
      </c>
      <c r="FB188" t="e">
        <f>AND(Demos!#REF!,"AAAAAH/4/50=")</f>
        <v>#REF!</v>
      </c>
      <c r="FC188" t="e">
        <f>AND(Demos!#REF!,"AAAAAH/4/54=")</f>
        <v>#REF!</v>
      </c>
      <c r="FD188" t="e">
        <f>AND(Demos!#REF!,"AAAAAH/4/58=")</f>
        <v>#REF!</v>
      </c>
      <c r="FE188" t="e">
        <f>IF(Demos!#REF!,"AAAAAH/4/6A=",0)</f>
        <v>#REF!</v>
      </c>
      <c r="FF188" t="e">
        <f>AND(Demos!#REF!,"AAAAAH/4/6E=")</f>
        <v>#REF!</v>
      </c>
      <c r="FG188" t="e">
        <f>AND(Demos!#REF!,"AAAAAH/4/6I=")</f>
        <v>#REF!</v>
      </c>
      <c r="FH188" t="e">
        <f>AND(Demos!#REF!,"AAAAAH/4/6M=")</f>
        <v>#REF!</v>
      </c>
      <c r="FI188" t="e">
        <f>AND(Demos!#REF!,"AAAAAH/4/6Q=")</f>
        <v>#REF!</v>
      </c>
      <c r="FJ188" t="e">
        <f>AND(Demos!#REF!,"AAAAAH/4/6U=")</f>
        <v>#REF!</v>
      </c>
      <c r="FK188" t="e">
        <f>AND(Demos!#REF!,"AAAAAH/4/6Y=")</f>
        <v>#REF!</v>
      </c>
      <c r="FL188" t="e">
        <f>AND(Demos!#REF!,"AAAAAH/4/6c=")</f>
        <v>#REF!</v>
      </c>
      <c r="FM188" t="e">
        <f>AND(Demos!#REF!,"AAAAAH/4/6g=")</f>
        <v>#REF!</v>
      </c>
      <c r="FN188" t="e">
        <f>AND(Demos!#REF!,"AAAAAH/4/6k=")</f>
        <v>#REF!</v>
      </c>
      <c r="FO188" t="e">
        <f>AND(Demos!#REF!,"AAAAAH/4/6o=")</f>
        <v>#REF!</v>
      </c>
      <c r="FP188" t="e">
        <f>AND(Demos!#REF!,"AAAAAH/4/6s=")</f>
        <v>#REF!</v>
      </c>
      <c r="FQ188" t="e">
        <f>AND(Demos!#REF!,"AAAAAH/4/6w=")</f>
        <v>#REF!</v>
      </c>
      <c r="FR188" t="e">
        <f>AND(Demos!#REF!,"AAAAAH/4/60=")</f>
        <v>#REF!</v>
      </c>
      <c r="FS188" t="e">
        <f>IF(Demos!#REF!,"AAAAAH/4/64=",0)</f>
        <v>#REF!</v>
      </c>
      <c r="FT188" t="e">
        <f>AND(Demos!#REF!,"AAAAAH/4/68=")</f>
        <v>#REF!</v>
      </c>
      <c r="FU188" t="e">
        <f>AND(Demos!#REF!,"AAAAAH/4/7A=")</f>
        <v>#REF!</v>
      </c>
      <c r="FV188" t="e">
        <f>AND(Demos!#REF!,"AAAAAH/4/7E=")</f>
        <v>#REF!</v>
      </c>
      <c r="FW188" t="e">
        <f>AND(Demos!#REF!,"AAAAAH/4/7I=")</f>
        <v>#REF!</v>
      </c>
      <c r="FX188" t="e">
        <f>AND(Demos!#REF!,"AAAAAH/4/7M=")</f>
        <v>#REF!</v>
      </c>
      <c r="FY188" t="e">
        <f>AND(Demos!#REF!,"AAAAAH/4/7Q=")</f>
        <v>#REF!</v>
      </c>
      <c r="FZ188" t="e">
        <f>AND(Demos!#REF!,"AAAAAH/4/7U=")</f>
        <v>#REF!</v>
      </c>
      <c r="GA188" t="e">
        <f>AND(Demos!#REF!,"AAAAAH/4/7Y=")</f>
        <v>#REF!</v>
      </c>
      <c r="GB188" t="e">
        <f>AND(Demos!#REF!,"AAAAAH/4/7c=")</f>
        <v>#REF!</v>
      </c>
      <c r="GC188" t="e">
        <f>AND(Demos!#REF!,"AAAAAH/4/7g=")</f>
        <v>#REF!</v>
      </c>
      <c r="GD188" t="e">
        <f>AND(Demos!#REF!,"AAAAAH/4/7k=")</f>
        <v>#REF!</v>
      </c>
      <c r="GE188" t="e">
        <f>AND(Demos!#REF!,"AAAAAH/4/7o=")</f>
        <v>#REF!</v>
      </c>
      <c r="GF188" t="e">
        <f>AND(Demos!#REF!,"AAAAAH/4/7s=")</f>
        <v>#REF!</v>
      </c>
      <c r="GG188" t="e">
        <f>IF(Demos!#REF!,"AAAAAH/4/7w=",0)</f>
        <v>#REF!</v>
      </c>
      <c r="GH188" t="e">
        <f>AND(Demos!#REF!,"AAAAAH/4/70=")</f>
        <v>#REF!</v>
      </c>
      <c r="GI188" t="e">
        <f>AND(Demos!#REF!,"AAAAAH/4/74=")</f>
        <v>#REF!</v>
      </c>
      <c r="GJ188" t="e">
        <f>AND(Demos!#REF!,"AAAAAH/4/78=")</f>
        <v>#REF!</v>
      </c>
      <c r="GK188" t="e">
        <f>AND(Demos!#REF!,"AAAAAH/4/8A=")</f>
        <v>#REF!</v>
      </c>
      <c r="GL188" t="e">
        <f>AND(Demos!#REF!,"AAAAAH/4/8E=")</f>
        <v>#REF!</v>
      </c>
      <c r="GM188" t="e">
        <f>AND(Demos!#REF!,"AAAAAH/4/8I=")</f>
        <v>#REF!</v>
      </c>
      <c r="GN188" t="e">
        <f>AND(Demos!#REF!,"AAAAAH/4/8M=")</f>
        <v>#REF!</v>
      </c>
      <c r="GO188" t="e">
        <f>AND(Demos!#REF!,"AAAAAH/4/8Q=")</f>
        <v>#REF!</v>
      </c>
      <c r="GP188" t="e">
        <f>AND(Demos!#REF!,"AAAAAH/4/8U=")</f>
        <v>#REF!</v>
      </c>
      <c r="GQ188" t="e">
        <f>AND(Demos!#REF!,"AAAAAH/4/8Y=")</f>
        <v>#REF!</v>
      </c>
      <c r="GR188" t="e">
        <f>AND(Demos!#REF!,"AAAAAH/4/8c=")</f>
        <v>#REF!</v>
      </c>
      <c r="GS188" t="e">
        <f>AND(Demos!#REF!,"AAAAAH/4/8g=")</f>
        <v>#REF!</v>
      </c>
      <c r="GT188" t="e">
        <f>AND(Demos!#REF!,"AAAAAH/4/8k=")</f>
        <v>#REF!</v>
      </c>
      <c r="GU188" t="e">
        <f>IF(Demos!#REF!,"AAAAAH/4/8o=",0)</f>
        <v>#REF!</v>
      </c>
      <c r="GV188" t="e">
        <f>AND(Demos!#REF!,"AAAAAH/4/8s=")</f>
        <v>#REF!</v>
      </c>
      <c r="GW188" t="e">
        <f>AND(Demos!#REF!,"AAAAAH/4/8w=")</f>
        <v>#REF!</v>
      </c>
      <c r="GX188" t="e">
        <f>AND(Demos!#REF!,"AAAAAH/4/80=")</f>
        <v>#REF!</v>
      </c>
      <c r="GY188" t="e">
        <f>AND(Demos!#REF!,"AAAAAH/4/84=")</f>
        <v>#REF!</v>
      </c>
      <c r="GZ188" t="e">
        <f>AND(Demos!#REF!,"AAAAAH/4/88=")</f>
        <v>#REF!</v>
      </c>
      <c r="HA188" t="e">
        <f>AND(Demos!#REF!,"AAAAAH/4/9A=")</f>
        <v>#REF!</v>
      </c>
      <c r="HB188" t="e">
        <f>AND(Demos!#REF!,"AAAAAH/4/9E=")</f>
        <v>#REF!</v>
      </c>
      <c r="HC188" t="e">
        <f>AND(Demos!#REF!,"AAAAAH/4/9I=")</f>
        <v>#REF!</v>
      </c>
      <c r="HD188" t="e">
        <f>AND(Demos!#REF!,"AAAAAH/4/9M=")</f>
        <v>#REF!</v>
      </c>
      <c r="HE188" t="e">
        <f>AND(Demos!#REF!,"AAAAAH/4/9Q=")</f>
        <v>#REF!</v>
      </c>
      <c r="HF188" t="e">
        <f>AND(Demos!#REF!,"AAAAAH/4/9U=")</f>
        <v>#REF!</v>
      </c>
      <c r="HG188" t="e">
        <f>AND(Demos!#REF!,"AAAAAH/4/9Y=")</f>
        <v>#REF!</v>
      </c>
      <c r="HH188" t="e">
        <f>AND(Demos!#REF!,"AAAAAH/4/9c=")</f>
        <v>#REF!</v>
      </c>
      <c r="HI188" t="e">
        <f>IF(Demos!#REF!,"AAAAAH/4/9g=",0)</f>
        <v>#REF!</v>
      </c>
      <c r="HJ188" t="e">
        <f>AND(Demos!A202,"AAAAAH/4/9k=")</f>
        <v>#VALUE!</v>
      </c>
      <c r="HK188" t="e">
        <f>AND(Demos!B202,"AAAAAH/4/9o=")</f>
        <v>#VALUE!</v>
      </c>
      <c r="HL188" t="e">
        <f>AND(Demos!#REF!,"AAAAAH/4/9s=")</f>
        <v>#REF!</v>
      </c>
      <c r="HM188" t="e">
        <f>AND(Demos!C202,"AAAAAH/4/9w=")</f>
        <v>#VALUE!</v>
      </c>
      <c r="HN188" t="e">
        <f>AND(Demos!#REF!,"AAAAAH/4/90=")</f>
        <v>#REF!</v>
      </c>
      <c r="HO188" t="e">
        <f>AND(Demos!#REF!,"AAAAAH/4/94=")</f>
        <v>#REF!</v>
      </c>
      <c r="HP188" t="e">
        <f>AND(Demos!#REF!,"AAAAAH/4/98=")</f>
        <v>#REF!</v>
      </c>
      <c r="HQ188" t="e">
        <f>AND(Demos!#REF!,"AAAAAH/4/+A=")</f>
        <v>#REF!</v>
      </c>
      <c r="HR188" t="e">
        <f>AND(Demos!D202,"AAAAAH/4/+E=")</f>
        <v>#VALUE!</v>
      </c>
      <c r="HS188" t="e">
        <f>AND(Demos!#REF!,"AAAAAH/4/+I=")</f>
        <v>#REF!</v>
      </c>
      <c r="HT188" t="e">
        <f>AND(Demos!E202,"AAAAAH/4/+M=")</f>
        <v>#VALUE!</v>
      </c>
      <c r="HU188" t="e">
        <f>AND(Demos!F202,"AAAAAH/4/+Q=")</f>
        <v>#VALUE!</v>
      </c>
      <c r="HV188" t="e">
        <f>AND(Demos!G202,"AAAAAH/4/+U=")</f>
        <v>#VALUE!</v>
      </c>
      <c r="HW188" t="e">
        <f>IF(Demos!#REF!,"AAAAAH/4/+Y=",0)</f>
        <v>#REF!</v>
      </c>
      <c r="HX188" t="e">
        <f>AND(Demos!A203,"AAAAAH/4/+c=")</f>
        <v>#VALUE!</v>
      </c>
      <c r="HY188" t="e">
        <f>AND(Demos!B203,"AAAAAH/4/+g=")</f>
        <v>#VALUE!</v>
      </c>
      <c r="HZ188" t="e">
        <f>AND(Demos!#REF!,"AAAAAH/4/+k=")</f>
        <v>#REF!</v>
      </c>
      <c r="IA188" t="e">
        <f>AND(Demos!C203,"AAAAAH/4/+o=")</f>
        <v>#VALUE!</v>
      </c>
      <c r="IB188" t="e">
        <f>AND(Demos!#REF!,"AAAAAH/4/+s=")</f>
        <v>#REF!</v>
      </c>
      <c r="IC188" t="e">
        <f>AND(Demos!#REF!,"AAAAAH/4/+w=")</f>
        <v>#REF!</v>
      </c>
      <c r="ID188" t="e">
        <f>AND(Demos!#REF!,"AAAAAH/4/+0=")</f>
        <v>#REF!</v>
      </c>
      <c r="IE188" t="e">
        <f>AND(Demos!D203,"AAAAAH/4/+4=")</f>
        <v>#VALUE!</v>
      </c>
      <c r="IF188" t="e">
        <f>AND(Demos!#REF!,"AAAAAH/4/+8=")</f>
        <v>#REF!</v>
      </c>
      <c r="IG188" t="e">
        <f>AND(Demos!#REF!,"AAAAAH/4//A=")</f>
        <v>#REF!</v>
      </c>
      <c r="IH188" t="e">
        <f>AND(Demos!F203,"AAAAAH/4//E=")</f>
        <v>#VALUE!</v>
      </c>
      <c r="II188" t="e">
        <f>AND(Demos!#REF!,"AAAAAH/4//I=")</f>
        <v>#REF!</v>
      </c>
      <c r="IJ188" t="e">
        <f>AND(Demos!G203,"AAAAAH/4//M=")</f>
        <v>#VALUE!</v>
      </c>
      <c r="IK188">
        <f>IF(Demos!202:202,"AAAAAH/4//Q=",0)</f>
        <v>0</v>
      </c>
      <c r="IL188" t="e">
        <f>AND(Demos!#REF!,"AAAAAH/4//U=")</f>
        <v>#REF!</v>
      </c>
      <c r="IM188" t="e">
        <f>AND(Demos!#REF!,"AAAAAH/4//Y=")</f>
        <v>#REF!</v>
      </c>
      <c r="IN188" t="e">
        <f>AND(Demos!#REF!,"AAAAAH/4//c=")</f>
        <v>#REF!</v>
      </c>
      <c r="IO188" t="e">
        <f>AND(Demos!#REF!,"AAAAAH/4//g=")</f>
        <v>#REF!</v>
      </c>
      <c r="IP188" t="e">
        <f>AND(Demos!#REF!,"AAAAAH/4//k=")</f>
        <v>#REF!</v>
      </c>
      <c r="IQ188" t="e">
        <f>AND(Demos!#REF!,"AAAAAH/4//o=")</f>
        <v>#REF!</v>
      </c>
      <c r="IR188" t="e">
        <f>AND(Demos!#REF!,"AAAAAH/4//s=")</f>
        <v>#REF!</v>
      </c>
      <c r="IS188" t="e">
        <f>AND(Demos!#REF!,"AAAAAH/4//w=")</f>
        <v>#REF!</v>
      </c>
      <c r="IT188" t="e">
        <f>AND(Demos!#REF!,"AAAAAH/4//0=")</f>
        <v>#REF!</v>
      </c>
      <c r="IU188" t="e">
        <f>AND(Demos!#REF!,"AAAAAH/4//4=")</f>
        <v>#REF!</v>
      </c>
      <c r="IV188" t="e">
        <f>AND(Demos!#REF!,"AAAAAH/4//8=")</f>
        <v>#REF!</v>
      </c>
    </row>
    <row r="189" spans="1:256" x14ac:dyDescent="0.2">
      <c r="A189" t="e">
        <f>AND(Demos!#REF!,"AAAAADNMPwA=")</f>
        <v>#REF!</v>
      </c>
      <c r="B189" t="e">
        <f>AND(Demos!#REF!,"AAAAADNMPwE=")</f>
        <v>#REF!</v>
      </c>
      <c r="C189" t="e">
        <f>IF(Demos!203:203,"AAAAADNMPwI=",0)</f>
        <v>#VALUE!</v>
      </c>
      <c r="D189" t="e">
        <f>AND(Demos!#REF!,"AAAAADNMPwM=")</f>
        <v>#REF!</v>
      </c>
      <c r="E189" t="e">
        <f>AND(Demos!#REF!,"AAAAADNMPwQ=")</f>
        <v>#REF!</v>
      </c>
      <c r="F189" t="e">
        <f>AND(Demos!#REF!,"AAAAADNMPwU=")</f>
        <v>#REF!</v>
      </c>
      <c r="G189" t="e">
        <f>AND(Demos!#REF!,"AAAAADNMPwY=")</f>
        <v>#REF!</v>
      </c>
      <c r="H189" t="e">
        <f>AND(Demos!#REF!,"AAAAADNMPwc=")</f>
        <v>#REF!</v>
      </c>
      <c r="I189" t="e">
        <f>AND(Demos!#REF!,"AAAAADNMPwg=")</f>
        <v>#REF!</v>
      </c>
      <c r="J189" t="e">
        <f>AND(Demos!#REF!,"AAAAADNMPwk=")</f>
        <v>#REF!</v>
      </c>
      <c r="K189" t="e">
        <f>AND(Demos!#REF!,"AAAAADNMPwo=")</f>
        <v>#REF!</v>
      </c>
      <c r="L189" t="e">
        <f>AND(Demos!#REF!,"AAAAADNMPws=")</f>
        <v>#REF!</v>
      </c>
      <c r="M189" t="e">
        <f>AND(Demos!#REF!,"AAAAADNMPww=")</f>
        <v>#REF!</v>
      </c>
      <c r="N189" t="e">
        <f>AND(Demos!#REF!,"AAAAADNMPw0=")</f>
        <v>#REF!</v>
      </c>
      <c r="O189" t="e">
        <f>AND(Demos!#REF!,"AAAAADNMPw4=")</f>
        <v>#REF!</v>
      </c>
      <c r="P189" t="e">
        <f>AND(Demos!#REF!,"AAAAADNMPw8=")</f>
        <v>#REF!</v>
      </c>
      <c r="Q189" t="e">
        <f>IF(Demos!#REF!,"AAAAADNMPxA=",0)</f>
        <v>#REF!</v>
      </c>
      <c r="R189" t="e">
        <f>AND(Demos!A204,"AAAAADNMPxE=")</f>
        <v>#VALUE!</v>
      </c>
      <c r="S189" t="e">
        <f>AND(Demos!B204,"AAAAADNMPxI=")</f>
        <v>#VALUE!</v>
      </c>
      <c r="T189" t="e">
        <f>AND(Demos!#REF!,"AAAAADNMPxM=")</f>
        <v>#REF!</v>
      </c>
      <c r="U189" t="e">
        <f>AND(Demos!C204,"AAAAADNMPxQ=")</f>
        <v>#VALUE!</v>
      </c>
      <c r="V189" t="e">
        <f>AND(Demos!#REF!,"AAAAADNMPxU=")</f>
        <v>#REF!</v>
      </c>
      <c r="W189" t="e">
        <f>AND(Demos!#REF!,"AAAAADNMPxY=")</f>
        <v>#REF!</v>
      </c>
      <c r="X189" t="e">
        <f>AND(Demos!#REF!,"AAAAADNMPxc=")</f>
        <v>#REF!</v>
      </c>
      <c r="Y189" t="e">
        <f>AND(Demos!#REF!,"AAAAADNMPxg=")</f>
        <v>#REF!</v>
      </c>
      <c r="Z189" t="e">
        <f>AND(Demos!D204,"AAAAADNMPxk=")</f>
        <v>#VALUE!</v>
      </c>
      <c r="AA189" t="e">
        <f>AND(Demos!#REF!,"AAAAADNMPxo=")</f>
        <v>#REF!</v>
      </c>
      <c r="AB189" t="e">
        <f>AND(Demos!E204,"AAAAADNMPxs=")</f>
        <v>#VALUE!</v>
      </c>
      <c r="AC189" t="e">
        <f>AND(Demos!F204,"AAAAADNMPxw=")</f>
        <v>#VALUE!</v>
      </c>
      <c r="AD189" t="e">
        <f>AND(Demos!G204,"AAAAADNMPx0=")</f>
        <v>#VALUE!</v>
      </c>
      <c r="AE189" t="e">
        <f>IF(Demos!#REF!,"AAAAADNMPx4=",0)</f>
        <v>#REF!</v>
      </c>
      <c r="AF189" t="e">
        <f>AND(Demos!A205,"AAAAADNMPx8=")</f>
        <v>#VALUE!</v>
      </c>
      <c r="AG189" t="e">
        <f>AND(Demos!B205,"AAAAADNMPyA=")</f>
        <v>#VALUE!</v>
      </c>
      <c r="AH189" t="e">
        <f>AND(Demos!#REF!,"AAAAADNMPyE=")</f>
        <v>#REF!</v>
      </c>
      <c r="AI189" t="e">
        <f>AND(Demos!C205,"AAAAADNMPyI=")</f>
        <v>#VALUE!</v>
      </c>
      <c r="AJ189" t="e">
        <f>AND(Demos!#REF!,"AAAAADNMPyM=")</f>
        <v>#REF!</v>
      </c>
      <c r="AK189" t="e">
        <f>AND(Demos!#REF!,"AAAAADNMPyQ=")</f>
        <v>#REF!</v>
      </c>
      <c r="AL189" t="e">
        <f>AND(Demos!#REF!,"AAAAADNMPyU=")</f>
        <v>#REF!</v>
      </c>
      <c r="AM189" t="e">
        <f>AND(Demos!#REF!,"AAAAADNMPyY=")</f>
        <v>#REF!</v>
      </c>
      <c r="AN189" t="e">
        <f>AND(Demos!D205,"AAAAADNMPyc=")</f>
        <v>#VALUE!</v>
      </c>
      <c r="AO189" t="e">
        <f>AND(Demos!#REF!,"AAAAADNMPyg=")</f>
        <v>#REF!</v>
      </c>
      <c r="AP189" t="e">
        <f>AND(Demos!E205,"AAAAADNMPyk=")</f>
        <v>#VALUE!</v>
      </c>
      <c r="AQ189" t="e">
        <f>AND(Demos!F205,"AAAAADNMPyo=")</f>
        <v>#VALUE!</v>
      </c>
      <c r="AR189" t="e">
        <f>AND(Demos!G205,"AAAAADNMPys=")</f>
        <v>#VALUE!</v>
      </c>
      <c r="AS189">
        <f>IF(Demos!204:204,"AAAAADNMPyw=",0)</f>
        <v>0</v>
      </c>
      <c r="AT189" t="e">
        <f>AND(Demos!A206,"AAAAADNMPy0=")</f>
        <v>#VALUE!</v>
      </c>
      <c r="AU189" t="e">
        <f>AND(Demos!#REF!,"AAAAADNMPy4=")</f>
        <v>#REF!</v>
      </c>
      <c r="AV189" t="e">
        <f>AND(Demos!B206,"AAAAADNMPy8=")</f>
        <v>#VALUE!</v>
      </c>
      <c r="AW189" t="e">
        <f>AND(Demos!#REF!,"AAAAADNMPzA=")</f>
        <v>#REF!</v>
      </c>
      <c r="AX189" t="e">
        <f>AND(Demos!C206,"AAAAADNMPzE=")</f>
        <v>#VALUE!</v>
      </c>
      <c r="AY189" t="e">
        <f>AND(Demos!#REF!,"AAAAADNMPzI=")</f>
        <v>#REF!</v>
      </c>
      <c r="AZ189" t="e">
        <f>AND(Demos!#REF!,"AAAAADNMPzM=")</f>
        <v>#REF!</v>
      </c>
      <c r="BA189" t="e">
        <f>AND(Demos!#REF!,"AAAAADNMPzQ=")</f>
        <v>#REF!</v>
      </c>
      <c r="BB189" t="e">
        <f>AND(Demos!D206,"AAAAADNMPzU=")</f>
        <v>#VALUE!</v>
      </c>
      <c r="BC189" t="e">
        <f>AND(Demos!#REF!,"AAAAADNMPzY=")</f>
        <v>#REF!</v>
      </c>
      <c r="BD189" t="e">
        <f>AND(Demos!E206,"AAAAADNMPzc=")</f>
        <v>#VALUE!</v>
      </c>
      <c r="BE189" t="e">
        <f>AND(Demos!F206,"AAAAADNMPzg=")</f>
        <v>#VALUE!</v>
      </c>
      <c r="BF189" t="e">
        <f>AND(Demos!G206,"AAAAADNMPzk=")</f>
        <v>#VALUE!</v>
      </c>
      <c r="BG189">
        <f>IF(Demos!205:205,"AAAAADNMPzo=",0)</f>
        <v>0</v>
      </c>
      <c r="BH189" t="e">
        <f>AND(Demos!#REF!,"AAAAADNMPzs=")</f>
        <v>#REF!</v>
      </c>
      <c r="BI189" t="e">
        <f>AND(Demos!#REF!,"AAAAADNMPzw=")</f>
        <v>#REF!</v>
      </c>
      <c r="BJ189" t="e">
        <f>AND(Demos!#REF!,"AAAAADNMPz0=")</f>
        <v>#REF!</v>
      </c>
      <c r="BK189" t="e">
        <f>AND(Demos!#REF!,"AAAAADNMPz4=")</f>
        <v>#REF!</v>
      </c>
      <c r="BL189" t="e">
        <f>AND(Demos!#REF!,"AAAAADNMPz8=")</f>
        <v>#REF!</v>
      </c>
      <c r="BM189" t="e">
        <f>AND(Demos!#REF!,"AAAAADNMP0A=")</f>
        <v>#REF!</v>
      </c>
      <c r="BN189" t="e">
        <f>AND(Demos!#REF!,"AAAAADNMP0E=")</f>
        <v>#REF!</v>
      </c>
      <c r="BO189" t="e">
        <f>AND(Demos!#REF!,"AAAAADNMP0I=")</f>
        <v>#REF!</v>
      </c>
      <c r="BP189" t="e">
        <f>AND(Demos!#REF!,"AAAAADNMP0M=")</f>
        <v>#REF!</v>
      </c>
      <c r="BQ189" t="e">
        <f>AND(Demos!#REF!,"AAAAADNMP0Q=")</f>
        <v>#REF!</v>
      </c>
      <c r="BR189" t="e">
        <f>AND(Demos!#REF!,"AAAAADNMP0U=")</f>
        <v>#REF!</v>
      </c>
      <c r="BS189" t="e">
        <f>AND(Demos!#REF!,"AAAAADNMP0Y=")</f>
        <v>#REF!</v>
      </c>
      <c r="BT189" t="e">
        <f>AND(Demos!#REF!,"AAAAADNMP0c=")</f>
        <v>#REF!</v>
      </c>
      <c r="BU189">
        <f>IF(Demos!206:206,"AAAAADNMP0g=",0)</f>
        <v>0</v>
      </c>
      <c r="BV189" t="e">
        <f>AND(Demos!#REF!,"AAAAADNMP0k=")</f>
        <v>#REF!</v>
      </c>
      <c r="BW189" t="e">
        <f>AND(Demos!#REF!,"AAAAADNMP0o=")</f>
        <v>#REF!</v>
      </c>
      <c r="BX189" t="e">
        <f>AND(Demos!#REF!,"AAAAADNMP0s=")</f>
        <v>#REF!</v>
      </c>
      <c r="BY189" t="e">
        <f>AND(Demos!#REF!,"AAAAADNMP0w=")</f>
        <v>#REF!</v>
      </c>
      <c r="BZ189" t="e">
        <f>AND(Demos!#REF!,"AAAAADNMP00=")</f>
        <v>#REF!</v>
      </c>
      <c r="CA189" t="e">
        <f>AND(Demos!#REF!,"AAAAADNMP04=")</f>
        <v>#REF!</v>
      </c>
      <c r="CB189" t="e">
        <f>AND(Demos!#REF!,"AAAAADNMP08=")</f>
        <v>#REF!</v>
      </c>
      <c r="CC189" t="e">
        <f>AND(Demos!#REF!,"AAAAADNMP1A=")</f>
        <v>#REF!</v>
      </c>
      <c r="CD189" t="e">
        <f>AND(Demos!#REF!,"AAAAADNMP1E=")</f>
        <v>#REF!</v>
      </c>
      <c r="CE189" t="e">
        <f>AND(Demos!#REF!,"AAAAADNMP1I=")</f>
        <v>#REF!</v>
      </c>
      <c r="CF189" t="e">
        <f>AND(Demos!#REF!,"AAAAADNMP1M=")</f>
        <v>#REF!</v>
      </c>
      <c r="CG189" t="e">
        <f>AND(Demos!#REF!,"AAAAADNMP1Q=")</f>
        <v>#REF!</v>
      </c>
      <c r="CH189" t="e">
        <f>AND(Demos!#REF!,"AAAAADNMP1U=")</f>
        <v>#REF!</v>
      </c>
      <c r="CI189" t="e">
        <f>IF(Demos!#REF!,"AAAAADNMP1Y=",0)</f>
        <v>#REF!</v>
      </c>
      <c r="CJ189" t="e">
        <f>AND(Demos!#REF!,"AAAAADNMP1c=")</f>
        <v>#REF!</v>
      </c>
      <c r="CK189" t="e">
        <f>AND(Demos!#REF!,"AAAAADNMP1g=")</f>
        <v>#REF!</v>
      </c>
      <c r="CL189" t="e">
        <f>AND(Demos!#REF!,"AAAAADNMP1k=")</f>
        <v>#REF!</v>
      </c>
      <c r="CM189" t="e">
        <f>AND(Demos!#REF!,"AAAAADNMP1o=")</f>
        <v>#REF!</v>
      </c>
      <c r="CN189" t="e">
        <f>AND(Demos!#REF!,"AAAAADNMP1s=")</f>
        <v>#REF!</v>
      </c>
      <c r="CO189" t="e">
        <f>AND(Demos!#REF!,"AAAAADNMP1w=")</f>
        <v>#REF!</v>
      </c>
      <c r="CP189" t="e">
        <f>AND(Demos!#REF!,"AAAAADNMP10=")</f>
        <v>#REF!</v>
      </c>
      <c r="CQ189" t="e">
        <f>AND(Demos!#REF!,"AAAAADNMP14=")</f>
        <v>#REF!</v>
      </c>
      <c r="CR189" t="e">
        <f>AND(Demos!#REF!,"AAAAADNMP18=")</f>
        <v>#REF!</v>
      </c>
      <c r="CS189" t="e">
        <f>AND(Demos!#REF!,"AAAAADNMP2A=")</f>
        <v>#REF!</v>
      </c>
      <c r="CT189" t="e">
        <f>AND(Demos!#REF!,"AAAAADNMP2E=")</f>
        <v>#REF!</v>
      </c>
      <c r="CU189" t="e">
        <f>AND(Demos!#REF!,"AAAAADNMP2I=")</f>
        <v>#REF!</v>
      </c>
      <c r="CV189" t="e">
        <f>AND(Demos!#REF!,"AAAAADNMP2M=")</f>
        <v>#REF!</v>
      </c>
      <c r="CW189" t="e">
        <f>IF(Demos!#REF!,"AAAAADNMP2Q=",0)</f>
        <v>#REF!</v>
      </c>
      <c r="CX189" t="e">
        <f>AND(Demos!#REF!,"AAAAADNMP2U=")</f>
        <v>#REF!</v>
      </c>
      <c r="CY189" t="e">
        <f>AND(Demos!#REF!,"AAAAADNMP2Y=")</f>
        <v>#REF!</v>
      </c>
      <c r="CZ189" t="e">
        <f>AND(Demos!#REF!,"AAAAADNMP2c=")</f>
        <v>#REF!</v>
      </c>
      <c r="DA189" t="e">
        <f>AND(Demos!#REF!,"AAAAADNMP2g=")</f>
        <v>#REF!</v>
      </c>
      <c r="DB189" t="e">
        <f>AND(Demos!#REF!,"AAAAADNMP2k=")</f>
        <v>#REF!</v>
      </c>
      <c r="DC189" t="e">
        <f>AND(Demos!#REF!,"AAAAADNMP2o=")</f>
        <v>#REF!</v>
      </c>
      <c r="DD189" t="e">
        <f>AND(Demos!#REF!,"AAAAADNMP2s=")</f>
        <v>#REF!</v>
      </c>
      <c r="DE189" t="e">
        <f>AND(Demos!#REF!,"AAAAADNMP2w=")</f>
        <v>#REF!</v>
      </c>
      <c r="DF189" t="e">
        <f>AND(Demos!#REF!,"AAAAADNMP20=")</f>
        <v>#REF!</v>
      </c>
      <c r="DG189" t="e">
        <f>AND(Demos!#REF!,"AAAAADNMP24=")</f>
        <v>#REF!</v>
      </c>
      <c r="DH189" t="e">
        <f>AND(Demos!#REF!,"AAAAADNMP28=")</f>
        <v>#REF!</v>
      </c>
      <c r="DI189" t="e">
        <f>AND(Demos!#REF!,"AAAAADNMP3A=")</f>
        <v>#REF!</v>
      </c>
      <c r="DJ189" t="e">
        <f>AND(Demos!#REF!,"AAAAADNMP3E=")</f>
        <v>#REF!</v>
      </c>
      <c r="DK189" t="e">
        <f>IF(Demos!#REF!,"AAAAADNMP3I=",0)</f>
        <v>#REF!</v>
      </c>
      <c r="DL189" t="e">
        <f>AND(Demos!#REF!,"AAAAADNMP3M=")</f>
        <v>#REF!</v>
      </c>
      <c r="DM189" t="e">
        <f>AND(Demos!#REF!,"AAAAADNMP3Q=")</f>
        <v>#REF!</v>
      </c>
      <c r="DN189" t="e">
        <f>AND(Demos!#REF!,"AAAAADNMP3U=")</f>
        <v>#REF!</v>
      </c>
      <c r="DO189" t="e">
        <f>AND(Demos!#REF!,"AAAAADNMP3Y=")</f>
        <v>#REF!</v>
      </c>
      <c r="DP189" t="e">
        <f>AND(Demos!#REF!,"AAAAADNMP3c=")</f>
        <v>#REF!</v>
      </c>
      <c r="DQ189" t="e">
        <f>AND(Demos!#REF!,"AAAAADNMP3g=")</f>
        <v>#REF!</v>
      </c>
      <c r="DR189" t="e">
        <f>AND(Demos!#REF!,"AAAAADNMP3k=")</f>
        <v>#REF!</v>
      </c>
      <c r="DS189" t="e">
        <f>AND(Demos!#REF!,"AAAAADNMP3o=")</f>
        <v>#REF!</v>
      </c>
      <c r="DT189" t="e">
        <f>AND(Demos!#REF!,"AAAAADNMP3s=")</f>
        <v>#REF!</v>
      </c>
      <c r="DU189" t="e">
        <f>AND(Demos!#REF!,"AAAAADNMP3w=")</f>
        <v>#REF!</v>
      </c>
      <c r="DV189" t="e">
        <f>AND(Demos!#REF!,"AAAAADNMP30=")</f>
        <v>#REF!</v>
      </c>
      <c r="DW189" t="e">
        <f>AND(Demos!#REF!,"AAAAADNMP34=")</f>
        <v>#REF!</v>
      </c>
      <c r="DX189" t="e">
        <f>AND(Demos!#REF!,"AAAAADNMP38=")</f>
        <v>#REF!</v>
      </c>
      <c r="DY189" t="e">
        <f>IF(Demos!#REF!,"AAAAADNMP4A=",0)</f>
        <v>#REF!</v>
      </c>
      <c r="DZ189" t="e">
        <f>AND(Demos!#REF!,"AAAAADNMP4E=")</f>
        <v>#REF!</v>
      </c>
      <c r="EA189" t="e">
        <f>AND(Demos!#REF!,"AAAAADNMP4I=")</f>
        <v>#REF!</v>
      </c>
      <c r="EB189" t="e">
        <f>AND(Demos!#REF!,"AAAAADNMP4M=")</f>
        <v>#REF!</v>
      </c>
      <c r="EC189" t="e">
        <f>AND(Demos!#REF!,"AAAAADNMP4Q=")</f>
        <v>#REF!</v>
      </c>
      <c r="ED189" t="e">
        <f>AND(Demos!#REF!,"AAAAADNMP4U=")</f>
        <v>#REF!</v>
      </c>
      <c r="EE189" t="e">
        <f>AND(Demos!#REF!,"AAAAADNMP4Y=")</f>
        <v>#REF!</v>
      </c>
      <c r="EF189" t="e">
        <f>AND(Demos!#REF!,"AAAAADNMP4c=")</f>
        <v>#REF!</v>
      </c>
      <c r="EG189" t="e">
        <f>AND(Demos!#REF!,"AAAAADNMP4g=")</f>
        <v>#REF!</v>
      </c>
      <c r="EH189" t="e">
        <f>AND(Demos!#REF!,"AAAAADNMP4k=")</f>
        <v>#REF!</v>
      </c>
      <c r="EI189" t="e">
        <f>AND(Demos!#REF!,"AAAAADNMP4o=")</f>
        <v>#REF!</v>
      </c>
      <c r="EJ189" t="e">
        <f>AND(Demos!#REF!,"AAAAADNMP4s=")</f>
        <v>#REF!</v>
      </c>
      <c r="EK189" t="e">
        <f>AND(Demos!#REF!,"AAAAADNMP4w=")</f>
        <v>#REF!</v>
      </c>
      <c r="EL189" t="e">
        <f>AND(Demos!#REF!,"AAAAADNMP40=")</f>
        <v>#REF!</v>
      </c>
      <c r="EM189" t="e">
        <f>IF(Demos!#REF!,"AAAAADNMP44=",0)</f>
        <v>#REF!</v>
      </c>
      <c r="EN189" t="e">
        <f>AND(Demos!A211,"AAAAADNMP48=")</f>
        <v>#VALUE!</v>
      </c>
      <c r="EO189" t="e">
        <f>AND(Demos!B211,"AAAAADNMP5A=")</f>
        <v>#VALUE!</v>
      </c>
      <c r="EP189" t="e">
        <f>AND(Demos!#REF!,"AAAAADNMP5E=")</f>
        <v>#REF!</v>
      </c>
      <c r="EQ189" t="e">
        <f>AND(Demos!C211,"AAAAADNMP5I=")</f>
        <v>#VALUE!</v>
      </c>
      <c r="ER189" t="e">
        <f>AND(Demos!#REF!,"AAAAADNMP5M=")</f>
        <v>#REF!</v>
      </c>
      <c r="ES189" t="e">
        <f>AND(Demos!#REF!,"AAAAADNMP5Q=")</f>
        <v>#REF!</v>
      </c>
      <c r="ET189" t="e">
        <f>AND(Demos!#REF!,"AAAAADNMP5U=")</f>
        <v>#REF!</v>
      </c>
      <c r="EU189" t="e">
        <f>AND(Demos!#REF!,"AAAAADNMP5Y=")</f>
        <v>#REF!</v>
      </c>
      <c r="EV189" t="e">
        <f>AND(Demos!D211,"AAAAADNMP5c=")</f>
        <v>#VALUE!</v>
      </c>
      <c r="EW189" t="e">
        <f>AND(Demos!#REF!,"AAAAADNMP5g=")</f>
        <v>#REF!</v>
      </c>
      <c r="EX189" t="e">
        <f>AND(Demos!E211,"AAAAADNMP5k=")</f>
        <v>#VALUE!</v>
      </c>
      <c r="EY189" t="e">
        <f>AND(Demos!F211,"AAAAADNMP5o=")</f>
        <v>#VALUE!</v>
      </c>
      <c r="EZ189" t="e">
        <f>AND(Demos!G211,"AAAAADNMP5s=")</f>
        <v>#VALUE!</v>
      </c>
      <c r="FA189" t="e">
        <f>IF(Demos!#REF!,"AAAAADNMP5w=",0)</f>
        <v>#REF!</v>
      </c>
      <c r="FB189" t="e">
        <f>AND(Demos!A212,"AAAAADNMP50=")</f>
        <v>#VALUE!</v>
      </c>
      <c r="FC189" t="e">
        <f>AND(Demos!B212,"AAAAADNMP54=")</f>
        <v>#VALUE!</v>
      </c>
      <c r="FD189" t="e">
        <f>AND(Demos!#REF!,"AAAAADNMP58=")</f>
        <v>#REF!</v>
      </c>
      <c r="FE189" t="e">
        <f>AND(Demos!C212,"AAAAADNMP6A=")</f>
        <v>#VALUE!</v>
      </c>
      <c r="FF189" t="e">
        <f>AND(Demos!#REF!,"AAAAADNMP6E=")</f>
        <v>#REF!</v>
      </c>
      <c r="FG189" t="e">
        <f>AND(Demos!#REF!,"AAAAADNMP6I=")</f>
        <v>#REF!</v>
      </c>
      <c r="FH189" t="e">
        <f>AND(Demos!#REF!,"AAAAADNMP6M=")</f>
        <v>#REF!</v>
      </c>
      <c r="FI189" t="e">
        <f>AND(Demos!D212,"AAAAADNMP6Q=")</f>
        <v>#VALUE!</v>
      </c>
      <c r="FJ189" t="e">
        <f>AND(Demos!#REF!,"AAAAADNMP6U=")</f>
        <v>#REF!</v>
      </c>
      <c r="FK189" t="e">
        <f>AND(Demos!#REF!,"AAAAADNMP6Y=")</f>
        <v>#REF!</v>
      </c>
      <c r="FL189" t="e">
        <f>AND(Demos!F212,"AAAAADNMP6c=")</f>
        <v>#VALUE!</v>
      </c>
      <c r="FM189" t="e">
        <f>AND(Demos!#REF!,"AAAAADNMP6g=")</f>
        <v>#REF!</v>
      </c>
      <c r="FN189" t="e">
        <f>AND(Demos!G212,"AAAAADNMP6k=")</f>
        <v>#VALUE!</v>
      </c>
      <c r="FO189">
        <f>IF(Demos!211:211,"AAAAADNMP6o=",0)</f>
        <v>0</v>
      </c>
      <c r="FP189" t="e">
        <f>AND(Demos!#REF!,"AAAAADNMP6s=")</f>
        <v>#REF!</v>
      </c>
      <c r="FQ189" t="e">
        <f>AND(Demos!#REF!,"AAAAADNMP6w=")</f>
        <v>#REF!</v>
      </c>
      <c r="FR189" t="e">
        <f>AND(Demos!#REF!,"AAAAADNMP60=")</f>
        <v>#REF!</v>
      </c>
      <c r="FS189" t="e">
        <f>AND(Demos!#REF!,"AAAAADNMP64=")</f>
        <v>#REF!</v>
      </c>
      <c r="FT189" t="e">
        <f>AND(Demos!#REF!,"AAAAADNMP68=")</f>
        <v>#REF!</v>
      </c>
      <c r="FU189" t="e">
        <f>AND(Demos!#REF!,"AAAAADNMP7A=")</f>
        <v>#REF!</v>
      </c>
      <c r="FV189" t="e">
        <f>AND(Demos!#REF!,"AAAAADNMP7E=")</f>
        <v>#REF!</v>
      </c>
      <c r="FW189" t="e">
        <f>AND(Demos!#REF!,"AAAAADNMP7I=")</f>
        <v>#REF!</v>
      </c>
      <c r="FX189" t="e">
        <f>AND(Demos!#REF!,"AAAAADNMP7M=")</f>
        <v>#REF!</v>
      </c>
      <c r="FY189" t="e">
        <f>AND(Demos!#REF!,"AAAAADNMP7Q=")</f>
        <v>#REF!</v>
      </c>
      <c r="FZ189" t="e">
        <f>AND(Demos!#REF!,"AAAAADNMP7U=")</f>
        <v>#REF!</v>
      </c>
      <c r="GA189" t="e">
        <f>AND(Demos!#REF!,"AAAAADNMP7Y=")</f>
        <v>#REF!</v>
      </c>
      <c r="GB189" t="e">
        <f>AND(Demos!#REF!,"AAAAADNMP7c=")</f>
        <v>#REF!</v>
      </c>
      <c r="GC189">
        <f>IF(Demos!212:212,"AAAAADNMP7g=",0)</f>
        <v>0</v>
      </c>
      <c r="GD189" t="e">
        <f>AND(Demos!#REF!,"AAAAADNMP7k=")</f>
        <v>#REF!</v>
      </c>
      <c r="GE189" t="e">
        <f>AND(Demos!#REF!,"AAAAADNMP7o=")</f>
        <v>#REF!</v>
      </c>
      <c r="GF189" t="e">
        <f>AND(Demos!#REF!,"AAAAADNMP7s=")</f>
        <v>#REF!</v>
      </c>
      <c r="GG189" t="e">
        <f>AND(Demos!#REF!,"AAAAADNMP7w=")</f>
        <v>#REF!</v>
      </c>
      <c r="GH189" t="e">
        <f>AND(Demos!#REF!,"AAAAADNMP70=")</f>
        <v>#REF!</v>
      </c>
      <c r="GI189" t="e">
        <f>AND(Demos!#REF!,"AAAAADNMP74=")</f>
        <v>#REF!</v>
      </c>
      <c r="GJ189" t="e">
        <f>AND(Demos!#REF!,"AAAAADNMP78=")</f>
        <v>#REF!</v>
      </c>
      <c r="GK189" t="e">
        <f>AND(Demos!#REF!,"AAAAADNMP8A=")</f>
        <v>#REF!</v>
      </c>
      <c r="GL189" t="e">
        <f>AND(Demos!#REF!,"AAAAADNMP8E=")</f>
        <v>#REF!</v>
      </c>
      <c r="GM189" t="e">
        <f>AND(Demos!#REF!,"AAAAADNMP8I=")</f>
        <v>#REF!</v>
      </c>
      <c r="GN189" t="e">
        <f>AND(Demos!#REF!,"AAAAADNMP8M=")</f>
        <v>#REF!</v>
      </c>
      <c r="GO189" t="e">
        <f>AND(Demos!#REF!,"AAAAADNMP8Q=")</f>
        <v>#REF!</v>
      </c>
      <c r="GP189" t="e">
        <f>AND(Demos!#REF!,"AAAAADNMP8U=")</f>
        <v>#REF!</v>
      </c>
      <c r="GQ189" t="e">
        <f>IF(Demos!#REF!,"AAAAADNMP8Y=",0)</f>
        <v>#REF!</v>
      </c>
      <c r="GR189" t="e">
        <f>AND(Demos!#REF!,"AAAAADNMP8c=")</f>
        <v>#REF!</v>
      </c>
      <c r="GS189" t="e">
        <f>AND(Demos!#REF!,"AAAAADNMP8g=")</f>
        <v>#REF!</v>
      </c>
      <c r="GT189" t="e">
        <f>AND(Demos!#REF!,"AAAAADNMP8k=")</f>
        <v>#REF!</v>
      </c>
      <c r="GU189" t="e">
        <f>AND(Demos!#REF!,"AAAAADNMP8o=")</f>
        <v>#REF!</v>
      </c>
      <c r="GV189" t="e">
        <f>AND(Demos!#REF!,"AAAAADNMP8s=")</f>
        <v>#REF!</v>
      </c>
      <c r="GW189" t="e">
        <f>AND(Demos!#REF!,"AAAAADNMP8w=")</f>
        <v>#REF!</v>
      </c>
      <c r="GX189" t="e">
        <f>AND(Demos!#REF!,"AAAAADNMP80=")</f>
        <v>#REF!</v>
      </c>
      <c r="GY189" t="e">
        <f>AND(Demos!#REF!,"AAAAADNMP84=")</f>
        <v>#REF!</v>
      </c>
      <c r="GZ189" t="e">
        <f>AND(Demos!#REF!,"AAAAADNMP88=")</f>
        <v>#REF!</v>
      </c>
      <c r="HA189" t="e">
        <f>AND(Demos!#REF!,"AAAAADNMP9A=")</f>
        <v>#REF!</v>
      </c>
      <c r="HB189" t="e">
        <f>AND(Demos!#REF!,"AAAAADNMP9E=")</f>
        <v>#REF!</v>
      </c>
      <c r="HC189" t="e">
        <f>AND(Demos!#REF!,"AAAAADNMP9I=")</f>
        <v>#REF!</v>
      </c>
      <c r="HD189" t="e">
        <f>AND(Demos!#REF!,"AAAAADNMP9M=")</f>
        <v>#REF!</v>
      </c>
      <c r="HE189" t="e">
        <f>IF(Demos!#REF!,"AAAAADNMP9Q=",0)</f>
        <v>#REF!</v>
      </c>
      <c r="HF189" t="e">
        <f>AND(Demos!#REF!,"AAAAADNMP9U=")</f>
        <v>#REF!</v>
      </c>
      <c r="HG189" t="e">
        <f>AND(Demos!#REF!,"AAAAADNMP9Y=")</f>
        <v>#REF!</v>
      </c>
      <c r="HH189" t="e">
        <f>AND(Demos!#REF!,"AAAAADNMP9c=")</f>
        <v>#REF!</v>
      </c>
      <c r="HI189" t="e">
        <f>AND(Demos!#REF!,"AAAAADNMP9g=")</f>
        <v>#REF!</v>
      </c>
      <c r="HJ189" t="e">
        <f>AND(Demos!#REF!,"AAAAADNMP9k=")</f>
        <v>#REF!</v>
      </c>
      <c r="HK189" t="e">
        <f>AND(Demos!#REF!,"AAAAADNMP9o=")</f>
        <v>#REF!</v>
      </c>
      <c r="HL189" t="e">
        <f>AND(Demos!#REF!,"AAAAADNMP9s=")</f>
        <v>#REF!</v>
      </c>
      <c r="HM189" t="e">
        <f>AND(Demos!#REF!,"AAAAADNMP9w=")</f>
        <v>#REF!</v>
      </c>
      <c r="HN189" t="e">
        <f>AND(Demos!#REF!,"AAAAADNMP90=")</f>
        <v>#REF!</v>
      </c>
      <c r="HO189" t="e">
        <f>AND(Demos!#REF!,"AAAAADNMP94=")</f>
        <v>#REF!</v>
      </c>
      <c r="HP189" t="e">
        <f>AND(Demos!#REF!,"AAAAADNMP98=")</f>
        <v>#REF!</v>
      </c>
      <c r="HQ189" t="e">
        <f>AND(Demos!#REF!,"AAAAADNMP+A=")</f>
        <v>#REF!</v>
      </c>
      <c r="HR189" t="e">
        <f>AND(Demos!#REF!,"AAAAADNMP+E=")</f>
        <v>#REF!</v>
      </c>
      <c r="HS189" t="e">
        <f>IF(Demos!#REF!,"AAAAADNMP+I=",0)</f>
        <v>#REF!</v>
      </c>
      <c r="HT189" t="e">
        <f>AND(Demos!#REF!,"AAAAADNMP+M=")</f>
        <v>#REF!</v>
      </c>
      <c r="HU189" t="e">
        <f>AND(Demos!#REF!,"AAAAADNMP+Q=")</f>
        <v>#REF!</v>
      </c>
      <c r="HV189" t="e">
        <f>AND(Demos!#REF!,"AAAAADNMP+U=")</f>
        <v>#REF!</v>
      </c>
      <c r="HW189" t="e">
        <f>AND(Demos!#REF!,"AAAAADNMP+Y=")</f>
        <v>#REF!</v>
      </c>
      <c r="HX189" t="e">
        <f>AND(Demos!#REF!,"AAAAADNMP+c=")</f>
        <v>#REF!</v>
      </c>
      <c r="HY189" t="e">
        <f>AND(Demos!#REF!,"AAAAADNMP+g=")</f>
        <v>#REF!</v>
      </c>
      <c r="HZ189" t="e">
        <f>AND(Demos!#REF!,"AAAAADNMP+k=")</f>
        <v>#REF!</v>
      </c>
      <c r="IA189" t="e">
        <f>AND(Demos!#REF!,"AAAAADNMP+o=")</f>
        <v>#REF!</v>
      </c>
      <c r="IB189" t="e">
        <f>AND(Demos!#REF!,"AAAAADNMP+s=")</f>
        <v>#REF!</v>
      </c>
      <c r="IC189" t="e">
        <f>AND(Demos!#REF!,"AAAAADNMP+w=")</f>
        <v>#REF!</v>
      </c>
      <c r="ID189" t="e">
        <f>AND(Demos!#REF!,"AAAAADNMP+0=")</f>
        <v>#REF!</v>
      </c>
      <c r="IE189" t="e">
        <f>AND(Demos!#REF!,"AAAAADNMP+4=")</f>
        <v>#REF!</v>
      </c>
      <c r="IF189" t="e">
        <f>AND(Demos!#REF!,"AAAAADNMP+8=")</f>
        <v>#REF!</v>
      </c>
      <c r="IG189" t="e">
        <f>IF(Demos!#REF!,"AAAAADNMP/A=",0)</f>
        <v>#REF!</v>
      </c>
      <c r="IH189" t="e">
        <f>AND(Demos!#REF!,"AAAAADNMP/E=")</f>
        <v>#REF!</v>
      </c>
      <c r="II189" t="e">
        <f>AND(Demos!#REF!,"AAAAADNMP/I=")</f>
        <v>#REF!</v>
      </c>
      <c r="IJ189" t="e">
        <f>AND(Demos!#REF!,"AAAAADNMP/M=")</f>
        <v>#REF!</v>
      </c>
      <c r="IK189" t="e">
        <f>AND(Demos!#REF!,"AAAAADNMP/Q=")</f>
        <v>#REF!</v>
      </c>
      <c r="IL189" t="e">
        <f>AND(Demos!#REF!,"AAAAADNMP/U=")</f>
        <v>#REF!</v>
      </c>
      <c r="IM189" t="e">
        <f>AND(Demos!#REF!,"AAAAADNMP/Y=")</f>
        <v>#REF!</v>
      </c>
      <c r="IN189" t="e">
        <f>AND(Demos!#REF!,"AAAAADNMP/c=")</f>
        <v>#REF!</v>
      </c>
      <c r="IO189" t="e">
        <f>AND(Demos!#REF!,"AAAAADNMP/g=")</f>
        <v>#REF!</v>
      </c>
      <c r="IP189" t="e">
        <f>AND(Demos!#REF!,"AAAAADNMP/k=")</f>
        <v>#REF!</v>
      </c>
      <c r="IQ189" t="e">
        <f>AND(Demos!#REF!,"AAAAADNMP/o=")</f>
        <v>#REF!</v>
      </c>
      <c r="IR189" t="e">
        <f>AND(Demos!#REF!,"AAAAADNMP/s=")</f>
        <v>#REF!</v>
      </c>
      <c r="IS189" t="e">
        <f>AND(Demos!#REF!,"AAAAADNMP/w=")</f>
        <v>#REF!</v>
      </c>
      <c r="IT189" t="e">
        <f>AND(Demos!#REF!,"AAAAADNMP/0=")</f>
        <v>#REF!</v>
      </c>
      <c r="IU189" t="e">
        <f>IF(Demos!#REF!,"AAAAADNMP/4=",0)</f>
        <v>#REF!</v>
      </c>
      <c r="IV189" t="e">
        <f>AND(Demos!#REF!,"AAAAADNMP/8=")</f>
        <v>#REF!</v>
      </c>
    </row>
    <row r="190" spans="1:256" x14ac:dyDescent="0.2">
      <c r="A190" t="e">
        <f>AND(Demos!#REF!,"AAAAAD+3fgA=")</f>
        <v>#REF!</v>
      </c>
      <c r="B190" t="e">
        <f>AND(Demos!#REF!,"AAAAAD+3fgE=")</f>
        <v>#REF!</v>
      </c>
      <c r="C190" t="e">
        <f>AND(Demos!#REF!,"AAAAAD+3fgI=")</f>
        <v>#REF!</v>
      </c>
      <c r="D190" t="e">
        <f>AND(Demos!#REF!,"AAAAAD+3fgM=")</f>
        <v>#REF!</v>
      </c>
      <c r="E190" t="e">
        <f>AND(Demos!#REF!,"AAAAAD+3fgQ=")</f>
        <v>#REF!</v>
      </c>
      <c r="F190" t="e">
        <f>AND(Demos!#REF!,"AAAAAD+3fgU=")</f>
        <v>#REF!</v>
      </c>
      <c r="G190" t="e">
        <f>AND(Demos!#REF!,"AAAAAD+3fgY=")</f>
        <v>#REF!</v>
      </c>
      <c r="H190" t="e">
        <f>AND(Demos!#REF!,"AAAAAD+3fgc=")</f>
        <v>#REF!</v>
      </c>
      <c r="I190" t="e">
        <f>AND(Demos!#REF!,"AAAAAD+3fgg=")</f>
        <v>#REF!</v>
      </c>
      <c r="J190" t="e">
        <f>AND(Demos!#REF!,"AAAAAD+3fgk=")</f>
        <v>#REF!</v>
      </c>
      <c r="K190" t="e">
        <f>AND(Demos!#REF!,"AAAAAD+3fgo=")</f>
        <v>#REF!</v>
      </c>
      <c r="L190" t="e">
        <f>AND(Demos!#REF!,"AAAAAD+3fgs=")</f>
        <v>#REF!</v>
      </c>
      <c r="M190" t="e">
        <f>IF(Demos!#REF!,"AAAAAD+3fgw=",0)</f>
        <v>#REF!</v>
      </c>
      <c r="N190" t="e">
        <f>AND(Demos!#REF!,"AAAAAD+3fg0=")</f>
        <v>#REF!</v>
      </c>
      <c r="O190" t="e">
        <f>AND(Demos!#REF!,"AAAAAD+3fg4=")</f>
        <v>#REF!</v>
      </c>
      <c r="P190" t="e">
        <f>AND(Demos!#REF!,"AAAAAD+3fg8=")</f>
        <v>#REF!</v>
      </c>
      <c r="Q190" t="e">
        <f>AND(Demos!#REF!,"AAAAAD+3fhA=")</f>
        <v>#REF!</v>
      </c>
      <c r="R190" t="e">
        <f>AND(Demos!#REF!,"AAAAAD+3fhE=")</f>
        <v>#REF!</v>
      </c>
      <c r="S190" t="e">
        <f>AND(Demos!#REF!,"AAAAAD+3fhI=")</f>
        <v>#REF!</v>
      </c>
      <c r="T190" t="e">
        <f>AND(Demos!#REF!,"AAAAAD+3fhM=")</f>
        <v>#REF!</v>
      </c>
      <c r="U190" t="e">
        <f>AND(Demos!#REF!,"AAAAAD+3fhQ=")</f>
        <v>#REF!</v>
      </c>
      <c r="V190" t="e">
        <f>AND(Demos!#REF!,"AAAAAD+3fhU=")</f>
        <v>#REF!</v>
      </c>
      <c r="W190" t="e">
        <f>AND(Demos!#REF!,"AAAAAD+3fhY=")</f>
        <v>#REF!</v>
      </c>
      <c r="X190" t="e">
        <f>AND(Demos!#REF!,"AAAAAD+3fhc=")</f>
        <v>#REF!</v>
      </c>
      <c r="Y190" t="e">
        <f>AND(Demos!#REF!,"AAAAAD+3fhg=")</f>
        <v>#REF!</v>
      </c>
      <c r="Z190" t="e">
        <f>AND(Demos!#REF!,"AAAAAD+3fhk=")</f>
        <v>#REF!</v>
      </c>
      <c r="AA190" t="e">
        <f>IF(Demos!#REF!,"AAAAAD+3fho=",0)</f>
        <v>#REF!</v>
      </c>
      <c r="AB190" t="e">
        <f>AND(Demos!#REF!,"AAAAAD+3fhs=")</f>
        <v>#REF!</v>
      </c>
      <c r="AC190" t="e">
        <f>AND(Demos!#REF!,"AAAAAD+3fhw=")</f>
        <v>#REF!</v>
      </c>
      <c r="AD190" t="e">
        <f>AND(Demos!#REF!,"AAAAAD+3fh0=")</f>
        <v>#REF!</v>
      </c>
      <c r="AE190" t="e">
        <f>AND(Demos!#REF!,"AAAAAD+3fh4=")</f>
        <v>#REF!</v>
      </c>
      <c r="AF190" t="e">
        <f>AND(Demos!#REF!,"AAAAAD+3fh8=")</f>
        <v>#REF!</v>
      </c>
      <c r="AG190" t="e">
        <f>AND(Demos!#REF!,"AAAAAD+3fiA=")</f>
        <v>#REF!</v>
      </c>
      <c r="AH190" t="e">
        <f>AND(Demos!#REF!,"AAAAAD+3fiE=")</f>
        <v>#REF!</v>
      </c>
      <c r="AI190" t="e">
        <f>AND(Demos!#REF!,"AAAAAD+3fiI=")</f>
        <v>#REF!</v>
      </c>
      <c r="AJ190" t="e">
        <f>AND(Demos!#REF!,"AAAAAD+3fiM=")</f>
        <v>#REF!</v>
      </c>
      <c r="AK190" t="e">
        <f>AND(Demos!#REF!,"AAAAAD+3fiQ=")</f>
        <v>#REF!</v>
      </c>
      <c r="AL190" t="e">
        <f>AND(Demos!#REF!,"AAAAAD+3fiU=")</f>
        <v>#REF!</v>
      </c>
      <c r="AM190" t="e">
        <f>AND(Demos!#REF!,"AAAAAD+3fiY=")</f>
        <v>#REF!</v>
      </c>
      <c r="AN190" t="e">
        <f>AND(Demos!#REF!,"AAAAAD+3fic=")</f>
        <v>#REF!</v>
      </c>
      <c r="AO190" t="e">
        <f>IF(Demos!#REF!,"AAAAAD+3fig=",0)</f>
        <v>#REF!</v>
      </c>
      <c r="AP190" t="e">
        <f>AND(Demos!#REF!,"AAAAAD+3fik=")</f>
        <v>#REF!</v>
      </c>
      <c r="AQ190" t="e">
        <f>AND(Demos!#REF!,"AAAAAD+3fio=")</f>
        <v>#REF!</v>
      </c>
      <c r="AR190" t="e">
        <f>AND(Demos!#REF!,"AAAAAD+3fis=")</f>
        <v>#REF!</v>
      </c>
      <c r="AS190" t="e">
        <f>AND(Demos!#REF!,"AAAAAD+3fiw=")</f>
        <v>#REF!</v>
      </c>
      <c r="AT190" t="e">
        <f>AND(Demos!#REF!,"AAAAAD+3fi0=")</f>
        <v>#REF!</v>
      </c>
      <c r="AU190" t="e">
        <f>AND(Demos!#REF!,"AAAAAD+3fi4=")</f>
        <v>#REF!</v>
      </c>
      <c r="AV190" t="e">
        <f>AND(Demos!#REF!,"AAAAAD+3fi8=")</f>
        <v>#REF!</v>
      </c>
      <c r="AW190" t="e">
        <f>AND(Demos!#REF!,"AAAAAD+3fjA=")</f>
        <v>#REF!</v>
      </c>
      <c r="AX190" t="e">
        <f>AND(Demos!#REF!,"AAAAAD+3fjE=")</f>
        <v>#REF!</v>
      </c>
      <c r="AY190" t="e">
        <f>AND(Demos!#REF!,"AAAAAD+3fjI=")</f>
        <v>#REF!</v>
      </c>
      <c r="AZ190" t="e">
        <f>AND(Demos!#REF!,"AAAAAD+3fjM=")</f>
        <v>#REF!</v>
      </c>
      <c r="BA190" t="e">
        <f>AND(Demos!#REF!,"AAAAAD+3fjQ=")</f>
        <v>#REF!</v>
      </c>
      <c r="BB190" t="e">
        <f>AND(Demos!#REF!,"AAAAAD+3fjU=")</f>
        <v>#REF!</v>
      </c>
      <c r="BC190" t="e">
        <f>IF(Demos!#REF!,"AAAAAD+3fjY=",0)</f>
        <v>#REF!</v>
      </c>
      <c r="BD190" t="e">
        <f>AND(Demos!#REF!,"AAAAAD+3fjc=")</f>
        <v>#REF!</v>
      </c>
      <c r="BE190" t="e">
        <f>AND(Demos!#REF!,"AAAAAD+3fjg=")</f>
        <v>#REF!</v>
      </c>
      <c r="BF190" t="e">
        <f>AND(Demos!#REF!,"AAAAAD+3fjk=")</f>
        <v>#REF!</v>
      </c>
      <c r="BG190" t="e">
        <f>AND(Demos!#REF!,"AAAAAD+3fjo=")</f>
        <v>#REF!</v>
      </c>
      <c r="BH190" t="e">
        <f>AND(Demos!#REF!,"AAAAAD+3fjs=")</f>
        <v>#REF!</v>
      </c>
      <c r="BI190" t="e">
        <f>AND(Demos!#REF!,"AAAAAD+3fjw=")</f>
        <v>#REF!</v>
      </c>
      <c r="BJ190" t="e">
        <f>AND(Demos!#REF!,"AAAAAD+3fj0=")</f>
        <v>#REF!</v>
      </c>
      <c r="BK190" t="e">
        <f>AND(Demos!#REF!,"AAAAAD+3fj4=")</f>
        <v>#REF!</v>
      </c>
      <c r="BL190" t="e">
        <f>AND(Demos!#REF!,"AAAAAD+3fj8=")</f>
        <v>#REF!</v>
      </c>
      <c r="BM190" t="e">
        <f>AND(Demos!#REF!,"AAAAAD+3fkA=")</f>
        <v>#REF!</v>
      </c>
      <c r="BN190" t="e">
        <f>AND(Demos!#REF!,"AAAAAD+3fkE=")</f>
        <v>#REF!</v>
      </c>
      <c r="BO190" t="e">
        <f>AND(Demos!#REF!,"AAAAAD+3fkI=")</f>
        <v>#REF!</v>
      </c>
      <c r="BP190" t="e">
        <f>AND(Demos!#REF!,"AAAAAD+3fkM=")</f>
        <v>#REF!</v>
      </c>
      <c r="BQ190" t="e">
        <f>IF(Demos!#REF!,"AAAAAD+3fkQ=",0)</f>
        <v>#REF!</v>
      </c>
      <c r="BR190" t="e">
        <f>AND(Demos!#REF!,"AAAAAD+3fkU=")</f>
        <v>#REF!</v>
      </c>
      <c r="BS190" t="e">
        <f>AND(Demos!#REF!,"AAAAAD+3fkY=")</f>
        <v>#REF!</v>
      </c>
      <c r="BT190" t="e">
        <f>AND(Demos!#REF!,"AAAAAD+3fkc=")</f>
        <v>#REF!</v>
      </c>
      <c r="BU190" t="e">
        <f>AND(Demos!#REF!,"AAAAAD+3fkg=")</f>
        <v>#REF!</v>
      </c>
      <c r="BV190" t="e">
        <f>AND(Demos!#REF!,"AAAAAD+3fkk=")</f>
        <v>#REF!</v>
      </c>
      <c r="BW190" t="e">
        <f>AND(Demos!#REF!,"AAAAAD+3fko=")</f>
        <v>#REF!</v>
      </c>
      <c r="BX190" t="e">
        <f>AND(Demos!#REF!,"AAAAAD+3fks=")</f>
        <v>#REF!</v>
      </c>
      <c r="BY190" t="e">
        <f>AND(Demos!#REF!,"AAAAAD+3fkw=")</f>
        <v>#REF!</v>
      </c>
      <c r="BZ190" t="e">
        <f>AND(Demos!#REF!,"AAAAAD+3fk0=")</f>
        <v>#REF!</v>
      </c>
      <c r="CA190" t="e">
        <f>AND(Demos!#REF!,"AAAAAD+3fk4=")</f>
        <v>#REF!</v>
      </c>
      <c r="CB190" t="e">
        <f>AND(Demos!#REF!,"AAAAAD+3fk8=")</f>
        <v>#REF!</v>
      </c>
      <c r="CC190" t="e">
        <f>AND(Demos!#REF!,"AAAAAD+3flA=")</f>
        <v>#REF!</v>
      </c>
      <c r="CD190" t="e">
        <f>AND(Demos!#REF!,"AAAAAD+3flE=")</f>
        <v>#REF!</v>
      </c>
      <c r="CE190" t="e">
        <f>IF(Demos!#REF!,"AAAAAD+3flI=",0)</f>
        <v>#REF!</v>
      </c>
      <c r="CF190" t="e">
        <f>AND(Demos!#REF!,"AAAAAD+3flM=")</f>
        <v>#REF!</v>
      </c>
      <c r="CG190" t="e">
        <f>AND(Demos!#REF!,"AAAAAD+3flQ=")</f>
        <v>#REF!</v>
      </c>
      <c r="CH190" t="e">
        <f>AND(Demos!#REF!,"AAAAAD+3flU=")</f>
        <v>#REF!</v>
      </c>
      <c r="CI190" t="e">
        <f>AND(Demos!#REF!,"AAAAAD+3flY=")</f>
        <v>#REF!</v>
      </c>
      <c r="CJ190" t="e">
        <f>AND(Demos!#REF!,"AAAAAD+3flc=")</f>
        <v>#REF!</v>
      </c>
      <c r="CK190" t="e">
        <f>AND(Demos!#REF!,"AAAAAD+3flg=")</f>
        <v>#REF!</v>
      </c>
      <c r="CL190" t="e">
        <f>AND(Demos!#REF!,"AAAAAD+3flk=")</f>
        <v>#REF!</v>
      </c>
      <c r="CM190" t="e">
        <f>AND(Demos!#REF!,"AAAAAD+3flo=")</f>
        <v>#REF!</v>
      </c>
      <c r="CN190" t="e">
        <f>AND(Demos!#REF!,"AAAAAD+3fls=")</f>
        <v>#REF!</v>
      </c>
      <c r="CO190" t="e">
        <f>AND(Demos!#REF!,"AAAAAD+3flw=")</f>
        <v>#REF!</v>
      </c>
      <c r="CP190" t="e">
        <f>AND(Demos!#REF!,"AAAAAD+3fl0=")</f>
        <v>#REF!</v>
      </c>
      <c r="CQ190" t="e">
        <f>AND(Demos!#REF!,"AAAAAD+3fl4=")</f>
        <v>#REF!</v>
      </c>
      <c r="CR190" t="e">
        <f>AND(Demos!#REF!,"AAAAAD+3fl8=")</f>
        <v>#REF!</v>
      </c>
      <c r="CS190" t="e">
        <f>IF(Demos!#REF!,"AAAAAD+3fmA=",0)</f>
        <v>#REF!</v>
      </c>
      <c r="CT190" t="e">
        <f>AND(Demos!#REF!,"AAAAAD+3fmE=")</f>
        <v>#REF!</v>
      </c>
      <c r="CU190" t="e">
        <f>AND(Demos!#REF!,"AAAAAD+3fmI=")</f>
        <v>#REF!</v>
      </c>
      <c r="CV190" t="e">
        <f>AND(Demos!#REF!,"AAAAAD+3fmM=")</f>
        <v>#REF!</v>
      </c>
      <c r="CW190" t="e">
        <f>AND(Demos!#REF!,"AAAAAD+3fmQ=")</f>
        <v>#REF!</v>
      </c>
      <c r="CX190" t="e">
        <f>AND(Demos!#REF!,"AAAAAD+3fmU=")</f>
        <v>#REF!</v>
      </c>
      <c r="CY190" t="e">
        <f>AND(Demos!#REF!,"AAAAAD+3fmY=")</f>
        <v>#REF!</v>
      </c>
      <c r="CZ190" t="e">
        <f>AND(Demos!#REF!,"AAAAAD+3fmc=")</f>
        <v>#REF!</v>
      </c>
      <c r="DA190" t="e">
        <f>AND(Demos!#REF!,"AAAAAD+3fmg=")</f>
        <v>#REF!</v>
      </c>
      <c r="DB190" t="e">
        <f>AND(Demos!#REF!,"AAAAAD+3fmk=")</f>
        <v>#REF!</v>
      </c>
      <c r="DC190" t="e">
        <f>AND(Demos!#REF!,"AAAAAD+3fmo=")</f>
        <v>#REF!</v>
      </c>
      <c r="DD190" t="e">
        <f>AND(Demos!#REF!,"AAAAAD+3fms=")</f>
        <v>#REF!</v>
      </c>
      <c r="DE190" t="e">
        <f>AND(Demos!#REF!,"AAAAAD+3fmw=")</f>
        <v>#REF!</v>
      </c>
      <c r="DF190" t="e">
        <f>AND(Demos!#REF!,"AAAAAD+3fm0=")</f>
        <v>#REF!</v>
      </c>
      <c r="DG190" t="e">
        <f>IF(Demos!#REF!,"AAAAAD+3fm4=",0)</f>
        <v>#REF!</v>
      </c>
      <c r="DH190" t="e">
        <f>AND(Demos!#REF!,"AAAAAD+3fm8=")</f>
        <v>#REF!</v>
      </c>
      <c r="DI190" t="e">
        <f>AND(Demos!#REF!,"AAAAAD+3fnA=")</f>
        <v>#REF!</v>
      </c>
      <c r="DJ190" t="e">
        <f>AND(Demos!#REF!,"AAAAAD+3fnE=")</f>
        <v>#REF!</v>
      </c>
      <c r="DK190" t="e">
        <f>AND(Demos!#REF!,"AAAAAD+3fnI=")</f>
        <v>#REF!</v>
      </c>
      <c r="DL190" t="e">
        <f>AND(Demos!#REF!,"AAAAAD+3fnM=")</f>
        <v>#REF!</v>
      </c>
      <c r="DM190" t="e">
        <f>AND(Demos!#REF!,"AAAAAD+3fnQ=")</f>
        <v>#REF!</v>
      </c>
      <c r="DN190" t="e">
        <f>AND(Demos!#REF!,"AAAAAD+3fnU=")</f>
        <v>#REF!</v>
      </c>
      <c r="DO190" t="e">
        <f>AND(Demos!#REF!,"AAAAAD+3fnY=")</f>
        <v>#REF!</v>
      </c>
      <c r="DP190" t="e">
        <f>AND(Demos!#REF!,"AAAAAD+3fnc=")</f>
        <v>#REF!</v>
      </c>
      <c r="DQ190" t="e">
        <f>AND(Demos!#REF!,"AAAAAD+3fng=")</f>
        <v>#REF!</v>
      </c>
      <c r="DR190" t="e">
        <f>AND(Demos!#REF!,"AAAAAD+3fnk=")</f>
        <v>#REF!</v>
      </c>
      <c r="DS190" t="e">
        <f>AND(Demos!#REF!,"AAAAAD+3fno=")</f>
        <v>#REF!</v>
      </c>
      <c r="DT190" t="e">
        <f>AND(Demos!#REF!,"AAAAAD+3fns=")</f>
        <v>#REF!</v>
      </c>
      <c r="DU190" t="e">
        <f>IF(Demos!#REF!,"AAAAAD+3fnw=",0)</f>
        <v>#REF!</v>
      </c>
      <c r="DV190" t="e">
        <f>AND(Demos!#REF!,"AAAAAD+3fn0=")</f>
        <v>#REF!</v>
      </c>
      <c r="DW190" t="e">
        <f>AND(Demos!#REF!,"AAAAAD+3fn4=")</f>
        <v>#REF!</v>
      </c>
      <c r="DX190" t="e">
        <f>AND(Demos!#REF!,"AAAAAD+3fn8=")</f>
        <v>#REF!</v>
      </c>
      <c r="DY190" t="e">
        <f>AND(Demos!#REF!,"AAAAAD+3foA=")</f>
        <v>#REF!</v>
      </c>
      <c r="DZ190" t="e">
        <f>AND(Demos!#REF!,"AAAAAD+3foE=")</f>
        <v>#REF!</v>
      </c>
      <c r="EA190" t="e">
        <f>AND(Demos!#REF!,"AAAAAD+3foI=")</f>
        <v>#REF!</v>
      </c>
      <c r="EB190" t="e">
        <f>AND(Demos!#REF!,"AAAAAD+3foM=")</f>
        <v>#REF!</v>
      </c>
      <c r="EC190" t="e">
        <f>AND(Demos!#REF!,"AAAAAD+3foQ=")</f>
        <v>#REF!</v>
      </c>
      <c r="ED190" t="e">
        <f>AND(Demos!#REF!,"AAAAAD+3foU=")</f>
        <v>#REF!</v>
      </c>
      <c r="EE190" t="e">
        <f>AND(Demos!#REF!,"AAAAAD+3foY=")</f>
        <v>#REF!</v>
      </c>
      <c r="EF190" t="e">
        <f>AND(Demos!#REF!,"AAAAAD+3foc=")</f>
        <v>#REF!</v>
      </c>
      <c r="EG190" t="e">
        <f>AND(Demos!#REF!,"AAAAAD+3fog=")</f>
        <v>#REF!</v>
      </c>
      <c r="EH190" t="e">
        <f>AND(Demos!#REF!,"AAAAAD+3fok=")</f>
        <v>#REF!</v>
      </c>
      <c r="EI190" t="e">
        <f>IF(Demos!#REF!,"AAAAAD+3foo=",0)</f>
        <v>#REF!</v>
      </c>
      <c r="EJ190" t="e">
        <f>AND(Demos!#REF!,"AAAAAD+3fos=")</f>
        <v>#REF!</v>
      </c>
      <c r="EK190" t="e">
        <f>AND(Demos!#REF!,"AAAAAD+3fow=")</f>
        <v>#REF!</v>
      </c>
      <c r="EL190" t="e">
        <f>AND(Demos!#REF!,"AAAAAD+3fo0=")</f>
        <v>#REF!</v>
      </c>
      <c r="EM190" t="e">
        <f>AND(Demos!#REF!,"AAAAAD+3fo4=")</f>
        <v>#REF!</v>
      </c>
      <c r="EN190" t="e">
        <f>AND(Demos!#REF!,"AAAAAD+3fo8=")</f>
        <v>#REF!</v>
      </c>
      <c r="EO190" t="e">
        <f>AND(Demos!#REF!,"AAAAAD+3fpA=")</f>
        <v>#REF!</v>
      </c>
      <c r="EP190" t="e">
        <f>AND(Demos!#REF!,"AAAAAD+3fpE=")</f>
        <v>#REF!</v>
      </c>
      <c r="EQ190" t="e">
        <f>AND(Demos!#REF!,"AAAAAD+3fpI=")</f>
        <v>#REF!</v>
      </c>
      <c r="ER190" t="e">
        <f>AND(Demos!#REF!,"AAAAAD+3fpM=")</f>
        <v>#REF!</v>
      </c>
      <c r="ES190" t="e">
        <f>AND(Demos!#REF!,"AAAAAD+3fpQ=")</f>
        <v>#REF!</v>
      </c>
      <c r="ET190" t="e">
        <f>AND(Demos!#REF!,"AAAAAD+3fpU=")</f>
        <v>#REF!</v>
      </c>
      <c r="EU190" t="e">
        <f>AND(Demos!#REF!,"AAAAAD+3fpY=")</f>
        <v>#REF!</v>
      </c>
      <c r="EV190" t="e">
        <f>AND(Demos!#REF!,"AAAAAD+3fpc=")</f>
        <v>#REF!</v>
      </c>
      <c r="EW190" t="e">
        <f>IF(Demos!#REF!,"AAAAAD+3fpg=",0)</f>
        <v>#REF!</v>
      </c>
      <c r="EX190" t="e">
        <f>AND(Demos!#REF!,"AAAAAD+3fpk=")</f>
        <v>#REF!</v>
      </c>
      <c r="EY190" t="e">
        <f>AND(Demos!#REF!,"AAAAAD+3fpo=")</f>
        <v>#REF!</v>
      </c>
      <c r="EZ190" t="e">
        <f>AND(Demos!#REF!,"AAAAAD+3fps=")</f>
        <v>#REF!</v>
      </c>
      <c r="FA190" t="e">
        <f>AND(Demos!#REF!,"AAAAAD+3fpw=")</f>
        <v>#REF!</v>
      </c>
      <c r="FB190" t="e">
        <f>AND(Demos!#REF!,"AAAAAD+3fp0=")</f>
        <v>#REF!</v>
      </c>
      <c r="FC190" t="e">
        <f>AND(Demos!#REF!,"AAAAAD+3fp4=")</f>
        <v>#REF!</v>
      </c>
      <c r="FD190" t="e">
        <f>AND(Demos!#REF!,"AAAAAD+3fp8=")</f>
        <v>#REF!</v>
      </c>
      <c r="FE190" t="e">
        <f>AND(Demos!#REF!,"AAAAAD+3fqA=")</f>
        <v>#REF!</v>
      </c>
      <c r="FF190" t="e">
        <f>AND(Demos!#REF!,"AAAAAD+3fqE=")</f>
        <v>#REF!</v>
      </c>
      <c r="FG190" t="e">
        <f>AND(Demos!#REF!,"AAAAAD+3fqI=")</f>
        <v>#REF!</v>
      </c>
      <c r="FH190" t="e">
        <f>AND(Demos!#REF!,"AAAAAD+3fqM=")</f>
        <v>#REF!</v>
      </c>
      <c r="FI190" t="e">
        <f>AND(Demos!#REF!,"AAAAAD+3fqQ=")</f>
        <v>#REF!</v>
      </c>
      <c r="FJ190" t="e">
        <f>AND(Demos!#REF!,"AAAAAD+3fqU=")</f>
        <v>#REF!</v>
      </c>
      <c r="FK190" t="e">
        <f>IF(Demos!#REF!,"AAAAAD+3fqY=",0)</f>
        <v>#REF!</v>
      </c>
      <c r="FL190" t="e">
        <f>AND(Demos!#REF!,"AAAAAD+3fqc=")</f>
        <v>#REF!</v>
      </c>
      <c r="FM190" t="e">
        <f>AND(Demos!#REF!,"AAAAAD+3fqg=")</f>
        <v>#REF!</v>
      </c>
      <c r="FN190" t="e">
        <f>AND(Demos!#REF!,"AAAAAD+3fqk=")</f>
        <v>#REF!</v>
      </c>
      <c r="FO190" t="e">
        <f>AND(Demos!#REF!,"AAAAAD+3fqo=")</f>
        <v>#REF!</v>
      </c>
      <c r="FP190" t="e">
        <f>AND(Demos!#REF!,"AAAAAD+3fqs=")</f>
        <v>#REF!</v>
      </c>
      <c r="FQ190" t="e">
        <f>AND(Demos!#REF!,"AAAAAD+3fqw=")</f>
        <v>#REF!</v>
      </c>
      <c r="FR190" t="e">
        <f>AND(Demos!#REF!,"AAAAAD+3fq0=")</f>
        <v>#REF!</v>
      </c>
      <c r="FS190" t="e">
        <f>AND(Demos!#REF!,"AAAAAD+3fq4=")</f>
        <v>#REF!</v>
      </c>
      <c r="FT190" t="e">
        <f>AND(Demos!#REF!,"AAAAAD+3fq8=")</f>
        <v>#REF!</v>
      </c>
      <c r="FU190" t="e">
        <f>AND(Demos!#REF!,"AAAAAD+3frA=")</f>
        <v>#REF!</v>
      </c>
      <c r="FV190" t="e">
        <f>AND(Demos!#REF!,"AAAAAD+3frE=")</f>
        <v>#REF!</v>
      </c>
      <c r="FW190" t="e">
        <f>AND(Demos!#REF!,"AAAAAD+3frI=")</f>
        <v>#REF!</v>
      </c>
      <c r="FX190" t="e">
        <f>AND(Demos!#REF!,"AAAAAD+3frM=")</f>
        <v>#REF!</v>
      </c>
      <c r="FY190" t="e">
        <f>IF(Demos!#REF!,"AAAAAD+3frQ=",0)</f>
        <v>#REF!</v>
      </c>
      <c r="FZ190" t="e">
        <f>AND(Demos!#REF!,"AAAAAD+3frU=")</f>
        <v>#REF!</v>
      </c>
      <c r="GA190" t="e">
        <f>AND(Demos!#REF!,"AAAAAD+3frY=")</f>
        <v>#REF!</v>
      </c>
      <c r="GB190" t="e">
        <f>AND(Demos!#REF!,"AAAAAD+3frc=")</f>
        <v>#REF!</v>
      </c>
      <c r="GC190" t="e">
        <f>AND(Demos!#REF!,"AAAAAD+3frg=")</f>
        <v>#REF!</v>
      </c>
      <c r="GD190" t="e">
        <f>AND(Demos!#REF!,"AAAAAD+3frk=")</f>
        <v>#REF!</v>
      </c>
      <c r="GE190" t="e">
        <f>AND(Demos!#REF!,"AAAAAD+3fro=")</f>
        <v>#REF!</v>
      </c>
      <c r="GF190" t="e">
        <f>AND(Demos!#REF!,"AAAAAD+3frs=")</f>
        <v>#REF!</v>
      </c>
      <c r="GG190" t="e">
        <f>AND(Demos!#REF!,"AAAAAD+3frw=")</f>
        <v>#REF!</v>
      </c>
      <c r="GH190" t="e">
        <f>AND(Demos!#REF!,"AAAAAD+3fr0=")</f>
        <v>#REF!</v>
      </c>
      <c r="GI190" t="e">
        <f>AND(Demos!#REF!,"AAAAAD+3fr4=")</f>
        <v>#REF!</v>
      </c>
      <c r="GJ190" t="e">
        <f>AND(Demos!#REF!,"AAAAAD+3fr8=")</f>
        <v>#REF!</v>
      </c>
      <c r="GK190" t="e">
        <f>AND(Demos!#REF!,"AAAAAD+3fsA=")</f>
        <v>#REF!</v>
      </c>
      <c r="GL190" t="e">
        <f>AND(Demos!#REF!,"AAAAAD+3fsE=")</f>
        <v>#REF!</v>
      </c>
      <c r="GM190" t="e">
        <f>IF(Demos!#REF!,"AAAAAD+3fsI=",0)</f>
        <v>#REF!</v>
      </c>
      <c r="GN190" t="e">
        <f>AND(Demos!#REF!,"AAAAAD+3fsM=")</f>
        <v>#REF!</v>
      </c>
      <c r="GO190" t="e">
        <f>AND(Demos!#REF!,"AAAAAD+3fsQ=")</f>
        <v>#REF!</v>
      </c>
      <c r="GP190" t="e">
        <f>AND(Demos!#REF!,"AAAAAD+3fsU=")</f>
        <v>#REF!</v>
      </c>
      <c r="GQ190" t="e">
        <f>AND(Demos!#REF!,"AAAAAD+3fsY=")</f>
        <v>#REF!</v>
      </c>
      <c r="GR190" t="e">
        <f>AND(Demos!#REF!,"AAAAAD+3fsc=")</f>
        <v>#REF!</v>
      </c>
      <c r="GS190" t="e">
        <f>AND(Demos!#REF!,"AAAAAD+3fsg=")</f>
        <v>#REF!</v>
      </c>
      <c r="GT190" t="e">
        <f>AND(Demos!#REF!,"AAAAAD+3fsk=")</f>
        <v>#REF!</v>
      </c>
      <c r="GU190" t="e">
        <f>AND(Demos!#REF!,"AAAAAD+3fso=")</f>
        <v>#REF!</v>
      </c>
      <c r="GV190" t="e">
        <f>AND(Demos!#REF!,"AAAAAD+3fss=")</f>
        <v>#REF!</v>
      </c>
      <c r="GW190" t="e">
        <f>AND(Demos!#REF!,"AAAAAD+3fsw=")</f>
        <v>#REF!</v>
      </c>
      <c r="GX190" t="e">
        <f>AND(Demos!#REF!,"AAAAAD+3fs0=")</f>
        <v>#REF!</v>
      </c>
      <c r="GY190" t="e">
        <f>AND(Demos!#REF!,"AAAAAD+3fs4=")</f>
        <v>#REF!</v>
      </c>
      <c r="GZ190" t="e">
        <f>AND(Demos!#REF!,"AAAAAD+3fs8=")</f>
        <v>#REF!</v>
      </c>
      <c r="HA190" t="e">
        <f>IF(Demos!#REF!,"AAAAAD+3ftA=",0)</f>
        <v>#REF!</v>
      </c>
      <c r="HB190" t="e">
        <f>AND(Demos!#REF!,"AAAAAD+3ftE=")</f>
        <v>#REF!</v>
      </c>
      <c r="HC190" t="e">
        <f>AND(Demos!#REF!,"AAAAAD+3ftI=")</f>
        <v>#REF!</v>
      </c>
      <c r="HD190" t="e">
        <f>AND(Demos!#REF!,"AAAAAD+3ftM=")</f>
        <v>#REF!</v>
      </c>
      <c r="HE190" t="e">
        <f>AND(Demos!#REF!,"AAAAAD+3ftQ=")</f>
        <v>#REF!</v>
      </c>
      <c r="HF190" t="e">
        <f>AND(Demos!#REF!,"AAAAAD+3ftU=")</f>
        <v>#REF!</v>
      </c>
      <c r="HG190" t="e">
        <f>AND(Demos!#REF!,"AAAAAD+3ftY=")</f>
        <v>#REF!</v>
      </c>
      <c r="HH190" t="e">
        <f>AND(Demos!#REF!,"AAAAAD+3ftc=")</f>
        <v>#REF!</v>
      </c>
      <c r="HI190" t="e">
        <f>AND(Demos!#REF!,"AAAAAD+3ftg=")</f>
        <v>#REF!</v>
      </c>
      <c r="HJ190" t="e">
        <f>AND(Demos!#REF!,"AAAAAD+3ftk=")</f>
        <v>#REF!</v>
      </c>
      <c r="HK190" t="e">
        <f>AND(Demos!#REF!,"AAAAAD+3fto=")</f>
        <v>#REF!</v>
      </c>
      <c r="HL190" t="e">
        <f>AND(Demos!#REF!,"AAAAAD+3fts=")</f>
        <v>#REF!</v>
      </c>
      <c r="HM190" t="e">
        <f>AND(Demos!#REF!,"AAAAAD+3ftw=")</f>
        <v>#REF!</v>
      </c>
      <c r="HN190" t="e">
        <f>AND(Demos!#REF!,"AAAAAD+3ft0=")</f>
        <v>#REF!</v>
      </c>
      <c r="HO190" t="e">
        <f>IF(Demos!#REF!,"AAAAAD+3ft4=",0)</f>
        <v>#REF!</v>
      </c>
      <c r="HP190" t="e">
        <f>AND(Demos!#REF!,"AAAAAD+3ft8=")</f>
        <v>#REF!</v>
      </c>
      <c r="HQ190" t="e">
        <f>AND(Demos!#REF!,"AAAAAD+3fuA=")</f>
        <v>#REF!</v>
      </c>
      <c r="HR190" t="e">
        <f>AND(Demos!#REF!,"AAAAAD+3fuE=")</f>
        <v>#REF!</v>
      </c>
      <c r="HS190" t="e">
        <f>AND(Demos!#REF!,"AAAAAD+3fuI=")</f>
        <v>#REF!</v>
      </c>
      <c r="HT190" t="e">
        <f>AND(Demos!#REF!,"AAAAAD+3fuM=")</f>
        <v>#REF!</v>
      </c>
      <c r="HU190" t="e">
        <f>AND(Demos!#REF!,"AAAAAD+3fuQ=")</f>
        <v>#REF!</v>
      </c>
      <c r="HV190" t="e">
        <f>AND(Demos!#REF!,"AAAAAD+3fuU=")</f>
        <v>#REF!</v>
      </c>
      <c r="HW190" t="e">
        <f>AND(Demos!#REF!,"AAAAAD+3fuY=")</f>
        <v>#REF!</v>
      </c>
      <c r="HX190" t="e">
        <f>AND(Demos!#REF!,"AAAAAD+3fuc=")</f>
        <v>#REF!</v>
      </c>
      <c r="HY190" t="e">
        <f>AND(Demos!#REF!,"AAAAAD+3fug=")</f>
        <v>#REF!</v>
      </c>
      <c r="HZ190" t="e">
        <f>AND(Demos!#REF!,"AAAAAD+3fuk=")</f>
        <v>#REF!</v>
      </c>
      <c r="IA190" t="e">
        <f>AND(Demos!#REF!,"AAAAAD+3fuo=")</f>
        <v>#REF!</v>
      </c>
      <c r="IB190" t="e">
        <f>AND(Demos!#REF!,"AAAAAD+3fus=")</f>
        <v>#REF!</v>
      </c>
      <c r="IC190" t="e">
        <f>IF(Demos!#REF!,"AAAAAD+3fuw=",0)</f>
        <v>#REF!</v>
      </c>
      <c r="ID190" t="e">
        <f>AND(Demos!#REF!,"AAAAAD+3fu0=")</f>
        <v>#REF!</v>
      </c>
      <c r="IE190" t="e">
        <f>AND(Demos!#REF!,"AAAAAD+3fu4=")</f>
        <v>#REF!</v>
      </c>
      <c r="IF190" t="e">
        <f>AND(Demos!#REF!,"AAAAAD+3fu8=")</f>
        <v>#REF!</v>
      </c>
      <c r="IG190" t="e">
        <f>AND(Demos!#REF!,"AAAAAD+3fvA=")</f>
        <v>#REF!</v>
      </c>
      <c r="IH190" t="e">
        <f>AND(Demos!#REF!,"AAAAAD+3fvE=")</f>
        <v>#REF!</v>
      </c>
      <c r="II190" t="e">
        <f>AND(Demos!#REF!,"AAAAAD+3fvI=")</f>
        <v>#REF!</v>
      </c>
      <c r="IJ190" t="e">
        <f>AND(Demos!#REF!,"AAAAAD+3fvM=")</f>
        <v>#REF!</v>
      </c>
      <c r="IK190" t="e">
        <f>AND(Demos!#REF!,"AAAAAD+3fvQ=")</f>
        <v>#REF!</v>
      </c>
      <c r="IL190" t="e">
        <f>AND(Demos!#REF!,"AAAAAD+3fvU=")</f>
        <v>#REF!</v>
      </c>
      <c r="IM190" t="e">
        <f>AND(Demos!#REF!,"AAAAAD+3fvY=")</f>
        <v>#REF!</v>
      </c>
      <c r="IN190" t="e">
        <f>AND(Demos!#REF!,"AAAAAD+3fvc=")</f>
        <v>#REF!</v>
      </c>
      <c r="IO190" t="e">
        <f>AND(Demos!#REF!,"AAAAAD+3fvg=")</f>
        <v>#REF!</v>
      </c>
      <c r="IP190" t="e">
        <f>AND(Demos!#REF!,"AAAAAD+3fvk=")</f>
        <v>#REF!</v>
      </c>
      <c r="IQ190" t="e">
        <f>IF(Demos!#REF!,"AAAAAD+3fvo=",0)</f>
        <v>#REF!</v>
      </c>
      <c r="IR190" t="e">
        <f>AND(Demos!#REF!,"AAAAAD+3fvs=")</f>
        <v>#REF!</v>
      </c>
      <c r="IS190" t="e">
        <f>AND(Demos!#REF!,"AAAAAD+3fvw=")</f>
        <v>#REF!</v>
      </c>
      <c r="IT190" t="e">
        <f>AND(Demos!#REF!,"AAAAAD+3fv0=")</f>
        <v>#REF!</v>
      </c>
      <c r="IU190" t="e">
        <f>AND(Demos!#REF!,"AAAAAD+3fv4=")</f>
        <v>#REF!</v>
      </c>
      <c r="IV190" t="e">
        <f>AND(Demos!#REF!,"AAAAAD+3fv8=")</f>
        <v>#REF!</v>
      </c>
    </row>
    <row r="191" spans="1:256" x14ac:dyDescent="0.2">
      <c r="A191" t="e">
        <f>AND(Demos!#REF!,"AAAAAE5LvwA=")</f>
        <v>#REF!</v>
      </c>
      <c r="B191" t="e">
        <f>AND(Demos!#REF!,"AAAAAE5LvwE=")</f>
        <v>#REF!</v>
      </c>
      <c r="C191" t="e">
        <f>AND(Demos!#REF!,"AAAAAE5LvwI=")</f>
        <v>#REF!</v>
      </c>
      <c r="D191" t="e">
        <f>AND(Demos!#REF!,"AAAAAE5LvwM=")</f>
        <v>#REF!</v>
      </c>
      <c r="E191" t="e">
        <f>AND(Demos!#REF!,"AAAAAE5LvwQ=")</f>
        <v>#REF!</v>
      </c>
      <c r="F191" t="e">
        <f>AND(Demos!#REF!,"AAAAAE5LvwU=")</f>
        <v>#REF!</v>
      </c>
      <c r="G191" t="e">
        <f>AND(Demos!#REF!,"AAAAAE5LvwY=")</f>
        <v>#REF!</v>
      </c>
      <c r="H191" t="e">
        <f>AND(Demos!#REF!,"AAAAAE5Lvwc=")</f>
        <v>#REF!</v>
      </c>
      <c r="I191" t="e">
        <f>IF(Demos!#REF!,"AAAAAE5Lvwg=",0)</f>
        <v>#REF!</v>
      </c>
      <c r="J191" t="e">
        <f>AND(Demos!#REF!,"AAAAAE5Lvwk=")</f>
        <v>#REF!</v>
      </c>
      <c r="K191" t="e">
        <f>AND(Demos!#REF!,"AAAAAE5Lvwo=")</f>
        <v>#REF!</v>
      </c>
      <c r="L191" t="e">
        <f>AND(Demos!#REF!,"AAAAAE5Lvws=")</f>
        <v>#REF!</v>
      </c>
      <c r="M191" t="e">
        <f>AND(Demos!#REF!,"AAAAAE5Lvww=")</f>
        <v>#REF!</v>
      </c>
      <c r="N191" t="e">
        <f>AND(Demos!#REF!,"AAAAAE5Lvw0=")</f>
        <v>#REF!</v>
      </c>
      <c r="O191" t="e">
        <f>AND(Demos!#REF!,"AAAAAE5Lvw4=")</f>
        <v>#REF!</v>
      </c>
      <c r="P191" t="e">
        <f>AND(Demos!#REF!,"AAAAAE5Lvw8=")</f>
        <v>#REF!</v>
      </c>
      <c r="Q191" t="e">
        <f>AND(Demos!#REF!,"AAAAAE5LvxA=")</f>
        <v>#REF!</v>
      </c>
      <c r="R191" t="e">
        <f>AND(Demos!#REF!,"AAAAAE5LvxE=")</f>
        <v>#REF!</v>
      </c>
      <c r="S191" t="e">
        <f>AND(Demos!#REF!,"AAAAAE5LvxI=")</f>
        <v>#REF!</v>
      </c>
      <c r="T191" t="e">
        <f>AND(Demos!#REF!,"AAAAAE5LvxM=")</f>
        <v>#REF!</v>
      </c>
      <c r="U191" t="e">
        <f>AND(Demos!#REF!,"AAAAAE5LvxQ=")</f>
        <v>#REF!</v>
      </c>
      <c r="V191" t="e">
        <f>AND(Demos!#REF!,"AAAAAE5LvxU=")</f>
        <v>#REF!</v>
      </c>
      <c r="W191" t="e">
        <f>IF(Demos!#REF!,"AAAAAE5LvxY=",0)</f>
        <v>#REF!</v>
      </c>
      <c r="X191" t="e">
        <f>AND(Demos!#REF!,"AAAAAE5Lvxc=")</f>
        <v>#REF!</v>
      </c>
      <c r="Y191" t="e">
        <f>AND(Demos!#REF!,"AAAAAE5Lvxg=")</f>
        <v>#REF!</v>
      </c>
      <c r="Z191" t="e">
        <f>AND(Demos!#REF!,"AAAAAE5Lvxk=")</f>
        <v>#REF!</v>
      </c>
      <c r="AA191" t="e">
        <f>AND(Demos!#REF!,"AAAAAE5Lvxo=")</f>
        <v>#REF!</v>
      </c>
      <c r="AB191" t="e">
        <f>AND(Demos!#REF!,"AAAAAE5Lvxs=")</f>
        <v>#REF!</v>
      </c>
      <c r="AC191" t="e">
        <f>AND(Demos!#REF!,"AAAAAE5Lvxw=")</f>
        <v>#REF!</v>
      </c>
      <c r="AD191" t="e">
        <f>AND(Demos!#REF!,"AAAAAE5Lvx0=")</f>
        <v>#REF!</v>
      </c>
      <c r="AE191" t="e">
        <f>AND(Demos!#REF!,"AAAAAE5Lvx4=")</f>
        <v>#REF!</v>
      </c>
      <c r="AF191" t="e">
        <f>AND(Demos!#REF!,"AAAAAE5Lvx8=")</f>
        <v>#REF!</v>
      </c>
      <c r="AG191" t="e">
        <f>AND(Demos!#REF!,"AAAAAE5LvyA=")</f>
        <v>#REF!</v>
      </c>
      <c r="AH191" t="e">
        <f>AND(Demos!#REF!,"AAAAAE5LvyE=")</f>
        <v>#REF!</v>
      </c>
      <c r="AI191" t="e">
        <f>AND(Demos!#REF!,"AAAAAE5LvyI=")</f>
        <v>#REF!</v>
      </c>
      <c r="AJ191" t="e">
        <f>AND(Demos!#REF!,"AAAAAE5LvyM=")</f>
        <v>#REF!</v>
      </c>
      <c r="AK191" t="e">
        <f>IF(Demos!#REF!,"AAAAAE5LvyQ=",0)</f>
        <v>#REF!</v>
      </c>
      <c r="AL191" t="e">
        <f>AND(Demos!#REF!,"AAAAAE5LvyU=")</f>
        <v>#REF!</v>
      </c>
      <c r="AM191" t="e">
        <f>AND(Demos!#REF!,"AAAAAE5LvyY=")</f>
        <v>#REF!</v>
      </c>
      <c r="AN191" t="e">
        <f>AND(Demos!#REF!,"AAAAAE5Lvyc=")</f>
        <v>#REF!</v>
      </c>
      <c r="AO191" t="e">
        <f>AND(Demos!#REF!,"AAAAAE5Lvyg=")</f>
        <v>#REF!</v>
      </c>
      <c r="AP191" t="e">
        <f>AND(Demos!#REF!,"AAAAAE5Lvyk=")</f>
        <v>#REF!</v>
      </c>
      <c r="AQ191" t="e">
        <f>AND(Demos!#REF!,"AAAAAE5Lvyo=")</f>
        <v>#REF!</v>
      </c>
      <c r="AR191" t="e">
        <f>AND(Demos!#REF!,"AAAAAE5Lvys=")</f>
        <v>#REF!</v>
      </c>
      <c r="AS191" t="e">
        <f>AND(Demos!#REF!,"AAAAAE5Lvyw=")</f>
        <v>#REF!</v>
      </c>
      <c r="AT191" t="e">
        <f>AND(Demos!#REF!,"AAAAAE5Lvy0=")</f>
        <v>#REF!</v>
      </c>
      <c r="AU191" t="e">
        <f>AND(Demos!#REF!,"AAAAAE5Lvy4=")</f>
        <v>#REF!</v>
      </c>
      <c r="AV191" t="e">
        <f>AND(Demos!#REF!,"AAAAAE5Lvy8=")</f>
        <v>#REF!</v>
      </c>
      <c r="AW191" t="e">
        <f>AND(Demos!#REF!,"AAAAAE5LvzA=")</f>
        <v>#REF!</v>
      </c>
      <c r="AX191" t="e">
        <f>AND(Demos!#REF!,"AAAAAE5LvzE=")</f>
        <v>#REF!</v>
      </c>
      <c r="AY191" t="e">
        <f>IF(Demos!#REF!,"AAAAAE5LvzI=",0)</f>
        <v>#REF!</v>
      </c>
      <c r="AZ191" t="e">
        <f>AND(Demos!#REF!,"AAAAAE5LvzM=")</f>
        <v>#REF!</v>
      </c>
      <c r="BA191" t="e">
        <f>AND(Demos!#REF!,"AAAAAE5LvzQ=")</f>
        <v>#REF!</v>
      </c>
      <c r="BB191" t="e">
        <f>AND(Demos!#REF!,"AAAAAE5LvzU=")</f>
        <v>#REF!</v>
      </c>
      <c r="BC191" t="e">
        <f>AND(Demos!#REF!,"AAAAAE5LvzY=")</f>
        <v>#REF!</v>
      </c>
      <c r="BD191" t="e">
        <f>AND(Demos!#REF!,"AAAAAE5Lvzc=")</f>
        <v>#REF!</v>
      </c>
      <c r="BE191" t="e">
        <f>AND(Demos!#REF!,"AAAAAE5Lvzg=")</f>
        <v>#REF!</v>
      </c>
      <c r="BF191" t="e">
        <f>AND(Demos!#REF!,"AAAAAE5Lvzk=")</f>
        <v>#REF!</v>
      </c>
      <c r="BG191" t="e">
        <f>AND(Demos!#REF!,"AAAAAE5Lvzo=")</f>
        <v>#REF!</v>
      </c>
      <c r="BH191" t="e">
        <f>AND(Demos!#REF!,"AAAAAE5Lvzs=")</f>
        <v>#REF!</v>
      </c>
      <c r="BI191" t="e">
        <f>AND(Demos!#REF!,"AAAAAE5Lvzw=")</f>
        <v>#REF!</v>
      </c>
      <c r="BJ191" t="e">
        <f>AND(Demos!#REF!,"AAAAAE5Lvz0=")</f>
        <v>#REF!</v>
      </c>
      <c r="BK191" t="e">
        <f>AND(Demos!#REF!,"AAAAAE5Lvz4=")</f>
        <v>#REF!</v>
      </c>
      <c r="BL191" t="e">
        <f>AND(Demos!#REF!,"AAAAAE5Lvz8=")</f>
        <v>#REF!</v>
      </c>
      <c r="BM191" t="e">
        <f>IF(Demos!#REF!,"AAAAAE5Lv0A=",0)</f>
        <v>#REF!</v>
      </c>
      <c r="BN191" t="e">
        <f>AND(Demos!#REF!,"AAAAAE5Lv0E=")</f>
        <v>#REF!</v>
      </c>
      <c r="BO191" t="e">
        <f>AND(Demos!#REF!,"AAAAAE5Lv0I=")</f>
        <v>#REF!</v>
      </c>
      <c r="BP191" t="e">
        <f>AND(Demos!#REF!,"AAAAAE5Lv0M=")</f>
        <v>#REF!</v>
      </c>
      <c r="BQ191" t="e">
        <f>AND(Demos!#REF!,"AAAAAE5Lv0Q=")</f>
        <v>#REF!</v>
      </c>
      <c r="BR191" t="e">
        <f>AND(Demos!#REF!,"AAAAAE5Lv0U=")</f>
        <v>#REF!</v>
      </c>
      <c r="BS191" t="e">
        <f>AND(Demos!#REF!,"AAAAAE5Lv0Y=")</f>
        <v>#REF!</v>
      </c>
      <c r="BT191" t="e">
        <f>AND(Demos!#REF!,"AAAAAE5Lv0c=")</f>
        <v>#REF!</v>
      </c>
      <c r="BU191" t="e">
        <f>AND(Demos!#REF!,"AAAAAE5Lv0g=")</f>
        <v>#REF!</v>
      </c>
      <c r="BV191" t="e">
        <f>AND(Demos!#REF!,"AAAAAE5Lv0k=")</f>
        <v>#REF!</v>
      </c>
      <c r="BW191" t="e">
        <f>AND(Demos!#REF!,"AAAAAE5Lv0o=")</f>
        <v>#REF!</v>
      </c>
      <c r="BX191" t="e">
        <f>AND(Demos!#REF!,"AAAAAE5Lv0s=")</f>
        <v>#REF!</v>
      </c>
      <c r="BY191" t="e">
        <f>AND(Demos!#REF!,"AAAAAE5Lv0w=")</f>
        <v>#REF!</v>
      </c>
      <c r="BZ191" t="e">
        <f>AND(Demos!#REF!,"AAAAAE5Lv00=")</f>
        <v>#REF!</v>
      </c>
      <c r="CA191" t="e">
        <f>IF(Demos!#REF!,"AAAAAE5Lv04=",0)</f>
        <v>#REF!</v>
      </c>
      <c r="CB191" t="e">
        <f>AND(Demos!#REF!,"AAAAAE5Lv08=")</f>
        <v>#REF!</v>
      </c>
      <c r="CC191" t="e">
        <f>AND(Demos!#REF!,"AAAAAE5Lv1A=")</f>
        <v>#REF!</v>
      </c>
      <c r="CD191" t="e">
        <f>AND(Demos!#REF!,"AAAAAE5Lv1E=")</f>
        <v>#REF!</v>
      </c>
      <c r="CE191" t="e">
        <f>AND(Demos!#REF!,"AAAAAE5Lv1I=")</f>
        <v>#REF!</v>
      </c>
      <c r="CF191" t="e">
        <f>AND(Demos!#REF!,"AAAAAE5Lv1M=")</f>
        <v>#REF!</v>
      </c>
      <c r="CG191" t="e">
        <f>AND(Demos!#REF!,"AAAAAE5Lv1Q=")</f>
        <v>#REF!</v>
      </c>
      <c r="CH191" t="e">
        <f>AND(Demos!#REF!,"AAAAAE5Lv1U=")</f>
        <v>#REF!</v>
      </c>
      <c r="CI191" t="e">
        <f>AND(Demos!#REF!,"AAAAAE5Lv1Y=")</f>
        <v>#REF!</v>
      </c>
      <c r="CJ191" t="e">
        <f>AND(Demos!#REF!,"AAAAAE5Lv1c=")</f>
        <v>#REF!</v>
      </c>
      <c r="CK191" t="e">
        <f>AND(Demos!#REF!,"AAAAAE5Lv1g=")</f>
        <v>#REF!</v>
      </c>
      <c r="CL191" t="e">
        <f>AND(Demos!#REF!,"AAAAAE5Lv1k=")</f>
        <v>#REF!</v>
      </c>
      <c r="CM191" t="e">
        <f>AND(Demos!#REF!,"AAAAAE5Lv1o=")</f>
        <v>#REF!</v>
      </c>
      <c r="CN191" t="e">
        <f>AND(Demos!#REF!,"AAAAAE5Lv1s=")</f>
        <v>#REF!</v>
      </c>
      <c r="CO191" t="e">
        <f>IF(Demos!#REF!,"AAAAAE5Lv1w=",0)</f>
        <v>#REF!</v>
      </c>
      <c r="CP191" t="e">
        <f>AND(Demos!#REF!,"AAAAAE5Lv10=")</f>
        <v>#REF!</v>
      </c>
      <c r="CQ191" t="e">
        <f>AND(Demos!#REF!,"AAAAAE5Lv14=")</f>
        <v>#REF!</v>
      </c>
      <c r="CR191" t="e">
        <f>AND(Demos!#REF!,"AAAAAE5Lv18=")</f>
        <v>#REF!</v>
      </c>
      <c r="CS191" t="e">
        <f>AND(Demos!#REF!,"AAAAAE5Lv2A=")</f>
        <v>#REF!</v>
      </c>
      <c r="CT191" t="e">
        <f>AND(Demos!#REF!,"AAAAAE5Lv2E=")</f>
        <v>#REF!</v>
      </c>
      <c r="CU191" t="e">
        <f>AND(Demos!#REF!,"AAAAAE5Lv2I=")</f>
        <v>#REF!</v>
      </c>
      <c r="CV191" t="e">
        <f>AND(Demos!#REF!,"AAAAAE5Lv2M=")</f>
        <v>#REF!</v>
      </c>
      <c r="CW191" t="e">
        <f>AND(Demos!#REF!,"AAAAAE5Lv2Q=")</f>
        <v>#REF!</v>
      </c>
      <c r="CX191" t="e">
        <f>AND(Demos!#REF!,"AAAAAE5Lv2U=")</f>
        <v>#REF!</v>
      </c>
      <c r="CY191" t="e">
        <f>AND(Demos!#REF!,"AAAAAE5Lv2Y=")</f>
        <v>#REF!</v>
      </c>
      <c r="CZ191" t="e">
        <f>AND(Demos!#REF!,"AAAAAE5Lv2c=")</f>
        <v>#REF!</v>
      </c>
      <c r="DA191" t="e">
        <f>AND(Demos!#REF!,"AAAAAE5Lv2g=")</f>
        <v>#REF!</v>
      </c>
      <c r="DB191" t="e">
        <f>AND(Demos!#REF!,"AAAAAE5Lv2k=")</f>
        <v>#REF!</v>
      </c>
      <c r="DC191" t="e">
        <f>IF(Demos!#REF!,"AAAAAE5Lv2o=",0)</f>
        <v>#REF!</v>
      </c>
      <c r="DD191" t="e">
        <f>AND(Demos!#REF!,"AAAAAE5Lv2s=")</f>
        <v>#REF!</v>
      </c>
      <c r="DE191" t="e">
        <f>AND(Demos!#REF!,"AAAAAE5Lv2w=")</f>
        <v>#REF!</v>
      </c>
      <c r="DF191" t="e">
        <f>AND(Demos!#REF!,"AAAAAE5Lv20=")</f>
        <v>#REF!</v>
      </c>
      <c r="DG191" t="e">
        <f>AND(Demos!#REF!,"AAAAAE5Lv24=")</f>
        <v>#REF!</v>
      </c>
      <c r="DH191" t="e">
        <f>AND(Demos!#REF!,"AAAAAE5Lv28=")</f>
        <v>#REF!</v>
      </c>
      <c r="DI191" t="e">
        <f>AND(Demos!#REF!,"AAAAAE5Lv3A=")</f>
        <v>#REF!</v>
      </c>
      <c r="DJ191" t="e">
        <f>AND(Demos!#REF!,"AAAAAE5Lv3E=")</f>
        <v>#REF!</v>
      </c>
      <c r="DK191" t="e">
        <f>AND(Demos!#REF!,"AAAAAE5Lv3I=")</f>
        <v>#REF!</v>
      </c>
      <c r="DL191" t="e">
        <f>AND(Demos!#REF!,"AAAAAE5Lv3M=")</f>
        <v>#REF!</v>
      </c>
      <c r="DM191" t="e">
        <f>AND(Demos!#REF!,"AAAAAE5Lv3Q=")</f>
        <v>#REF!</v>
      </c>
      <c r="DN191" t="e">
        <f>AND(Demos!#REF!,"AAAAAE5Lv3U=")</f>
        <v>#REF!</v>
      </c>
      <c r="DO191" t="e">
        <f>AND(Demos!#REF!,"AAAAAE5Lv3Y=")</f>
        <v>#REF!</v>
      </c>
      <c r="DP191" t="e">
        <f>AND(Demos!#REF!,"AAAAAE5Lv3c=")</f>
        <v>#REF!</v>
      </c>
      <c r="DQ191" t="e">
        <f>IF(Demos!#REF!,"AAAAAE5Lv3g=",0)</f>
        <v>#REF!</v>
      </c>
      <c r="DR191" t="e">
        <f>AND(Demos!#REF!,"AAAAAE5Lv3k=")</f>
        <v>#REF!</v>
      </c>
      <c r="DS191" t="e">
        <f>AND(Demos!#REF!,"AAAAAE5Lv3o=")</f>
        <v>#REF!</v>
      </c>
      <c r="DT191" t="e">
        <f>AND(Demos!#REF!,"AAAAAE5Lv3s=")</f>
        <v>#REF!</v>
      </c>
      <c r="DU191" t="e">
        <f>AND(Demos!#REF!,"AAAAAE5Lv3w=")</f>
        <v>#REF!</v>
      </c>
      <c r="DV191" t="e">
        <f>AND(Demos!#REF!,"AAAAAE5Lv30=")</f>
        <v>#REF!</v>
      </c>
      <c r="DW191" t="e">
        <f>AND(Demos!#REF!,"AAAAAE5Lv34=")</f>
        <v>#REF!</v>
      </c>
      <c r="DX191" t="e">
        <f>AND(Demos!#REF!,"AAAAAE5Lv38=")</f>
        <v>#REF!</v>
      </c>
      <c r="DY191" t="e">
        <f>AND(Demos!#REF!,"AAAAAE5Lv4A=")</f>
        <v>#REF!</v>
      </c>
      <c r="DZ191" t="e">
        <f>AND(Demos!#REF!,"AAAAAE5Lv4E=")</f>
        <v>#REF!</v>
      </c>
      <c r="EA191" t="e">
        <f>AND(Demos!#REF!,"AAAAAE5Lv4I=")</f>
        <v>#REF!</v>
      </c>
      <c r="EB191" t="e">
        <f>AND(Demos!#REF!,"AAAAAE5Lv4M=")</f>
        <v>#REF!</v>
      </c>
      <c r="EC191" t="e">
        <f>AND(Demos!#REF!,"AAAAAE5Lv4Q=")</f>
        <v>#REF!</v>
      </c>
      <c r="ED191" t="e">
        <f>AND(Demos!#REF!,"AAAAAE5Lv4U=")</f>
        <v>#REF!</v>
      </c>
      <c r="EE191" t="e">
        <f>IF(Demos!#REF!,"AAAAAE5Lv4Y=",0)</f>
        <v>#REF!</v>
      </c>
      <c r="EF191" t="e">
        <f>AND(Demos!#REF!,"AAAAAE5Lv4c=")</f>
        <v>#REF!</v>
      </c>
      <c r="EG191" t="e">
        <f>AND(Demos!#REF!,"AAAAAE5Lv4g=")</f>
        <v>#REF!</v>
      </c>
      <c r="EH191" t="e">
        <f>AND(Demos!#REF!,"AAAAAE5Lv4k=")</f>
        <v>#REF!</v>
      </c>
      <c r="EI191" t="e">
        <f>AND(Demos!#REF!,"AAAAAE5Lv4o=")</f>
        <v>#REF!</v>
      </c>
      <c r="EJ191" t="e">
        <f>AND(Demos!#REF!,"AAAAAE5Lv4s=")</f>
        <v>#REF!</v>
      </c>
      <c r="EK191" t="e">
        <f>AND(Demos!#REF!,"AAAAAE5Lv4w=")</f>
        <v>#REF!</v>
      </c>
      <c r="EL191" t="e">
        <f>AND(Demos!#REF!,"AAAAAE5Lv40=")</f>
        <v>#REF!</v>
      </c>
      <c r="EM191" t="e">
        <f>AND(Demos!#REF!,"AAAAAE5Lv44=")</f>
        <v>#REF!</v>
      </c>
      <c r="EN191" t="e">
        <f>AND(Demos!#REF!,"AAAAAE5Lv48=")</f>
        <v>#REF!</v>
      </c>
      <c r="EO191" t="e">
        <f>AND(Demos!#REF!,"AAAAAE5Lv5A=")</f>
        <v>#REF!</v>
      </c>
      <c r="EP191" t="e">
        <f>AND(Demos!#REF!,"AAAAAE5Lv5E=")</f>
        <v>#REF!</v>
      </c>
      <c r="EQ191" t="e">
        <f>AND(Demos!#REF!,"AAAAAE5Lv5I=")</f>
        <v>#REF!</v>
      </c>
      <c r="ER191" t="e">
        <f>AND(Demos!#REF!,"AAAAAE5Lv5M=")</f>
        <v>#REF!</v>
      </c>
      <c r="ES191" t="e">
        <f>IF(Demos!#REF!,"AAAAAE5Lv5Q=",0)</f>
        <v>#REF!</v>
      </c>
      <c r="ET191" t="e">
        <f>AND(Demos!#REF!,"AAAAAE5Lv5U=")</f>
        <v>#REF!</v>
      </c>
      <c r="EU191" t="e">
        <f>AND(Demos!#REF!,"AAAAAE5Lv5Y=")</f>
        <v>#REF!</v>
      </c>
      <c r="EV191" t="e">
        <f>AND(Demos!#REF!,"AAAAAE5Lv5c=")</f>
        <v>#REF!</v>
      </c>
      <c r="EW191" t="e">
        <f>AND(Demos!#REF!,"AAAAAE5Lv5g=")</f>
        <v>#REF!</v>
      </c>
      <c r="EX191" t="e">
        <f>AND(Demos!#REF!,"AAAAAE5Lv5k=")</f>
        <v>#REF!</v>
      </c>
      <c r="EY191" t="e">
        <f>AND(Demos!#REF!,"AAAAAE5Lv5o=")</f>
        <v>#REF!</v>
      </c>
      <c r="EZ191" t="e">
        <f>AND(Demos!#REF!,"AAAAAE5Lv5s=")</f>
        <v>#REF!</v>
      </c>
      <c r="FA191" t="e">
        <f>AND(Demos!#REF!,"AAAAAE5Lv5w=")</f>
        <v>#REF!</v>
      </c>
      <c r="FB191" t="e">
        <f>AND(Demos!#REF!,"AAAAAE5Lv50=")</f>
        <v>#REF!</v>
      </c>
      <c r="FC191" t="e">
        <f>AND(Demos!#REF!,"AAAAAE5Lv54=")</f>
        <v>#REF!</v>
      </c>
      <c r="FD191" t="e">
        <f>AND(Demos!#REF!,"AAAAAE5Lv58=")</f>
        <v>#REF!</v>
      </c>
      <c r="FE191" t="e">
        <f>AND(Demos!#REF!,"AAAAAE5Lv6A=")</f>
        <v>#REF!</v>
      </c>
      <c r="FF191" t="e">
        <f>AND(Demos!#REF!,"AAAAAE5Lv6E=")</f>
        <v>#REF!</v>
      </c>
      <c r="FG191" t="e">
        <f>IF(Demos!#REF!,"AAAAAE5Lv6I=",0)</f>
        <v>#REF!</v>
      </c>
      <c r="FH191" t="e">
        <f>AND(Demos!#REF!,"AAAAAE5Lv6M=")</f>
        <v>#REF!</v>
      </c>
      <c r="FI191" t="e">
        <f>AND(Demos!#REF!,"AAAAAE5Lv6Q=")</f>
        <v>#REF!</v>
      </c>
      <c r="FJ191" t="e">
        <f>AND(Demos!#REF!,"AAAAAE5Lv6U=")</f>
        <v>#REF!</v>
      </c>
      <c r="FK191" t="e">
        <f>AND(Demos!#REF!,"AAAAAE5Lv6Y=")</f>
        <v>#REF!</v>
      </c>
      <c r="FL191" t="e">
        <f>AND(Demos!#REF!,"AAAAAE5Lv6c=")</f>
        <v>#REF!</v>
      </c>
      <c r="FM191" t="e">
        <f>AND(Demos!#REF!,"AAAAAE5Lv6g=")</f>
        <v>#REF!</v>
      </c>
      <c r="FN191" t="e">
        <f>AND(Demos!#REF!,"AAAAAE5Lv6k=")</f>
        <v>#REF!</v>
      </c>
      <c r="FO191" t="e">
        <f>AND(Demos!#REF!,"AAAAAE5Lv6o=")</f>
        <v>#REF!</v>
      </c>
      <c r="FP191" t="e">
        <f>AND(Demos!#REF!,"AAAAAE5Lv6s=")</f>
        <v>#REF!</v>
      </c>
      <c r="FQ191" t="e">
        <f>AND(Demos!#REF!,"AAAAAE5Lv6w=")</f>
        <v>#REF!</v>
      </c>
      <c r="FR191" t="e">
        <f>AND(Demos!#REF!,"AAAAAE5Lv60=")</f>
        <v>#REF!</v>
      </c>
      <c r="FS191" t="e">
        <f>AND(Demos!#REF!,"AAAAAE5Lv64=")</f>
        <v>#REF!</v>
      </c>
      <c r="FT191" t="e">
        <f>AND(Demos!#REF!,"AAAAAE5Lv68=")</f>
        <v>#REF!</v>
      </c>
      <c r="FU191" t="e">
        <f>IF(Demos!#REF!,"AAAAAE5Lv7A=",0)</f>
        <v>#REF!</v>
      </c>
      <c r="FV191" t="e">
        <f>AND(Demos!#REF!,"AAAAAE5Lv7E=")</f>
        <v>#REF!</v>
      </c>
      <c r="FW191" t="e">
        <f>AND(Demos!#REF!,"AAAAAE5Lv7I=")</f>
        <v>#REF!</v>
      </c>
      <c r="FX191" t="e">
        <f>AND(Demos!#REF!,"AAAAAE5Lv7M=")</f>
        <v>#REF!</v>
      </c>
      <c r="FY191" t="e">
        <f>AND(Demos!#REF!,"AAAAAE5Lv7Q=")</f>
        <v>#REF!</v>
      </c>
      <c r="FZ191" t="e">
        <f>AND(Demos!#REF!,"AAAAAE5Lv7U=")</f>
        <v>#REF!</v>
      </c>
      <c r="GA191" t="e">
        <f>AND(Demos!#REF!,"AAAAAE5Lv7Y=")</f>
        <v>#REF!</v>
      </c>
      <c r="GB191" t="e">
        <f>AND(Demos!#REF!,"AAAAAE5Lv7c=")</f>
        <v>#REF!</v>
      </c>
      <c r="GC191" t="e">
        <f>AND(Demos!#REF!,"AAAAAE5Lv7g=")</f>
        <v>#REF!</v>
      </c>
      <c r="GD191" t="e">
        <f>AND(Demos!#REF!,"AAAAAE5Lv7k=")</f>
        <v>#REF!</v>
      </c>
      <c r="GE191" t="e">
        <f>AND(Demos!#REF!,"AAAAAE5Lv7o=")</f>
        <v>#REF!</v>
      </c>
      <c r="GF191" t="e">
        <f>AND(Demos!#REF!,"AAAAAE5Lv7s=")</f>
        <v>#REF!</v>
      </c>
      <c r="GG191" t="e">
        <f>AND(Demos!#REF!,"AAAAAE5Lv7w=")</f>
        <v>#REF!</v>
      </c>
      <c r="GH191" t="e">
        <f>AND(Demos!#REF!,"AAAAAE5Lv70=")</f>
        <v>#REF!</v>
      </c>
      <c r="GI191" t="e">
        <f>IF(Demos!#REF!,"AAAAAE5Lv74=",0)</f>
        <v>#REF!</v>
      </c>
      <c r="GJ191" t="e">
        <f>AND(Demos!#REF!,"AAAAAE5Lv78=")</f>
        <v>#REF!</v>
      </c>
      <c r="GK191" t="e">
        <f>AND(Demos!#REF!,"AAAAAE5Lv8A=")</f>
        <v>#REF!</v>
      </c>
      <c r="GL191" t="e">
        <f>AND(Demos!#REF!,"AAAAAE5Lv8E=")</f>
        <v>#REF!</v>
      </c>
      <c r="GM191" t="e">
        <f>AND(Demos!#REF!,"AAAAAE5Lv8I=")</f>
        <v>#REF!</v>
      </c>
      <c r="GN191" t="e">
        <f>AND(Demos!#REF!,"AAAAAE5Lv8M=")</f>
        <v>#REF!</v>
      </c>
      <c r="GO191" t="e">
        <f>AND(Demos!#REF!,"AAAAAE5Lv8Q=")</f>
        <v>#REF!</v>
      </c>
      <c r="GP191" t="e">
        <f>AND(Demos!#REF!,"AAAAAE5Lv8U=")</f>
        <v>#REF!</v>
      </c>
      <c r="GQ191" t="e">
        <f>AND(Demos!#REF!,"AAAAAE5Lv8Y=")</f>
        <v>#REF!</v>
      </c>
      <c r="GR191" t="e">
        <f>AND(Demos!#REF!,"AAAAAE5Lv8c=")</f>
        <v>#REF!</v>
      </c>
      <c r="GS191" t="e">
        <f>AND(Demos!#REF!,"AAAAAE5Lv8g=")</f>
        <v>#REF!</v>
      </c>
      <c r="GT191" t="e">
        <f>AND(Demos!#REF!,"AAAAAE5Lv8k=")</f>
        <v>#REF!</v>
      </c>
      <c r="GU191" t="e">
        <f>AND(Demos!#REF!,"AAAAAE5Lv8o=")</f>
        <v>#REF!</v>
      </c>
      <c r="GV191" t="e">
        <f>AND(Demos!#REF!,"AAAAAE5Lv8s=")</f>
        <v>#REF!</v>
      </c>
      <c r="GW191" t="e">
        <f>IF(Demos!#REF!,"AAAAAE5Lv8w=",0)</f>
        <v>#REF!</v>
      </c>
      <c r="GX191" t="e">
        <f>AND(Demos!#REF!,"AAAAAE5Lv80=")</f>
        <v>#REF!</v>
      </c>
      <c r="GY191" t="e">
        <f>AND(Demos!#REF!,"AAAAAE5Lv84=")</f>
        <v>#REF!</v>
      </c>
      <c r="GZ191" t="e">
        <f>AND(Demos!#REF!,"AAAAAE5Lv88=")</f>
        <v>#REF!</v>
      </c>
      <c r="HA191" t="e">
        <f>AND(Demos!#REF!,"AAAAAE5Lv9A=")</f>
        <v>#REF!</v>
      </c>
      <c r="HB191" t="e">
        <f>AND(Demos!#REF!,"AAAAAE5Lv9E=")</f>
        <v>#REF!</v>
      </c>
      <c r="HC191" t="e">
        <f>AND(Demos!#REF!,"AAAAAE5Lv9I=")</f>
        <v>#REF!</v>
      </c>
      <c r="HD191" t="e">
        <f>AND(Demos!#REF!,"AAAAAE5Lv9M=")</f>
        <v>#REF!</v>
      </c>
      <c r="HE191" t="e">
        <f>AND(Demos!#REF!,"AAAAAE5Lv9Q=")</f>
        <v>#REF!</v>
      </c>
      <c r="HF191" t="e">
        <f>AND(Demos!#REF!,"AAAAAE5Lv9U=")</f>
        <v>#REF!</v>
      </c>
      <c r="HG191" t="e">
        <f>AND(Demos!#REF!,"AAAAAE5Lv9Y=")</f>
        <v>#REF!</v>
      </c>
      <c r="HH191" t="e">
        <f>AND(Demos!#REF!,"AAAAAE5Lv9c=")</f>
        <v>#REF!</v>
      </c>
      <c r="HI191" t="e">
        <f>AND(Demos!#REF!,"AAAAAE5Lv9g=")</f>
        <v>#REF!</v>
      </c>
      <c r="HJ191" t="e">
        <f>AND(Demos!#REF!,"AAAAAE5Lv9k=")</f>
        <v>#REF!</v>
      </c>
      <c r="HK191" t="e">
        <f>IF(Demos!#REF!,"AAAAAE5Lv9o=",0)</f>
        <v>#REF!</v>
      </c>
      <c r="HL191" t="e">
        <f>AND(Demos!#REF!,"AAAAAE5Lv9s=")</f>
        <v>#REF!</v>
      </c>
      <c r="HM191" t="e">
        <f>AND(Demos!#REF!,"AAAAAE5Lv9w=")</f>
        <v>#REF!</v>
      </c>
      <c r="HN191" t="e">
        <f>AND(Demos!#REF!,"AAAAAE5Lv90=")</f>
        <v>#REF!</v>
      </c>
      <c r="HO191" t="e">
        <f>AND(Demos!#REF!,"AAAAAE5Lv94=")</f>
        <v>#REF!</v>
      </c>
      <c r="HP191" t="e">
        <f>AND(Demos!#REF!,"AAAAAE5Lv98=")</f>
        <v>#REF!</v>
      </c>
      <c r="HQ191" t="e">
        <f>AND(Demos!#REF!,"AAAAAE5Lv+A=")</f>
        <v>#REF!</v>
      </c>
      <c r="HR191" t="e">
        <f>AND(Demos!#REF!,"AAAAAE5Lv+E=")</f>
        <v>#REF!</v>
      </c>
      <c r="HS191" t="e">
        <f>AND(Demos!#REF!,"AAAAAE5Lv+I=")</f>
        <v>#REF!</v>
      </c>
      <c r="HT191" t="e">
        <f>AND(Demos!#REF!,"AAAAAE5Lv+M=")</f>
        <v>#REF!</v>
      </c>
      <c r="HU191" t="e">
        <f>AND(Demos!#REF!,"AAAAAE5Lv+Q=")</f>
        <v>#REF!</v>
      </c>
      <c r="HV191" t="e">
        <f>AND(Demos!#REF!,"AAAAAE5Lv+U=")</f>
        <v>#REF!</v>
      </c>
      <c r="HW191" t="e">
        <f>AND(Demos!#REF!,"AAAAAE5Lv+Y=")</f>
        <v>#REF!</v>
      </c>
      <c r="HX191" t="e">
        <f>AND(Demos!#REF!,"AAAAAE5Lv+c=")</f>
        <v>#REF!</v>
      </c>
      <c r="HY191" t="e">
        <f>IF(Demos!#REF!,"AAAAAE5Lv+g=",0)</f>
        <v>#REF!</v>
      </c>
      <c r="HZ191" t="e">
        <f>AND(Demos!#REF!,"AAAAAE5Lv+k=")</f>
        <v>#REF!</v>
      </c>
      <c r="IA191" t="e">
        <f>AND(Demos!#REF!,"AAAAAE5Lv+o=")</f>
        <v>#REF!</v>
      </c>
      <c r="IB191" t="e">
        <f>AND(Demos!#REF!,"AAAAAE5Lv+s=")</f>
        <v>#REF!</v>
      </c>
      <c r="IC191" t="e">
        <f>AND(Demos!#REF!,"AAAAAE5Lv+w=")</f>
        <v>#REF!</v>
      </c>
      <c r="ID191" t="e">
        <f>AND(Demos!#REF!,"AAAAAE5Lv+0=")</f>
        <v>#REF!</v>
      </c>
      <c r="IE191" t="e">
        <f>AND(Demos!#REF!,"AAAAAE5Lv+4=")</f>
        <v>#REF!</v>
      </c>
      <c r="IF191" t="e">
        <f>AND(Demos!#REF!,"AAAAAE5Lv+8=")</f>
        <v>#REF!</v>
      </c>
      <c r="IG191" t="e">
        <f>AND(Demos!#REF!,"AAAAAE5Lv/A=")</f>
        <v>#REF!</v>
      </c>
      <c r="IH191" t="e">
        <f>AND(Demos!#REF!,"AAAAAE5Lv/E=")</f>
        <v>#REF!</v>
      </c>
      <c r="II191" t="e">
        <f>AND(Demos!#REF!,"AAAAAE5Lv/I=")</f>
        <v>#REF!</v>
      </c>
      <c r="IJ191" t="e">
        <f>AND(Demos!#REF!,"AAAAAE5Lv/M=")</f>
        <v>#REF!</v>
      </c>
      <c r="IK191" t="e">
        <f>AND(Demos!#REF!,"AAAAAE5Lv/Q=")</f>
        <v>#REF!</v>
      </c>
      <c r="IL191" t="e">
        <f>AND(Demos!#REF!,"AAAAAE5Lv/U=")</f>
        <v>#REF!</v>
      </c>
      <c r="IM191" t="e">
        <f>IF(Demos!#REF!,"AAAAAE5Lv/Y=",0)</f>
        <v>#REF!</v>
      </c>
      <c r="IN191" t="e">
        <f>AND(Demos!#REF!,"AAAAAE5Lv/c=")</f>
        <v>#REF!</v>
      </c>
      <c r="IO191" t="e">
        <f>AND(Demos!#REF!,"AAAAAE5Lv/g=")</f>
        <v>#REF!</v>
      </c>
      <c r="IP191" t="e">
        <f>AND(Demos!#REF!,"AAAAAE5Lv/k=")</f>
        <v>#REF!</v>
      </c>
      <c r="IQ191" t="e">
        <f>AND(Demos!#REF!,"AAAAAE5Lv/o=")</f>
        <v>#REF!</v>
      </c>
      <c r="IR191" t="e">
        <f>AND(Demos!#REF!,"AAAAAE5Lv/s=")</f>
        <v>#REF!</v>
      </c>
      <c r="IS191" t="e">
        <f>AND(Demos!#REF!,"AAAAAE5Lv/w=")</f>
        <v>#REF!</v>
      </c>
      <c r="IT191" t="e">
        <f>AND(Demos!#REF!,"AAAAAE5Lv/0=")</f>
        <v>#REF!</v>
      </c>
      <c r="IU191" t="e">
        <f>AND(Demos!#REF!,"AAAAAE5Lv/4=")</f>
        <v>#REF!</v>
      </c>
      <c r="IV191" t="e">
        <f>AND(Demos!#REF!,"AAAAAE5Lv/8=")</f>
        <v>#REF!</v>
      </c>
    </row>
    <row r="192" spans="1:256" x14ac:dyDescent="0.2">
      <c r="A192" t="e">
        <f>AND(Demos!#REF!,"AAAAAE7fPwA=")</f>
        <v>#REF!</v>
      </c>
      <c r="B192" t="e">
        <f>AND(Demos!#REF!,"AAAAAE7fPwE=")</f>
        <v>#REF!</v>
      </c>
      <c r="C192" t="e">
        <f>AND(Demos!#REF!,"AAAAAE7fPwI=")</f>
        <v>#REF!</v>
      </c>
      <c r="D192" t="e">
        <f>AND(Demos!#REF!,"AAAAAE7fPwM=")</f>
        <v>#REF!</v>
      </c>
      <c r="E192" t="e">
        <f>IF(Demos!#REF!,"AAAAAE7fPwQ=",0)</f>
        <v>#REF!</v>
      </c>
      <c r="F192" t="e">
        <f>AND(Demos!#REF!,"AAAAAE7fPwU=")</f>
        <v>#REF!</v>
      </c>
      <c r="G192" t="e">
        <f>AND(Demos!#REF!,"AAAAAE7fPwY=")</f>
        <v>#REF!</v>
      </c>
      <c r="H192" t="e">
        <f>AND(Demos!#REF!,"AAAAAE7fPwc=")</f>
        <v>#REF!</v>
      </c>
      <c r="I192" t="e">
        <f>AND(Demos!#REF!,"AAAAAE7fPwg=")</f>
        <v>#REF!</v>
      </c>
      <c r="J192" t="e">
        <f>AND(Demos!#REF!,"AAAAAE7fPwk=")</f>
        <v>#REF!</v>
      </c>
      <c r="K192" t="e">
        <f>AND(Demos!#REF!,"AAAAAE7fPwo=")</f>
        <v>#REF!</v>
      </c>
      <c r="L192" t="e">
        <f>AND(Demos!#REF!,"AAAAAE7fPws=")</f>
        <v>#REF!</v>
      </c>
      <c r="M192" t="e">
        <f>AND(Demos!#REF!,"AAAAAE7fPww=")</f>
        <v>#REF!</v>
      </c>
      <c r="N192" t="e">
        <f>AND(Demos!#REF!,"AAAAAE7fPw0=")</f>
        <v>#REF!</v>
      </c>
      <c r="O192" t="e">
        <f>AND(Demos!#REF!,"AAAAAE7fPw4=")</f>
        <v>#REF!</v>
      </c>
      <c r="P192" t="e">
        <f>AND(Demos!#REF!,"AAAAAE7fPw8=")</f>
        <v>#REF!</v>
      </c>
      <c r="Q192" t="e">
        <f>AND(Demos!#REF!,"AAAAAE7fPxA=")</f>
        <v>#REF!</v>
      </c>
      <c r="R192" t="e">
        <f>AND(Demos!#REF!,"AAAAAE7fPxE=")</f>
        <v>#REF!</v>
      </c>
      <c r="S192" t="e">
        <f>IF(Demos!#REF!,"AAAAAE7fPxI=",0)</f>
        <v>#REF!</v>
      </c>
      <c r="T192" t="e">
        <f>AND(Demos!#REF!,"AAAAAE7fPxM=")</f>
        <v>#REF!</v>
      </c>
      <c r="U192" t="e">
        <f>AND(Demos!#REF!,"AAAAAE7fPxQ=")</f>
        <v>#REF!</v>
      </c>
      <c r="V192" t="e">
        <f>AND(Demos!#REF!,"AAAAAE7fPxU=")</f>
        <v>#REF!</v>
      </c>
      <c r="W192" t="e">
        <f>AND(Demos!#REF!,"AAAAAE7fPxY=")</f>
        <v>#REF!</v>
      </c>
      <c r="X192" t="e">
        <f>AND(Demos!#REF!,"AAAAAE7fPxc=")</f>
        <v>#REF!</v>
      </c>
      <c r="Y192" t="e">
        <f>AND(Demos!#REF!,"AAAAAE7fPxg=")</f>
        <v>#REF!</v>
      </c>
      <c r="Z192" t="e">
        <f>AND(Demos!#REF!,"AAAAAE7fPxk=")</f>
        <v>#REF!</v>
      </c>
      <c r="AA192" t="e">
        <f>AND(Demos!#REF!,"AAAAAE7fPxo=")</f>
        <v>#REF!</v>
      </c>
      <c r="AB192" t="e">
        <f>AND(Demos!#REF!,"AAAAAE7fPxs=")</f>
        <v>#REF!</v>
      </c>
      <c r="AC192" t="e">
        <f>AND(Demos!#REF!,"AAAAAE7fPxw=")</f>
        <v>#REF!</v>
      </c>
      <c r="AD192" t="e">
        <f>AND(Demos!#REF!,"AAAAAE7fPx0=")</f>
        <v>#REF!</v>
      </c>
      <c r="AE192" t="e">
        <f>AND(Demos!#REF!,"AAAAAE7fPx4=")</f>
        <v>#REF!</v>
      </c>
      <c r="AF192" t="e">
        <f>AND(Demos!#REF!,"AAAAAE7fPx8=")</f>
        <v>#REF!</v>
      </c>
      <c r="AG192" t="e">
        <f>IF(Demos!#REF!,"AAAAAE7fPyA=",0)</f>
        <v>#REF!</v>
      </c>
      <c r="AH192" t="e">
        <f>AND(Demos!#REF!,"AAAAAE7fPyE=")</f>
        <v>#REF!</v>
      </c>
      <c r="AI192" t="e">
        <f>AND(Demos!#REF!,"AAAAAE7fPyI=")</f>
        <v>#REF!</v>
      </c>
      <c r="AJ192" t="e">
        <f>AND(Demos!#REF!,"AAAAAE7fPyM=")</f>
        <v>#REF!</v>
      </c>
      <c r="AK192" t="e">
        <f>AND(Demos!#REF!,"AAAAAE7fPyQ=")</f>
        <v>#REF!</v>
      </c>
      <c r="AL192" t="e">
        <f>AND(Demos!#REF!,"AAAAAE7fPyU=")</f>
        <v>#REF!</v>
      </c>
      <c r="AM192" t="e">
        <f>AND(Demos!#REF!,"AAAAAE7fPyY=")</f>
        <v>#REF!</v>
      </c>
      <c r="AN192" t="e">
        <f>AND(Demos!#REF!,"AAAAAE7fPyc=")</f>
        <v>#REF!</v>
      </c>
      <c r="AO192" t="e">
        <f>AND(Demos!#REF!,"AAAAAE7fPyg=")</f>
        <v>#REF!</v>
      </c>
      <c r="AP192" t="e">
        <f>AND(Demos!#REF!,"AAAAAE7fPyk=")</f>
        <v>#REF!</v>
      </c>
      <c r="AQ192" t="e">
        <f>AND(Demos!#REF!,"AAAAAE7fPyo=")</f>
        <v>#REF!</v>
      </c>
      <c r="AR192" t="e">
        <f>AND(Demos!#REF!,"AAAAAE7fPys=")</f>
        <v>#REF!</v>
      </c>
      <c r="AS192" t="e">
        <f>AND(Demos!#REF!,"AAAAAE7fPyw=")</f>
        <v>#REF!</v>
      </c>
      <c r="AT192" t="e">
        <f>AND(Demos!#REF!,"AAAAAE7fPy0=")</f>
        <v>#REF!</v>
      </c>
      <c r="AU192" t="e">
        <f>IF(Demos!#REF!,"AAAAAE7fPy4=",0)</f>
        <v>#REF!</v>
      </c>
      <c r="AV192" t="e">
        <f>AND(Demos!#REF!,"AAAAAE7fPy8=")</f>
        <v>#REF!</v>
      </c>
      <c r="AW192" t="e">
        <f>AND(Demos!#REF!,"AAAAAE7fPzA=")</f>
        <v>#REF!</v>
      </c>
      <c r="AX192" t="e">
        <f>AND(Demos!#REF!,"AAAAAE7fPzE=")</f>
        <v>#REF!</v>
      </c>
      <c r="AY192" t="e">
        <f>AND(Demos!#REF!,"AAAAAE7fPzI=")</f>
        <v>#REF!</v>
      </c>
      <c r="AZ192" t="e">
        <f>AND(Demos!#REF!,"AAAAAE7fPzM=")</f>
        <v>#REF!</v>
      </c>
      <c r="BA192" t="e">
        <f>AND(Demos!#REF!,"AAAAAE7fPzQ=")</f>
        <v>#REF!</v>
      </c>
      <c r="BB192" t="e">
        <f>AND(Demos!#REF!,"AAAAAE7fPzU=")</f>
        <v>#REF!</v>
      </c>
      <c r="BC192" t="e">
        <f>AND(Demos!#REF!,"AAAAAE7fPzY=")</f>
        <v>#REF!</v>
      </c>
      <c r="BD192" t="e">
        <f>AND(Demos!#REF!,"AAAAAE7fPzc=")</f>
        <v>#REF!</v>
      </c>
      <c r="BE192" t="e">
        <f>AND(Demos!#REF!,"AAAAAE7fPzg=")</f>
        <v>#REF!</v>
      </c>
      <c r="BF192" t="e">
        <f>AND(Demos!#REF!,"AAAAAE7fPzk=")</f>
        <v>#REF!</v>
      </c>
      <c r="BG192" t="e">
        <f>AND(Demos!#REF!,"AAAAAE7fPzo=")</f>
        <v>#REF!</v>
      </c>
      <c r="BH192" t="e">
        <f>AND(Demos!#REF!,"AAAAAE7fPzs=")</f>
        <v>#REF!</v>
      </c>
      <c r="BI192" t="e">
        <f>IF(Demos!#REF!,"AAAAAE7fPzw=",0)</f>
        <v>#REF!</v>
      </c>
      <c r="BJ192" t="e">
        <f>AND(Demos!#REF!,"AAAAAE7fPz0=")</f>
        <v>#REF!</v>
      </c>
      <c r="BK192" t="e">
        <f>AND(Demos!#REF!,"AAAAAE7fPz4=")</f>
        <v>#REF!</v>
      </c>
      <c r="BL192" t="e">
        <f>AND(Demos!#REF!,"AAAAAE7fPz8=")</f>
        <v>#REF!</v>
      </c>
      <c r="BM192" t="e">
        <f>AND(Demos!#REF!,"AAAAAE7fP0A=")</f>
        <v>#REF!</v>
      </c>
      <c r="BN192" t="e">
        <f>AND(Demos!#REF!,"AAAAAE7fP0E=")</f>
        <v>#REF!</v>
      </c>
      <c r="BO192" t="e">
        <f>AND(Demos!#REF!,"AAAAAE7fP0I=")</f>
        <v>#REF!</v>
      </c>
      <c r="BP192" t="e">
        <f>AND(Demos!#REF!,"AAAAAE7fP0M=")</f>
        <v>#REF!</v>
      </c>
      <c r="BQ192" t="e">
        <f>AND(Demos!#REF!,"AAAAAE7fP0Q=")</f>
        <v>#REF!</v>
      </c>
      <c r="BR192" t="e">
        <f>AND(Demos!#REF!,"AAAAAE7fP0U=")</f>
        <v>#REF!</v>
      </c>
      <c r="BS192" t="e">
        <f>AND(Demos!#REF!,"AAAAAE7fP0Y=")</f>
        <v>#REF!</v>
      </c>
      <c r="BT192" t="e">
        <f>AND(Demos!#REF!,"AAAAAE7fP0c=")</f>
        <v>#REF!</v>
      </c>
      <c r="BU192" t="e">
        <f>AND(Demos!#REF!,"AAAAAE7fP0g=")</f>
        <v>#REF!</v>
      </c>
      <c r="BV192" t="e">
        <f>AND(Demos!#REF!,"AAAAAE7fP0k=")</f>
        <v>#REF!</v>
      </c>
      <c r="BW192" t="e">
        <f>IF(Demos!#REF!,"AAAAAE7fP0o=",0)</f>
        <v>#REF!</v>
      </c>
      <c r="BX192" t="e">
        <f>AND(Demos!#REF!,"AAAAAE7fP0s=")</f>
        <v>#REF!</v>
      </c>
      <c r="BY192" t="e">
        <f>AND(Demos!#REF!,"AAAAAE7fP0w=")</f>
        <v>#REF!</v>
      </c>
      <c r="BZ192" t="e">
        <f>AND(Demos!#REF!,"AAAAAE7fP00=")</f>
        <v>#REF!</v>
      </c>
      <c r="CA192" t="e">
        <f>AND(Demos!#REF!,"AAAAAE7fP04=")</f>
        <v>#REF!</v>
      </c>
      <c r="CB192" t="e">
        <f>AND(Demos!#REF!,"AAAAAE7fP08=")</f>
        <v>#REF!</v>
      </c>
      <c r="CC192" t="e">
        <f>AND(Demos!#REF!,"AAAAAE7fP1A=")</f>
        <v>#REF!</v>
      </c>
      <c r="CD192" t="e">
        <f>AND(Demos!#REF!,"AAAAAE7fP1E=")</f>
        <v>#REF!</v>
      </c>
      <c r="CE192" t="e">
        <f>AND(Demos!#REF!,"AAAAAE7fP1I=")</f>
        <v>#REF!</v>
      </c>
      <c r="CF192" t="e">
        <f>AND(Demos!#REF!,"AAAAAE7fP1M=")</f>
        <v>#REF!</v>
      </c>
      <c r="CG192" t="e">
        <f>AND(Demos!#REF!,"AAAAAE7fP1Q=")</f>
        <v>#REF!</v>
      </c>
      <c r="CH192" t="e">
        <f>AND(Demos!#REF!,"AAAAAE7fP1U=")</f>
        <v>#REF!</v>
      </c>
      <c r="CI192" t="e">
        <f>AND(Demos!#REF!,"AAAAAE7fP1Y=")</f>
        <v>#REF!</v>
      </c>
      <c r="CJ192" t="e">
        <f>AND(Demos!#REF!,"AAAAAE7fP1c=")</f>
        <v>#REF!</v>
      </c>
      <c r="CK192" t="e">
        <f>IF(Demos!#REF!,"AAAAAE7fP1g=",0)</f>
        <v>#REF!</v>
      </c>
      <c r="CL192" t="e">
        <f>AND(Demos!#REF!,"AAAAAE7fP1k=")</f>
        <v>#REF!</v>
      </c>
      <c r="CM192" t="e">
        <f>AND(Demos!#REF!,"AAAAAE7fP1o=")</f>
        <v>#REF!</v>
      </c>
      <c r="CN192" t="e">
        <f>AND(Demos!#REF!,"AAAAAE7fP1s=")</f>
        <v>#REF!</v>
      </c>
      <c r="CO192" t="e">
        <f>AND(Demos!#REF!,"AAAAAE7fP1w=")</f>
        <v>#REF!</v>
      </c>
      <c r="CP192" t="e">
        <f>AND(Demos!#REF!,"AAAAAE7fP10=")</f>
        <v>#REF!</v>
      </c>
      <c r="CQ192" t="e">
        <f>AND(Demos!#REF!,"AAAAAE7fP14=")</f>
        <v>#REF!</v>
      </c>
      <c r="CR192" t="e">
        <f>AND(Demos!#REF!,"AAAAAE7fP18=")</f>
        <v>#REF!</v>
      </c>
      <c r="CS192" t="e">
        <f>AND(Demos!#REF!,"AAAAAE7fP2A=")</f>
        <v>#REF!</v>
      </c>
      <c r="CT192" t="e">
        <f>AND(Demos!#REF!,"AAAAAE7fP2E=")</f>
        <v>#REF!</v>
      </c>
      <c r="CU192" t="e">
        <f>AND(Demos!#REF!,"AAAAAE7fP2I=")</f>
        <v>#REF!</v>
      </c>
      <c r="CV192" t="e">
        <f>AND(Demos!#REF!,"AAAAAE7fP2M=")</f>
        <v>#REF!</v>
      </c>
      <c r="CW192" t="e">
        <f>AND(Demos!#REF!,"AAAAAE7fP2Q=")</f>
        <v>#REF!</v>
      </c>
      <c r="CX192" t="e">
        <f>AND(Demos!#REF!,"AAAAAE7fP2U=")</f>
        <v>#REF!</v>
      </c>
      <c r="CY192" t="e">
        <f>IF(Demos!#REF!,"AAAAAE7fP2Y=",0)</f>
        <v>#REF!</v>
      </c>
      <c r="CZ192" t="e">
        <f>AND(Demos!#REF!,"AAAAAE7fP2c=")</f>
        <v>#REF!</v>
      </c>
      <c r="DA192" t="e">
        <f>AND(Demos!#REF!,"AAAAAE7fP2g=")</f>
        <v>#REF!</v>
      </c>
      <c r="DB192" t="e">
        <f>AND(Demos!#REF!,"AAAAAE7fP2k=")</f>
        <v>#REF!</v>
      </c>
      <c r="DC192" t="e">
        <f>AND(Demos!#REF!,"AAAAAE7fP2o=")</f>
        <v>#REF!</v>
      </c>
      <c r="DD192" t="e">
        <f>AND(Demos!#REF!,"AAAAAE7fP2s=")</f>
        <v>#REF!</v>
      </c>
      <c r="DE192" t="e">
        <f>AND(Demos!#REF!,"AAAAAE7fP2w=")</f>
        <v>#REF!</v>
      </c>
      <c r="DF192" t="e">
        <f>AND(Demos!#REF!,"AAAAAE7fP20=")</f>
        <v>#REF!</v>
      </c>
      <c r="DG192" t="e">
        <f>AND(Demos!#REF!,"AAAAAE7fP24=")</f>
        <v>#REF!</v>
      </c>
      <c r="DH192" t="e">
        <f>AND(Demos!#REF!,"AAAAAE7fP28=")</f>
        <v>#REF!</v>
      </c>
      <c r="DI192" t="e">
        <f>AND(Demos!#REF!,"AAAAAE7fP3A=")</f>
        <v>#REF!</v>
      </c>
      <c r="DJ192" t="e">
        <f>AND(Demos!#REF!,"AAAAAE7fP3E=")</f>
        <v>#REF!</v>
      </c>
      <c r="DK192" t="e">
        <f>AND(Demos!#REF!,"AAAAAE7fP3I=")</f>
        <v>#REF!</v>
      </c>
      <c r="DL192" t="e">
        <f>AND(Demos!#REF!,"AAAAAE7fP3M=")</f>
        <v>#REF!</v>
      </c>
      <c r="DM192" t="e">
        <f>IF(Demos!#REF!,"AAAAAE7fP3Q=",0)</f>
        <v>#REF!</v>
      </c>
      <c r="DN192" t="e">
        <f>AND(Demos!#REF!,"AAAAAE7fP3U=")</f>
        <v>#REF!</v>
      </c>
      <c r="DO192" t="e">
        <f>AND(Demos!#REF!,"AAAAAE7fP3Y=")</f>
        <v>#REF!</v>
      </c>
      <c r="DP192" t="e">
        <f>AND(Demos!#REF!,"AAAAAE7fP3c=")</f>
        <v>#REF!</v>
      </c>
      <c r="DQ192" t="e">
        <f>AND(Demos!#REF!,"AAAAAE7fP3g=")</f>
        <v>#REF!</v>
      </c>
      <c r="DR192" t="e">
        <f>AND(Demos!#REF!,"AAAAAE7fP3k=")</f>
        <v>#REF!</v>
      </c>
      <c r="DS192" t="e">
        <f>AND(Demos!#REF!,"AAAAAE7fP3o=")</f>
        <v>#REF!</v>
      </c>
      <c r="DT192" t="e">
        <f>AND(Demos!#REF!,"AAAAAE7fP3s=")</f>
        <v>#REF!</v>
      </c>
      <c r="DU192" t="e">
        <f>AND(Demos!#REF!,"AAAAAE7fP3w=")</f>
        <v>#REF!</v>
      </c>
      <c r="DV192" t="e">
        <f>AND(Demos!#REF!,"AAAAAE7fP30=")</f>
        <v>#REF!</v>
      </c>
      <c r="DW192" t="e">
        <f>AND(Demos!#REF!,"AAAAAE7fP34=")</f>
        <v>#REF!</v>
      </c>
      <c r="DX192" t="e">
        <f>AND(Demos!#REF!,"AAAAAE7fP38=")</f>
        <v>#REF!</v>
      </c>
      <c r="DY192" t="e">
        <f>AND(Demos!#REF!,"AAAAAE7fP4A=")</f>
        <v>#REF!</v>
      </c>
      <c r="DZ192" t="e">
        <f>AND(Demos!#REF!,"AAAAAE7fP4E=")</f>
        <v>#REF!</v>
      </c>
      <c r="EA192">
        <f>IF(Demos!A:A,"AAAAAE7fP4I=",0)</f>
        <v>0</v>
      </c>
      <c r="EB192" t="e">
        <f>IF(Demos!B:B,"AAAAAE7fP4M=",0)</f>
        <v>#VALUE!</v>
      </c>
      <c r="EC192" t="e">
        <f>IF(Demos!#REF!,"AAAAAE7fP4Q=",0)</f>
        <v>#REF!</v>
      </c>
      <c r="ED192" t="e">
        <f>IF(Demos!C:C,"AAAAAE7fP4U=",0)</f>
        <v>#VALUE!</v>
      </c>
      <c r="EE192" t="e">
        <f>IF(Demos!#REF!,"AAAAAE7fP4Y=",0)</f>
        <v>#REF!</v>
      </c>
      <c r="EF192" t="e">
        <f>IF(Demos!#REF!,"AAAAAE7fP4c=",0)</f>
        <v>#REF!</v>
      </c>
      <c r="EG192" t="e">
        <f>IF(Demos!#REF!,"AAAAAE7fP4g=",0)</f>
        <v>#REF!</v>
      </c>
      <c r="EH192" t="e">
        <f>IF(Demos!#REF!,"AAAAAE7fP4k=",0)</f>
        <v>#REF!</v>
      </c>
      <c r="EI192">
        <f>IF(Demos!D:D,"AAAAAE7fP4o=",0)</f>
        <v>0</v>
      </c>
      <c r="EJ192" t="e">
        <f>IF(Demos!#REF!,"AAAAAE7fP4s=",0)</f>
        <v>#REF!</v>
      </c>
      <c r="EK192">
        <f>IF(Demos!E:E,"AAAAAE7fP4w=",0)</f>
        <v>0</v>
      </c>
      <c r="EL192">
        <f>IF(Demos!F:F,"AAAAAE7fP40=",0)</f>
        <v>0</v>
      </c>
      <c r="EM192">
        <f>IF(Demos!G:G,"AAAAAE7fP44=",0)</f>
        <v>0</v>
      </c>
      <c r="EN192">
        <f>IF(Exhibitor!1:1,"AAAAAE7fP48=",0)</f>
        <v>0</v>
      </c>
      <c r="EO192" t="e">
        <f>AND(Exhibitor!#REF!,"AAAAAE7fP5A=")</f>
        <v>#REF!</v>
      </c>
      <c r="EP192" t="e">
        <f>AND(Exhibitor!A1,"AAAAAE7fP5E=")</f>
        <v>#VALUE!</v>
      </c>
      <c r="EQ192" t="e">
        <f>AND(Exhibitor!B1,"AAAAAE7fP5I=")</f>
        <v>#VALUE!</v>
      </c>
      <c r="ER192" t="e">
        <f>AND(Exhibitor!C1,"AAAAAE7fP5M=")</f>
        <v>#VALUE!</v>
      </c>
      <c r="ES192" t="e">
        <f>AND(Exhibitor!D1,"AAAAAE7fP5Q=")</f>
        <v>#VALUE!</v>
      </c>
      <c r="ET192" t="e">
        <f>AND(Exhibitor!E1,"AAAAAE7fP5U=")</f>
        <v>#VALUE!</v>
      </c>
      <c r="EU192" t="e">
        <f>AND(Exhibitor!F1,"AAAAAE7fP5Y=")</f>
        <v>#VALUE!</v>
      </c>
      <c r="EV192" t="e">
        <f>AND(Exhibitor!G1,"AAAAAE7fP5c=")</f>
        <v>#VALUE!</v>
      </c>
      <c r="EW192" t="e">
        <f>AND(Exhibitor!H1,"AAAAAE7fP5g=")</f>
        <v>#VALUE!</v>
      </c>
      <c r="EX192" t="e">
        <f>AND(Exhibitor!#REF!,"AAAAAE7fP5k=")</f>
        <v>#REF!</v>
      </c>
      <c r="EY192" t="e">
        <f>AND(Exhibitor!#REF!,"AAAAAE7fP5o=")</f>
        <v>#REF!</v>
      </c>
      <c r="EZ192" t="e">
        <f>AND(Exhibitor!#REF!,"AAAAAE7fP5s=")</f>
        <v>#REF!</v>
      </c>
      <c r="FA192" t="e">
        <f>AND(Exhibitor!#REF!,"AAAAAE7fP5w=")</f>
        <v>#REF!</v>
      </c>
      <c r="FB192">
        <f>IF(Exhibitor!2:2,"AAAAAE7fP50=",0)</f>
        <v>0</v>
      </c>
      <c r="FC192" t="e">
        <f>AND(Exhibitor!A2,"AAAAAE7fP54=")</f>
        <v>#VALUE!</v>
      </c>
      <c r="FD192" t="e">
        <f>AND(Exhibitor!B2,"AAAAAE7fP58=")</f>
        <v>#VALUE!</v>
      </c>
      <c r="FE192" t="e">
        <f>AND(Exhibitor!C2,"AAAAAE7fP6A=")</f>
        <v>#VALUE!</v>
      </c>
      <c r="FF192" t="e">
        <f>AND(Exhibitor!D2,"AAAAAE7fP6E=")</f>
        <v>#VALUE!</v>
      </c>
      <c r="FG192" t="e">
        <f>AND(Exhibitor!E2,"AAAAAE7fP6I=")</f>
        <v>#VALUE!</v>
      </c>
      <c r="FH192" t="e">
        <f>AND(Exhibitor!F2,"AAAAAE7fP6M=")</f>
        <v>#VALUE!</v>
      </c>
      <c r="FI192" t="e">
        <f>AND(Exhibitor!G2,"AAAAAE7fP6Q=")</f>
        <v>#VALUE!</v>
      </c>
      <c r="FJ192" t="e">
        <f>AND(Exhibitor!H2,"AAAAAE7fP6U=")</f>
        <v>#VALUE!</v>
      </c>
      <c r="FK192" t="e">
        <f>AND(Exhibitor!#REF!,"AAAAAE7fP6Y=")</f>
        <v>#REF!</v>
      </c>
      <c r="FL192" t="e">
        <f>AND(Exhibitor!#REF!,"AAAAAE7fP6c=")</f>
        <v>#REF!</v>
      </c>
      <c r="FM192" t="e">
        <f>AND(Exhibitor!#REF!,"AAAAAE7fP6g=")</f>
        <v>#REF!</v>
      </c>
      <c r="FN192" t="e">
        <f>AND(Exhibitor!#REF!,"AAAAAE7fP6k=")</f>
        <v>#REF!</v>
      </c>
      <c r="FO192" t="e">
        <f>AND(Exhibitor!#REF!,"AAAAAE7fP6o=")</f>
        <v>#REF!</v>
      </c>
      <c r="FP192" t="e">
        <f>IF(Exhibitor!#REF!,"AAAAAE7fP6s=",0)</f>
        <v>#REF!</v>
      </c>
      <c r="FQ192" t="e">
        <f>AND(Exhibitor!#REF!,"AAAAAE7fP6w=")</f>
        <v>#REF!</v>
      </c>
      <c r="FR192" t="e">
        <f>AND(Exhibitor!#REF!,"AAAAAE7fP60=")</f>
        <v>#REF!</v>
      </c>
      <c r="FS192" t="e">
        <f>AND(Exhibitor!#REF!,"AAAAAE7fP64=")</f>
        <v>#REF!</v>
      </c>
      <c r="FT192" t="e">
        <f>AND(Exhibitor!#REF!,"AAAAAE7fP68=")</f>
        <v>#REF!</v>
      </c>
      <c r="FU192" t="e">
        <f>AND(Exhibitor!#REF!,"AAAAAE7fP7A=")</f>
        <v>#REF!</v>
      </c>
      <c r="FV192" t="e">
        <f>AND(Exhibitor!#REF!,"AAAAAE7fP7E=")</f>
        <v>#REF!</v>
      </c>
      <c r="FW192" t="e">
        <f>AND(Exhibitor!#REF!,"AAAAAE7fP7I=")</f>
        <v>#REF!</v>
      </c>
      <c r="FX192" t="e">
        <f>AND(Exhibitor!#REF!,"AAAAAE7fP7M=")</f>
        <v>#REF!</v>
      </c>
      <c r="FY192" t="e">
        <f>AND(Exhibitor!#REF!,"AAAAAE7fP7Q=")</f>
        <v>#REF!</v>
      </c>
      <c r="FZ192" t="e">
        <f>AND(Exhibitor!#REF!,"AAAAAE7fP7U=")</f>
        <v>#REF!</v>
      </c>
      <c r="GA192" t="e">
        <f>AND(Exhibitor!#REF!,"AAAAAE7fP7Y=")</f>
        <v>#REF!</v>
      </c>
      <c r="GB192" t="e">
        <f>AND(Exhibitor!#REF!,"AAAAAE7fP7c=")</f>
        <v>#REF!</v>
      </c>
      <c r="GC192" t="e">
        <f>AND(Exhibitor!#REF!,"AAAAAE7fP7g=")</f>
        <v>#REF!</v>
      </c>
      <c r="GD192" t="e">
        <f>IF(Exhibitor!#REF!,"AAAAAE7fP7k=",0)</f>
        <v>#REF!</v>
      </c>
      <c r="GE192" t="e">
        <f>AND(Exhibitor!#REF!,"AAAAAE7fP7o=")</f>
        <v>#REF!</v>
      </c>
      <c r="GF192" t="e">
        <f>AND(Exhibitor!#REF!,"AAAAAE7fP7s=")</f>
        <v>#REF!</v>
      </c>
      <c r="GG192" t="e">
        <f>AND(Exhibitor!#REF!,"AAAAAE7fP7w=")</f>
        <v>#REF!</v>
      </c>
      <c r="GH192" t="e">
        <f>AND(Exhibitor!#REF!,"AAAAAE7fP70=")</f>
        <v>#REF!</v>
      </c>
      <c r="GI192" t="e">
        <f>AND(Exhibitor!#REF!,"AAAAAE7fP74=")</f>
        <v>#REF!</v>
      </c>
      <c r="GJ192" t="e">
        <f>AND(Exhibitor!#REF!,"AAAAAE7fP78=")</f>
        <v>#REF!</v>
      </c>
      <c r="GK192" t="e">
        <f>AND(Exhibitor!#REF!,"AAAAAE7fP8A=")</f>
        <v>#REF!</v>
      </c>
      <c r="GL192" t="e">
        <f>AND(Exhibitor!#REF!,"AAAAAE7fP8E=")</f>
        <v>#REF!</v>
      </c>
      <c r="GM192" t="e">
        <f>AND(Exhibitor!#REF!,"AAAAAE7fP8I=")</f>
        <v>#REF!</v>
      </c>
      <c r="GN192" t="e">
        <f>AND(Exhibitor!#REF!,"AAAAAE7fP8M=")</f>
        <v>#REF!</v>
      </c>
      <c r="GO192" t="e">
        <f>AND(Exhibitor!#REF!,"AAAAAE7fP8Q=")</f>
        <v>#REF!</v>
      </c>
      <c r="GP192" t="e">
        <f>AND(Exhibitor!#REF!,"AAAAAE7fP8U=")</f>
        <v>#REF!</v>
      </c>
      <c r="GQ192" t="e">
        <f>AND(Exhibitor!#REF!,"AAAAAE7fP8Y=")</f>
        <v>#REF!</v>
      </c>
      <c r="GR192">
        <f>IF(Exhibitor!4:4,"AAAAAE7fP8c=",0)</f>
        <v>0</v>
      </c>
      <c r="GS192" t="e">
        <f>AND(Exhibitor!#REF!,"AAAAAE7fP8g=")</f>
        <v>#REF!</v>
      </c>
      <c r="GT192" t="e">
        <f>AND(Exhibitor!A4,"AAAAAE7fP8k=")</f>
        <v>#VALUE!</v>
      </c>
      <c r="GU192" t="e">
        <f>AND(Exhibitor!B4,"AAAAAE7fP8o=")</f>
        <v>#VALUE!</v>
      </c>
      <c r="GV192" t="e">
        <f>AND(Exhibitor!C4,"AAAAAE7fP8s=")</f>
        <v>#VALUE!</v>
      </c>
      <c r="GW192" t="e">
        <f>AND(Exhibitor!D4,"AAAAAE7fP8w=")</f>
        <v>#VALUE!</v>
      </c>
      <c r="GX192" t="e">
        <f>AND(Exhibitor!E4,"AAAAAE7fP80=")</f>
        <v>#VALUE!</v>
      </c>
      <c r="GY192" t="e">
        <f>AND(Exhibitor!F4,"AAAAAE7fP84=")</f>
        <v>#VALUE!</v>
      </c>
      <c r="GZ192" t="e">
        <f>AND(Exhibitor!G4,"AAAAAE7fP88=")</f>
        <v>#VALUE!</v>
      </c>
      <c r="HA192" t="e">
        <f>AND(Exhibitor!H4,"AAAAAE7fP9A=")</f>
        <v>#VALUE!</v>
      </c>
      <c r="HB192" t="e">
        <f>AND(Exhibitor!#REF!,"AAAAAE7fP9E=")</f>
        <v>#REF!</v>
      </c>
      <c r="HC192" t="e">
        <f>AND(Exhibitor!#REF!,"AAAAAE7fP9I=")</f>
        <v>#REF!</v>
      </c>
      <c r="HD192" t="e">
        <f>AND(Exhibitor!#REF!,"AAAAAE7fP9M=")</f>
        <v>#REF!</v>
      </c>
      <c r="HE192" t="e">
        <f>AND(Exhibitor!#REF!,"AAAAAE7fP9Q=")</f>
        <v>#REF!</v>
      </c>
      <c r="HF192" t="e">
        <f>IF(Exhibitor!#REF!,"AAAAAE7fP9U=",0)</f>
        <v>#REF!</v>
      </c>
      <c r="HG192" t="e">
        <f>AND(Exhibitor!#REF!,"AAAAAE7fP9Y=")</f>
        <v>#REF!</v>
      </c>
      <c r="HH192" t="e">
        <f>AND(Exhibitor!#REF!,"AAAAAE7fP9c=")</f>
        <v>#REF!</v>
      </c>
      <c r="HI192" t="e">
        <f>AND(Exhibitor!#REF!,"AAAAAE7fP9g=")</f>
        <v>#REF!</v>
      </c>
      <c r="HJ192" t="e">
        <f>AND(Exhibitor!#REF!,"AAAAAE7fP9k=")</f>
        <v>#REF!</v>
      </c>
      <c r="HK192" t="e">
        <f>AND(Exhibitor!#REF!,"AAAAAE7fP9o=")</f>
        <v>#REF!</v>
      </c>
      <c r="HL192" t="e">
        <f>AND(Exhibitor!#REF!,"AAAAAE7fP9s=")</f>
        <v>#REF!</v>
      </c>
      <c r="HM192" t="e">
        <f>AND(Exhibitor!#REF!,"AAAAAE7fP9w=")</f>
        <v>#REF!</v>
      </c>
      <c r="HN192" t="e">
        <f>AND(Exhibitor!#REF!,"AAAAAE7fP90=")</f>
        <v>#REF!</v>
      </c>
      <c r="HO192" t="e">
        <f>AND(Exhibitor!#REF!,"AAAAAE7fP94=")</f>
        <v>#REF!</v>
      </c>
      <c r="HP192" t="e">
        <f>AND(Exhibitor!#REF!,"AAAAAE7fP98=")</f>
        <v>#REF!</v>
      </c>
      <c r="HQ192" t="e">
        <f>AND(Exhibitor!#REF!,"AAAAAE7fP+A=")</f>
        <v>#REF!</v>
      </c>
      <c r="HR192" t="e">
        <f>AND(Exhibitor!#REF!,"AAAAAE7fP+E=")</f>
        <v>#REF!</v>
      </c>
      <c r="HS192" t="e">
        <f>AND(Exhibitor!#REF!,"AAAAAE7fP+I=")</f>
        <v>#REF!</v>
      </c>
      <c r="HT192" t="e">
        <f>IF(Exhibitor!#REF!,"AAAAAE7fP+M=",0)</f>
        <v>#REF!</v>
      </c>
      <c r="HU192" t="e">
        <f>AND(Exhibitor!#REF!,"AAAAAE7fP+Q=")</f>
        <v>#REF!</v>
      </c>
      <c r="HV192" t="e">
        <f>AND(Exhibitor!#REF!,"AAAAAE7fP+U=")</f>
        <v>#REF!</v>
      </c>
      <c r="HW192" t="e">
        <f>AND(Exhibitor!#REF!,"AAAAAE7fP+Y=")</f>
        <v>#REF!</v>
      </c>
      <c r="HX192" t="e">
        <f>AND(Exhibitor!#REF!,"AAAAAE7fP+c=")</f>
        <v>#REF!</v>
      </c>
      <c r="HY192" t="e">
        <f>AND(Exhibitor!#REF!,"AAAAAE7fP+g=")</f>
        <v>#REF!</v>
      </c>
      <c r="HZ192" t="e">
        <f>AND(Exhibitor!#REF!,"AAAAAE7fP+k=")</f>
        <v>#REF!</v>
      </c>
      <c r="IA192" t="e">
        <f>AND(Exhibitor!#REF!,"AAAAAE7fP+o=")</f>
        <v>#REF!</v>
      </c>
      <c r="IB192" t="e">
        <f>AND(Exhibitor!#REF!,"AAAAAE7fP+s=")</f>
        <v>#REF!</v>
      </c>
      <c r="IC192" t="e">
        <f>AND(Exhibitor!#REF!,"AAAAAE7fP+w=")</f>
        <v>#REF!</v>
      </c>
      <c r="ID192" t="e">
        <f>AND(Exhibitor!#REF!,"AAAAAE7fP+0=")</f>
        <v>#REF!</v>
      </c>
      <c r="IE192" t="e">
        <f>AND(Exhibitor!#REF!,"AAAAAE7fP+4=")</f>
        <v>#REF!</v>
      </c>
      <c r="IF192" t="e">
        <f>AND(Exhibitor!#REF!,"AAAAAE7fP+8=")</f>
        <v>#REF!</v>
      </c>
      <c r="IG192" t="e">
        <f>AND(Exhibitor!#REF!,"AAAAAE7fP/A=")</f>
        <v>#REF!</v>
      </c>
      <c r="IH192" t="e">
        <f>IF(Exhibitor!#REF!,"AAAAAE7fP/E=",0)</f>
        <v>#REF!</v>
      </c>
      <c r="II192" t="e">
        <f>AND(Exhibitor!#REF!,"AAAAAE7fP/I=")</f>
        <v>#REF!</v>
      </c>
      <c r="IJ192" t="e">
        <f>AND(Exhibitor!#REF!,"AAAAAE7fP/M=")</f>
        <v>#REF!</v>
      </c>
      <c r="IK192" t="e">
        <f>AND(Exhibitor!#REF!,"AAAAAE7fP/Q=")</f>
        <v>#REF!</v>
      </c>
      <c r="IL192" t="e">
        <f>AND(Exhibitor!#REF!,"AAAAAE7fP/U=")</f>
        <v>#REF!</v>
      </c>
      <c r="IM192" t="e">
        <f>AND(Exhibitor!#REF!,"AAAAAE7fP/Y=")</f>
        <v>#REF!</v>
      </c>
      <c r="IN192" t="e">
        <f>AND(Exhibitor!#REF!,"AAAAAE7fP/c=")</f>
        <v>#REF!</v>
      </c>
      <c r="IO192" t="e">
        <f>AND(Exhibitor!#REF!,"AAAAAE7fP/g=")</f>
        <v>#REF!</v>
      </c>
      <c r="IP192" t="e">
        <f>AND(Exhibitor!#REF!,"AAAAAE7fP/k=")</f>
        <v>#REF!</v>
      </c>
      <c r="IQ192" t="e">
        <f>AND(Exhibitor!#REF!,"AAAAAE7fP/o=")</f>
        <v>#REF!</v>
      </c>
      <c r="IR192" t="e">
        <f>AND(Exhibitor!#REF!,"AAAAAE7fP/s=")</f>
        <v>#REF!</v>
      </c>
      <c r="IS192" t="e">
        <f>AND(Exhibitor!#REF!,"AAAAAE7fP/w=")</f>
        <v>#REF!</v>
      </c>
      <c r="IT192" t="e">
        <f>AND(Exhibitor!#REF!,"AAAAAE7fP/0=")</f>
        <v>#REF!</v>
      </c>
      <c r="IU192" t="e">
        <f>AND(Exhibitor!#REF!,"AAAAAE7fP/4=")</f>
        <v>#REF!</v>
      </c>
      <c r="IV192" t="e">
        <f>IF(Exhibitor!#REF!,"AAAAAE7fP/8=",0)</f>
        <v>#REF!</v>
      </c>
    </row>
    <row r="193" spans="1:256" x14ac:dyDescent="0.2">
      <c r="A193" t="e">
        <f>AND(Exhibitor!#REF!,"AAAAAHlbuQA=")</f>
        <v>#REF!</v>
      </c>
      <c r="B193" t="e">
        <f>AND(Exhibitor!#REF!,"AAAAAHlbuQE=")</f>
        <v>#REF!</v>
      </c>
      <c r="C193" t="e">
        <f>AND(Exhibitor!#REF!,"AAAAAHlbuQI=")</f>
        <v>#REF!</v>
      </c>
      <c r="D193" t="e">
        <f>AND(Exhibitor!#REF!,"AAAAAHlbuQM=")</f>
        <v>#REF!</v>
      </c>
      <c r="E193" t="e">
        <f>AND(Exhibitor!#REF!,"AAAAAHlbuQQ=")</f>
        <v>#REF!</v>
      </c>
      <c r="F193" t="e">
        <f>AND(Exhibitor!#REF!,"AAAAAHlbuQU=")</f>
        <v>#REF!</v>
      </c>
      <c r="G193" t="e">
        <f>AND(Exhibitor!#REF!,"AAAAAHlbuQY=")</f>
        <v>#REF!</v>
      </c>
      <c r="H193" t="e">
        <f>AND(Exhibitor!#REF!,"AAAAAHlbuQc=")</f>
        <v>#REF!</v>
      </c>
      <c r="I193" t="e">
        <f>AND(Exhibitor!#REF!,"AAAAAHlbuQg=")</f>
        <v>#REF!</v>
      </c>
      <c r="J193" t="e">
        <f>AND(Exhibitor!#REF!,"AAAAAHlbuQk=")</f>
        <v>#REF!</v>
      </c>
      <c r="K193" t="e">
        <f>AND(Exhibitor!#REF!,"AAAAAHlbuQo=")</f>
        <v>#REF!</v>
      </c>
      <c r="L193" t="e">
        <f>AND(Exhibitor!#REF!,"AAAAAHlbuQs=")</f>
        <v>#REF!</v>
      </c>
      <c r="M193" t="e">
        <f>AND(Exhibitor!#REF!,"AAAAAHlbuQw=")</f>
        <v>#REF!</v>
      </c>
      <c r="N193" t="e">
        <f>IF(Exhibitor!#REF!,"AAAAAHlbuQ0=",0)</f>
        <v>#REF!</v>
      </c>
      <c r="O193" t="e">
        <f>AND(Exhibitor!#REF!,"AAAAAHlbuQ4=")</f>
        <v>#REF!</v>
      </c>
      <c r="P193" t="e">
        <f>AND(Exhibitor!#REF!,"AAAAAHlbuQ8=")</f>
        <v>#REF!</v>
      </c>
      <c r="Q193" t="e">
        <f>AND(Exhibitor!#REF!,"AAAAAHlbuRA=")</f>
        <v>#REF!</v>
      </c>
      <c r="R193" t="e">
        <f>AND(Exhibitor!#REF!,"AAAAAHlbuRE=")</f>
        <v>#REF!</v>
      </c>
      <c r="S193" t="e">
        <f>AND(Exhibitor!#REF!,"AAAAAHlbuRI=")</f>
        <v>#REF!</v>
      </c>
      <c r="T193" t="e">
        <f>AND(Exhibitor!#REF!,"AAAAAHlbuRM=")</f>
        <v>#REF!</v>
      </c>
      <c r="U193" t="e">
        <f>AND(Exhibitor!#REF!,"AAAAAHlbuRQ=")</f>
        <v>#REF!</v>
      </c>
      <c r="V193" t="e">
        <f>AND(Exhibitor!#REF!,"AAAAAHlbuRU=")</f>
        <v>#REF!</v>
      </c>
      <c r="W193" t="e">
        <f>AND(Exhibitor!#REF!,"AAAAAHlbuRY=")</f>
        <v>#REF!</v>
      </c>
      <c r="X193" t="e">
        <f>AND(Exhibitor!#REF!,"AAAAAHlbuRc=")</f>
        <v>#REF!</v>
      </c>
      <c r="Y193" t="e">
        <f>AND(Exhibitor!#REF!,"AAAAAHlbuRg=")</f>
        <v>#REF!</v>
      </c>
      <c r="Z193" t="e">
        <f>AND(Exhibitor!#REF!,"AAAAAHlbuRk=")</f>
        <v>#REF!</v>
      </c>
      <c r="AA193" t="e">
        <f>AND(Exhibitor!#REF!,"AAAAAHlbuRo=")</f>
        <v>#REF!</v>
      </c>
      <c r="AB193" t="e">
        <f>IF(Exhibitor!#REF!,"AAAAAHlbuRs=",0)</f>
        <v>#REF!</v>
      </c>
      <c r="AC193" t="e">
        <f>AND(Exhibitor!#REF!,"AAAAAHlbuRw=")</f>
        <v>#REF!</v>
      </c>
      <c r="AD193" t="e">
        <f>AND(Exhibitor!#REF!,"AAAAAHlbuR0=")</f>
        <v>#REF!</v>
      </c>
      <c r="AE193" t="e">
        <f>AND(Exhibitor!#REF!,"AAAAAHlbuR4=")</f>
        <v>#REF!</v>
      </c>
      <c r="AF193" t="e">
        <f>AND(Exhibitor!#REF!,"AAAAAHlbuR8=")</f>
        <v>#REF!</v>
      </c>
      <c r="AG193" t="e">
        <f>AND(Exhibitor!#REF!,"AAAAAHlbuSA=")</f>
        <v>#REF!</v>
      </c>
      <c r="AH193" t="e">
        <f>AND(Exhibitor!#REF!,"AAAAAHlbuSE=")</f>
        <v>#REF!</v>
      </c>
      <c r="AI193" t="e">
        <f>AND(Exhibitor!#REF!,"AAAAAHlbuSI=")</f>
        <v>#REF!</v>
      </c>
      <c r="AJ193" t="e">
        <f>AND(Exhibitor!#REF!,"AAAAAHlbuSM=")</f>
        <v>#REF!</v>
      </c>
      <c r="AK193" t="e">
        <f>AND(Exhibitor!#REF!,"AAAAAHlbuSQ=")</f>
        <v>#REF!</v>
      </c>
      <c r="AL193" t="e">
        <f>AND(Exhibitor!#REF!,"AAAAAHlbuSU=")</f>
        <v>#REF!</v>
      </c>
      <c r="AM193" t="e">
        <f>AND(Exhibitor!#REF!,"AAAAAHlbuSY=")</f>
        <v>#REF!</v>
      </c>
      <c r="AN193" t="e">
        <f>AND(Exhibitor!#REF!,"AAAAAHlbuSc=")</f>
        <v>#REF!</v>
      </c>
      <c r="AO193" t="e">
        <f>AND(Exhibitor!#REF!,"AAAAAHlbuSg=")</f>
        <v>#REF!</v>
      </c>
      <c r="AP193" t="e">
        <f>IF(Exhibitor!#REF!,"AAAAAHlbuSk=",0)</f>
        <v>#REF!</v>
      </c>
      <c r="AQ193" t="e">
        <f>AND(Exhibitor!#REF!,"AAAAAHlbuSo=")</f>
        <v>#REF!</v>
      </c>
      <c r="AR193" t="e">
        <f>AND(Exhibitor!#REF!,"AAAAAHlbuSs=")</f>
        <v>#REF!</v>
      </c>
      <c r="AS193" t="e">
        <f>AND(Exhibitor!#REF!,"AAAAAHlbuSw=")</f>
        <v>#REF!</v>
      </c>
      <c r="AT193" t="e">
        <f>AND(Exhibitor!#REF!,"AAAAAHlbuS0=")</f>
        <v>#REF!</v>
      </c>
      <c r="AU193" t="e">
        <f>AND(Exhibitor!#REF!,"AAAAAHlbuS4=")</f>
        <v>#REF!</v>
      </c>
      <c r="AV193" t="e">
        <f>AND(Exhibitor!#REF!,"AAAAAHlbuS8=")</f>
        <v>#REF!</v>
      </c>
      <c r="AW193" t="e">
        <f>AND(Exhibitor!#REF!,"AAAAAHlbuTA=")</f>
        <v>#REF!</v>
      </c>
      <c r="AX193" t="e">
        <f>AND(Exhibitor!#REF!,"AAAAAHlbuTE=")</f>
        <v>#REF!</v>
      </c>
      <c r="AY193" t="e">
        <f>AND(Exhibitor!#REF!,"AAAAAHlbuTI=")</f>
        <v>#REF!</v>
      </c>
      <c r="AZ193" t="e">
        <f>AND(Exhibitor!#REF!,"AAAAAHlbuTM=")</f>
        <v>#REF!</v>
      </c>
      <c r="BA193" t="e">
        <f>AND(Exhibitor!#REF!,"AAAAAHlbuTQ=")</f>
        <v>#REF!</v>
      </c>
      <c r="BB193" t="e">
        <f>AND(Exhibitor!#REF!,"AAAAAHlbuTU=")</f>
        <v>#REF!</v>
      </c>
      <c r="BC193" t="e">
        <f>AND(Exhibitor!#REF!,"AAAAAHlbuTY=")</f>
        <v>#REF!</v>
      </c>
      <c r="BD193" t="e">
        <f>IF(Exhibitor!#REF!,"AAAAAHlbuTc=",0)</f>
        <v>#REF!</v>
      </c>
      <c r="BE193" t="e">
        <f>AND(Exhibitor!#REF!,"AAAAAHlbuTg=")</f>
        <v>#REF!</v>
      </c>
      <c r="BF193" t="e">
        <f>AND(Exhibitor!#REF!,"AAAAAHlbuTk=")</f>
        <v>#REF!</v>
      </c>
      <c r="BG193" t="e">
        <f>AND(Exhibitor!#REF!,"AAAAAHlbuTo=")</f>
        <v>#REF!</v>
      </c>
      <c r="BH193" t="e">
        <f>AND(Exhibitor!#REF!,"AAAAAHlbuTs=")</f>
        <v>#REF!</v>
      </c>
      <c r="BI193" t="e">
        <f>AND(Exhibitor!#REF!,"AAAAAHlbuTw=")</f>
        <v>#REF!</v>
      </c>
      <c r="BJ193" t="e">
        <f>AND(Exhibitor!#REF!,"AAAAAHlbuT0=")</f>
        <v>#REF!</v>
      </c>
      <c r="BK193" t="e">
        <f>AND(Exhibitor!#REF!,"AAAAAHlbuT4=")</f>
        <v>#REF!</v>
      </c>
      <c r="BL193" t="e">
        <f>AND(Exhibitor!#REF!,"AAAAAHlbuT8=")</f>
        <v>#REF!</v>
      </c>
      <c r="BM193" t="e">
        <f>AND(Exhibitor!#REF!,"AAAAAHlbuUA=")</f>
        <v>#REF!</v>
      </c>
      <c r="BN193" t="e">
        <f>AND(Exhibitor!#REF!,"AAAAAHlbuUE=")</f>
        <v>#REF!</v>
      </c>
      <c r="BO193" t="e">
        <f>AND(Exhibitor!#REF!,"AAAAAHlbuUI=")</f>
        <v>#REF!</v>
      </c>
      <c r="BP193" t="e">
        <f>AND(Exhibitor!#REF!,"AAAAAHlbuUM=")</f>
        <v>#REF!</v>
      </c>
      <c r="BQ193" t="e">
        <f>AND(Exhibitor!#REF!,"AAAAAHlbuUQ=")</f>
        <v>#REF!</v>
      </c>
      <c r="BR193" t="e">
        <f>IF(Exhibitor!#REF!,"AAAAAHlbuUU=",0)</f>
        <v>#REF!</v>
      </c>
      <c r="BS193" t="e">
        <f>AND(Exhibitor!#REF!,"AAAAAHlbuUY=")</f>
        <v>#REF!</v>
      </c>
      <c r="BT193" t="e">
        <f>AND(Exhibitor!#REF!,"AAAAAHlbuUc=")</f>
        <v>#REF!</v>
      </c>
      <c r="BU193" t="e">
        <f>AND(Exhibitor!#REF!,"AAAAAHlbuUg=")</f>
        <v>#REF!</v>
      </c>
      <c r="BV193" t="e">
        <f>AND(Exhibitor!#REF!,"AAAAAHlbuUk=")</f>
        <v>#REF!</v>
      </c>
      <c r="BW193" t="e">
        <f>AND(Exhibitor!#REF!,"AAAAAHlbuUo=")</f>
        <v>#REF!</v>
      </c>
      <c r="BX193" t="e">
        <f>AND(Exhibitor!#REF!,"AAAAAHlbuUs=")</f>
        <v>#REF!</v>
      </c>
      <c r="BY193" t="e">
        <f>AND(Exhibitor!#REF!,"AAAAAHlbuUw=")</f>
        <v>#REF!</v>
      </c>
      <c r="BZ193" t="e">
        <f>AND(Exhibitor!#REF!,"AAAAAHlbuU0=")</f>
        <v>#REF!</v>
      </c>
      <c r="CA193" t="e">
        <f>AND(Exhibitor!#REF!,"AAAAAHlbuU4=")</f>
        <v>#REF!</v>
      </c>
      <c r="CB193" t="e">
        <f>AND(Exhibitor!#REF!,"AAAAAHlbuU8=")</f>
        <v>#REF!</v>
      </c>
      <c r="CC193" t="e">
        <f>AND(Exhibitor!#REF!,"AAAAAHlbuVA=")</f>
        <v>#REF!</v>
      </c>
      <c r="CD193" t="e">
        <f>AND(Exhibitor!#REF!,"AAAAAHlbuVE=")</f>
        <v>#REF!</v>
      </c>
      <c r="CE193" t="e">
        <f>AND(Exhibitor!#REF!,"AAAAAHlbuVI=")</f>
        <v>#REF!</v>
      </c>
      <c r="CF193" t="e">
        <f>IF(Exhibitor!#REF!,"AAAAAHlbuVM=",0)</f>
        <v>#REF!</v>
      </c>
      <c r="CG193" t="e">
        <f>AND(Exhibitor!#REF!,"AAAAAHlbuVQ=")</f>
        <v>#REF!</v>
      </c>
      <c r="CH193" t="e">
        <f>AND(Exhibitor!#REF!,"AAAAAHlbuVU=")</f>
        <v>#REF!</v>
      </c>
      <c r="CI193" t="e">
        <f>AND(Exhibitor!#REF!,"AAAAAHlbuVY=")</f>
        <v>#REF!</v>
      </c>
      <c r="CJ193" t="e">
        <f>AND(Exhibitor!#REF!,"AAAAAHlbuVc=")</f>
        <v>#REF!</v>
      </c>
      <c r="CK193" t="e">
        <f>AND(Exhibitor!#REF!,"AAAAAHlbuVg=")</f>
        <v>#REF!</v>
      </c>
      <c r="CL193" t="e">
        <f>AND(Exhibitor!#REF!,"AAAAAHlbuVk=")</f>
        <v>#REF!</v>
      </c>
      <c r="CM193" t="e">
        <f>AND(Exhibitor!#REF!,"AAAAAHlbuVo=")</f>
        <v>#REF!</v>
      </c>
      <c r="CN193" t="e">
        <f>AND(Exhibitor!#REF!,"AAAAAHlbuVs=")</f>
        <v>#REF!</v>
      </c>
      <c r="CO193" t="e">
        <f>AND(Exhibitor!#REF!,"AAAAAHlbuVw=")</f>
        <v>#REF!</v>
      </c>
      <c r="CP193" t="e">
        <f>AND(Exhibitor!#REF!,"AAAAAHlbuV0=")</f>
        <v>#REF!</v>
      </c>
      <c r="CQ193" t="e">
        <f>AND(Exhibitor!#REF!,"AAAAAHlbuV4=")</f>
        <v>#REF!</v>
      </c>
      <c r="CR193" t="e">
        <f>AND(Exhibitor!#REF!,"AAAAAHlbuV8=")</f>
        <v>#REF!</v>
      </c>
      <c r="CS193" t="e">
        <f>AND(Exhibitor!#REF!,"AAAAAHlbuWA=")</f>
        <v>#REF!</v>
      </c>
      <c r="CT193" t="e">
        <f>IF(Exhibitor!#REF!,"AAAAAHlbuWE=",0)</f>
        <v>#REF!</v>
      </c>
      <c r="CU193" t="e">
        <f>AND(Exhibitor!#REF!,"AAAAAHlbuWI=")</f>
        <v>#REF!</v>
      </c>
      <c r="CV193" t="e">
        <f>AND(Exhibitor!#REF!,"AAAAAHlbuWM=")</f>
        <v>#REF!</v>
      </c>
      <c r="CW193" t="e">
        <f>AND(Exhibitor!#REF!,"AAAAAHlbuWQ=")</f>
        <v>#REF!</v>
      </c>
      <c r="CX193" t="e">
        <f>AND(Exhibitor!#REF!,"AAAAAHlbuWU=")</f>
        <v>#REF!</v>
      </c>
      <c r="CY193" t="e">
        <f>AND(Exhibitor!#REF!,"AAAAAHlbuWY=")</f>
        <v>#REF!</v>
      </c>
      <c r="CZ193" t="e">
        <f>AND(Exhibitor!#REF!,"AAAAAHlbuWc=")</f>
        <v>#REF!</v>
      </c>
      <c r="DA193" t="e">
        <f>AND(Exhibitor!#REF!,"AAAAAHlbuWg=")</f>
        <v>#REF!</v>
      </c>
      <c r="DB193" t="e">
        <f>AND(Exhibitor!#REF!,"AAAAAHlbuWk=")</f>
        <v>#REF!</v>
      </c>
      <c r="DC193" t="e">
        <f>AND(Exhibitor!#REF!,"AAAAAHlbuWo=")</f>
        <v>#REF!</v>
      </c>
      <c r="DD193" t="e">
        <f>AND(Exhibitor!#REF!,"AAAAAHlbuWs=")</f>
        <v>#REF!</v>
      </c>
      <c r="DE193" t="e">
        <f>AND(Exhibitor!#REF!,"AAAAAHlbuWw=")</f>
        <v>#REF!</v>
      </c>
      <c r="DF193" t="e">
        <f>AND(Exhibitor!#REF!,"AAAAAHlbuW0=")</f>
        <v>#REF!</v>
      </c>
      <c r="DG193" t="e">
        <f>AND(Exhibitor!#REF!,"AAAAAHlbuW4=")</f>
        <v>#REF!</v>
      </c>
      <c r="DH193" t="e">
        <f>IF(Exhibitor!#REF!,"AAAAAHlbuW8=",0)</f>
        <v>#REF!</v>
      </c>
      <c r="DI193" t="e">
        <f>AND(Exhibitor!#REF!,"AAAAAHlbuXA=")</f>
        <v>#REF!</v>
      </c>
      <c r="DJ193" t="e">
        <f>AND(Exhibitor!#REF!,"AAAAAHlbuXE=")</f>
        <v>#REF!</v>
      </c>
      <c r="DK193" t="e">
        <f>AND(Exhibitor!#REF!,"AAAAAHlbuXI=")</f>
        <v>#REF!</v>
      </c>
      <c r="DL193" t="e">
        <f>AND(Exhibitor!#REF!,"AAAAAHlbuXM=")</f>
        <v>#REF!</v>
      </c>
      <c r="DM193" t="e">
        <f>AND(Exhibitor!#REF!,"AAAAAHlbuXQ=")</f>
        <v>#REF!</v>
      </c>
      <c r="DN193" t="e">
        <f>AND(Exhibitor!#REF!,"AAAAAHlbuXU=")</f>
        <v>#REF!</v>
      </c>
      <c r="DO193" t="e">
        <f>AND(Exhibitor!#REF!,"AAAAAHlbuXY=")</f>
        <v>#REF!</v>
      </c>
      <c r="DP193" t="e">
        <f>AND(Exhibitor!#REF!,"AAAAAHlbuXc=")</f>
        <v>#REF!</v>
      </c>
      <c r="DQ193" t="e">
        <f>AND(Exhibitor!#REF!,"AAAAAHlbuXg=")</f>
        <v>#REF!</v>
      </c>
      <c r="DR193" t="e">
        <f>AND(Exhibitor!#REF!,"AAAAAHlbuXk=")</f>
        <v>#REF!</v>
      </c>
      <c r="DS193" t="e">
        <f>AND(Exhibitor!#REF!,"AAAAAHlbuXo=")</f>
        <v>#REF!</v>
      </c>
      <c r="DT193" t="e">
        <f>AND(Exhibitor!#REF!,"AAAAAHlbuXs=")</f>
        <v>#REF!</v>
      </c>
      <c r="DU193" t="e">
        <f>AND(Exhibitor!#REF!,"AAAAAHlbuXw=")</f>
        <v>#REF!</v>
      </c>
      <c r="DV193" t="e">
        <f>IF(Exhibitor!#REF!,"AAAAAHlbuX0=",0)</f>
        <v>#REF!</v>
      </c>
      <c r="DW193" t="e">
        <f>AND(Exhibitor!#REF!,"AAAAAHlbuX4=")</f>
        <v>#REF!</v>
      </c>
      <c r="DX193" t="e">
        <f>AND(Exhibitor!#REF!,"AAAAAHlbuX8=")</f>
        <v>#REF!</v>
      </c>
      <c r="DY193" t="e">
        <f>AND(Exhibitor!#REF!,"AAAAAHlbuYA=")</f>
        <v>#REF!</v>
      </c>
      <c r="DZ193" t="e">
        <f>AND(Exhibitor!#REF!,"AAAAAHlbuYE=")</f>
        <v>#REF!</v>
      </c>
      <c r="EA193" t="e">
        <f>AND(Exhibitor!#REF!,"AAAAAHlbuYI=")</f>
        <v>#REF!</v>
      </c>
      <c r="EB193" t="e">
        <f>AND(Exhibitor!#REF!,"AAAAAHlbuYM=")</f>
        <v>#REF!</v>
      </c>
      <c r="EC193" t="e">
        <f>AND(Exhibitor!#REF!,"AAAAAHlbuYQ=")</f>
        <v>#REF!</v>
      </c>
      <c r="ED193" t="e">
        <f>AND(Exhibitor!#REF!,"AAAAAHlbuYU=")</f>
        <v>#REF!</v>
      </c>
      <c r="EE193" t="e">
        <f>AND(Exhibitor!#REF!,"AAAAAHlbuYY=")</f>
        <v>#REF!</v>
      </c>
      <c r="EF193" t="e">
        <f>AND(Exhibitor!#REF!,"AAAAAHlbuYc=")</f>
        <v>#REF!</v>
      </c>
      <c r="EG193" t="e">
        <f>AND(Exhibitor!#REF!,"AAAAAHlbuYg=")</f>
        <v>#REF!</v>
      </c>
      <c r="EH193" t="e">
        <f>AND(Exhibitor!#REF!,"AAAAAHlbuYk=")</f>
        <v>#REF!</v>
      </c>
      <c r="EI193" t="e">
        <f>AND(Exhibitor!#REF!,"AAAAAHlbuYo=")</f>
        <v>#REF!</v>
      </c>
      <c r="EJ193" t="e">
        <f>IF(Exhibitor!#REF!,"AAAAAHlbuYs=",0)</f>
        <v>#REF!</v>
      </c>
      <c r="EK193" t="e">
        <f>AND(Exhibitor!#REF!,"AAAAAHlbuYw=")</f>
        <v>#REF!</v>
      </c>
      <c r="EL193" t="e">
        <f>AND(Exhibitor!#REF!,"AAAAAHlbuY0=")</f>
        <v>#REF!</v>
      </c>
      <c r="EM193" t="e">
        <f>AND(Exhibitor!#REF!,"AAAAAHlbuY4=")</f>
        <v>#REF!</v>
      </c>
      <c r="EN193" t="e">
        <f>AND(Exhibitor!#REF!,"AAAAAHlbuY8=")</f>
        <v>#REF!</v>
      </c>
      <c r="EO193" t="e">
        <f>AND(Exhibitor!#REF!,"AAAAAHlbuZA=")</f>
        <v>#REF!</v>
      </c>
      <c r="EP193" t="e">
        <f>AND(Exhibitor!#REF!,"AAAAAHlbuZE=")</f>
        <v>#REF!</v>
      </c>
      <c r="EQ193" t="e">
        <f>AND(Exhibitor!#REF!,"AAAAAHlbuZI=")</f>
        <v>#REF!</v>
      </c>
      <c r="ER193" t="e">
        <f>AND(Exhibitor!#REF!,"AAAAAHlbuZM=")</f>
        <v>#REF!</v>
      </c>
      <c r="ES193" t="e">
        <f>AND(Exhibitor!#REF!,"AAAAAHlbuZQ=")</f>
        <v>#REF!</v>
      </c>
      <c r="ET193" t="e">
        <f>AND(Exhibitor!#REF!,"AAAAAHlbuZU=")</f>
        <v>#REF!</v>
      </c>
      <c r="EU193" t="e">
        <f>AND(Exhibitor!#REF!,"AAAAAHlbuZY=")</f>
        <v>#REF!</v>
      </c>
      <c r="EV193" t="e">
        <f>AND(Exhibitor!#REF!,"AAAAAHlbuZc=")</f>
        <v>#REF!</v>
      </c>
      <c r="EW193" t="e">
        <f>AND(Exhibitor!#REF!,"AAAAAHlbuZg=")</f>
        <v>#REF!</v>
      </c>
      <c r="EX193" t="e">
        <f>IF(Exhibitor!#REF!,"AAAAAHlbuZk=",0)</f>
        <v>#REF!</v>
      </c>
      <c r="EY193" t="e">
        <f>AND(Exhibitor!#REF!,"AAAAAHlbuZo=")</f>
        <v>#REF!</v>
      </c>
      <c r="EZ193" t="e">
        <f>AND(Exhibitor!#REF!,"AAAAAHlbuZs=")</f>
        <v>#REF!</v>
      </c>
      <c r="FA193" t="e">
        <f>AND(Exhibitor!#REF!,"AAAAAHlbuZw=")</f>
        <v>#REF!</v>
      </c>
      <c r="FB193" t="e">
        <f>AND(Exhibitor!#REF!,"AAAAAHlbuZ0=")</f>
        <v>#REF!</v>
      </c>
      <c r="FC193" t="e">
        <f>AND(Exhibitor!#REF!,"AAAAAHlbuZ4=")</f>
        <v>#REF!</v>
      </c>
      <c r="FD193" t="e">
        <f>AND(Exhibitor!#REF!,"AAAAAHlbuZ8=")</f>
        <v>#REF!</v>
      </c>
      <c r="FE193" t="e">
        <f>AND(Exhibitor!#REF!,"AAAAAHlbuaA=")</f>
        <v>#REF!</v>
      </c>
      <c r="FF193" t="e">
        <f>AND(Exhibitor!#REF!,"AAAAAHlbuaE=")</f>
        <v>#REF!</v>
      </c>
      <c r="FG193" t="e">
        <f>AND(Exhibitor!#REF!,"AAAAAHlbuaI=")</f>
        <v>#REF!</v>
      </c>
      <c r="FH193" t="e">
        <f>AND(Exhibitor!#REF!,"AAAAAHlbuaM=")</f>
        <v>#REF!</v>
      </c>
      <c r="FI193" t="e">
        <f>AND(Exhibitor!#REF!,"AAAAAHlbuaQ=")</f>
        <v>#REF!</v>
      </c>
      <c r="FJ193" t="e">
        <f>AND(Exhibitor!#REF!,"AAAAAHlbuaU=")</f>
        <v>#REF!</v>
      </c>
      <c r="FK193" t="e">
        <f>AND(Exhibitor!#REF!,"AAAAAHlbuaY=")</f>
        <v>#REF!</v>
      </c>
      <c r="FL193" t="e">
        <f>IF(Exhibitor!#REF!,"AAAAAHlbuac=",0)</f>
        <v>#REF!</v>
      </c>
      <c r="FM193" t="e">
        <f>AND(Exhibitor!#REF!,"AAAAAHlbuag=")</f>
        <v>#REF!</v>
      </c>
      <c r="FN193" t="e">
        <f>AND(Exhibitor!#REF!,"AAAAAHlbuak=")</f>
        <v>#REF!</v>
      </c>
      <c r="FO193" t="e">
        <f>AND(Exhibitor!#REF!,"AAAAAHlbuao=")</f>
        <v>#REF!</v>
      </c>
      <c r="FP193" t="e">
        <f>AND(Exhibitor!#REF!,"AAAAAHlbuas=")</f>
        <v>#REF!</v>
      </c>
      <c r="FQ193" t="e">
        <f>AND(Exhibitor!#REF!,"AAAAAHlbuaw=")</f>
        <v>#REF!</v>
      </c>
      <c r="FR193" t="e">
        <f>AND(Exhibitor!#REF!,"AAAAAHlbua0=")</f>
        <v>#REF!</v>
      </c>
      <c r="FS193" t="e">
        <f>AND(Exhibitor!#REF!,"AAAAAHlbua4=")</f>
        <v>#REF!</v>
      </c>
      <c r="FT193" t="e">
        <f>AND(Exhibitor!#REF!,"AAAAAHlbua8=")</f>
        <v>#REF!</v>
      </c>
      <c r="FU193" t="e">
        <f>AND(Exhibitor!#REF!,"AAAAAHlbubA=")</f>
        <v>#REF!</v>
      </c>
      <c r="FV193" t="e">
        <f>AND(Exhibitor!#REF!,"AAAAAHlbubE=")</f>
        <v>#REF!</v>
      </c>
      <c r="FW193" t="e">
        <f>AND(Exhibitor!#REF!,"AAAAAHlbubI=")</f>
        <v>#REF!</v>
      </c>
      <c r="FX193" t="e">
        <f>AND(Exhibitor!#REF!,"AAAAAHlbubM=")</f>
        <v>#REF!</v>
      </c>
      <c r="FY193" t="e">
        <f>AND(Exhibitor!#REF!,"AAAAAHlbubQ=")</f>
        <v>#REF!</v>
      </c>
      <c r="FZ193" t="e">
        <f>IF(Exhibitor!#REF!,"AAAAAHlbubU=",0)</f>
        <v>#REF!</v>
      </c>
      <c r="GA193" t="e">
        <f>AND(Exhibitor!#REF!,"AAAAAHlbubY=")</f>
        <v>#REF!</v>
      </c>
      <c r="GB193" t="e">
        <f>AND(Exhibitor!#REF!,"AAAAAHlbubc=")</f>
        <v>#REF!</v>
      </c>
      <c r="GC193" t="e">
        <f>AND(Exhibitor!#REF!,"AAAAAHlbubg=")</f>
        <v>#REF!</v>
      </c>
      <c r="GD193" t="e">
        <f>AND(Exhibitor!#REF!,"AAAAAHlbubk=")</f>
        <v>#REF!</v>
      </c>
      <c r="GE193" t="e">
        <f>AND(Exhibitor!#REF!,"AAAAAHlbubo=")</f>
        <v>#REF!</v>
      </c>
      <c r="GF193" t="e">
        <f>AND(Exhibitor!#REF!,"AAAAAHlbubs=")</f>
        <v>#REF!</v>
      </c>
      <c r="GG193" t="e">
        <f>AND(Exhibitor!#REF!,"AAAAAHlbubw=")</f>
        <v>#REF!</v>
      </c>
      <c r="GH193" t="e">
        <f>AND(Exhibitor!#REF!,"AAAAAHlbub0=")</f>
        <v>#REF!</v>
      </c>
      <c r="GI193" t="e">
        <f>AND(Exhibitor!#REF!,"AAAAAHlbub4=")</f>
        <v>#REF!</v>
      </c>
      <c r="GJ193" t="e">
        <f>AND(Exhibitor!#REF!,"AAAAAHlbub8=")</f>
        <v>#REF!</v>
      </c>
      <c r="GK193" t="e">
        <f>AND(Exhibitor!#REF!,"AAAAAHlbucA=")</f>
        <v>#REF!</v>
      </c>
      <c r="GL193" t="e">
        <f>AND(Exhibitor!#REF!,"AAAAAHlbucE=")</f>
        <v>#REF!</v>
      </c>
      <c r="GM193" t="e">
        <f>AND(Exhibitor!#REF!,"AAAAAHlbucI=")</f>
        <v>#REF!</v>
      </c>
      <c r="GN193" t="e">
        <f>IF(Exhibitor!#REF!,"AAAAAHlbucM=",0)</f>
        <v>#REF!</v>
      </c>
      <c r="GO193" t="e">
        <f>AND(Exhibitor!#REF!,"AAAAAHlbucQ=")</f>
        <v>#REF!</v>
      </c>
      <c r="GP193" t="e">
        <f>AND(Exhibitor!#REF!,"AAAAAHlbucU=")</f>
        <v>#REF!</v>
      </c>
      <c r="GQ193" t="e">
        <f>AND(Exhibitor!#REF!,"AAAAAHlbucY=")</f>
        <v>#REF!</v>
      </c>
      <c r="GR193" t="e">
        <f>AND(Exhibitor!#REF!,"AAAAAHlbucc=")</f>
        <v>#REF!</v>
      </c>
      <c r="GS193" t="e">
        <f>AND(Exhibitor!#REF!,"AAAAAHlbucg=")</f>
        <v>#REF!</v>
      </c>
      <c r="GT193" t="e">
        <f>AND(Exhibitor!#REF!,"AAAAAHlbuck=")</f>
        <v>#REF!</v>
      </c>
      <c r="GU193" t="e">
        <f>AND(Exhibitor!#REF!,"AAAAAHlbuco=")</f>
        <v>#REF!</v>
      </c>
      <c r="GV193" t="e">
        <f>AND(Exhibitor!#REF!,"AAAAAHlbucs=")</f>
        <v>#REF!</v>
      </c>
      <c r="GW193" t="e">
        <f>AND(Exhibitor!#REF!,"AAAAAHlbucw=")</f>
        <v>#REF!</v>
      </c>
      <c r="GX193" t="e">
        <f>AND(Exhibitor!#REF!,"AAAAAHlbuc0=")</f>
        <v>#REF!</v>
      </c>
      <c r="GY193" t="e">
        <f>AND(Exhibitor!#REF!,"AAAAAHlbuc4=")</f>
        <v>#REF!</v>
      </c>
      <c r="GZ193" t="e">
        <f>AND(Exhibitor!#REF!,"AAAAAHlbuc8=")</f>
        <v>#REF!</v>
      </c>
      <c r="HA193" t="e">
        <f>AND(Exhibitor!#REF!,"AAAAAHlbudA=")</f>
        <v>#REF!</v>
      </c>
      <c r="HB193" t="e">
        <f>IF(Exhibitor!#REF!,"AAAAAHlbudE=",0)</f>
        <v>#REF!</v>
      </c>
      <c r="HC193" t="e">
        <f>AND(Exhibitor!#REF!,"AAAAAHlbudI=")</f>
        <v>#REF!</v>
      </c>
      <c r="HD193" t="e">
        <f>AND(Exhibitor!#REF!,"AAAAAHlbudM=")</f>
        <v>#REF!</v>
      </c>
      <c r="HE193" t="e">
        <f>AND(Exhibitor!#REF!,"AAAAAHlbudQ=")</f>
        <v>#REF!</v>
      </c>
      <c r="HF193" t="e">
        <f>AND(Exhibitor!#REF!,"AAAAAHlbudU=")</f>
        <v>#REF!</v>
      </c>
      <c r="HG193" t="e">
        <f>AND(Exhibitor!#REF!,"AAAAAHlbudY=")</f>
        <v>#REF!</v>
      </c>
      <c r="HH193" t="e">
        <f>AND(Exhibitor!#REF!,"AAAAAHlbudc=")</f>
        <v>#REF!</v>
      </c>
      <c r="HI193" t="e">
        <f>AND(Exhibitor!#REF!,"AAAAAHlbudg=")</f>
        <v>#REF!</v>
      </c>
      <c r="HJ193" t="e">
        <f>AND(Exhibitor!#REF!,"AAAAAHlbudk=")</f>
        <v>#REF!</v>
      </c>
      <c r="HK193" t="e">
        <f>AND(Exhibitor!#REF!,"AAAAAHlbudo=")</f>
        <v>#REF!</v>
      </c>
      <c r="HL193" t="e">
        <f>AND(Exhibitor!#REF!,"AAAAAHlbuds=")</f>
        <v>#REF!</v>
      </c>
      <c r="HM193" t="e">
        <f>AND(Exhibitor!#REF!,"AAAAAHlbudw=")</f>
        <v>#REF!</v>
      </c>
      <c r="HN193" t="e">
        <f>AND(Exhibitor!#REF!,"AAAAAHlbud0=")</f>
        <v>#REF!</v>
      </c>
      <c r="HO193" t="e">
        <f>AND(Exhibitor!#REF!,"AAAAAHlbud4=")</f>
        <v>#REF!</v>
      </c>
      <c r="HP193" t="e">
        <f>IF(Exhibitor!#REF!,"AAAAAHlbud8=",0)</f>
        <v>#REF!</v>
      </c>
      <c r="HQ193" t="e">
        <f>AND(Exhibitor!#REF!,"AAAAAHlbueA=")</f>
        <v>#REF!</v>
      </c>
      <c r="HR193" t="e">
        <f>AND(Exhibitor!#REF!,"AAAAAHlbueE=")</f>
        <v>#REF!</v>
      </c>
      <c r="HS193" t="e">
        <f>AND(Exhibitor!#REF!,"AAAAAHlbueI=")</f>
        <v>#REF!</v>
      </c>
      <c r="HT193" t="e">
        <f>AND(Exhibitor!#REF!,"AAAAAHlbueM=")</f>
        <v>#REF!</v>
      </c>
      <c r="HU193" t="e">
        <f>AND(Exhibitor!#REF!,"AAAAAHlbueQ=")</f>
        <v>#REF!</v>
      </c>
      <c r="HV193" t="e">
        <f>AND(Exhibitor!#REF!,"AAAAAHlbueU=")</f>
        <v>#REF!</v>
      </c>
      <c r="HW193" t="e">
        <f>AND(Exhibitor!#REF!,"AAAAAHlbueY=")</f>
        <v>#REF!</v>
      </c>
      <c r="HX193" t="e">
        <f>AND(Exhibitor!#REF!,"AAAAAHlbuec=")</f>
        <v>#REF!</v>
      </c>
      <c r="HY193" t="e">
        <f>AND(Exhibitor!#REF!,"AAAAAHlbueg=")</f>
        <v>#REF!</v>
      </c>
      <c r="HZ193" t="e">
        <f>AND(Exhibitor!#REF!,"AAAAAHlbuek=")</f>
        <v>#REF!</v>
      </c>
      <c r="IA193" t="e">
        <f>AND(Exhibitor!#REF!,"AAAAAHlbueo=")</f>
        <v>#REF!</v>
      </c>
      <c r="IB193" t="e">
        <f>AND(Exhibitor!#REF!,"AAAAAHlbues=")</f>
        <v>#REF!</v>
      </c>
      <c r="IC193" t="e">
        <f>AND(Exhibitor!#REF!,"AAAAAHlbuew=")</f>
        <v>#REF!</v>
      </c>
      <c r="ID193" t="e">
        <f>IF(Exhibitor!#REF!,"AAAAAHlbue0=",0)</f>
        <v>#REF!</v>
      </c>
      <c r="IE193" t="e">
        <f>AND(Exhibitor!#REF!,"AAAAAHlbue4=")</f>
        <v>#REF!</v>
      </c>
      <c r="IF193" t="e">
        <f>AND(Exhibitor!#REF!,"AAAAAHlbue8=")</f>
        <v>#REF!</v>
      </c>
      <c r="IG193" t="e">
        <f>AND(Exhibitor!#REF!,"AAAAAHlbufA=")</f>
        <v>#REF!</v>
      </c>
      <c r="IH193" t="e">
        <f>AND(Exhibitor!#REF!,"AAAAAHlbufE=")</f>
        <v>#REF!</v>
      </c>
      <c r="II193" t="e">
        <f>AND(Exhibitor!#REF!,"AAAAAHlbufI=")</f>
        <v>#REF!</v>
      </c>
      <c r="IJ193" t="e">
        <f>AND(Exhibitor!#REF!,"AAAAAHlbufM=")</f>
        <v>#REF!</v>
      </c>
      <c r="IK193" t="e">
        <f>AND(Exhibitor!#REF!,"AAAAAHlbufQ=")</f>
        <v>#REF!</v>
      </c>
      <c r="IL193" t="e">
        <f>AND(Exhibitor!#REF!,"AAAAAHlbufU=")</f>
        <v>#REF!</v>
      </c>
      <c r="IM193" t="e">
        <f>AND(Exhibitor!#REF!,"AAAAAHlbufY=")</f>
        <v>#REF!</v>
      </c>
      <c r="IN193" t="e">
        <f>AND(Exhibitor!#REF!,"AAAAAHlbufc=")</f>
        <v>#REF!</v>
      </c>
      <c r="IO193" t="e">
        <f>AND(Exhibitor!#REF!,"AAAAAHlbufg=")</f>
        <v>#REF!</v>
      </c>
      <c r="IP193" t="e">
        <f>AND(Exhibitor!#REF!,"AAAAAHlbufk=")</f>
        <v>#REF!</v>
      </c>
      <c r="IQ193" t="e">
        <f>AND(Exhibitor!#REF!,"AAAAAHlbufo=")</f>
        <v>#REF!</v>
      </c>
      <c r="IR193" t="e">
        <f>IF(Exhibitor!#REF!,"AAAAAHlbufs=",0)</f>
        <v>#REF!</v>
      </c>
      <c r="IS193" t="e">
        <f>AND(Exhibitor!#REF!,"AAAAAHlbufw=")</f>
        <v>#REF!</v>
      </c>
      <c r="IT193" t="e">
        <f>AND(Exhibitor!#REF!,"AAAAAHlbuf0=")</f>
        <v>#REF!</v>
      </c>
      <c r="IU193" t="e">
        <f>AND(Exhibitor!#REF!,"AAAAAHlbuf4=")</f>
        <v>#REF!</v>
      </c>
      <c r="IV193" t="e">
        <f>AND(Exhibitor!#REF!,"AAAAAHlbuf8=")</f>
        <v>#REF!</v>
      </c>
    </row>
    <row r="194" spans="1:256" x14ac:dyDescent="0.2">
      <c r="A194" t="e">
        <f>AND(Exhibitor!#REF!,"AAAAAGt3/wA=")</f>
        <v>#REF!</v>
      </c>
      <c r="B194" t="e">
        <f>AND(Exhibitor!#REF!,"AAAAAGt3/wE=")</f>
        <v>#REF!</v>
      </c>
      <c r="C194" t="e">
        <f>AND(Exhibitor!#REF!,"AAAAAGt3/wI=")</f>
        <v>#REF!</v>
      </c>
      <c r="D194" t="e">
        <f>AND(Exhibitor!#REF!,"AAAAAGt3/wM=")</f>
        <v>#REF!</v>
      </c>
      <c r="E194" t="e">
        <f>AND(Exhibitor!#REF!,"AAAAAGt3/wQ=")</f>
        <v>#REF!</v>
      </c>
      <c r="F194" t="e">
        <f>AND(Exhibitor!#REF!,"AAAAAGt3/wU=")</f>
        <v>#REF!</v>
      </c>
      <c r="G194" t="e">
        <f>AND(Exhibitor!#REF!,"AAAAAGt3/wY=")</f>
        <v>#REF!</v>
      </c>
      <c r="H194" t="e">
        <f>AND(Exhibitor!#REF!,"AAAAAGt3/wc=")</f>
        <v>#REF!</v>
      </c>
      <c r="I194" t="e">
        <f>AND(Exhibitor!#REF!,"AAAAAGt3/wg=")</f>
        <v>#REF!</v>
      </c>
      <c r="J194" t="e">
        <f>IF(Exhibitor!#REF!,"AAAAAGt3/wk=",0)</f>
        <v>#REF!</v>
      </c>
      <c r="K194" t="e">
        <f>AND(Exhibitor!#REF!,"AAAAAGt3/wo=")</f>
        <v>#REF!</v>
      </c>
      <c r="L194" t="e">
        <f>AND(Exhibitor!#REF!,"AAAAAGt3/ws=")</f>
        <v>#REF!</v>
      </c>
      <c r="M194" t="e">
        <f>AND(Exhibitor!#REF!,"AAAAAGt3/ww=")</f>
        <v>#REF!</v>
      </c>
      <c r="N194" t="e">
        <f>AND(Exhibitor!#REF!,"AAAAAGt3/w0=")</f>
        <v>#REF!</v>
      </c>
      <c r="O194" t="e">
        <f>AND(Exhibitor!#REF!,"AAAAAGt3/w4=")</f>
        <v>#REF!</v>
      </c>
      <c r="P194" t="e">
        <f>AND(Exhibitor!#REF!,"AAAAAGt3/w8=")</f>
        <v>#REF!</v>
      </c>
      <c r="Q194" t="e">
        <f>AND(Exhibitor!#REF!,"AAAAAGt3/xA=")</f>
        <v>#REF!</v>
      </c>
      <c r="R194" t="e">
        <f>AND(Exhibitor!#REF!,"AAAAAGt3/xE=")</f>
        <v>#REF!</v>
      </c>
      <c r="S194" t="e">
        <f>AND(Exhibitor!#REF!,"AAAAAGt3/xI=")</f>
        <v>#REF!</v>
      </c>
      <c r="T194" t="e">
        <f>AND(Exhibitor!#REF!,"AAAAAGt3/xM=")</f>
        <v>#REF!</v>
      </c>
      <c r="U194" t="e">
        <f>AND(Exhibitor!#REF!,"AAAAAGt3/xQ=")</f>
        <v>#REF!</v>
      </c>
      <c r="V194" t="e">
        <f>AND(Exhibitor!#REF!,"AAAAAGt3/xU=")</f>
        <v>#REF!</v>
      </c>
      <c r="W194" t="e">
        <f>AND(Exhibitor!#REF!,"AAAAAGt3/xY=")</f>
        <v>#REF!</v>
      </c>
      <c r="X194" t="e">
        <f>IF(Exhibitor!#REF!,"AAAAAGt3/xc=",0)</f>
        <v>#REF!</v>
      </c>
      <c r="Y194" t="e">
        <f>AND(Exhibitor!#REF!,"AAAAAGt3/xg=")</f>
        <v>#REF!</v>
      </c>
      <c r="Z194" t="e">
        <f>AND(Exhibitor!#REF!,"AAAAAGt3/xk=")</f>
        <v>#REF!</v>
      </c>
      <c r="AA194" t="e">
        <f>AND(Exhibitor!#REF!,"AAAAAGt3/xo=")</f>
        <v>#REF!</v>
      </c>
      <c r="AB194" t="e">
        <f>AND(Exhibitor!#REF!,"AAAAAGt3/xs=")</f>
        <v>#REF!</v>
      </c>
      <c r="AC194" t="e">
        <f>AND(Exhibitor!#REF!,"AAAAAGt3/xw=")</f>
        <v>#REF!</v>
      </c>
      <c r="AD194" t="e">
        <f>AND(Exhibitor!#REF!,"AAAAAGt3/x0=")</f>
        <v>#REF!</v>
      </c>
      <c r="AE194" t="e">
        <f>AND(Exhibitor!#REF!,"AAAAAGt3/x4=")</f>
        <v>#REF!</v>
      </c>
      <c r="AF194" t="e">
        <f>AND(Exhibitor!#REF!,"AAAAAGt3/x8=")</f>
        <v>#REF!</v>
      </c>
      <c r="AG194" t="e">
        <f>AND(Exhibitor!#REF!,"AAAAAGt3/yA=")</f>
        <v>#REF!</v>
      </c>
      <c r="AH194" t="e">
        <f>AND(Exhibitor!#REF!,"AAAAAGt3/yE=")</f>
        <v>#REF!</v>
      </c>
      <c r="AI194" t="e">
        <f>AND(Exhibitor!#REF!,"AAAAAGt3/yI=")</f>
        <v>#REF!</v>
      </c>
      <c r="AJ194" t="e">
        <f>AND(Exhibitor!#REF!,"AAAAAGt3/yM=")</f>
        <v>#REF!</v>
      </c>
      <c r="AK194" t="e">
        <f>AND(Exhibitor!#REF!,"AAAAAGt3/yQ=")</f>
        <v>#REF!</v>
      </c>
      <c r="AL194" t="e">
        <f>IF(Exhibitor!#REF!,"AAAAAGt3/yU=",0)</f>
        <v>#REF!</v>
      </c>
      <c r="AM194" t="e">
        <f>AND(Exhibitor!#REF!,"AAAAAGt3/yY=")</f>
        <v>#REF!</v>
      </c>
      <c r="AN194" t="e">
        <f>AND(Exhibitor!#REF!,"AAAAAGt3/yc=")</f>
        <v>#REF!</v>
      </c>
      <c r="AO194" t="e">
        <f>AND(Exhibitor!#REF!,"AAAAAGt3/yg=")</f>
        <v>#REF!</v>
      </c>
      <c r="AP194" t="e">
        <f>AND(Exhibitor!#REF!,"AAAAAGt3/yk=")</f>
        <v>#REF!</v>
      </c>
      <c r="AQ194" t="e">
        <f>AND(Exhibitor!#REF!,"AAAAAGt3/yo=")</f>
        <v>#REF!</v>
      </c>
      <c r="AR194" t="e">
        <f>AND(Exhibitor!#REF!,"AAAAAGt3/ys=")</f>
        <v>#REF!</v>
      </c>
      <c r="AS194" t="e">
        <f>AND(Exhibitor!#REF!,"AAAAAGt3/yw=")</f>
        <v>#REF!</v>
      </c>
      <c r="AT194" t="e">
        <f>AND(Exhibitor!#REF!,"AAAAAGt3/y0=")</f>
        <v>#REF!</v>
      </c>
      <c r="AU194" t="e">
        <f>AND(Exhibitor!#REF!,"AAAAAGt3/y4=")</f>
        <v>#REF!</v>
      </c>
      <c r="AV194" t="e">
        <f>AND(Exhibitor!#REF!,"AAAAAGt3/y8=")</f>
        <v>#REF!</v>
      </c>
      <c r="AW194" t="e">
        <f>AND(Exhibitor!#REF!,"AAAAAGt3/zA=")</f>
        <v>#REF!</v>
      </c>
      <c r="AX194" t="e">
        <f>AND(Exhibitor!#REF!,"AAAAAGt3/zE=")</f>
        <v>#REF!</v>
      </c>
      <c r="AY194" t="e">
        <f>AND(Exhibitor!#REF!,"AAAAAGt3/zI=")</f>
        <v>#REF!</v>
      </c>
      <c r="AZ194" t="e">
        <f>IF(Exhibitor!#REF!,"AAAAAGt3/zM=",0)</f>
        <v>#REF!</v>
      </c>
      <c r="BA194" t="e">
        <f>AND(Exhibitor!#REF!,"AAAAAGt3/zQ=")</f>
        <v>#REF!</v>
      </c>
      <c r="BB194" t="e">
        <f>AND(Exhibitor!#REF!,"AAAAAGt3/zU=")</f>
        <v>#REF!</v>
      </c>
      <c r="BC194" t="e">
        <f>AND(Exhibitor!#REF!,"AAAAAGt3/zY=")</f>
        <v>#REF!</v>
      </c>
      <c r="BD194" t="e">
        <f>AND(Exhibitor!#REF!,"AAAAAGt3/zc=")</f>
        <v>#REF!</v>
      </c>
      <c r="BE194" t="e">
        <f>AND(Exhibitor!#REF!,"AAAAAGt3/zg=")</f>
        <v>#REF!</v>
      </c>
      <c r="BF194" t="e">
        <f>AND(Exhibitor!#REF!,"AAAAAGt3/zk=")</f>
        <v>#REF!</v>
      </c>
      <c r="BG194" t="e">
        <f>AND(Exhibitor!#REF!,"AAAAAGt3/zo=")</f>
        <v>#REF!</v>
      </c>
      <c r="BH194" t="e">
        <f>AND(Exhibitor!#REF!,"AAAAAGt3/zs=")</f>
        <v>#REF!</v>
      </c>
      <c r="BI194" t="e">
        <f>AND(Exhibitor!#REF!,"AAAAAGt3/zw=")</f>
        <v>#REF!</v>
      </c>
      <c r="BJ194" t="e">
        <f>AND(Exhibitor!#REF!,"AAAAAGt3/z0=")</f>
        <v>#REF!</v>
      </c>
      <c r="BK194" t="e">
        <f>AND(Exhibitor!#REF!,"AAAAAGt3/z4=")</f>
        <v>#REF!</v>
      </c>
      <c r="BL194" t="e">
        <f>AND(Exhibitor!#REF!,"AAAAAGt3/z8=")</f>
        <v>#REF!</v>
      </c>
      <c r="BM194" t="e">
        <f>AND(Exhibitor!#REF!,"AAAAAGt3/0A=")</f>
        <v>#REF!</v>
      </c>
      <c r="BN194" t="e">
        <f>IF(Exhibitor!#REF!,"AAAAAGt3/0E=",0)</f>
        <v>#REF!</v>
      </c>
      <c r="BO194" t="e">
        <f>AND(Exhibitor!#REF!,"AAAAAGt3/0I=")</f>
        <v>#REF!</v>
      </c>
      <c r="BP194" t="e">
        <f>AND(Exhibitor!#REF!,"AAAAAGt3/0M=")</f>
        <v>#REF!</v>
      </c>
      <c r="BQ194" t="e">
        <f>AND(Exhibitor!#REF!,"AAAAAGt3/0Q=")</f>
        <v>#REF!</v>
      </c>
      <c r="BR194" t="e">
        <f>AND(Exhibitor!#REF!,"AAAAAGt3/0U=")</f>
        <v>#REF!</v>
      </c>
      <c r="BS194" t="e">
        <f>AND(Exhibitor!#REF!,"AAAAAGt3/0Y=")</f>
        <v>#REF!</v>
      </c>
      <c r="BT194" t="e">
        <f>AND(Exhibitor!#REF!,"AAAAAGt3/0c=")</f>
        <v>#REF!</v>
      </c>
      <c r="BU194" t="e">
        <f>AND(Exhibitor!#REF!,"AAAAAGt3/0g=")</f>
        <v>#REF!</v>
      </c>
      <c r="BV194" t="e">
        <f>AND(Exhibitor!#REF!,"AAAAAGt3/0k=")</f>
        <v>#REF!</v>
      </c>
      <c r="BW194" t="e">
        <f>AND(Exhibitor!#REF!,"AAAAAGt3/0o=")</f>
        <v>#REF!</v>
      </c>
      <c r="BX194" t="e">
        <f>AND(Exhibitor!#REF!,"AAAAAGt3/0s=")</f>
        <v>#REF!</v>
      </c>
      <c r="BY194" t="e">
        <f>AND(Exhibitor!#REF!,"AAAAAGt3/0w=")</f>
        <v>#REF!</v>
      </c>
      <c r="BZ194" t="e">
        <f>AND(Exhibitor!#REF!,"AAAAAGt3/00=")</f>
        <v>#REF!</v>
      </c>
      <c r="CA194" t="e">
        <f>AND(Exhibitor!#REF!,"AAAAAGt3/04=")</f>
        <v>#REF!</v>
      </c>
      <c r="CB194" t="e">
        <f>IF(Exhibitor!#REF!,"AAAAAGt3/08=",0)</f>
        <v>#REF!</v>
      </c>
      <c r="CC194" t="e">
        <f>AND(Exhibitor!#REF!,"AAAAAGt3/1A=")</f>
        <v>#REF!</v>
      </c>
      <c r="CD194" t="e">
        <f>AND(Exhibitor!#REF!,"AAAAAGt3/1E=")</f>
        <v>#REF!</v>
      </c>
      <c r="CE194" t="e">
        <f>AND(Exhibitor!#REF!,"AAAAAGt3/1I=")</f>
        <v>#REF!</v>
      </c>
      <c r="CF194" t="e">
        <f>AND(Exhibitor!#REF!,"AAAAAGt3/1M=")</f>
        <v>#REF!</v>
      </c>
      <c r="CG194" t="e">
        <f>AND(Exhibitor!#REF!,"AAAAAGt3/1Q=")</f>
        <v>#REF!</v>
      </c>
      <c r="CH194" t="e">
        <f>AND(Exhibitor!#REF!,"AAAAAGt3/1U=")</f>
        <v>#REF!</v>
      </c>
      <c r="CI194" t="e">
        <f>AND(Exhibitor!#REF!,"AAAAAGt3/1Y=")</f>
        <v>#REF!</v>
      </c>
      <c r="CJ194" t="e">
        <f>AND(Exhibitor!#REF!,"AAAAAGt3/1c=")</f>
        <v>#REF!</v>
      </c>
      <c r="CK194" t="e">
        <f>AND(Exhibitor!#REF!,"AAAAAGt3/1g=")</f>
        <v>#REF!</v>
      </c>
      <c r="CL194" t="e">
        <f>AND(Exhibitor!#REF!,"AAAAAGt3/1k=")</f>
        <v>#REF!</v>
      </c>
      <c r="CM194" t="e">
        <f>AND(Exhibitor!#REF!,"AAAAAGt3/1o=")</f>
        <v>#REF!</v>
      </c>
      <c r="CN194" t="e">
        <f>AND(Exhibitor!#REF!,"AAAAAGt3/1s=")</f>
        <v>#REF!</v>
      </c>
      <c r="CO194" t="e">
        <f>AND(Exhibitor!#REF!,"AAAAAGt3/1w=")</f>
        <v>#REF!</v>
      </c>
      <c r="CP194" t="e">
        <f>IF(Exhibitor!#REF!,"AAAAAGt3/10=",0)</f>
        <v>#REF!</v>
      </c>
      <c r="CQ194" t="e">
        <f>AND(Exhibitor!#REF!,"AAAAAGt3/14=")</f>
        <v>#REF!</v>
      </c>
      <c r="CR194" t="e">
        <f>AND(Exhibitor!#REF!,"AAAAAGt3/18=")</f>
        <v>#REF!</v>
      </c>
      <c r="CS194" t="e">
        <f>AND(Exhibitor!#REF!,"AAAAAGt3/2A=")</f>
        <v>#REF!</v>
      </c>
      <c r="CT194" t="e">
        <f>AND(Exhibitor!#REF!,"AAAAAGt3/2E=")</f>
        <v>#REF!</v>
      </c>
      <c r="CU194" t="e">
        <f>AND(Exhibitor!#REF!,"AAAAAGt3/2I=")</f>
        <v>#REF!</v>
      </c>
      <c r="CV194" t="e">
        <f>AND(Exhibitor!#REF!,"AAAAAGt3/2M=")</f>
        <v>#REF!</v>
      </c>
      <c r="CW194" t="e">
        <f>AND(Exhibitor!#REF!,"AAAAAGt3/2Q=")</f>
        <v>#REF!</v>
      </c>
      <c r="CX194" t="e">
        <f>AND(Exhibitor!#REF!,"AAAAAGt3/2U=")</f>
        <v>#REF!</v>
      </c>
      <c r="CY194" t="e">
        <f>AND(Exhibitor!#REF!,"AAAAAGt3/2Y=")</f>
        <v>#REF!</v>
      </c>
      <c r="CZ194" t="e">
        <f>AND(Exhibitor!#REF!,"AAAAAGt3/2c=")</f>
        <v>#REF!</v>
      </c>
      <c r="DA194" t="e">
        <f>AND(Exhibitor!#REF!,"AAAAAGt3/2g=")</f>
        <v>#REF!</v>
      </c>
      <c r="DB194" t="e">
        <f>AND(Exhibitor!#REF!,"AAAAAGt3/2k=")</f>
        <v>#REF!</v>
      </c>
      <c r="DC194" t="e">
        <f>AND(Exhibitor!#REF!,"AAAAAGt3/2o=")</f>
        <v>#REF!</v>
      </c>
      <c r="DD194" t="e">
        <f>IF(Exhibitor!#REF!,"AAAAAGt3/2s=",0)</f>
        <v>#REF!</v>
      </c>
      <c r="DE194" t="e">
        <f>AND(Exhibitor!#REF!,"AAAAAGt3/2w=")</f>
        <v>#REF!</v>
      </c>
      <c r="DF194" t="e">
        <f>AND(Exhibitor!#REF!,"AAAAAGt3/20=")</f>
        <v>#REF!</v>
      </c>
      <c r="DG194" t="e">
        <f>AND(Exhibitor!#REF!,"AAAAAGt3/24=")</f>
        <v>#REF!</v>
      </c>
      <c r="DH194" t="e">
        <f>AND(Exhibitor!#REF!,"AAAAAGt3/28=")</f>
        <v>#REF!</v>
      </c>
      <c r="DI194" t="e">
        <f>AND(Exhibitor!#REF!,"AAAAAGt3/3A=")</f>
        <v>#REF!</v>
      </c>
      <c r="DJ194" t="e">
        <f>AND(Exhibitor!#REF!,"AAAAAGt3/3E=")</f>
        <v>#REF!</v>
      </c>
      <c r="DK194" t="e">
        <f>AND(Exhibitor!#REF!,"AAAAAGt3/3I=")</f>
        <v>#REF!</v>
      </c>
      <c r="DL194" t="e">
        <f>AND(Exhibitor!#REF!,"AAAAAGt3/3M=")</f>
        <v>#REF!</v>
      </c>
      <c r="DM194" t="e">
        <f>AND(Exhibitor!#REF!,"AAAAAGt3/3Q=")</f>
        <v>#REF!</v>
      </c>
      <c r="DN194" t="e">
        <f>AND(Exhibitor!#REF!,"AAAAAGt3/3U=")</f>
        <v>#REF!</v>
      </c>
      <c r="DO194" t="e">
        <f>AND(Exhibitor!#REF!,"AAAAAGt3/3Y=")</f>
        <v>#REF!</v>
      </c>
      <c r="DP194" t="e">
        <f>AND(Exhibitor!#REF!,"AAAAAGt3/3c=")</f>
        <v>#REF!</v>
      </c>
      <c r="DQ194" t="e">
        <f>AND(Exhibitor!#REF!,"AAAAAGt3/3g=")</f>
        <v>#REF!</v>
      </c>
      <c r="DR194" t="e">
        <f>IF(Exhibitor!#REF!,"AAAAAGt3/3k=",0)</f>
        <v>#REF!</v>
      </c>
      <c r="DS194" t="e">
        <f>AND(Exhibitor!#REF!,"AAAAAGt3/3o=")</f>
        <v>#REF!</v>
      </c>
      <c r="DT194" t="e">
        <f>AND(Exhibitor!#REF!,"AAAAAGt3/3s=")</f>
        <v>#REF!</v>
      </c>
      <c r="DU194" t="e">
        <f>AND(Exhibitor!#REF!,"AAAAAGt3/3w=")</f>
        <v>#REF!</v>
      </c>
      <c r="DV194" t="e">
        <f>AND(Exhibitor!#REF!,"AAAAAGt3/30=")</f>
        <v>#REF!</v>
      </c>
      <c r="DW194" t="e">
        <f>AND(Exhibitor!#REF!,"AAAAAGt3/34=")</f>
        <v>#REF!</v>
      </c>
      <c r="DX194" t="e">
        <f>AND(Exhibitor!#REF!,"AAAAAGt3/38=")</f>
        <v>#REF!</v>
      </c>
      <c r="DY194" t="e">
        <f>AND(Exhibitor!#REF!,"AAAAAGt3/4A=")</f>
        <v>#REF!</v>
      </c>
      <c r="DZ194" t="e">
        <f>AND(Exhibitor!#REF!,"AAAAAGt3/4E=")</f>
        <v>#REF!</v>
      </c>
      <c r="EA194" t="e">
        <f>AND(Exhibitor!#REF!,"AAAAAGt3/4I=")</f>
        <v>#REF!</v>
      </c>
      <c r="EB194" t="e">
        <f>AND(Exhibitor!#REF!,"AAAAAGt3/4M=")</f>
        <v>#REF!</v>
      </c>
      <c r="EC194" t="e">
        <f>AND(Exhibitor!#REF!,"AAAAAGt3/4Q=")</f>
        <v>#REF!</v>
      </c>
      <c r="ED194" t="e">
        <f>AND(Exhibitor!#REF!,"AAAAAGt3/4U=")</f>
        <v>#REF!</v>
      </c>
      <c r="EE194" t="e">
        <f>AND(Exhibitor!#REF!,"AAAAAGt3/4Y=")</f>
        <v>#REF!</v>
      </c>
      <c r="EF194" t="e">
        <f>IF(Exhibitor!#REF!,"AAAAAGt3/4c=",0)</f>
        <v>#REF!</v>
      </c>
      <c r="EG194" t="e">
        <f>AND(Exhibitor!#REF!,"AAAAAGt3/4g=")</f>
        <v>#REF!</v>
      </c>
      <c r="EH194" t="e">
        <f>AND(Exhibitor!#REF!,"AAAAAGt3/4k=")</f>
        <v>#REF!</v>
      </c>
      <c r="EI194" t="e">
        <f>AND(Exhibitor!#REF!,"AAAAAGt3/4o=")</f>
        <v>#REF!</v>
      </c>
      <c r="EJ194" t="e">
        <f>AND(Exhibitor!#REF!,"AAAAAGt3/4s=")</f>
        <v>#REF!</v>
      </c>
      <c r="EK194" t="e">
        <f>AND(Exhibitor!#REF!,"AAAAAGt3/4w=")</f>
        <v>#REF!</v>
      </c>
      <c r="EL194" t="e">
        <f>AND(Exhibitor!#REF!,"AAAAAGt3/40=")</f>
        <v>#REF!</v>
      </c>
      <c r="EM194" t="e">
        <f>AND(Exhibitor!#REF!,"AAAAAGt3/44=")</f>
        <v>#REF!</v>
      </c>
      <c r="EN194" t="e">
        <f>AND(Exhibitor!#REF!,"AAAAAGt3/48=")</f>
        <v>#REF!</v>
      </c>
      <c r="EO194" t="e">
        <f>AND(Exhibitor!#REF!,"AAAAAGt3/5A=")</f>
        <v>#REF!</v>
      </c>
      <c r="EP194" t="e">
        <f>AND(Exhibitor!#REF!,"AAAAAGt3/5E=")</f>
        <v>#REF!</v>
      </c>
      <c r="EQ194" t="e">
        <f>AND(Exhibitor!#REF!,"AAAAAGt3/5I=")</f>
        <v>#REF!</v>
      </c>
      <c r="ER194" t="e">
        <f>AND(Exhibitor!#REF!,"AAAAAGt3/5M=")</f>
        <v>#REF!</v>
      </c>
      <c r="ES194" t="e">
        <f>AND(Exhibitor!#REF!,"AAAAAGt3/5Q=")</f>
        <v>#REF!</v>
      </c>
      <c r="ET194" t="e">
        <f>IF(Exhibitor!#REF!,"AAAAAGt3/5U=",0)</f>
        <v>#REF!</v>
      </c>
      <c r="EU194" t="e">
        <f>AND(Exhibitor!#REF!,"AAAAAGt3/5Y=")</f>
        <v>#REF!</v>
      </c>
      <c r="EV194" t="e">
        <f>AND(Exhibitor!#REF!,"AAAAAGt3/5c=")</f>
        <v>#REF!</v>
      </c>
      <c r="EW194" t="e">
        <f>AND(Exhibitor!#REF!,"AAAAAGt3/5g=")</f>
        <v>#REF!</v>
      </c>
      <c r="EX194" t="e">
        <f>AND(Exhibitor!#REF!,"AAAAAGt3/5k=")</f>
        <v>#REF!</v>
      </c>
      <c r="EY194" t="e">
        <f>AND(Exhibitor!#REF!,"AAAAAGt3/5o=")</f>
        <v>#REF!</v>
      </c>
      <c r="EZ194" t="e">
        <f>AND(Exhibitor!#REF!,"AAAAAGt3/5s=")</f>
        <v>#REF!</v>
      </c>
      <c r="FA194" t="e">
        <f>AND(Exhibitor!#REF!,"AAAAAGt3/5w=")</f>
        <v>#REF!</v>
      </c>
      <c r="FB194" t="e">
        <f>AND(Exhibitor!#REF!,"AAAAAGt3/50=")</f>
        <v>#REF!</v>
      </c>
      <c r="FC194" t="e">
        <f>AND(Exhibitor!#REF!,"AAAAAGt3/54=")</f>
        <v>#REF!</v>
      </c>
      <c r="FD194" t="e">
        <f>AND(Exhibitor!#REF!,"AAAAAGt3/58=")</f>
        <v>#REF!</v>
      </c>
      <c r="FE194" t="e">
        <f>AND(Exhibitor!#REF!,"AAAAAGt3/6A=")</f>
        <v>#REF!</v>
      </c>
      <c r="FF194" t="e">
        <f>AND(Exhibitor!#REF!,"AAAAAGt3/6E=")</f>
        <v>#REF!</v>
      </c>
      <c r="FG194" t="e">
        <f>AND(Exhibitor!#REF!,"AAAAAGt3/6I=")</f>
        <v>#REF!</v>
      </c>
      <c r="FH194" t="e">
        <f>IF(Exhibitor!#REF!,"AAAAAGt3/6M=",0)</f>
        <v>#REF!</v>
      </c>
      <c r="FI194" t="e">
        <f>AND(Exhibitor!#REF!,"AAAAAGt3/6Q=")</f>
        <v>#REF!</v>
      </c>
      <c r="FJ194" t="e">
        <f>AND(Exhibitor!#REF!,"AAAAAGt3/6U=")</f>
        <v>#REF!</v>
      </c>
      <c r="FK194" t="e">
        <f>AND(Exhibitor!#REF!,"AAAAAGt3/6Y=")</f>
        <v>#REF!</v>
      </c>
      <c r="FL194" t="e">
        <f>AND(Exhibitor!#REF!,"AAAAAGt3/6c=")</f>
        <v>#REF!</v>
      </c>
      <c r="FM194" t="e">
        <f>AND(Exhibitor!#REF!,"AAAAAGt3/6g=")</f>
        <v>#REF!</v>
      </c>
      <c r="FN194" t="e">
        <f>AND(Exhibitor!#REF!,"AAAAAGt3/6k=")</f>
        <v>#REF!</v>
      </c>
      <c r="FO194" t="e">
        <f>AND(Exhibitor!#REF!,"AAAAAGt3/6o=")</f>
        <v>#REF!</v>
      </c>
      <c r="FP194" t="e">
        <f>AND(Exhibitor!#REF!,"AAAAAGt3/6s=")</f>
        <v>#REF!</v>
      </c>
      <c r="FQ194" t="e">
        <f>AND(Exhibitor!#REF!,"AAAAAGt3/6w=")</f>
        <v>#REF!</v>
      </c>
      <c r="FR194" t="e">
        <f>AND(Exhibitor!#REF!,"AAAAAGt3/60=")</f>
        <v>#REF!</v>
      </c>
      <c r="FS194" t="e">
        <f>AND(Exhibitor!#REF!,"AAAAAGt3/64=")</f>
        <v>#REF!</v>
      </c>
      <c r="FT194" t="e">
        <f>AND(Exhibitor!#REF!,"AAAAAGt3/68=")</f>
        <v>#REF!</v>
      </c>
      <c r="FU194" t="e">
        <f>AND(Exhibitor!#REF!,"AAAAAGt3/7A=")</f>
        <v>#REF!</v>
      </c>
      <c r="FV194" t="e">
        <f>IF(Exhibitor!#REF!,"AAAAAGt3/7E=",0)</f>
        <v>#REF!</v>
      </c>
      <c r="FW194" t="e">
        <f>AND(Exhibitor!#REF!,"AAAAAGt3/7I=")</f>
        <v>#REF!</v>
      </c>
      <c r="FX194" t="e">
        <f>AND(Exhibitor!#REF!,"AAAAAGt3/7M=")</f>
        <v>#REF!</v>
      </c>
      <c r="FY194" t="e">
        <f>AND(Exhibitor!#REF!,"AAAAAGt3/7Q=")</f>
        <v>#REF!</v>
      </c>
      <c r="FZ194" t="e">
        <f>AND(Exhibitor!#REF!,"AAAAAGt3/7U=")</f>
        <v>#REF!</v>
      </c>
      <c r="GA194" t="e">
        <f>AND(Exhibitor!#REF!,"AAAAAGt3/7Y=")</f>
        <v>#REF!</v>
      </c>
      <c r="GB194" t="e">
        <f>AND(Exhibitor!#REF!,"AAAAAGt3/7c=")</f>
        <v>#REF!</v>
      </c>
      <c r="GC194" t="e">
        <f>AND(Exhibitor!#REF!,"AAAAAGt3/7g=")</f>
        <v>#REF!</v>
      </c>
      <c r="GD194" t="e">
        <f>AND(Exhibitor!#REF!,"AAAAAGt3/7k=")</f>
        <v>#REF!</v>
      </c>
      <c r="GE194" t="e">
        <f>AND(Exhibitor!#REF!,"AAAAAGt3/7o=")</f>
        <v>#REF!</v>
      </c>
      <c r="GF194" t="e">
        <f>AND(Exhibitor!#REF!,"AAAAAGt3/7s=")</f>
        <v>#REF!</v>
      </c>
      <c r="GG194" t="e">
        <f>AND(Exhibitor!#REF!,"AAAAAGt3/7w=")</f>
        <v>#REF!</v>
      </c>
      <c r="GH194" t="e">
        <f>AND(Exhibitor!#REF!,"AAAAAGt3/70=")</f>
        <v>#REF!</v>
      </c>
      <c r="GI194" t="e">
        <f>AND(Exhibitor!#REF!,"AAAAAGt3/74=")</f>
        <v>#REF!</v>
      </c>
      <c r="GJ194" t="e">
        <f>IF(Exhibitor!#REF!,"AAAAAGt3/78=",0)</f>
        <v>#REF!</v>
      </c>
      <c r="GK194" t="e">
        <f>AND(Exhibitor!#REF!,"AAAAAGt3/8A=")</f>
        <v>#REF!</v>
      </c>
      <c r="GL194" t="e">
        <f>AND(Exhibitor!#REF!,"AAAAAGt3/8E=")</f>
        <v>#REF!</v>
      </c>
      <c r="GM194" t="e">
        <f>AND(Exhibitor!#REF!,"AAAAAGt3/8I=")</f>
        <v>#REF!</v>
      </c>
      <c r="GN194" t="e">
        <f>AND(Exhibitor!#REF!,"AAAAAGt3/8M=")</f>
        <v>#REF!</v>
      </c>
      <c r="GO194" t="e">
        <f>AND(Exhibitor!#REF!,"AAAAAGt3/8Q=")</f>
        <v>#REF!</v>
      </c>
      <c r="GP194" t="e">
        <f>AND(Exhibitor!#REF!,"AAAAAGt3/8U=")</f>
        <v>#REF!</v>
      </c>
      <c r="GQ194" t="e">
        <f>AND(Exhibitor!#REF!,"AAAAAGt3/8Y=")</f>
        <v>#REF!</v>
      </c>
      <c r="GR194" t="e">
        <f>AND(Exhibitor!#REF!,"AAAAAGt3/8c=")</f>
        <v>#REF!</v>
      </c>
      <c r="GS194" t="e">
        <f>AND(Exhibitor!#REF!,"AAAAAGt3/8g=")</f>
        <v>#REF!</v>
      </c>
      <c r="GT194" t="e">
        <f>AND(Exhibitor!#REF!,"AAAAAGt3/8k=")</f>
        <v>#REF!</v>
      </c>
      <c r="GU194" t="e">
        <f>AND(Exhibitor!#REF!,"AAAAAGt3/8o=")</f>
        <v>#REF!</v>
      </c>
      <c r="GV194" t="e">
        <f>AND(Exhibitor!#REF!,"AAAAAGt3/8s=")</f>
        <v>#REF!</v>
      </c>
      <c r="GW194" t="e">
        <f>AND(Exhibitor!#REF!,"AAAAAGt3/8w=")</f>
        <v>#REF!</v>
      </c>
      <c r="GX194" t="e">
        <f>IF(Exhibitor!#REF!,"AAAAAGt3/80=",0)</f>
        <v>#REF!</v>
      </c>
      <c r="GY194" t="e">
        <f>AND(Exhibitor!#REF!,"AAAAAGt3/84=")</f>
        <v>#REF!</v>
      </c>
      <c r="GZ194" t="e">
        <f>AND(Exhibitor!#REF!,"AAAAAGt3/88=")</f>
        <v>#REF!</v>
      </c>
      <c r="HA194" t="e">
        <f>AND(Exhibitor!#REF!,"AAAAAGt3/9A=")</f>
        <v>#REF!</v>
      </c>
      <c r="HB194" t="e">
        <f>AND(Exhibitor!#REF!,"AAAAAGt3/9E=")</f>
        <v>#REF!</v>
      </c>
      <c r="HC194" t="e">
        <f>AND(Exhibitor!#REF!,"AAAAAGt3/9I=")</f>
        <v>#REF!</v>
      </c>
      <c r="HD194" t="e">
        <f>AND(Exhibitor!#REF!,"AAAAAGt3/9M=")</f>
        <v>#REF!</v>
      </c>
      <c r="HE194" t="e">
        <f>AND(Exhibitor!#REF!,"AAAAAGt3/9Q=")</f>
        <v>#REF!</v>
      </c>
      <c r="HF194" t="e">
        <f>AND(Exhibitor!#REF!,"AAAAAGt3/9U=")</f>
        <v>#REF!</v>
      </c>
      <c r="HG194" t="e">
        <f>AND(Exhibitor!#REF!,"AAAAAGt3/9Y=")</f>
        <v>#REF!</v>
      </c>
      <c r="HH194" t="e">
        <f>AND(Exhibitor!#REF!,"AAAAAGt3/9c=")</f>
        <v>#REF!</v>
      </c>
      <c r="HI194" t="e">
        <f>AND(Exhibitor!#REF!,"AAAAAGt3/9g=")</f>
        <v>#REF!</v>
      </c>
      <c r="HJ194" t="e">
        <f>AND(Exhibitor!#REF!,"AAAAAGt3/9k=")</f>
        <v>#REF!</v>
      </c>
      <c r="HK194" t="e">
        <f>AND(Exhibitor!#REF!,"AAAAAGt3/9o=")</f>
        <v>#REF!</v>
      </c>
      <c r="HL194" t="e">
        <f>IF(Exhibitor!#REF!,"AAAAAGt3/9s=",0)</f>
        <v>#REF!</v>
      </c>
      <c r="HM194" t="e">
        <f>AND(Exhibitor!#REF!,"AAAAAGt3/9w=")</f>
        <v>#REF!</v>
      </c>
      <c r="HN194" t="e">
        <f>AND(Exhibitor!#REF!,"AAAAAGt3/90=")</f>
        <v>#REF!</v>
      </c>
      <c r="HO194" t="e">
        <f>AND(Exhibitor!#REF!,"AAAAAGt3/94=")</f>
        <v>#REF!</v>
      </c>
      <c r="HP194" t="e">
        <f>AND(Exhibitor!#REF!,"AAAAAGt3/98=")</f>
        <v>#REF!</v>
      </c>
      <c r="HQ194" t="e">
        <f>AND(Exhibitor!#REF!,"AAAAAGt3/+A=")</f>
        <v>#REF!</v>
      </c>
      <c r="HR194" t="e">
        <f>AND(Exhibitor!#REF!,"AAAAAGt3/+E=")</f>
        <v>#REF!</v>
      </c>
      <c r="HS194" t="e">
        <f>AND(Exhibitor!#REF!,"AAAAAGt3/+I=")</f>
        <v>#REF!</v>
      </c>
      <c r="HT194" t="e">
        <f>AND(Exhibitor!#REF!,"AAAAAGt3/+M=")</f>
        <v>#REF!</v>
      </c>
      <c r="HU194" t="e">
        <f>AND(Exhibitor!#REF!,"AAAAAGt3/+Q=")</f>
        <v>#REF!</v>
      </c>
      <c r="HV194" t="e">
        <f>AND(Exhibitor!#REF!,"AAAAAGt3/+U=")</f>
        <v>#REF!</v>
      </c>
      <c r="HW194" t="e">
        <f>AND(Exhibitor!#REF!,"AAAAAGt3/+Y=")</f>
        <v>#REF!</v>
      </c>
      <c r="HX194" t="e">
        <f>AND(Exhibitor!#REF!,"AAAAAGt3/+c=")</f>
        <v>#REF!</v>
      </c>
      <c r="HY194" t="e">
        <f>AND(Exhibitor!#REF!,"AAAAAGt3/+g=")</f>
        <v>#REF!</v>
      </c>
      <c r="HZ194" t="e">
        <f>IF(Exhibitor!#REF!,"AAAAAGt3/+k=",0)</f>
        <v>#REF!</v>
      </c>
      <c r="IA194" t="e">
        <f>AND(Exhibitor!#REF!,"AAAAAGt3/+o=")</f>
        <v>#REF!</v>
      </c>
      <c r="IB194" t="e">
        <f>AND(Exhibitor!#REF!,"AAAAAGt3/+s=")</f>
        <v>#REF!</v>
      </c>
      <c r="IC194" t="e">
        <f>AND(Exhibitor!#REF!,"AAAAAGt3/+w=")</f>
        <v>#REF!</v>
      </c>
      <c r="ID194" t="e">
        <f>AND(Exhibitor!#REF!,"AAAAAGt3/+0=")</f>
        <v>#REF!</v>
      </c>
      <c r="IE194" t="e">
        <f>AND(Exhibitor!#REF!,"AAAAAGt3/+4=")</f>
        <v>#REF!</v>
      </c>
      <c r="IF194" t="e">
        <f>AND(Exhibitor!#REF!,"AAAAAGt3/+8=")</f>
        <v>#REF!</v>
      </c>
      <c r="IG194" t="e">
        <f>AND(Exhibitor!#REF!,"AAAAAGt3//A=")</f>
        <v>#REF!</v>
      </c>
      <c r="IH194" t="e">
        <f>AND(Exhibitor!#REF!,"AAAAAGt3//E=")</f>
        <v>#REF!</v>
      </c>
      <c r="II194" t="e">
        <f>AND(Exhibitor!#REF!,"AAAAAGt3//I=")</f>
        <v>#REF!</v>
      </c>
      <c r="IJ194" t="e">
        <f>AND(Exhibitor!#REF!,"AAAAAGt3//M=")</f>
        <v>#REF!</v>
      </c>
      <c r="IK194" t="e">
        <f>AND(Exhibitor!#REF!,"AAAAAGt3//Q=")</f>
        <v>#REF!</v>
      </c>
      <c r="IL194" t="e">
        <f>AND(Exhibitor!#REF!,"AAAAAGt3//U=")</f>
        <v>#REF!</v>
      </c>
      <c r="IM194" t="e">
        <f>AND(Exhibitor!#REF!,"AAAAAGt3//Y=")</f>
        <v>#REF!</v>
      </c>
      <c r="IN194" t="e">
        <f>IF(Exhibitor!#REF!,"AAAAAGt3//c=",0)</f>
        <v>#REF!</v>
      </c>
      <c r="IO194" t="e">
        <f>AND(Exhibitor!#REF!,"AAAAAGt3//g=")</f>
        <v>#REF!</v>
      </c>
      <c r="IP194" t="e">
        <f>AND(Exhibitor!#REF!,"AAAAAGt3//k=")</f>
        <v>#REF!</v>
      </c>
      <c r="IQ194" t="e">
        <f>AND(Exhibitor!#REF!,"AAAAAGt3//o=")</f>
        <v>#REF!</v>
      </c>
      <c r="IR194" t="e">
        <f>AND(Exhibitor!#REF!,"AAAAAGt3//s=")</f>
        <v>#REF!</v>
      </c>
      <c r="IS194" t="e">
        <f>AND(Exhibitor!#REF!,"AAAAAGt3//w=")</f>
        <v>#REF!</v>
      </c>
      <c r="IT194" t="e">
        <f>AND(Exhibitor!#REF!,"AAAAAGt3//0=")</f>
        <v>#REF!</v>
      </c>
      <c r="IU194" t="e">
        <f>AND(Exhibitor!#REF!,"AAAAAGt3//4=")</f>
        <v>#REF!</v>
      </c>
      <c r="IV194" t="e">
        <f>AND(Exhibitor!#REF!,"AAAAAGt3//8=")</f>
        <v>#REF!</v>
      </c>
    </row>
    <row r="195" spans="1:256" x14ac:dyDescent="0.2">
      <c r="A195" t="e">
        <f>AND(Exhibitor!#REF!,"AAAAAG//bwA=")</f>
        <v>#REF!</v>
      </c>
      <c r="B195" t="e">
        <f>AND(Exhibitor!#REF!,"AAAAAG//bwE=")</f>
        <v>#REF!</v>
      </c>
      <c r="C195" t="e">
        <f>AND(Exhibitor!#REF!,"AAAAAG//bwI=")</f>
        <v>#REF!</v>
      </c>
      <c r="D195" t="e">
        <f>AND(Exhibitor!#REF!,"AAAAAG//bwM=")</f>
        <v>#REF!</v>
      </c>
      <c r="E195" t="e">
        <f>AND(Exhibitor!#REF!,"AAAAAG//bwQ=")</f>
        <v>#REF!</v>
      </c>
      <c r="F195" t="e">
        <f>IF(Exhibitor!#REF!,"AAAAAG//bwU=",0)</f>
        <v>#REF!</v>
      </c>
      <c r="G195" t="e">
        <f>AND(Exhibitor!#REF!,"AAAAAG//bwY=")</f>
        <v>#REF!</v>
      </c>
      <c r="H195" t="e">
        <f>AND(Exhibitor!#REF!,"AAAAAG//bwc=")</f>
        <v>#REF!</v>
      </c>
      <c r="I195" t="e">
        <f>AND(Exhibitor!#REF!,"AAAAAG//bwg=")</f>
        <v>#REF!</v>
      </c>
      <c r="J195" t="e">
        <f>AND(Exhibitor!#REF!,"AAAAAG//bwk=")</f>
        <v>#REF!</v>
      </c>
      <c r="K195" t="e">
        <f>AND(Exhibitor!#REF!,"AAAAAG//bwo=")</f>
        <v>#REF!</v>
      </c>
      <c r="L195" t="e">
        <f>AND(Exhibitor!#REF!,"AAAAAG//bws=")</f>
        <v>#REF!</v>
      </c>
      <c r="M195" t="e">
        <f>AND(Exhibitor!#REF!,"AAAAAG//bww=")</f>
        <v>#REF!</v>
      </c>
      <c r="N195" t="e">
        <f>AND(Exhibitor!#REF!,"AAAAAG//bw0=")</f>
        <v>#REF!</v>
      </c>
      <c r="O195" t="e">
        <f>AND(Exhibitor!#REF!,"AAAAAG//bw4=")</f>
        <v>#REF!</v>
      </c>
      <c r="P195" t="e">
        <f>AND(Exhibitor!#REF!,"AAAAAG//bw8=")</f>
        <v>#REF!</v>
      </c>
      <c r="Q195" t="e">
        <f>AND(Exhibitor!#REF!,"AAAAAG//bxA=")</f>
        <v>#REF!</v>
      </c>
      <c r="R195" t="e">
        <f>AND(Exhibitor!#REF!,"AAAAAG//bxE=")</f>
        <v>#REF!</v>
      </c>
      <c r="S195" t="e">
        <f>AND(Exhibitor!#REF!,"AAAAAG//bxI=")</f>
        <v>#REF!</v>
      </c>
      <c r="T195" t="e">
        <f>IF(Exhibitor!#REF!,"AAAAAG//bxM=",0)</f>
        <v>#REF!</v>
      </c>
      <c r="U195" t="e">
        <f>AND(Exhibitor!#REF!,"AAAAAG//bxQ=")</f>
        <v>#REF!</v>
      </c>
      <c r="V195" t="e">
        <f>AND(Exhibitor!#REF!,"AAAAAG//bxU=")</f>
        <v>#REF!</v>
      </c>
      <c r="W195" t="e">
        <f>AND(Exhibitor!#REF!,"AAAAAG//bxY=")</f>
        <v>#REF!</v>
      </c>
      <c r="X195" t="e">
        <f>AND(Exhibitor!#REF!,"AAAAAG//bxc=")</f>
        <v>#REF!</v>
      </c>
      <c r="Y195" t="e">
        <f>AND(Exhibitor!#REF!,"AAAAAG//bxg=")</f>
        <v>#REF!</v>
      </c>
      <c r="Z195" t="e">
        <f>AND(Exhibitor!#REF!,"AAAAAG//bxk=")</f>
        <v>#REF!</v>
      </c>
      <c r="AA195" t="e">
        <f>AND(Exhibitor!#REF!,"AAAAAG//bxo=")</f>
        <v>#REF!</v>
      </c>
      <c r="AB195" t="e">
        <f>AND(Exhibitor!#REF!,"AAAAAG//bxs=")</f>
        <v>#REF!</v>
      </c>
      <c r="AC195" t="e">
        <f>AND(Exhibitor!#REF!,"AAAAAG//bxw=")</f>
        <v>#REF!</v>
      </c>
      <c r="AD195" t="e">
        <f>AND(Exhibitor!#REF!,"AAAAAG//bx0=")</f>
        <v>#REF!</v>
      </c>
      <c r="AE195" t="e">
        <f>AND(Exhibitor!#REF!,"AAAAAG//bx4=")</f>
        <v>#REF!</v>
      </c>
      <c r="AF195" t="e">
        <f>AND(Exhibitor!#REF!,"AAAAAG//bx8=")</f>
        <v>#REF!</v>
      </c>
      <c r="AG195" t="e">
        <f>AND(Exhibitor!#REF!,"AAAAAG//byA=")</f>
        <v>#REF!</v>
      </c>
      <c r="AH195" t="e">
        <f>IF(Exhibitor!#REF!,"AAAAAG//byE=",0)</f>
        <v>#REF!</v>
      </c>
      <c r="AI195" t="e">
        <f>AND(Exhibitor!#REF!,"AAAAAG//byI=")</f>
        <v>#REF!</v>
      </c>
      <c r="AJ195" t="e">
        <f>AND(Exhibitor!#REF!,"AAAAAG//byM=")</f>
        <v>#REF!</v>
      </c>
      <c r="AK195" t="e">
        <f>AND(Exhibitor!#REF!,"AAAAAG//byQ=")</f>
        <v>#REF!</v>
      </c>
      <c r="AL195" t="e">
        <f>AND(Exhibitor!#REF!,"AAAAAG//byU=")</f>
        <v>#REF!</v>
      </c>
      <c r="AM195" t="e">
        <f>AND(Exhibitor!#REF!,"AAAAAG//byY=")</f>
        <v>#REF!</v>
      </c>
      <c r="AN195" t="e">
        <f>AND(Exhibitor!#REF!,"AAAAAG//byc=")</f>
        <v>#REF!</v>
      </c>
      <c r="AO195" t="e">
        <f>AND(Exhibitor!#REF!,"AAAAAG//byg=")</f>
        <v>#REF!</v>
      </c>
      <c r="AP195" t="e">
        <f>AND(Exhibitor!#REF!,"AAAAAG//byk=")</f>
        <v>#REF!</v>
      </c>
      <c r="AQ195" t="e">
        <f>AND(Exhibitor!#REF!,"AAAAAG//byo=")</f>
        <v>#REF!</v>
      </c>
      <c r="AR195" t="e">
        <f>AND(Exhibitor!#REF!,"AAAAAG//bys=")</f>
        <v>#REF!</v>
      </c>
      <c r="AS195" t="e">
        <f>AND(Exhibitor!#REF!,"AAAAAG//byw=")</f>
        <v>#REF!</v>
      </c>
      <c r="AT195" t="e">
        <f>AND(Exhibitor!#REF!,"AAAAAG//by0=")</f>
        <v>#REF!</v>
      </c>
      <c r="AU195" t="e">
        <f>AND(Exhibitor!#REF!,"AAAAAG//by4=")</f>
        <v>#REF!</v>
      </c>
      <c r="AV195" t="e">
        <f>IF(Exhibitor!#REF!,"AAAAAG//by8=",0)</f>
        <v>#REF!</v>
      </c>
      <c r="AW195" t="e">
        <f>AND(Exhibitor!#REF!,"AAAAAG//bzA=")</f>
        <v>#REF!</v>
      </c>
      <c r="AX195" t="e">
        <f>AND(Exhibitor!#REF!,"AAAAAG//bzE=")</f>
        <v>#REF!</v>
      </c>
      <c r="AY195" t="e">
        <f>AND(Exhibitor!#REF!,"AAAAAG//bzI=")</f>
        <v>#REF!</v>
      </c>
      <c r="AZ195" t="e">
        <f>AND(Exhibitor!#REF!,"AAAAAG//bzM=")</f>
        <v>#REF!</v>
      </c>
      <c r="BA195" t="e">
        <f>AND(Exhibitor!#REF!,"AAAAAG//bzQ=")</f>
        <v>#REF!</v>
      </c>
      <c r="BB195" t="e">
        <f>AND(Exhibitor!#REF!,"AAAAAG//bzU=")</f>
        <v>#REF!</v>
      </c>
      <c r="BC195" t="e">
        <f>AND(Exhibitor!#REF!,"AAAAAG//bzY=")</f>
        <v>#REF!</v>
      </c>
      <c r="BD195" t="e">
        <f>AND(Exhibitor!#REF!,"AAAAAG//bzc=")</f>
        <v>#REF!</v>
      </c>
      <c r="BE195" t="e">
        <f>AND(Exhibitor!#REF!,"AAAAAG//bzg=")</f>
        <v>#REF!</v>
      </c>
      <c r="BF195" t="e">
        <f>AND(Exhibitor!#REF!,"AAAAAG//bzk=")</f>
        <v>#REF!</v>
      </c>
      <c r="BG195" t="e">
        <f>AND(Exhibitor!#REF!,"AAAAAG//bzo=")</f>
        <v>#REF!</v>
      </c>
      <c r="BH195" t="e">
        <f>AND(Exhibitor!#REF!,"AAAAAG//bzs=")</f>
        <v>#REF!</v>
      </c>
      <c r="BI195" t="e">
        <f>AND(Exhibitor!#REF!,"AAAAAG//bzw=")</f>
        <v>#REF!</v>
      </c>
      <c r="BJ195" t="e">
        <f>IF(Exhibitor!#REF!,"AAAAAG//bz0=",0)</f>
        <v>#REF!</v>
      </c>
      <c r="BK195" t="e">
        <f>AND(Exhibitor!#REF!,"AAAAAG//bz4=")</f>
        <v>#REF!</v>
      </c>
      <c r="BL195" t="e">
        <f>AND(Exhibitor!#REF!,"AAAAAG//bz8=")</f>
        <v>#REF!</v>
      </c>
      <c r="BM195" t="e">
        <f>AND(Exhibitor!#REF!,"AAAAAG//b0A=")</f>
        <v>#REF!</v>
      </c>
      <c r="BN195" t="e">
        <f>AND(Exhibitor!#REF!,"AAAAAG//b0E=")</f>
        <v>#REF!</v>
      </c>
      <c r="BO195" t="e">
        <f>AND(Exhibitor!#REF!,"AAAAAG//b0I=")</f>
        <v>#REF!</v>
      </c>
      <c r="BP195" t="e">
        <f>AND(Exhibitor!#REF!,"AAAAAG//b0M=")</f>
        <v>#REF!</v>
      </c>
      <c r="BQ195" t="e">
        <f>AND(Exhibitor!#REF!,"AAAAAG//b0Q=")</f>
        <v>#REF!</v>
      </c>
      <c r="BR195" t="e">
        <f>AND(Exhibitor!#REF!,"AAAAAG//b0U=")</f>
        <v>#REF!</v>
      </c>
      <c r="BS195" t="e">
        <f>AND(Exhibitor!#REF!,"AAAAAG//b0Y=")</f>
        <v>#REF!</v>
      </c>
      <c r="BT195" t="e">
        <f>AND(Exhibitor!#REF!,"AAAAAG//b0c=")</f>
        <v>#REF!</v>
      </c>
      <c r="BU195" t="e">
        <f>AND(Exhibitor!#REF!,"AAAAAG//b0g=")</f>
        <v>#REF!</v>
      </c>
      <c r="BV195" t="e">
        <f>AND(Exhibitor!#REF!,"AAAAAG//b0k=")</f>
        <v>#REF!</v>
      </c>
      <c r="BW195" t="e">
        <f>AND(Exhibitor!#REF!,"AAAAAG//b0o=")</f>
        <v>#REF!</v>
      </c>
      <c r="BX195" t="e">
        <f>IF(Exhibitor!#REF!,"AAAAAG//b0s=",0)</f>
        <v>#REF!</v>
      </c>
      <c r="BY195" t="e">
        <f>AND(Exhibitor!#REF!,"AAAAAG//b0w=")</f>
        <v>#REF!</v>
      </c>
      <c r="BZ195" t="e">
        <f>AND(Exhibitor!#REF!,"AAAAAG//b00=")</f>
        <v>#REF!</v>
      </c>
      <c r="CA195" t="e">
        <f>AND(Exhibitor!#REF!,"AAAAAG//b04=")</f>
        <v>#REF!</v>
      </c>
      <c r="CB195" t="e">
        <f>AND(Exhibitor!#REF!,"AAAAAG//b08=")</f>
        <v>#REF!</v>
      </c>
      <c r="CC195" t="e">
        <f>AND(Exhibitor!#REF!,"AAAAAG//b1A=")</f>
        <v>#REF!</v>
      </c>
      <c r="CD195" t="e">
        <f>AND(Exhibitor!#REF!,"AAAAAG//b1E=")</f>
        <v>#REF!</v>
      </c>
      <c r="CE195" t="e">
        <f>AND(Exhibitor!#REF!,"AAAAAG//b1I=")</f>
        <v>#REF!</v>
      </c>
      <c r="CF195" t="e">
        <f>AND(Exhibitor!#REF!,"AAAAAG//b1M=")</f>
        <v>#REF!</v>
      </c>
      <c r="CG195" t="e">
        <f>AND(Exhibitor!#REF!,"AAAAAG//b1Q=")</f>
        <v>#REF!</v>
      </c>
      <c r="CH195" t="e">
        <f>AND(Exhibitor!#REF!,"AAAAAG//b1U=")</f>
        <v>#REF!</v>
      </c>
      <c r="CI195" t="e">
        <f>AND(Exhibitor!#REF!,"AAAAAG//b1Y=")</f>
        <v>#REF!</v>
      </c>
      <c r="CJ195" t="e">
        <f>AND(Exhibitor!#REF!,"AAAAAG//b1c=")</f>
        <v>#REF!</v>
      </c>
      <c r="CK195" t="e">
        <f>AND(Exhibitor!#REF!,"AAAAAG//b1g=")</f>
        <v>#REF!</v>
      </c>
      <c r="CL195" t="e">
        <f>IF(Exhibitor!#REF!,"AAAAAG//b1k=",0)</f>
        <v>#REF!</v>
      </c>
      <c r="CM195" t="e">
        <f>AND(Exhibitor!#REF!,"AAAAAG//b1o=")</f>
        <v>#REF!</v>
      </c>
      <c r="CN195" t="e">
        <f>AND(Exhibitor!#REF!,"AAAAAG//b1s=")</f>
        <v>#REF!</v>
      </c>
      <c r="CO195" t="e">
        <f>AND(Exhibitor!#REF!,"AAAAAG//b1w=")</f>
        <v>#REF!</v>
      </c>
      <c r="CP195" t="e">
        <f>AND(Exhibitor!#REF!,"AAAAAG//b10=")</f>
        <v>#REF!</v>
      </c>
      <c r="CQ195" t="e">
        <f>AND(Exhibitor!#REF!,"AAAAAG//b14=")</f>
        <v>#REF!</v>
      </c>
      <c r="CR195" t="e">
        <f>AND(Exhibitor!#REF!,"AAAAAG//b18=")</f>
        <v>#REF!</v>
      </c>
      <c r="CS195" t="e">
        <f>AND(Exhibitor!#REF!,"AAAAAG//b2A=")</f>
        <v>#REF!</v>
      </c>
      <c r="CT195" t="e">
        <f>AND(Exhibitor!#REF!,"AAAAAG//b2E=")</f>
        <v>#REF!</v>
      </c>
      <c r="CU195" t="e">
        <f>AND(Exhibitor!#REF!,"AAAAAG//b2I=")</f>
        <v>#REF!</v>
      </c>
      <c r="CV195" t="e">
        <f>AND(Exhibitor!#REF!,"AAAAAG//b2M=")</f>
        <v>#REF!</v>
      </c>
      <c r="CW195" t="e">
        <f>AND(Exhibitor!#REF!,"AAAAAG//b2Q=")</f>
        <v>#REF!</v>
      </c>
      <c r="CX195" t="e">
        <f>AND(Exhibitor!#REF!,"AAAAAG//b2U=")</f>
        <v>#REF!</v>
      </c>
      <c r="CY195" t="e">
        <f>AND(Exhibitor!#REF!,"AAAAAG//b2Y=")</f>
        <v>#REF!</v>
      </c>
      <c r="CZ195" t="e">
        <f>IF(Exhibitor!#REF!,"AAAAAG//b2c=",0)</f>
        <v>#REF!</v>
      </c>
      <c r="DA195" t="e">
        <f>AND(Exhibitor!#REF!,"AAAAAG//b2g=")</f>
        <v>#REF!</v>
      </c>
      <c r="DB195" t="e">
        <f>AND(Exhibitor!#REF!,"AAAAAG//b2k=")</f>
        <v>#REF!</v>
      </c>
      <c r="DC195" t="e">
        <f>AND(Exhibitor!#REF!,"AAAAAG//b2o=")</f>
        <v>#REF!</v>
      </c>
      <c r="DD195" t="e">
        <f>AND(Exhibitor!#REF!,"AAAAAG//b2s=")</f>
        <v>#REF!</v>
      </c>
      <c r="DE195" t="e">
        <f>AND(Exhibitor!#REF!,"AAAAAG//b2w=")</f>
        <v>#REF!</v>
      </c>
      <c r="DF195" t="e">
        <f>AND(Exhibitor!#REF!,"AAAAAG//b20=")</f>
        <v>#REF!</v>
      </c>
      <c r="DG195" t="e">
        <f>AND(Exhibitor!#REF!,"AAAAAG//b24=")</f>
        <v>#REF!</v>
      </c>
      <c r="DH195" t="e">
        <f>AND(Exhibitor!#REF!,"AAAAAG//b28=")</f>
        <v>#REF!</v>
      </c>
      <c r="DI195" t="e">
        <f>AND(Exhibitor!#REF!,"AAAAAG//b3A=")</f>
        <v>#REF!</v>
      </c>
      <c r="DJ195" t="e">
        <f>AND(Exhibitor!#REF!,"AAAAAG//b3E=")</f>
        <v>#REF!</v>
      </c>
      <c r="DK195" t="e">
        <f>AND(Exhibitor!#REF!,"AAAAAG//b3I=")</f>
        <v>#REF!</v>
      </c>
      <c r="DL195" t="e">
        <f>AND(Exhibitor!#REF!,"AAAAAG//b3M=")</f>
        <v>#REF!</v>
      </c>
      <c r="DM195" t="e">
        <f>AND(Exhibitor!#REF!,"AAAAAG//b3Q=")</f>
        <v>#REF!</v>
      </c>
      <c r="DN195" t="e">
        <f>IF(Exhibitor!#REF!,"AAAAAG//b3U=",0)</f>
        <v>#REF!</v>
      </c>
      <c r="DO195" t="e">
        <f>AND(Exhibitor!#REF!,"AAAAAG//b3Y=")</f>
        <v>#REF!</v>
      </c>
      <c r="DP195" t="e">
        <f>AND(Exhibitor!#REF!,"AAAAAG//b3c=")</f>
        <v>#REF!</v>
      </c>
      <c r="DQ195" t="e">
        <f>AND(Exhibitor!#REF!,"AAAAAG//b3g=")</f>
        <v>#REF!</v>
      </c>
      <c r="DR195" t="e">
        <f>AND(Exhibitor!#REF!,"AAAAAG//b3k=")</f>
        <v>#REF!</v>
      </c>
      <c r="DS195" t="e">
        <f>AND(Exhibitor!#REF!,"AAAAAG//b3o=")</f>
        <v>#REF!</v>
      </c>
      <c r="DT195" t="e">
        <f>AND(Exhibitor!#REF!,"AAAAAG//b3s=")</f>
        <v>#REF!</v>
      </c>
      <c r="DU195" t="e">
        <f>AND(Exhibitor!#REF!,"AAAAAG//b3w=")</f>
        <v>#REF!</v>
      </c>
      <c r="DV195" t="e">
        <f>AND(Exhibitor!#REF!,"AAAAAG//b30=")</f>
        <v>#REF!</v>
      </c>
      <c r="DW195" t="e">
        <f>AND(Exhibitor!#REF!,"AAAAAG//b34=")</f>
        <v>#REF!</v>
      </c>
      <c r="DX195" t="e">
        <f>AND(Exhibitor!#REF!,"AAAAAG//b38=")</f>
        <v>#REF!</v>
      </c>
      <c r="DY195" t="e">
        <f>AND(Exhibitor!#REF!,"AAAAAG//b4A=")</f>
        <v>#REF!</v>
      </c>
      <c r="DZ195" t="e">
        <f>AND(Exhibitor!#REF!,"AAAAAG//b4E=")</f>
        <v>#REF!</v>
      </c>
      <c r="EA195" t="e">
        <f>AND(Exhibitor!#REF!,"AAAAAG//b4I=")</f>
        <v>#REF!</v>
      </c>
      <c r="EB195" t="e">
        <f>IF(Exhibitor!#REF!,"AAAAAG//b4M=",0)</f>
        <v>#REF!</v>
      </c>
      <c r="EC195" t="e">
        <f>AND(Exhibitor!#REF!,"AAAAAG//b4Q=")</f>
        <v>#REF!</v>
      </c>
      <c r="ED195" t="e">
        <f>AND(Exhibitor!#REF!,"AAAAAG//b4U=")</f>
        <v>#REF!</v>
      </c>
      <c r="EE195" t="e">
        <f>AND(Exhibitor!#REF!,"AAAAAG//b4Y=")</f>
        <v>#REF!</v>
      </c>
      <c r="EF195" t="e">
        <f>AND(Exhibitor!#REF!,"AAAAAG//b4c=")</f>
        <v>#REF!</v>
      </c>
      <c r="EG195" t="e">
        <f>AND(Exhibitor!#REF!,"AAAAAG//b4g=")</f>
        <v>#REF!</v>
      </c>
      <c r="EH195" t="e">
        <f>AND(Exhibitor!#REF!,"AAAAAG//b4k=")</f>
        <v>#REF!</v>
      </c>
      <c r="EI195" t="e">
        <f>AND(Exhibitor!#REF!,"AAAAAG//b4o=")</f>
        <v>#REF!</v>
      </c>
      <c r="EJ195" t="e">
        <f>AND(Exhibitor!#REF!,"AAAAAG//b4s=")</f>
        <v>#REF!</v>
      </c>
      <c r="EK195" t="e">
        <f>AND(Exhibitor!#REF!,"AAAAAG//b4w=")</f>
        <v>#REF!</v>
      </c>
      <c r="EL195" t="e">
        <f>AND(Exhibitor!#REF!,"AAAAAG//b40=")</f>
        <v>#REF!</v>
      </c>
      <c r="EM195" t="e">
        <f>AND(Exhibitor!#REF!,"AAAAAG//b44=")</f>
        <v>#REF!</v>
      </c>
      <c r="EN195" t="e">
        <f>AND(Exhibitor!#REF!,"AAAAAG//b48=")</f>
        <v>#REF!</v>
      </c>
      <c r="EO195" t="e">
        <f>AND(Exhibitor!#REF!,"AAAAAG//b5A=")</f>
        <v>#REF!</v>
      </c>
      <c r="EP195" t="e">
        <f>IF(Exhibitor!#REF!,"AAAAAG//b5E=",0)</f>
        <v>#REF!</v>
      </c>
      <c r="EQ195" t="e">
        <f>AND(Exhibitor!#REF!,"AAAAAG//b5I=")</f>
        <v>#REF!</v>
      </c>
      <c r="ER195" t="e">
        <f>AND(Exhibitor!#REF!,"AAAAAG//b5M=")</f>
        <v>#REF!</v>
      </c>
      <c r="ES195" t="e">
        <f>AND(Exhibitor!#REF!,"AAAAAG//b5Q=")</f>
        <v>#REF!</v>
      </c>
      <c r="ET195" t="e">
        <f>AND(Exhibitor!#REF!,"AAAAAG//b5U=")</f>
        <v>#REF!</v>
      </c>
      <c r="EU195" t="e">
        <f>AND(Exhibitor!#REF!,"AAAAAG//b5Y=")</f>
        <v>#REF!</v>
      </c>
      <c r="EV195" t="e">
        <f>AND(Exhibitor!#REF!,"AAAAAG//b5c=")</f>
        <v>#REF!</v>
      </c>
      <c r="EW195" t="e">
        <f>AND(Exhibitor!#REF!,"AAAAAG//b5g=")</f>
        <v>#REF!</v>
      </c>
      <c r="EX195" t="e">
        <f>AND(Exhibitor!#REF!,"AAAAAG//b5k=")</f>
        <v>#REF!</v>
      </c>
      <c r="EY195" t="e">
        <f>AND(Exhibitor!#REF!,"AAAAAG//b5o=")</f>
        <v>#REF!</v>
      </c>
      <c r="EZ195" t="e">
        <f>AND(Exhibitor!#REF!,"AAAAAG//b5s=")</f>
        <v>#REF!</v>
      </c>
      <c r="FA195" t="e">
        <f>AND(Exhibitor!#REF!,"AAAAAG//b5w=")</f>
        <v>#REF!</v>
      </c>
      <c r="FB195" t="e">
        <f>AND(Exhibitor!#REF!,"AAAAAG//b50=")</f>
        <v>#REF!</v>
      </c>
      <c r="FC195" t="e">
        <f>AND(Exhibitor!#REF!,"AAAAAG//b54=")</f>
        <v>#REF!</v>
      </c>
      <c r="FD195" t="e">
        <f>IF(Exhibitor!#REF!,"AAAAAG//b58=",0)</f>
        <v>#REF!</v>
      </c>
      <c r="FE195" t="e">
        <f>AND(Exhibitor!#REF!,"AAAAAG//b6A=")</f>
        <v>#REF!</v>
      </c>
      <c r="FF195" t="e">
        <f>AND(Exhibitor!#REF!,"AAAAAG//b6E=")</f>
        <v>#REF!</v>
      </c>
      <c r="FG195" t="e">
        <f>AND(Exhibitor!#REF!,"AAAAAG//b6I=")</f>
        <v>#REF!</v>
      </c>
      <c r="FH195" t="e">
        <f>AND(Exhibitor!#REF!,"AAAAAG//b6M=")</f>
        <v>#REF!</v>
      </c>
      <c r="FI195" t="e">
        <f>AND(Exhibitor!#REF!,"AAAAAG//b6Q=")</f>
        <v>#REF!</v>
      </c>
      <c r="FJ195" t="e">
        <f>AND(Exhibitor!#REF!,"AAAAAG//b6U=")</f>
        <v>#REF!</v>
      </c>
      <c r="FK195" t="e">
        <f>AND(Exhibitor!#REF!,"AAAAAG//b6Y=")</f>
        <v>#REF!</v>
      </c>
      <c r="FL195" t="e">
        <f>AND(Exhibitor!#REF!,"AAAAAG//b6c=")</f>
        <v>#REF!</v>
      </c>
      <c r="FM195" t="e">
        <f>AND(Exhibitor!#REF!,"AAAAAG//b6g=")</f>
        <v>#REF!</v>
      </c>
      <c r="FN195" t="e">
        <f>AND(Exhibitor!#REF!,"AAAAAG//b6k=")</f>
        <v>#REF!</v>
      </c>
      <c r="FO195" t="e">
        <f>AND(Exhibitor!#REF!,"AAAAAG//b6o=")</f>
        <v>#REF!</v>
      </c>
      <c r="FP195" t="e">
        <f>AND(Exhibitor!#REF!,"AAAAAG//b6s=")</f>
        <v>#REF!</v>
      </c>
      <c r="FQ195" t="e">
        <f>AND(Exhibitor!#REF!,"AAAAAG//b6w=")</f>
        <v>#REF!</v>
      </c>
      <c r="FR195" t="e">
        <f>IF(Exhibitor!#REF!,"AAAAAG//b60=",0)</f>
        <v>#REF!</v>
      </c>
      <c r="FS195" t="e">
        <f>AND(Exhibitor!#REF!,"AAAAAG//b64=")</f>
        <v>#REF!</v>
      </c>
      <c r="FT195" t="e">
        <f>AND(Exhibitor!#REF!,"AAAAAG//b68=")</f>
        <v>#REF!</v>
      </c>
      <c r="FU195" t="e">
        <f>AND(Exhibitor!#REF!,"AAAAAG//b7A=")</f>
        <v>#REF!</v>
      </c>
      <c r="FV195" t="e">
        <f>AND(Exhibitor!#REF!,"AAAAAG//b7E=")</f>
        <v>#REF!</v>
      </c>
      <c r="FW195" t="e">
        <f>AND(Exhibitor!#REF!,"AAAAAG//b7I=")</f>
        <v>#REF!</v>
      </c>
      <c r="FX195" t="e">
        <f>AND(Exhibitor!#REF!,"AAAAAG//b7M=")</f>
        <v>#REF!</v>
      </c>
      <c r="FY195" t="e">
        <f>AND(Exhibitor!#REF!,"AAAAAG//b7Q=")</f>
        <v>#REF!</v>
      </c>
      <c r="FZ195" t="e">
        <f>AND(Exhibitor!#REF!,"AAAAAG//b7U=")</f>
        <v>#REF!</v>
      </c>
      <c r="GA195" t="e">
        <f>AND(Exhibitor!#REF!,"AAAAAG//b7Y=")</f>
        <v>#REF!</v>
      </c>
      <c r="GB195" t="e">
        <f>AND(Exhibitor!#REF!,"AAAAAG//b7c=")</f>
        <v>#REF!</v>
      </c>
      <c r="GC195" t="e">
        <f>AND(Exhibitor!#REF!,"AAAAAG//b7g=")</f>
        <v>#REF!</v>
      </c>
      <c r="GD195" t="e">
        <f>AND(Exhibitor!#REF!,"AAAAAG//b7k=")</f>
        <v>#REF!</v>
      </c>
      <c r="GE195" t="e">
        <f>AND(Exhibitor!#REF!,"AAAAAG//b7o=")</f>
        <v>#REF!</v>
      </c>
      <c r="GF195" t="e">
        <f>IF(Exhibitor!#REF!,"AAAAAG//b7s=",0)</f>
        <v>#REF!</v>
      </c>
      <c r="GG195" t="e">
        <f>AND(Exhibitor!#REF!,"AAAAAG//b7w=")</f>
        <v>#REF!</v>
      </c>
      <c r="GH195" t="e">
        <f>AND(Exhibitor!#REF!,"AAAAAG//b70=")</f>
        <v>#REF!</v>
      </c>
      <c r="GI195" t="e">
        <f>AND(Exhibitor!#REF!,"AAAAAG//b74=")</f>
        <v>#REF!</v>
      </c>
      <c r="GJ195" t="e">
        <f>AND(Exhibitor!#REF!,"AAAAAG//b78=")</f>
        <v>#REF!</v>
      </c>
      <c r="GK195" t="e">
        <f>AND(Exhibitor!#REF!,"AAAAAG//b8A=")</f>
        <v>#REF!</v>
      </c>
      <c r="GL195" t="e">
        <f>AND(Exhibitor!#REF!,"AAAAAG//b8E=")</f>
        <v>#REF!</v>
      </c>
      <c r="GM195" t="e">
        <f>AND(Exhibitor!#REF!,"AAAAAG//b8I=")</f>
        <v>#REF!</v>
      </c>
      <c r="GN195" t="e">
        <f>AND(Exhibitor!#REF!,"AAAAAG//b8M=")</f>
        <v>#REF!</v>
      </c>
      <c r="GO195" t="e">
        <f>AND(Exhibitor!#REF!,"AAAAAG//b8Q=")</f>
        <v>#REF!</v>
      </c>
      <c r="GP195" t="e">
        <f>AND(Exhibitor!#REF!,"AAAAAG//b8U=")</f>
        <v>#REF!</v>
      </c>
      <c r="GQ195" t="e">
        <f>AND(Exhibitor!#REF!,"AAAAAG//b8Y=")</f>
        <v>#REF!</v>
      </c>
      <c r="GR195" t="e">
        <f>AND(Exhibitor!#REF!,"AAAAAG//b8c=")</f>
        <v>#REF!</v>
      </c>
      <c r="GS195" t="e">
        <f>AND(Exhibitor!#REF!,"AAAAAG//b8g=")</f>
        <v>#REF!</v>
      </c>
      <c r="GT195" t="e">
        <f>IF(Exhibitor!#REF!,"AAAAAG//b8k=",0)</f>
        <v>#REF!</v>
      </c>
      <c r="GU195" t="e">
        <f>AND(Exhibitor!#REF!,"AAAAAG//b8o=")</f>
        <v>#REF!</v>
      </c>
      <c r="GV195" t="e">
        <f>AND(Exhibitor!#REF!,"AAAAAG//b8s=")</f>
        <v>#REF!</v>
      </c>
      <c r="GW195" t="e">
        <f>AND(Exhibitor!#REF!,"AAAAAG//b8w=")</f>
        <v>#REF!</v>
      </c>
      <c r="GX195" t="e">
        <f>AND(Exhibitor!#REF!,"AAAAAG//b80=")</f>
        <v>#REF!</v>
      </c>
      <c r="GY195" t="e">
        <f>AND(Exhibitor!#REF!,"AAAAAG//b84=")</f>
        <v>#REF!</v>
      </c>
      <c r="GZ195" t="e">
        <f>AND(Exhibitor!#REF!,"AAAAAG//b88=")</f>
        <v>#REF!</v>
      </c>
      <c r="HA195" t="e">
        <f>AND(Exhibitor!#REF!,"AAAAAG//b9A=")</f>
        <v>#REF!</v>
      </c>
      <c r="HB195" t="e">
        <f>AND(Exhibitor!#REF!,"AAAAAG//b9E=")</f>
        <v>#REF!</v>
      </c>
      <c r="HC195" t="e">
        <f>AND(Exhibitor!#REF!,"AAAAAG//b9I=")</f>
        <v>#REF!</v>
      </c>
      <c r="HD195" t="e">
        <f>AND(Exhibitor!#REF!,"AAAAAG//b9M=")</f>
        <v>#REF!</v>
      </c>
      <c r="HE195" t="e">
        <f>AND(Exhibitor!#REF!,"AAAAAG//b9Q=")</f>
        <v>#REF!</v>
      </c>
      <c r="HF195" t="e">
        <f>AND(Exhibitor!#REF!,"AAAAAG//b9U=")</f>
        <v>#REF!</v>
      </c>
      <c r="HG195" t="e">
        <f>AND(Exhibitor!#REF!,"AAAAAG//b9Y=")</f>
        <v>#REF!</v>
      </c>
      <c r="HH195" t="e">
        <f>IF(Exhibitor!#REF!,"AAAAAG//b9c=",0)</f>
        <v>#REF!</v>
      </c>
      <c r="HI195" t="e">
        <f>AND(Exhibitor!#REF!,"AAAAAG//b9g=")</f>
        <v>#REF!</v>
      </c>
      <c r="HJ195" t="e">
        <f>AND(Exhibitor!#REF!,"AAAAAG//b9k=")</f>
        <v>#REF!</v>
      </c>
      <c r="HK195" t="e">
        <f>AND(Exhibitor!#REF!,"AAAAAG//b9o=")</f>
        <v>#REF!</v>
      </c>
      <c r="HL195" t="e">
        <f>AND(Exhibitor!#REF!,"AAAAAG//b9s=")</f>
        <v>#REF!</v>
      </c>
      <c r="HM195" t="e">
        <f>AND(Exhibitor!#REF!,"AAAAAG//b9w=")</f>
        <v>#REF!</v>
      </c>
      <c r="HN195" t="e">
        <f>AND(Exhibitor!#REF!,"AAAAAG//b90=")</f>
        <v>#REF!</v>
      </c>
      <c r="HO195" t="e">
        <f>AND(Exhibitor!#REF!,"AAAAAG//b94=")</f>
        <v>#REF!</v>
      </c>
      <c r="HP195" t="e">
        <f>AND(Exhibitor!#REF!,"AAAAAG//b98=")</f>
        <v>#REF!</v>
      </c>
      <c r="HQ195" t="e">
        <f>AND(Exhibitor!#REF!,"AAAAAG//b+A=")</f>
        <v>#REF!</v>
      </c>
      <c r="HR195" t="e">
        <f>AND(Exhibitor!#REF!,"AAAAAG//b+E=")</f>
        <v>#REF!</v>
      </c>
      <c r="HS195" t="e">
        <f>AND(Exhibitor!#REF!,"AAAAAG//b+I=")</f>
        <v>#REF!</v>
      </c>
      <c r="HT195" t="e">
        <f>AND(Exhibitor!#REF!,"AAAAAG//b+M=")</f>
        <v>#REF!</v>
      </c>
      <c r="HU195" t="e">
        <f>AND(Exhibitor!#REF!,"AAAAAG//b+Q=")</f>
        <v>#REF!</v>
      </c>
      <c r="HV195" t="e">
        <f>IF(Exhibitor!#REF!,"AAAAAG//b+U=",0)</f>
        <v>#REF!</v>
      </c>
      <c r="HW195" t="e">
        <f>AND(Exhibitor!#REF!,"AAAAAG//b+Y=")</f>
        <v>#REF!</v>
      </c>
      <c r="HX195" t="e">
        <f>AND(Exhibitor!#REF!,"AAAAAG//b+c=")</f>
        <v>#REF!</v>
      </c>
      <c r="HY195" t="e">
        <f>AND(Exhibitor!#REF!,"AAAAAG//b+g=")</f>
        <v>#REF!</v>
      </c>
      <c r="HZ195" t="e">
        <f>AND(Exhibitor!#REF!,"AAAAAG//b+k=")</f>
        <v>#REF!</v>
      </c>
      <c r="IA195" t="e">
        <f>AND(Exhibitor!#REF!,"AAAAAG//b+o=")</f>
        <v>#REF!</v>
      </c>
      <c r="IB195" t="e">
        <f>AND(Exhibitor!#REF!,"AAAAAG//b+s=")</f>
        <v>#REF!</v>
      </c>
      <c r="IC195" t="e">
        <f>AND(Exhibitor!#REF!,"AAAAAG//b+w=")</f>
        <v>#REF!</v>
      </c>
      <c r="ID195" t="e">
        <f>AND(Exhibitor!#REF!,"AAAAAG//b+0=")</f>
        <v>#REF!</v>
      </c>
      <c r="IE195" t="e">
        <f>AND(Exhibitor!#REF!,"AAAAAG//b+4=")</f>
        <v>#REF!</v>
      </c>
      <c r="IF195" t="e">
        <f>AND(Exhibitor!#REF!,"AAAAAG//b+8=")</f>
        <v>#REF!</v>
      </c>
      <c r="IG195" t="e">
        <f>AND(Exhibitor!#REF!,"AAAAAG//b/A=")</f>
        <v>#REF!</v>
      </c>
      <c r="IH195" t="e">
        <f>AND(Exhibitor!#REF!,"AAAAAG//b/E=")</f>
        <v>#REF!</v>
      </c>
      <c r="II195" t="e">
        <f>AND(Exhibitor!#REF!,"AAAAAG//b/I=")</f>
        <v>#REF!</v>
      </c>
      <c r="IJ195" t="e">
        <f>IF(Exhibitor!#REF!,"AAAAAG//b/M=",0)</f>
        <v>#REF!</v>
      </c>
      <c r="IK195" t="e">
        <f>AND(Exhibitor!#REF!,"AAAAAG//b/Q=")</f>
        <v>#REF!</v>
      </c>
      <c r="IL195" t="e">
        <f>AND(Exhibitor!#REF!,"AAAAAG//b/U=")</f>
        <v>#REF!</v>
      </c>
      <c r="IM195" t="e">
        <f>AND(Exhibitor!#REF!,"AAAAAG//b/Y=")</f>
        <v>#REF!</v>
      </c>
      <c r="IN195" t="e">
        <f>AND(Exhibitor!#REF!,"AAAAAG//b/c=")</f>
        <v>#REF!</v>
      </c>
      <c r="IO195" t="e">
        <f>AND(Exhibitor!#REF!,"AAAAAG//b/g=")</f>
        <v>#REF!</v>
      </c>
      <c r="IP195" t="e">
        <f>AND(Exhibitor!#REF!,"AAAAAG//b/k=")</f>
        <v>#REF!</v>
      </c>
      <c r="IQ195" t="e">
        <f>AND(Exhibitor!#REF!,"AAAAAG//b/o=")</f>
        <v>#REF!</v>
      </c>
      <c r="IR195" t="e">
        <f>AND(Exhibitor!#REF!,"AAAAAG//b/s=")</f>
        <v>#REF!</v>
      </c>
      <c r="IS195" t="e">
        <f>AND(Exhibitor!#REF!,"AAAAAG//b/w=")</f>
        <v>#REF!</v>
      </c>
      <c r="IT195" t="e">
        <f>AND(Exhibitor!#REF!,"AAAAAG//b/0=")</f>
        <v>#REF!</v>
      </c>
      <c r="IU195" t="e">
        <f>AND(Exhibitor!#REF!,"AAAAAG//b/4=")</f>
        <v>#REF!</v>
      </c>
      <c r="IV195" t="e">
        <f>AND(Exhibitor!#REF!,"AAAAAG//b/8=")</f>
        <v>#REF!</v>
      </c>
    </row>
    <row r="196" spans="1:256" x14ac:dyDescent="0.2">
      <c r="A196" t="e">
        <f>AND(Exhibitor!#REF!,"AAAAAH/s+wA=")</f>
        <v>#REF!</v>
      </c>
      <c r="B196" t="e">
        <f>IF(Exhibitor!#REF!,"AAAAAH/s+wE=",0)</f>
        <v>#REF!</v>
      </c>
      <c r="C196" t="e">
        <f>AND(Exhibitor!#REF!,"AAAAAH/s+wI=")</f>
        <v>#REF!</v>
      </c>
      <c r="D196" t="e">
        <f>AND(Exhibitor!#REF!,"AAAAAH/s+wM=")</f>
        <v>#REF!</v>
      </c>
      <c r="E196" t="e">
        <f>AND(Exhibitor!#REF!,"AAAAAH/s+wQ=")</f>
        <v>#REF!</v>
      </c>
      <c r="F196" t="e">
        <f>AND(Exhibitor!#REF!,"AAAAAH/s+wU=")</f>
        <v>#REF!</v>
      </c>
      <c r="G196" t="e">
        <f>AND(Exhibitor!#REF!,"AAAAAH/s+wY=")</f>
        <v>#REF!</v>
      </c>
      <c r="H196" t="e">
        <f>AND(Exhibitor!#REF!,"AAAAAH/s+wc=")</f>
        <v>#REF!</v>
      </c>
      <c r="I196" t="e">
        <f>AND(Exhibitor!#REF!,"AAAAAH/s+wg=")</f>
        <v>#REF!</v>
      </c>
      <c r="J196" t="e">
        <f>AND(Exhibitor!#REF!,"AAAAAH/s+wk=")</f>
        <v>#REF!</v>
      </c>
      <c r="K196" t="e">
        <f>AND(Exhibitor!#REF!,"AAAAAH/s+wo=")</f>
        <v>#REF!</v>
      </c>
      <c r="L196" t="e">
        <f>AND(Exhibitor!#REF!,"AAAAAH/s+ws=")</f>
        <v>#REF!</v>
      </c>
      <c r="M196" t="e">
        <f>AND(Exhibitor!#REF!,"AAAAAH/s+ww=")</f>
        <v>#REF!</v>
      </c>
      <c r="N196" t="e">
        <f>AND(Exhibitor!#REF!,"AAAAAH/s+w0=")</f>
        <v>#REF!</v>
      </c>
      <c r="O196" t="e">
        <f>AND(Exhibitor!#REF!,"AAAAAH/s+w4=")</f>
        <v>#REF!</v>
      </c>
      <c r="P196" t="e">
        <f>IF(Exhibitor!#REF!,"AAAAAH/s+w8=",0)</f>
        <v>#REF!</v>
      </c>
      <c r="Q196" t="e">
        <f>AND(Exhibitor!#REF!,"AAAAAH/s+xA=")</f>
        <v>#REF!</v>
      </c>
      <c r="R196" t="e">
        <f>AND(Exhibitor!#REF!,"AAAAAH/s+xE=")</f>
        <v>#REF!</v>
      </c>
      <c r="S196" t="e">
        <f>AND(Exhibitor!#REF!,"AAAAAH/s+xI=")</f>
        <v>#REF!</v>
      </c>
      <c r="T196" t="e">
        <f>AND(Exhibitor!#REF!,"AAAAAH/s+xM=")</f>
        <v>#REF!</v>
      </c>
      <c r="U196" t="e">
        <f>AND(Exhibitor!#REF!,"AAAAAH/s+xQ=")</f>
        <v>#REF!</v>
      </c>
      <c r="V196" t="e">
        <f>AND(Exhibitor!#REF!,"AAAAAH/s+xU=")</f>
        <v>#REF!</v>
      </c>
      <c r="W196" t="e">
        <f>AND(Exhibitor!#REF!,"AAAAAH/s+xY=")</f>
        <v>#REF!</v>
      </c>
      <c r="X196" t="e">
        <f>AND(Exhibitor!#REF!,"AAAAAH/s+xc=")</f>
        <v>#REF!</v>
      </c>
      <c r="Y196" t="e">
        <f>AND(Exhibitor!#REF!,"AAAAAH/s+xg=")</f>
        <v>#REF!</v>
      </c>
      <c r="Z196" t="e">
        <f>AND(Exhibitor!#REF!,"AAAAAH/s+xk=")</f>
        <v>#REF!</v>
      </c>
      <c r="AA196" t="e">
        <f>AND(Exhibitor!#REF!,"AAAAAH/s+xo=")</f>
        <v>#REF!</v>
      </c>
      <c r="AB196" t="e">
        <f>AND(Exhibitor!#REF!,"AAAAAH/s+xs=")</f>
        <v>#REF!</v>
      </c>
      <c r="AC196" t="e">
        <f>AND(Exhibitor!#REF!,"AAAAAH/s+xw=")</f>
        <v>#REF!</v>
      </c>
      <c r="AD196" t="e">
        <f>IF(Exhibitor!#REF!,"AAAAAH/s+x0=",0)</f>
        <v>#REF!</v>
      </c>
      <c r="AE196" t="e">
        <f>AND(Exhibitor!#REF!,"AAAAAH/s+x4=")</f>
        <v>#REF!</v>
      </c>
      <c r="AF196" t="e">
        <f>AND(Exhibitor!#REF!,"AAAAAH/s+x8=")</f>
        <v>#REF!</v>
      </c>
      <c r="AG196" t="e">
        <f>AND(Exhibitor!#REF!,"AAAAAH/s+yA=")</f>
        <v>#REF!</v>
      </c>
      <c r="AH196" t="e">
        <f>AND(Exhibitor!#REF!,"AAAAAH/s+yE=")</f>
        <v>#REF!</v>
      </c>
      <c r="AI196" t="e">
        <f>AND(Exhibitor!#REF!,"AAAAAH/s+yI=")</f>
        <v>#REF!</v>
      </c>
      <c r="AJ196" t="e">
        <f>AND(Exhibitor!#REF!,"AAAAAH/s+yM=")</f>
        <v>#REF!</v>
      </c>
      <c r="AK196" t="e">
        <f>AND(Exhibitor!#REF!,"AAAAAH/s+yQ=")</f>
        <v>#REF!</v>
      </c>
      <c r="AL196" t="e">
        <f>AND(Exhibitor!#REF!,"AAAAAH/s+yU=")</f>
        <v>#REF!</v>
      </c>
      <c r="AM196" t="e">
        <f>AND(Exhibitor!#REF!,"AAAAAH/s+yY=")</f>
        <v>#REF!</v>
      </c>
      <c r="AN196" t="e">
        <f>AND(Exhibitor!#REF!,"AAAAAH/s+yc=")</f>
        <v>#REF!</v>
      </c>
      <c r="AO196" t="e">
        <f>AND(Exhibitor!#REF!,"AAAAAH/s+yg=")</f>
        <v>#REF!</v>
      </c>
      <c r="AP196" t="e">
        <f>AND(Exhibitor!#REF!,"AAAAAH/s+yk=")</f>
        <v>#REF!</v>
      </c>
      <c r="AQ196" t="e">
        <f>AND(Exhibitor!#REF!,"AAAAAH/s+yo=")</f>
        <v>#REF!</v>
      </c>
      <c r="AR196" t="e">
        <f>IF(Exhibitor!#REF!,"AAAAAH/s+ys=",0)</f>
        <v>#REF!</v>
      </c>
      <c r="AS196" t="e">
        <f>AND(Exhibitor!#REF!,"AAAAAH/s+yw=")</f>
        <v>#REF!</v>
      </c>
      <c r="AT196" t="e">
        <f>AND(Exhibitor!#REF!,"AAAAAH/s+y0=")</f>
        <v>#REF!</v>
      </c>
      <c r="AU196" t="e">
        <f>AND(Exhibitor!#REF!,"AAAAAH/s+y4=")</f>
        <v>#REF!</v>
      </c>
      <c r="AV196" t="e">
        <f>AND(Exhibitor!#REF!,"AAAAAH/s+y8=")</f>
        <v>#REF!</v>
      </c>
      <c r="AW196" t="e">
        <f>AND(Exhibitor!#REF!,"AAAAAH/s+zA=")</f>
        <v>#REF!</v>
      </c>
      <c r="AX196" t="e">
        <f>AND(Exhibitor!#REF!,"AAAAAH/s+zE=")</f>
        <v>#REF!</v>
      </c>
      <c r="AY196" t="e">
        <f>AND(Exhibitor!#REF!,"AAAAAH/s+zI=")</f>
        <v>#REF!</v>
      </c>
      <c r="AZ196" t="e">
        <f>AND(Exhibitor!#REF!,"AAAAAH/s+zM=")</f>
        <v>#REF!</v>
      </c>
      <c r="BA196" t="e">
        <f>AND(Exhibitor!#REF!,"AAAAAH/s+zQ=")</f>
        <v>#REF!</v>
      </c>
      <c r="BB196" t="e">
        <f>AND(Exhibitor!#REF!,"AAAAAH/s+zU=")</f>
        <v>#REF!</v>
      </c>
      <c r="BC196" t="e">
        <f>AND(Exhibitor!#REF!,"AAAAAH/s+zY=")</f>
        <v>#REF!</v>
      </c>
      <c r="BD196" t="e">
        <f>AND(Exhibitor!#REF!,"AAAAAH/s+zc=")</f>
        <v>#REF!</v>
      </c>
      <c r="BE196" t="e">
        <f>AND(Exhibitor!#REF!,"AAAAAH/s+zg=")</f>
        <v>#REF!</v>
      </c>
      <c r="BF196" t="e">
        <f>IF(Exhibitor!#REF!,"AAAAAH/s+zk=",0)</f>
        <v>#REF!</v>
      </c>
      <c r="BG196" t="e">
        <f>AND(Exhibitor!#REF!,"AAAAAH/s+zo=")</f>
        <v>#REF!</v>
      </c>
      <c r="BH196" t="e">
        <f>AND(Exhibitor!#REF!,"AAAAAH/s+zs=")</f>
        <v>#REF!</v>
      </c>
      <c r="BI196" t="e">
        <f>AND(Exhibitor!#REF!,"AAAAAH/s+zw=")</f>
        <v>#REF!</v>
      </c>
      <c r="BJ196" t="e">
        <f>AND(Exhibitor!#REF!,"AAAAAH/s+z0=")</f>
        <v>#REF!</v>
      </c>
      <c r="BK196" t="e">
        <f>AND(Exhibitor!#REF!,"AAAAAH/s+z4=")</f>
        <v>#REF!</v>
      </c>
      <c r="BL196" t="e">
        <f>AND(Exhibitor!#REF!,"AAAAAH/s+z8=")</f>
        <v>#REF!</v>
      </c>
      <c r="BM196" t="e">
        <f>AND(Exhibitor!#REF!,"AAAAAH/s+0A=")</f>
        <v>#REF!</v>
      </c>
      <c r="BN196" t="e">
        <f>AND(Exhibitor!#REF!,"AAAAAH/s+0E=")</f>
        <v>#REF!</v>
      </c>
      <c r="BO196" t="e">
        <f>AND(Exhibitor!#REF!,"AAAAAH/s+0I=")</f>
        <v>#REF!</v>
      </c>
      <c r="BP196" t="e">
        <f>AND(Exhibitor!#REF!,"AAAAAH/s+0M=")</f>
        <v>#REF!</v>
      </c>
      <c r="BQ196" t="e">
        <f>AND(Exhibitor!#REF!,"AAAAAH/s+0Q=")</f>
        <v>#REF!</v>
      </c>
      <c r="BR196" t="e">
        <f>AND(Exhibitor!#REF!,"AAAAAH/s+0U=")</f>
        <v>#REF!</v>
      </c>
      <c r="BS196" t="e">
        <f>AND(Exhibitor!#REF!,"AAAAAH/s+0Y=")</f>
        <v>#REF!</v>
      </c>
      <c r="BT196" t="e">
        <f>IF(Exhibitor!#REF!,"AAAAAH/s+0c=",0)</f>
        <v>#REF!</v>
      </c>
      <c r="BU196" t="e">
        <f>AND(Exhibitor!#REF!,"AAAAAH/s+0g=")</f>
        <v>#REF!</v>
      </c>
      <c r="BV196" t="e">
        <f>AND(Exhibitor!#REF!,"AAAAAH/s+0k=")</f>
        <v>#REF!</v>
      </c>
      <c r="BW196" t="e">
        <f>AND(Exhibitor!#REF!,"AAAAAH/s+0o=")</f>
        <v>#REF!</v>
      </c>
      <c r="BX196" t="e">
        <f>AND(Exhibitor!#REF!,"AAAAAH/s+0s=")</f>
        <v>#REF!</v>
      </c>
      <c r="BY196" t="e">
        <f>AND(Exhibitor!#REF!,"AAAAAH/s+0w=")</f>
        <v>#REF!</v>
      </c>
      <c r="BZ196" t="e">
        <f>AND(Exhibitor!#REF!,"AAAAAH/s+00=")</f>
        <v>#REF!</v>
      </c>
      <c r="CA196" t="e">
        <f>AND(Exhibitor!#REF!,"AAAAAH/s+04=")</f>
        <v>#REF!</v>
      </c>
      <c r="CB196" t="e">
        <f>AND(Exhibitor!#REF!,"AAAAAH/s+08=")</f>
        <v>#REF!</v>
      </c>
      <c r="CC196" t="e">
        <f>AND(Exhibitor!#REF!,"AAAAAH/s+1A=")</f>
        <v>#REF!</v>
      </c>
      <c r="CD196" t="e">
        <f>AND(Exhibitor!#REF!,"AAAAAH/s+1E=")</f>
        <v>#REF!</v>
      </c>
      <c r="CE196" t="e">
        <f>AND(Exhibitor!#REF!,"AAAAAH/s+1I=")</f>
        <v>#REF!</v>
      </c>
      <c r="CF196" t="e">
        <f>AND(Exhibitor!#REF!,"AAAAAH/s+1M=")</f>
        <v>#REF!</v>
      </c>
      <c r="CG196" t="e">
        <f>AND(Exhibitor!#REF!,"AAAAAH/s+1Q=")</f>
        <v>#REF!</v>
      </c>
      <c r="CH196" t="e">
        <f>IF(Exhibitor!#REF!,"AAAAAH/s+1U=",0)</f>
        <v>#REF!</v>
      </c>
      <c r="CI196" t="e">
        <f>AND(Exhibitor!#REF!,"AAAAAH/s+1Y=")</f>
        <v>#REF!</v>
      </c>
      <c r="CJ196" t="e">
        <f>AND(Exhibitor!#REF!,"AAAAAH/s+1c=")</f>
        <v>#REF!</v>
      </c>
      <c r="CK196" t="e">
        <f>AND(Exhibitor!#REF!,"AAAAAH/s+1g=")</f>
        <v>#REF!</v>
      </c>
      <c r="CL196" t="e">
        <f>AND(Exhibitor!#REF!,"AAAAAH/s+1k=")</f>
        <v>#REF!</v>
      </c>
      <c r="CM196" t="e">
        <f>AND(Exhibitor!#REF!,"AAAAAH/s+1o=")</f>
        <v>#REF!</v>
      </c>
      <c r="CN196" t="e">
        <f>AND(Exhibitor!#REF!,"AAAAAH/s+1s=")</f>
        <v>#REF!</v>
      </c>
      <c r="CO196" t="e">
        <f>AND(Exhibitor!#REF!,"AAAAAH/s+1w=")</f>
        <v>#REF!</v>
      </c>
      <c r="CP196" t="e">
        <f>AND(Exhibitor!#REF!,"AAAAAH/s+10=")</f>
        <v>#REF!</v>
      </c>
      <c r="CQ196" t="e">
        <f>AND(Exhibitor!#REF!,"AAAAAH/s+14=")</f>
        <v>#REF!</v>
      </c>
      <c r="CR196" t="e">
        <f>AND(Exhibitor!#REF!,"AAAAAH/s+18=")</f>
        <v>#REF!</v>
      </c>
      <c r="CS196" t="e">
        <f>AND(Exhibitor!#REF!,"AAAAAH/s+2A=")</f>
        <v>#REF!</v>
      </c>
      <c r="CT196" t="e">
        <f>AND(Exhibitor!#REF!,"AAAAAH/s+2E=")</f>
        <v>#REF!</v>
      </c>
      <c r="CU196" t="e">
        <f>AND(Exhibitor!#REF!,"AAAAAH/s+2I=")</f>
        <v>#REF!</v>
      </c>
      <c r="CV196" t="e">
        <f>IF(Exhibitor!#REF!,"AAAAAH/s+2M=",0)</f>
        <v>#REF!</v>
      </c>
      <c r="CW196" t="e">
        <f>AND(Exhibitor!#REF!,"AAAAAH/s+2Q=")</f>
        <v>#REF!</v>
      </c>
      <c r="CX196" t="e">
        <f>AND(Exhibitor!#REF!,"AAAAAH/s+2U=")</f>
        <v>#REF!</v>
      </c>
      <c r="CY196" t="e">
        <f>AND(Exhibitor!#REF!,"AAAAAH/s+2Y=")</f>
        <v>#REF!</v>
      </c>
      <c r="CZ196" t="e">
        <f>AND(Exhibitor!#REF!,"AAAAAH/s+2c=")</f>
        <v>#REF!</v>
      </c>
      <c r="DA196" t="e">
        <f>AND(Exhibitor!#REF!,"AAAAAH/s+2g=")</f>
        <v>#REF!</v>
      </c>
      <c r="DB196" t="e">
        <f>AND(Exhibitor!#REF!,"AAAAAH/s+2k=")</f>
        <v>#REF!</v>
      </c>
      <c r="DC196" t="e">
        <f>AND(Exhibitor!#REF!,"AAAAAH/s+2o=")</f>
        <v>#REF!</v>
      </c>
      <c r="DD196" t="e">
        <f>AND(Exhibitor!#REF!,"AAAAAH/s+2s=")</f>
        <v>#REF!</v>
      </c>
      <c r="DE196" t="e">
        <f>AND(Exhibitor!#REF!,"AAAAAH/s+2w=")</f>
        <v>#REF!</v>
      </c>
      <c r="DF196" t="e">
        <f>AND(Exhibitor!#REF!,"AAAAAH/s+20=")</f>
        <v>#REF!</v>
      </c>
      <c r="DG196" t="e">
        <f>AND(Exhibitor!#REF!,"AAAAAH/s+24=")</f>
        <v>#REF!</v>
      </c>
      <c r="DH196" t="e">
        <f>AND(Exhibitor!#REF!,"AAAAAH/s+28=")</f>
        <v>#REF!</v>
      </c>
      <c r="DI196" t="e">
        <f>AND(Exhibitor!#REF!,"AAAAAH/s+3A=")</f>
        <v>#REF!</v>
      </c>
      <c r="DJ196" t="e">
        <f>IF(Exhibitor!#REF!,"AAAAAH/s+3E=",0)</f>
        <v>#REF!</v>
      </c>
      <c r="DK196" t="e">
        <f>AND(Exhibitor!#REF!,"AAAAAH/s+3I=")</f>
        <v>#REF!</v>
      </c>
      <c r="DL196" t="e">
        <f>AND(Exhibitor!#REF!,"AAAAAH/s+3M=")</f>
        <v>#REF!</v>
      </c>
      <c r="DM196" t="e">
        <f>AND(Exhibitor!#REF!,"AAAAAH/s+3Q=")</f>
        <v>#REF!</v>
      </c>
      <c r="DN196" t="e">
        <f>AND(Exhibitor!#REF!,"AAAAAH/s+3U=")</f>
        <v>#REF!</v>
      </c>
      <c r="DO196" t="e">
        <f>AND(Exhibitor!#REF!,"AAAAAH/s+3Y=")</f>
        <v>#REF!</v>
      </c>
      <c r="DP196" t="e">
        <f>AND(Exhibitor!#REF!,"AAAAAH/s+3c=")</f>
        <v>#REF!</v>
      </c>
      <c r="DQ196" t="e">
        <f>AND(Exhibitor!#REF!,"AAAAAH/s+3g=")</f>
        <v>#REF!</v>
      </c>
      <c r="DR196" t="e">
        <f>AND(Exhibitor!#REF!,"AAAAAH/s+3k=")</f>
        <v>#REF!</v>
      </c>
      <c r="DS196" t="e">
        <f>AND(Exhibitor!#REF!,"AAAAAH/s+3o=")</f>
        <v>#REF!</v>
      </c>
      <c r="DT196" t="e">
        <f>AND(Exhibitor!#REF!,"AAAAAH/s+3s=")</f>
        <v>#REF!</v>
      </c>
      <c r="DU196" t="e">
        <f>AND(Exhibitor!#REF!,"AAAAAH/s+3w=")</f>
        <v>#REF!</v>
      </c>
      <c r="DV196" t="e">
        <f>AND(Exhibitor!#REF!,"AAAAAH/s+30=")</f>
        <v>#REF!</v>
      </c>
      <c r="DW196" t="e">
        <f>AND(Exhibitor!#REF!,"AAAAAH/s+34=")</f>
        <v>#REF!</v>
      </c>
      <c r="DX196" t="e">
        <f>IF(Exhibitor!#REF!,"AAAAAH/s+38=",0)</f>
        <v>#REF!</v>
      </c>
      <c r="DY196" t="e">
        <f>AND(Exhibitor!#REF!,"AAAAAH/s+4A=")</f>
        <v>#REF!</v>
      </c>
      <c r="DZ196" t="e">
        <f>AND(Exhibitor!#REF!,"AAAAAH/s+4E=")</f>
        <v>#REF!</v>
      </c>
      <c r="EA196" t="e">
        <f>AND(Exhibitor!#REF!,"AAAAAH/s+4I=")</f>
        <v>#REF!</v>
      </c>
      <c r="EB196" t="e">
        <f>AND(Exhibitor!#REF!,"AAAAAH/s+4M=")</f>
        <v>#REF!</v>
      </c>
      <c r="EC196" t="e">
        <f>AND(Exhibitor!#REF!,"AAAAAH/s+4Q=")</f>
        <v>#REF!</v>
      </c>
      <c r="ED196" t="e">
        <f>AND(Exhibitor!#REF!,"AAAAAH/s+4U=")</f>
        <v>#REF!</v>
      </c>
      <c r="EE196" t="e">
        <f>AND(Exhibitor!#REF!,"AAAAAH/s+4Y=")</f>
        <v>#REF!</v>
      </c>
      <c r="EF196" t="e">
        <f>AND(Exhibitor!#REF!,"AAAAAH/s+4c=")</f>
        <v>#REF!</v>
      </c>
      <c r="EG196" t="e">
        <f>AND(Exhibitor!#REF!,"AAAAAH/s+4g=")</f>
        <v>#REF!</v>
      </c>
      <c r="EH196" t="e">
        <f>AND(Exhibitor!#REF!,"AAAAAH/s+4k=")</f>
        <v>#REF!</v>
      </c>
      <c r="EI196" t="e">
        <f>AND(Exhibitor!#REF!,"AAAAAH/s+4o=")</f>
        <v>#REF!</v>
      </c>
      <c r="EJ196" t="e">
        <f>AND(Exhibitor!#REF!,"AAAAAH/s+4s=")</f>
        <v>#REF!</v>
      </c>
      <c r="EK196" t="e">
        <f>AND(Exhibitor!#REF!,"AAAAAH/s+4w=")</f>
        <v>#REF!</v>
      </c>
      <c r="EL196" t="e">
        <f>IF(Exhibitor!#REF!,"AAAAAH/s+40=",0)</f>
        <v>#REF!</v>
      </c>
      <c r="EM196" t="e">
        <f>AND(Exhibitor!#REF!,"AAAAAH/s+44=")</f>
        <v>#REF!</v>
      </c>
      <c r="EN196" t="e">
        <f>AND(Exhibitor!#REF!,"AAAAAH/s+48=")</f>
        <v>#REF!</v>
      </c>
      <c r="EO196" t="e">
        <f>AND(Exhibitor!#REF!,"AAAAAH/s+5A=")</f>
        <v>#REF!</v>
      </c>
      <c r="EP196" t="e">
        <f>AND(Exhibitor!#REF!,"AAAAAH/s+5E=")</f>
        <v>#REF!</v>
      </c>
      <c r="EQ196" t="e">
        <f>AND(Exhibitor!#REF!,"AAAAAH/s+5I=")</f>
        <v>#REF!</v>
      </c>
      <c r="ER196" t="e">
        <f>AND(Exhibitor!#REF!,"AAAAAH/s+5M=")</f>
        <v>#REF!</v>
      </c>
      <c r="ES196" t="e">
        <f>AND(Exhibitor!#REF!,"AAAAAH/s+5Q=")</f>
        <v>#REF!</v>
      </c>
      <c r="ET196" t="e">
        <f>AND(Exhibitor!#REF!,"AAAAAH/s+5U=")</f>
        <v>#REF!</v>
      </c>
      <c r="EU196" t="e">
        <f>AND(Exhibitor!#REF!,"AAAAAH/s+5Y=")</f>
        <v>#REF!</v>
      </c>
      <c r="EV196" t="e">
        <f>AND(Exhibitor!#REF!,"AAAAAH/s+5c=")</f>
        <v>#REF!</v>
      </c>
      <c r="EW196" t="e">
        <f>AND(Exhibitor!#REF!,"AAAAAH/s+5g=")</f>
        <v>#REF!</v>
      </c>
      <c r="EX196" t="e">
        <f>AND(Exhibitor!#REF!,"AAAAAH/s+5k=")</f>
        <v>#REF!</v>
      </c>
      <c r="EY196" t="e">
        <f>AND(Exhibitor!#REF!,"AAAAAH/s+5o=")</f>
        <v>#REF!</v>
      </c>
      <c r="EZ196" t="e">
        <f>IF(Exhibitor!#REF!,"AAAAAH/s+5s=",0)</f>
        <v>#REF!</v>
      </c>
      <c r="FA196" t="e">
        <f>AND(Exhibitor!#REF!,"AAAAAH/s+5w=")</f>
        <v>#REF!</v>
      </c>
      <c r="FB196" t="e">
        <f>AND(Exhibitor!#REF!,"AAAAAH/s+50=")</f>
        <v>#REF!</v>
      </c>
      <c r="FC196" t="e">
        <f>AND(Exhibitor!#REF!,"AAAAAH/s+54=")</f>
        <v>#REF!</v>
      </c>
      <c r="FD196" t="e">
        <f>AND(Exhibitor!#REF!,"AAAAAH/s+58=")</f>
        <v>#REF!</v>
      </c>
      <c r="FE196" t="e">
        <f>AND(Exhibitor!#REF!,"AAAAAH/s+6A=")</f>
        <v>#REF!</v>
      </c>
      <c r="FF196" t="e">
        <f>AND(Exhibitor!#REF!,"AAAAAH/s+6E=")</f>
        <v>#REF!</v>
      </c>
      <c r="FG196" t="e">
        <f>AND(Exhibitor!#REF!,"AAAAAH/s+6I=")</f>
        <v>#REF!</v>
      </c>
      <c r="FH196" t="e">
        <f>AND(Exhibitor!#REF!,"AAAAAH/s+6M=")</f>
        <v>#REF!</v>
      </c>
      <c r="FI196" t="e">
        <f>AND(Exhibitor!#REF!,"AAAAAH/s+6Q=")</f>
        <v>#REF!</v>
      </c>
      <c r="FJ196" t="e">
        <f>AND(Exhibitor!#REF!,"AAAAAH/s+6U=")</f>
        <v>#REF!</v>
      </c>
      <c r="FK196" t="e">
        <f>AND(Exhibitor!#REF!,"AAAAAH/s+6Y=")</f>
        <v>#REF!</v>
      </c>
      <c r="FL196" t="e">
        <f>AND(Exhibitor!#REF!,"AAAAAH/s+6c=")</f>
        <v>#REF!</v>
      </c>
      <c r="FM196" t="e">
        <f>AND(Exhibitor!#REF!,"AAAAAH/s+6g=")</f>
        <v>#REF!</v>
      </c>
      <c r="FN196" t="e">
        <f>IF(Exhibitor!#REF!,"AAAAAH/s+6k=",0)</f>
        <v>#REF!</v>
      </c>
      <c r="FO196" t="e">
        <f>AND(Exhibitor!#REF!,"AAAAAH/s+6o=")</f>
        <v>#REF!</v>
      </c>
      <c r="FP196" t="e">
        <f>AND(Exhibitor!#REF!,"AAAAAH/s+6s=")</f>
        <v>#REF!</v>
      </c>
      <c r="FQ196" t="e">
        <f>AND(Exhibitor!#REF!,"AAAAAH/s+6w=")</f>
        <v>#REF!</v>
      </c>
      <c r="FR196" t="e">
        <f>AND(Exhibitor!#REF!,"AAAAAH/s+60=")</f>
        <v>#REF!</v>
      </c>
      <c r="FS196" t="e">
        <f>AND(Exhibitor!#REF!,"AAAAAH/s+64=")</f>
        <v>#REF!</v>
      </c>
      <c r="FT196" t="e">
        <f>AND(Exhibitor!#REF!,"AAAAAH/s+68=")</f>
        <v>#REF!</v>
      </c>
      <c r="FU196" t="e">
        <f>AND(Exhibitor!#REF!,"AAAAAH/s+7A=")</f>
        <v>#REF!</v>
      </c>
      <c r="FV196" t="e">
        <f>AND(Exhibitor!#REF!,"AAAAAH/s+7E=")</f>
        <v>#REF!</v>
      </c>
      <c r="FW196" t="e">
        <f>AND(Exhibitor!#REF!,"AAAAAH/s+7I=")</f>
        <v>#REF!</v>
      </c>
      <c r="FX196" t="e">
        <f>AND(Exhibitor!#REF!,"AAAAAH/s+7M=")</f>
        <v>#REF!</v>
      </c>
      <c r="FY196" t="e">
        <f>AND(Exhibitor!#REF!,"AAAAAH/s+7Q=")</f>
        <v>#REF!</v>
      </c>
      <c r="FZ196" t="e">
        <f>AND(Exhibitor!#REF!,"AAAAAH/s+7U=")</f>
        <v>#REF!</v>
      </c>
      <c r="GA196" t="e">
        <f>AND(Exhibitor!#REF!,"AAAAAH/s+7Y=")</f>
        <v>#REF!</v>
      </c>
      <c r="GB196" t="e">
        <f>IF(Exhibitor!#REF!,"AAAAAH/s+7c=",0)</f>
        <v>#REF!</v>
      </c>
      <c r="GC196" t="e">
        <f>AND(Exhibitor!#REF!,"AAAAAH/s+7g=")</f>
        <v>#REF!</v>
      </c>
      <c r="GD196" t="e">
        <f>AND(Exhibitor!#REF!,"AAAAAH/s+7k=")</f>
        <v>#REF!</v>
      </c>
      <c r="GE196" t="e">
        <f>AND(Exhibitor!#REF!,"AAAAAH/s+7o=")</f>
        <v>#REF!</v>
      </c>
      <c r="GF196" t="e">
        <f>AND(Exhibitor!#REF!,"AAAAAH/s+7s=")</f>
        <v>#REF!</v>
      </c>
      <c r="GG196" t="e">
        <f>AND(Exhibitor!#REF!,"AAAAAH/s+7w=")</f>
        <v>#REF!</v>
      </c>
      <c r="GH196" t="e">
        <f>AND(Exhibitor!#REF!,"AAAAAH/s+70=")</f>
        <v>#REF!</v>
      </c>
      <c r="GI196" t="e">
        <f>AND(Exhibitor!#REF!,"AAAAAH/s+74=")</f>
        <v>#REF!</v>
      </c>
      <c r="GJ196" t="e">
        <f>AND(Exhibitor!#REF!,"AAAAAH/s+78=")</f>
        <v>#REF!</v>
      </c>
      <c r="GK196" t="e">
        <f>AND(Exhibitor!#REF!,"AAAAAH/s+8A=")</f>
        <v>#REF!</v>
      </c>
      <c r="GL196" t="e">
        <f>AND(Exhibitor!#REF!,"AAAAAH/s+8E=")</f>
        <v>#REF!</v>
      </c>
      <c r="GM196" t="e">
        <f>AND(Exhibitor!#REF!,"AAAAAH/s+8I=")</f>
        <v>#REF!</v>
      </c>
      <c r="GN196" t="e">
        <f>AND(Exhibitor!#REF!,"AAAAAH/s+8M=")</f>
        <v>#REF!</v>
      </c>
      <c r="GO196" t="e">
        <f>AND(Exhibitor!#REF!,"AAAAAH/s+8Q=")</f>
        <v>#REF!</v>
      </c>
      <c r="GP196" t="e">
        <f>IF(Exhibitor!#REF!,"AAAAAH/s+8U=",0)</f>
        <v>#REF!</v>
      </c>
      <c r="GQ196" t="e">
        <f>AND(Exhibitor!#REF!,"AAAAAH/s+8Y=")</f>
        <v>#REF!</v>
      </c>
      <c r="GR196" t="e">
        <f>AND(Exhibitor!#REF!,"AAAAAH/s+8c=")</f>
        <v>#REF!</v>
      </c>
      <c r="GS196" t="e">
        <f>AND(Exhibitor!#REF!,"AAAAAH/s+8g=")</f>
        <v>#REF!</v>
      </c>
      <c r="GT196" t="e">
        <f>AND(Exhibitor!#REF!,"AAAAAH/s+8k=")</f>
        <v>#REF!</v>
      </c>
      <c r="GU196" t="e">
        <f>AND(Exhibitor!#REF!,"AAAAAH/s+8o=")</f>
        <v>#REF!</v>
      </c>
      <c r="GV196" t="e">
        <f>AND(Exhibitor!#REF!,"AAAAAH/s+8s=")</f>
        <v>#REF!</v>
      </c>
      <c r="GW196" t="e">
        <f>AND(Exhibitor!#REF!,"AAAAAH/s+8w=")</f>
        <v>#REF!</v>
      </c>
      <c r="GX196" t="e">
        <f>AND(Exhibitor!#REF!,"AAAAAH/s+80=")</f>
        <v>#REF!</v>
      </c>
      <c r="GY196" t="e">
        <f>AND(Exhibitor!#REF!,"AAAAAH/s+84=")</f>
        <v>#REF!</v>
      </c>
      <c r="GZ196" t="e">
        <f>AND(Exhibitor!#REF!,"AAAAAH/s+88=")</f>
        <v>#REF!</v>
      </c>
      <c r="HA196" t="e">
        <f>AND(Exhibitor!#REF!,"AAAAAH/s+9A=")</f>
        <v>#REF!</v>
      </c>
      <c r="HB196" t="e">
        <f>AND(Exhibitor!#REF!,"AAAAAH/s+9E=")</f>
        <v>#REF!</v>
      </c>
      <c r="HC196" t="e">
        <f>AND(Exhibitor!#REF!,"AAAAAH/s+9I=")</f>
        <v>#REF!</v>
      </c>
      <c r="HD196" t="e">
        <f>IF(Exhibitor!#REF!,"AAAAAH/s+9M=",0)</f>
        <v>#REF!</v>
      </c>
      <c r="HE196" t="e">
        <f>AND(Exhibitor!#REF!,"AAAAAH/s+9Q=")</f>
        <v>#REF!</v>
      </c>
      <c r="HF196" t="e">
        <f>AND(Exhibitor!#REF!,"AAAAAH/s+9U=")</f>
        <v>#REF!</v>
      </c>
      <c r="HG196" t="e">
        <f>AND(Exhibitor!#REF!,"AAAAAH/s+9Y=")</f>
        <v>#REF!</v>
      </c>
      <c r="HH196" t="e">
        <f>AND(Exhibitor!#REF!,"AAAAAH/s+9c=")</f>
        <v>#REF!</v>
      </c>
      <c r="HI196" t="e">
        <f>AND(Exhibitor!#REF!,"AAAAAH/s+9g=")</f>
        <v>#REF!</v>
      </c>
      <c r="HJ196" t="e">
        <f>AND(Exhibitor!#REF!,"AAAAAH/s+9k=")</f>
        <v>#REF!</v>
      </c>
      <c r="HK196" t="e">
        <f>AND(Exhibitor!#REF!,"AAAAAH/s+9o=")</f>
        <v>#REF!</v>
      </c>
      <c r="HL196" t="e">
        <f>AND(Exhibitor!#REF!,"AAAAAH/s+9s=")</f>
        <v>#REF!</v>
      </c>
      <c r="HM196" t="e">
        <f>AND(Exhibitor!#REF!,"AAAAAH/s+9w=")</f>
        <v>#REF!</v>
      </c>
      <c r="HN196" t="e">
        <f>AND(Exhibitor!#REF!,"AAAAAH/s+90=")</f>
        <v>#REF!</v>
      </c>
      <c r="HO196" t="e">
        <f>AND(Exhibitor!#REF!,"AAAAAH/s+94=")</f>
        <v>#REF!</v>
      </c>
      <c r="HP196" t="e">
        <f>AND(Exhibitor!#REF!,"AAAAAH/s+98=")</f>
        <v>#REF!</v>
      </c>
      <c r="HQ196" t="e">
        <f>AND(Exhibitor!#REF!,"AAAAAH/s++A=")</f>
        <v>#REF!</v>
      </c>
      <c r="HR196" t="e">
        <f>IF(Exhibitor!#REF!,"AAAAAH/s++E=",0)</f>
        <v>#REF!</v>
      </c>
      <c r="HS196" t="e">
        <f>AND(Exhibitor!#REF!,"AAAAAH/s++I=")</f>
        <v>#REF!</v>
      </c>
      <c r="HT196" t="e">
        <f>AND(Exhibitor!#REF!,"AAAAAH/s++M=")</f>
        <v>#REF!</v>
      </c>
      <c r="HU196" t="e">
        <f>AND(Exhibitor!#REF!,"AAAAAH/s++Q=")</f>
        <v>#REF!</v>
      </c>
      <c r="HV196" t="e">
        <f>AND(Exhibitor!#REF!,"AAAAAH/s++U=")</f>
        <v>#REF!</v>
      </c>
      <c r="HW196" t="e">
        <f>AND(Exhibitor!#REF!,"AAAAAH/s++Y=")</f>
        <v>#REF!</v>
      </c>
      <c r="HX196" t="e">
        <f>AND(Exhibitor!#REF!,"AAAAAH/s++c=")</f>
        <v>#REF!</v>
      </c>
      <c r="HY196" t="e">
        <f>AND(Exhibitor!#REF!,"AAAAAH/s++g=")</f>
        <v>#REF!</v>
      </c>
      <c r="HZ196" t="e">
        <f>AND(Exhibitor!#REF!,"AAAAAH/s++k=")</f>
        <v>#REF!</v>
      </c>
      <c r="IA196" t="e">
        <f>AND(Exhibitor!#REF!,"AAAAAH/s++o=")</f>
        <v>#REF!</v>
      </c>
      <c r="IB196" t="e">
        <f>AND(Exhibitor!#REF!,"AAAAAH/s++s=")</f>
        <v>#REF!</v>
      </c>
      <c r="IC196" t="e">
        <f>AND(Exhibitor!#REF!,"AAAAAH/s++w=")</f>
        <v>#REF!</v>
      </c>
      <c r="ID196" t="e">
        <f>AND(Exhibitor!#REF!,"AAAAAH/s++0=")</f>
        <v>#REF!</v>
      </c>
      <c r="IE196" t="e">
        <f>AND(Exhibitor!#REF!,"AAAAAH/s++4=")</f>
        <v>#REF!</v>
      </c>
      <c r="IF196" t="e">
        <f>IF(Exhibitor!#REF!,"AAAAAH/s++8=",0)</f>
        <v>#REF!</v>
      </c>
      <c r="IG196" t="e">
        <f>AND(Exhibitor!#REF!,"AAAAAH/s+/A=")</f>
        <v>#REF!</v>
      </c>
      <c r="IH196" t="e">
        <f>AND(Exhibitor!#REF!,"AAAAAH/s+/E=")</f>
        <v>#REF!</v>
      </c>
      <c r="II196" t="e">
        <f>AND(Exhibitor!#REF!,"AAAAAH/s+/I=")</f>
        <v>#REF!</v>
      </c>
      <c r="IJ196" t="e">
        <f>AND(Exhibitor!#REF!,"AAAAAH/s+/M=")</f>
        <v>#REF!</v>
      </c>
      <c r="IK196" t="e">
        <f>AND(Exhibitor!#REF!,"AAAAAH/s+/Q=")</f>
        <v>#REF!</v>
      </c>
      <c r="IL196" t="e">
        <f>AND(Exhibitor!#REF!,"AAAAAH/s+/U=")</f>
        <v>#REF!</v>
      </c>
      <c r="IM196" t="e">
        <f>AND(Exhibitor!#REF!,"AAAAAH/s+/Y=")</f>
        <v>#REF!</v>
      </c>
      <c r="IN196" t="e">
        <f>AND(Exhibitor!#REF!,"AAAAAH/s+/c=")</f>
        <v>#REF!</v>
      </c>
      <c r="IO196" t="e">
        <f>AND(Exhibitor!#REF!,"AAAAAH/s+/g=")</f>
        <v>#REF!</v>
      </c>
      <c r="IP196" t="e">
        <f>AND(Exhibitor!#REF!,"AAAAAH/s+/k=")</f>
        <v>#REF!</v>
      </c>
      <c r="IQ196" t="e">
        <f>AND(Exhibitor!#REF!,"AAAAAH/s+/o=")</f>
        <v>#REF!</v>
      </c>
      <c r="IR196" t="e">
        <f>AND(Exhibitor!#REF!,"AAAAAH/s+/s=")</f>
        <v>#REF!</v>
      </c>
      <c r="IS196" t="e">
        <f>AND(Exhibitor!#REF!,"AAAAAH/s+/w=")</f>
        <v>#REF!</v>
      </c>
      <c r="IT196" t="e">
        <f>IF(Exhibitor!#REF!,"AAAAAH/s+/0=",0)</f>
        <v>#REF!</v>
      </c>
      <c r="IU196" t="e">
        <f>AND(Exhibitor!#REF!,"AAAAAH/s+/4=")</f>
        <v>#REF!</v>
      </c>
      <c r="IV196" t="e">
        <f>AND(Exhibitor!#REF!,"AAAAAH/s+/8=")</f>
        <v>#REF!</v>
      </c>
    </row>
    <row r="197" spans="1:256" x14ac:dyDescent="0.2">
      <c r="A197" t="e">
        <f>AND(Exhibitor!#REF!,"AAAAAH//PwA=")</f>
        <v>#REF!</v>
      </c>
      <c r="B197" t="e">
        <f>AND(Exhibitor!#REF!,"AAAAAH//PwE=")</f>
        <v>#REF!</v>
      </c>
      <c r="C197" t="e">
        <f>AND(Exhibitor!#REF!,"AAAAAH//PwI=")</f>
        <v>#REF!</v>
      </c>
      <c r="D197" t="e">
        <f>AND(Exhibitor!#REF!,"AAAAAH//PwM=")</f>
        <v>#REF!</v>
      </c>
      <c r="E197" t="e">
        <f>AND(Exhibitor!#REF!,"AAAAAH//PwQ=")</f>
        <v>#REF!</v>
      </c>
      <c r="F197" t="e">
        <f>AND(Exhibitor!#REF!,"AAAAAH//PwU=")</f>
        <v>#REF!</v>
      </c>
      <c r="G197" t="e">
        <f>AND(Exhibitor!#REF!,"AAAAAH//PwY=")</f>
        <v>#REF!</v>
      </c>
      <c r="H197" t="e">
        <f>AND(Exhibitor!#REF!,"AAAAAH//Pwc=")</f>
        <v>#REF!</v>
      </c>
      <c r="I197" t="e">
        <f>AND(Exhibitor!#REF!,"AAAAAH//Pwg=")</f>
        <v>#REF!</v>
      </c>
      <c r="J197" t="e">
        <f>AND(Exhibitor!#REF!,"AAAAAH//Pwk=")</f>
        <v>#REF!</v>
      </c>
      <c r="K197" t="e">
        <f>AND(Exhibitor!#REF!,"AAAAAH//Pwo=")</f>
        <v>#REF!</v>
      </c>
      <c r="L197" t="e">
        <f>IF(Exhibitor!#REF!,"AAAAAH//Pws=",0)</f>
        <v>#REF!</v>
      </c>
      <c r="M197" t="e">
        <f>AND(Exhibitor!#REF!,"AAAAAH//Pww=")</f>
        <v>#REF!</v>
      </c>
      <c r="N197" t="e">
        <f>AND(Exhibitor!#REF!,"AAAAAH//Pw0=")</f>
        <v>#REF!</v>
      </c>
      <c r="O197" t="e">
        <f>AND(Exhibitor!#REF!,"AAAAAH//Pw4=")</f>
        <v>#REF!</v>
      </c>
      <c r="P197" t="e">
        <f>AND(Exhibitor!#REF!,"AAAAAH//Pw8=")</f>
        <v>#REF!</v>
      </c>
      <c r="Q197" t="e">
        <f>AND(Exhibitor!#REF!,"AAAAAH//PxA=")</f>
        <v>#REF!</v>
      </c>
      <c r="R197" t="e">
        <f>AND(Exhibitor!#REF!,"AAAAAH//PxE=")</f>
        <v>#REF!</v>
      </c>
      <c r="S197" t="e">
        <f>AND(Exhibitor!#REF!,"AAAAAH//PxI=")</f>
        <v>#REF!</v>
      </c>
      <c r="T197" t="e">
        <f>AND(Exhibitor!#REF!,"AAAAAH//PxM=")</f>
        <v>#REF!</v>
      </c>
      <c r="U197" t="e">
        <f>AND(Exhibitor!#REF!,"AAAAAH//PxQ=")</f>
        <v>#REF!</v>
      </c>
      <c r="V197" t="e">
        <f>AND(Exhibitor!#REF!,"AAAAAH//PxU=")</f>
        <v>#REF!</v>
      </c>
      <c r="W197" t="e">
        <f>AND(Exhibitor!#REF!,"AAAAAH//PxY=")</f>
        <v>#REF!</v>
      </c>
      <c r="X197" t="e">
        <f>AND(Exhibitor!#REF!,"AAAAAH//Pxc=")</f>
        <v>#REF!</v>
      </c>
      <c r="Y197" t="e">
        <f>AND(Exhibitor!#REF!,"AAAAAH//Pxg=")</f>
        <v>#REF!</v>
      </c>
      <c r="Z197" t="e">
        <f>IF(Exhibitor!#REF!,"AAAAAH//Pxk=",0)</f>
        <v>#REF!</v>
      </c>
      <c r="AA197" t="e">
        <f>AND(Exhibitor!#REF!,"AAAAAH//Pxo=")</f>
        <v>#REF!</v>
      </c>
      <c r="AB197" t="e">
        <f>AND(Exhibitor!#REF!,"AAAAAH//Pxs=")</f>
        <v>#REF!</v>
      </c>
      <c r="AC197" t="e">
        <f>AND(Exhibitor!#REF!,"AAAAAH//Pxw=")</f>
        <v>#REF!</v>
      </c>
      <c r="AD197" t="e">
        <f>AND(Exhibitor!#REF!,"AAAAAH//Px0=")</f>
        <v>#REF!</v>
      </c>
      <c r="AE197" t="e">
        <f>AND(Exhibitor!#REF!,"AAAAAH//Px4=")</f>
        <v>#REF!</v>
      </c>
      <c r="AF197" t="e">
        <f>AND(Exhibitor!#REF!,"AAAAAH//Px8=")</f>
        <v>#REF!</v>
      </c>
      <c r="AG197" t="e">
        <f>AND(Exhibitor!#REF!,"AAAAAH//PyA=")</f>
        <v>#REF!</v>
      </c>
      <c r="AH197" t="e">
        <f>AND(Exhibitor!#REF!,"AAAAAH//PyE=")</f>
        <v>#REF!</v>
      </c>
      <c r="AI197" t="e">
        <f>AND(Exhibitor!#REF!,"AAAAAH//PyI=")</f>
        <v>#REF!</v>
      </c>
      <c r="AJ197" t="e">
        <f>AND(Exhibitor!#REF!,"AAAAAH//PyM=")</f>
        <v>#REF!</v>
      </c>
      <c r="AK197" t="e">
        <f>AND(Exhibitor!#REF!,"AAAAAH//PyQ=")</f>
        <v>#REF!</v>
      </c>
      <c r="AL197" t="e">
        <f>AND(Exhibitor!#REF!,"AAAAAH//PyU=")</f>
        <v>#REF!</v>
      </c>
      <c r="AM197" t="e">
        <f>AND(Exhibitor!#REF!,"AAAAAH//PyY=")</f>
        <v>#REF!</v>
      </c>
      <c r="AN197" t="e">
        <f>IF(Exhibitor!#REF!,"AAAAAH//Pyc=",0)</f>
        <v>#REF!</v>
      </c>
      <c r="AO197" t="e">
        <f>AND(Exhibitor!#REF!,"AAAAAH//Pyg=")</f>
        <v>#REF!</v>
      </c>
      <c r="AP197" t="e">
        <f>AND(Exhibitor!#REF!,"AAAAAH//Pyk=")</f>
        <v>#REF!</v>
      </c>
      <c r="AQ197" t="e">
        <f>AND(Exhibitor!#REF!,"AAAAAH//Pyo=")</f>
        <v>#REF!</v>
      </c>
      <c r="AR197" t="e">
        <f>AND(Exhibitor!#REF!,"AAAAAH//Pys=")</f>
        <v>#REF!</v>
      </c>
      <c r="AS197" t="e">
        <f>AND(Exhibitor!#REF!,"AAAAAH//Pyw=")</f>
        <v>#REF!</v>
      </c>
      <c r="AT197" t="e">
        <f>AND(Exhibitor!#REF!,"AAAAAH//Py0=")</f>
        <v>#REF!</v>
      </c>
      <c r="AU197" t="e">
        <f>AND(Exhibitor!#REF!,"AAAAAH//Py4=")</f>
        <v>#REF!</v>
      </c>
      <c r="AV197" t="e">
        <f>AND(Exhibitor!#REF!,"AAAAAH//Py8=")</f>
        <v>#REF!</v>
      </c>
      <c r="AW197" t="e">
        <f>AND(Exhibitor!#REF!,"AAAAAH//PzA=")</f>
        <v>#REF!</v>
      </c>
      <c r="AX197" t="e">
        <f>AND(Exhibitor!#REF!,"AAAAAH//PzE=")</f>
        <v>#REF!</v>
      </c>
      <c r="AY197" t="e">
        <f>AND(Exhibitor!#REF!,"AAAAAH//PzI=")</f>
        <v>#REF!</v>
      </c>
      <c r="AZ197" t="e">
        <f>AND(Exhibitor!#REF!,"AAAAAH//PzM=")</f>
        <v>#REF!</v>
      </c>
      <c r="BA197" t="e">
        <f>AND(Exhibitor!#REF!,"AAAAAH//PzQ=")</f>
        <v>#REF!</v>
      </c>
      <c r="BB197" t="e">
        <f>IF(Exhibitor!#REF!,"AAAAAH//PzU=",0)</f>
        <v>#REF!</v>
      </c>
      <c r="BC197" t="e">
        <f>AND(Exhibitor!#REF!,"AAAAAH//PzY=")</f>
        <v>#REF!</v>
      </c>
      <c r="BD197" t="e">
        <f>AND(Exhibitor!#REF!,"AAAAAH//Pzc=")</f>
        <v>#REF!</v>
      </c>
      <c r="BE197" t="e">
        <f>AND(Exhibitor!#REF!,"AAAAAH//Pzg=")</f>
        <v>#REF!</v>
      </c>
      <c r="BF197" t="e">
        <f>AND(Exhibitor!#REF!,"AAAAAH//Pzk=")</f>
        <v>#REF!</v>
      </c>
      <c r="BG197" t="e">
        <f>AND(Exhibitor!#REF!,"AAAAAH//Pzo=")</f>
        <v>#REF!</v>
      </c>
      <c r="BH197" t="e">
        <f>AND(Exhibitor!#REF!,"AAAAAH//Pzs=")</f>
        <v>#REF!</v>
      </c>
      <c r="BI197" t="e">
        <f>AND(Exhibitor!#REF!,"AAAAAH//Pzw=")</f>
        <v>#REF!</v>
      </c>
      <c r="BJ197" t="e">
        <f>AND(Exhibitor!#REF!,"AAAAAH//Pz0=")</f>
        <v>#REF!</v>
      </c>
      <c r="BK197" t="e">
        <f>AND(Exhibitor!#REF!,"AAAAAH//Pz4=")</f>
        <v>#REF!</v>
      </c>
      <c r="BL197" t="e">
        <f>AND(Exhibitor!#REF!,"AAAAAH//Pz8=")</f>
        <v>#REF!</v>
      </c>
      <c r="BM197" t="e">
        <f>AND(Exhibitor!#REF!,"AAAAAH//P0A=")</f>
        <v>#REF!</v>
      </c>
      <c r="BN197" t="e">
        <f>AND(Exhibitor!#REF!,"AAAAAH//P0E=")</f>
        <v>#REF!</v>
      </c>
      <c r="BO197" t="e">
        <f>AND(Exhibitor!#REF!,"AAAAAH//P0I=")</f>
        <v>#REF!</v>
      </c>
      <c r="BP197" t="e">
        <f>IF(Exhibitor!#REF!,"AAAAAH//P0M=",0)</f>
        <v>#REF!</v>
      </c>
      <c r="BQ197" t="e">
        <f>AND(Exhibitor!#REF!,"AAAAAH//P0Q=")</f>
        <v>#REF!</v>
      </c>
      <c r="BR197" t="e">
        <f>AND(Exhibitor!#REF!,"AAAAAH//P0U=")</f>
        <v>#REF!</v>
      </c>
      <c r="BS197" t="e">
        <f>AND(Exhibitor!#REF!,"AAAAAH//P0Y=")</f>
        <v>#REF!</v>
      </c>
      <c r="BT197" t="e">
        <f>AND(Exhibitor!#REF!,"AAAAAH//P0c=")</f>
        <v>#REF!</v>
      </c>
      <c r="BU197" t="e">
        <f>AND(Exhibitor!#REF!,"AAAAAH//P0g=")</f>
        <v>#REF!</v>
      </c>
      <c r="BV197" t="e">
        <f>AND(Exhibitor!#REF!,"AAAAAH//P0k=")</f>
        <v>#REF!</v>
      </c>
      <c r="BW197" t="e">
        <f>AND(Exhibitor!#REF!,"AAAAAH//P0o=")</f>
        <v>#REF!</v>
      </c>
      <c r="BX197" t="e">
        <f>AND(Exhibitor!#REF!,"AAAAAH//P0s=")</f>
        <v>#REF!</v>
      </c>
      <c r="BY197" t="e">
        <f>AND(Exhibitor!#REF!,"AAAAAH//P0w=")</f>
        <v>#REF!</v>
      </c>
      <c r="BZ197" t="e">
        <f>AND(Exhibitor!#REF!,"AAAAAH//P00=")</f>
        <v>#REF!</v>
      </c>
      <c r="CA197" t="e">
        <f>AND(Exhibitor!#REF!,"AAAAAH//P04=")</f>
        <v>#REF!</v>
      </c>
      <c r="CB197" t="e">
        <f>AND(Exhibitor!#REF!,"AAAAAH//P08=")</f>
        <v>#REF!</v>
      </c>
      <c r="CC197" t="e">
        <f>AND(Exhibitor!#REF!,"AAAAAH//P1A=")</f>
        <v>#REF!</v>
      </c>
      <c r="CD197" t="e">
        <f>IF(Exhibitor!#REF!,"AAAAAH//P1E=",0)</f>
        <v>#REF!</v>
      </c>
      <c r="CE197" t="e">
        <f>AND(Exhibitor!#REF!,"AAAAAH//P1I=")</f>
        <v>#REF!</v>
      </c>
      <c r="CF197" t="e">
        <f>AND(Exhibitor!#REF!,"AAAAAH//P1M=")</f>
        <v>#REF!</v>
      </c>
      <c r="CG197" t="e">
        <f>AND(Exhibitor!#REF!,"AAAAAH//P1Q=")</f>
        <v>#REF!</v>
      </c>
      <c r="CH197" t="e">
        <f>AND(Exhibitor!#REF!,"AAAAAH//P1U=")</f>
        <v>#REF!</v>
      </c>
      <c r="CI197" t="e">
        <f>AND(Exhibitor!#REF!,"AAAAAH//P1Y=")</f>
        <v>#REF!</v>
      </c>
      <c r="CJ197" t="e">
        <f>AND(Exhibitor!#REF!,"AAAAAH//P1c=")</f>
        <v>#REF!</v>
      </c>
      <c r="CK197" t="e">
        <f>AND(Exhibitor!#REF!,"AAAAAH//P1g=")</f>
        <v>#REF!</v>
      </c>
      <c r="CL197" t="e">
        <f>AND(Exhibitor!#REF!,"AAAAAH//P1k=")</f>
        <v>#REF!</v>
      </c>
      <c r="CM197" t="e">
        <f>AND(Exhibitor!#REF!,"AAAAAH//P1o=")</f>
        <v>#REF!</v>
      </c>
      <c r="CN197" t="e">
        <f>AND(Exhibitor!#REF!,"AAAAAH//P1s=")</f>
        <v>#REF!</v>
      </c>
      <c r="CO197" t="e">
        <f>AND(Exhibitor!#REF!,"AAAAAH//P1w=")</f>
        <v>#REF!</v>
      </c>
      <c r="CP197" t="e">
        <f>AND(Exhibitor!#REF!,"AAAAAH//P10=")</f>
        <v>#REF!</v>
      </c>
      <c r="CQ197" t="e">
        <f>AND(Exhibitor!#REF!,"AAAAAH//P14=")</f>
        <v>#REF!</v>
      </c>
      <c r="CR197" t="e">
        <f>IF(Exhibitor!#REF!,"AAAAAH//P18=",0)</f>
        <v>#REF!</v>
      </c>
      <c r="CS197" t="e">
        <f>AND(Exhibitor!#REF!,"AAAAAH//P2A=")</f>
        <v>#REF!</v>
      </c>
      <c r="CT197" t="e">
        <f>AND(Exhibitor!#REF!,"AAAAAH//P2E=")</f>
        <v>#REF!</v>
      </c>
      <c r="CU197" t="e">
        <f>AND(Exhibitor!#REF!,"AAAAAH//P2I=")</f>
        <v>#REF!</v>
      </c>
      <c r="CV197" t="e">
        <f>AND(Exhibitor!#REF!,"AAAAAH//P2M=")</f>
        <v>#REF!</v>
      </c>
      <c r="CW197" t="e">
        <f>AND(Exhibitor!#REF!,"AAAAAH//P2Q=")</f>
        <v>#REF!</v>
      </c>
      <c r="CX197" t="e">
        <f>AND(Exhibitor!#REF!,"AAAAAH//P2U=")</f>
        <v>#REF!</v>
      </c>
      <c r="CY197" t="e">
        <f>AND(Exhibitor!#REF!,"AAAAAH//P2Y=")</f>
        <v>#REF!</v>
      </c>
      <c r="CZ197" t="e">
        <f>AND(Exhibitor!#REF!,"AAAAAH//P2c=")</f>
        <v>#REF!</v>
      </c>
      <c r="DA197" t="e">
        <f>AND(Exhibitor!#REF!,"AAAAAH//P2g=")</f>
        <v>#REF!</v>
      </c>
      <c r="DB197" t="e">
        <f>AND(Exhibitor!#REF!,"AAAAAH//P2k=")</f>
        <v>#REF!</v>
      </c>
      <c r="DC197" t="e">
        <f>AND(Exhibitor!#REF!,"AAAAAH//P2o=")</f>
        <v>#REF!</v>
      </c>
      <c r="DD197" t="e">
        <f>AND(Exhibitor!#REF!,"AAAAAH//P2s=")</f>
        <v>#REF!</v>
      </c>
      <c r="DE197" t="e">
        <f>AND(Exhibitor!#REF!,"AAAAAH//P2w=")</f>
        <v>#REF!</v>
      </c>
      <c r="DF197" t="e">
        <f>IF(Exhibitor!#REF!,"AAAAAH//P20=",0)</f>
        <v>#REF!</v>
      </c>
      <c r="DG197" t="e">
        <f>AND(Exhibitor!#REF!,"AAAAAH//P24=")</f>
        <v>#REF!</v>
      </c>
      <c r="DH197" t="e">
        <f>AND(Exhibitor!#REF!,"AAAAAH//P28=")</f>
        <v>#REF!</v>
      </c>
      <c r="DI197" t="e">
        <f>AND(Exhibitor!#REF!,"AAAAAH//P3A=")</f>
        <v>#REF!</v>
      </c>
      <c r="DJ197" t="e">
        <f>AND(Exhibitor!#REF!,"AAAAAH//P3E=")</f>
        <v>#REF!</v>
      </c>
      <c r="DK197" t="e">
        <f>AND(Exhibitor!#REF!,"AAAAAH//P3I=")</f>
        <v>#REF!</v>
      </c>
      <c r="DL197" t="e">
        <f>AND(Exhibitor!#REF!,"AAAAAH//P3M=")</f>
        <v>#REF!</v>
      </c>
      <c r="DM197" t="e">
        <f>AND(Exhibitor!#REF!,"AAAAAH//P3Q=")</f>
        <v>#REF!</v>
      </c>
      <c r="DN197" t="e">
        <f>AND(Exhibitor!#REF!,"AAAAAH//P3U=")</f>
        <v>#REF!</v>
      </c>
      <c r="DO197" t="e">
        <f>AND(Exhibitor!#REF!,"AAAAAH//P3Y=")</f>
        <v>#REF!</v>
      </c>
      <c r="DP197" t="e">
        <f>AND(Exhibitor!#REF!,"AAAAAH//P3c=")</f>
        <v>#REF!</v>
      </c>
      <c r="DQ197" t="e">
        <f>AND(Exhibitor!#REF!,"AAAAAH//P3g=")</f>
        <v>#REF!</v>
      </c>
      <c r="DR197" t="e">
        <f>AND(Exhibitor!#REF!,"AAAAAH//P3k=")</f>
        <v>#REF!</v>
      </c>
      <c r="DS197" t="e">
        <f>AND(Exhibitor!#REF!,"AAAAAH//P3o=")</f>
        <v>#REF!</v>
      </c>
      <c r="DT197" t="e">
        <f>IF(Exhibitor!#REF!,"AAAAAH//P3s=",0)</f>
        <v>#REF!</v>
      </c>
      <c r="DU197" t="e">
        <f>AND(Exhibitor!#REF!,"AAAAAH//P3w=")</f>
        <v>#REF!</v>
      </c>
      <c r="DV197" t="e">
        <f>AND(Exhibitor!#REF!,"AAAAAH//P30=")</f>
        <v>#REF!</v>
      </c>
      <c r="DW197" t="e">
        <f>AND(Exhibitor!#REF!,"AAAAAH//P34=")</f>
        <v>#REF!</v>
      </c>
      <c r="DX197" t="e">
        <f>AND(Exhibitor!#REF!,"AAAAAH//P38=")</f>
        <v>#REF!</v>
      </c>
      <c r="DY197" t="e">
        <f>AND(Exhibitor!#REF!,"AAAAAH//P4A=")</f>
        <v>#REF!</v>
      </c>
      <c r="DZ197" t="e">
        <f>AND(Exhibitor!#REF!,"AAAAAH//P4E=")</f>
        <v>#REF!</v>
      </c>
      <c r="EA197" t="e">
        <f>AND(Exhibitor!#REF!,"AAAAAH//P4I=")</f>
        <v>#REF!</v>
      </c>
      <c r="EB197" t="e">
        <f>AND(Exhibitor!#REF!,"AAAAAH//P4M=")</f>
        <v>#REF!</v>
      </c>
      <c r="EC197" t="e">
        <f>AND(Exhibitor!#REF!,"AAAAAH//P4Q=")</f>
        <v>#REF!</v>
      </c>
      <c r="ED197" t="e">
        <f>AND(Exhibitor!#REF!,"AAAAAH//P4U=")</f>
        <v>#REF!</v>
      </c>
      <c r="EE197" t="e">
        <f>AND(Exhibitor!#REF!,"AAAAAH//P4Y=")</f>
        <v>#REF!</v>
      </c>
      <c r="EF197" t="e">
        <f>AND(Exhibitor!#REF!,"AAAAAH//P4c=")</f>
        <v>#REF!</v>
      </c>
      <c r="EG197" t="e">
        <f>AND(Exhibitor!#REF!,"AAAAAH//P4g=")</f>
        <v>#REF!</v>
      </c>
      <c r="EH197">
        <f>IF(Exhibitor!19:19,"AAAAAH//P4k=",0)</f>
        <v>0</v>
      </c>
      <c r="EI197" t="e">
        <f>AND(Exhibitor!#REF!,"AAAAAH//P4o=")</f>
        <v>#REF!</v>
      </c>
      <c r="EJ197" t="e">
        <f>AND(Exhibitor!A19,"AAAAAH//P4s=")</f>
        <v>#VALUE!</v>
      </c>
      <c r="EK197" t="e">
        <f>AND(Exhibitor!B19,"AAAAAH//P4w=")</f>
        <v>#VALUE!</v>
      </c>
      <c r="EL197" t="e">
        <f>AND(Exhibitor!C19,"AAAAAH//P40=")</f>
        <v>#VALUE!</v>
      </c>
      <c r="EM197" t="e">
        <f>AND(Exhibitor!D19,"AAAAAH//P44=")</f>
        <v>#VALUE!</v>
      </c>
      <c r="EN197" t="e">
        <f>AND(Exhibitor!E19,"AAAAAH//P48=")</f>
        <v>#VALUE!</v>
      </c>
      <c r="EO197" t="e">
        <f>AND(Exhibitor!F19,"AAAAAH//P5A=")</f>
        <v>#VALUE!</v>
      </c>
      <c r="EP197" t="e">
        <f>AND(Exhibitor!G19,"AAAAAH//P5E=")</f>
        <v>#VALUE!</v>
      </c>
      <c r="EQ197" t="e">
        <f>AND(Exhibitor!H19,"AAAAAH//P5I=")</f>
        <v>#VALUE!</v>
      </c>
      <c r="ER197" t="e">
        <f>AND(Exhibitor!#REF!,"AAAAAH//P5M=")</f>
        <v>#REF!</v>
      </c>
      <c r="ES197" t="e">
        <f>AND(Exhibitor!#REF!,"AAAAAH//P5Q=")</f>
        <v>#REF!</v>
      </c>
      <c r="ET197" t="e">
        <f>AND(Exhibitor!#REF!,"AAAAAH//P5U=")</f>
        <v>#REF!</v>
      </c>
      <c r="EU197" t="e">
        <f>AND(Exhibitor!#REF!,"AAAAAH//P5Y=")</f>
        <v>#REF!</v>
      </c>
      <c r="EV197" t="e">
        <f>IF(Exhibitor!#REF!,"AAAAAH//P5c=",0)</f>
        <v>#REF!</v>
      </c>
      <c r="EW197" t="e">
        <f>AND(Exhibitor!#REF!,"AAAAAH//P5g=")</f>
        <v>#REF!</v>
      </c>
      <c r="EX197" t="e">
        <f>AND(Exhibitor!#REF!,"AAAAAH//P5k=")</f>
        <v>#REF!</v>
      </c>
      <c r="EY197" t="e">
        <f>AND(Exhibitor!#REF!,"AAAAAH//P5o=")</f>
        <v>#REF!</v>
      </c>
      <c r="EZ197" t="e">
        <f>AND(Exhibitor!#REF!,"AAAAAH//P5s=")</f>
        <v>#REF!</v>
      </c>
      <c r="FA197" t="e">
        <f>AND(Exhibitor!#REF!,"AAAAAH//P5w=")</f>
        <v>#REF!</v>
      </c>
      <c r="FB197" t="e">
        <f>AND(Exhibitor!#REF!,"AAAAAH//P50=")</f>
        <v>#REF!</v>
      </c>
      <c r="FC197" t="e">
        <f>AND(Exhibitor!#REF!,"AAAAAH//P54=")</f>
        <v>#REF!</v>
      </c>
      <c r="FD197" t="e">
        <f>AND(Exhibitor!#REF!,"AAAAAH//P58=")</f>
        <v>#REF!</v>
      </c>
      <c r="FE197" t="e">
        <f>AND(Exhibitor!#REF!,"AAAAAH//P6A=")</f>
        <v>#REF!</v>
      </c>
      <c r="FF197" t="e">
        <f>AND(Exhibitor!#REF!,"AAAAAH//P6E=")</f>
        <v>#REF!</v>
      </c>
      <c r="FG197" t="e">
        <f>AND(Exhibitor!#REF!,"AAAAAH//P6I=")</f>
        <v>#REF!</v>
      </c>
      <c r="FH197" t="e">
        <f>AND(Exhibitor!#REF!,"AAAAAH//P6M=")</f>
        <v>#REF!</v>
      </c>
      <c r="FI197" t="e">
        <f>AND(Exhibitor!#REF!,"AAAAAH//P6Q=")</f>
        <v>#REF!</v>
      </c>
      <c r="FJ197">
        <f>IF(Exhibitor!20:20,"AAAAAH//P6U=",0)</f>
        <v>0</v>
      </c>
      <c r="FK197" t="e">
        <f>AND(Exhibitor!#REF!,"AAAAAH//P6Y=")</f>
        <v>#REF!</v>
      </c>
      <c r="FL197" t="e">
        <f>AND(Exhibitor!A20,"AAAAAH//P6c=")</f>
        <v>#VALUE!</v>
      </c>
      <c r="FM197" t="e">
        <f>AND(Exhibitor!B20,"AAAAAH//P6g=")</f>
        <v>#VALUE!</v>
      </c>
      <c r="FN197" t="e">
        <f>AND(Exhibitor!C20,"AAAAAH//P6k=")</f>
        <v>#VALUE!</v>
      </c>
      <c r="FO197" t="e">
        <f>AND(Exhibitor!D20,"AAAAAH//P6o=")</f>
        <v>#VALUE!</v>
      </c>
      <c r="FP197" t="e">
        <f>AND(Exhibitor!E20,"AAAAAH//P6s=")</f>
        <v>#VALUE!</v>
      </c>
      <c r="FQ197" t="e">
        <f>AND(Exhibitor!F20,"AAAAAH//P6w=")</f>
        <v>#VALUE!</v>
      </c>
      <c r="FR197" t="e">
        <f>AND(Exhibitor!G20,"AAAAAH//P60=")</f>
        <v>#VALUE!</v>
      </c>
      <c r="FS197" t="e">
        <f>AND(Exhibitor!H20,"AAAAAH//P64=")</f>
        <v>#VALUE!</v>
      </c>
      <c r="FT197" t="e">
        <f>AND(Exhibitor!#REF!,"AAAAAH//P68=")</f>
        <v>#REF!</v>
      </c>
      <c r="FU197" t="e">
        <f>AND(Exhibitor!#REF!,"AAAAAH//P7A=")</f>
        <v>#REF!</v>
      </c>
      <c r="FV197" t="e">
        <f>AND(Exhibitor!#REF!,"AAAAAH//P7E=")</f>
        <v>#REF!</v>
      </c>
      <c r="FW197" t="e">
        <f>AND(Exhibitor!#REF!,"AAAAAH//P7I=")</f>
        <v>#REF!</v>
      </c>
      <c r="FX197">
        <f>IF(Exhibitor!21:21,"AAAAAH//P7M=",0)</f>
        <v>0</v>
      </c>
      <c r="FY197" t="e">
        <f>AND(Exhibitor!#REF!,"AAAAAH//P7Q=")</f>
        <v>#REF!</v>
      </c>
      <c r="FZ197" t="e">
        <f>AND(Exhibitor!A21,"AAAAAH//P7U=")</f>
        <v>#VALUE!</v>
      </c>
      <c r="GA197" t="e">
        <f>AND(Exhibitor!B21,"AAAAAH//P7Y=")</f>
        <v>#VALUE!</v>
      </c>
      <c r="GB197" t="e">
        <f>AND(Exhibitor!C21,"AAAAAH//P7c=")</f>
        <v>#VALUE!</v>
      </c>
      <c r="GC197" t="e">
        <f>AND(Exhibitor!D21,"AAAAAH//P7g=")</f>
        <v>#VALUE!</v>
      </c>
      <c r="GD197" t="e">
        <f>AND(Exhibitor!E21,"AAAAAH//P7k=")</f>
        <v>#VALUE!</v>
      </c>
      <c r="GE197" t="e">
        <f>AND(Exhibitor!F21,"AAAAAH//P7o=")</f>
        <v>#VALUE!</v>
      </c>
      <c r="GF197" t="e">
        <f>AND(Exhibitor!G21,"AAAAAH//P7s=")</f>
        <v>#VALUE!</v>
      </c>
      <c r="GG197" t="e">
        <f>AND(Exhibitor!H21,"AAAAAH//P7w=")</f>
        <v>#VALUE!</v>
      </c>
      <c r="GH197" t="e">
        <f>AND(Exhibitor!#REF!,"AAAAAH//P70=")</f>
        <v>#REF!</v>
      </c>
      <c r="GI197" t="e">
        <f>AND(Exhibitor!#REF!,"AAAAAH//P74=")</f>
        <v>#REF!</v>
      </c>
      <c r="GJ197" t="e">
        <f>AND(Exhibitor!#REF!,"AAAAAH//P78=")</f>
        <v>#REF!</v>
      </c>
      <c r="GK197" t="e">
        <f>AND(Exhibitor!#REF!,"AAAAAH//P8A=")</f>
        <v>#REF!</v>
      </c>
      <c r="GL197">
        <f>IF(Exhibitor!22:22,"AAAAAH//P8E=",0)</f>
        <v>0</v>
      </c>
      <c r="GM197" t="e">
        <f>AND(Exhibitor!#REF!,"AAAAAH//P8I=")</f>
        <v>#REF!</v>
      </c>
      <c r="GN197" t="e">
        <f>AND(Exhibitor!A22,"AAAAAH//P8M=")</f>
        <v>#VALUE!</v>
      </c>
      <c r="GO197" t="e">
        <f>AND(Exhibitor!B22,"AAAAAH//P8Q=")</f>
        <v>#VALUE!</v>
      </c>
      <c r="GP197" t="e">
        <f>AND(Exhibitor!C22,"AAAAAH//P8U=")</f>
        <v>#VALUE!</v>
      </c>
      <c r="GQ197" t="e">
        <f>AND(Exhibitor!D22,"AAAAAH//P8Y=")</f>
        <v>#VALUE!</v>
      </c>
      <c r="GR197" t="e">
        <f>AND(Exhibitor!E22,"AAAAAH//P8c=")</f>
        <v>#VALUE!</v>
      </c>
      <c r="GS197" t="e">
        <f>AND(Exhibitor!F22,"AAAAAH//P8g=")</f>
        <v>#VALUE!</v>
      </c>
      <c r="GT197" t="e">
        <f>AND(Exhibitor!G22,"AAAAAH//P8k=")</f>
        <v>#VALUE!</v>
      </c>
      <c r="GU197" t="e">
        <f>AND(Exhibitor!H22,"AAAAAH//P8o=")</f>
        <v>#VALUE!</v>
      </c>
      <c r="GV197" t="e">
        <f>AND(Exhibitor!#REF!,"AAAAAH//P8s=")</f>
        <v>#REF!</v>
      </c>
      <c r="GW197" t="e">
        <f>AND(Exhibitor!#REF!,"AAAAAH//P8w=")</f>
        <v>#REF!</v>
      </c>
      <c r="GX197" t="e">
        <f>AND(Exhibitor!#REF!,"AAAAAH//P80=")</f>
        <v>#REF!</v>
      </c>
      <c r="GY197" t="e">
        <f>AND(Exhibitor!#REF!,"AAAAAH//P84=")</f>
        <v>#REF!</v>
      </c>
      <c r="GZ197" t="e">
        <f>IF(Exhibitor!#REF!,"AAAAAH//P88=",0)</f>
        <v>#REF!</v>
      </c>
      <c r="HA197" t="e">
        <f>AND(Exhibitor!#REF!,"AAAAAH//P9A=")</f>
        <v>#REF!</v>
      </c>
      <c r="HB197" t="e">
        <f>AND(Exhibitor!#REF!,"AAAAAH//P9E=")</f>
        <v>#REF!</v>
      </c>
      <c r="HC197" t="e">
        <f>AND(Exhibitor!#REF!,"AAAAAH//P9I=")</f>
        <v>#REF!</v>
      </c>
      <c r="HD197" t="e">
        <f>AND(Exhibitor!#REF!,"AAAAAH//P9M=")</f>
        <v>#REF!</v>
      </c>
      <c r="HE197" t="e">
        <f>AND(Exhibitor!#REF!,"AAAAAH//P9Q=")</f>
        <v>#REF!</v>
      </c>
      <c r="HF197" t="e">
        <f>AND(Exhibitor!#REF!,"AAAAAH//P9U=")</f>
        <v>#REF!</v>
      </c>
      <c r="HG197" t="e">
        <f>AND(Exhibitor!#REF!,"AAAAAH//P9Y=")</f>
        <v>#REF!</v>
      </c>
      <c r="HH197" t="e">
        <f>AND(Exhibitor!#REF!,"AAAAAH//P9c=")</f>
        <v>#REF!</v>
      </c>
      <c r="HI197" t="e">
        <f>AND(Exhibitor!#REF!,"AAAAAH//P9g=")</f>
        <v>#REF!</v>
      </c>
      <c r="HJ197" t="e">
        <f>AND(Exhibitor!#REF!,"AAAAAH//P9k=")</f>
        <v>#REF!</v>
      </c>
      <c r="HK197" t="e">
        <f>AND(Exhibitor!#REF!,"AAAAAH//P9o=")</f>
        <v>#REF!</v>
      </c>
      <c r="HL197" t="e">
        <f>AND(Exhibitor!#REF!,"AAAAAH//P9s=")</f>
        <v>#REF!</v>
      </c>
      <c r="HM197" t="e">
        <f>AND(Exhibitor!#REF!,"AAAAAH//P9w=")</f>
        <v>#REF!</v>
      </c>
      <c r="HN197">
        <f>IF(Exhibitor!23:23,"AAAAAH//P90=",0)</f>
        <v>0</v>
      </c>
      <c r="HO197" t="e">
        <f>AND(Exhibitor!#REF!,"AAAAAH//P94=")</f>
        <v>#REF!</v>
      </c>
      <c r="HP197" t="e">
        <f>AND(Exhibitor!A23,"AAAAAH//P98=")</f>
        <v>#VALUE!</v>
      </c>
      <c r="HQ197" t="e">
        <f>AND(Exhibitor!B23,"AAAAAH//P+A=")</f>
        <v>#VALUE!</v>
      </c>
      <c r="HR197" t="e">
        <f>AND(Exhibitor!C23,"AAAAAH//P+E=")</f>
        <v>#VALUE!</v>
      </c>
      <c r="HS197" t="e">
        <f>AND(Exhibitor!D23,"AAAAAH//P+I=")</f>
        <v>#VALUE!</v>
      </c>
      <c r="HT197" t="e">
        <f>AND(Exhibitor!E23,"AAAAAH//P+M=")</f>
        <v>#VALUE!</v>
      </c>
      <c r="HU197" t="e">
        <f>AND(Exhibitor!F23,"AAAAAH//P+Q=")</f>
        <v>#VALUE!</v>
      </c>
      <c r="HV197" t="e">
        <f>AND(Exhibitor!G23,"AAAAAH//P+U=")</f>
        <v>#VALUE!</v>
      </c>
      <c r="HW197" t="e">
        <f>AND(Exhibitor!H23,"AAAAAH//P+Y=")</f>
        <v>#VALUE!</v>
      </c>
      <c r="HX197" t="e">
        <f>AND(Exhibitor!#REF!,"AAAAAH//P+c=")</f>
        <v>#REF!</v>
      </c>
      <c r="HY197" t="e">
        <f>AND(Exhibitor!#REF!,"AAAAAH//P+g=")</f>
        <v>#REF!</v>
      </c>
      <c r="HZ197" t="e">
        <f>AND(Exhibitor!#REF!,"AAAAAH//P+k=")</f>
        <v>#REF!</v>
      </c>
      <c r="IA197" t="e">
        <f>AND(Exhibitor!#REF!,"AAAAAH//P+o=")</f>
        <v>#REF!</v>
      </c>
      <c r="IB197" t="e">
        <f>IF(Exhibitor!#REF!,"AAAAAH//P+s=",0)</f>
        <v>#REF!</v>
      </c>
      <c r="IC197" t="e">
        <f>AND(Exhibitor!#REF!,"AAAAAH//P+w=")</f>
        <v>#REF!</v>
      </c>
      <c r="ID197" t="e">
        <f>AND(Exhibitor!#REF!,"AAAAAH//P+0=")</f>
        <v>#REF!</v>
      </c>
      <c r="IE197" t="e">
        <f>AND(Exhibitor!#REF!,"AAAAAH//P+4=")</f>
        <v>#REF!</v>
      </c>
      <c r="IF197" t="e">
        <f>AND(Exhibitor!#REF!,"AAAAAH//P+8=")</f>
        <v>#REF!</v>
      </c>
      <c r="IG197" t="e">
        <f>AND(Exhibitor!#REF!,"AAAAAH//P/A=")</f>
        <v>#REF!</v>
      </c>
      <c r="IH197" t="e">
        <f>AND(Exhibitor!#REF!,"AAAAAH//P/E=")</f>
        <v>#REF!</v>
      </c>
      <c r="II197" t="e">
        <f>AND(Exhibitor!#REF!,"AAAAAH//P/I=")</f>
        <v>#REF!</v>
      </c>
      <c r="IJ197" t="e">
        <f>AND(Exhibitor!#REF!,"AAAAAH//P/M=")</f>
        <v>#REF!</v>
      </c>
      <c r="IK197" t="e">
        <f>AND(Exhibitor!#REF!,"AAAAAH//P/Q=")</f>
        <v>#REF!</v>
      </c>
      <c r="IL197" t="e">
        <f>AND(Exhibitor!#REF!,"AAAAAH//P/U=")</f>
        <v>#REF!</v>
      </c>
      <c r="IM197" t="e">
        <f>AND(Exhibitor!#REF!,"AAAAAH//P/Y=")</f>
        <v>#REF!</v>
      </c>
      <c r="IN197" t="e">
        <f>AND(Exhibitor!#REF!,"AAAAAH//P/c=")</f>
        <v>#REF!</v>
      </c>
      <c r="IO197" t="e">
        <f>AND(Exhibitor!#REF!,"AAAAAH//P/g=")</f>
        <v>#REF!</v>
      </c>
      <c r="IP197" t="e">
        <f>IF(Exhibitor!#REF!,"AAAAAH//P/k=",0)</f>
        <v>#REF!</v>
      </c>
      <c r="IQ197" t="e">
        <f>AND(Exhibitor!#REF!,"AAAAAH//P/o=")</f>
        <v>#REF!</v>
      </c>
      <c r="IR197" t="e">
        <f>AND(Exhibitor!#REF!,"AAAAAH//P/s=")</f>
        <v>#REF!</v>
      </c>
      <c r="IS197" t="e">
        <f>AND(Exhibitor!#REF!,"AAAAAH//P/w=")</f>
        <v>#REF!</v>
      </c>
      <c r="IT197" t="e">
        <f>AND(Exhibitor!#REF!,"AAAAAH//P/0=")</f>
        <v>#REF!</v>
      </c>
      <c r="IU197" t="e">
        <f>AND(Exhibitor!#REF!,"AAAAAH//P/4=")</f>
        <v>#REF!</v>
      </c>
      <c r="IV197" t="e">
        <f>AND(Exhibitor!#REF!,"AAAAAH//P/8=")</f>
        <v>#REF!</v>
      </c>
    </row>
    <row r="198" spans="1:256" x14ac:dyDescent="0.2">
      <c r="A198" t="e">
        <f>AND(Exhibitor!#REF!,"AAAAAF1/XgA=")</f>
        <v>#REF!</v>
      </c>
      <c r="B198" t="e">
        <f>AND(Exhibitor!#REF!,"AAAAAF1/XgE=")</f>
        <v>#REF!</v>
      </c>
      <c r="C198" t="e">
        <f>AND(Exhibitor!#REF!,"AAAAAF1/XgI=")</f>
        <v>#REF!</v>
      </c>
      <c r="D198" t="e">
        <f>AND(Exhibitor!#REF!,"AAAAAF1/XgM=")</f>
        <v>#REF!</v>
      </c>
      <c r="E198" t="e">
        <f>AND(Exhibitor!#REF!,"AAAAAF1/XgQ=")</f>
        <v>#REF!</v>
      </c>
      <c r="F198" t="e">
        <f>AND(Exhibitor!#REF!,"AAAAAF1/XgU=")</f>
        <v>#REF!</v>
      </c>
      <c r="G198" t="e">
        <f>AND(Exhibitor!#REF!,"AAAAAF1/XgY=")</f>
        <v>#REF!</v>
      </c>
      <c r="H198" t="e">
        <f>IF(Exhibitor!#REF!,"AAAAAF1/Xgc=",0)</f>
        <v>#REF!</v>
      </c>
      <c r="I198" t="e">
        <f>AND(Exhibitor!#REF!,"AAAAAF1/Xgg=")</f>
        <v>#REF!</v>
      </c>
      <c r="J198" t="e">
        <f>AND(Exhibitor!#REF!,"AAAAAF1/Xgk=")</f>
        <v>#REF!</v>
      </c>
      <c r="K198" t="e">
        <f>AND(Exhibitor!#REF!,"AAAAAF1/Xgo=")</f>
        <v>#REF!</v>
      </c>
      <c r="L198" t="e">
        <f>AND(Exhibitor!#REF!,"AAAAAF1/Xgs=")</f>
        <v>#REF!</v>
      </c>
      <c r="M198" t="e">
        <f>AND(Exhibitor!#REF!,"AAAAAF1/Xgw=")</f>
        <v>#REF!</v>
      </c>
      <c r="N198" t="e">
        <f>AND(Exhibitor!#REF!,"AAAAAF1/Xg0=")</f>
        <v>#REF!</v>
      </c>
      <c r="O198" t="e">
        <f>AND(Exhibitor!#REF!,"AAAAAF1/Xg4=")</f>
        <v>#REF!</v>
      </c>
      <c r="P198" t="e">
        <f>AND(Exhibitor!#REF!,"AAAAAF1/Xg8=")</f>
        <v>#REF!</v>
      </c>
      <c r="Q198" t="e">
        <f>AND(Exhibitor!#REF!,"AAAAAF1/XhA=")</f>
        <v>#REF!</v>
      </c>
      <c r="R198" t="e">
        <f>AND(Exhibitor!#REF!,"AAAAAF1/XhE=")</f>
        <v>#REF!</v>
      </c>
      <c r="S198" t="e">
        <f>AND(Exhibitor!#REF!,"AAAAAF1/XhI=")</f>
        <v>#REF!</v>
      </c>
      <c r="T198" t="e">
        <f>AND(Exhibitor!#REF!,"AAAAAF1/XhM=")</f>
        <v>#REF!</v>
      </c>
      <c r="U198" t="e">
        <f>AND(Exhibitor!#REF!,"AAAAAF1/XhQ=")</f>
        <v>#REF!</v>
      </c>
      <c r="V198" t="e">
        <f>IF(Exhibitor!#REF!,"AAAAAF1/XhU=",0)</f>
        <v>#REF!</v>
      </c>
      <c r="W198" t="e">
        <f>AND(Exhibitor!#REF!,"AAAAAF1/XhY=")</f>
        <v>#REF!</v>
      </c>
      <c r="X198" t="e">
        <f>AND(Exhibitor!#REF!,"AAAAAF1/Xhc=")</f>
        <v>#REF!</v>
      </c>
      <c r="Y198" t="e">
        <f>AND(Exhibitor!#REF!,"AAAAAF1/Xhg=")</f>
        <v>#REF!</v>
      </c>
      <c r="Z198" t="e">
        <f>AND(Exhibitor!#REF!,"AAAAAF1/Xhk=")</f>
        <v>#REF!</v>
      </c>
      <c r="AA198" t="e">
        <f>AND(Exhibitor!#REF!,"AAAAAF1/Xho=")</f>
        <v>#REF!</v>
      </c>
      <c r="AB198" t="e">
        <f>AND(Exhibitor!#REF!,"AAAAAF1/Xhs=")</f>
        <v>#REF!</v>
      </c>
      <c r="AC198" t="e">
        <f>AND(Exhibitor!#REF!,"AAAAAF1/Xhw=")</f>
        <v>#REF!</v>
      </c>
      <c r="AD198" t="e">
        <f>AND(Exhibitor!#REF!,"AAAAAF1/Xh0=")</f>
        <v>#REF!</v>
      </c>
      <c r="AE198" t="e">
        <f>AND(Exhibitor!#REF!,"AAAAAF1/Xh4=")</f>
        <v>#REF!</v>
      </c>
      <c r="AF198" t="e">
        <f>AND(Exhibitor!#REF!,"AAAAAF1/Xh8=")</f>
        <v>#REF!</v>
      </c>
      <c r="AG198" t="e">
        <f>AND(Exhibitor!#REF!,"AAAAAF1/XiA=")</f>
        <v>#REF!</v>
      </c>
      <c r="AH198" t="e">
        <f>AND(Exhibitor!#REF!,"AAAAAF1/XiE=")</f>
        <v>#REF!</v>
      </c>
      <c r="AI198" t="e">
        <f>AND(Exhibitor!#REF!,"AAAAAF1/XiI=")</f>
        <v>#REF!</v>
      </c>
      <c r="AJ198" t="e">
        <f>IF(Exhibitor!#REF!,"AAAAAF1/XiM=",0)</f>
        <v>#REF!</v>
      </c>
      <c r="AK198" t="e">
        <f>AND(Exhibitor!#REF!,"AAAAAF1/XiQ=")</f>
        <v>#REF!</v>
      </c>
      <c r="AL198" t="e">
        <f>AND(Exhibitor!#REF!,"AAAAAF1/XiU=")</f>
        <v>#REF!</v>
      </c>
      <c r="AM198" t="e">
        <f>AND(Exhibitor!#REF!,"AAAAAF1/XiY=")</f>
        <v>#REF!</v>
      </c>
      <c r="AN198" t="e">
        <f>AND(Exhibitor!#REF!,"AAAAAF1/Xic=")</f>
        <v>#REF!</v>
      </c>
      <c r="AO198" t="e">
        <f>AND(Exhibitor!#REF!,"AAAAAF1/Xig=")</f>
        <v>#REF!</v>
      </c>
      <c r="AP198" t="e">
        <f>AND(Exhibitor!#REF!,"AAAAAF1/Xik=")</f>
        <v>#REF!</v>
      </c>
      <c r="AQ198" t="e">
        <f>AND(Exhibitor!#REF!,"AAAAAF1/Xio=")</f>
        <v>#REF!</v>
      </c>
      <c r="AR198" t="e">
        <f>AND(Exhibitor!#REF!,"AAAAAF1/Xis=")</f>
        <v>#REF!</v>
      </c>
      <c r="AS198" t="e">
        <f>AND(Exhibitor!#REF!,"AAAAAF1/Xiw=")</f>
        <v>#REF!</v>
      </c>
      <c r="AT198" t="e">
        <f>AND(Exhibitor!#REF!,"AAAAAF1/Xi0=")</f>
        <v>#REF!</v>
      </c>
      <c r="AU198" t="e">
        <f>AND(Exhibitor!#REF!,"AAAAAF1/Xi4=")</f>
        <v>#REF!</v>
      </c>
      <c r="AV198" t="e">
        <f>AND(Exhibitor!#REF!,"AAAAAF1/Xi8=")</f>
        <v>#REF!</v>
      </c>
      <c r="AW198" t="e">
        <f>AND(Exhibitor!#REF!,"AAAAAF1/XjA=")</f>
        <v>#REF!</v>
      </c>
      <c r="AX198" t="e">
        <f>IF(Exhibitor!#REF!,"AAAAAF1/XjE=",0)</f>
        <v>#REF!</v>
      </c>
      <c r="AY198" t="e">
        <f>AND(Exhibitor!#REF!,"AAAAAF1/XjI=")</f>
        <v>#REF!</v>
      </c>
      <c r="AZ198" t="e">
        <f>AND(Exhibitor!#REF!,"AAAAAF1/XjM=")</f>
        <v>#REF!</v>
      </c>
      <c r="BA198" t="e">
        <f>AND(Exhibitor!#REF!,"AAAAAF1/XjQ=")</f>
        <v>#REF!</v>
      </c>
      <c r="BB198" t="e">
        <f>AND(Exhibitor!#REF!,"AAAAAF1/XjU=")</f>
        <v>#REF!</v>
      </c>
      <c r="BC198" t="e">
        <f>AND(Exhibitor!#REF!,"AAAAAF1/XjY=")</f>
        <v>#REF!</v>
      </c>
      <c r="BD198" t="e">
        <f>AND(Exhibitor!#REF!,"AAAAAF1/Xjc=")</f>
        <v>#REF!</v>
      </c>
      <c r="BE198" t="e">
        <f>AND(Exhibitor!#REF!,"AAAAAF1/Xjg=")</f>
        <v>#REF!</v>
      </c>
      <c r="BF198" t="e">
        <f>AND(Exhibitor!#REF!,"AAAAAF1/Xjk=")</f>
        <v>#REF!</v>
      </c>
      <c r="BG198" t="e">
        <f>AND(Exhibitor!#REF!,"AAAAAF1/Xjo=")</f>
        <v>#REF!</v>
      </c>
      <c r="BH198" t="e">
        <f>AND(Exhibitor!#REF!,"AAAAAF1/Xjs=")</f>
        <v>#REF!</v>
      </c>
      <c r="BI198" t="e">
        <f>AND(Exhibitor!#REF!,"AAAAAF1/Xjw=")</f>
        <v>#REF!</v>
      </c>
      <c r="BJ198" t="e">
        <f>AND(Exhibitor!#REF!,"AAAAAF1/Xj0=")</f>
        <v>#REF!</v>
      </c>
      <c r="BK198" t="e">
        <f>AND(Exhibitor!#REF!,"AAAAAF1/Xj4=")</f>
        <v>#REF!</v>
      </c>
      <c r="BL198" t="e">
        <f>IF(Exhibitor!#REF!,"AAAAAF1/Xj8=",0)</f>
        <v>#REF!</v>
      </c>
      <c r="BM198" t="e">
        <f>AND(Exhibitor!#REF!,"AAAAAF1/XkA=")</f>
        <v>#REF!</v>
      </c>
      <c r="BN198" t="e">
        <f>AND(Exhibitor!#REF!,"AAAAAF1/XkE=")</f>
        <v>#REF!</v>
      </c>
      <c r="BO198" t="e">
        <f>AND(Exhibitor!#REF!,"AAAAAF1/XkI=")</f>
        <v>#REF!</v>
      </c>
      <c r="BP198" t="e">
        <f>AND(Exhibitor!#REF!,"AAAAAF1/XkM=")</f>
        <v>#REF!</v>
      </c>
      <c r="BQ198" t="e">
        <f>AND(Exhibitor!#REF!,"AAAAAF1/XkQ=")</f>
        <v>#REF!</v>
      </c>
      <c r="BR198" t="e">
        <f>AND(Exhibitor!#REF!,"AAAAAF1/XkU=")</f>
        <v>#REF!</v>
      </c>
      <c r="BS198" t="e">
        <f>AND(Exhibitor!#REF!,"AAAAAF1/XkY=")</f>
        <v>#REF!</v>
      </c>
      <c r="BT198" t="e">
        <f>AND(Exhibitor!#REF!,"AAAAAF1/Xkc=")</f>
        <v>#REF!</v>
      </c>
      <c r="BU198" t="e">
        <f>AND(Exhibitor!#REF!,"AAAAAF1/Xkg=")</f>
        <v>#REF!</v>
      </c>
      <c r="BV198" t="e">
        <f>AND(Exhibitor!#REF!,"AAAAAF1/Xkk=")</f>
        <v>#REF!</v>
      </c>
      <c r="BW198" t="e">
        <f>AND(Exhibitor!#REF!,"AAAAAF1/Xko=")</f>
        <v>#REF!</v>
      </c>
      <c r="BX198" t="e">
        <f>AND(Exhibitor!#REF!,"AAAAAF1/Xks=")</f>
        <v>#REF!</v>
      </c>
      <c r="BY198" t="e">
        <f>AND(Exhibitor!#REF!,"AAAAAF1/Xkw=")</f>
        <v>#REF!</v>
      </c>
      <c r="BZ198" t="e">
        <f>IF(Exhibitor!#REF!,"AAAAAF1/Xk0=",0)</f>
        <v>#REF!</v>
      </c>
      <c r="CA198" t="e">
        <f>AND(Exhibitor!#REF!,"AAAAAF1/Xk4=")</f>
        <v>#REF!</v>
      </c>
      <c r="CB198" t="e">
        <f>AND(Exhibitor!#REF!,"AAAAAF1/Xk8=")</f>
        <v>#REF!</v>
      </c>
      <c r="CC198" t="e">
        <f>AND(Exhibitor!#REF!,"AAAAAF1/XlA=")</f>
        <v>#REF!</v>
      </c>
      <c r="CD198" t="e">
        <f>AND(Exhibitor!#REF!,"AAAAAF1/XlE=")</f>
        <v>#REF!</v>
      </c>
      <c r="CE198" t="e">
        <f>AND(Exhibitor!#REF!,"AAAAAF1/XlI=")</f>
        <v>#REF!</v>
      </c>
      <c r="CF198" t="e">
        <f>AND(Exhibitor!#REF!,"AAAAAF1/XlM=")</f>
        <v>#REF!</v>
      </c>
      <c r="CG198" t="e">
        <f>AND(Exhibitor!#REF!,"AAAAAF1/XlQ=")</f>
        <v>#REF!</v>
      </c>
      <c r="CH198" t="e">
        <f>AND(Exhibitor!#REF!,"AAAAAF1/XlU=")</f>
        <v>#REF!</v>
      </c>
      <c r="CI198" t="e">
        <f>AND(Exhibitor!#REF!,"AAAAAF1/XlY=")</f>
        <v>#REF!</v>
      </c>
      <c r="CJ198" t="e">
        <f>AND(Exhibitor!#REF!,"AAAAAF1/Xlc=")</f>
        <v>#REF!</v>
      </c>
      <c r="CK198" t="e">
        <f>AND(Exhibitor!#REF!,"AAAAAF1/Xlg=")</f>
        <v>#REF!</v>
      </c>
      <c r="CL198" t="e">
        <f>AND(Exhibitor!#REF!,"AAAAAF1/Xlk=")</f>
        <v>#REF!</v>
      </c>
      <c r="CM198" t="e">
        <f>AND(Exhibitor!#REF!,"AAAAAF1/Xlo=")</f>
        <v>#REF!</v>
      </c>
      <c r="CN198" t="e">
        <f>IF(Exhibitor!#REF!,"AAAAAF1/Xls=",0)</f>
        <v>#REF!</v>
      </c>
      <c r="CO198" t="e">
        <f>AND(Exhibitor!#REF!,"AAAAAF1/Xlw=")</f>
        <v>#REF!</v>
      </c>
      <c r="CP198" t="e">
        <f>AND(Exhibitor!#REF!,"AAAAAF1/Xl0=")</f>
        <v>#REF!</v>
      </c>
      <c r="CQ198" t="e">
        <f>AND(Exhibitor!#REF!,"AAAAAF1/Xl4=")</f>
        <v>#REF!</v>
      </c>
      <c r="CR198" t="e">
        <f>AND(Exhibitor!#REF!,"AAAAAF1/Xl8=")</f>
        <v>#REF!</v>
      </c>
      <c r="CS198" t="e">
        <f>AND(Exhibitor!#REF!,"AAAAAF1/XmA=")</f>
        <v>#REF!</v>
      </c>
      <c r="CT198" t="e">
        <f>AND(Exhibitor!#REF!,"AAAAAF1/XmE=")</f>
        <v>#REF!</v>
      </c>
      <c r="CU198" t="e">
        <f>AND(Exhibitor!#REF!,"AAAAAF1/XmI=")</f>
        <v>#REF!</v>
      </c>
      <c r="CV198" t="e">
        <f>AND(Exhibitor!#REF!,"AAAAAF1/XmM=")</f>
        <v>#REF!</v>
      </c>
      <c r="CW198" t="e">
        <f>AND(Exhibitor!#REF!,"AAAAAF1/XmQ=")</f>
        <v>#REF!</v>
      </c>
      <c r="CX198" t="e">
        <f>AND(Exhibitor!#REF!,"AAAAAF1/XmU=")</f>
        <v>#REF!</v>
      </c>
      <c r="CY198" t="e">
        <f>AND(Exhibitor!#REF!,"AAAAAF1/XmY=")</f>
        <v>#REF!</v>
      </c>
      <c r="CZ198" t="e">
        <f>AND(Exhibitor!#REF!,"AAAAAF1/Xmc=")</f>
        <v>#REF!</v>
      </c>
      <c r="DA198" t="e">
        <f>AND(Exhibitor!#REF!,"AAAAAF1/Xmg=")</f>
        <v>#REF!</v>
      </c>
      <c r="DB198" t="e">
        <f>IF(Exhibitor!#REF!,"AAAAAF1/Xmk=",0)</f>
        <v>#REF!</v>
      </c>
      <c r="DC198" t="e">
        <f>AND(Exhibitor!#REF!,"AAAAAF1/Xmo=")</f>
        <v>#REF!</v>
      </c>
      <c r="DD198" t="e">
        <f>AND(Exhibitor!#REF!,"AAAAAF1/Xms=")</f>
        <v>#REF!</v>
      </c>
      <c r="DE198" t="e">
        <f>AND(Exhibitor!#REF!,"AAAAAF1/Xmw=")</f>
        <v>#REF!</v>
      </c>
      <c r="DF198" t="e">
        <f>AND(Exhibitor!#REF!,"AAAAAF1/Xm0=")</f>
        <v>#REF!</v>
      </c>
      <c r="DG198" t="e">
        <f>AND(Exhibitor!#REF!,"AAAAAF1/Xm4=")</f>
        <v>#REF!</v>
      </c>
      <c r="DH198" t="e">
        <f>AND(Exhibitor!#REF!,"AAAAAF1/Xm8=")</f>
        <v>#REF!</v>
      </c>
      <c r="DI198" t="e">
        <f>AND(Exhibitor!#REF!,"AAAAAF1/XnA=")</f>
        <v>#REF!</v>
      </c>
      <c r="DJ198" t="e">
        <f>AND(Exhibitor!#REF!,"AAAAAF1/XnE=")</f>
        <v>#REF!</v>
      </c>
      <c r="DK198" t="e">
        <f>AND(Exhibitor!#REF!,"AAAAAF1/XnI=")</f>
        <v>#REF!</v>
      </c>
      <c r="DL198" t="e">
        <f>AND(Exhibitor!#REF!,"AAAAAF1/XnM=")</f>
        <v>#REF!</v>
      </c>
      <c r="DM198" t="e">
        <f>AND(Exhibitor!#REF!,"AAAAAF1/XnQ=")</f>
        <v>#REF!</v>
      </c>
      <c r="DN198" t="e">
        <f>AND(Exhibitor!#REF!,"AAAAAF1/XnU=")</f>
        <v>#REF!</v>
      </c>
      <c r="DO198" t="e">
        <f>AND(Exhibitor!#REF!,"AAAAAF1/XnY=")</f>
        <v>#REF!</v>
      </c>
      <c r="DP198" t="e">
        <f>IF(Exhibitor!#REF!,"AAAAAF1/Xnc=",0)</f>
        <v>#REF!</v>
      </c>
      <c r="DQ198" t="e">
        <f>AND(Exhibitor!#REF!,"AAAAAF1/Xng=")</f>
        <v>#REF!</v>
      </c>
      <c r="DR198" t="e">
        <f>AND(Exhibitor!#REF!,"AAAAAF1/Xnk=")</f>
        <v>#REF!</v>
      </c>
      <c r="DS198" t="e">
        <f>AND(Exhibitor!#REF!,"AAAAAF1/Xno=")</f>
        <v>#REF!</v>
      </c>
      <c r="DT198" t="e">
        <f>AND(Exhibitor!#REF!,"AAAAAF1/Xns=")</f>
        <v>#REF!</v>
      </c>
      <c r="DU198" t="e">
        <f>AND(Exhibitor!#REF!,"AAAAAF1/Xnw=")</f>
        <v>#REF!</v>
      </c>
      <c r="DV198" t="e">
        <f>AND(Exhibitor!#REF!,"AAAAAF1/Xn0=")</f>
        <v>#REF!</v>
      </c>
      <c r="DW198" t="e">
        <f>AND(Exhibitor!#REF!,"AAAAAF1/Xn4=")</f>
        <v>#REF!</v>
      </c>
      <c r="DX198" t="e">
        <f>AND(Exhibitor!#REF!,"AAAAAF1/Xn8=")</f>
        <v>#REF!</v>
      </c>
      <c r="DY198" t="e">
        <f>AND(Exhibitor!#REF!,"AAAAAF1/XoA=")</f>
        <v>#REF!</v>
      </c>
      <c r="DZ198" t="e">
        <f>AND(Exhibitor!#REF!,"AAAAAF1/XoE=")</f>
        <v>#REF!</v>
      </c>
      <c r="EA198" t="e">
        <f>AND(Exhibitor!#REF!,"AAAAAF1/XoI=")</f>
        <v>#REF!</v>
      </c>
      <c r="EB198" t="e">
        <f>AND(Exhibitor!#REF!,"AAAAAF1/XoM=")</f>
        <v>#REF!</v>
      </c>
      <c r="EC198" t="e">
        <f>AND(Exhibitor!#REF!,"AAAAAF1/XoQ=")</f>
        <v>#REF!</v>
      </c>
      <c r="ED198" t="e">
        <f>IF(Exhibitor!#REF!,"AAAAAF1/XoU=",0)</f>
        <v>#REF!</v>
      </c>
      <c r="EE198" t="e">
        <f>AND(Exhibitor!#REF!,"AAAAAF1/XoY=")</f>
        <v>#REF!</v>
      </c>
      <c r="EF198" t="e">
        <f>AND(Exhibitor!#REF!,"AAAAAF1/Xoc=")</f>
        <v>#REF!</v>
      </c>
      <c r="EG198" t="e">
        <f>AND(Exhibitor!#REF!,"AAAAAF1/Xog=")</f>
        <v>#REF!</v>
      </c>
      <c r="EH198" t="e">
        <f>AND(Exhibitor!#REF!,"AAAAAF1/Xok=")</f>
        <v>#REF!</v>
      </c>
      <c r="EI198" t="e">
        <f>AND(Exhibitor!#REF!,"AAAAAF1/Xoo=")</f>
        <v>#REF!</v>
      </c>
      <c r="EJ198" t="e">
        <f>AND(Exhibitor!#REF!,"AAAAAF1/Xos=")</f>
        <v>#REF!</v>
      </c>
      <c r="EK198" t="e">
        <f>AND(Exhibitor!#REF!,"AAAAAF1/Xow=")</f>
        <v>#REF!</v>
      </c>
      <c r="EL198" t="e">
        <f>AND(Exhibitor!#REF!,"AAAAAF1/Xo0=")</f>
        <v>#REF!</v>
      </c>
      <c r="EM198" t="e">
        <f>AND(Exhibitor!#REF!,"AAAAAF1/Xo4=")</f>
        <v>#REF!</v>
      </c>
      <c r="EN198" t="e">
        <f>AND(Exhibitor!#REF!,"AAAAAF1/Xo8=")</f>
        <v>#REF!</v>
      </c>
      <c r="EO198" t="e">
        <f>AND(Exhibitor!#REF!,"AAAAAF1/XpA=")</f>
        <v>#REF!</v>
      </c>
      <c r="EP198" t="e">
        <f>AND(Exhibitor!#REF!,"AAAAAF1/XpE=")</f>
        <v>#REF!</v>
      </c>
      <c r="EQ198" t="e">
        <f>AND(Exhibitor!#REF!,"AAAAAF1/XpI=")</f>
        <v>#REF!</v>
      </c>
      <c r="ER198" t="e">
        <f>IF(Exhibitor!#REF!,"AAAAAF1/XpM=",0)</f>
        <v>#REF!</v>
      </c>
      <c r="ES198" t="e">
        <f>AND(Exhibitor!#REF!,"AAAAAF1/XpQ=")</f>
        <v>#REF!</v>
      </c>
      <c r="ET198" t="e">
        <f>AND(Exhibitor!#REF!,"AAAAAF1/XpU=")</f>
        <v>#REF!</v>
      </c>
      <c r="EU198" t="e">
        <f>AND(Exhibitor!#REF!,"AAAAAF1/XpY=")</f>
        <v>#REF!</v>
      </c>
      <c r="EV198" t="e">
        <f>AND(Exhibitor!#REF!,"AAAAAF1/Xpc=")</f>
        <v>#REF!</v>
      </c>
      <c r="EW198" t="e">
        <f>AND(Exhibitor!#REF!,"AAAAAF1/Xpg=")</f>
        <v>#REF!</v>
      </c>
      <c r="EX198" t="e">
        <f>AND(Exhibitor!#REF!,"AAAAAF1/Xpk=")</f>
        <v>#REF!</v>
      </c>
      <c r="EY198" t="e">
        <f>AND(Exhibitor!#REF!,"AAAAAF1/Xpo=")</f>
        <v>#REF!</v>
      </c>
      <c r="EZ198" t="e">
        <f>AND(Exhibitor!#REF!,"AAAAAF1/Xps=")</f>
        <v>#REF!</v>
      </c>
      <c r="FA198" t="e">
        <f>AND(Exhibitor!#REF!,"AAAAAF1/Xpw=")</f>
        <v>#REF!</v>
      </c>
      <c r="FB198" t="e">
        <f>AND(Exhibitor!#REF!,"AAAAAF1/Xp0=")</f>
        <v>#REF!</v>
      </c>
      <c r="FC198" t="e">
        <f>AND(Exhibitor!#REF!,"AAAAAF1/Xp4=")</f>
        <v>#REF!</v>
      </c>
      <c r="FD198" t="e">
        <f>AND(Exhibitor!#REF!,"AAAAAF1/Xp8=")</f>
        <v>#REF!</v>
      </c>
      <c r="FE198" t="e">
        <f>AND(Exhibitor!#REF!,"AAAAAF1/XqA=")</f>
        <v>#REF!</v>
      </c>
      <c r="FF198" t="e">
        <f>IF(Exhibitor!#REF!,"AAAAAF1/XqE=",0)</f>
        <v>#REF!</v>
      </c>
      <c r="FG198" t="e">
        <f>AND(Exhibitor!#REF!,"AAAAAF1/XqI=")</f>
        <v>#REF!</v>
      </c>
      <c r="FH198" t="e">
        <f>AND(Exhibitor!#REF!,"AAAAAF1/XqM=")</f>
        <v>#REF!</v>
      </c>
      <c r="FI198" t="e">
        <f>AND(Exhibitor!#REF!,"AAAAAF1/XqQ=")</f>
        <v>#REF!</v>
      </c>
      <c r="FJ198" t="e">
        <f>AND(Exhibitor!#REF!,"AAAAAF1/XqU=")</f>
        <v>#REF!</v>
      </c>
      <c r="FK198" t="e">
        <f>AND(Exhibitor!#REF!,"AAAAAF1/XqY=")</f>
        <v>#REF!</v>
      </c>
      <c r="FL198" t="e">
        <f>AND(Exhibitor!#REF!,"AAAAAF1/Xqc=")</f>
        <v>#REF!</v>
      </c>
      <c r="FM198" t="e">
        <f>AND(Exhibitor!#REF!,"AAAAAF1/Xqg=")</f>
        <v>#REF!</v>
      </c>
      <c r="FN198" t="e">
        <f>AND(Exhibitor!#REF!,"AAAAAF1/Xqk=")</f>
        <v>#REF!</v>
      </c>
      <c r="FO198" t="e">
        <f>AND(Exhibitor!#REF!,"AAAAAF1/Xqo=")</f>
        <v>#REF!</v>
      </c>
      <c r="FP198" t="e">
        <f>AND(Exhibitor!#REF!,"AAAAAF1/Xqs=")</f>
        <v>#REF!</v>
      </c>
      <c r="FQ198" t="e">
        <f>AND(Exhibitor!#REF!,"AAAAAF1/Xqw=")</f>
        <v>#REF!</v>
      </c>
      <c r="FR198" t="e">
        <f>AND(Exhibitor!#REF!,"AAAAAF1/Xq0=")</f>
        <v>#REF!</v>
      </c>
      <c r="FS198" t="e">
        <f>AND(Exhibitor!#REF!,"AAAAAF1/Xq4=")</f>
        <v>#REF!</v>
      </c>
      <c r="FT198" t="e">
        <f>IF(Exhibitor!#REF!,"AAAAAF1/Xq8=",0)</f>
        <v>#REF!</v>
      </c>
      <c r="FU198" t="e">
        <f>AND(Exhibitor!#REF!,"AAAAAF1/XrA=")</f>
        <v>#REF!</v>
      </c>
      <c r="FV198" t="e">
        <f>AND(Exhibitor!#REF!,"AAAAAF1/XrE=")</f>
        <v>#REF!</v>
      </c>
      <c r="FW198" t="e">
        <f>AND(Exhibitor!#REF!,"AAAAAF1/XrI=")</f>
        <v>#REF!</v>
      </c>
      <c r="FX198" t="e">
        <f>AND(Exhibitor!#REF!,"AAAAAF1/XrM=")</f>
        <v>#REF!</v>
      </c>
      <c r="FY198" t="e">
        <f>AND(Exhibitor!#REF!,"AAAAAF1/XrQ=")</f>
        <v>#REF!</v>
      </c>
      <c r="FZ198" t="e">
        <f>AND(Exhibitor!#REF!,"AAAAAF1/XrU=")</f>
        <v>#REF!</v>
      </c>
      <c r="GA198" t="e">
        <f>AND(Exhibitor!#REF!,"AAAAAF1/XrY=")</f>
        <v>#REF!</v>
      </c>
      <c r="GB198" t="e">
        <f>AND(Exhibitor!#REF!,"AAAAAF1/Xrc=")</f>
        <v>#REF!</v>
      </c>
      <c r="GC198" t="e">
        <f>AND(Exhibitor!#REF!,"AAAAAF1/Xrg=")</f>
        <v>#REF!</v>
      </c>
      <c r="GD198" t="e">
        <f>AND(Exhibitor!#REF!,"AAAAAF1/Xrk=")</f>
        <v>#REF!</v>
      </c>
      <c r="GE198" t="e">
        <f>AND(Exhibitor!#REF!,"AAAAAF1/Xro=")</f>
        <v>#REF!</v>
      </c>
      <c r="GF198" t="e">
        <f>AND(Exhibitor!#REF!,"AAAAAF1/Xrs=")</f>
        <v>#REF!</v>
      </c>
      <c r="GG198" t="e">
        <f>AND(Exhibitor!#REF!,"AAAAAF1/Xrw=")</f>
        <v>#REF!</v>
      </c>
      <c r="GH198" t="e">
        <f>IF(Exhibitor!#REF!,"AAAAAF1/Xr0=",0)</f>
        <v>#REF!</v>
      </c>
      <c r="GI198" t="e">
        <f>AND(Exhibitor!#REF!,"AAAAAF1/Xr4=")</f>
        <v>#REF!</v>
      </c>
      <c r="GJ198" t="e">
        <f>AND(Exhibitor!#REF!,"AAAAAF1/Xr8=")</f>
        <v>#REF!</v>
      </c>
      <c r="GK198" t="e">
        <f>AND(Exhibitor!#REF!,"AAAAAF1/XsA=")</f>
        <v>#REF!</v>
      </c>
      <c r="GL198" t="e">
        <f>AND(Exhibitor!#REF!,"AAAAAF1/XsE=")</f>
        <v>#REF!</v>
      </c>
      <c r="GM198" t="e">
        <f>AND(Exhibitor!#REF!,"AAAAAF1/XsI=")</f>
        <v>#REF!</v>
      </c>
      <c r="GN198" t="e">
        <f>AND(Exhibitor!#REF!,"AAAAAF1/XsM=")</f>
        <v>#REF!</v>
      </c>
      <c r="GO198" t="e">
        <f>AND(Exhibitor!#REF!,"AAAAAF1/XsQ=")</f>
        <v>#REF!</v>
      </c>
      <c r="GP198" t="e">
        <f>AND(Exhibitor!#REF!,"AAAAAF1/XsU=")</f>
        <v>#REF!</v>
      </c>
      <c r="GQ198" t="e">
        <f>AND(Exhibitor!#REF!,"AAAAAF1/XsY=")</f>
        <v>#REF!</v>
      </c>
      <c r="GR198" t="e">
        <f>AND(Exhibitor!#REF!,"AAAAAF1/Xsc=")</f>
        <v>#REF!</v>
      </c>
      <c r="GS198" t="e">
        <f>AND(Exhibitor!#REF!,"AAAAAF1/Xsg=")</f>
        <v>#REF!</v>
      </c>
      <c r="GT198" t="e">
        <f>AND(Exhibitor!#REF!,"AAAAAF1/Xsk=")</f>
        <v>#REF!</v>
      </c>
      <c r="GU198" t="e">
        <f>AND(Exhibitor!#REF!,"AAAAAF1/Xso=")</f>
        <v>#REF!</v>
      </c>
      <c r="GV198" t="e">
        <f>IF(Exhibitor!#REF!,"AAAAAF1/Xss=",0)</f>
        <v>#REF!</v>
      </c>
      <c r="GW198" t="e">
        <f>AND(Exhibitor!#REF!,"AAAAAF1/Xsw=")</f>
        <v>#REF!</v>
      </c>
      <c r="GX198" t="e">
        <f>AND(Exhibitor!#REF!,"AAAAAF1/Xs0=")</f>
        <v>#REF!</v>
      </c>
      <c r="GY198" t="e">
        <f>AND(Exhibitor!#REF!,"AAAAAF1/Xs4=")</f>
        <v>#REF!</v>
      </c>
      <c r="GZ198" t="e">
        <f>AND(Exhibitor!#REF!,"AAAAAF1/Xs8=")</f>
        <v>#REF!</v>
      </c>
      <c r="HA198" t="e">
        <f>AND(Exhibitor!#REF!,"AAAAAF1/XtA=")</f>
        <v>#REF!</v>
      </c>
      <c r="HB198" t="e">
        <f>AND(Exhibitor!#REF!,"AAAAAF1/XtE=")</f>
        <v>#REF!</v>
      </c>
      <c r="HC198" t="e">
        <f>AND(Exhibitor!#REF!,"AAAAAF1/XtI=")</f>
        <v>#REF!</v>
      </c>
      <c r="HD198" t="e">
        <f>AND(Exhibitor!#REF!,"AAAAAF1/XtM=")</f>
        <v>#REF!</v>
      </c>
      <c r="HE198" t="e">
        <f>AND(Exhibitor!#REF!,"AAAAAF1/XtQ=")</f>
        <v>#REF!</v>
      </c>
      <c r="HF198" t="e">
        <f>AND(Exhibitor!#REF!,"AAAAAF1/XtU=")</f>
        <v>#REF!</v>
      </c>
      <c r="HG198" t="e">
        <f>AND(Exhibitor!#REF!,"AAAAAF1/XtY=")</f>
        <v>#REF!</v>
      </c>
      <c r="HH198" t="e">
        <f>AND(Exhibitor!#REF!,"AAAAAF1/Xtc=")</f>
        <v>#REF!</v>
      </c>
      <c r="HI198" t="e">
        <f>AND(Exhibitor!#REF!,"AAAAAF1/Xtg=")</f>
        <v>#REF!</v>
      </c>
      <c r="HJ198" t="e">
        <f>IF(Exhibitor!#REF!,"AAAAAF1/Xtk=",0)</f>
        <v>#REF!</v>
      </c>
      <c r="HK198" t="e">
        <f>AND(Exhibitor!#REF!,"AAAAAF1/Xto=")</f>
        <v>#REF!</v>
      </c>
      <c r="HL198" t="e">
        <f>AND(Exhibitor!#REF!,"AAAAAF1/Xts=")</f>
        <v>#REF!</v>
      </c>
      <c r="HM198" t="e">
        <f>AND(Exhibitor!#REF!,"AAAAAF1/Xtw=")</f>
        <v>#REF!</v>
      </c>
      <c r="HN198" t="e">
        <f>AND(Exhibitor!#REF!,"AAAAAF1/Xt0=")</f>
        <v>#REF!</v>
      </c>
      <c r="HO198" t="e">
        <f>AND(Exhibitor!#REF!,"AAAAAF1/Xt4=")</f>
        <v>#REF!</v>
      </c>
      <c r="HP198" t="e">
        <f>AND(Exhibitor!#REF!,"AAAAAF1/Xt8=")</f>
        <v>#REF!</v>
      </c>
      <c r="HQ198" t="e">
        <f>AND(Exhibitor!#REF!,"AAAAAF1/XuA=")</f>
        <v>#REF!</v>
      </c>
      <c r="HR198" t="e">
        <f>AND(Exhibitor!#REF!,"AAAAAF1/XuE=")</f>
        <v>#REF!</v>
      </c>
      <c r="HS198" t="e">
        <f>AND(Exhibitor!#REF!,"AAAAAF1/XuI=")</f>
        <v>#REF!</v>
      </c>
      <c r="HT198" t="e">
        <f>AND(Exhibitor!#REF!,"AAAAAF1/XuM=")</f>
        <v>#REF!</v>
      </c>
      <c r="HU198" t="e">
        <f>AND(Exhibitor!#REF!,"AAAAAF1/XuQ=")</f>
        <v>#REF!</v>
      </c>
      <c r="HV198" t="e">
        <f>AND(Exhibitor!#REF!,"AAAAAF1/XuU=")</f>
        <v>#REF!</v>
      </c>
      <c r="HW198" t="e">
        <f>AND(Exhibitor!#REF!,"AAAAAF1/XuY=")</f>
        <v>#REF!</v>
      </c>
      <c r="HX198" t="e">
        <f>IF(Exhibitor!#REF!,"AAAAAF1/Xuc=",0)</f>
        <v>#REF!</v>
      </c>
      <c r="HY198" t="e">
        <f>AND(Exhibitor!#REF!,"AAAAAF1/Xug=")</f>
        <v>#REF!</v>
      </c>
      <c r="HZ198" t="e">
        <f>AND(Exhibitor!#REF!,"AAAAAF1/Xuk=")</f>
        <v>#REF!</v>
      </c>
      <c r="IA198" t="e">
        <f>AND(Exhibitor!#REF!,"AAAAAF1/Xuo=")</f>
        <v>#REF!</v>
      </c>
      <c r="IB198" t="e">
        <f>AND(Exhibitor!#REF!,"AAAAAF1/Xus=")</f>
        <v>#REF!</v>
      </c>
      <c r="IC198" t="e">
        <f>AND(Exhibitor!#REF!,"AAAAAF1/Xuw=")</f>
        <v>#REF!</v>
      </c>
      <c r="ID198" t="e">
        <f>AND(Exhibitor!#REF!,"AAAAAF1/Xu0=")</f>
        <v>#REF!</v>
      </c>
      <c r="IE198" t="e">
        <f>AND(Exhibitor!#REF!,"AAAAAF1/Xu4=")</f>
        <v>#REF!</v>
      </c>
      <c r="IF198" t="e">
        <f>AND(Exhibitor!#REF!,"AAAAAF1/Xu8=")</f>
        <v>#REF!</v>
      </c>
      <c r="IG198" t="e">
        <f>AND(Exhibitor!#REF!,"AAAAAF1/XvA=")</f>
        <v>#REF!</v>
      </c>
      <c r="IH198" t="e">
        <f>AND(Exhibitor!#REF!,"AAAAAF1/XvE=")</f>
        <v>#REF!</v>
      </c>
      <c r="II198" t="e">
        <f>AND(Exhibitor!#REF!,"AAAAAF1/XvI=")</f>
        <v>#REF!</v>
      </c>
      <c r="IJ198" t="e">
        <f>AND(Exhibitor!#REF!,"AAAAAF1/XvM=")</f>
        <v>#REF!</v>
      </c>
      <c r="IK198" t="e">
        <f>AND(Exhibitor!#REF!,"AAAAAF1/XvQ=")</f>
        <v>#REF!</v>
      </c>
      <c r="IL198" t="e">
        <f>IF(Exhibitor!#REF!,"AAAAAF1/XvU=",0)</f>
        <v>#REF!</v>
      </c>
      <c r="IM198" t="e">
        <f>AND(Exhibitor!#REF!,"AAAAAF1/XvY=")</f>
        <v>#REF!</v>
      </c>
      <c r="IN198" t="e">
        <f>AND(Exhibitor!#REF!,"AAAAAF1/Xvc=")</f>
        <v>#REF!</v>
      </c>
      <c r="IO198" t="e">
        <f>AND(Exhibitor!#REF!,"AAAAAF1/Xvg=")</f>
        <v>#REF!</v>
      </c>
      <c r="IP198" t="e">
        <f>AND(Exhibitor!#REF!,"AAAAAF1/Xvk=")</f>
        <v>#REF!</v>
      </c>
      <c r="IQ198" t="e">
        <f>AND(Exhibitor!#REF!,"AAAAAF1/Xvo=")</f>
        <v>#REF!</v>
      </c>
      <c r="IR198" t="e">
        <f>AND(Exhibitor!#REF!,"AAAAAF1/Xvs=")</f>
        <v>#REF!</v>
      </c>
      <c r="IS198" t="e">
        <f>AND(Exhibitor!#REF!,"AAAAAF1/Xvw=")</f>
        <v>#REF!</v>
      </c>
      <c r="IT198" t="e">
        <f>AND(Exhibitor!#REF!,"AAAAAF1/Xv0=")</f>
        <v>#REF!</v>
      </c>
      <c r="IU198" t="e">
        <f>AND(Exhibitor!#REF!,"AAAAAF1/Xv4=")</f>
        <v>#REF!</v>
      </c>
      <c r="IV198" t="e">
        <f>AND(Exhibitor!#REF!,"AAAAAF1/Xv8=")</f>
        <v>#REF!</v>
      </c>
    </row>
    <row r="199" spans="1:256" x14ac:dyDescent="0.2">
      <c r="A199" t="e">
        <f>AND(Exhibitor!#REF!,"AAAAACu/vgA=")</f>
        <v>#REF!</v>
      </c>
      <c r="B199" t="e">
        <f>AND(Exhibitor!#REF!,"AAAAACu/vgE=")</f>
        <v>#REF!</v>
      </c>
      <c r="C199" t="e">
        <f>AND(Exhibitor!#REF!,"AAAAACu/vgI=")</f>
        <v>#REF!</v>
      </c>
      <c r="D199" t="e">
        <f>IF(Exhibitor!#REF!,"AAAAACu/vgM=",0)</f>
        <v>#REF!</v>
      </c>
      <c r="E199" t="e">
        <f>AND(Exhibitor!#REF!,"AAAAACu/vgQ=")</f>
        <v>#REF!</v>
      </c>
      <c r="F199" t="e">
        <f>AND(Exhibitor!#REF!,"AAAAACu/vgU=")</f>
        <v>#REF!</v>
      </c>
      <c r="G199" t="e">
        <f>AND(Exhibitor!#REF!,"AAAAACu/vgY=")</f>
        <v>#REF!</v>
      </c>
      <c r="H199" t="e">
        <f>AND(Exhibitor!#REF!,"AAAAACu/vgc=")</f>
        <v>#REF!</v>
      </c>
      <c r="I199" t="e">
        <f>AND(Exhibitor!#REF!,"AAAAACu/vgg=")</f>
        <v>#REF!</v>
      </c>
      <c r="J199" t="e">
        <f>AND(Exhibitor!#REF!,"AAAAACu/vgk=")</f>
        <v>#REF!</v>
      </c>
      <c r="K199" t="e">
        <f>AND(Exhibitor!#REF!,"AAAAACu/vgo=")</f>
        <v>#REF!</v>
      </c>
      <c r="L199" t="e">
        <f>AND(Exhibitor!#REF!,"AAAAACu/vgs=")</f>
        <v>#REF!</v>
      </c>
      <c r="M199" t="e">
        <f>AND(Exhibitor!#REF!,"AAAAACu/vgw=")</f>
        <v>#REF!</v>
      </c>
      <c r="N199" t="e">
        <f>AND(Exhibitor!#REF!,"AAAAACu/vg0=")</f>
        <v>#REF!</v>
      </c>
      <c r="O199" t="e">
        <f>AND(Exhibitor!#REF!,"AAAAACu/vg4=")</f>
        <v>#REF!</v>
      </c>
      <c r="P199" t="e">
        <f>AND(Exhibitor!#REF!,"AAAAACu/vg8=")</f>
        <v>#REF!</v>
      </c>
      <c r="Q199" t="e">
        <f>AND(Exhibitor!#REF!,"AAAAACu/vhA=")</f>
        <v>#REF!</v>
      </c>
      <c r="R199" t="e">
        <f>IF(Exhibitor!#REF!,"AAAAACu/vhE=",0)</f>
        <v>#REF!</v>
      </c>
      <c r="S199" t="e">
        <f>AND(Exhibitor!#REF!,"AAAAACu/vhI=")</f>
        <v>#REF!</v>
      </c>
      <c r="T199" t="e">
        <f>AND(Exhibitor!#REF!,"AAAAACu/vhM=")</f>
        <v>#REF!</v>
      </c>
      <c r="U199" t="e">
        <f>AND(Exhibitor!#REF!,"AAAAACu/vhQ=")</f>
        <v>#REF!</v>
      </c>
      <c r="V199" t="e">
        <f>AND(Exhibitor!#REF!,"AAAAACu/vhU=")</f>
        <v>#REF!</v>
      </c>
      <c r="W199" t="e">
        <f>AND(Exhibitor!#REF!,"AAAAACu/vhY=")</f>
        <v>#REF!</v>
      </c>
      <c r="X199" t="e">
        <f>AND(Exhibitor!#REF!,"AAAAACu/vhc=")</f>
        <v>#REF!</v>
      </c>
      <c r="Y199" t="e">
        <f>AND(Exhibitor!#REF!,"AAAAACu/vhg=")</f>
        <v>#REF!</v>
      </c>
      <c r="Z199" t="e">
        <f>AND(Exhibitor!#REF!,"AAAAACu/vhk=")</f>
        <v>#REF!</v>
      </c>
      <c r="AA199" t="e">
        <f>AND(Exhibitor!#REF!,"AAAAACu/vho=")</f>
        <v>#REF!</v>
      </c>
      <c r="AB199" t="e">
        <f>AND(Exhibitor!#REF!,"AAAAACu/vhs=")</f>
        <v>#REF!</v>
      </c>
      <c r="AC199" t="e">
        <f>AND(Exhibitor!#REF!,"AAAAACu/vhw=")</f>
        <v>#REF!</v>
      </c>
      <c r="AD199" t="e">
        <f>AND(Exhibitor!#REF!,"AAAAACu/vh0=")</f>
        <v>#REF!</v>
      </c>
      <c r="AE199" t="e">
        <f>AND(Exhibitor!#REF!,"AAAAACu/vh4=")</f>
        <v>#REF!</v>
      </c>
      <c r="AF199" t="e">
        <f>IF(Exhibitor!#REF!,"AAAAACu/vh8=",0)</f>
        <v>#REF!</v>
      </c>
      <c r="AG199" t="e">
        <f>AND(Exhibitor!#REF!,"AAAAACu/viA=")</f>
        <v>#REF!</v>
      </c>
      <c r="AH199" t="e">
        <f>AND(Exhibitor!#REF!,"AAAAACu/viE=")</f>
        <v>#REF!</v>
      </c>
      <c r="AI199" t="e">
        <f>AND(Exhibitor!#REF!,"AAAAACu/viI=")</f>
        <v>#REF!</v>
      </c>
      <c r="AJ199" t="e">
        <f>AND(Exhibitor!#REF!,"AAAAACu/viM=")</f>
        <v>#REF!</v>
      </c>
      <c r="AK199" t="e">
        <f>AND(Exhibitor!#REF!,"AAAAACu/viQ=")</f>
        <v>#REF!</v>
      </c>
      <c r="AL199" t="e">
        <f>AND(Exhibitor!#REF!,"AAAAACu/viU=")</f>
        <v>#REF!</v>
      </c>
      <c r="AM199" t="e">
        <f>AND(Exhibitor!#REF!,"AAAAACu/viY=")</f>
        <v>#REF!</v>
      </c>
      <c r="AN199" t="e">
        <f>AND(Exhibitor!#REF!,"AAAAACu/vic=")</f>
        <v>#REF!</v>
      </c>
      <c r="AO199" t="e">
        <f>AND(Exhibitor!#REF!,"AAAAACu/vig=")</f>
        <v>#REF!</v>
      </c>
      <c r="AP199" t="e">
        <f>AND(Exhibitor!#REF!,"AAAAACu/vik=")</f>
        <v>#REF!</v>
      </c>
      <c r="AQ199" t="e">
        <f>AND(Exhibitor!#REF!,"AAAAACu/vio=")</f>
        <v>#REF!</v>
      </c>
      <c r="AR199" t="e">
        <f>AND(Exhibitor!#REF!,"AAAAACu/vis=")</f>
        <v>#REF!</v>
      </c>
      <c r="AS199" t="e">
        <f>AND(Exhibitor!#REF!,"AAAAACu/viw=")</f>
        <v>#REF!</v>
      </c>
      <c r="AT199" t="e">
        <f>IF(Exhibitor!#REF!,"AAAAACu/vi0=",0)</f>
        <v>#REF!</v>
      </c>
      <c r="AU199" t="e">
        <f>AND(Exhibitor!#REF!,"AAAAACu/vi4=")</f>
        <v>#REF!</v>
      </c>
      <c r="AV199" t="e">
        <f>AND(Exhibitor!#REF!,"AAAAACu/vi8=")</f>
        <v>#REF!</v>
      </c>
      <c r="AW199" t="e">
        <f>AND(Exhibitor!#REF!,"AAAAACu/vjA=")</f>
        <v>#REF!</v>
      </c>
      <c r="AX199" t="e">
        <f>AND(Exhibitor!#REF!,"AAAAACu/vjE=")</f>
        <v>#REF!</v>
      </c>
      <c r="AY199" t="e">
        <f>AND(Exhibitor!#REF!,"AAAAACu/vjI=")</f>
        <v>#REF!</v>
      </c>
      <c r="AZ199" t="e">
        <f>AND(Exhibitor!#REF!,"AAAAACu/vjM=")</f>
        <v>#REF!</v>
      </c>
      <c r="BA199" t="e">
        <f>AND(Exhibitor!#REF!,"AAAAACu/vjQ=")</f>
        <v>#REF!</v>
      </c>
      <c r="BB199" t="e">
        <f>AND(Exhibitor!#REF!,"AAAAACu/vjU=")</f>
        <v>#REF!</v>
      </c>
      <c r="BC199" t="e">
        <f>AND(Exhibitor!#REF!,"AAAAACu/vjY=")</f>
        <v>#REF!</v>
      </c>
      <c r="BD199" t="e">
        <f>AND(Exhibitor!#REF!,"AAAAACu/vjc=")</f>
        <v>#REF!</v>
      </c>
      <c r="BE199" t="e">
        <f>AND(Exhibitor!#REF!,"AAAAACu/vjg=")</f>
        <v>#REF!</v>
      </c>
      <c r="BF199" t="e">
        <f>AND(Exhibitor!#REF!,"AAAAACu/vjk=")</f>
        <v>#REF!</v>
      </c>
      <c r="BG199" t="e">
        <f>AND(Exhibitor!#REF!,"AAAAACu/vjo=")</f>
        <v>#REF!</v>
      </c>
      <c r="BH199" t="e">
        <f>IF(Exhibitor!#REF!,"AAAAACu/vjs=",0)</f>
        <v>#REF!</v>
      </c>
      <c r="BI199" t="e">
        <f>AND(Exhibitor!#REF!,"AAAAACu/vjw=")</f>
        <v>#REF!</v>
      </c>
      <c r="BJ199" t="e">
        <f>AND(Exhibitor!#REF!,"AAAAACu/vj0=")</f>
        <v>#REF!</v>
      </c>
      <c r="BK199" t="e">
        <f>AND(Exhibitor!#REF!,"AAAAACu/vj4=")</f>
        <v>#REF!</v>
      </c>
      <c r="BL199" t="e">
        <f>AND(Exhibitor!#REF!,"AAAAACu/vj8=")</f>
        <v>#REF!</v>
      </c>
      <c r="BM199" t="e">
        <f>AND(Exhibitor!#REF!,"AAAAACu/vkA=")</f>
        <v>#REF!</v>
      </c>
      <c r="BN199" t="e">
        <f>AND(Exhibitor!#REF!,"AAAAACu/vkE=")</f>
        <v>#REF!</v>
      </c>
      <c r="BO199" t="e">
        <f>AND(Exhibitor!#REF!,"AAAAACu/vkI=")</f>
        <v>#REF!</v>
      </c>
      <c r="BP199" t="e">
        <f>AND(Exhibitor!#REF!,"AAAAACu/vkM=")</f>
        <v>#REF!</v>
      </c>
      <c r="BQ199" t="e">
        <f>AND(Exhibitor!#REF!,"AAAAACu/vkQ=")</f>
        <v>#REF!</v>
      </c>
      <c r="BR199" t="e">
        <f>AND(Exhibitor!#REF!,"AAAAACu/vkU=")</f>
        <v>#REF!</v>
      </c>
      <c r="BS199" t="e">
        <f>AND(Exhibitor!#REF!,"AAAAACu/vkY=")</f>
        <v>#REF!</v>
      </c>
      <c r="BT199" t="e">
        <f>AND(Exhibitor!#REF!,"AAAAACu/vkc=")</f>
        <v>#REF!</v>
      </c>
      <c r="BU199" t="e">
        <f>AND(Exhibitor!#REF!,"AAAAACu/vkg=")</f>
        <v>#REF!</v>
      </c>
      <c r="BV199" t="e">
        <f>IF(Exhibitor!#REF!,"AAAAACu/vkk=",0)</f>
        <v>#REF!</v>
      </c>
      <c r="BW199" t="e">
        <f>AND(Exhibitor!#REF!,"AAAAACu/vko=")</f>
        <v>#REF!</v>
      </c>
      <c r="BX199" t="e">
        <f>AND(Exhibitor!#REF!,"AAAAACu/vks=")</f>
        <v>#REF!</v>
      </c>
      <c r="BY199" t="e">
        <f>AND(Exhibitor!#REF!,"AAAAACu/vkw=")</f>
        <v>#REF!</v>
      </c>
      <c r="BZ199" t="e">
        <f>AND(Exhibitor!#REF!,"AAAAACu/vk0=")</f>
        <v>#REF!</v>
      </c>
      <c r="CA199" t="e">
        <f>AND(Exhibitor!#REF!,"AAAAACu/vk4=")</f>
        <v>#REF!</v>
      </c>
      <c r="CB199" t="e">
        <f>AND(Exhibitor!#REF!,"AAAAACu/vk8=")</f>
        <v>#REF!</v>
      </c>
      <c r="CC199" t="e">
        <f>AND(Exhibitor!#REF!,"AAAAACu/vlA=")</f>
        <v>#REF!</v>
      </c>
      <c r="CD199" t="e">
        <f>AND(Exhibitor!#REF!,"AAAAACu/vlE=")</f>
        <v>#REF!</v>
      </c>
      <c r="CE199" t="e">
        <f>AND(Exhibitor!#REF!,"AAAAACu/vlI=")</f>
        <v>#REF!</v>
      </c>
      <c r="CF199" t="e">
        <f>AND(Exhibitor!#REF!,"AAAAACu/vlM=")</f>
        <v>#REF!</v>
      </c>
      <c r="CG199" t="e">
        <f>AND(Exhibitor!#REF!,"AAAAACu/vlQ=")</f>
        <v>#REF!</v>
      </c>
      <c r="CH199" t="e">
        <f>AND(Exhibitor!#REF!,"AAAAACu/vlU=")</f>
        <v>#REF!</v>
      </c>
      <c r="CI199" t="e">
        <f>AND(Exhibitor!#REF!,"AAAAACu/vlY=")</f>
        <v>#REF!</v>
      </c>
      <c r="CJ199" t="e">
        <f>IF(Exhibitor!#REF!,"AAAAACu/vlc=",0)</f>
        <v>#REF!</v>
      </c>
      <c r="CK199" t="e">
        <f>AND(Exhibitor!#REF!,"AAAAACu/vlg=")</f>
        <v>#REF!</v>
      </c>
      <c r="CL199" t="e">
        <f>AND(Exhibitor!#REF!,"AAAAACu/vlk=")</f>
        <v>#REF!</v>
      </c>
      <c r="CM199" t="e">
        <f>AND(Exhibitor!#REF!,"AAAAACu/vlo=")</f>
        <v>#REF!</v>
      </c>
      <c r="CN199" t="e">
        <f>AND(Exhibitor!#REF!,"AAAAACu/vls=")</f>
        <v>#REF!</v>
      </c>
      <c r="CO199" t="e">
        <f>AND(Exhibitor!#REF!,"AAAAACu/vlw=")</f>
        <v>#REF!</v>
      </c>
      <c r="CP199" t="e">
        <f>AND(Exhibitor!#REF!,"AAAAACu/vl0=")</f>
        <v>#REF!</v>
      </c>
      <c r="CQ199" t="e">
        <f>AND(Exhibitor!#REF!,"AAAAACu/vl4=")</f>
        <v>#REF!</v>
      </c>
      <c r="CR199" t="e">
        <f>AND(Exhibitor!#REF!,"AAAAACu/vl8=")</f>
        <v>#REF!</v>
      </c>
      <c r="CS199" t="e">
        <f>AND(Exhibitor!#REF!,"AAAAACu/vmA=")</f>
        <v>#REF!</v>
      </c>
      <c r="CT199" t="e">
        <f>AND(Exhibitor!#REF!,"AAAAACu/vmE=")</f>
        <v>#REF!</v>
      </c>
      <c r="CU199" t="e">
        <f>AND(Exhibitor!#REF!,"AAAAACu/vmI=")</f>
        <v>#REF!</v>
      </c>
      <c r="CV199" t="e">
        <f>AND(Exhibitor!#REF!,"AAAAACu/vmM=")</f>
        <v>#REF!</v>
      </c>
      <c r="CW199" t="e">
        <f>AND(Exhibitor!#REF!,"AAAAACu/vmQ=")</f>
        <v>#REF!</v>
      </c>
      <c r="CX199" t="e">
        <f>IF(Exhibitor!#REF!,"AAAAACu/vmU=",0)</f>
        <v>#REF!</v>
      </c>
      <c r="CY199" t="e">
        <f>AND(Exhibitor!#REF!,"AAAAACu/vmY=")</f>
        <v>#REF!</v>
      </c>
      <c r="CZ199" t="e">
        <f>AND(Exhibitor!#REF!,"AAAAACu/vmc=")</f>
        <v>#REF!</v>
      </c>
      <c r="DA199" t="e">
        <f>AND(Exhibitor!#REF!,"AAAAACu/vmg=")</f>
        <v>#REF!</v>
      </c>
      <c r="DB199" t="e">
        <f>AND(Exhibitor!#REF!,"AAAAACu/vmk=")</f>
        <v>#REF!</v>
      </c>
      <c r="DC199" t="e">
        <f>AND(Exhibitor!#REF!,"AAAAACu/vmo=")</f>
        <v>#REF!</v>
      </c>
      <c r="DD199" t="e">
        <f>AND(Exhibitor!#REF!,"AAAAACu/vms=")</f>
        <v>#REF!</v>
      </c>
      <c r="DE199" t="e">
        <f>AND(Exhibitor!#REF!,"AAAAACu/vmw=")</f>
        <v>#REF!</v>
      </c>
      <c r="DF199" t="e">
        <f>AND(Exhibitor!#REF!,"AAAAACu/vm0=")</f>
        <v>#REF!</v>
      </c>
      <c r="DG199" t="e">
        <f>AND(Exhibitor!#REF!,"AAAAACu/vm4=")</f>
        <v>#REF!</v>
      </c>
      <c r="DH199" t="e">
        <f>AND(Exhibitor!#REF!,"AAAAACu/vm8=")</f>
        <v>#REF!</v>
      </c>
      <c r="DI199" t="e">
        <f>AND(Exhibitor!#REF!,"AAAAACu/vnA=")</f>
        <v>#REF!</v>
      </c>
      <c r="DJ199" t="e">
        <f>AND(Exhibitor!#REF!,"AAAAACu/vnE=")</f>
        <v>#REF!</v>
      </c>
      <c r="DK199" t="e">
        <f>AND(Exhibitor!#REF!,"AAAAACu/vnI=")</f>
        <v>#REF!</v>
      </c>
      <c r="DL199" t="e">
        <f>IF(Exhibitor!#REF!,"AAAAACu/vnM=",0)</f>
        <v>#REF!</v>
      </c>
      <c r="DM199" t="e">
        <f>AND(Exhibitor!#REF!,"AAAAACu/vnQ=")</f>
        <v>#REF!</v>
      </c>
      <c r="DN199" t="e">
        <f>AND(Exhibitor!#REF!,"AAAAACu/vnU=")</f>
        <v>#REF!</v>
      </c>
      <c r="DO199" t="e">
        <f>AND(Exhibitor!#REF!,"AAAAACu/vnY=")</f>
        <v>#REF!</v>
      </c>
      <c r="DP199" t="e">
        <f>AND(Exhibitor!#REF!,"AAAAACu/vnc=")</f>
        <v>#REF!</v>
      </c>
      <c r="DQ199" t="e">
        <f>AND(Exhibitor!#REF!,"AAAAACu/vng=")</f>
        <v>#REF!</v>
      </c>
      <c r="DR199" t="e">
        <f>AND(Exhibitor!#REF!,"AAAAACu/vnk=")</f>
        <v>#REF!</v>
      </c>
      <c r="DS199" t="e">
        <f>AND(Exhibitor!#REF!,"AAAAACu/vno=")</f>
        <v>#REF!</v>
      </c>
      <c r="DT199" t="e">
        <f>AND(Exhibitor!#REF!,"AAAAACu/vns=")</f>
        <v>#REF!</v>
      </c>
      <c r="DU199" t="e">
        <f>AND(Exhibitor!#REF!,"AAAAACu/vnw=")</f>
        <v>#REF!</v>
      </c>
      <c r="DV199" t="e">
        <f>AND(Exhibitor!#REF!,"AAAAACu/vn0=")</f>
        <v>#REF!</v>
      </c>
      <c r="DW199" t="e">
        <f>AND(Exhibitor!#REF!,"AAAAACu/vn4=")</f>
        <v>#REF!</v>
      </c>
      <c r="DX199" t="e">
        <f>AND(Exhibitor!#REF!,"AAAAACu/vn8=")</f>
        <v>#REF!</v>
      </c>
      <c r="DY199" t="e">
        <f>AND(Exhibitor!#REF!,"AAAAACu/voA=")</f>
        <v>#REF!</v>
      </c>
      <c r="DZ199" t="e">
        <f>IF(Exhibitor!#REF!,"AAAAACu/voE=",0)</f>
        <v>#REF!</v>
      </c>
      <c r="EA199" t="e">
        <f>AND(Exhibitor!#REF!,"AAAAACu/voI=")</f>
        <v>#REF!</v>
      </c>
      <c r="EB199" t="e">
        <f>AND(Exhibitor!#REF!,"AAAAACu/voM=")</f>
        <v>#REF!</v>
      </c>
      <c r="EC199" t="e">
        <f>AND(Exhibitor!#REF!,"AAAAACu/voQ=")</f>
        <v>#REF!</v>
      </c>
      <c r="ED199" t="e">
        <f>AND(Exhibitor!#REF!,"AAAAACu/voU=")</f>
        <v>#REF!</v>
      </c>
      <c r="EE199" t="e">
        <f>AND(Exhibitor!#REF!,"AAAAACu/voY=")</f>
        <v>#REF!</v>
      </c>
      <c r="EF199" t="e">
        <f>AND(Exhibitor!#REF!,"AAAAACu/voc=")</f>
        <v>#REF!</v>
      </c>
      <c r="EG199" t="e">
        <f>AND(Exhibitor!#REF!,"AAAAACu/vog=")</f>
        <v>#REF!</v>
      </c>
      <c r="EH199" t="e">
        <f>AND(Exhibitor!#REF!,"AAAAACu/vok=")</f>
        <v>#REF!</v>
      </c>
      <c r="EI199" t="e">
        <f>AND(Exhibitor!#REF!,"AAAAACu/voo=")</f>
        <v>#REF!</v>
      </c>
      <c r="EJ199" t="e">
        <f>AND(Exhibitor!#REF!,"AAAAACu/vos=")</f>
        <v>#REF!</v>
      </c>
      <c r="EK199" t="e">
        <f>AND(Exhibitor!#REF!,"AAAAACu/vow=")</f>
        <v>#REF!</v>
      </c>
      <c r="EL199" t="e">
        <f>AND(Exhibitor!#REF!,"AAAAACu/vo0=")</f>
        <v>#REF!</v>
      </c>
      <c r="EM199" t="e">
        <f>AND(Exhibitor!#REF!,"AAAAACu/vo4=")</f>
        <v>#REF!</v>
      </c>
      <c r="EN199" t="e">
        <f>IF(Exhibitor!#REF!,"AAAAACu/vo8=",0)</f>
        <v>#REF!</v>
      </c>
      <c r="EO199" t="e">
        <f>AND(Exhibitor!#REF!,"AAAAACu/vpA=")</f>
        <v>#REF!</v>
      </c>
      <c r="EP199" t="e">
        <f>AND(Exhibitor!#REF!,"AAAAACu/vpE=")</f>
        <v>#REF!</v>
      </c>
      <c r="EQ199" t="e">
        <f>AND(Exhibitor!#REF!,"AAAAACu/vpI=")</f>
        <v>#REF!</v>
      </c>
      <c r="ER199" t="e">
        <f>AND(Exhibitor!#REF!,"AAAAACu/vpM=")</f>
        <v>#REF!</v>
      </c>
      <c r="ES199" t="e">
        <f>AND(Exhibitor!#REF!,"AAAAACu/vpQ=")</f>
        <v>#REF!</v>
      </c>
      <c r="ET199" t="e">
        <f>AND(Exhibitor!#REF!,"AAAAACu/vpU=")</f>
        <v>#REF!</v>
      </c>
      <c r="EU199" t="e">
        <f>AND(Exhibitor!#REF!,"AAAAACu/vpY=")</f>
        <v>#REF!</v>
      </c>
      <c r="EV199" t="e">
        <f>AND(Exhibitor!#REF!,"AAAAACu/vpc=")</f>
        <v>#REF!</v>
      </c>
      <c r="EW199" t="e">
        <f>AND(Exhibitor!#REF!,"AAAAACu/vpg=")</f>
        <v>#REF!</v>
      </c>
      <c r="EX199" t="e">
        <f>AND(Exhibitor!#REF!,"AAAAACu/vpk=")</f>
        <v>#REF!</v>
      </c>
      <c r="EY199" t="e">
        <f>AND(Exhibitor!#REF!,"AAAAACu/vpo=")</f>
        <v>#REF!</v>
      </c>
      <c r="EZ199" t="e">
        <f>AND(Exhibitor!#REF!,"AAAAACu/vps=")</f>
        <v>#REF!</v>
      </c>
      <c r="FA199" t="e">
        <f>AND(Exhibitor!#REF!,"AAAAACu/vpw=")</f>
        <v>#REF!</v>
      </c>
      <c r="FB199" t="e">
        <f>IF(Exhibitor!#REF!,"AAAAACu/vp0=",0)</f>
        <v>#REF!</v>
      </c>
      <c r="FC199" t="e">
        <f>AND(Exhibitor!#REF!,"AAAAACu/vp4=")</f>
        <v>#REF!</v>
      </c>
      <c r="FD199" t="e">
        <f>AND(Exhibitor!#REF!,"AAAAACu/vp8=")</f>
        <v>#REF!</v>
      </c>
      <c r="FE199" t="e">
        <f>AND(Exhibitor!#REF!,"AAAAACu/vqA=")</f>
        <v>#REF!</v>
      </c>
      <c r="FF199" t="e">
        <f>AND(Exhibitor!#REF!,"AAAAACu/vqE=")</f>
        <v>#REF!</v>
      </c>
      <c r="FG199" t="e">
        <f>AND(Exhibitor!#REF!,"AAAAACu/vqI=")</f>
        <v>#REF!</v>
      </c>
      <c r="FH199" t="e">
        <f>AND(Exhibitor!#REF!,"AAAAACu/vqM=")</f>
        <v>#REF!</v>
      </c>
      <c r="FI199" t="e">
        <f>AND(Exhibitor!#REF!,"AAAAACu/vqQ=")</f>
        <v>#REF!</v>
      </c>
      <c r="FJ199" t="e">
        <f>AND(Exhibitor!#REF!,"AAAAACu/vqU=")</f>
        <v>#REF!</v>
      </c>
      <c r="FK199" t="e">
        <f>AND(Exhibitor!#REF!,"AAAAACu/vqY=")</f>
        <v>#REF!</v>
      </c>
      <c r="FL199" t="e">
        <f>AND(Exhibitor!#REF!,"AAAAACu/vqc=")</f>
        <v>#REF!</v>
      </c>
      <c r="FM199" t="e">
        <f>AND(Exhibitor!#REF!,"AAAAACu/vqg=")</f>
        <v>#REF!</v>
      </c>
      <c r="FN199" t="e">
        <f>AND(Exhibitor!#REF!,"AAAAACu/vqk=")</f>
        <v>#REF!</v>
      </c>
      <c r="FO199" t="e">
        <f>AND(Exhibitor!#REF!,"AAAAACu/vqo=")</f>
        <v>#REF!</v>
      </c>
      <c r="FP199" t="e">
        <f>IF(Exhibitor!#REF!,"AAAAACu/vqs=",0)</f>
        <v>#REF!</v>
      </c>
      <c r="FQ199" t="e">
        <f>AND(Exhibitor!#REF!,"AAAAACu/vqw=")</f>
        <v>#REF!</v>
      </c>
      <c r="FR199" t="e">
        <f>AND(Exhibitor!#REF!,"AAAAACu/vq0=")</f>
        <v>#REF!</v>
      </c>
      <c r="FS199" t="e">
        <f>AND(Exhibitor!#REF!,"AAAAACu/vq4=")</f>
        <v>#REF!</v>
      </c>
      <c r="FT199" t="e">
        <f>AND(Exhibitor!#REF!,"AAAAACu/vq8=")</f>
        <v>#REF!</v>
      </c>
      <c r="FU199" t="e">
        <f>AND(Exhibitor!#REF!,"AAAAACu/vrA=")</f>
        <v>#REF!</v>
      </c>
      <c r="FV199" t="e">
        <f>AND(Exhibitor!#REF!,"AAAAACu/vrE=")</f>
        <v>#REF!</v>
      </c>
      <c r="FW199" t="e">
        <f>AND(Exhibitor!#REF!,"AAAAACu/vrI=")</f>
        <v>#REF!</v>
      </c>
      <c r="FX199" t="e">
        <f>AND(Exhibitor!#REF!,"AAAAACu/vrM=")</f>
        <v>#REF!</v>
      </c>
      <c r="FY199" t="e">
        <f>AND(Exhibitor!#REF!,"AAAAACu/vrQ=")</f>
        <v>#REF!</v>
      </c>
      <c r="FZ199" t="e">
        <f>AND(Exhibitor!#REF!,"AAAAACu/vrU=")</f>
        <v>#REF!</v>
      </c>
      <c r="GA199" t="e">
        <f>AND(Exhibitor!#REF!,"AAAAACu/vrY=")</f>
        <v>#REF!</v>
      </c>
      <c r="GB199" t="e">
        <f>AND(Exhibitor!#REF!,"AAAAACu/vrc=")</f>
        <v>#REF!</v>
      </c>
      <c r="GC199" t="e">
        <f>AND(Exhibitor!#REF!,"AAAAACu/vrg=")</f>
        <v>#REF!</v>
      </c>
      <c r="GD199" t="e">
        <f>IF(Exhibitor!#REF!,"AAAAACu/vrk=",0)</f>
        <v>#REF!</v>
      </c>
      <c r="GE199" t="e">
        <f>AND(Exhibitor!#REF!,"AAAAACu/vro=")</f>
        <v>#REF!</v>
      </c>
      <c r="GF199" t="e">
        <f>AND(Exhibitor!#REF!,"AAAAACu/vrs=")</f>
        <v>#REF!</v>
      </c>
      <c r="GG199" t="e">
        <f>AND(Exhibitor!#REF!,"AAAAACu/vrw=")</f>
        <v>#REF!</v>
      </c>
      <c r="GH199" t="e">
        <f>AND(Exhibitor!#REF!,"AAAAACu/vr0=")</f>
        <v>#REF!</v>
      </c>
      <c r="GI199" t="e">
        <f>AND(Exhibitor!#REF!,"AAAAACu/vr4=")</f>
        <v>#REF!</v>
      </c>
      <c r="GJ199" t="e">
        <f>AND(Exhibitor!#REF!,"AAAAACu/vr8=")</f>
        <v>#REF!</v>
      </c>
      <c r="GK199" t="e">
        <f>AND(Exhibitor!#REF!,"AAAAACu/vsA=")</f>
        <v>#REF!</v>
      </c>
      <c r="GL199" t="e">
        <f>AND(Exhibitor!#REF!,"AAAAACu/vsE=")</f>
        <v>#REF!</v>
      </c>
      <c r="GM199" t="e">
        <f>AND(Exhibitor!#REF!,"AAAAACu/vsI=")</f>
        <v>#REF!</v>
      </c>
      <c r="GN199" t="e">
        <f>AND(Exhibitor!#REF!,"AAAAACu/vsM=")</f>
        <v>#REF!</v>
      </c>
      <c r="GO199" t="e">
        <f>AND(Exhibitor!#REF!,"AAAAACu/vsQ=")</f>
        <v>#REF!</v>
      </c>
      <c r="GP199" t="e">
        <f>AND(Exhibitor!#REF!,"AAAAACu/vsU=")</f>
        <v>#REF!</v>
      </c>
      <c r="GQ199" t="e">
        <f>AND(Exhibitor!#REF!,"AAAAACu/vsY=")</f>
        <v>#REF!</v>
      </c>
      <c r="GR199" t="e">
        <f>IF(Exhibitor!#REF!,"AAAAACu/vsc=",0)</f>
        <v>#REF!</v>
      </c>
      <c r="GS199" t="e">
        <f>AND(Exhibitor!#REF!,"AAAAACu/vsg=")</f>
        <v>#REF!</v>
      </c>
      <c r="GT199" t="e">
        <f>AND(Exhibitor!#REF!,"AAAAACu/vsk=")</f>
        <v>#REF!</v>
      </c>
      <c r="GU199" t="e">
        <f>AND(Exhibitor!#REF!,"AAAAACu/vso=")</f>
        <v>#REF!</v>
      </c>
      <c r="GV199" t="e">
        <f>AND(Exhibitor!#REF!,"AAAAACu/vss=")</f>
        <v>#REF!</v>
      </c>
      <c r="GW199" t="e">
        <f>AND(Exhibitor!#REF!,"AAAAACu/vsw=")</f>
        <v>#REF!</v>
      </c>
      <c r="GX199" t="e">
        <f>AND(Exhibitor!#REF!,"AAAAACu/vs0=")</f>
        <v>#REF!</v>
      </c>
      <c r="GY199" t="e">
        <f>AND(Exhibitor!#REF!,"AAAAACu/vs4=")</f>
        <v>#REF!</v>
      </c>
      <c r="GZ199" t="e">
        <f>AND(Exhibitor!#REF!,"AAAAACu/vs8=")</f>
        <v>#REF!</v>
      </c>
      <c r="HA199" t="e">
        <f>AND(Exhibitor!#REF!,"AAAAACu/vtA=")</f>
        <v>#REF!</v>
      </c>
      <c r="HB199" t="e">
        <f>AND(Exhibitor!#REF!,"AAAAACu/vtE=")</f>
        <v>#REF!</v>
      </c>
      <c r="HC199" t="e">
        <f>AND(Exhibitor!#REF!,"AAAAACu/vtI=")</f>
        <v>#REF!</v>
      </c>
      <c r="HD199" t="e">
        <f>AND(Exhibitor!#REF!,"AAAAACu/vtM=")</f>
        <v>#REF!</v>
      </c>
      <c r="HE199" t="e">
        <f>AND(Exhibitor!#REF!,"AAAAACu/vtQ=")</f>
        <v>#REF!</v>
      </c>
      <c r="HF199" t="e">
        <f>IF(Exhibitor!#REF!,"AAAAACu/vtU=",0)</f>
        <v>#REF!</v>
      </c>
      <c r="HG199" t="e">
        <f>AND(Exhibitor!#REF!,"AAAAACu/vtY=")</f>
        <v>#REF!</v>
      </c>
      <c r="HH199" t="e">
        <f>AND(Exhibitor!#REF!,"AAAAACu/vtc=")</f>
        <v>#REF!</v>
      </c>
      <c r="HI199" t="e">
        <f>AND(Exhibitor!#REF!,"AAAAACu/vtg=")</f>
        <v>#REF!</v>
      </c>
      <c r="HJ199" t="e">
        <f>AND(Exhibitor!#REF!,"AAAAACu/vtk=")</f>
        <v>#REF!</v>
      </c>
      <c r="HK199" t="e">
        <f>AND(Exhibitor!#REF!,"AAAAACu/vto=")</f>
        <v>#REF!</v>
      </c>
      <c r="HL199" t="e">
        <f>AND(Exhibitor!#REF!,"AAAAACu/vts=")</f>
        <v>#REF!</v>
      </c>
      <c r="HM199" t="e">
        <f>AND(Exhibitor!#REF!,"AAAAACu/vtw=")</f>
        <v>#REF!</v>
      </c>
      <c r="HN199" t="e">
        <f>AND(Exhibitor!#REF!,"AAAAACu/vt0=")</f>
        <v>#REF!</v>
      </c>
      <c r="HO199" t="e">
        <f>AND(Exhibitor!#REF!,"AAAAACu/vt4=")</f>
        <v>#REF!</v>
      </c>
      <c r="HP199" t="e">
        <f>AND(Exhibitor!#REF!,"AAAAACu/vt8=")</f>
        <v>#REF!</v>
      </c>
      <c r="HQ199" t="e">
        <f>AND(Exhibitor!#REF!,"AAAAACu/vuA=")</f>
        <v>#REF!</v>
      </c>
      <c r="HR199" t="e">
        <f>AND(Exhibitor!#REF!,"AAAAACu/vuE=")</f>
        <v>#REF!</v>
      </c>
      <c r="HS199" t="e">
        <f>AND(Exhibitor!#REF!,"AAAAACu/vuI=")</f>
        <v>#REF!</v>
      </c>
      <c r="HT199" t="e">
        <f>IF(Exhibitor!#REF!,"AAAAACu/vuM=",0)</f>
        <v>#REF!</v>
      </c>
      <c r="HU199" t="e">
        <f>AND(Exhibitor!#REF!,"AAAAACu/vuQ=")</f>
        <v>#REF!</v>
      </c>
      <c r="HV199" t="e">
        <f>AND(Exhibitor!#REF!,"AAAAACu/vuU=")</f>
        <v>#REF!</v>
      </c>
      <c r="HW199" t="e">
        <f>AND(Exhibitor!#REF!,"AAAAACu/vuY=")</f>
        <v>#REF!</v>
      </c>
      <c r="HX199" t="e">
        <f>AND(Exhibitor!#REF!,"AAAAACu/vuc=")</f>
        <v>#REF!</v>
      </c>
      <c r="HY199" t="e">
        <f>AND(Exhibitor!#REF!,"AAAAACu/vug=")</f>
        <v>#REF!</v>
      </c>
      <c r="HZ199" t="e">
        <f>AND(Exhibitor!#REF!,"AAAAACu/vuk=")</f>
        <v>#REF!</v>
      </c>
      <c r="IA199" t="e">
        <f>AND(Exhibitor!#REF!,"AAAAACu/vuo=")</f>
        <v>#REF!</v>
      </c>
      <c r="IB199" t="e">
        <f>AND(Exhibitor!#REF!,"AAAAACu/vus=")</f>
        <v>#REF!</v>
      </c>
      <c r="IC199" t="e">
        <f>AND(Exhibitor!#REF!,"AAAAACu/vuw=")</f>
        <v>#REF!</v>
      </c>
      <c r="ID199" t="e">
        <f>AND(Exhibitor!#REF!,"AAAAACu/vu0=")</f>
        <v>#REF!</v>
      </c>
      <c r="IE199" t="e">
        <f>AND(Exhibitor!#REF!,"AAAAACu/vu4=")</f>
        <v>#REF!</v>
      </c>
      <c r="IF199" t="e">
        <f>AND(Exhibitor!#REF!,"AAAAACu/vu8=")</f>
        <v>#REF!</v>
      </c>
      <c r="IG199" t="e">
        <f>AND(Exhibitor!#REF!,"AAAAACu/vvA=")</f>
        <v>#REF!</v>
      </c>
      <c r="IH199" t="e">
        <f>IF(Exhibitor!#REF!,"AAAAACu/vvE=",0)</f>
        <v>#REF!</v>
      </c>
      <c r="II199" t="e">
        <f>AND(Exhibitor!#REF!,"AAAAACu/vvI=")</f>
        <v>#REF!</v>
      </c>
      <c r="IJ199" t="e">
        <f>AND(Exhibitor!#REF!,"AAAAACu/vvM=")</f>
        <v>#REF!</v>
      </c>
      <c r="IK199" t="e">
        <f>AND(Exhibitor!#REF!,"AAAAACu/vvQ=")</f>
        <v>#REF!</v>
      </c>
      <c r="IL199" t="e">
        <f>AND(Exhibitor!#REF!,"AAAAACu/vvU=")</f>
        <v>#REF!</v>
      </c>
      <c r="IM199" t="e">
        <f>AND(Exhibitor!#REF!,"AAAAACu/vvY=")</f>
        <v>#REF!</v>
      </c>
      <c r="IN199" t="e">
        <f>AND(Exhibitor!#REF!,"AAAAACu/vvc=")</f>
        <v>#REF!</v>
      </c>
      <c r="IO199" t="e">
        <f>AND(Exhibitor!#REF!,"AAAAACu/vvg=")</f>
        <v>#REF!</v>
      </c>
      <c r="IP199" t="e">
        <f>AND(Exhibitor!#REF!,"AAAAACu/vvk=")</f>
        <v>#REF!</v>
      </c>
      <c r="IQ199" t="e">
        <f>AND(Exhibitor!#REF!,"AAAAACu/vvo=")</f>
        <v>#REF!</v>
      </c>
      <c r="IR199" t="e">
        <f>AND(Exhibitor!#REF!,"AAAAACu/vvs=")</f>
        <v>#REF!</v>
      </c>
      <c r="IS199" t="e">
        <f>AND(Exhibitor!#REF!,"AAAAACu/vvw=")</f>
        <v>#REF!</v>
      </c>
      <c r="IT199" t="e">
        <f>AND(Exhibitor!#REF!,"AAAAACu/vv0=")</f>
        <v>#REF!</v>
      </c>
      <c r="IU199" t="e">
        <f>AND(Exhibitor!#REF!,"AAAAACu/vv4=")</f>
        <v>#REF!</v>
      </c>
      <c r="IV199" t="e">
        <f>IF(Exhibitor!#REF!,"AAAAACu/vv8=",0)</f>
        <v>#REF!</v>
      </c>
    </row>
    <row r="200" spans="1:256" x14ac:dyDescent="0.2">
      <c r="A200" t="e">
        <f>AND(Exhibitor!#REF!,"AAAAAH/tewA=")</f>
        <v>#REF!</v>
      </c>
      <c r="B200" t="e">
        <f>AND(Exhibitor!#REF!,"AAAAAH/tewE=")</f>
        <v>#REF!</v>
      </c>
      <c r="C200" t="e">
        <f>AND(Exhibitor!#REF!,"AAAAAH/tewI=")</f>
        <v>#REF!</v>
      </c>
      <c r="D200" t="e">
        <f>AND(Exhibitor!#REF!,"AAAAAH/tewM=")</f>
        <v>#REF!</v>
      </c>
      <c r="E200" t="e">
        <f>AND(Exhibitor!#REF!,"AAAAAH/tewQ=")</f>
        <v>#REF!</v>
      </c>
      <c r="F200" t="e">
        <f>AND(Exhibitor!#REF!,"AAAAAH/tewU=")</f>
        <v>#REF!</v>
      </c>
      <c r="G200" t="e">
        <f>AND(Exhibitor!#REF!,"AAAAAH/tewY=")</f>
        <v>#REF!</v>
      </c>
      <c r="H200" t="e">
        <f>AND(Exhibitor!#REF!,"AAAAAH/tewc=")</f>
        <v>#REF!</v>
      </c>
      <c r="I200" t="e">
        <f>AND(Exhibitor!#REF!,"AAAAAH/tewg=")</f>
        <v>#REF!</v>
      </c>
      <c r="J200" t="e">
        <f>AND(Exhibitor!#REF!,"AAAAAH/tewk=")</f>
        <v>#REF!</v>
      </c>
      <c r="K200" t="e">
        <f>AND(Exhibitor!#REF!,"AAAAAH/tewo=")</f>
        <v>#REF!</v>
      </c>
      <c r="L200" t="e">
        <f>AND(Exhibitor!#REF!,"AAAAAH/tews=")</f>
        <v>#REF!</v>
      </c>
      <c r="M200" t="e">
        <f>AND(Exhibitor!#REF!,"AAAAAH/teww=")</f>
        <v>#REF!</v>
      </c>
      <c r="N200" t="e">
        <f>IF(Exhibitor!#REF!,"AAAAAH/tew0=",0)</f>
        <v>#REF!</v>
      </c>
      <c r="O200" t="e">
        <f>AND(Exhibitor!#REF!,"AAAAAH/tew4=")</f>
        <v>#REF!</v>
      </c>
      <c r="P200" t="e">
        <f>AND(Exhibitor!#REF!,"AAAAAH/tew8=")</f>
        <v>#REF!</v>
      </c>
      <c r="Q200" t="e">
        <f>AND(Exhibitor!#REF!,"AAAAAH/texA=")</f>
        <v>#REF!</v>
      </c>
      <c r="R200" t="e">
        <f>AND(Exhibitor!#REF!,"AAAAAH/texE=")</f>
        <v>#REF!</v>
      </c>
      <c r="S200" t="e">
        <f>AND(Exhibitor!#REF!,"AAAAAH/texI=")</f>
        <v>#REF!</v>
      </c>
      <c r="T200" t="e">
        <f>AND(Exhibitor!#REF!,"AAAAAH/texM=")</f>
        <v>#REF!</v>
      </c>
      <c r="U200" t="e">
        <f>AND(Exhibitor!#REF!,"AAAAAH/texQ=")</f>
        <v>#REF!</v>
      </c>
      <c r="V200" t="e">
        <f>AND(Exhibitor!#REF!,"AAAAAH/texU=")</f>
        <v>#REF!</v>
      </c>
      <c r="W200" t="e">
        <f>AND(Exhibitor!#REF!,"AAAAAH/texY=")</f>
        <v>#REF!</v>
      </c>
      <c r="X200" t="e">
        <f>AND(Exhibitor!#REF!,"AAAAAH/texc=")</f>
        <v>#REF!</v>
      </c>
      <c r="Y200" t="e">
        <f>AND(Exhibitor!#REF!,"AAAAAH/texg=")</f>
        <v>#REF!</v>
      </c>
      <c r="Z200" t="e">
        <f>AND(Exhibitor!#REF!,"AAAAAH/texk=")</f>
        <v>#REF!</v>
      </c>
      <c r="AA200" t="e">
        <f>AND(Exhibitor!#REF!,"AAAAAH/texo=")</f>
        <v>#REF!</v>
      </c>
      <c r="AB200" t="e">
        <f>IF(Exhibitor!#REF!,"AAAAAH/texs=",0)</f>
        <v>#REF!</v>
      </c>
      <c r="AC200" t="e">
        <f>AND(Exhibitor!#REF!,"AAAAAH/texw=")</f>
        <v>#REF!</v>
      </c>
      <c r="AD200" t="e">
        <f>AND(Exhibitor!#REF!,"AAAAAH/tex0=")</f>
        <v>#REF!</v>
      </c>
      <c r="AE200" t="e">
        <f>AND(Exhibitor!#REF!,"AAAAAH/tex4=")</f>
        <v>#REF!</v>
      </c>
      <c r="AF200" t="e">
        <f>AND(Exhibitor!#REF!,"AAAAAH/tex8=")</f>
        <v>#REF!</v>
      </c>
      <c r="AG200" t="e">
        <f>AND(Exhibitor!#REF!,"AAAAAH/teyA=")</f>
        <v>#REF!</v>
      </c>
      <c r="AH200" t="e">
        <f>AND(Exhibitor!#REF!,"AAAAAH/teyE=")</f>
        <v>#REF!</v>
      </c>
      <c r="AI200" t="e">
        <f>AND(Exhibitor!#REF!,"AAAAAH/teyI=")</f>
        <v>#REF!</v>
      </c>
      <c r="AJ200" t="e">
        <f>AND(Exhibitor!#REF!,"AAAAAH/teyM=")</f>
        <v>#REF!</v>
      </c>
      <c r="AK200" t="e">
        <f>AND(Exhibitor!#REF!,"AAAAAH/teyQ=")</f>
        <v>#REF!</v>
      </c>
      <c r="AL200" t="e">
        <f>AND(Exhibitor!#REF!,"AAAAAH/teyU=")</f>
        <v>#REF!</v>
      </c>
      <c r="AM200" t="e">
        <f>AND(Exhibitor!#REF!,"AAAAAH/teyY=")</f>
        <v>#REF!</v>
      </c>
      <c r="AN200" t="e">
        <f>AND(Exhibitor!#REF!,"AAAAAH/teyc=")</f>
        <v>#REF!</v>
      </c>
      <c r="AO200" t="e">
        <f>AND(Exhibitor!#REF!,"AAAAAH/teyg=")</f>
        <v>#REF!</v>
      </c>
      <c r="AP200" t="e">
        <f>IF(Exhibitor!#REF!,"AAAAAH/teyk=",0)</f>
        <v>#REF!</v>
      </c>
      <c r="AQ200" t="e">
        <f>AND(Exhibitor!#REF!,"AAAAAH/teyo=")</f>
        <v>#REF!</v>
      </c>
      <c r="AR200" t="e">
        <f>AND(Exhibitor!#REF!,"AAAAAH/teys=")</f>
        <v>#REF!</v>
      </c>
      <c r="AS200" t="e">
        <f>AND(Exhibitor!#REF!,"AAAAAH/teyw=")</f>
        <v>#REF!</v>
      </c>
      <c r="AT200" t="e">
        <f>AND(Exhibitor!#REF!,"AAAAAH/tey0=")</f>
        <v>#REF!</v>
      </c>
      <c r="AU200" t="e">
        <f>AND(Exhibitor!#REF!,"AAAAAH/tey4=")</f>
        <v>#REF!</v>
      </c>
      <c r="AV200" t="e">
        <f>AND(Exhibitor!#REF!,"AAAAAH/tey8=")</f>
        <v>#REF!</v>
      </c>
      <c r="AW200" t="e">
        <f>AND(Exhibitor!#REF!,"AAAAAH/tezA=")</f>
        <v>#REF!</v>
      </c>
      <c r="AX200" t="e">
        <f>AND(Exhibitor!#REF!,"AAAAAH/tezE=")</f>
        <v>#REF!</v>
      </c>
      <c r="AY200" t="e">
        <f>AND(Exhibitor!#REF!,"AAAAAH/tezI=")</f>
        <v>#REF!</v>
      </c>
      <c r="AZ200" t="e">
        <f>AND(Exhibitor!#REF!,"AAAAAH/tezM=")</f>
        <v>#REF!</v>
      </c>
      <c r="BA200" t="e">
        <f>AND(Exhibitor!#REF!,"AAAAAH/tezQ=")</f>
        <v>#REF!</v>
      </c>
      <c r="BB200" t="e">
        <f>AND(Exhibitor!#REF!,"AAAAAH/tezU=")</f>
        <v>#REF!</v>
      </c>
      <c r="BC200" t="e">
        <f>AND(Exhibitor!#REF!,"AAAAAH/tezY=")</f>
        <v>#REF!</v>
      </c>
      <c r="BD200" t="e">
        <f>IF(Exhibitor!#REF!,"AAAAAH/tezc=",0)</f>
        <v>#REF!</v>
      </c>
      <c r="BE200" t="e">
        <f>AND(Exhibitor!#REF!,"AAAAAH/tezg=")</f>
        <v>#REF!</v>
      </c>
      <c r="BF200" t="e">
        <f>AND(Exhibitor!#REF!,"AAAAAH/tezk=")</f>
        <v>#REF!</v>
      </c>
      <c r="BG200" t="e">
        <f>AND(Exhibitor!#REF!,"AAAAAH/tezo=")</f>
        <v>#REF!</v>
      </c>
      <c r="BH200" t="e">
        <f>AND(Exhibitor!#REF!,"AAAAAH/tezs=")</f>
        <v>#REF!</v>
      </c>
      <c r="BI200" t="e">
        <f>AND(Exhibitor!#REF!,"AAAAAH/tezw=")</f>
        <v>#REF!</v>
      </c>
      <c r="BJ200" t="e">
        <f>AND(Exhibitor!#REF!,"AAAAAH/tez0=")</f>
        <v>#REF!</v>
      </c>
      <c r="BK200" t="e">
        <f>AND(Exhibitor!#REF!,"AAAAAH/tez4=")</f>
        <v>#REF!</v>
      </c>
      <c r="BL200" t="e">
        <f>AND(Exhibitor!#REF!,"AAAAAH/tez8=")</f>
        <v>#REF!</v>
      </c>
      <c r="BM200" t="e">
        <f>AND(Exhibitor!#REF!,"AAAAAH/te0A=")</f>
        <v>#REF!</v>
      </c>
      <c r="BN200" t="e">
        <f>AND(Exhibitor!#REF!,"AAAAAH/te0E=")</f>
        <v>#REF!</v>
      </c>
      <c r="BO200" t="e">
        <f>AND(Exhibitor!#REF!,"AAAAAH/te0I=")</f>
        <v>#REF!</v>
      </c>
      <c r="BP200" t="e">
        <f>AND(Exhibitor!#REF!,"AAAAAH/te0M=")</f>
        <v>#REF!</v>
      </c>
      <c r="BQ200" t="e">
        <f>AND(Exhibitor!#REF!,"AAAAAH/te0Q=")</f>
        <v>#REF!</v>
      </c>
      <c r="BR200" t="e">
        <f>IF(Exhibitor!#REF!,"AAAAAH/te0U=",0)</f>
        <v>#REF!</v>
      </c>
      <c r="BS200" t="e">
        <f>AND(Exhibitor!#REF!,"AAAAAH/te0Y=")</f>
        <v>#REF!</v>
      </c>
      <c r="BT200" t="e">
        <f>AND(Exhibitor!#REF!,"AAAAAH/te0c=")</f>
        <v>#REF!</v>
      </c>
      <c r="BU200" t="e">
        <f>AND(Exhibitor!#REF!,"AAAAAH/te0g=")</f>
        <v>#REF!</v>
      </c>
      <c r="BV200" t="e">
        <f>AND(Exhibitor!#REF!,"AAAAAH/te0k=")</f>
        <v>#REF!</v>
      </c>
      <c r="BW200" t="e">
        <f>AND(Exhibitor!#REF!,"AAAAAH/te0o=")</f>
        <v>#REF!</v>
      </c>
      <c r="BX200" t="e">
        <f>AND(Exhibitor!#REF!,"AAAAAH/te0s=")</f>
        <v>#REF!</v>
      </c>
      <c r="BY200" t="e">
        <f>AND(Exhibitor!#REF!,"AAAAAH/te0w=")</f>
        <v>#REF!</v>
      </c>
      <c r="BZ200" t="e">
        <f>AND(Exhibitor!#REF!,"AAAAAH/te00=")</f>
        <v>#REF!</v>
      </c>
      <c r="CA200" t="e">
        <f>AND(Exhibitor!#REF!,"AAAAAH/te04=")</f>
        <v>#REF!</v>
      </c>
      <c r="CB200" t="e">
        <f>AND(Exhibitor!#REF!,"AAAAAH/te08=")</f>
        <v>#REF!</v>
      </c>
      <c r="CC200" t="e">
        <f>AND(Exhibitor!#REF!,"AAAAAH/te1A=")</f>
        <v>#REF!</v>
      </c>
      <c r="CD200" t="e">
        <f>AND(Exhibitor!#REF!,"AAAAAH/te1E=")</f>
        <v>#REF!</v>
      </c>
      <c r="CE200" t="e">
        <f>AND(Exhibitor!#REF!,"AAAAAH/te1I=")</f>
        <v>#REF!</v>
      </c>
      <c r="CF200" t="e">
        <f>IF(Exhibitor!#REF!,"AAAAAH/te1M=",0)</f>
        <v>#REF!</v>
      </c>
      <c r="CG200" t="e">
        <f>AND(Exhibitor!#REF!,"AAAAAH/te1Q=")</f>
        <v>#REF!</v>
      </c>
      <c r="CH200" t="e">
        <f>AND(Exhibitor!#REF!,"AAAAAH/te1U=")</f>
        <v>#REF!</v>
      </c>
      <c r="CI200" t="e">
        <f>AND(Exhibitor!#REF!,"AAAAAH/te1Y=")</f>
        <v>#REF!</v>
      </c>
      <c r="CJ200" t="e">
        <f>AND(Exhibitor!#REF!,"AAAAAH/te1c=")</f>
        <v>#REF!</v>
      </c>
      <c r="CK200" t="e">
        <f>AND(Exhibitor!#REF!,"AAAAAH/te1g=")</f>
        <v>#REF!</v>
      </c>
      <c r="CL200" t="e">
        <f>AND(Exhibitor!#REF!,"AAAAAH/te1k=")</f>
        <v>#REF!</v>
      </c>
      <c r="CM200" t="e">
        <f>AND(Exhibitor!#REF!,"AAAAAH/te1o=")</f>
        <v>#REF!</v>
      </c>
      <c r="CN200" t="e">
        <f>AND(Exhibitor!#REF!,"AAAAAH/te1s=")</f>
        <v>#REF!</v>
      </c>
      <c r="CO200" t="e">
        <f>AND(Exhibitor!#REF!,"AAAAAH/te1w=")</f>
        <v>#REF!</v>
      </c>
      <c r="CP200" t="e">
        <f>AND(Exhibitor!#REF!,"AAAAAH/te10=")</f>
        <v>#REF!</v>
      </c>
      <c r="CQ200" t="e">
        <f>AND(Exhibitor!#REF!,"AAAAAH/te14=")</f>
        <v>#REF!</v>
      </c>
      <c r="CR200" t="e">
        <f>AND(Exhibitor!#REF!,"AAAAAH/te18=")</f>
        <v>#REF!</v>
      </c>
      <c r="CS200" t="e">
        <f>AND(Exhibitor!#REF!,"AAAAAH/te2A=")</f>
        <v>#REF!</v>
      </c>
      <c r="CT200" t="e">
        <f>IF(Exhibitor!#REF!,"AAAAAH/te2E=",0)</f>
        <v>#REF!</v>
      </c>
      <c r="CU200" t="e">
        <f>AND(Exhibitor!#REF!,"AAAAAH/te2I=")</f>
        <v>#REF!</v>
      </c>
      <c r="CV200" t="e">
        <f>AND(Exhibitor!#REF!,"AAAAAH/te2M=")</f>
        <v>#REF!</v>
      </c>
      <c r="CW200" t="e">
        <f>AND(Exhibitor!#REF!,"AAAAAH/te2Q=")</f>
        <v>#REF!</v>
      </c>
      <c r="CX200" t="e">
        <f>AND(Exhibitor!#REF!,"AAAAAH/te2U=")</f>
        <v>#REF!</v>
      </c>
      <c r="CY200" t="e">
        <f>AND(Exhibitor!#REF!,"AAAAAH/te2Y=")</f>
        <v>#REF!</v>
      </c>
      <c r="CZ200" t="e">
        <f>AND(Exhibitor!#REF!,"AAAAAH/te2c=")</f>
        <v>#REF!</v>
      </c>
      <c r="DA200" t="e">
        <f>AND(Exhibitor!#REF!,"AAAAAH/te2g=")</f>
        <v>#REF!</v>
      </c>
      <c r="DB200" t="e">
        <f>AND(Exhibitor!#REF!,"AAAAAH/te2k=")</f>
        <v>#REF!</v>
      </c>
      <c r="DC200" t="e">
        <f>AND(Exhibitor!#REF!,"AAAAAH/te2o=")</f>
        <v>#REF!</v>
      </c>
      <c r="DD200" t="e">
        <f>AND(Exhibitor!#REF!,"AAAAAH/te2s=")</f>
        <v>#REF!</v>
      </c>
      <c r="DE200" t="e">
        <f>AND(Exhibitor!#REF!,"AAAAAH/te2w=")</f>
        <v>#REF!</v>
      </c>
      <c r="DF200" t="e">
        <f>AND(Exhibitor!#REF!,"AAAAAH/te20=")</f>
        <v>#REF!</v>
      </c>
      <c r="DG200" t="e">
        <f>AND(Exhibitor!#REF!,"AAAAAH/te24=")</f>
        <v>#REF!</v>
      </c>
      <c r="DH200" t="e">
        <f>IF(Exhibitor!#REF!,"AAAAAH/te28=",0)</f>
        <v>#REF!</v>
      </c>
      <c r="DI200" t="e">
        <f>AND(Exhibitor!#REF!,"AAAAAH/te3A=")</f>
        <v>#REF!</v>
      </c>
      <c r="DJ200" t="e">
        <f>AND(Exhibitor!#REF!,"AAAAAH/te3E=")</f>
        <v>#REF!</v>
      </c>
      <c r="DK200" t="e">
        <f>AND(Exhibitor!#REF!,"AAAAAH/te3I=")</f>
        <v>#REF!</v>
      </c>
      <c r="DL200" t="e">
        <f>AND(Exhibitor!#REF!,"AAAAAH/te3M=")</f>
        <v>#REF!</v>
      </c>
      <c r="DM200" t="e">
        <f>AND(Exhibitor!#REF!,"AAAAAH/te3Q=")</f>
        <v>#REF!</v>
      </c>
      <c r="DN200" t="e">
        <f>AND(Exhibitor!#REF!,"AAAAAH/te3U=")</f>
        <v>#REF!</v>
      </c>
      <c r="DO200" t="e">
        <f>AND(Exhibitor!#REF!,"AAAAAH/te3Y=")</f>
        <v>#REF!</v>
      </c>
      <c r="DP200" t="e">
        <f>AND(Exhibitor!#REF!,"AAAAAH/te3c=")</f>
        <v>#REF!</v>
      </c>
      <c r="DQ200" t="e">
        <f>AND(Exhibitor!#REF!,"AAAAAH/te3g=")</f>
        <v>#REF!</v>
      </c>
      <c r="DR200" t="e">
        <f>AND(Exhibitor!#REF!,"AAAAAH/te3k=")</f>
        <v>#REF!</v>
      </c>
      <c r="DS200" t="e">
        <f>AND(Exhibitor!#REF!,"AAAAAH/te3o=")</f>
        <v>#REF!</v>
      </c>
      <c r="DT200" t="e">
        <f>AND(Exhibitor!#REF!,"AAAAAH/te3s=")</f>
        <v>#REF!</v>
      </c>
      <c r="DU200" t="e">
        <f>AND(Exhibitor!#REF!,"AAAAAH/te3w=")</f>
        <v>#REF!</v>
      </c>
      <c r="DV200" t="e">
        <f>IF(Exhibitor!#REF!,"AAAAAH/te30=",0)</f>
        <v>#REF!</v>
      </c>
      <c r="DW200" t="e">
        <f>AND(Exhibitor!#REF!,"AAAAAH/te34=")</f>
        <v>#REF!</v>
      </c>
      <c r="DX200" t="e">
        <f>AND(Exhibitor!#REF!,"AAAAAH/te38=")</f>
        <v>#REF!</v>
      </c>
      <c r="DY200" t="e">
        <f>AND(Exhibitor!#REF!,"AAAAAH/te4A=")</f>
        <v>#REF!</v>
      </c>
      <c r="DZ200" t="e">
        <f>AND(Exhibitor!#REF!,"AAAAAH/te4E=")</f>
        <v>#REF!</v>
      </c>
      <c r="EA200" t="e">
        <f>AND(Exhibitor!#REF!,"AAAAAH/te4I=")</f>
        <v>#REF!</v>
      </c>
      <c r="EB200" t="e">
        <f>AND(Exhibitor!#REF!,"AAAAAH/te4M=")</f>
        <v>#REF!</v>
      </c>
      <c r="EC200" t="e">
        <f>AND(Exhibitor!#REF!,"AAAAAH/te4Q=")</f>
        <v>#REF!</v>
      </c>
      <c r="ED200" t="e">
        <f>AND(Exhibitor!#REF!,"AAAAAH/te4U=")</f>
        <v>#REF!</v>
      </c>
      <c r="EE200" t="e">
        <f>AND(Exhibitor!#REF!,"AAAAAH/te4Y=")</f>
        <v>#REF!</v>
      </c>
      <c r="EF200" t="e">
        <f>AND(Exhibitor!#REF!,"AAAAAH/te4c=")</f>
        <v>#REF!</v>
      </c>
      <c r="EG200" t="e">
        <f>AND(Exhibitor!#REF!,"AAAAAH/te4g=")</f>
        <v>#REF!</v>
      </c>
      <c r="EH200" t="e">
        <f>AND(Exhibitor!#REF!,"AAAAAH/te4k=")</f>
        <v>#REF!</v>
      </c>
      <c r="EI200" t="e">
        <f>AND(Exhibitor!#REF!,"AAAAAH/te4o=")</f>
        <v>#REF!</v>
      </c>
      <c r="EJ200" t="e">
        <f>IF(Exhibitor!#REF!,"AAAAAH/te4s=",0)</f>
        <v>#REF!</v>
      </c>
      <c r="EK200" t="e">
        <f>AND(Exhibitor!#REF!,"AAAAAH/te4w=")</f>
        <v>#REF!</v>
      </c>
      <c r="EL200" t="e">
        <f>AND(Exhibitor!#REF!,"AAAAAH/te40=")</f>
        <v>#REF!</v>
      </c>
      <c r="EM200" t="e">
        <f>AND(Exhibitor!#REF!,"AAAAAH/te44=")</f>
        <v>#REF!</v>
      </c>
      <c r="EN200" t="e">
        <f>AND(Exhibitor!#REF!,"AAAAAH/te48=")</f>
        <v>#REF!</v>
      </c>
      <c r="EO200" t="e">
        <f>AND(Exhibitor!#REF!,"AAAAAH/te5A=")</f>
        <v>#REF!</v>
      </c>
      <c r="EP200" t="e">
        <f>AND(Exhibitor!#REF!,"AAAAAH/te5E=")</f>
        <v>#REF!</v>
      </c>
      <c r="EQ200" t="e">
        <f>AND(Exhibitor!#REF!,"AAAAAH/te5I=")</f>
        <v>#REF!</v>
      </c>
      <c r="ER200" t="e">
        <f>AND(Exhibitor!#REF!,"AAAAAH/te5M=")</f>
        <v>#REF!</v>
      </c>
      <c r="ES200" t="e">
        <f>AND(Exhibitor!#REF!,"AAAAAH/te5Q=")</f>
        <v>#REF!</v>
      </c>
      <c r="ET200" t="e">
        <f>AND(Exhibitor!#REF!,"AAAAAH/te5U=")</f>
        <v>#REF!</v>
      </c>
      <c r="EU200" t="e">
        <f>AND(Exhibitor!#REF!,"AAAAAH/te5Y=")</f>
        <v>#REF!</v>
      </c>
      <c r="EV200" t="e">
        <f>AND(Exhibitor!#REF!,"AAAAAH/te5c=")</f>
        <v>#REF!</v>
      </c>
      <c r="EW200" t="e">
        <f>AND(Exhibitor!#REF!,"AAAAAH/te5g=")</f>
        <v>#REF!</v>
      </c>
      <c r="EX200" t="e">
        <f>IF(Exhibitor!#REF!,"AAAAAH/te5k=",0)</f>
        <v>#REF!</v>
      </c>
      <c r="EY200" t="e">
        <f>AND(Exhibitor!#REF!,"AAAAAH/te5o=")</f>
        <v>#REF!</v>
      </c>
      <c r="EZ200" t="e">
        <f>AND(Exhibitor!#REF!,"AAAAAH/te5s=")</f>
        <v>#REF!</v>
      </c>
      <c r="FA200" t="e">
        <f>AND(Exhibitor!#REF!,"AAAAAH/te5w=")</f>
        <v>#REF!</v>
      </c>
      <c r="FB200" t="e">
        <f>AND(Exhibitor!#REF!,"AAAAAH/te50=")</f>
        <v>#REF!</v>
      </c>
      <c r="FC200" t="e">
        <f>AND(Exhibitor!#REF!,"AAAAAH/te54=")</f>
        <v>#REF!</v>
      </c>
      <c r="FD200" t="e">
        <f>AND(Exhibitor!#REF!,"AAAAAH/te58=")</f>
        <v>#REF!</v>
      </c>
      <c r="FE200" t="e">
        <f>AND(Exhibitor!#REF!,"AAAAAH/te6A=")</f>
        <v>#REF!</v>
      </c>
      <c r="FF200" t="e">
        <f>AND(Exhibitor!#REF!,"AAAAAH/te6E=")</f>
        <v>#REF!</v>
      </c>
      <c r="FG200" t="e">
        <f>AND(Exhibitor!#REF!,"AAAAAH/te6I=")</f>
        <v>#REF!</v>
      </c>
      <c r="FH200" t="e">
        <f>AND(Exhibitor!#REF!,"AAAAAH/te6M=")</f>
        <v>#REF!</v>
      </c>
      <c r="FI200" t="e">
        <f>AND(Exhibitor!#REF!,"AAAAAH/te6Q=")</f>
        <v>#REF!</v>
      </c>
      <c r="FJ200" t="e">
        <f>AND(Exhibitor!#REF!,"AAAAAH/te6U=")</f>
        <v>#REF!</v>
      </c>
      <c r="FK200" t="e">
        <f>AND(Exhibitor!#REF!,"AAAAAH/te6Y=")</f>
        <v>#REF!</v>
      </c>
      <c r="FL200" t="e">
        <f>IF(Exhibitor!#REF!,"AAAAAH/te6c=",0)</f>
        <v>#REF!</v>
      </c>
      <c r="FM200" t="e">
        <f>AND(Exhibitor!#REF!,"AAAAAH/te6g=")</f>
        <v>#REF!</v>
      </c>
      <c r="FN200" t="e">
        <f>AND(Exhibitor!#REF!,"AAAAAH/te6k=")</f>
        <v>#REF!</v>
      </c>
      <c r="FO200" t="e">
        <f>AND(Exhibitor!#REF!,"AAAAAH/te6o=")</f>
        <v>#REF!</v>
      </c>
      <c r="FP200" t="e">
        <f>AND(Exhibitor!#REF!,"AAAAAH/te6s=")</f>
        <v>#REF!</v>
      </c>
      <c r="FQ200" t="e">
        <f>AND(Exhibitor!#REF!,"AAAAAH/te6w=")</f>
        <v>#REF!</v>
      </c>
      <c r="FR200" t="e">
        <f>AND(Exhibitor!#REF!,"AAAAAH/te60=")</f>
        <v>#REF!</v>
      </c>
      <c r="FS200" t="e">
        <f>AND(Exhibitor!#REF!,"AAAAAH/te64=")</f>
        <v>#REF!</v>
      </c>
      <c r="FT200" t="e">
        <f>AND(Exhibitor!#REF!,"AAAAAH/te68=")</f>
        <v>#REF!</v>
      </c>
      <c r="FU200" t="e">
        <f>AND(Exhibitor!#REF!,"AAAAAH/te7A=")</f>
        <v>#REF!</v>
      </c>
      <c r="FV200" t="e">
        <f>AND(Exhibitor!#REF!,"AAAAAH/te7E=")</f>
        <v>#REF!</v>
      </c>
      <c r="FW200" t="e">
        <f>AND(Exhibitor!#REF!,"AAAAAH/te7I=")</f>
        <v>#REF!</v>
      </c>
      <c r="FX200" t="e">
        <f>AND(Exhibitor!#REF!,"AAAAAH/te7M=")</f>
        <v>#REF!</v>
      </c>
      <c r="FY200" t="e">
        <f>AND(Exhibitor!#REF!,"AAAAAH/te7Q=")</f>
        <v>#REF!</v>
      </c>
      <c r="FZ200" t="e">
        <f>IF(Exhibitor!#REF!,"AAAAAH/te7U=",0)</f>
        <v>#REF!</v>
      </c>
      <c r="GA200" t="e">
        <f>AND(Exhibitor!#REF!,"AAAAAH/te7Y=")</f>
        <v>#REF!</v>
      </c>
      <c r="GB200" t="e">
        <f>AND(Exhibitor!#REF!,"AAAAAH/te7c=")</f>
        <v>#REF!</v>
      </c>
      <c r="GC200" t="e">
        <f>AND(Exhibitor!#REF!,"AAAAAH/te7g=")</f>
        <v>#REF!</v>
      </c>
      <c r="GD200" t="e">
        <f>AND(Exhibitor!#REF!,"AAAAAH/te7k=")</f>
        <v>#REF!</v>
      </c>
      <c r="GE200" t="e">
        <f>AND(Exhibitor!#REF!,"AAAAAH/te7o=")</f>
        <v>#REF!</v>
      </c>
      <c r="GF200" t="e">
        <f>AND(Exhibitor!#REF!,"AAAAAH/te7s=")</f>
        <v>#REF!</v>
      </c>
      <c r="GG200" t="e">
        <f>AND(Exhibitor!#REF!,"AAAAAH/te7w=")</f>
        <v>#REF!</v>
      </c>
      <c r="GH200" t="e">
        <f>AND(Exhibitor!#REF!,"AAAAAH/te70=")</f>
        <v>#REF!</v>
      </c>
      <c r="GI200" t="e">
        <f>AND(Exhibitor!#REF!,"AAAAAH/te74=")</f>
        <v>#REF!</v>
      </c>
      <c r="GJ200" t="e">
        <f>AND(Exhibitor!#REF!,"AAAAAH/te78=")</f>
        <v>#REF!</v>
      </c>
      <c r="GK200" t="e">
        <f>AND(Exhibitor!#REF!,"AAAAAH/te8A=")</f>
        <v>#REF!</v>
      </c>
      <c r="GL200" t="e">
        <f>AND(Exhibitor!#REF!,"AAAAAH/te8E=")</f>
        <v>#REF!</v>
      </c>
      <c r="GM200" t="e">
        <f>AND(Exhibitor!#REF!,"AAAAAH/te8I=")</f>
        <v>#REF!</v>
      </c>
      <c r="GN200" t="e">
        <f>IF(Exhibitor!#REF!,"AAAAAH/te8M=",0)</f>
        <v>#REF!</v>
      </c>
      <c r="GO200" t="e">
        <f>AND(Exhibitor!#REF!,"AAAAAH/te8Q=")</f>
        <v>#REF!</v>
      </c>
      <c r="GP200" t="e">
        <f>AND(Exhibitor!#REF!,"AAAAAH/te8U=")</f>
        <v>#REF!</v>
      </c>
      <c r="GQ200" t="e">
        <f>AND(Exhibitor!#REF!,"AAAAAH/te8Y=")</f>
        <v>#REF!</v>
      </c>
      <c r="GR200" t="e">
        <f>AND(Exhibitor!#REF!,"AAAAAH/te8c=")</f>
        <v>#REF!</v>
      </c>
      <c r="GS200" t="e">
        <f>AND(Exhibitor!#REF!,"AAAAAH/te8g=")</f>
        <v>#REF!</v>
      </c>
      <c r="GT200" t="e">
        <f>AND(Exhibitor!#REF!,"AAAAAH/te8k=")</f>
        <v>#REF!</v>
      </c>
      <c r="GU200" t="e">
        <f>AND(Exhibitor!#REF!,"AAAAAH/te8o=")</f>
        <v>#REF!</v>
      </c>
      <c r="GV200" t="e">
        <f>AND(Exhibitor!#REF!,"AAAAAH/te8s=")</f>
        <v>#REF!</v>
      </c>
      <c r="GW200" t="e">
        <f>AND(Exhibitor!#REF!,"AAAAAH/te8w=")</f>
        <v>#REF!</v>
      </c>
      <c r="GX200" t="e">
        <f>AND(Exhibitor!#REF!,"AAAAAH/te80=")</f>
        <v>#REF!</v>
      </c>
      <c r="GY200" t="e">
        <f>AND(Exhibitor!#REF!,"AAAAAH/te84=")</f>
        <v>#REF!</v>
      </c>
      <c r="GZ200" t="e">
        <f>AND(Exhibitor!#REF!,"AAAAAH/te88=")</f>
        <v>#REF!</v>
      </c>
      <c r="HA200" t="e">
        <f>AND(Exhibitor!#REF!,"AAAAAH/te9A=")</f>
        <v>#REF!</v>
      </c>
      <c r="HB200" t="e">
        <f>IF(Exhibitor!#REF!,"AAAAAH/te9E=",0)</f>
        <v>#REF!</v>
      </c>
      <c r="HC200" t="e">
        <f>AND(Exhibitor!#REF!,"AAAAAH/te9I=")</f>
        <v>#REF!</v>
      </c>
      <c r="HD200" t="e">
        <f>AND(Exhibitor!#REF!,"AAAAAH/te9M=")</f>
        <v>#REF!</v>
      </c>
      <c r="HE200" t="e">
        <f>AND(Exhibitor!#REF!,"AAAAAH/te9Q=")</f>
        <v>#REF!</v>
      </c>
      <c r="HF200" t="e">
        <f>AND(Exhibitor!#REF!,"AAAAAH/te9U=")</f>
        <v>#REF!</v>
      </c>
      <c r="HG200" t="e">
        <f>AND(Exhibitor!#REF!,"AAAAAH/te9Y=")</f>
        <v>#REF!</v>
      </c>
      <c r="HH200" t="e">
        <f>AND(Exhibitor!#REF!,"AAAAAH/te9c=")</f>
        <v>#REF!</v>
      </c>
      <c r="HI200" t="e">
        <f>AND(Exhibitor!#REF!,"AAAAAH/te9g=")</f>
        <v>#REF!</v>
      </c>
      <c r="HJ200" t="e">
        <f>AND(Exhibitor!#REF!,"AAAAAH/te9k=")</f>
        <v>#REF!</v>
      </c>
      <c r="HK200" t="e">
        <f>AND(Exhibitor!#REF!,"AAAAAH/te9o=")</f>
        <v>#REF!</v>
      </c>
      <c r="HL200" t="e">
        <f>AND(Exhibitor!#REF!,"AAAAAH/te9s=")</f>
        <v>#REF!</v>
      </c>
      <c r="HM200" t="e">
        <f>AND(Exhibitor!#REF!,"AAAAAH/te9w=")</f>
        <v>#REF!</v>
      </c>
      <c r="HN200" t="e">
        <f>AND(Exhibitor!#REF!,"AAAAAH/te90=")</f>
        <v>#REF!</v>
      </c>
      <c r="HO200" t="e">
        <f>AND(Exhibitor!#REF!,"AAAAAH/te94=")</f>
        <v>#REF!</v>
      </c>
      <c r="HP200" t="e">
        <f>IF(Exhibitor!#REF!,"AAAAAH/te98=",0)</f>
        <v>#REF!</v>
      </c>
      <c r="HQ200" t="e">
        <f>AND(Exhibitor!#REF!,"AAAAAH/te+A=")</f>
        <v>#REF!</v>
      </c>
      <c r="HR200" t="e">
        <f>AND(Exhibitor!#REF!,"AAAAAH/te+E=")</f>
        <v>#REF!</v>
      </c>
      <c r="HS200" t="e">
        <f>AND(Exhibitor!#REF!,"AAAAAH/te+I=")</f>
        <v>#REF!</v>
      </c>
      <c r="HT200" t="e">
        <f>AND(Exhibitor!#REF!,"AAAAAH/te+M=")</f>
        <v>#REF!</v>
      </c>
      <c r="HU200" t="e">
        <f>AND(Exhibitor!#REF!,"AAAAAH/te+Q=")</f>
        <v>#REF!</v>
      </c>
      <c r="HV200" t="e">
        <f>AND(Exhibitor!#REF!,"AAAAAH/te+U=")</f>
        <v>#REF!</v>
      </c>
      <c r="HW200" t="e">
        <f>AND(Exhibitor!#REF!,"AAAAAH/te+Y=")</f>
        <v>#REF!</v>
      </c>
      <c r="HX200" t="e">
        <f>AND(Exhibitor!#REF!,"AAAAAH/te+c=")</f>
        <v>#REF!</v>
      </c>
      <c r="HY200" t="e">
        <f>AND(Exhibitor!#REF!,"AAAAAH/te+g=")</f>
        <v>#REF!</v>
      </c>
      <c r="HZ200" t="e">
        <f>AND(Exhibitor!#REF!,"AAAAAH/te+k=")</f>
        <v>#REF!</v>
      </c>
      <c r="IA200" t="e">
        <f>AND(Exhibitor!#REF!,"AAAAAH/te+o=")</f>
        <v>#REF!</v>
      </c>
      <c r="IB200" t="e">
        <f>AND(Exhibitor!#REF!,"AAAAAH/te+s=")</f>
        <v>#REF!</v>
      </c>
      <c r="IC200" t="e">
        <f>AND(Exhibitor!#REF!,"AAAAAH/te+w=")</f>
        <v>#REF!</v>
      </c>
      <c r="ID200" t="e">
        <f>IF(Exhibitor!#REF!,"AAAAAH/te+0=",0)</f>
        <v>#REF!</v>
      </c>
      <c r="IE200" t="e">
        <f>AND(Exhibitor!#REF!,"AAAAAH/te+4=")</f>
        <v>#REF!</v>
      </c>
      <c r="IF200" t="e">
        <f>AND(Exhibitor!#REF!,"AAAAAH/te+8=")</f>
        <v>#REF!</v>
      </c>
      <c r="IG200" t="e">
        <f>AND(Exhibitor!#REF!,"AAAAAH/te/A=")</f>
        <v>#REF!</v>
      </c>
      <c r="IH200" t="e">
        <f>AND(Exhibitor!#REF!,"AAAAAH/te/E=")</f>
        <v>#REF!</v>
      </c>
      <c r="II200" t="e">
        <f>AND(Exhibitor!#REF!,"AAAAAH/te/I=")</f>
        <v>#REF!</v>
      </c>
      <c r="IJ200" t="e">
        <f>AND(Exhibitor!#REF!,"AAAAAH/te/M=")</f>
        <v>#REF!</v>
      </c>
      <c r="IK200" t="e">
        <f>AND(Exhibitor!#REF!,"AAAAAH/te/Q=")</f>
        <v>#REF!</v>
      </c>
      <c r="IL200" t="e">
        <f>AND(Exhibitor!#REF!,"AAAAAH/te/U=")</f>
        <v>#REF!</v>
      </c>
      <c r="IM200" t="e">
        <f>AND(Exhibitor!#REF!,"AAAAAH/te/Y=")</f>
        <v>#REF!</v>
      </c>
      <c r="IN200" t="e">
        <f>AND(Exhibitor!#REF!,"AAAAAH/te/c=")</f>
        <v>#REF!</v>
      </c>
      <c r="IO200" t="e">
        <f>AND(Exhibitor!#REF!,"AAAAAH/te/g=")</f>
        <v>#REF!</v>
      </c>
      <c r="IP200" t="e">
        <f>AND(Exhibitor!#REF!,"AAAAAH/te/k=")</f>
        <v>#REF!</v>
      </c>
      <c r="IQ200" t="e">
        <f>AND(Exhibitor!#REF!,"AAAAAH/te/o=")</f>
        <v>#REF!</v>
      </c>
      <c r="IR200" t="e">
        <f>IF(Exhibitor!#REF!,"AAAAAH/te/s=",0)</f>
        <v>#REF!</v>
      </c>
      <c r="IS200" t="e">
        <f>AND(Exhibitor!#REF!,"AAAAAH/te/w=")</f>
        <v>#REF!</v>
      </c>
      <c r="IT200" t="e">
        <f>AND(Exhibitor!#REF!,"AAAAAH/te/0=")</f>
        <v>#REF!</v>
      </c>
      <c r="IU200" t="e">
        <f>AND(Exhibitor!#REF!,"AAAAAH/te/4=")</f>
        <v>#REF!</v>
      </c>
      <c r="IV200" t="e">
        <f>AND(Exhibitor!#REF!,"AAAAAH/te/8=")</f>
        <v>#REF!</v>
      </c>
    </row>
    <row r="201" spans="1:256" x14ac:dyDescent="0.2">
      <c r="A201" t="e">
        <f>AND(Exhibitor!#REF!,"AAAAAH3Q/wA=")</f>
        <v>#REF!</v>
      </c>
      <c r="B201" t="e">
        <f>AND(Exhibitor!#REF!,"AAAAAH3Q/wE=")</f>
        <v>#REF!</v>
      </c>
      <c r="C201" t="e">
        <f>AND(Exhibitor!#REF!,"AAAAAH3Q/wI=")</f>
        <v>#REF!</v>
      </c>
      <c r="D201" t="e">
        <f>AND(Exhibitor!#REF!,"AAAAAH3Q/wM=")</f>
        <v>#REF!</v>
      </c>
      <c r="E201" t="e">
        <f>AND(Exhibitor!#REF!,"AAAAAH3Q/wQ=")</f>
        <v>#REF!</v>
      </c>
      <c r="F201" t="e">
        <f>AND(Exhibitor!#REF!,"AAAAAH3Q/wU=")</f>
        <v>#REF!</v>
      </c>
      <c r="G201" t="e">
        <f>AND(Exhibitor!#REF!,"AAAAAH3Q/wY=")</f>
        <v>#REF!</v>
      </c>
      <c r="H201" t="e">
        <f>AND(Exhibitor!#REF!,"AAAAAH3Q/wc=")</f>
        <v>#REF!</v>
      </c>
      <c r="I201" t="e">
        <f>AND(Exhibitor!#REF!,"AAAAAH3Q/wg=")</f>
        <v>#REF!</v>
      </c>
      <c r="J201" t="e">
        <f>IF(Exhibitor!#REF!,"AAAAAH3Q/wk=",0)</f>
        <v>#REF!</v>
      </c>
      <c r="K201" t="e">
        <f>AND(Exhibitor!#REF!,"AAAAAH3Q/wo=")</f>
        <v>#REF!</v>
      </c>
      <c r="L201" t="e">
        <f>AND(Exhibitor!#REF!,"AAAAAH3Q/ws=")</f>
        <v>#REF!</v>
      </c>
      <c r="M201" t="e">
        <f>AND(Exhibitor!#REF!,"AAAAAH3Q/ww=")</f>
        <v>#REF!</v>
      </c>
      <c r="N201" t="e">
        <f>AND(Exhibitor!#REF!,"AAAAAH3Q/w0=")</f>
        <v>#REF!</v>
      </c>
      <c r="O201" t="e">
        <f>AND(Exhibitor!#REF!,"AAAAAH3Q/w4=")</f>
        <v>#REF!</v>
      </c>
      <c r="P201" t="e">
        <f>AND(Exhibitor!#REF!,"AAAAAH3Q/w8=")</f>
        <v>#REF!</v>
      </c>
      <c r="Q201" t="e">
        <f>AND(Exhibitor!#REF!,"AAAAAH3Q/xA=")</f>
        <v>#REF!</v>
      </c>
      <c r="R201" t="e">
        <f>AND(Exhibitor!#REF!,"AAAAAH3Q/xE=")</f>
        <v>#REF!</v>
      </c>
      <c r="S201" t="e">
        <f>AND(Exhibitor!#REF!,"AAAAAH3Q/xI=")</f>
        <v>#REF!</v>
      </c>
      <c r="T201" t="e">
        <f>AND(Exhibitor!#REF!,"AAAAAH3Q/xM=")</f>
        <v>#REF!</v>
      </c>
      <c r="U201" t="e">
        <f>AND(Exhibitor!#REF!,"AAAAAH3Q/xQ=")</f>
        <v>#REF!</v>
      </c>
      <c r="V201" t="e">
        <f>AND(Exhibitor!#REF!,"AAAAAH3Q/xU=")</f>
        <v>#REF!</v>
      </c>
      <c r="W201" t="e">
        <f>AND(Exhibitor!#REF!,"AAAAAH3Q/xY=")</f>
        <v>#REF!</v>
      </c>
      <c r="X201" t="e">
        <f>IF(Exhibitor!#REF!,"AAAAAH3Q/xc=",0)</f>
        <v>#REF!</v>
      </c>
      <c r="Y201" t="e">
        <f>AND(Exhibitor!#REF!,"AAAAAH3Q/xg=")</f>
        <v>#REF!</v>
      </c>
      <c r="Z201" t="e">
        <f>AND(Exhibitor!#REF!,"AAAAAH3Q/xk=")</f>
        <v>#REF!</v>
      </c>
      <c r="AA201" t="e">
        <f>AND(Exhibitor!#REF!,"AAAAAH3Q/xo=")</f>
        <v>#REF!</v>
      </c>
      <c r="AB201" t="e">
        <f>AND(Exhibitor!#REF!,"AAAAAH3Q/xs=")</f>
        <v>#REF!</v>
      </c>
      <c r="AC201" t="e">
        <f>AND(Exhibitor!#REF!,"AAAAAH3Q/xw=")</f>
        <v>#REF!</v>
      </c>
      <c r="AD201" t="e">
        <f>AND(Exhibitor!#REF!,"AAAAAH3Q/x0=")</f>
        <v>#REF!</v>
      </c>
      <c r="AE201" t="e">
        <f>AND(Exhibitor!#REF!,"AAAAAH3Q/x4=")</f>
        <v>#REF!</v>
      </c>
      <c r="AF201" t="e">
        <f>AND(Exhibitor!#REF!,"AAAAAH3Q/x8=")</f>
        <v>#REF!</v>
      </c>
      <c r="AG201" t="e">
        <f>AND(Exhibitor!#REF!,"AAAAAH3Q/yA=")</f>
        <v>#REF!</v>
      </c>
      <c r="AH201" t="e">
        <f>AND(Exhibitor!#REF!,"AAAAAH3Q/yE=")</f>
        <v>#REF!</v>
      </c>
      <c r="AI201" t="e">
        <f>AND(Exhibitor!#REF!,"AAAAAH3Q/yI=")</f>
        <v>#REF!</v>
      </c>
      <c r="AJ201" t="e">
        <f>AND(Exhibitor!#REF!,"AAAAAH3Q/yM=")</f>
        <v>#REF!</v>
      </c>
      <c r="AK201" t="e">
        <f>AND(Exhibitor!#REF!,"AAAAAH3Q/yQ=")</f>
        <v>#REF!</v>
      </c>
      <c r="AL201" t="e">
        <f>IF(Exhibitor!#REF!,"AAAAAH3Q/yU=",0)</f>
        <v>#REF!</v>
      </c>
      <c r="AM201" t="e">
        <f>AND(Exhibitor!#REF!,"AAAAAH3Q/yY=")</f>
        <v>#REF!</v>
      </c>
      <c r="AN201" t="e">
        <f>AND(Exhibitor!#REF!,"AAAAAH3Q/yc=")</f>
        <v>#REF!</v>
      </c>
      <c r="AO201" t="e">
        <f>AND(Exhibitor!#REF!,"AAAAAH3Q/yg=")</f>
        <v>#REF!</v>
      </c>
      <c r="AP201" t="e">
        <f>AND(Exhibitor!#REF!,"AAAAAH3Q/yk=")</f>
        <v>#REF!</v>
      </c>
      <c r="AQ201" t="e">
        <f>AND(Exhibitor!#REF!,"AAAAAH3Q/yo=")</f>
        <v>#REF!</v>
      </c>
      <c r="AR201" t="e">
        <f>AND(Exhibitor!#REF!,"AAAAAH3Q/ys=")</f>
        <v>#REF!</v>
      </c>
      <c r="AS201" t="e">
        <f>AND(Exhibitor!#REF!,"AAAAAH3Q/yw=")</f>
        <v>#REF!</v>
      </c>
      <c r="AT201" t="e">
        <f>AND(Exhibitor!#REF!,"AAAAAH3Q/y0=")</f>
        <v>#REF!</v>
      </c>
      <c r="AU201" t="e">
        <f>AND(Exhibitor!#REF!,"AAAAAH3Q/y4=")</f>
        <v>#REF!</v>
      </c>
      <c r="AV201" t="e">
        <f>AND(Exhibitor!#REF!,"AAAAAH3Q/y8=")</f>
        <v>#REF!</v>
      </c>
      <c r="AW201" t="e">
        <f>AND(Exhibitor!#REF!,"AAAAAH3Q/zA=")</f>
        <v>#REF!</v>
      </c>
      <c r="AX201" t="e">
        <f>AND(Exhibitor!#REF!,"AAAAAH3Q/zE=")</f>
        <v>#REF!</v>
      </c>
      <c r="AY201" t="e">
        <f>AND(Exhibitor!#REF!,"AAAAAH3Q/zI=")</f>
        <v>#REF!</v>
      </c>
      <c r="AZ201" t="e">
        <f>IF(Exhibitor!#REF!,"AAAAAH3Q/zM=",0)</f>
        <v>#REF!</v>
      </c>
      <c r="BA201" t="e">
        <f>AND(Exhibitor!#REF!,"AAAAAH3Q/zQ=")</f>
        <v>#REF!</v>
      </c>
      <c r="BB201" t="e">
        <f>AND(Exhibitor!#REF!,"AAAAAH3Q/zU=")</f>
        <v>#REF!</v>
      </c>
      <c r="BC201" t="e">
        <f>AND(Exhibitor!#REF!,"AAAAAH3Q/zY=")</f>
        <v>#REF!</v>
      </c>
      <c r="BD201" t="e">
        <f>AND(Exhibitor!#REF!,"AAAAAH3Q/zc=")</f>
        <v>#REF!</v>
      </c>
      <c r="BE201" t="e">
        <f>AND(Exhibitor!#REF!,"AAAAAH3Q/zg=")</f>
        <v>#REF!</v>
      </c>
      <c r="BF201" t="e">
        <f>AND(Exhibitor!#REF!,"AAAAAH3Q/zk=")</f>
        <v>#REF!</v>
      </c>
      <c r="BG201" t="e">
        <f>AND(Exhibitor!#REF!,"AAAAAH3Q/zo=")</f>
        <v>#REF!</v>
      </c>
      <c r="BH201" t="e">
        <f>AND(Exhibitor!#REF!,"AAAAAH3Q/zs=")</f>
        <v>#REF!</v>
      </c>
      <c r="BI201" t="e">
        <f>AND(Exhibitor!#REF!,"AAAAAH3Q/zw=")</f>
        <v>#REF!</v>
      </c>
      <c r="BJ201" t="e">
        <f>AND(Exhibitor!#REF!,"AAAAAH3Q/z0=")</f>
        <v>#REF!</v>
      </c>
      <c r="BK201" t="e">
        <f>AND(Exhibitor!#REF!,"AAAAAH3Q/z4=")</f>
        <v>#REF!</v>
      </c>
      <c r="BL201" t="e">
        <f>AND(Exhibitor!#REF!,"AAAAAH3Q/z8=")</f>
        <v>#REF!</v>
      </c>
      <c r="BM201" t="e">
        <f>AND(Exhibitor!#REF!,"AAAAAH3Q/0A=")</f>
        <v>#REF!</v>
      </c>
      <c r="BN201" t="e">
        <f>IF(Exhibitor!#REF!,"AAAAAH3Q/0E=",0)</f>
        <v>#REF!</v>
      </c>
      <c r="BO201" t="e">
        <f>AND(Exhibitor!#REF!,"AAAAAH3Q/0I=")</f>
        <v>#REF!</v>
      </c>
      <c r="BP201" t="e">
        <f>AND(Exhibitor!#REF!,"AAAAAH3Q/0M=")</f>
        <v>#REF!</v>
      </c>
      <c r="BQ201" t="e">
        <f>AND(Exhibitor!#REF!,"AAAAAH3Q/0Q=")</f>
        <v>#REF!</v>
      </c>
      <c r="BR201" t="e">
        <f>AND(Exhibitor!#REF!,"AAAAAH3Q/0U=")</f>
        <v>#REF!</v>
      </c>
      <c r="BS201" t="e">
        <f>AND(Exhibitor!#REF!,"AAAAAH3Q/0Y=")</f>
        <v>#REF!</v>
      </c>
      <c r="BT201" t="e">
        <f>AND(Exhibitor!#REF!,"AAAAAH3Q/0c=")</f>
        <v>#REF!</v>
      </c>
      <c r="BU201" t="e">
        <f>AND(Exhibitor!#REF!,"AAAAAH3Q/0g=")</f>
        <v>#REF!</v>
      </c>
      <c r="BV201" t="e">
        <f>AND(Exhibitor!#REF!,"AAAAAH3Q/0k=")</f>
        <v>#REF!</v>
      </c>
      <c r="BW201" t="e">
        <f>AND(Exhibitor!#REF!,"AAAAAH3Q/0o=")</f>
        <v>#REF!</v>
      </c>
      <c r="BX201" t="e">
        <f>AND(Exhibitor!#REF!,"AAAAAH3Q/0s=")</f>
        <v>#REF!</v>
      </c>
      <c r="BY201" t="e">
        <f>AND(Exhibitor!#REF!,"AAAAAH3Q/0w=")</f>
        <v>#REF!</v>
      </c>
      <c r="BZ201" t="e">
        <f>AND(Exhibitor!#REF!,"AAAAAH3Q/00=")</f>
        <v>#REF!</v>
      </c>
      <c r="CA201" t="e">
        <f>AND(Exhibitor!#REF!,"AAAAAH3Q/04=")</f>
        <v>#REF!</v>
      </c>
      <c r="CB201" t="e">
        <f>IF(Exhibitor!#REF!,"AAAAAH3Q/08=",0)</f>
        <v>#REF!</v>
      </c>
      <c r="CC201" t="e">
        <f>AND(Exhibitor!#REF!,"AAAAAH3Q/1A=")</f>
        <v>#REF!</v>
      </c>
      <c r="CD201" t="e">
        <f>AND(Exhibitor!#REF!,"AAAAAH3Q/1E=")</f>
        <v>#REF!</v>
      </c>
      <c r="CE201" t="e">
        <f>AND(Exhibitor!#REF!,"AAAAAH3Q/1I=")</f>
        <v>#REF!</v>
      </c>
      <c r="CF201" t="e">
        <f>AND(Exhibitor!#REF!,"AAAAAH3Q/1M=")</f>
        <v>#REF!</v>
      </c>
      <c r="CG201" t="e">
        <f>AND(Exhibitor!#REF!,"AAAAAH3Q/1Q=")</f>
        <v>#REF!</v>
      </c>
      <c r="CH201" t="e">
        <f>AND(Exhibitor!#REF!,"AAAAAH3Q/1U=")</f>
        <v>#REF!</v>
      </c>
      <c r="CI201" t="e">
        <f>AND(Exhibitor!#REF!,"AAAAAH3Q/1Y=")</f>
        <v>#REF!</v>
      </c>
      <c r="CJ201" t="e">
        <f>AND(Exhibitor!#REF!,"AAAAAH3Q/1c=")</f>
        <v>#REF!</v>
      </c>
      <c r="CK201" t="e">
        <f>AND(Exhibitor!#REF!,"AAAAAH3Q/1g=")</f>
        <v>#REF!</v>
      </c>
      <c r="CL201" t="e">
        <f>AND(Exhibitor!#REF!,"AAAAAH3Q/1k=")</f>
        <v>#REF!</v>
      </c>
      <c r="CM201" t="e">
        <f>AND(Exhibitor!#REF!,"AAAAAH3Q/1o=")</f>
        <v>#REF!</v>
      </c>
      <c r="CN201" t="e">
        <f>AND(Exhibitor!#REF!,"AAAAAH3Q/1s=")</f>
        <v>#REF!</v>
      </c>
      <c r="CO201" t="e">
        <f>AND(Exhibitor!#REF!,"AAAAAH3Q/1w=")</f>
        <v>#REF!</v>
      </c>
      <c r="CP201" t="e">
        <f>IF(Exhibitor!#REF!,"AAAAAH3Q/10=",0)</f>
        <v>#REF!</v>
      </c>
      <c r="CQ201" t="e">
        <f>AND(Exhibitor!#REF!,"AAAAAH3Q/14=")</f>
        <v>#REF!</v>
      </c>
      <c r="CR201" t="e">
        <f>AND(Exhibitor!#REF!,"AAAAAH3Q/18=")</f>
        <v>#REF!</v>
      </c>
      <c r="CS201" t="e">
        <f>AND(Exhibitor!#REF!,"AAAAAH3Q/2A=")</f>
        <v>#REF!</v>
      </c>
      <c r="CT201" t="e">
        <f>AND(Exhibitor!#REF!,"AAAAAH3Q/2E=")</f>
        <v>#REF!</v>
      </c>
      <c r="CU201" t="e">
        <f>AND(Exhibitor!#REF!,"AAAAAH3Q/2I=")</f>
        <v>#REF!</v>
      </c>
      <c r="CV201" t="e">
        <f>AND(Exhibitor!#REF!,"AAAAAH3Q/2M=")</f>
        <v>#REF!</v>
      </c>
      <c r="CW201" t="e">
        <f>AND(Exhibitor!#REF!,"AAAAAH3Q/2Q=")</f>
        <v>#REF!</v>
      </c>
      <c r="CX201" t="e">
        <f>AND(Exhibitor!#REF!,"AAAAAH3Q/2U=")</f>
        <v>#REF!</v>
      </c>
      <c r="CY201" t="e">
        <f>AND(Exhibitor!#REF!,"AAAAAH3Q/2Y=")</f>
        <v>#REF!</v>
      </c>
      <c r="CZ201" t="e">
        <f>AND(Exhibitor!#REF!,"AAAAAH3Q/2c=")</f>
        <v>#REF!</v>
      </c>
      <c r="DA201" t="e">
        <f>AND(Exhibitor!#REF!,"AAAAAH3Q/2g=")</f>
        <v>#REF!</v>
      </c>
      <c r="DB201" t="e">
        <f>AND(Exhibitor!#REF!,"AAAAAH3Q/2k=")</f>
        <v>#REF!</v>
      </c>
      <c r="DC201" t="e">
        <f>AND(Exhibitor!#REF!,"AAAAAH3Q/2o=")</f>
        <v>#REF!</v>
      </c>
      <c r="DD201" t="e">
        <f>IF(Exhibitor!#REF!,"AAAAAH3Q/2s=",0)</f>
        <v>#REF!</v>
      </c>
      <c r="DE201" t="e">
        <f>AND(Exhibitor!#REF!,"AAAAAH3Q/2w=")</f>
        <v>#REF!</v>
      </c>
      <c r="DF201" t="e">
        <f>AND(Exhibitor!#REF!,"AAAAAH3Q/20=")</f>
        <v>#REF!</v>
      </c>
      <c r="DG201" t="e">
        <f>AND(Exhibitor!#REF!,"AAAAAH3Q/24=")</f>
        <v>#REF!</v>
      </c>
      <c r="DH201" t="e">
        <f>AND(Exhibitor!#REF!,"AAAAAH3Q/28=")</f>
        <v>#REF!</v>
      </c>
      <c r="DI201" t="e">
        <f>AND(Exhibitor!#REF!,"AAAAAH3Q/3A=")</f>
        <v>#REF!</v>
      </c>
      <c r="DJ201" t="e">
        <f>AND(Exhibitor!#REF!,"AAAAAH3Q/3E=")</f>
        <v>#REF!</v>
      </c>
      <c r="DK201" t="e">
        <f>AND(Exhibitor!#REF!,"AAAAAH3Q/3I=")</f>
        <v>#REF!</v>
      </c>
      <c r="DL201" t="e">
        <f>AND(Exhibitor!#REF!,"AAAAAH3Q/3M=")</f>
        <v>#REF!</v>
      </c>
      <c r="DM201" t="e">
        <f>AND(Exhibitor!#REF!,"AAAAAH3Q/3Q=")</f>
        <v>#REF!</v>
      </c>
      <c r="DN201" t="e">
        <f>AND(Exhibitor!#REF!,"AAAAAH3Q/3U=")</f>
        <v>#REF!</v>
      </c>
      <c r="DO201" t="e">
        <f>AND(Exhibitor!#REF!,"AAAAAH3Q/3Y=")</f>
        <v>#REF!</v>
      </c>
      <c r="DP201" t="e">
        <f>AND(Exhibitor!#REF!,"AAAAAH3Q/3c=")</f>
        <v>#REF!</v>
      </c>
      <c r="DQ201" t="e">
        <f>AND(Exhibitor!#REF!,"AAAAAH3Q/3g=")</f>
        <v>#REF!</v>
      </c>
      <c r="DR201" t="e">
        <f>IF(Exhibitor!#REF!,"AAAAAH3Q/3k=",0)</f>
        <v>#REF!</v>
      </c>
      <c r="DS201" t="e">
        <f>AND(Exhibitor!#REF!,"AAAAAH3Q/3o=")</f>
        <v>#REF!</v>
      </c>
      <c r="DT201" t="e">
        <f>AND(Exhibitor!#REF!,"AAAAAH3Q/3s=")</f>
        <v>#REF!</v>
      </c>
      <c r="DU201" t="e">
        <f>AND(Exhibitor!#REF!,"AAAAAH3Q/3w=")</f>
        <v>#REF!</v>
      </c>
      <c r="DV201" t="e">
        <f>AND(Exhibitor!#REF!,"AAAAAH3Q/30=")</f>
        <v>#REF!</v>
      </c>
      <c r="DW201" t="e">
        <f>AND(Exhibitor!#REF!,"AAAAAH3Q/34=")</f>
        <v>#REF!</v>
      </c>
      <c r="DX201" t="e">
        <f>AND(Exhibitor!#REF!,"AAAAAH3Q/38=")</f>
        <v>#REF!</v>
      </c>
      <c r="DY201" t="e">
        <f>AND(Exhibitor!#REF!,"AAAAAH3Q/4A=")</f>
        <v>#REF!</v>
      </c>
      <c r="DZ201" t="e">
        <f>AND(Exhibitor!#REF!,"AAAAAH3Q/4E=")</f>
        <v>#REF!</v>
      </c>
      <c r="EA201" t="e">
        <f>AND(Exhibitor!#REF!,"AAAAAH3Q/4I=")</f>
        <v>#REF!</v>
      </c>
      <c r="EB201" t="e">
        <f>AND(Exhibitor!#REF!,"AAAAAH3Q/4M=")</f>
        <v>#REF!</v>
      </c>
      <c r="EC201" t="e">
        <f>AND(Exhibitor!#REF!,"AAAAAH3Q/4Q=")</f>
        <v>#REF!</v>
      </c>
      <c r="ED201" t="e">
        <f>AND(Exhibitor!#REF!,"AAAAAH3Q/4U=")</f>
        <v>#REF!</v>
      </c>
      <c r="EE201" t="e">
        <f>AND(Exhibitor!#REF!,"AAAAAH3Q/4Y=")</f>
        <v>#REF!</v>
      </c>
      <c r="EF201" t="e">
        <f>IF(Exhibitor!#REF!,"AAAAAH3Q/4c=",0)</f>
        <v>#REF!</v>
      </c>
      <c r="EG201" t="e">
        <f>AND(Exhibitor!#REF!,"AAAAAH3Q/4g=")</f>
        <v>#REF!</v>
      </c>
      <c r="EH201" t="e">
        <f>AND(Exhibitor!#REF!,"AAAAAH3Q/4k=")</f>
        <v>#REF!</v>
      </c>
      <c r="EI201" t="e">
        <f>AND(Exhibitor!#REF!,"AAAAAH3Q/4o=")</f>
        <v>#REF!</v>
      </c>
      <c r="EJ201" t="e">
        <f>AND(Exhibitor!#REF!,"AAAAAH3Q/4s=")</f>
        <v>#REF!</v>
      </c>
      <c r="EK201" t="e">
        <f>AND(Exhibitor!#REF!,"AAAAAH3Q/4w=")</f>
        <v>#REF!</v>
      </c>
      <c r="EL201" t="e">
        <f>AND(Exhibitor!#REF!,"AAAAAH3Q/40=")</f>
        <v>#REF!</v>
      </c>
      <c r="EM201" t="e">
        <f>AND(Exhibitor!#REF!,"AAAAAH3Q/44=")</f>
        <v>#REF!</v>
      </c>
      <c r="EN201" t="e">
        <f>AND(Exhibitor!#REF!,"AAAAAH3Q/48=")</f>
        <v>#REF!</v>
      </c>
      <c r="EO201" t="e">
        <f>AND(Exhibitor!#REF!,"AAAAAH3Q/5A=")</f>
        <v>#REF!</v>
      </c>
      <c r="EP201" t="e">
        <f>AND(Exhibitor!#REF!,"AAAAAH3Q/5E=")</f>
        <v>#REF!</v>
      </c>
      <c r="EQ201" t="e">
        <f>AND(Exhibitor!#REF!,"AAAAAH3Q/5I=")</f>
        <v>#REF!</v>
      </c>
      <c r="ER201" t="e">
        <f>AND(Exhibitor!#REF!,"AAAAAH3Q/5M=")</f>
        <v>#REF!</v>
      </c>
      <c r="ES201" t="e">
        <f>AND(Exhibitor!#REF!,"AAAAAH3Q/5Q=")</f>
        <v>#REF!</v>
      </c>
      <c r="ET201" t="e">
        <f>IF(Exhibitor!#REF!,"AAAAAH3Q/5U=",0)</f>
        <v>#REF!</v>
      </c>
      <c r="EU201" t="e">
        <f>AND(Exhibitor!#REF!,"AAAAAH3Q/5Y=")</f>
        <v>#REF!</v>
      </c>
      <c r="EV201" t="e">
        <f>AND(Exhibitor!#REF!,"AAAAAH3Q/5c=")</f>
        <v>#REF!</v>
      </c>
      <c r="EW201" t="e">
        <f>AND(Exhibitor!#REF!,"AAAAAH3Q/5g=")</f>
        <v>#REF!</v>
      </c>
      <c r="EX201" t="e">
        <f>AND(Exhibitor!#REF!,"AAAAAH3Q/5k=")</f>
        <v>#REF!</v>
      </c>
      <c r="EY201" t="e">
        <f>AND(Exhibitor!#REF!,"AAAAAH3Q/5o=")</f>
        <v>#REF!</v>
      </c>
      <c r="EZ201" t="e">
        <f>AND(Exhibitor!#REF!,"AAAAAH3Q/5s=")</f>
        <v>#REF!</v>
      </c>
      <c r="FA201" t="e">
        <f>AND(Exhibitor!#REF!,"AAAAAH3Q/5w=")</f>
        <v>#REF!</v>
      </c>
      <c r="FB201" t="e">
        <f>AND(Exhibitor!#REF!,"AAAAAH3Q/50=")</f>
        <v>#REF!</v>
      </c>
      <c r="FC201" t="e">
        <f>AND(Exhibitor!#REF!,"AAAAAH3Q/54=")</f>
        <v>#REF!</v>
      </c>
      <c r="FD201" t="e">
        <f>AND(Exhibitor!#REF!,"AAAAAH3Q/58=")</f>
        <v>#REF!</v>
      </c>
      <c r="FE201" t="e">
        <f>AND(Exhibitor!#REF!,"AAAAAH3Q/6A=")</f>
        <v>#REF!</v>
      </c>
      <c r="FF201" t="e">
        <f>AND(Exhibitor!#REF!,"AAAAAH3Q/6E=")</f>
        <v>#REF!</v>
      </c>
      <c r="FG201" t="e">
        <f>AND(Exhibitor!#REF!,"AAAAAH3Q/6I=")</f>
        <v>#REF!</v>
      </c>
      <c r="FH201" t="e">
        <f>IF(Exhibitor!#REF!,"AAAAAH3Q/6M=",0)</f>
        <v>#REF!</v>
      </c>
      <c r="FI201" t="e">
        <f>AND(Exhibitor!#REF!,"AAAAAH3Q/6Q=")</f>
        <v>#REF!</v>
      </c>
      <c r="FJ201" t="e">
        <f>AND(Exhibitor!#REF!,"AAAAAH3Q/6U=")</f>
        <v>#REF!</v>
      </c>
      <c r="FK201" t="e">
        <f>AND(Exhibitor!#REF!,"AAAAAH3Q/6Y=")</f>
        <v>#REF!</v>
      </c>
      <c r="FL201" t="e">
        <f>AND(Exhibitor!#REF!,"AAAAAH3Q/6c=")</f>
        <v>#REF!</v>
      </c>
      <c r="FM201" t="e">
        <f>AND(Exhibitor!#REF!,"AAAAAH3Q/6g=")</f>
        <v>#REF!</v>
      </c>
      <c r="FN201" t="e">
        <f>AND(Exhibitor!#REF!,"AAAAAH3Q/6k=")</f>
        <v>#REF!</v>
      </c>
      <c r="FO201" t="e">
        <f>AND(Exhibitor!#REF!,"AAAAAH3Q/6o=")</f>
        <v>#REF!</v>
      </c>
      <c r="FP201" t="e">
        <f>AND(Exhibitor!#REF!,"AAAAAH3Q/6s=")</f>
        <v>#REF!</v>
      </c>
      <c r="FQ201" t="e">
        <f>AND(Exhibitor!#REF!,"AAAAAH3Q/6w=")</f>
        <v>#REF!</v>
      </c>
      <c r="FR201" t="e">
        <f>AND(Exhibitor!#REF!,"AAAAAH3Q/60=")</f>
        <v>#REF!</v>
      </c>
      <c r="FS201" t="e">
        <f>AND(Exhibitor!#REF!,"AAAAAH3Q/64=")</f>
        <v>#REF!</v>
      </c>
      <c r="FT201" t="e">
        <f>AND(Exhibitor!#REF!,"AAAAAH3Q/68=")</f>
        <v>#REF!</v>
      </c>
      <c r="FU201" t="e">
        <f>AND(Exhibitor!#REF!,"AAAAAH3Q/7A=")</f>
        <v>#REF!</v>
      </c>
      <c r="FV201" t="e">
        <f>IF(Exhibitor!#REF!,"AAAAAH3Q/7E=",0)</f>
        <v>#REF!</v>
      </c>
      <c r="FW201" t="e">
        <f>AND(Exhibitor!#REF!,"AAAAAH3Q/7I=")</f>
        <v>#REF!</v>
      </c>
      <c r="FX201" t="e">
        <f>AND(Exhibitor!#REF!,"AAAAAH3Q/7M=")</f>
        <v>#REF!</v>
      </c>
      <c r="FY201" t="e">
        <f>AND(Exhibitor!#REF!,"AAAAAH3Q/7Q=")</f>
        <v>#REF!</v>
      </c>
      <c r="FZ201" t="e">
        <f>AND(Exhibitor!#REF!,"AAAAAH3Q/7U=")</f>
        <v>#REF!</v>
      </c>
      <c r="GA201" t="e">
        <f>AND(Exhibitor!#REF!,"AAAAAH3Q/7Y=")</f>
        <v>#REF!</v>
      </c>
      <c r="GB201" t="e">
        <f>AND(Exhibitor!#REF!,"AAAAAH3Q/7c=")</f>
        <v>#REF!</v>
      </c>
      <c r="GC201" t="e">
        <f>AND(Exhibitor!#REF!,"AAAAAH3Q/7g=")</f>
        <v>#REF!</v>
      </c>
      <c r="GD201" t="e">
        <f>AND(Exhibitor!#REF!,"AAAAAH3Q/7k=")</f>
        <v>#REF!</v>
      </c>
      <c r="GE201" t="e">
        <f>AND(Exhibitor!#REF!,"AAAAAH3Q/7o=")</f>
        <v>#REF!</v>
      </c>
      <c r="GF201" t="e">
        <f>AND(Exhibitor!#REF!,"AAAAAH3Q/7s=")</f>
        <v>#REF!</v>
      </c>
      <c r="GG201" t="e">
        <f>AND(Exhibitor!#REF!,"AAAAAH3Q/7w=")</f>
        <v>#REF!</v>
      </c>
      <c r="GH201" t="e">
        <f>AND(Exhibitor!#REF!,"AAAAAH3Q/70=")</f>
        <v>#REF!</v>
      </c>
      <c r="GI201" t="e">
        <f>AND(Exhibitor!#REF!,"AAAAAH3Q/74=")</f>
        <v>#REF!</v>
      </c>
      <c r="GJ201" t="e">
        <f>IF(Exhibitor!#REF!,"AAAAAH3Q/78=",0)</f>
        <v>#REF!</v>
      </c>
      <c r="GK201" t="e">
        <f>AND(Exhibitor!#REF!,"AAAAAH3Q/8A=")</f>
        <v>#REF!</v>
      </c>
      <c r="GL201" t="e">
        <f>AND(Exhibitor!#REF!,"AAAAAH3Q/8E=")</f>
        <v>#REF!</v>
      </c>
      <c r="GM201" t="e">
        <f>AND(Exhibitor!#REF!,"AAAAAH3Q/8I=")</f>
        <v>#REF!</v>
      </c>
      <c r="GN201" t="e">
        <f>AND(Exhibitor!#REF!,"AAAAAH3Q/8M=")</f>
        <v>#REF!</v>
      </c>
      <c r="GO201" t="e">
        <f>AND(Exhibitor!#REF!,"AAAAAH3Q/8Q=")</f>
        <v>#REF!</v>
      </c>
      <c r="GP201" t="e">
        <f>AND(Exhibitor!#REF!,"AAAAAH3Q/8U=")</f>
        <v>#REF!</v>
      </c>
      <c r="GQ201" t="e">
        <f>AND(Exhibitor!#REF!,"AAAAAH3Q/8Y=")</f>
        <v>#REF!</v>
      </c>
      <c r="GR201" t="e">
        <f>AND(Exhibitor!#REF!,"AAAAAH3Q/8c=")</f>
        <v>#REF!</v>
      </c>
      <c r="GS201" t="e">
        <f>AND(Exhibitor!#REF!,"AAAAAH3Q/8g=")</f>
        <v>#REF!</v>
      </c>
      <c r="GT201" t="e">
        <f>AND(Exhibitor!#REF!,"AAAAAH3Q/8k=")</f>
        <v>#REF!</v>
      </c>
      <c r="GU201" t="e">
        <f>AND(Exhibitor!#REF!,"AAAAAH3Q/8o=")</f>
        <v>#REF!</v>
      </c>
      <c r="GV201" t="e">
        <f>AND(Exhibitor!#REF!,"AAAAAH3Q/8s=")</f>
        <v>#REF!</v>
      </c>
      <c r="GW201" t="e">
        <f>AND(Exhibitor!#REF!,"AAAAAH3Q/8w=")</f>
        <v>#REF!</v>
      </c>
      <c r="GX201" t="e">
        <f>IF(Exhibitor!#REF!,"AAAAAH3Q/80=",0)</f>
        <v>#REF!</v>
      </c>
      <c r="GY201" t="e">
        <f>IF(Exhibitor!#REF!,"AAAAAH3Q/84=",0)</f>
        <v>#REF!</v>
      </c>
      <c r="GZ201" t="e">
        <f>IF(Exhibitor!#REF!,"AAAAAH3Q/88=",0)</f>
        <v>#REF!</v>
      </c>
      <c r="HA201" t="e">
        <f>IF(Exhibitor!#REF!,"AAAAAH3Q/9A=",0)</f>
        <v>#REF!</v>
      </c>
      <c r="HB201" t="e">
        <f>IF(Exhibitor!#REF!,"AAAAAH3Q/9E=",0)</f>
        <v>#REF!</v>
      </c>
      <c r="HC201" t="e">
        <f>IF(Exhibitor!#REF!,"AAAAAH3Q/9I=",0)</f>
        <v>#REF!</v>
      </c>
      <c r="HD201" t="e">
        <f>IF(Exhibitor!#REF!,"AAAAAH3Q/9M=",0)</f>
        <v>#REF!</v>
      </c>
      <c r="HE201" t="e">
        <f>IF(Exhibitor!#REF!,"AAAAAH3Q/9Q=",0)</f>
        <v>#REF!</v>
      </c>
      <c r="HF201" t="e">
        <f>IF(Exhibitor!#REF!,"AAAAAH3Q/9U=",0)</f>
        <v>#REF!</v>
      </c>
      <c r="HG201" t="e">
        <f>IF(Exhibitor!#REF!,"AAAAAH3Q/9Y=",0)</f>
        <v>#REF!</v>
      </c>
      <c r="HH201" t="e">
        <f>IF(Exhibitor!#REF!,"AAAAAH3Q/9c=",0)</f>
        <v>#REF!</v>
      </c>
      <c r="HI201" t="e">
        <f>IF(Exhibitor!#REF!,"AAAAAH3Q/9g=",0)</f>
        <v>#REF!</v>
      </c>
      <c r="HJ201" t="e">
        <f>IF(Exhibitor!#REF!,"AAAAAH3Q/9k=",0)</f>
        <v>#REF!</v>
      </c>
      <c r="HK201" t="e">
        <f>IF(Exhibitor!#REF!,"AAAAAH3Q/9o=",0)</f>
        <v>#REF!</v>
      </c>
      <c r="HL201" t="e">
        <f>IF(Exhibitor!#REF!,"AAAAAH3Q/9s=",0)</f>
        <v>#REF!</v>
      </c>
      <c r="HM201" t="e">
        <f>IF(Exhibitor!#REF!,"AAAAAH3Q/9w=",0)</f>
        <v>#REF!</v>
      </c>
      <c r="HN201" t="e">
        <f>IF(Exhibitor!#REF!,"AAAAAH3Q/90=",0)</f>
        <v>#REF!</v>
      </c>
      <c r="HO201" t="e">
        <f>IF(Exhibitor!#REF!,"AAAAAH3Q/94=",0)</f>
        <v>#REF!</v>
      </c>
      <c r="HP201" t="e">
        <f>IF(Exhibitor!#REF!,"AAAAAH3Q/98=",0)</f>
        <v>#REF!</v>
      </c>
      <c r="HQ201" t="e">
        <f>IF(Exhibitor!#REF!,"AAAAAH3Q/+A=",0)</f>
        <v>#REF!</v>
      </c>
      <c r="HR201" t="e">
        <f>IF(Exhibitor!#REF!,"AAAAAH3Q/+E=",0)</f>
        <v>#REF!</v>
      </c>
      <c r="HS201" t="e">
        <f>IF(Exhibitor!#REF!,"AAAAAH3Q/+I=",0)</f>
        <v>#REF!</v>
      </c>
      <c r="HT201" t="e">
        <f>IF(Exhibitor!#REF!,"AAAAAH3Q/+M=",0)</f>
        <v>#REF!</v>
      </c>
      <c r="HU201" t="e">
        <f>IF(Exhibitor!#REF!,"AAAAAH3Q/+Q=",0)</f>
        <v>#REF!</v>
      </c>
      <c r="HV201" t="e">
        <f>IF(Exhibitor!#REF!,"AAAAAH3Q/+U=",0)</f>
        <v>#REF!</v>
      </c>
      <c r="HW201" t="e">
        <f>IF(Exhibitor!#REF!,"AAAAAH3Q/+Y=",0)</f>
        <v>#REF!</v>
      </c>
      <c r="HX201" t="e">
        <f>IF(Exhibitor!#REF!,"AAAAAH3Q/+c=",0)</f>
        <v>#REF!</v>
      </c>
      <c r="HY201" t="e">
        <f>IF(Exhibitor!#REF!,"AAAAAH3Q/+g=",0)</f>
        <v>#REF!</v>
      </c>
      <c r="HZ201" t="e">
        <f>IF(Exhibitor!#REF!,"AAAAAH3Q/+k=",0)</f>
        <v>#REF!</v>
      </c>
      <c r="IA201" t="e">
        <f>IF(Exhibitor!#REF!,"AAAAAH3Q/+o=",0)</f>
        <v>#REF!</v>
      </c>
      <c r="IB201" t="e">
        <f>IF(Exhibitor!#REF!,"AAAAAH3Q/+s=",0)</f>
        <v>#REF!</v>
      </c>
      <c r="IC201">
        <f>IF(Exhibitor!120:120,"AAAAAH3Q/+w=",0)</f>
        <v>0</v>
      </c>
      <c r="ID201">
        <f>IF(Exhibitor!121:121,"AAAAAH3Q/+0=",0)</f>
        <v>0</v>
      </c>
      <c r="IE201">
        <f>IF(Exhibitor!122:122,"AAAAAH3Q/+4=",0)</f>
        <v>0</v>
      </c>
      <c r="IF201">
        <f>IF(Exhibitor!123:123,"AAAAAH3Q/+8=",0)</f>
        <v>0</v>
      </c>
      <c r="IG201">
        <f>IF(Exhibitor!124:124,"AAAAAH3Q//A=",0)</f>
        <v>0</v>
      </c>
      <c r="IH201">
        <f>IF(Exhibitor!125:125,"AAAAAH3Q//E=",0)</f>
        <v>0</v>
      </c>
      <c r="II201">
        <f>IF(Exhibitor!126:126,"AAAAAH3Q//I=",0)</f>
        <v>0</v>
      </c>
      <c r="IJ201">
        <f>IF(Exhibitor!127:127,"AAAAAH3Q//M=",0)</f>
        <v>0</v>
      </c>
      <c r="IK201">
        <f>IF(Exhibitor!128:128,"AAAAAH3Q//Q=",0)</f>
        <v>0</v>
      </c>
      <c r="IL201">
        <f>IF(Exhibitor!129:129,"AAAAAH3Q//U=",0)</f>
        <v>0</v>
      </c>
      <c r="IM201">
        <f>IF(Exhibitor!130:130,"AAAAAH3Q//Y=",0)</f>
        <v>0</v>
      </c>
      <c r="IN201">
        <f>IF(Exhibitor!131:131,"AAAAAH3Q//c=",0)</f>
        <v>0</v>
      </c>
      <c r="IO201">
        <f>IF(Exhibitor!132:132,"AAAAAH3Q//g=",0)</f>
        <v>0</v>
      </c>
      <c r="IP201">
        <f>IF(Exhibitor!133:133,"AAAAAH3Q//k=",0)</f>
        <v>0</v>
      </c>
      <c r="IQ201">
        <f>IF(Exhibitor!134:134,"AAAAAH3Q//o=",0)</f>
        <v>0</v>
      </c>
      <c r="IR201">
        <f>IF(Exhibitor!135:135,"AAAAAH3Q//s=",0)</f>
        <v>0</v>
      </c>
      <c r="IS201">
        <f>IF(Exhibitor!136:136,"AAAAAH3Q//w=",0)</f>
        <v>0</v>
      </c>
      <c r="IT201">
        <f>IF(Exhibitor!137:137,"AAAAAH3Q//0=",0)</f>
        <v>0</v>
      </c>
      <c r="IU201">
        <f>IF(Exhibitor!138:138,"AAAAAH3Q//4=",0)</f>
        <v>0</v>
      </c>
      <c r="IV201">
        <f>IF(Exhibitor!139:139,"AAAAAH3Q//8=",0)</f>
        <v>0</v>
      </c>
    </row>
    <row r="202" spans="1:256" x14ac:dyDescent="0.2">
      <c r="A202">
        <f>IF(Exhibitor!140:140,"AAAAAHP/1wA=",0)</f>
        <v>0</v>
      </c>
      <c r="B202">
        <f>IF(Exhibitor!141:141,"AAAAAHP/1wE=",0)</f>
        <v>0</v>
      </c>
      <c r="C202">
        <f>IF(Exhibitor!142:142,"AAAAAHP/1wI=",0)</f>
        <v>0</v>
      </c>
      <c r="D202">
        <f>IF(Exhibitor!143:143,"AAAAAHP/1wM=",0)</f>
        <v>0</v>
      </c>
      <c r="E202">
        <f>IF(Exhibitor!144:144,"AAAAAHP/1wQ=",0)</f>
        <v>0</v>
      </c>
      <c r="F202">
        <f>IF(Exhibitor!145:145,"AAAAAHP/1wU=",0)</f>
        <v>0</v>
      </c>
      <c r="G202">
        <f>IF(Exhibitor!146:146,"AAAAAHP/1wY=",0)</f>
        <v>0</v>
      </c>
      <c r="H202">
        <f>IF(Exhibitor!147:147,"AAAAAHP/1wc=",0)</f>
        <v>0</v>
      </c>
      <c r="I202">
        <f>IF(Exhibitor!148:148,"AAAAAHP/1wg=",0)</f>
        <v>0</v>
      </c>
      <c r="J202" t="e">
        <f>IF(Exhibitor!#REF!,"AAAAAHP/1wk=",0)</f>
        <v>#REF!</v>
      </c>
      <c r="K202">
        <f>IF(Exhibitor!A:A,"AAAAAHP/1wo=",0)</f>
        <v>0</v>
      </c>
      <c r="L202">
        <f>IF(Exhibitor!B:B,"AAAAAHP/1ws=",0)</f>
        <v>0</v>
      </c>
      <c r="M202">
        <f>IF(Exhibitor!C:C,"AAAAAHP/1ww=",0)</f>
        <v>0</v>
      </c>
      <c r="N202">
        <f>IF(Exhibitor!D:D,"AAAAAHP/1w0=",0)</f>
        <v>0</v>
      </c>
      <c r="O202">
        <f>IF(Exhibitor!E:E,"AAAAAHP/1w4=",0)</f>
        <v>0</v>
      </c>
      <c r="P202">
        <f>IF(Exhibitor!F:F,"AAAAAHP/1w8=",0)</f>
        <v>0</v>
      </c>
      <c r="Q202">
        <f>IF(Exhibitor!G:G,"AAAAAHP/1xA=",0)</f>
        <v>0</v>
      </c>
      <c r="R202">
        <f>IF(Exhibitor!H:H,"AAAAAHP/1xE=",0)</f>
        <v>0</v>
      </c>
      <c r="S202" t="e">
        <f>IF(Exhibitor!#REF!,"AAAAAHP/1xI=",0)</f>
        <v>#REF!</v>
      </c>
      <c r="T202" t="e">
        <f>IF(Exhibitor!#REF!,"AAAAAHP/1xM=",0)</f>
        <v>#REF!</v>
      </c>
      <c r="U202" t="e">
        <f>IF(Exhibitor!#REF!,"AAAAAHP/1xQ=",0)</f>
        <v>#REF!</v>
      </c>
      <c r="V202" t="e">
        <f>IF(Exhibitor!#REF!,"AAAAAHP/1xU=",0)</f>
        <v>#REF!</v>
      </c>
      <c r="W202">
        <f>IF(Housing!1:1,"AAAAAHP/1xY=",0)</f>
        <v>0</v>
      </c>
      <c r="X202" t="e">
        <f>AND(Housing!#REF!,"AAAAAHP/1xc=")</f>
        <v>#REF!</v>
      </c>
      <c r="Y202" t="e">
        <f>AND(Housing!A1,"AAAAAHP/1xg=")</f>
        <v>#VALUE!</v>
      </c>
      <c r="Z202" t="e">
        <f>AND(Housing!B1,"AAAAAHP/1xk=")</f>
        <v>#VALUE!</v>
      </c>
      <c r="AA202" t="e">
        <f>AND(Housing!C1,"AAAAAHP/1xo=")</f>
        <v>#VALUE!</v>
      </c>
      <c r="AB202" t="e">
        <f>AND(Housing!D1,"AAAAAHP/1xs=")</f>
        <v>#VALUE!</v>
      </c>
      <c r="AC202" t="e">
        <f>AND(Housing!E1,"AAAAAHP/1xw=")</f>
        <v>#VALUE!</v>
      </c>
      <c r="AD202" t="e">
        <f>AND(Housing!F1,"AAAAAHP/1x0=")</f>
        <v>#VALUE!</v>
      </c>
      <c r="AE202" t="e">
        <f>AND(Housing!G1,"AAAAAHP/1x4=")</f>
        <v>#VALUE!</v>
      </c>
      <c r="AF202" t="e">
        <f>AND(Housing!H1,"AAAAAHP/1x8=")</f>
        <v>#VALUE!</v>
      </c>
      <c r="AG202" t="e">
        <f>AND(Housing!I1,"AAAAAHP/1yA=")</f>
        <v>#VALUE!</v>
      </c>
      <c r="AH202" t="e">
        <f>AND(Housing!J1,"AAAAAHP/1yE=")</f>
        <v>#VALUE!</v>
      </c>
      <c r="AI202" t="e">
        <f>AND(Housing!K1,"AAAAAHP/1yI=")</f>
        <v>#VALUE!</v>
      </c>
      <c r="AJ202" t="e">
        <f>AND(Housing!L1,"AAAAAHP/1yM=")</f>
        <v>#VALUE!</v>
      </c>
      <c r="AK202" t="e">
        <f>AND(Housing!M1,"AAAAAHP/1yQ=")</f>
        <v>#VALUE!</v>
      </c>
      <c r="AL202">
        <f>IF(Housing!2:2,"AAAAAHP/1yU=",0)</f>
        <v>0</v>
      </c>
      <c r="AM202" t="e">
        <f>AND(Housing!A2,"AAAAAHP/1yY=")</f>
        <v>#VALUE!</v>
      </c>
      <c r="AN202" t="e">
        <f>AND(Housing!#REF!,"AAAAAHP/1yc=")</f>
        <v>#REF!</v>
      </c>
      <c r="AO202" t="e">
        <f>AND(Housing!B2,"AAAAAHP/1yg=")</f>
        <v>#VALUE!</v>
      </c>
      <c r="AP202" t="e">
        <f>AND(Housing!C2,"AAAAAHP/1yk=")</f>
        <v>#VALUE!</v>
      </c>
      <c r="AQ202" t="e">
        <f>AND(Housing!D2,"AAAAAHP/1yo=")</f>
        <v>#VALUE!</v>
      </c>
      <c r="AR202" t="e">
        <f>AND(Housing!E2,"AAAAAHP/1ys=")</f>
        <v>#VALUE!</v>
      </c>
      <c r="AS202" t="e">
        <f>AND(Housing!F2,"AAAAAHP/1yw=")</f>
        <v>#VALUE!</v>
      </c>
      <c r="AT202" t="e">
        <f>AND(Housing!G2,"AAAAAHP/1y0=")</f>
        <v>#VALUE!</v>
      </c>
      <c r="AU202" t="e">
        <f>AND(Housing!H2,"AAAAAHP/1y4=")</f>
        <v>#VALUE!</v>
      </c>
      <c r="AV202" t="e">
        <f>AND(Housing!I2,"AAAAAHP/1y8=")</f>
        <v>#VALUE!</v>
      </c>
      <c r="AW202" t="e">
        <f>AND(Housing!J2,"AAAAAHP/1zA=")</f>
        <v>#VALUE!</v>
      </c>
      <c r="AX202" t="e">
        <f>AND(Housing!K2,"AAAAAHP/1zE=")</f>
        <v>#VALUE!</v>
      </c>
      <c r="AY202" t="e">
        <f>AND(Housing!L2,"AAAAAHP/1zI=")</f>
        <v>#VALUE!</v>
      </c>
      <c r="AZ202" t="e">
        <f>AND(Housing!M2,"AAAAAHP/1zM=")</f>
        <v>#VALUE!</v>
      </c>
      <c r="BA202">
        <f>IF(Housing!3:3,"AAAAAHP/1zQ=",0)</f>
        <v>0</v>
      </c>
      <c r="BB202" t="e">
        <f>AND(Housing!#REF!,"AAAAAHP/1zU=")</f>
        <v>#REF!</v>
      </c>
      <c r="BC202" t="e">
        <f>AND(Housing!A3,"AAAAAHP/1zY=")</f>
        <v>#VALUE!</v>
      </c>
      <c r="BD202" t="e">
        <f>AND(Housing!B3,"AAAAAHP/1zc=")</f>
        <v>#VALUE!</v>
      </c>
      <c r="BE202" t="e">
        <f>AND(Housing!C3,"AAAAAHP/1zg=")</f>
        <v>#VALUE!</v>
      </c>
      <c r="BF202" t="e">
        <f>AND(Housing!D3,"AAAAAHP/1zk=")</f>
        <v>#VALUE!</v>
      </c>
      <c r="BG202" t="e">
        <f>AND(Housing!E3,"AAAAAHP/1zo=")</f>
        <v>#VALUE!</v>
      </c>
      <c r="BH202" t="e">
        <f>AND(Housing!F3,"AAAAAHP/1zs=")</f>
        <v>#VALUE!</v>
      </c>
      <c r="BI202" t="e">
        <f>AND(Housing!G3,"AAAAAHP/1zw=")</f>
        <v>#VALUE!</v>
      </c>
      <c r="BJ202" t="e">
        <f>AND(Housing!H3,"AAAAAHP/1z0=")</f>
        <v>#VALUE!</v>
      </c>
      <c r="BK202" t="e">
        <f>AND(Housing!I3,"AAAAAHP/1z4=")</f>
        <v>#VALUE!</v>
      </c>
      <c r="BL202" t="e">
        <f>AND(Housing!J3,"AAAAAHP/1z8=")</f>
        <v>#VALUE!</v>
      </c>
      <c r="BM202" t="e">
        <f>AND(Housing!K3,"AAAAAHP/10A=")</f>
        <v>#VALUE!</v>
      </c>
      <c r="BN202" t="e">
        <f>AND(Housing!L3,"AAAAAHP/10E=")</f>
        <v>#VALUE!</v>
      </c>
      <c r="BO202" t="e">
        <f>AND(Housing!M3,"AAAAAHP/10I=")</f>
        <v>#VALUE!</v>
      </c>
      <c r="BP202" t="e">
        <f>IF(Housing!#REF!,"AAAAAHP/10M=",0)</f>
        <v>#REF!</v>
      </c>
      <c r="BQ202" t="e">
        <f>AND(Housing!#REF!,"AAAAAHP/10Q=")</f>
        <v>#REF!</v>
      </c>
      <c r="BR202" t="e">
        <f>AND(Housing!#REF!,"AAAAAHP/10U=")</f>
        <v>#REF!</v>
      </c>
      <c r="BS202" t="e">
        <f>AND(Housing!#REF!,"AAAAAHP/10Y=")</f>
        <v>#REF!</v>
      </c>
      <c r="BT202" t="e">
        <f>AND(Housing!#REF!,"AAAAAHP/10c=")</f>
        <v>#REF!</v>
      </c>
      <c r="BU202" t="e">
        <f>AND(Housing!#REF!,"AAAAAHP/10g=")</f>
        <v>#REF!</v>
      </c>
      <c r="BV202" t="e">
        <f>AND(Housing!#REF!,"AAAAAHP/10k=")</f>
        <v>#REF!</v>
      </c>
      <c r="BW202" t="e">
        <f>AND(Housing!#REF!,"AAAAAHP/10o=")</f>
        <v>#REF!</v>
      </c>
      <c r="BX202" t="e">
        <f>AND(Housing!#REF!,"AAAAAHP/10s=")</f>
        <v>#REF!</v>
      </c>
      <c r="BY202" t="e">
        <f>AND(Housing!#REF!,"AAAAAHP/10w=")</f>
        <v>#REF!</v>
      </c>
      <c r="BZ202" t="e">
        <f>AND(Housing!#REF!,"AAAAAHP/100=")</f>
        <v>#REF!</v>
      </c>
      <c r="CA202" t="e">
        <f>AND(Housing!#REF!,"AAAAAHP/104=")</f>
        <v>#REF!</v>
      </c>
      <c r="CB202" t="e">
        <f>AND(Housing!#REF!,"AAAAAHP/108=")</f>
        <v>#REF!</v>
      </c>
      <c r="CC202" t="e">
        <f>AND(Housing!#REF!,"AAAAAHP/11A=")</f>
        <v>#REF!</v>
      </c>
      <c r="CD202" t="e">
        <f>AND(Housing!#REF!,"AAAAAHP/11E=")</f>
        <v>#REF!</v>
      </c>
      <c r="CE202" t="e">
        <f>IF(Housing!#REF!,"AAAAAHP/11I=",0)</f>
        <v>#REF!</v>
      </c>
      <c r="CF202" t="e">
        <f>AND(Housing!#REF!,"AAAAAHP/11M=")</f>
        <v>#REF!</v>
      </c>
      <c r="CG202" t="e">
        <f>AND(Housing!#REF!,"AAAAAHP/11Q=")</f>
        <v>#REF!</v>
      </c>
      <c r="CH202" t="e">
        <f>AND(Housing!#REF!,"AAAAAHP/11U=")</f>
        <v>#REF!</v>
      </c>
      <c r="CI202" t="e">
        <f>AND(Housing!#REF!,"AAAAAHP/11Y=")</f>
        <v>#REF!</v>
      </c>
      <c r="CJ202" t="e">
        <f>AND(Housing!#REF!,"AAAAAHP/11c=")</f>
        <v>#REF!</v>
      </c>
      <c r="CK202" t="e">
        <f>AND(Housing!#REF!,"AAAAAHP/11g=")</f>
        <v>#REF!</v>
      </c>
      <c r="CL202" t="e">
        <f>AND(Housing!#REF!,"AAAAAHP/11k=")</f>
        <v>#REF!</v>
      </c>
      <c r="CM202" t="e">
        <f>AND(Housing!#REF!,"AAAAAHP/11o=")</f>
        <v>#REF!</v>
      </c>
      <c r="CN202" t="e">
        <f>AND(Housing!#REF!,"AAAAAHP/11s=")</f>
        <v>#REF!</v>
      </c>
      <c r="CO202" t="e">
        <f>AND(Housing!#REF!,"AAAAAHP/11w=")</f>
        <v>#REF!</v>
      </c>
      <c r="CP202" t="e">
        <f>AND(Housing!#REF!,"AAAAAHP/110=")</f>
        <v>#REF!</v>
      </c>
      <c r="CQ202" t="e">
        <f>AND(Housing!#REF!,"AAAAAHP/114=")</f>
        <v>#REF!</v>
      </c>
      <c r="CR202" t="e">
        <f>AND(Housing!#REF!,"AAAAAHP/118=")</f>
        <v>#REF!</v>
      </c>
      <c r="CS202" t="e">
        <f>AND(Housing!#REF!,"AAAAAHP/12A=")</f>
        <v>#REF!</v>
      </c>
      <c r="CT202">
        <f>IF(Housing!4:4,"AAAAAHP/12E=",0)</f>
        <v>0</v>
      </c>
      <c r="CU202" t="e">
        <f>AND(Housing!#REF!,"AAAAAHP/12I=")</f>
        <v>#REF!</v>
      </c>
      <c r="CV202" t="e">
        <f>AND(Housing!A4,"AAAAAHP/12M=")</f>
        <v>#VALUE!</v>
      </c>
      <c r="CW202" t="e">
        <f>AND(Housing!B4,"AAAAAHP/12Q=")</f>
        <v>#VALUE!</v>
      </c>
      <c r="CX202" t="e">
        <f>AND(Housing!C4,"AAAAAHP/12U=")</f>
        <v>#VALUE!</v>
      </c>
      <c r="CY202" t="e">
        <f>AND(Housing!D4,"AAAAAHP/12Y=")</f>
        <v>#VALUE!</v>
      </c>
      <c r="CZ202" t="e">
        <f>AND(Housing!F4,"AAAAAHP/12c=")</f>
        <v>#VALUE!</v>
      </c>
      <c r="DA202" t="e">
        <f>AND(Housing!G4,"AAAAAHP/12g=")</f>
        <v>#VALUE!</v>
      </c>
      <c r="DB202" t="e">
        <f>AND(Housing!I4,"AAAAAHP/12k=")</f>
        <v>#VALUE!</v>
      </c>
      <c r="DC202" t="e">
        <f>AND(Housing!J4,"AAAAAHP/12o=")</f>
        <v>#VALUE!</v>
      </c>
      <c r="DD202" t="e">
        <f>AND(Housing!#REF!,"AAAAAHP/12s=")</f>
        <v>#REF!</v>
      </c>
      <c r="DE202" t="e">
        <f>AND(Housing!#REF!,"AAAAAHP/12w=")</f>
        <v>#REF!</v>
      </c>
      <c r="DF202" t="e">
        <f>AND(Housing!#REF!,"AAAAAHP/120=")</f>
        <v>#REF!</v>
      </c>
      <c r="DG202" t="e">
        <f>AND(Housing!#REF!,"AAAAAHP/124=")</f>
        <v>#REF!</v>
      </c>
      <c r="DH202" t="e">
        <f>AND(Housing!#REF!,"AAAAAHP/128=")</f>
        <v>#REF!</v>
      </c>
      <c r="DI202">
        <f>IF(Housing!5:5,"AAAAAHP/13A=",0)</f>
        <v>0</v>
      </c>
      <c r="DJ202" t="e">
        <f>AND(Housing!#REF!,"AAAAAHP/13E=")</f>
        <v>#REF!</v>
      </c>
      <c r="DK202" t="e">
        <f>AND(Housing!A5,"AAAAAHP/13I=")</f>
        <v>#VALUE!</v>
      </c>
      <c r="DL202" t="e">
        <f>AND(Housing!B5,"AAAAAHP/13M=")</f>
        <v>#VALUE!</v>
      </c>
      <c r="DM202" t="e">
        <f>AND(Housing!C5,"AAAAAHP/13Q=")</f>
        <v>#VALUE!</v>
      </c>
      <c r="DN202" t="e">
        <f>AND(Housing!D5,"AAAAAHP/13U=")</f>
        <v>#VALUE!</v>
      </c>
      <c r="DO202" t="e">
        <f>AND(Housing!F5,"AAAAAHP/13Y=")</f>
        <v>#VALUE!</v>
      </c>
      <c r="DP202" t="e">
        <f>AND(Housing!G5,"AAAAAHP/13c=")</f>
        <v>#VALUE!</v>
      </c>
      <c r="DQ202" t="e">
        <f>AND(Housing!I5,"AAAAAHP/13g=")</f>
        <v>#VALUE!</v>
      </c>
      <c r="DR202" t="e">
        <f>AND(Housing!J5,"AAAAAHP/13k=")</f>
        <v>#VALUE!</v>
      </c>
      <c r="DS202" t="e">
        <f>AND(Housing!#REF!,"AAAAAHP/13o=")</f>
        <v>#REF!</v>
      </c>
      <c r="DT202" t="e">
        <f>AND(Housing!#REF!,"AAAAAHP/13s=")</f>
        <v>#REF!</v>
      </c>
      <c r="DU202" t="e">
        <f>AND(Housing!#REF!,"AAAAAHP/13w=")</f>
        <v>#REF!</v>
      </c>
      <c r="DV202" t="e">
        <f>AND(Housing!#REF!,"AAAAAHP/130=")</f>
        <v>#REF!</v>
      </c>
      <c r="DW202" t="e">
        <f>AND(Housing!#REF!,"AAAAAHP/134=")</f>
        <v>#REF!</v>
      </c>
      <c r="DX202">
        <f>IF(Housing!6:6,"AAAAAHP/138=",0)</f>
        <v>0</v>
      </c>
      <c r="DY202" t="e">
        <f>AND(Housing!#REF!,"AAAAAHP/14A=")</f>
        <v>#REF!</v>
      </c>
      <c r="DZ202" t="e">
        <f>AND(Housing!A6,"AAAAAHP/14E=")</f>
        <v>#VALUE!</v>
      </c>
      <c r="EA202" t="e">
        <f>AND(Housing!B6,"AAAAAHP/14I=")</f>
        <v>#VALUE!</v>
      </c>
      <c r="EB202" t="e">
        <f>AND(Housing!C6,"AAAAAHP/14M=")</f>
        <v>#VALUE!</v>
      </c>
      <c r="EC202" t="e">
        <f>AND(Housing!D6,"AAAAAHP/14Q=")</f>
        <v>#VALUE!</v>
      </c>
      <c r="ED202" t="e">
        <f>AND(Housing!F6,"AAAAAHP/14U=")</f>
        <v>#VALUE!</v>
      </c>
      <c r="EE202" t="e">
        <f>AND(Housing!G6,"AAAAAHP/14Y=")</f>
        <v>#VALUE!</v>
      </c>
      <c r="EF202" t="e">
        <f>AND(Housing!I6,"AAAAAHP/14c=")</f>
        <v>#VALUE!</v>
      </c>
      <c r="EG202" t="e">
        <f>AND(Housing!J6,"AAAAAHP/14g=")</f>
        <v>#VALUE!</v>
      </c>
      <c r="EH202" t="e">
        <f>AND(Housing!#REF!,"AAAAAHP/14k=")</f>
        <v>#REF!</v>
      </c>
      <c r="EI202" t="e">
        <f>AND(Housing!#REF!,"AAAAAHP/14o=")</f>
        <v>#REF!</v>
      </c>
      <c r="EJ202" t="e">
        <f>AND(Housing!#REF!,"AAAAAHP/14s=")</f>
        <v>#REF!</v>
      </c>
      <c r="EK202" t="e">
        <f>AND(Housing!#REF!,"AAAAAHP/14w=")</f>
        <v>#REF!</v>
      </c>
      <c r="EL202" t="e">
        <f>AND(Housing!#REF!,"AAAAAHP/140=")</f>
        <v>#REF!</v>
      </c>
      <c r="EM202">
        <f>IF(Housing!7:7,"AAAAAHP/144=",0)</f>
        <v>0</v>
      </c>
      <c r="EN202" t="e">
        <f>AND(Housing!#REF!,"AAAAAHP/148=")</f>
        <v>#REF!</v>
      </c>
      <c r="EO202" t="e">
        <f>AND(Housing!A7,"AAAAAHP/15A=")</f>
        <v>#VALUE!</v>
      </c>
      <c r="EP202" t="e">
        <f>AND(Housing!B7,"AAAAAHP/15E=")</f>
        <v>#VALUE!</v>
      </c>
      <c r="EQ202" t="e">
        <f>AND(Housing!C7,"AAAAAHP/15I=")</f>
        <v>#VALUE!</v>
      </c>
      <c r="ER202" t="e">
        <f>AND(Housing!D7,"AAAAAHP/15M=")</f>
        <v>#VALUE!</v>
      </c>
      <c r="ES202" t="e">
        <f>AND(Housing!E7,"AAAAAHP/15Q=")</f>
        <v>#VALUE!</v>
      </c>
      <c r="ET202" t="e">
        <f>AND(Housing!F7,"AAAAAHP/15U=")</f>
        <v>#VALUE!</v>
      </c>
      <c r="EU202" t="e">
        <f>AND(Housing!G7,"AAAAAHP/15Y=")</f>
        <v>#VALUE!</v>
      </c>
      <c r="EV202" t="e">
        <f>AND(Housing!H7,"AAAAAHP/15c=")</f>
        <v>#VALUE!</v>
      </c>
      <c r="EW202" t="e">
        <f>AND(Housing!I7,"AAAAAHP/15g=")</f>
        <v>#VALUE!</v>
      </c>
      <c r="EX202" t="e">
        <f>AND(Housing!J7,"AAAAAHP/15k=")</f>
        <v>#VALUE!</v>
      </c>
      <c r="EY202" t="e">
        <f>AND(Housing!K7,"AAAAAHP/15o=")</f>
        <v>#VALUE!</v>
      </c>
      <c r="EZ202" t="e">
        <f>AND(Housing!L7,"AAAAAHP/15s=")</f>
        <v>#VALUE!</v>
      </c>
      <c r="FA202" t="e">
        <f>AND(Housing!M7,"AAAAAHP/15w=")</f>
        <v>#VALUE!</v>
      </c>
      <c r="FB202" t="e">
        <f>IF(Housing!#REF!,"AAAAAHP/150=",0)</f>
        <v>#REF!</v>
      </c>
      <c r="FC202" t="e">
        <f>AND(Housing!#REF!,"AAAAAHP/154=")</f>
        <v>#REF!</v>
      </c>
      <c r="FD202" t="e">
        <f>AND(Housing!#REF!,"AAAAAHP/158=")</f>
        <v>#REF!</v>
      </c>
      <c r="FE202" t="e">
        <f>AND(Housing!#REF!,"AAAAAHP/16A=")</f>
        <v>#REF!</v>
      </c>
      <c r="FF202" t="e">
        <f>AND(Housing!#REF!,"AAAAAHP/16E=")</f>
        <v>#REF!</v>
      </c>
      <c r="FG202" t="e">
        <f>AND(Housing!#REF!,"AAAAAHP/16I=")</f>
        <v>#REF!</v>
      </c>
      <c r="FH202" t="e">
        <f>AND(Housing!#REF!,"AAAAAHP/16M=")</f>
        <v>#REF!</v>
      </c>
      <c r="FI202" t="e">
        <f>AND(Housing!#REF!,"AAAAAHP/16Q=")</f>
        <v>#REF!</v>
      </c>
      <c r="FJ202" t="e">
        <f>AND(Housing!#REF!,"AAAAAHP/16U=")</f>
        <v>#REF!</v>
      </c>
      <c r="FK202" t="e">
        <f>AND(Housing!#REF!,"AAAAAHP/16Y=")</f>
        <v>#REF!</v>
      </c>
      <c r="FL202" t="e">
        <f>AND(Housing!#REF!,"AAAAAHP/16c=")</f>
        <v>#REF!</v>
      </c>
      <c r="FM202" t="e">
        <f>AND(Housing!#REF!,"AAAAAHP/16g=")</f>
        <v>#REF!</v>
      </c>
      <c r="FN202" t="e">
        <f>AND(Housing!#REF!,"AAAAAHP/16k=")</f>
        <v>#REF!</v>
      </c>
      <c r="FO202" t="e">
        <f>AND(Housing!#REF!,"AAAAAHP/16o=")</f>
        <v>#REF!</v>
      </c>
      <c r="FP202" t="e">
        <f>AND(Housing!#REF!,"AAAAAHP/16s=")</f>
        <v>#REF!</v>
      </c>
      <c r="FQ202">
        <f>IF(Housing!9:9,"AAAAAHP/16w=",0)</f>
        <v>0</v>
      </c>
      <c r="FR202" t="e">
        <f>AND(Housing!#REF!,"AAAAAHP/160=")</f>
        <v>#REF!</v>
      </c>
      <c r="FS202" t="e">
        <f>AND(Housing!#REF!,"AAAAAHP/164=")</f>
        <v>#REF!</v>
      </c>
      <c r="FT202" t="e">
        <f>AND(Housing!#REF!,"AAAAAHP/168=")</f>
        <v>#REF!</v>
      </c>
      <c r="FU202" t="e">
        <f>AND(Housing!A9,"AAAAAHP/17A=")</f>
        <v>#VALUE!</v>
      </c>
      <c r="FV202" t="e">
        <f>AND(Housing!B9,"AAAAAHP/17E=")</f>
        <v>#VALUE!</v>
      </c>
      <c r="FW202" t="e">
        <f>AND(Housing!C9,"AAAAAHP/17I=")</f>
        <v>#VALUE!</v>
      </c>
      <c r="FX202" t="e">
        <f>AND(Housing!D9,"AAAAAHP/17M=")</f>
        <v>#VALUE!</v>
      </c>
      <c r="FY202" t="e">
        <f>AND(Housing!E9,"AAAAAHP/17Q=")</f>
        <v>#VALUE!</v>
      </c>
      <c r="FZ202" t="e">
        <f>AND(Housing!F9,"AAAAAHP/17U=")</f>
        <v>#VALUE!</v>
      </c>
      <c r="GA202" t="e">
        <f>AND(Housing!G9,"AAAAAHP/17Y=")</f>
        <v>#VALUE!</v>
      </c>
      <c r="GB202" t="e">
        <f>AND(Housing!H9,"AAAAAHP/17c=")</f>
        <v>#VALUE!</v>
      </c>
      <c r="GC202" t="e">
        <f>AND(Housing!I9,"AAAAAHP/17g=")</f>
        <v>#VALUE!</v>
      </c>
      <c r="GD202" t="e">
        <f>AND(Housing!J9,"AAAAAHP/17k=")</f>
        <v>#VALUE!</v>
      </c>
      <c r="GE202" t="e">
        <f>AND(Housing!K9,"AAAAAHP/17o=")</f>
        <v>#VALUE!</v>
      </c>
      <c r="GF202" t="e">
        <f>IF(Housing!#REF!,"AAAAAHP/17s=",0)</f>
        <v>#REF!</v>
      </c>
      <c r="GG202" t="e">
        <f>AND(Housing!#REF!,"AAAAAHP/17w=")</f>
        <v>#REF!</v>
      </c>
      <c r="GH202" t="e">
        <f>AND(Housing!#REF!,"AAAAAHP/170=")</f>
        <v>#REF!</v>
      </c>
      <c r="GI202" t="e">
        <f>AND(Housing!#REF!,"AAAAAHP/174=")</f>
        <v>#REF!</v>
      </c>
      <c r="GJ202" t="e">
        <f>AND(Housing!#REF!,"AAAAAHP/178=")</f>
        <v>#REF!</v>
      </c>
      <c r="GK202" t="e">
        <f>AND(Housing!#REF!,"AAAAAHP/18A=")</f>
        <v>#REF!</v>
      </c>
      <c r="GL202" t="e">
        <f>AND(Housing!#REF!,"AAAAAHP/18E=")</f>
        <v>#REF!</v>
      </c>
      <c r="GM202" t="e">
        <f>AND(Housing!#REF!,"AAAAAHP/18I=")</f>
        <v>#REF!</v>
      </c>
      <c r="GN202" t="e">
        <f>AND(Housing!#REF!,"AAAAAHP/18M=")</f>
        <v>#REF!</v>
      </c>
      <c r="GO202" t="e">
        <f>AND(Housing!#REF!,"AAAAAHP/18Q=")</f>
        <v>#REF!</v>
      </c>
      <c r="GP202" t="e">
        <f>AND(Housing!#REF!,"AAAAAHP/18U=")</f>
        <v>#REF!</v>
      </c>
      <c r="GQ202" t="e">
        <f>AND(Housing!#REF!,"AAAAAHP/18Y=")</f>
        <v>#REF!</v>
      </c>
      <c r="GR202" t="e">
        <f>AND(Housing!#REF!,"AAAAAHP/18c=")</f>
        <v>#REF!</v>
      </c>
      <c r="GS202" t="e">
        <f>AND(Housing!#REF!,"AAAAAHP/18g=")</f>
        <v>#REF!</v>
      </c>
      <c r="GT202" t="e">
        <f>AND(Housing!#REF!,"AAAAAHP/18k=")</f>
        <v>#REF!</v>
      </c>
      <c r="GU202">
        <f>IF(Housing!12:12,"AAAAAHP/18o=",0)</f>
        <v>0</v>
      </c>
      <c r="GV202" t="e">
        <f>AND(Housing!#REF!,"AAAAAHP/18s=")</f>
        <v>#REF!</v>
      </c>
      <c r="GW202" t="e">
        <f>AND(Housing!#REF!,"AAAAAHP/18w=")</f>
        <v>#REF!</v>
      </c>
      <c r="GX202" t="e">
        <f>AND(Housing!#REF!,"AAAAAHP/180=")</f>
        <v>#REF!</v>
      </c>
      <c r="GY202" t="e">
        <f>AND(Housing!A12,"AAAAAHP/184=")</f>
        <v>#VALUE!</v>
      </c>
      <c r="GZ202" t="e">
        <f>AND(Housing!B12,"AAAAAHP/188=")</f>
        <v>#VALUE!</v>
      </c>
      <c r="HA202" t="e">
        <f>AND(Housing!C12,"AAAAAHP/19A=")</f>
        <v>#VALUE!</v>
      </c>
      <c r="HB202" t="e">
        <f>AND(Housing!D12,"AAAAAHP/19E=")</f>
        <v>#VALUE!</v>
      </c>
      <c r="HC202" t="e">
        <f>AND(Housing!E12,"AAAAAHP/19I=")</f>
        <v>#VALUE!</v>
      </c>
      <c r="HD202" t="e">
        <f>AND(Housing!F12,"AAAAAHP/19M=")</f>
        <v>#VALUE!</v>
      </c>
      <c r="HE202" t="e">
        <f>AND(Housing!G12,"AAAAAHP/19Q=")</f>
        <v>#VALUE!</v>
      </c>
      <c r="HF202" t="e">
        <f>AND(Housing!H12,"AAAAAHP/19U=")</f>
        <v>#VALUE!</v>
      </c>
      <c r="HG202" t="e">
        <f>AND(Housing!I12,"AAAAAHP/19Y=")</f>
        <v>#VALUE!</v>
      </c>
      <c r="HH202" t="e">
        <f>AND(Housing!J12,"AAAAAHP/19c=")</f>
        <v>#VALUE!</v>
      </c>
      <c r="HI202" t="e">
        <f>AND(Housing!K12,"AAAAAHP/19g=")</f>
        <v>#VALUE!</v>
      </c>
      <c r="HJ202">
        <f>IF(Housing!13:13,"AAAAAHP/19k=",0)</f>
        <v>0</v>
      </c>
      <c r="HK202" t="e">
        <f>AND(Housing!#REF!,"AAAAAHP/19o=")</f>
        <v>#REF!</v>
      </c>
      <c r="HL202" t="e">
        <f>AND(Housing!#REF!,"AAAAAHP/19s=")</f>
        <v>#REF!</v>
      </c>
      <c r="HM202" t="e">
        <f>AND(Housing!#REF!,"AAAAAHP/19w=")</f>
        <v>#REF!</v>
      </c>
      <c r="HN202" t="e">
        <f>AND(Housing!A13,"AAAAAHP/190=")</f>
        <v>#VALUE!</v>
      </c>
      <c r="HO202" t="e">
        <f>AND(Housing!B13,"AAAAAHP/194=")</f>
        <v>#VALUE!</v>
      </c>
      <c r="HP202" t="e">
        <f>AND(Housing!C13,"AAAAAHP/198=")</f>
        <v>#VALUE!</v>
      </c>
      <c r="HQ202" t="e">
        <f>AND(Housing!D13,"AAAAAHP/1+A=")</f>
        <v>#VALUE!</v>
      </c>
      <c r="HR202" t="e">
        <f>AND(Housing!E13,"AAAAAHP/1+E=")</f>
        <v>#VALUE!</v>
      </c>
      <c r="HS202" t="e">
        <f>AND(Housing!F13,"AAAAAHP/1+I=")</f>
        <v>#VALUE!</v>
      </c>
      <c r="HT202" t="e">
        <f>AND(Housing!G13,"AAAAAHP/1+M=")</f>
        <v>#VALUE!</v>
      </c>
      <c r="HU202" t="e">
        <f>AND(Housing!H13,"AAAAAHP/1+Q=")</f>
        <v>#VALUE!</v>
      </c>
      <c r="HV202" t="e">
        <f>AND(Housing!I13,"AAAAAHP/1+U=")</f>
        <v>#VALUE!</v>
      </c>
      <c r="HW202" t="e">
        <f>AND(Housing!J13,"AAAAAHP/1+Y=")</f>
        <v>#VALUE!</v>
      </c>
      <c r="HX202" t="e">
        <f>AND(Housing!K13,"AAAAAHP/1+c=")</f>
        <v>#VALUE!</v>
      </c>
      <c r="HY202">
        <f>IF(Housing!21:21,"AAAAAHP/1+g=",0)</f>
        <v>0</v>
      </c>
      <c r="HZ202" t="e">
        <f>AND(Housing!#REF!,"AAAAAHP/1+k=")</f>
        <v>#REF!</v>
      </c>
      <c r="IA202" t="e">
        <f>AND(Housing!#REF!,"AAAAAHP/1+o=")</f>
        <v>#REF!</v>
      </c>
      <c r="IB202" t="e">
        <f>AND(Housing!#REF!,"AAAAAHP/1+s=")</f>
        <v>#REF!</v>
      </c>
      <c r="IC202" t="e">
        <f>AND(Housing!A21,"AAAAAHP/1+w=")</f>
        <v>#VALUE!</v>
      </c>
      <c r="ID202" t="e">
        <f>AND(Housing!B21,"AAAAAHP/1+0=")</f>
        <v>#VALUE!</v>
      </c>
      <c r="IE202" t="e">
        <f>AND(Housing!C21,"AAAAAHP/1+4=")</f>
        <v>#VALUE!</v>
      </c>
      <c r="IF202" t="e">
        <f>AND(Housing!D21,"AAAAAHP/1+8=")</f>
        <v>#VALUE!</v>
      </c>
      <c r="IG202" t="e">
        <f>AND(Housing!E21,"AAAAAHP/1/A=")</f>
        <v>#VALUE!</v>
      </c>
      <c r="IH202" t="e">
        <f>AND(Housing!F21,"AAAAAHP/1/E=")</f>
        <v>#VALUE!</v>
      </c>
      <c r="II202" t="e">
        <f>AND(Housing!G21,"AAAAAHP/1/I=")</f>
        <v>#VALUE!</v>
      </c>
      <c r="IJ202" t="e">
        <f>AND(Housing!H21,"AAAAAHP/1/M=")</f>
        <v>#VALUE!</v>
      </c>
      <c r="IK202" t="e">
        <f>AND(Housing!I21,"AAAAAHP/1/Q=")</f>
        <v>#VALUE!</v>
      </c>
      <c r="IL202" t="e">
        <f>AND(Housing!J21,"AAAAAHP/1/U=")</f>
        <v>#VALUE!</v>
      </c>
      <c r="IM202" t="e">
        <f>AND(Housing!K21,"AAAAAHP/1/Y=")</f>
        <v>#VALUE!</v>
      </c>
      <c r="IN202">
        <f>IF(Housing!22:22,"AAAAAHP/1/c=",0)</f>
        <v>0</v>
      </c>
      <c r="IO202" t="e">
        <f>AND(Housing!#REF!,"AAAAAHP/1/g=")</f>
        <v>#REF!</v>
      </c>
      <c r="IP202" t="e">
        <f>AND(Housing!#REF!,"AAAAAHP/1/k=")</f>
        <v>#REF!</v>
      </c>
      <c r="IQ202" t="e">
        <f>AND(Housing!#REF!,"AAAAAHP/1/o=")</f>
        <v>#REF!</v>
      </c>
      <c r="IR202" t="e">
        <f>AND(Housing!A22,"AAAAAHP/1/s=")</f>
        <v>#VALUE!</v>
      </c>
      <c r="IS202" t="e">
        <f>AND(Housing!B22,"AAAAAHP/1/w=")</f>
        <v>#VALUE!</v>
      </c>
      <c r="IT202" t="e">
        <f>AND(Housing!C22,"AAAAAHP/1/0=")</f>
        <v>#VALUE!</v>
      </c>
      <c r="IU202" t="e">
        <f>AND(Housing!D22,"AAAAAHP/1/4=")</f>
        <v>#VALUE!</v>
      </c>
      <c r="IV202" t="e">
        <f>AND(Housing!E22,"AAAAAHP/1/8=")</f>
        <v>#VALUE!</v>
      </c>
    </row>
    <row r="203" spans="1:256" x14ac:dyDescent="0.2">
      <c r="A203" t="e">
        <f>AND(Housing!F22,"AAAAAB89rwA=")</f>
        <v>#VALUE!</v>
      </c>
      <c r="B203" t="e">
        <f>AND(Housing!G22,"AAAAAB89rwE=")</f>
        <v>#VALUE!</v>
      </c>
      <c r="C203" t="e">
        <f>AND(Housing!H22,"AAAAAB89rwI=")</f>
        <v>#VALUE!</v>
      </c>
      <c r="D203" t="e">
        <f>AND(Housing!I22,"AAAAAB89rwM=")</f>
        <v>#VALUE!</v>
      </c>
      <c r="E203" t="e">
        <f>AND(Housing!J22,"AAAAAB89rwQ=")</f>
        <v>#VALUE!</v>
      </c>
      <c r="F203" t="e">
        <f>AND(Housing!K22,"AAAAAB89rwU=")</f>
        <v>#VALUE!</v>
      </c>
      <c r="G203" t="e">
        <f>IF(Housing!#REF!,"AAAAAB89rwY=",0)</f>
        <v>#REF!</v>
      </c>
      <c r="H203" t="e">
        <f>AND(Housing!#REF!,"AAAAAB89rwc=")</f>
        <v>#REF!</v>
      </c>
      <c r="I203" t="e">
        <f>AND(Housing!#REF!,"AAAAAB89rwg=")</f>
        <v>#REF!</v>
      </c>
      <c r="J203" t="e">
        <f>AND(Housing!#REF!,"AAAAAB89rwk=")</f>
        <v>#REF!</v>
      </c>
      <c r="K203" t="e">
        <f>AND(Housing!#REF!,"AAAAAB89rwo=")</f>
        <v>#REF!</v>
      </c>
      <c r="L203" t="e">
        <f>AND(Housing!#REF!,"AAAAAB89rws=")</f>
        <v>#REF!</v>
      </c>
      <c r="M203" t="e">
        <f>AND(Housing!#REF!,"AAAAAB89rww=")</f>
        <v>#REF!</v>
      </c>
      <c r="N203" t="e">
        <f>AND(Housing!#REF!,"AAAAAB89rw0=")</f>
        <v>#REF!</v>
      </c>
      <c r="O203" t="e">
        <f>AND(Housing!#REF!,"AAAAAB89rw4=")</f>
        <v>#REF!</v>
      </c>
      <c r="P203" t="e">
        <f>AND(Housing!#REF!,"AAAAAB89rw8=")</f>
        <v>#REF!</v>
      </c>
      <c r="Q203" t="e">
        <f>AND(Housing!#REF!,"AAAAAB89rxA=")</f>
        <v>#REF!</v>
      </c>
      <c r="R203" t="e">
        <f>AND(Housing!#REF!,"AAAAAB89rxE=")</f>
        <v>#REF!</v>
      </c>
      <c r="S203" t="e">
        <f>AND(Housing!#REF!,"AAAAAB89rxI=")</f>
        <v>#REF!</v>
      </c>
      <c r="T203" t="e">
        <f>AND(Housing!#REF!,"AAAAAB89rxM=")</f>
        <v>#REF!</v>
      </c>
      <c r="U203" t="e">
        <f>AND(Housing!#REF!,"AAAAAB89rxQ=")</f>
        <v>#REF!</v>
      </c>
      <c r="V203" t="e">
        <f>IF(Housing!#REF!,"AAAAAB89rxU=",0)</f>
        <v>#REF!</v>
      </c>
      <c r="W203" t="e">
        <f>AND(Housing!#REF!,"AAAAAB89rxY=")</f>
        <v>#REF!</v>
      </c>
      <c r="X203" t="e">
        <f>AND(Housing!#REF!,"AAAAAB89rxc=")</f>
        <v>#REF!</v>
      </c>
      <c r="Y203" t="e">
        <f>AND(Housing!#REF!,"AAAAAB89rxg=")</f>
        <v>#REF!</v>
      </c>
      <c r="Z203" t="e">
        <f>AND(Housing!#REF!,"AAAAAB89rxk=")</f>
        <v>#REF!</v>
      </c>
      <c r="AA203" t="e">
        <f>AND(Housing!#REF!,"AAAAAB89rxo=")</f>
        <v>#REF!</v>
      </c>
      <c r="AB203" t="e">
        <f>AND(Housing!#REF!,"AAAAAB89rxs=")</f>
        <v>#REF!</v>
      </c>
      <c r="AC203" t="e">
        <f>AND(Housing!#REF!,"AAAAAB89rxw=")</f>
        <v>#REF!</v>
      </c>
      <c r="AD203" t="e">
        <f>AND(Housing!#REF!,"AAAAAB89rx0=")</f>
        <v>#REF!</v>
      </c>
      <c r="AE203" t="e">
        <f>AND(Housing!#REF!,"AAAAAB89rx4=")</f>
        <v>#REF!</v>
      </c>
      <c r="AF203" t="e">
        <f>AND(Housing!#REF!,"AAAAAB89rx8=")</f>
        <v>#REF!</v>
      </c>
      <c r="AG203" t="e">
        <f>AND(Housing!#REF!,"AAAAAB89ryA=")</f>
        <v>#REF!</v>
      </c>
      <c r="AH203" t="e">
        <f>AND(Housing!#REF!,"AAAAAB89ryE=")</f>
        <v>#REF!</v>
      </c>
      <c r="AI203" t="e">
        <f>AND(Housing!#REF!,"AAAAAB89ryI=")</f>
        <v>#REF!</v>
      </c>
      <c r="AJ203" t="e">
        <f>AND(Housing!#REF!,"AAAAAB89ryM=")</f>
        <v>#REF!</v>
      </c>
      <c r="AK203" t="e">
        <f>IF(Housing!#REF!,"AAAAAB89ryQ=",0)</f>
        <v>#REF!</v>
      </c>
      <c r="AL203" t="e">
        <f>AND(Housing!#REF!,"AAAAAB89ryU=")</f>
        <v>#REF!</v>
      </c>
      <c r="AM203" t="e">
        <f>AND(Housing!#REF!,"AAAAAB89ryY=")</f>
        <v>#REF!</v>
      </c>
      <c r="AN203" t="e">
        <f>AND(Housing!#REF!,"AAAAAB89ryc=")</f>
        <v>#REF!</v>
      </c>
      <c r="AO203" t="e">
        <f>AND(Housing!#REF!,"AAAAAB89ryg=")</f>
        <v>#REF!</v>
      </c>
      <c r="AP203" t="e">
        <f>AND(Housing!#REF!,"AAAAAB89ryk=")</f>
        <v>#REF!</v>
      </c>
      <c r="AQ203" t="e">
        <f>AND(Housing!#REF!,"AAAAAB89ryo=")</f>
        <v>#REF!</v>
      </c>
      <c r="AR203" t="e">
        <f>AND(Housing!#REF!,"AAAAAB89rys=")</f>
        <v>#REF!</v>
      </c>
      <c r="AS203" t="e">
        <f>AND(Housing!#REF!,"AAAAAB89ryw=")</f>
        <v>#REF!</v>
      </c>
      <c r="AT203" t="e">
        <f>AND(Housing!#REF!,"AAAAAB89ry0=")</f>
        <v>#REF!</v>
      </c>
      <c r="AU203" t="e">
        <f>AND(Housing!#REF!,"AAAAAB89ry4=")</f>
        <v>#REF!</v>
      </c>
      <c r="AV203" t="e">
        <f>AND(Housing!#REF!,"AAAAAB89ry8=")</f>
        <v>#REF!</v>
      </c>
      <c r="AW203" t="e">
        <f>AND(Housing!#REF!,"AAAAAB89rzA=")</f>
        <v>#REF!</v>
      </c>
      <c r="AX203" t="e">
        <f>AND(Housing!#REF!,"AAAAAB89rzE=")</f>
        <v>#REF!</v>
      </c>
      <c r="AY203" t="e">
        <f>AND(Housing!#REF!,"AAAAAB89rzI=")</f>
        <v>#REF!</v>
      </c>
      <c r="AZ203" t="e">
        <f>IF(Housing!#REF!,"AAAAAB89rzM=",0)</f>
        <v>#REF!</v>
      </c>
      <c r="BA203" t="e">
        <f>AND(Housing!#REF!,"AAAAAB89rzQ=")</f>
        <v>#REF!</v>
      </c>
      <c r="BB203" t="e">
        <f>AND(Housing!#REF!,"AAAAAB89rzU=")</f>
        <v>#REF!</v>
      </c>
      <c r="BC203" t="e">
        <f>AND(Housing!#REF!,"AAAAAB89rzY=")</f>
        <v>#REF!</v>
      </c>
      <c r="BD203" t="e">
        <f>AND(Housing!#REF!,"AAAAAB89rzc=")</f>
        <v>#REF!</v>
      </c>
      <c r="BE203" t="e">
        <f>AND(Housing!#REF!,"AAAAAB89rzg=")</f>
        <v>#REF!</v>
      </c>
      <c r="BF203" t="e">
        <f>AND(Housing!#REF!,"AAAAAB89rzk=")</f>
        <v>#REF!</v>
      </c>
      <c r="BG203" t="e">
        <f>AND(Housing!#REF!,"AAAAAB89rzo=")</f>
        <v>#REF!</v>
      </c>
      <c r="BH203" t="e">
        <f>AND(Housing!#REF!,"AAAAAB89rzs=")</f>
        <v>#REF!</v>
      </c>
      <c r="BI203" t="e">
        <f>AND(Housing!#REF!,"AAAAAB89rzw=")</f>
        <v>#REF!</v>
      </c>
      <c r="BJ203" t="e">
        <f>AND(Housing!#REF!,"AAAAAB89rz0=")</f>
        <v>#REF!</v>
      </c>
      <c r="BK203" t="e">
        <f>AND(Housing!#REF!,"AAAAAB89rz4=")</f>
        <v>#REF!</v>
      </c>
      <c r="BL203" t="e">
        <f>AND(Housing!#REF!,"AAAAAB89rz8=")</f>
        <v>#REF!</v>
      </c>
      <c r="BM203" t="e">
        <f>AND(Housing!#REF!,"AAAAAB89r0A=")</f>
        <v>#REF!</v>
      </c>
      <c r="BN203" t="e">
        <f>AND(Housing!#REF!,"AAAAAB89r0E=")</f>
        <v>#REF!</v>
      </c>
      <c r="BO203" t="e">
        <f>IF(Housing!#REF!,"AAAAAB89r0I=",0)</f>
        <v>#REF!</v>
      </c>
      <c r="BP203" t="e">
        <f>AND(Housing!#REF!,"AAAAAB89r0M=")</f>
        <v>#REF!</v>
      </c>
      <c r="BQ203" t="e">
        <f>AND(Housing!#REF!,"AAAAAB89r0Q=")</f>
        <v>#REF!</v>
      </c>
      <c r="BR203" t="e">
        <f>AND(Housing!#REF!,"AAAAAB89r0U=")</f>
        <v>#REF!</v>
      </c>
      <c r="BS203" t="e">
        <f>AND(Housing!#REF!,"AAAAAB89r0Y=")</f>
        <v>#REF!</v>
      </c>
      <c r="BT203" t="e">
        <f>AND(Housing!#REF!,"AAAAAB89r0c=")</f>
        <v>#REF!</v>
      </c>
      <c r="BU203" t="e">
        <f>AND(Housing!#REF!,"AAAAAB89r0g=")</f>
        <v>#REF!</v>
      </c>
      <c r="BV203" t="e">
        <f>AND(Housing!#REF!,"AAAAAB89r0k=")</f>
        <v>#REF!</v>
      </c>
      <c r="BW203" t="e">
        <f>AND(Housing!#REF!,"AAAAAB89r0o=")</f>
        <v>#REF!</v>
      </c>
      <c r="BX203" t="e">
        <f>AND(Housing!#REF!,"AAAAAB89r0s=")</f>
        <v>#REF!</v>
      </c>
      <c r="BY203" t="e">
        <f>AND(Housing!#REF!,"AAAAAB89r0w=")</f>
        <v>#REF!</v>
      </c>
      <c r="BZ203" t="e">
        <f>AND(Housing!#REF!,"AAAAAB89r00=")</f>
        <v>#REF!</v>
      </c>
      <c r="CA203" t="e">
        <f>AND(Housing!#REF!,"AAAAAB89r04=")</f>
        <v>#REF!</v>
      </c>
      <c r="CB203" t="e">
        <f>AND(Housing!#REF!,"AAAAAB89r08=")</f>
        <v>#REF!</v>
      </c>
      <c r="CC203" t="e">
        <f>AND(Housing!#REF!,"AAAAAB89r1A=")</f>
        <v>#REF!</v>
      </c>
      <c r="CD203">
        <f>IF(Housing!25:25,"AAAAAB89r1E=",0)</f>
        <v>0</v>
      </c>
      <c r="CE203" t="e">
        <f>AND(Housing!#REF!,"AAAAAB89r1I=")</f>
        <v>#REF!</v>
      </c>
      <c r="CF203" t="e">
        <f>AND(Housing!#REF!,"AAAAAB89r1M=")</f>
        <v>#REF!</v>
      </c>
      <c r="CG203" t="e">
        <f>AND(Housing!#REF!,"AAAAAB89r1Q=")</f>
        <v>#REF!</v>
      </c>
      <c r="CH203" t="e">
        <f>AND(Housing!A25,"AAAAAB89r1U=")</f>
        <v>#VALUE!</v>
      </c>
      <c r="CI203" t="e">
        <f>AND(Housing!B25,"AAAAAB89r1Y=")</f>
        <v>#VALUE!</v>
      </c>
      <c r="CJ203" t="e">
        <f>AND(Housing!C25,"AAAAAB89r1c=")</f>
        <v>#VALUE!</v>
      </c>
      <c r="CK203" t="e">
        <f>AND(Housing!D25,"AAAAAB89r1g=")</f>
        <v>#VALUE!</v>
      </c>
      <c r="CL203" t="e">
        <f>AND(Housing!E25,"AAAAAB89r1k=")</f>
        <v>#VALUE!</v>
      </c>
      <c r="CM203" t="e">
        <f>AND(Housing!F25,"AAAAAB89r1o=")</f>
        <v>#VALUE!</v>
      </c>
      <c r="CN203" t="e">
        <f>AND(Housing!G25,"AAAAAB89r1s=")</f>
        <v>#VALUE!</v>
      </c>
      <c r="CO203" t="e">
        <f>AND(Housing!H25,"AAAAAB89r1w=")</f>
        <v>#VALUE!</v>
      </c>
      <c r="CP203" t="e">
        <f>AND(Housing!I25,"AAAAAB89r10=")</f>
        <v>#VALUE!</v>
      </c>
      <c r="CQ203" t="e">
        <f>AND(Housing!J25,"AAAAAB89r14=")</f>
        <v>#VALUE!</v>
      </c>
      <c r="CR203" t="e">
        <f>AND(Housing!K25,"AAAAAB89r18=")</f>
        <v>#VALUE!</v>
      </c>
      <c r="CS203" t="e">
        <f>IF(Housing!#REF!,"AAAAAB89r2A=",0)</f>
        <v>#REF!</v>
      </c>
      <c r="CT203" t="e">
        <f>AND(Housing!#REF!,"AAAAAB89r2E=")</f>
        <v>#REF!</v>
      </c>
      <c r="CU203" t="e">
        <f>AND(Housing!#REF!,"AAAAAB89r2I=")</f>
        <v>#REF!</v>
      </c>
      <c r="CV203" t="e">
        <f>AND(Housing!#REF!,"AAAAAB89r2M=")</f>
        <v>#REF!</v>
      </c>
      <c r="CW203" t="e">
        <f>AND(Housing!#REF!,"AAAAAB89r2Q=")</f>
        <v>#REF!</v>
      </c>
      <c r="CX203" t="e">
        <f>AND(Housing!#REF!,"AAAAAB89r2U=")</f>
        <v>#REF!</v>
      </c>
      <c r="CY203" t="e">
        <f>AND(Housing!#REF!,"AAAAAB89r2Y=")</f>
        <v>#REF!</v>
      </c>
      <c r="CZ203" t="e">
        <f>AND(Housing!#REF!,"AAAAAB89r2c=")</f>
        <v>#REF!</v>
      </c>
      <c r="DA203" t="e">
        <f>AND(Housing!#REF!,"AAAAAB89r2g=")</f>
        <v>#REF!</v>
      </c>
      <c r="DB203" t="e">
        <f>AND(Housing!#REF!,"AAAAAB89r2k=")</f>
        <v>#REF!</v>
      </c>
      <c r="DC203" t="e">
        <f>AND(Housing!#REF!,"AAAAAB89r2o=")</f>
        <v>#REF!</v>
      </c>
      <c r="DD203" t="e">
        <f>AND(Housing!#REF!,"AAAAAB89r2s=")</f>
        <v>#REF!</v>
      </c>
      <c r="DE203" t="e">
        <f>AND(Housing!#REF!,"AAAAAB89r2w=")</f>
        <v>#REF!</v>
      </c>
      <c r="DF203" t="e">
        <f>AND(Housing!#REF!,"AAAAAB89r20=")</f>
        <v>#REF!</v>
      </c>
      <c r="DG203" t="e">
        <f>AND(Housing!#REF!,"AAAAAB89r24=")</f>
        <v>#REF!</v>
      </c>
      <c r="DH203">
        <f>IF(Housing!27:27,"AAAAAB89r28=",0)</f>
        <v>0</v>
      </c>
      <c r="DI203" t="e">
        <f>AND(Housing!#REF!,"AAAAAB89r3A=")</f>
        <v>#REF!</v>
      </c>
      <c r="DJ203" t="e">
        <f>AND(Housing!#REF!,"AAAAAB89r3E=")</f>
        <v>#REF!</v>
      </c>
      <c r="DK203" t="e">
        <f>AND(Housing!#REF!,"AAAAAB89r3I=")</f>
        <v>#REF!</v>
      </c>
      <c r="DL203" t="e">
        <f>AND(Housing!A27,"AAAAAB89r3M=")</f>
        <v>#VALUE!</v>
      </c>
      <c r="DM203" t="e">
        <f>AND(Housing!B27,"AAAAAB89r3Q=")</f>
        <v>#VALUE!</v>
      </c>
      <c r="DN203" t="e">
        <f>AND(Housing!C27,"AAAAAB89r3U=")</f>
        <v>#VALUE!</v>
      </c>
      <c r="DO203" t="e">
        <f>AND(Housing!D27,"AAAAAB89r3Y=")</f>
        <v>#VALUE!</v>
      </c>
      <c r="DP203" t="e">
        <f>AND(Housing!E27,"AAAAAB89r3c=")</f>
        <v>#VALUE!</v>
      </c>
      <c r="DQ203" t="e">
        <f>AND(Housing!F27,"AAAAAB89r3g=")</f>
        <v>#VALUE!</v>
      </c>
      <c r="DR203" t="e">
        <f>AND(Housing!G27,"AAAAAB89r3k=")</f>
        <v>#VALUE!</v>
      </c>
      <c r="DS203" t="e">
        <f>AND(Housing!H27,"AAAAAB89r3o=")</f>
        <v>#VALUE!</v>
      </c>
      <c r="DT203" t="e">
        <f>AND(Housing!I27,"AAAAAB89r3s=")</f>
        <v>#VALUE!</v>
      </c>
      <c r="DU203" t="e">
        <f>AND(Housing!J27,"AAAAAB89r3w=")</f>
        <v>#VALUE!</v>
      </c>
      <c r="DV203" t="e">
        <f>AND(Housing!K27,"AAAAAB89r30=")</f>
        <v>#VALUE!</v>
      </c>
      <c r="DW203">
        <f>IF(Housing!28:28,"AAAAAB89r34=",0)</f>
        <v>0</v>
      </c>
      <c r="DX203" t="e">
        <f>AND(Housing!#REF!,"AAAAAB89r38=")</f>
        <v>#REF!</v>
      </c>
      <c r="DY203" t="e">
        <f>AND(Housing!#REF!,"AAAAAB89r4A=")</f>
        <v>#REF!</v>
      </c>
      <c r="DZ203" t="e">
        <f>AND(Housing!#REF!,"AAAAAB89r4E=")</f>
        <v>#REF!</v>
      </c>
      <c r="EA203" t="e">
        <f>AND(Housing!A28,"AAAAAB89r4I=")</f>
        <v>#VALUE!</v>
      </c>
      <c r="EB203" t="e">
        <f>AND(Housing!B28,"AAAAAB89r4M=")</f>
        <v>#VALUE!</v>
      </c>
      <c r="EC203" t="e">
        <f>AND(Housing!C28,"AAAAAB89r4Q=")</f>
        <v>#VALUE!</v>
      </c>
      <c r="ED203" t="e">
        <f>AND(Housing!D28,"AAAAAB89r4U=")</f>
        <v>#VALUE!</v>
      </c>
      <c r="EE203" t="e">
        <f>AND(Housing!E28,"AAAAAB89r4Y=")</f>
        <v>#VALUE!</v>
      </c>
      <c r="EF203" t="e">
        <f>AND(Housing!F28,"AAAAAB89r4c=")</f>
        <v>#VALUE!</v>
      </c>
      <c r="EG203" t="e">
        <f>AND(Housing!G28,"AAAAAB89r4g=")</f>
        <v>#VALUE!</v>
      </c>
      <c r="EH203" t="e">
        <f>AND(Housing!H28,"AAAAAB89r4k=")</f>
        <v>#VALUE!</v>
      </c>
      <c r="EI203" t="e">
        <f>AND(Housing!I28,"AAAAAB89r4o=")</f>
        <v>#VALUE!</v>
      </c>
      <c r="EJ203" t="e">
        <f>AND(Housing!J28,"AAAAAB89r4s=")</f>
        <v>#VALUE!</v>
      </c>
      <c r="EK203" t="e">
        <f>AND(Housing!K28,"AAAAAB89r4w=")</f>
        <v>#VALUE!</v>
      </c>
      <c r="EL203">
        <f>IF(Housing!30:30,"AAAAAB89r40=",0)</f>
        <v>0</v>
      </c>
      <c r="EM203" t="e">
        <f>AND(Housing!#REF!,"AAAAAB89r44=")</f>
        <v>#REF!</v>
      </c>
      <c r="EN203" t="e">
        <f>AND(Housing!A30,"AAAAAB89r48=")</f>
        <v>#VALUE!</v>
      </c>
      <c r="EO203" t="e">
        <f>AND(Housing!B30,"AAAAAB89r5A=")</f>
        <v>#VALUE!</v>
      </c>
      <c r="EP203" t="e">
        <f>AND(Housing!C30,"AAAAAB89r5E=")</f>
        <v>#VALUE!</v>
      </c>
      <c r="EQ203" t="e">
        <f>AND(Housing!D30,"AAAAAB89r5I=")</f>
        <v>#VALUE!</v>
      </c>
      <c r="ER203" t="e">
        <f>AND(Housing!E30,"AAAAAB89r5M=")</f>
        <v>#VALUE!</v>
      </c>
      <c r="ES203" t="e">
        <f>AND(Housing!F30,"AAAAAB89r5Q=")</f>
        <v>#VALUE!</v>
      </c>
      <c r="ET203" t="e">
        <f>AND(Housing!G30,"AAAAAB89r5U=")</f>
        <v>#VALUE!</v>
      </c>
      <c r="EU203" t="e">
        <f>AND(Housing!H30,"AAAAAB89r5Y=")</f>
        <v>#VALUE!</v>
      </c>
      <c r="EV203" t="e">
        <f>AND(Housing!I30,"AAAAAB89r5c=")</f>
        <v>#VALUE!</v>
      </c>
      <c r="EW203" t="e">
        <f>AND(Housing!J30,"AAAAAB89r5g=")</f>
        <v>#VALUE!</v>
      </c>
      <c r="EX203" t="e">
        <f>AND(Housing!K30,"AAAAAB89r5k=")</f>
        <v>#VALUE!</v>
      </c>
      <c r="EY203" t="e">
        <f>AND(Housing!L30,"AAAAAB89r5o=")</f>
        <v>#VALUE!</v>
      </c>
      <c r="EZ203" t="e">
        <f>AND(Housing!M30,"AAAAAB89r5s=")</f>
        <v>#VALUE!</v>
      </c>
      <c r="FA203" t="e">
        <f>IF(Housing!#REF!,"AAAAAB89r5w=",0)</f>
        <v>#REF!</v>
      </c>
      <c r="FB203" t="e">
        <f>AND(Housing!#REF!,"AAAAAB89r50=")</f>
        <v>#REF!</v>
      </c>
      <c r="FC203" t="e">
        <f>AND(Housing!#REF!,"AAAAAB89r54=")</f>
        <v>#REF!</v>
      </c>
      <c r="FD203" t="e">
        <f>AND(Housing!#REF!,"AAAAAB89r58=")</f>
        <v>#REF!</v>
      </c>
      <c r="FE203" t="e">
        <f>AND(Housing!#REF!,"AAAAAB89r6A=")</f>
        <v>#REF!</v>
      </c>
      <c r="FF203" t="e">
        <f>AND(Housing!#REF!,"AAAAAB89r6E=")</f>
        <v>#REF!</v>
      </c>
      <c r="FG203" t="e">
        <f>AND(Housing!#REF!,"AAAAAB89r6I=")</f>
        <v>#REF!</v>
      </c>
      <c r="FH203" t="e">
        <f>AND(Housing!#REF!,"AAAAAB89r6M=")</f>
        <v>#REF!</v>
      </c>
      <c r="FI203" t="e">
        <f>AND(Housing!#REF!,"AAAAAB89r6Q=")</f>
        <v>#REF!</v>
      </c>
      <c r="FJ203" t="e">
        <f>AND(Housing!#REF!,"AAAAAB89r6U=")</f>
        <v>#REF!</v>
      </c>
      <c r="FK203" t="e">
        <f>AND(Housing!#REF!,"AAAAAB89r6Y=")</f>
        <v>#REF!</v>
      </c>
      <c r="FL203" t="e">
        <f>AND(Housing!#REF!,"AAAAAB89r6c=")</f>
        <v>#REF!</v>
      </c>
      <c r="FM203" t="e">
        <f>AND(Housing!#REF!,"AAAAAB89r6g=")</f>
        <v>#REF!</v>
      </c>
      <c r="FN203" t="e">
        <f>AND(Housing!#REF!,"AAAAAB89r6k=")</f>
        <v>#REF!</v>
      </c>
      <c r="FO203" t="e">
        <f>AND(Housing!#REF!,"AAAAAB89r6o=")</f>
        <v>#REF!</v>
      </c>
      <c r="FP203" t="e">
        <f>IF(Housing!#REF!,"AAAAAB89r6s=",0)</f>
        <v>#REF!</v>
      </c>
      <c r="FQ203" t="e">
        <f>AND(Housing!#REF!,"AAAAAB89r6w=")</f>
        <v>#REF!</v>
      </c>
      <c r="FR203" t="e">
        <f>AND(Housing!#REF!,"AAAAAB89r60=")</f>
        <v>#REF!</v>
      </c>
      <c r="FS203" t="e">
        <f>AND(Housing!#REF!,"AAAAAB89r64=")</f>
        <v>#REF!</v>
      </c>
      <c r="FT203" t="e">
        <f>AND(Housing!#REF!,"AAAAAB89r68=")</f>
        <v>#REF!</v>
      </c>
      <c r="FU203" t="e">
        <f>AND(Housing!#REF!,"AAAAAB89r7A=")</f>
        <v>#REF!</v>
      </c>
      <c r="FV203" t="e">
        <f>AND(Housing!#REF!,"AAAAAB89r7E=")</f>
        <v>#REF!</v>
      </c>
      <c r="FW203" t="e">
        <f>AND(Housing!#REF!,"AAAAAB89r7I=")</f>
        <v>#REF!</v>
      </c>
      <c r="FX203" t="e">
        <f>AND(Housing!#REF!,"AAAAAB89r7M=")</f>
        <v>#REF!</v>
      </c>
      <c r="FY203" t="e">
        <f>AND(Housing!#REF!,"AAAAAB89r7Q=")</f>
        <v>#REF!</v>
      </c>
      <c r="FZ203" t="e">
        <f>AND(Housing!#REF!,"AAAAAB89r7U=")</f>
        <v>#REF!</v>
      </c>
      <c r="GA203" t="e">
        <f>AND(Housing!#REF!,"AAAAAB89r7Y=")</f>
        <v>#REF!</v>
      </c>
      <c r="GB203" t="e">
        <f>AND(Housing!#REF!,"AAAAAB89r7c=")</f>
        <v>#REF!</v>
      </c>
      <c r="GC203" t="e">
        <f>AND(Housing!#REF!,"AAAAAB89r7g=")</f>
        <v>#REF!</v>
      </c>
      <c r="GD203" t="e">
        <f>AND(Housing!#REF!,"AAAAAB89r7k=")</f>
        <v>#REF!</v>
      </c>
      <c r="GE203" t="e">
        <f>IF(Housing!#REF!,"AAAAAB89r7o=",0)</f>
        <v>#REF!</v>
      </c>
      <c r="GF203" t="e">
        <f>AND(Housing!#REF!,"AAAAAB89r7s=")</f>
        <v>#REF!</v>
      </c>
      <c r="GG203" t="e">
        <f>AND(Housing!#REF!,"AAAAAB89r7w=")</f>
        <v>#REF!</v>
      </c>
      <c r="GH203" t="e">
        <f>AND(Housing!#REF!,"AAAAAB89r70=")</f>
        <v>#REF!</v>
      </c>
      <c r="GI203" t="e">
        <f>AND(Housing!#REF!,"AAAAAB89r74=")</f>
        <v>#REF!</v>
      </c>
      <c r="GJ203" t="e">
        <f>AND(Housing!#REF!,"AAAAAB89r78=")</f>
        <v>#REF!</v>
      </c>
      <c r="GK203" t="e">
        <f>AND(Housing!#REF!,"AAAAAB89r8A=")</f>
        <v>#REF!</v>
      </c>
      <c r="GL203" t="e">
        <f>AND(Housing!#REF!,"AAAAAB89r8E=")</f>
        <v>#REF!</v>
      </c>
      <c r="GM203" t="e">
        <f>AND(Housing!#REF!,"AAAAAB89r8I=")</f>
        <v>#REF!</v>
      </c>
      <c r="GN203" t="e">
        <f>AND(Housing!#REF!,"AAAAAB89r8M=")</f>
        <v>#REF!</v>
      </c>
      <c r="GO203" t="e">
        <f>AND(Housing!#REF!,"AAAAAB89r8Q=")</f>
        <v>#REF!</v>
      </c>
      <c r="GP203" t="e">
        <f>AND(Housing!#REF!,"AAAAAB89r8U=")</f>
        <v>#REF!</v>
      </c>
      <c r="GQ203" t="e">
        <f>AND(Housing!#REF!,"AAAAAB89r8Y=")</f>
        <v>#REF!</v>
      </c>
      <c r="GR203" t="e">
        <f>AND(Housing!#REF!,"AAAAAB89r8c=")</f>
        <v>#REF!</v>
      </c>
      <c r="GS203" t="e">
        <f>AND(Housing!#REF!,"AAAAAB89r8g=")</f>
        <v>#REF!</v>
      </c>
      <c r="GT203" t="e">
        <f>IF(Housing!#REF!,"AAAAAB89r8k=",0)</f>
        <v>#REF!</v>
      </c>
      <c r="GU203" t="e">
        <f>AND(Housing!#REF!,"AAAAAB89r8o=")</f>
        <v>#REF!</v>
      </c>
      <c r="GV203" t="e">
        <f>AND(Housing!#REF!,"AAAAAB89r8s=")</f>
        <v>#REF!</v>
      </c>
      <c r="GW203" t="e">
        <f>AND(Housing!#REF!,"AAAAAB89r8w=")</f>
        <v>#REF!</v>
      </c>
      <c r="GX203" t="e">
        <f>AND(Housing!#REF!,"AAAAAB89r80=")</f>
        <v>#REF!</v>
      </c>
      <c r="GY203" t="e">
        <f>AND(Housing!#REF!,"AAAAAB89r84=")</f>
        <v>#REF!</v>
      </c>
      <c r="GZ203" t="e">
        <f>AND(Housing!#REF!,"AAAAAB89r88=")</f>
        <v>#REF!</v>
      </c>
      <c r="HA203" t="e">
        <f>AND(Housing!#REF!,"AAAAAB89r9A=")</f>
        <v>#REF!</v>
      </c>
      <c r="HB203" t="e">
        <f>AND(Housing!#REF!,"AAAAAB89r9E=")</f>
        <v>#REF!</v>
      </c>
      <c r="HC203" t="e">
        <f>AND(Housing!#REF!,"AAAAAB89r9I=")</f>
        <v>#REF!</v>
      </c>
      <c r="HD203" t="e">
        <f>AND(Housing!#REF!,"AAAAAB89r9M=")</f>
        <v>#REF!</v>
      </c>
      <c r="HE203" t="e">
        <f>AND(Housing!#REF!,"AAAAAB89r9Q=")</f>
        <v>#REF!</v>
      </c>
      <c r="HF203" t="e">
        <f>AND(Housing!#REF!,"AAAAAB89r9U=")</f>
        <v>#REF!</v>
      </c>
      <c r="HG203" t="e">
        <f>AND(Housing!#REF!,"AAAAAB89r9Y=")</f>
        <v>#REF!</v>
      </c>
      <c r="HH203" t="e">
        <f>AND(Housing!#REF!,"AAAAAB89r9c=")</f>
        <v>#REF!</v>
      </c>
      <c r="HI203" t="e">
        <f>IF(Housing!#REF!,"AAAAAB89r9g=",0)</f>
        <v>#REF!</v>
      </c>
      <c r="HJ203" t="e">
        <f>AND(Housing!#REF!,"AAAAAB89r9k=")</f>
        <v>#REF!</v>
      </c>
      <c r="HK203" t="e">
        <f>AND(Housing!#REF!,"AAAAAB89r9o=")</f>
        <v>#REF!</v>
      </c>
      <c r="HL203" t="e">
        <f>AND(Housing!#REF!,"AAAAAB89r9s=")</f>
        <v>#REF!</v>
      </c>
      <c r="HM203" t="e">
        <f>AND(Housing!#REF!,"AAAAAB89r9w=")</f>
        <v>#REF!</v>
      </c>
      <c r="HN203" t="e">
        <f>AND(Housing!#REF!,"AAAAAB89r90=")</f>
        <v>#REF!</v>
      </c>
      <c r="HO203" t="e">
        <f>AND(Housing!#REF!,"AAAAAB89r94=")</f>
        <v>#REF!</v>
      </c>
      <c r="HP203" t="e">
        <f>AND(Housing!#REF!,"AAAAAB89r98=")</f>
        <v>#REF!</v>
      </c>
      <c r="HQ203" t="e">
        <f>AND(Housing!#REF!,"AAAAAB89r+A=")</f>
        <v>#REF!</v>
      </c>
      <c r="HR203" t="e">
        <f>AND(Housing!#REF!,"AAAAAB89r+E=")</f>
        <v>#REF!</v>
      </c>
      <c r="HS203" t="e">
        <f>AND(Housing!#REF!,"AAAAAB89r+I=")</f>
        <v>#REF!</v>
      </c>
      <c r="HT203" t="e">
        <f>AND(Housing!#REF!,"AAAAAB89r+M=")</f>
        <v>#REF!</v>
      </c>
      <c r="HU203" t="e">
        <f>AND(Housing!#REF!,"AAAAAB89r+Q=")</f>
        <v>#REF!</v>
      </c>
      <c r="HV203" t="e">
        <f>AND(Housing!#REF!,"AAAAAB89r+U=")</f>
        <v>#REF!</v>
      </c>
      <c r="HW203" t="e">
        <f>AND(Housing!#REF!,"AAAAAB89r+Y=")</f>
        <v>#REF!</v>
      </c>
      <c r="HX203" t="e">
        <f>IF(Housing!#REF!,"AAAAAB89r+c=",0)</f>
        <v>#REF!</v>
      </c>
      <c r="HY203" t="e">
        <f>AND(Housing!#REF!,"AAAAAB89r+g=")</f>
        <v>#REF!</v>
      </c>
      <c r="HZ203" t="e">
        <f>AND(Housing!#REF!,"AAAAAB89r+k=")</f>
        <v>#REF!</v>
      </c>
      <c r="IA203" t="e">
        <f>AND(Housing!#REF!,"AAAAAB89r+o=")</f>
        <v>#REF!</v>
      </c>
      <c r="IB203" t="e">
        <f>AND(Housing!#REF!,"AAAAAB89r+s=")</f>
        <v>#REF!</v>
      </c>
      <c r="IC203" t="e">
        <f>AND(Housing!#REF!,"AAAAAB89r+w=")</f>
        <v>#REF!</v>
      </c>
      <c r="ID203" t="e">
        <f>AND(Housing!#REF!,"AAAAAB89r+0=")</f>
        <v>#REF!</v>
      </c>
      <c r="IE203" t="e">
        <f>AND(Housing!#REF!,"AAAAAB89r+4=")</f>
        <v>#REF!</v>
      </c>
      <c r="IF203" t="e">
        <f>AND(Housing!#REF!,"AAAAAB89r+8=")</f>
        <v>#REF!</v>
      </c>
      <c r="IG203" t="e">
        <f>AND(Housing!#REF!,"AAAAAB89r/A=")</f>
        <v>#REF!</v>
      </c>
      <c r="IH203" t="e">
        <f>AND(Housing!#REF!,"AAAAAB89r/E=")</f>
        <v>#REF!</v>
      </c>
      <c r="II203" t="e">
        <f>AND(Housing!#REF!,"AAAAAB89r/I=")</f>
        <v>#REF!</v>
      </c>
      <c r="IJ203" t="e">
        <f>AND(Housing!#REF!,"AAAAAB89r/M=")</f>
        <v>#REF!</v>
      </c>
      <c r="IK203" t="e">
        <f>AND(Housing!#REF!,"AAAAAB89r/Q=")</f>
        <v>#REF!</v>
      </c>
      <c r="IL203" t="e">
        <f>AND(Housing!#REF!,"AAAAAB89r/U=")</f>
        <v>#REF!</v>
      </c>
      <c r="IM203" t="e">
        <f>IF(Housing!#REF!,"AAAAAB89r/Y=",0)</f>
        <v>#REF!</v>
      </c>
      <c r="IN203" t="e">
        <f>AND(Housing!#REF!,"AAAAAB89r/c=")</f>
        <v>#REF!</v>
      </c>
      <c r="IO203" t="e">
        <f>AND(Housing!#REF!,"AAAAAB89r/g=")</f>
        <v>#REF!</v>
      </c>
      <c r="IP203" t="e">
        <f>AND(Housing!#REF!,"AAAAAB89r/k=")</f>
        <v>#REF!</v>
      </c>
      <c r="IQ203" t="e">
        <f>AND(Housing!#REF!,"AAAAAB89r/o=")</f>
        <v>#REF!</v>
      </c>
      <c r="IR203" t="e">
        <f>AND(Housing!#REF!,"AAAAAB89r/s=")</f>
        <v>#REF!</v>
      </c>
      <c r="IS203" t="e">
        <f>AND(Housing!#REF!,"AAAAAB89r/w=")</f>
        <v>#REF!</v>
      </c>
      <c r="IT203" t="e">
        <f>AND(Housing!#REF!,"AAAAAB89r/0=")</f>
        <v>#REF!</v>
      </c>
      <c r="IU203" t="e">
        <f>AND(Housing!#REF!,"AAAAAB89r/4=")</f>
        <v>#REF!</v>
      </c>
      <c r="IV203" t="e">
        <f>AND(Housing!#REF!,"AAAAAB89r/8=")</f>
        <v>#REF!</v>
      </c>
    </row>
    <row r="204" spans="1:256" x14ac:dyDescent="0.2">
      <c r="A204" t="e">
        <f>AND(Housing!#REF!,"AAAAAH/5/wA=")</f>
        <v>#REF!</v>
      </c>
      <c r="B204" t="e">
        <f>AND(Housing!#REF!,"AAAAAH/5/wE=")</f>
        <v>#REF!</v>
      </c>
      <c r="C204" t="e">
        <f>AND(Housing!#REF!,"AAAAAH/5/wI=")</f>
        <v>#REF!</v>
      </c>
      <c r="D204" t="e">
        <f>AND(Housing!#REF!,"AAAAAH/5/wM=")</f>
        <v>#REF!</v>
      </c>
      <c r="E204" t="e">
        <f>AND(Housing!#REF!,"AAAAAH/5/wQ=")</f>
        <v>#REF!</v>
      </c>
      <c r="F204" t="e">
        <f>IF(Housing!#REF!,"AAAAAH/5/wU=",0)</f>
        <v>#REF!</v>
      </c>
      <c r="G204" t="e">
        <f>AND(Housing!#REF!,"AAAAAH/5/wY=")</f>
        <v>#REF!</v>
      </c>
      <c r="H204" t="e">
        <f>AND(Housing!#REF!,"AAAAAH/5/wc=")</f>
        <v>#REF!</v>
      </c>
      <c r="I204" t="e">
        <f>AND(Housing!#REF!,"AAAAAH/5/wg=")</f>
        <v>#REF!</v>
      </c>
      <c r="J204" t="e">
        <f>AND(Housing!#REF!,"AAAAAH/5/wk=")</f>
        <v>#REF!</v>
      </c>
      <c r="K204" t="e">
        <f>AND(Housing!#REF!,"AAAAAH/5/wo=")</f>
        <v>#REF!</v>
      </c>
      <c r="L204" t="e">
        <f>AND(Housing!#REF!,"AAAAAH/5/ws=")</f>
        <v>#REF!</v>
      </c>
      <c r="M204" t="e">
        <f>AND(Housing!#REF!,"AAAAAH/5/ww=")</f>
        <v>#REF!</v>
      </c>
      <c r="N204" t="e">
        <f>AND(Housing!#REF!,"AAAAAH/5/w0=")</f>
        <v>#REF!</v>
      </c>
      <c r="O204" t="e">
        <f>AND(Housing!#REF!,"AAAAAH/5/w4=")</f>
        <v>#REF!</v>
      </c>
      <c r="P204" t="e">
        <f>AND(Housing!#REF!,"AAAAAH/5/w8=")</f>
        <v>#REF!</v>
      </c>
      <c r="Q204" t="e">
        <f>AND(Housing!#REF!,"AAAAAH/5/xA=")</f>
        <v>#REF!</v>
      </c>
      <c r="R204" t="e">
        <f>AND(Housing!#REF!,"AAAAAH/5/xE=")</f>
        <v>#REF!</v>
      </c>
      <c r="S204" t="e">
        <f>AND(Housing!#REF!,"AAAAAH/5/xI=")</f>
        <v>#REF!</v>
      </c>
      <c r="T204" t="e">
        <f>AND(Housing!#REF!,"AAAAAH/5/xM=")</f>
        <v>#REF!</v>
      </c>
      <c r="U204">
        <f>IF(Housing!35:35,"AAAAAH/5/xQ=",0)</f>
        <v>0</v>
      </c>
      <c r="V204" t="e">
        <f>AND(Housing!#REF!,"AAAAAH/5/xU=")</f>
        <v>#REF!</v>
      </c>
      <c r="W204" t="e">
        <f>AND(Housing!A35,"AAAAAH/5/xY=")</f>
        <v>#VALUE!</v>
      </c>
      <c r="X204" t="e">
        <f>AND(Housing!B35,"AAAAAH/5/xc=")</f>
        <v>#VALUE!</v>
      </c>
      <c r="Y204" t="e">
        <f>AND(Housing!C35,"AAAAAH/5/xg=")</f>
        <v>#VALUE!</v>
      </c>
      <c r="Z204" t="e">
        <f>AND(Housing!D35,"AAAAAH/5/xk=")</f>
        <v>#VALUE!</v>
      </c>
      <c r="AA204" t="e">
        <f>AND(Housing!E35,"AAAAAH/5/xo=")</f>
        <v>#VALUE!</v>
      </c>
      <c r="AB204" t="e">
        <f>AND(Housing!F35,"AAAAAH/5/xs=")</f>
        <v>#VALUE!</v>
      </c>
      <c r="AC204" t="e">
        <f>AND(Housing!G35,"AAAAAH/5/xw=")</f>
        <v>#VALUE!</v>
      </c>
      <c r="AD204" t="e">
        <f>AND(Housing!H35,"AAAAAH/5/x0=")</f>
        <v>#VALUE!</v>
      </c>
      <c r="AE204" t="e">
        <f>AND(Housing!I35,"AAAAAH/5/x4=")</f>
        <v>#VALUE!</v>
      </c>
      <c r="AF204" t="e">
        <f>AND(Housing!J35,"AAAAAH/5/x8=")</f>
        <v>#VALUE!</v>
      </c>
      <c r="AG204" t="e">
        <f>AND(Housing!K35,"AAAAAH/5/yA=")</f>
        <v>#VALUE!</v>
      </c>
      <c r="AH204" t="e">
        <f>AND(Housing!L35,"AAAAAH/5/yE=")</f>
        <v>#VALUE!</v>
      </c>
      <c r="AI204" t="e">
        <f>AND(Housing!M35,"AAAAAH/5/yI=")</f>
        <v>#VALUE!</v>
      </c>
      <c r="AJ204">
        <f>IF(Housing!36:36,"AAAAAH/5/yM=",0)</f>
        <v>0</v>
      </c>
      <c r="AK204" t="e">
        <f>AND(Housing!#REF!,"AAAAAH/5/yQ=")</f>
        <v>#REF!</v>
      </c>
      <c r="AL204" t="e">
        <f>AND(Housing!A36,"AAAAAH/5/yU=")</f>
        <v>#VALUE!</v>
      </c>
      <c r="AM204" t="e">
        <f>AND(Housing!B36,"AAAAAH/5/yY=")</f>
        <v>#VALUE!</v>
      </c>
      <c r="AN204" t="e">
        <f>AND(Housing!C36,"AAAAAH/5/yc=")</f>
        <v>#VALUE!</v>
      </c>
      <c r="AO204" t="e">
        <f>AND(Housing!D36,"AAAAAH/5/yg=")</f>
        <v>#VALUE!</v>
      </c>
      <c r="AP204" t="e">
        <f>AND(Housing!E36,"AAAAAH/5/yk=")</f>
        <v>#VALUE!</v>
      </c>
      <c r="AQ204" t="e">
        <f>AND(Housing!F36,"AAAAAH/5/yo=")</f>
        <v>#VALUE!</v>
      </c>
      <c r="AR204" t="e">
        <f>AND(Housing!G36,"AAAAAH/5/ys=")</f>
        <v>#VALUE!</v>
      </c>
      <c r="AS204" t="e">
        <f>AND(Housing!H36,"AAAAAH/5/yw=")</f>
        <v>#VALUE!</v>
      </c>
      <c r="AT204" t="e">
        <f>AND(Housing!I36,"AAAAAH/5/y0=")</f>
        <v>#VALUE!</v>
      </c>
      <c r="AU204" t="e">
        <f>AND(Housing!J36,"AAAAAH/5/y4=")</f>
        <v>#VALUE!</v>
      </c>
      <c r="AV204" t="e">
        <f>AND(Housing!K36,"AAAAAH/5/y8=")</f>
        <v>#VALUE!</v>
      </c>
      <c r="AW204" t="e">
        <f>AND(Housing!L36,"AAAAAH/5/zA=")</f>
        <v>#VALUE!</v>
      </c>
      <c r="AX204" t="e">
        <f>AND(Housing!M36,"AAAAAH/5/zE=")</f>
        <v>#VALUE!</v>
      </c>
      <c r="AY204" t="e">
        <f>IF(Housing!#REF!,"AAAAAH/5/zI=",0)</f>
        <v>#REF!</v>
      </c>
      <c r="AZ204" t="e">
        <f>AND(Housing!#REF!,"AAAAAH/5/zM=")</f>
        <v>#REF!</v>
      </c>
      <c r="BA204" t="e">
        <f>AND(Housing!#REF!,"AAAAAH/5/zQ=")</f>
        <v>#REF!</v>
      </c>
      <c r="BB204" t="e">
        <f>AND(Housing!#REF!,"AAAAAH/5/zU=")</f>
        <v>#REF!</v>
      </c>
      <c r="BC204" t="e">
        <f>AND(Housing!#REF!,"AAAAAH/5/zY=")</f>
        <v>#REF!</v>
      </c>
      <c r="BD204" t="e">
        <f>AND(Housing!#REF!,"AAAAAH/5/zc=")</f>
        <v>#REF!</v>
      </c>
      <c r="BE204" t="e">
        <f>AND(Housing!#REF!,"AAAAAH/5/zg=")</f>
        <v>#REF!</v>
      </c>
      <c r="BF204" t="e">
        <f>AND(Housing!#REF!,"AAAAAH/5/zk=")</f>
        <v>#REF!</v>
      </c>
      <c r="BG204" t="e">
        <f>AND(Housing!#REF!,"AAAAAH/5/zo=")</f>
        <v>#REF!</v>
      </c>
      <c r="BH204" t="e">
        <f>AND(Housing!#REF!,"AAAAAH/5/zs=")</f>
        <v>#REF!</v>
      </c>
      <c r="BI204" t="e">
        <f>AND(Housing!#REF!,"AAAAAH/5/zw=")</f>
        <v>#REF!</v>
      </c>
      <c r="BJ204" t="e">
        <f>AND(Housing!#REF!,"AAAAAH/5/z0=")</f>
        <v>#REF!</v>
      </c>
      <c r="BK204" t="e">
        <f>AND(Housing!#REF!,"AAAAAH/5/z4=")</f>
        <v>#REF!</v>
      </c>
      <c r="BL204" t="e">
        <f>AND(Housing!#REF!,"AAAAAH/5/z8=")</f>
        <v>#REF!</v>
      </c>
      <c r="BM204" t="e">
        <f>AND(Housing!#REF!,"AAAAAH/5/0A=")</f>
        <v>#REF!</v>
      </c>
      <c r="BN204">
        <f>IF(Housing!37:37,"AAAAAH/5/0E=",0)</f>
        <v>0</v>
      </c>
      <c r="BO204" t="e">
        <f>AND(Housing!#REF!,"AAAAAH/5/0I=")</f>
        <v>#REF!</v>
      </c>
      <c r="BP204" t="e">
        <f>AND(Housing!A37,"AAAAAH/5/0M=")</f>
        <v>#VALUE!</v>
      </c>
      <c r="BQ204" t="e">
        <f>AND(Housing!B37,"AAAAAH/5/0Q=")</f>
        <v>#VALUE!</v>
      </c>
      <c r="BR204" t="e">
        <f>AND(Housing!C37,"AAAAAH/5/0U=")</f>
        <v>#VALUE!</v>
      </c>
      <c r="BS204" t="e">
        <f>AND(Housing!D37,"AAAAAH/5/0Y=")</f>
        <v>#VALUE!</v>
      </c>
      <c r="BT204" t="e">
        <f>AND(Housing!E37,"AAAAAH/5/0c=")</f>
        <v>#VALUE!</v>
      </c>
      <c r="BU204" t="e">
        <f>AND(Housing!F37,"AAAAAH/5/0g=")</f>
        <v>#VALUE!</v>
      </c>
      <c r="BV204" t="e">
        <f>AND(Housing!G37,"AAAAAH/5/0k=")</f>
        <v>#VALUE!</v>
      </c>
      <c r="BW204" t="e">
        <f>AND(Housing!H37,"AAAAAH/5/0o=")</f>
        <v>#VALUE!</v>
      </c>
      <c r="BX204" t="e">
        <f>AND(Housing!I37,"AAAAAH/5/0s=")</f>
        <v>#VALUE!</v>
      </c>
      <c r="BY204" t="e">
        <f>AND(Housing!J37,"AAAAAH/5/0w=")</f>
        <v>#VALUE!</v>
      </c>
      <c r="BZ204" t="e">
        <f>AND(Housing!K37,"AAAAAH/5/00=")</f>
        <v>#VALUE!</v>
      </c>
      <c r="CA204" t="e">
        <f>AND(Housing!L37,"AAAAAH/5/04=")</f>
        <v>#VALUE!</v>
      </c>
      <c r="CB204" t="e">
        <f>AND(Housing!M37,"AAAAAH/5/08=")</f>
        <v>#VALUE!</v>
      </c>
      <c r="CC204">
        <f>IF(Housing!38:38,"AAAAAH/5/1A=",0)</f>
        <v>0</v>
      </c>
      <c r="CD204" t="e">
        <f>AND(Housing!#REF!,"AAAAAH/5/1E=")</f>
        <v>#REF!</v>
      </c>
      <c r="CE204" t="e">
        <f>AND(Housing!A38,"AAAAAH/5/1I=")</f>
        <v>#VALUE!</v>
      </c>
      <c r="CF204" t="e">
        <f>AND(Housing!B38,"AAAAAH/5/1M=")</f>
        <v>#VALUE!</v>
      </c>
      <c r="CG204" t="e">
        <f>AND(Housing!C38,"AAAAAH/5/1Q=")</f>
        <v>#VALUE!</v>
      </c>
      <c r="CH204" t="e">
        <f>AND(Housing!D38,"AAAAAH/5/1U=")</f>
        <v>#VALUE!</v>
      </c>
      <c r="CI204" t="e">
        <f>AND(Housing!E38,"AAAAAH/5/1Y=")</f>
        <v>#VALUE!</v>
      </c>
      <c r="CJ204" t="e">
        <f>AND(Housing!F38,"AAAAAH/5/1c=")</f>
        <v>#VALUE!</v>
      </c>
      <c r="CK204" t="e">
        <f>AND(Housing!G38,"AAAAAH/5/1g=")</f>
        <v>#VALUE!</v>
      </c>
      <c r="CL204" t="e">
        <f>AND(Housing!H38,"AAAAAH/5/1k=")</f>
        <v>#VALUE!</v>
      </c>
      <c r="CM204" t="e">
        <f>AND(Housing!I38,"AAAAAH/5/1o=")</f>
        <v>#VALUE!</v>
      </c>
      <c r="CN204" t="e">
        <f>AND(Housing!J38,"AAAAAH/5/1s=")</f>
        <v>#VALUE!</v>
      </c>
      <c r="CO204" t="e">
        <f>AND(Housing!K38,"AAAAAH/5/1w=")</f>
        <v>#VALUE!</v>
      </c>
      <c r="CP204" t="e">
        <f>AND(Housing!L38,"AAAAAH/5/10=")</f>
        <v>#VALUE!</v>
      </c>
      <c r="CQ204" t="e">
        <f>AND(Housing!M38,"AAAAAH/5/14=")</f>
        <v>#VALUE!</v>
      </c>
      <c r="CR204">
        <f>IF(Housing!39:39,"AAAAAH/5/18=",0)</f>
        <v>0</v>
      </c>
      <c r="CS204" t="e">
        <f>AND(Housing!#REF!,"AAAAAH/5/2A=")</f>
        <v>#REF!</v>
      </c>
      <c r="CT204" t="e">
        <f>AND(Housing!A39,"AAAAAH/5/2E=")</f>
        <v>#VALUE!</v>
      </c>
      <c r="CU204" t="e">
        <f>AND(Housing!B39,"AAAAAH/5/2I=")</f>
        <v>#VALUE!</v>
      </c>
      <c r="CV204" t="e">
        <f>AND(Housing!C39,"AAAAAH/5/2M=")</f>
        <v>#VALUE!</v>
      </c>
      <c r="CW204" t="e">
        <f>AND(Housing!D39,"AAAAAH/5/2Q=")</f>
        <v>#VALUE!</v>
      </c>
      <c r="CX204" t="e">
        <f>AND(Housing!E39,"AAAAAH/5/2U=")</f>
        <v>#VALUE!</v>
      </c>
      <c r="CY204" t="e">
        <f>AND(Housing!F39,"AAAAAH/5/2Y=")</f>
        <v>#VALUE!</v>
      </c>
      <c r="CZ204" t="e">
        <f>AND(Housing!G39,"AAAAAH/5/2c=")</f>
        <v>#VALUE!</v>
      </c>
      <c r="DA204" t="e">
        <f>AND(Housing!H39,"AAAAAH/5/2g=")</f>
        <v>#VALUE!</v>
      </c>
      <c r="DB204" t="e">
        <f>AND(Housing!I39,"AAAAAH/5/2k=")</f>
        <v>#VALUE!</v>
      </c>
      <c r="DC204" t="e">
        <f>AND(Housing!J39,"AAAAAH/5/2o=")</f>
        <v>#VALUE!</v>
      </c>
      <c r="DD204" t="e">
        <f>AND(Housing!K39,"AAAAAH/5/2s=")</f>
        <v>#VALUE!</v>
      </c>
      <c r="DE204" t="e">
        <f>AND(Housing!L39,"AAAAAH/5/2w=")</f>
        <v>#VALUE!</v>
      </c>
      <c r="DF204" t="e">
        <f>AND(Housing!M39,"AAAAAH/5/20=")</f>
        <v>#VALUE!</v>
      </c>
      <c r="DG204">
        <f>IF(Housing!40:40,"AAAAAH/5/24=",0)</f>
        <v>0</v>
      </c>
      <c r="DH204" t="e">
        <f>AND(Housing!#REF!,"AAAAAH/5/28=")</f>
        <v>#REF!</v>
      </c>
      <c r="DI204" t="e">
        <f>AND(Housing!A40,"AAAAAH/5/3A=")</f>
        <v>#VALUE!</v>
      </c>
      <c r="DJ204" t="e">
        <f>AND(Housing!B40,"AAAAAH/5/3E=")</f>
        <v>#VALUE!</v>
      </c>
      <c r="DK204" t="e">
        <f>AND(Housing!C40,"AAAAAH/5/3I=")</f>
        <v>#VALUE!</v>
      </c>
      <c r="DL204" t="e">
        <f>AND(Housing!D40,"AAAAAH/5/3M=")</f>
        <v>#VALUE!</v>
      </c>
      <c r="DM204" t="e">
        <f>AND(Housing!E40,"AAAAAH/5/3Q=")</f>
        <v>#VALUE!</v>
      </c>
      <c r="DN204" t="e">
        <f>AND(Housing!F40,"AAAAAH/5/3U=")</f>
        <v>#VALUE!</v>
      </c>
      <c r="DO204" t="e">
        <f>AND(Housing!G40,"AAAAAH/5/3Y=")</f>
        <v>#VALUE!</v>
      </c>
      <c r="DP204" t="e">
        <f>AND(Housing!H40,"AAAAAH/5/3c=")</f>
        <v>#VALUE!</v>
      </c>
      <c r="DQ204" t="e">
        <f>AND(Housing!I40,"AAAAAH/5/3g=")</f>
        <v>#VALUE!</v>
      </c>
      <c r="DR204" t="e">
        <f>AND(Housing!J40,"AAAAAH/5/3k=")</f>
        <v>#VALUE!</v>
      </c>
      <c r="DS204" t="e">
        <f>AND(Housing!K40,"AAAAAH/5/3o=")</f>
        <v>#VALUE!</v>
      </c>
      <c r="DT204" t="e">
        <f>AND(Housing!L40,"AAAAAH/5/3s=")</f>
        <v>#VALUE!</v>
      </c>
      <c r="DU204" t="e">
        <f>AND(Housing!M40,"AAAAAH/5/3w=")</f>
        <v>#VALUE!</v>
      </c>
      <c r="DV204" t="e">
        <f>IF(Housing!#REF!,"AAAAAH/5/30=",0)</f>
        <v>#REF!</v>
      </c>
      <c r="DW204" t="e">
        <f>AND(Housing!#REF!,"AAAAAH/5/34=")</f>
        <v>#REF!</v>
      </c>
      <c r="DX204" t="e">
        <f>AND(Housing!#REF!,"AAAAAH/5/38=")</f>
        <v>#REF!</v>
      </c>
      <c r="DY204" t="e">
        <f>AND(Housing!#REF!,"AAAAAH/5/4A=")</f>
        <v>#REF!</v>
      </c>
      <c r="DZ204" t="e">
        <f>AND(Housing!#REF!,"AAAAAH/5/4E=")</f>
        <v>#REF!</v>
      </c>
      <c r="EA204" t="e">
        <f>AND(Housing!#REF!,"AAAAAH/5/4I=")</f>
        <v>#REF!</v>
      </c>
      <c r="EB204" t="e">
        <f>AND(Housing!#REF!,"AAAAAH/5/4M=")</f>
        <v>#REF!</v>
      </c>
      <c r="EC204" t="e">
        <f>AND(Housing!#REF!,"AAAAAH/5/4Q=")</f>
        <v>#REF!</v>
      </c>
      <c r="ED204" t="e">
        <f>AND(Housing!#REF!,"AAAAAH/5/4U=")</f>
        <v>#REF!</v>
      </c>
      <c r="EE204" t="e">
        <f>AND(Housing!#REF!,"AAAAAH/5/4Y=")</f>
        <v>#REF!</v>
      </c>
      <c r="EF204" t="e">
        <f>AND(Housing!#REF!,"AAAAAH/5/4c=")</f>
        <v>#REF!</v>
      </c>
      <c r="EG204" t="e">
        <f>AND(Housing!#REF!,"AAAAAH/5/4g=")</f>
        <v>#REF!</v>
      </c>
      <c r="EH204" t="e">
        <f>AND(Housing!#REF!,"AAAAAH/5/4k=")</f>
        <v>#REF!</v>
      </c>
      <c r="EI204" t="e">
        <f>AND(Housing!#REF!,"AAAAAH/5/4o=")</f>
        <v>#REF!</v>
      </c>
      <c r="EJ204" t="e">
        <f>AND(Housing!#REF!,"AAAAAH/5/4s=")</f>
        <v>#REF!</v>
      </c>
      <c r="EK204">
        <f>IF(Housing!41:41,"AAAAAH/5/4w=",0)</f>
        <v>0</v>
      </c>
      <c r="EL204" t="e">
        <f>AND(Housing!#REF!,"AAAAAH/5/40=")</f>
        <v>#REF!</v>
      </c>
      <c r="EM204" t="e">
        <f>AND(Housing!A41,"AAAAAH/5/44=")</f>
        <v>#VALUE!</v>
      </c>
      <c r="EN204" t="e">
        <f>AND(Housing!B41,"AAAAAH/5/48=")</f>
        <v>#VALUE!</v>
      </c>
      <c r="EO204" t="e">
        <f>AND(Housing!C41,"AAAAAH/5/5A=")</f>
        <v>#VALUE!</v>
      </c>
      <c r="EP204" t="e">
        <f>AND(Housing!D41,"AAAAAH/5/5E=")</f>
        <v>#VALUE!</v>
      </c>
      <c r="EQ204" t="e">
        <f>AND(Housing!E41,"AAAAAH/5/5I=")</f>
        <v>#VALUE!</v>
      </c>
      <c r="ER204" t="e">
        <f>AND(Housing!F41,"AAAAAH/5/5M=")</f>
        <v>#VALUE!</v>
      </c>
      <c r="ES204" t="e">
        <f>AND(Housing!G41,"AAAAAH/5/5Q=")</f>
        <v>#VALUE!</v>
      </c>
      <c r="ET204" t="e">
        <f>AND(Housing!H41,"AAAAAH/5/5U=")</f>
        <v>#VALUE!</v>
      </c>
      <c r="EU204" t="e">
        <f>AND(Housing!I41,"AAAAAH/5/5Y=")</f>
        <v>#VALUE!</v>
      </c>
      <c r="EV204" t="e">
        <f>AND(Housing!J41,"AAAAAH/5/5c=")</f>
        <v>#VALUE!</v>
      </c>
      <c r="EW204" t="e">
        <f>AND(Housing!K41,"AAAAAH/5/5g=")</f>
        <v>#VALUE!</v>
      </c>
      <c r="EX204" t="e">
        <f>AND(Housing!L41,"AAAAAH/5/5k=")</f>
        <v>#VALUE!</v>
      </c>
      <c r="EY204" t="e">
        <f>AND(Housing!M41,"AAAAAH/5/5o=")</f>
        <v>#VALUE!</v>
      </c>
      <c r="EZ204">
        <f>IF(Housing!42:42,"AAAAAH/5/5s=",0)</f>
        <v>0</v>
      </c>
      <c r="FA204" t="e">
        <f>AND(Housing!#REF!,"AAAAAH/5/5w=")</f>
        <v>#REF!</v>
      </c>
      <c r="FB204" t="e">
        <f>AND(Housing!A42,"AAAAAH/5/50=")</f>
        <v>#VALUE!</v>
      </c>
      <c r="FC204" t="e">
        <f>AND(Housing!B42,"AAAAAH/5/54=")</f>
        <v>#VALUE!</v>
      </c>
      <c r="FD204" t="e">
        <f>AND(Housing!C42,"AAAAAH/5/58=")</f>
        <v>#VALUE!</v>
      </c>
      <c r="FE204" t="e">
        <f>AND(Housing!D42,"AAAAAH/5/6A=")</f>
        <v>#VALUE!</v>
      </c>
      <c r="FF204" t="e">
        <f>AND(Housing!E42,"AAAAAH/5/6E=")</f>
        <v>#VALUE!</v>
      </c>
      <c r="FG204" t="e">
        <f>AND(Housing!F42,"AAAAAH/5/6I=")</f>
        <v>#VALUE!</v>
      </c>
      <c r="FH204" t="e">
        <f>AND(Housing!G42,"AAAAAH/5/6M=")</f>
        <v>#VALUE!</v>
      </c>
      <c r="FI204" t="e">
        <f>AND(Housing!H42,"AAAAAH/5/6Q=")</f>
        <v>#VALUE!</v>
      </c>
      <c r="FJ204" t="e">
        <f>AND(Housing!I42,"AAAAAH/5/6U=")</f>
        <v>#VALUE!</v>
      </c>
      <c r="FK204" t="e">
        <f>AND(Housing!J42,"AAAAAH/5/6Y=")</f>
        <v>#VALUE!</v>
      </c>
      <c r="FL204" t="e">
        <f>AND(Housing!K42,"AAAAAH/5/6c=")</f>
        <v>#VALUE!</v>
      </c>
      <c r="FM204" t="e">
        <f>AND(Housing!L42,"AAAAAH/5/6g=")</f>
        <v>#VALUE!</v>
      </c>
      <c r="FN204" t="e">
        <f>AND(Housing!M42,"AAAAAH/5/6k=")</f>
        <v>#VALUE!</v>
      </c>
      <c r="FO204">
        <f>IF(Housing!43:43,"AAAAAH/5/6o=",0)</f>
        <v>0</v>
      </c>
      <c r="FP204" t="e">
        <f>AND(Housing!#REF!,"AAAAAH/5/6s=")</f>
        <v>#REF!</v>
      </c>
      <c r="FQ204" t="e">
        <f>AND(Housing!A43,"AAAAAH/5/6w=")</f>
        <v>#VALUE!</v>
      </c>
      <c r="FR204" t="e">
        <f>AND(Housing!B43,"AAAAAH/5/60=")</f>
        <v>#VALUE!</v>
      </c>
      <c r="FS204" t="e">
        <f>AND(Housing!C43,"AAAAAH/5/64=")</f>
        <v>#VALUE!</v>
      </c>
      <c r="FT204" t="e">
        <f>AND(Housing!D43,"AAAAAH/5/68=")</f>
        <v>#VALUE!</v>
      </c>
      <c r="FU204" t="e">
        <f>AND(Housing!E43,"AAAAAH/5/7A=")</f>
        <v>#VALUE!</v>
      </c>
      <c r="FV204" t="e">
        <f>AND(Housing!F43,"AAAAAH/5/7E=")</f>
        <v>#VALUE!</v>
      </c>
      <c r="FW204" t="e">
        <f>AND(Housing!G43,"AAAAAH/5/7I=")</f>
        <v>#VALUE!</v>
      </c>
      <c r="FX204" t="e">
        <f>AND(Housing!H43,"AAAAAH/5/7M=")</f>
        <v>#VALUE!</v>
      </c>
      <c r="FY204" t="e">
        <f>AND(Housing!I43,"AAAAAH/5/7Q=")</f>
        <v>#VALUE!</v>
      </c>
      <c r="FZ204" t="e">
        <f>AND(Housing!J43,"AAAAAH/5/7U=")</f>
        <v>#VALUE!</v>
      </c>
      <c r="GA204" t="e">
        <f>AND(Housing!K43,"AAAAAH/5/7Y=")</f>
        <v>#VALUE!</v>
      </c>
      <c r="GB204" t="e">
        <f>AND(Housing!L43,"AAAAAH/5/7c=")</f>
        <v>#VALUE!</v>
      </c>
      <c r="GC204" t="e">
        <f>AND(Housing!M43,"AAAAAH/5/7g=")</f>
        <v>#VALUE!</v>
      </c>
      <c r="GD204">
        <f>IF(Housing!44:44,"AAAAAH/5/7k=",0)</f>
        <v>0</v>
      </c>
      <c r="GE204" t="e">
        <f>AND(Housing!#REF!,"AAAAAH/5/7o=")</f>
        <v>#REF!</v>
      </c>
      <c r="GF204" t="e">
        <f>AND(Housing!A44,"AAAAAH/5/7s=")</f>
        <v>#VALUE!</v>
      </c>
      <c r="GG204" t="e">
        <f>AND(Housing!B44,"AAAAAH/5/7w=")</f>
        <v>#VALUE!</v>
      </c>
      <c r="GH204" t="e">
        <f>AND(Housing!C44,"AAAAAH/5/70=")</f>
        <v>#VALUE!</v>
      </c>
      <c r="GI204" t="e">
        <f>AND(Housing!D44,"AAAAAH/5/74=")</f>
        <v>#VALUE!</v>
      </c>
      <c r="GJ204" t="e">
        <f>AND(Housing!E44,"AAAAAH/5/78=")</f>
        <v>#VALUE!</v>
      </c>
      <c r="GK204" t="e">
        <f>AND(Housing!F44,"AAAAAH/5/8A=")</f>
        <v>#VALUE!</v>
      </c>
      <c r="GL204" t="e">
        <f>AND(Housing!G44,"AAAAAH/5/8E=")</f>
        <v>#VALUE!</v>
      </c>
      <c r="GM204" t="e">
        <f>AND(Housing!H44,"AAAAAH/5/8I=")</f>
        <v>#VALUE!</v>
      </c>
      <c r="GN204" t="e">
        <f>AND(Housing!I44,"AAAAAH/5/8M=")</f>
        <v>#VALUE!</v>
      </c>
      <c r="GO204" t="e">
        <f>AND(Housing!J44,"AAAAAH/5/8Q=")</f>
        <v>#VALUE!</v>
      </c>
      <c r="GP204" t="e">
        <f>AND(Housing!K44,"AAAAAH/5/8U=")</f>
        <v>#VALUE!</v>
      </c>
      <c r="GQ204" t="e">
        <f>AND(Housing!L44,"AAAAAH/5/8Y=")</f>
        <v>#VALUE!</v>
      </c>
      <c r="GR204" t="e">
        <f>AND(Housing!M44,"AAAAAH/5/8c=")</f>
        <v>#VALUE!</v>
      </c>
      <c r="GS204" t="e">
        <f>IF(Housing!#REF!,"AAAAAH/5/8g=",0)</f>
        <v>#REF!</v>
      </c>
      <c r="GT204" t="e">
        <f>AND(Housing!#REF!,"AAAAAH/5/8k=")</f>
        <v>#REF!</v>
      </c>
      <c r="GU204" t="e">
        <f>AND(Housing!#REF!,"AAAAAH/5/8o=")</f>
        <v>#REF!</v>
      </c>
      <c r="GV204" t="e">
        <f>AND(Housing!#REF!,"AAAAAH/5/8s=")</f>
        <v>#REF!</v>
      </c>
      <c r="GW204" t="e">
        <f>AND(Housing!#REF!,"AAAAAH/5/8w=")</f>
        <v>#REF!</v>
      </c>
      <c r="GX204" t="e">
        <f>AND(Housing!#REF!,"AAAAAH/5/80=")</f>
        <v>#REF!</v>
      </c>
      <c r="GY204" t="e">
        <f>AND(Housing!#REF!,"AAAAAH/5/84=")</f>
        <v>#REF!</v>
      </c>
      <c r="GZ204" t="e">
        <f>AND(Housing!#REF!,"AAAAAH/5/88=")</f>
        <v>#REF!</v>
      </c>
      <c r="HA204" t="e">
        <f>AND(Housing!#REF!,"AAAAAH/5/9A=")</f>
        <v>#REF!</v>
      </c>
      <c r="HB204" t="e">
        <f>AND(Housing!#REF!,"AAAAAH/5/9E=")</f>
        <v>#REF!</v>
      </c>
      <c r="HC204" t="e">
        <f>AND(Housing!#REF!,"AAAAAH/5/9I=")</f>
        <v>#REF!</v>
      </c>
      <c r="HD204" t="e">
        <f>AND(Housing!#REF!,"AAAAAH/5/9M=")</f>
        <v>#REF!</v>
      </c>
      <c r="HE204" t="e">
        <f>AND(Housing!#REF!,"AAAAAH/5/9Q=")</f>
        <v>#REF!</v>
      </c>
      <c r="HF204" t="e">
        <f>AND(Housing!#REF!,"AAAAAH/5/9U=")</f>
        <v>#REF!</v>
      </c>
      <c r="HG204" t="e">
        <f>AND(Housing!#REF!,"AAAAAH/5/9Y=")</f>
        <v>#REF!</v>
      </c>
      <c r="HH204">
        <f>IF(Housing!45:45,"AAAAAH/5/9c=",0)</f>
        <v>0</v>
      </c>
      <c r="HI204" t="e">
        <f>AND(Housing!#REF!,"AAAAAH/5/9g=")</f>
        <v>#REF!</v>
      </c>
      <c r="HJ204" t="e">
        <f>AND(Housing!A45,"AAAAAH/5/9k=")</f>
        <v>#VALUE!</v>
      </c>
      <c r="HK204" t="e">
        <f>AND(Housing!B45,"AAAAAH/5/9o=")</f>
        <v>#VALUE!</v>
      </c>
      <c r="HL204" t="e">
        <f>AND(Housing!C45,"AAAAAH/5/9s=")</f>
        <v>#VALUE!</v>
      </c>
      <c r="HM204" t="e">
        <f>AND(Housing!D45,"AAAAAH/5/9w=")</f>
        <v>#VALUE!</v>
      </c>
      <c r="HN204" t="e">
        <f>AND(Housing!E45,"AAAAAH/5/90=")</f>
        <v>#VALUE!</v>
      </c>
      <c r="HO204" t="e">
        <f>AND(Housing!F45,"AAAAAH/5/94=")</f>
        <v>#VALUE!</v>
      </c>
      <c r="HP204" t="e">
        <f>AND(Housing!G45,"AAAAAH/5/98=")</f>
        <v>#VALUE!</v>
      </c>
      <c r="HQ204" t="e">
        <f>AND(Housing!H45,"AAAAAH/5/+A=")</f>
        <v>#VALUE!</v>
      </c>
      <c r="HR204" t="e">
        <f>AND(Housing!I45,"AAAAAH/5/+E=")</f>
        <v>#VALUE!</v>
      </c>
      <c r="HS204" t="e">
        <f>AND(Housing!J45,"AAAAAH/5/+I=")</f>
        <v>#VALUE!</v>
      </c>
      <c r="HT204" t="e">
        <f>AND(Housing!K45,"AAAAAH/5/+M=")</f>
        <v>#VALUE!</v>
      </c>
      <c r="HU204" t="e">
        <f>AND(Housing!L45,"AAAAAH/5/+Q=")</f>
        <v>#VALUE!</v>
      </c>
      <c r="HV204" t="e">
        <f>AND(Housing!M45,"AAAAAH/5/+U=")</f>
        <v>#VALUE!</v>
      </c>
      <c r="HW204">
        <f>IF(Housing!46:46,"AAAAAH/5/+Y=",0)</f>
        <v>0</v>
      </c>
      <c r="HX204" t="e">
        <f>AND(Housing!#REF!,"AAAAAH/5/+c=")</f>
        <v>#REF!</v>
      </c>
      <c r="HY204" t="e">
        <f>AND(Housing!A46,"AAAAAH/5/+g=")</f>
        <v>#VALUE!</v>
      </c>
      <c r="HZ204" t="e">
        <f>AND(Housing!B46,"AAAAAH/5/+k=")</f>
        <v>#VALUE!</v>
      </c>
      <c r="IA204" t="e">
        <f>AND(Housing!C46,"AAAAAH/5/+o=")</f>
        <v>#VALUE!</v>
      </c>
      <c r="IB204" t="e">
        <f>AND(Housing!D46,"AAAAAH/5/+s=")</f>
        <v>#VALUE!</v>
      </c>
      <c r="IC204" t="e">
        <f>AND(Housing!E46,"AAAAAH/5/+w=")</f>
        <v>#VALUE!</v>
      </c>
      <c r="ID204" t="e">
        <f>AND(Housing!F46,"AAAAAH/5/+0=")</f>
        <v>#VALUE!</v>
      </c>
      <c r="IE204" t="e">
        <f>AND(Housing!G46,"AAAAAH/5/+4=")</f>
        <v>#VALUE!</v>
      </c>
      <c r="IF204" t="e">
        <f>AND(Housing!H46,"AAAAAH/5/+8=")</f>
        <v>#VALUE!</v>
      </c>
      <c r="IG204" t="e">
        <f>AND(Housing!I46,"AAAAAH/5//A=")</f>
        <v>#VALUE!</v>
      </c>
      <c r="IH204" t="e">
        <f>AND(Housing!J46,"AAAAAH/5//E=")</f>
        <v>#VALUE!</v>
      </c>
      <c r="II204" t="e">
        <f>AND(Housing!K46,"AAAAAH/5//I=")</f>
        <v>#VALUE!</v>
      </c>
      <c r="IJ204" t="e">
        <f>AND(Housing!L46,"AAAAAH/5//M=")</f>
        <v>#VALUE!</v>
      </c>
      <c r="IK204" t="e">
        <f>AND(Housing!M46,"AAAAAH/5//Q=")</f>
        <v>#VALUE!</v>
      </c>
      <c r="IL204">
        <f>IF(Housing!47:47,"AAAAAH/5//U=",0)</f>
        <v>0</v>
      </c>
      <c r="IM204" t="e">
        <f>AND(Housing!#REF!,"AAAAAH/5//Y=")</f>
        <v>#REF!</v>
      </c>
      <c r="IN204" t="e">
        <f>AND(Housing!A47,"AAAAAH/5//c=")</f>
        <v>#VALUE!</v>
      </c>
      <c r="IO204" t="e">
        <f>AND(Housing!B47,"AAAAAH/5//g=")</f>
        <v>#VALUE!</v>
      </c>
      <c r="IP204" t="e">
        <f>AND(Housing!C47,"AAAAAH/5//k=")</f>
        <v>#VALUE!</v>
      </c>
      <c r="IQ204" t="e">
        <f>AND(Housing!D47,"AAAAAH/5//o=")</f>
        <v>#VALUE!</v>
      </c>
      <c r="IR204" t="e">
        <f>AND(Housing!E47,"AAAAAH/5//s=")</f>
        <v>#VALUE!</v>
      </c>
      <c r="IS204" t="e">
        <f>AND(Housing!F47,"AAAAAH/5//w=")</f>
        <v>#VALUE!</v>
      </c>
      <c r="IT204" t="e">
        <f>AND(Housing!G47,"AAAAAH/5//0=")</f>
        <v>#VALUE!</v>
      </c>
      <c r="IU204" t="e">
        <f>AND(Housing!H47,"AAAAAH/5//4=")</f>
        <v>#VALUE!</v>
      </c>
      <c r="IV204" t="e">
        <f>AND(Housing!I47,"AAAAAH/5//8=")</f>
        <v>#VALUE!</v>
      </c>
    </row>
    <row r="205" spans="1:256" x14ac:dyDescent="0.2">
      <c r="A205" t="e">
        <f>AND(Housing!J47,"AAAAAHtv8AA=")</f>
        <v>#VALUE!</v>
      </c>
      <c r="B205" t="e">
        <f>AND(Housing!K47,"AAAAAHtv8AE=")</f>
        <v>#VALUE!</v>
      </c>
      <c r="C205" t="e">
        <f>AND(Housing!L47,"AAAAAHtv8AI=")</f>
        <v>#VALUE!</v>
      </c>
      <c r="D205" t="e">
        <f>AND(Housing!M47,"AAAAAHtv8AM=")</f>
        <v>#VALUE!</v>
      </c>
      <c r="E205">
        <f>IF(Housing!49:49,"AAAAAHtv8AQ=",0)</f>
        <v>0</v>
      </c>
      <c r="F205" t="e">
        <f>AND(Housing!#REF!,"AAAAAHtv8AU=")</f>
        <v>#REF!</v>
      </c>
      <c r="G205" t="e">
        <f>AND(Housing!A49,"AAAAAHtv8AY=")</f>
        <v>#VALUE!</v>
      </c>
      <c r="H205" t="e">
        <f>AND(Housing!B49,"AAAAAHtv8Ac=")</f>
        <v>#VALUE!</v>
      </c>
      <c r="I205" t="e">
        <f>AND(Housing!C49,"AAAAAHtv8Ag=")</f>
        <v>#VALUE!</v>
      </c>
      <c r="J205" t="e">
        <f>AND(Housing!D49,"AAAAAHtv8Ak=")</f>
        <v>#VALUE!</v>
      </c>
      <c r="K205" t="e">
        <f>AND(Housing!E49,"AAAAAHtv8Ao=")</f>
        <v>#VALUE!</v>
      </c>
      <c r="L205" t="e">
        <f>AND(Housing!F49,"AAAAAHtv8As=")</f>
        <v>#VALUE!</v>
      </c>
      <c r="M205" t="e">
        <f>AND(Housing!G49,"AAAAAHtv8Aw=")</f>
        <v>#VALUE!</v>
      </c>
      <c r="N205" t="e">
        <f>AND(Housing!H49,"AAAAAHtv8A0=")</f>
        <v>#VALUE!</v>
      </c>
      <c r="O205" t="e">
        <f>AND(Housing!I49,"AAAAAHtv8A4=")</f>
        <v>#VALUE!</v>
      </c>
      <c r="P205" t="e">
        <f>AND(Housing!J49,"AAAAAHtv8A8=")</f>
        <v>#VALUE!</v>
      </c>
      <c r="Q205" t="e">
        <f>AND(Housing!K49,"AAAAAHtv8BA=")</f>
        <v>#VALUE!</v>
      </c>
      <c r="R205" t="e">
        <f>AND(Housing!L49,"AAAAAHtv8BE=")</f>
        <v>#VALUE!</v>
      </c>
      <c r="S205" t="e">
        <f>AND(Housing!M49,"AAAAAHtv8BI=")</f>
        <v>#VALUE!</v>
      </c>
      <c r="T205">
        <f>IF(Housing!52:52,"AAAAAHtv8BM=",0)</f>
        <v>0</v>
      </c>
      <c r="U205" t="e">
        <f>AND(Housing!#REF!,"AAAAAHtv8BQ=")</f>
        <v>#REF!</v>
      </c>
      <c r="V205" t="e">
        <f>AND(Housing!A52,"AAAAAHtv8BU=")</f>
        <v>#VALUE!</v>
      </c>
      <c r="W205" t="e">
        <f>AND(Housing!B52,"AAAAAHtv8BY=")</f>
        <v>#VALUE!</v>
      </c>
      <c r="X205" t="e">
        <f>AND(Housing!C52,"AAAAAHtv8Bc=")</f>
        <v>#VALUE!</v>
      </c>
      <c r="Y205" t="e">
        <f>AND(Housing!D52,"AAAAAHtv8Bg=")</f>
        <v>#VALUE!</v>
      </c>
      <c r="Z205" t="e">
        <f>AND(Housing!E52,"AAAAAHtv8Bk=")</f>
        <v>#VALUE!</v>
      </c>
      <c r="AA205" t="e">
        <f>AND(Housing!F52,"AAAAAHtv8Bo=")</f>
        <v>#VALUE!</v>
      </c>
      <c r="AB205" t="e">
        <f>AND(Housing!G52,"AAAAAHtv8Bs=")</f>
        <v>#VALUE!</v>
      </c>
      <c r="AC205" t="e">
        <f>AND(Housing!H52,"AAAAAHtv8Bw=")</f>
        <v>#VALUE!</v>
      </c>
      <c r="AD205" t="e">
        <f>AND(Housing!I52,"AAAAAHtv8B0=")</f>
        <v>#VALUE!</v>
      </c>
      <c r="AE205" t="e">
        <f>AND(Housing!J52,"AAAAAHtv8B4=")</f>
        <v>#VALUE!</v>
      </c>
      <c r="AF205" t="e">
        <f>AND(Housing!K52,"AAAAAHtv8B8=")</f>
        <v>#VALUE!</v>
      </c>
      <c r="AG205" t="e">
        <f>AND(Housing!L52,"AAAAAHtv8CA=")</f>
        <v>#VALUE!</v>
      </c>
      <c r="AH205" t="e">
        <f>AND(Housing!M52,"AAAAAHtv8CE=")</f>
        <v>#VALUE!</v>
      </c>
      <c r="AI205">
        <f>IF(Housing!53:53,"AAAAAHtv8CI=",0)</f>
        <v>0</v>
      </c>
      <c r="AJ205" t="e">
        <f>AND(Housing!#REF!,"AAAAAHtv8CM=")</f>
        <v>#REF!</v>
      </c>
      <c r="AK205" t="e">
        <f>AND(Housing!A53,"AAAAAHtv8CQ=")</f>
        <v>#VALUE!</v>
      </c>
      <c r="AL205" t="e">
        <f>AND(Housing!B53,"AAAAAHtv8CU=")</f>
        <v>#VALUE!</v>
      </c>
      <c r="AM205" t="e">
        <f>AND(Housing!C53,"AAAAAHtv8CY=")</f>
        <v>#VALUE!</v>
      </c>
      <c r="AN205" t="e">
        <f>AND(Housing!D53,"AAAAAHtv8Cc=")</f>
        <v>#VALUE!</v>
      </c>
      <c r="AO205" t="e">
        <f>AND(Housing!E53,"AAAAAHtv8Cg=")</f>
        <v>#VALUE!</v>
      </c>
      <c r="AP205" t="e">
        <f>AND(Housing!F53,"AAAAAHtv8Ck=")</f>
        <v>#VALUE!</v>
      </c>
      <c r="AQ205" t="e">
        <f>AND(Housing!G53,"AAAAAHtv8Co=")</f>
        <v>#VALUE!</v>
      </c>
      <c r="AR205" t="e">
        <f>AND(Housing!H53,"AAAAAHtv8Cs=")</f>
        <v>#VALUE!</v>
      </c>
      <c r="AS205" t="e">
        <f>AND(Housing!I53,"AAAAAHtv8Cw=")</f>
        <v>#VALUE!</v>
      </c>
      <c r="AT205" t="e">
        <f>AND(Housing!J53,"AAAAAHtv8C0=")</f>
        <v>#VALUE!</v>
      </c>
      <c r="AU205" t="e">
        <f>AND(Housing!K53,"AAAAAHtv8C4=")</f>
        <v>#VALUE!</v>
      </c>
      <c r="AV205" t="e">
        <f>AND(Housing!L53,"AAAAAHtv8C8=")</f>
        <v>#VALUE!</v>
      </c>
      <c r="AW205" t="e">
        <f>AND(Housing!M53,"AAAAAHtv8DA=")</f>
        <v>#VALUE!</v>
      </c>
      <c r="AX205">
        <f>IF(Housing!54:54,"AAAAAHtv8DE=",0)</f>
        <v>0</v>
      </c>
      <c r="AY205" t="e">
        <f>AND(Housing!#REF!,"AAAAAHtv8DI=")</f>
        <v>#REF!</v>
      </c>
      <c r="AZ205" t="e">
        <f>AND(Housing!A54,"AAAAAHtv8DM=")</f>
        <v>#VALUE!</v>
      </c>
      <c r="BA205" t="e">
        <f>AND(Housing!B54,"AAAAAHtv8DQ=")</f>
        <v>#VALUE!</v>
      </c>
      <c r="BB205" t="e">
        <f>AND(Housing!C54,"AAAAAHtv8DU=")</f>
        <v>#VALUE!</v>
      </c>
      <c r="BC205" t="e">
        <f>AND(Housing!D54,"AAAAAHtv8DY=")</f>
        <v>#VALUE!</v>
      </c>
      <c r="BD205" t="e">
        <f>AND(Housing!E54,"AAAAAHtv8Dc=")</f>
        <v>#VALUE!</v>
      </c>
      <c r="BE205" t="e">
        <f>AND(Housing!F54,"AAAAAHtv8Dg=")</f>
        <v>#VALUE!</v>
      </c>
      <c r="BF205" t="e">
        <f>AND(Housing!G54,"AAAAAHtv8Dk=")</f>
        <v>#VALUE!</v>
      </c>
      <c r="BG205" t="e">
        <f>AND(Housing!H54,"AAAAAHtv8Do=")</f>
        <v>#VALUE!</v>
      </c>
      <c r="BH205" t="e">
        <f>AND(Housing!I54,"AAAAAHtv8Ds=")</f>
        <v>#VALUE!</v>
      </c>
      <c r="BI205" t="e">
        <f>AND(Housing!J54,"AAAAAHtv8Dw=")</f>
        <v>#VALUE!</v>
      </c>
      <c r="BJ205" t="e">
        <f>AND(Housing!K54,"AAAAAHtv8D0=")</f>
        <v>#VALUE!</v>
      </c>
      <c r="BK205" t="e">
        <f>AND(Housing!L54,"AAAAAHtv8D4=")</f>
        <v>#VALUE!</v>
      </c>
      <c r="BL205" t="e">
        <f>AND(Housing!M54,"AAAAAHtv8D8=")</f>
        <v>#VALUE!</v>
      </c>
      <c r="BM205">
        <f>IF(Housing!55:55,"AAAAAHtv8EA=",0)</f>
        <v>0</v>
      </c>
      <c r="BN205" t="e">
        <f>AND(Housing!#REF!,"AAAAAHtv8EE=")</f>
        <v>#REF!</v>
      </c>
      <c r="BO205" t="e">
        <f>AND(Housing!A55,"AAAAAHtv8EI=")</f>
        <v>#VALUE!</v>
      </c>
      <c r="BP205" t="e">
        <f>AND(Housing!B55,"AAAAAHtv8EM=")</f>
        <v>#VALUE!</v>
      </c>
      <c r="BQ205" t="e">
        <f>AND(Housing!C55,"AAAAAHtv8EQ=")</f>
        <v>#VALUE!</v>
      </c>
      <c r="BR205" t="e">
        <f>AND(Housing!D55,"AAAAAHtv8EU=")</f>
        <v>#VALUE!</v>
      </c>
      <c r="BS205" t="e">
        <f>AND(Housing!E55,"AAAAAHtv8EY=")</f>
        <v>#VALUE!</v>
      </c>
      <c r="BT205" t="e">
        <f>AND(Housing!F55,"AAAAAHtv8Ec=")</f>
        <v>#VALUE!</v>
      </c>
      <c r="BU205" t="e">
        <f>AND(Housing!G55,"AAAAAHtv8Eg=")</f>
        <v>#VALUE!</v>
      </c>
      <c r="BV205" t="e">
        <f>AND(Housing!H55,"AAAAAHtv8Ek=")</f>
        <v>#VALUE!</v>
      </c>
      <c r="BW205" t="e">
        <f>AND(Housing!I55,"AAAAAHtv8Eo=")</f>
        <v>#VALUE!</v>
      </c>
      <c r="BX205" t="e">
        <f>AND(Housing!J55,"AAAAAHtv8Es=")</f>
        <v>#VALUE!</v>
      </c>
      <c r="BY205" t="e">
        <f>AND(Housing!K55,"AAAAAHtv8Ew=")</f>
        <v>#VALUE!</v>
      </c>
      <c r="BZ205" t="e">
        <f>AND(Housing!L55,"AAAAAHtv8E0=")</f>
        <v>#VALUE!</v>
      </c>
      <c r="CA205" t="e">
        <f>AND(Housing!M55,"AAAAAHtv8E4=")</f>
        <v>#VALUE!</v>
      </c>
      <c r="CB205">
        <f>IF(Housing!56:56,"AAAAAHtv8E8=",0)</f>
        <v>0</v>
      </c>
      <c r="CC205" t="e">
        <f>AND(Housing!#REF!,"AAAAAHtv8FA=")</f>
        <v>#REF!</v>
      </c>
      <c r="CD205" t="e">
        <f>AND(Housing!A56,"AAAAAHtv8FE=")</f>
        <v>#VALUE!</v>
      </c>
      <c r="CE205" t="e">
        <f>AND(Housing!B56,"AAAAAHtv8FI=")</f>
        <v>#VALUE!</v>
      </c>
      <c r="CF205" t="e">
        <f>AND(Housing!C56,"AAAAAHtv8FM=")</f>
        <v>#VALUE!</v>
      </c>
      <c r="CG205" t="e">
        <f>AND(Housing!D56,"AAAAAHtv8FQ=")</f>
        <v>#VALUE!</v>
      </c>
      <c r="CH205" t="e">
        <f>AND(Housing!E56,"AAAAAHtv8FU=")</f>
        <v>#VALUE!</v>
      </c>
      <c r="CI205" t="e">
        <f>AND(Housing!F56,"AAAAAHtv8FY=")</f>
        <v>#VALUE!</v>
      </c>
      <c r="CJ205" t="e">
        <f>AND(Housing!G56,"AAAAAHtv8Fc=")</f>
        <v>#VALUE!</v>
      </c>
      <c r="CK205" t="e">
        <f>AND(Housing!H56,"AAAAAHtv8Fg=")</f>
        <v>#VALUE!</v>
      </c>
      <c r="CL205" t="e">
        <f>AND(Housing!I56,"AAAAAHtv8Fk=")</f>
        <v>#VALUE!</v>
      </c>
      <c r="CM205" t="e">
        <f>AND(Housing!J56,"AAAAAHtv8Fo=")</f>
        <v>#VALUE!</v>
      </c>
      <c r="CN205" t="e">
        <f>AND(Housing!K56,"AAAAAHtv8Fs=")</f>
        <v>#VALUE!</v>
      </c>
      <c r="CO205" t="e">
        <f>AND(Housing!L56,"AAAAAHtv8Fw=")</f>
        <v>#VALUE!</v>
      </c>
      <c r="CP205" t="e">
        <f>AND(Housing!M56,"AAAAAHtv8F0=")</f>
        <v>#VALUE!</v>
      </c>
      <c r="CQ205">
        <f>IF(Housing!57:57,"AAAAAHtv8F4=",0)</f>
        <v>0</v>
      </c>
      <c r="CR205" t="e">
        <f>AND(Housing!#REF!,"AAAAAHtv8F8=")</f>
        <v>#REF!</v>
      </c>
      <c r="CS205" t="e">
        <f>AND(Housing!A57,"AAAAAHtv8GA=")</f>
        <v>#VALUE!</v>
      </c>
      <c r="CT205" t="e">
        <f>AND(Housing!B57,"AAAAAHtv8GE=")</f>
        <v>#VALUE!</v>
      </c>
      <c r="CU205" t="e">
        <f>AND(Housing!C57,"AAAAAHtv8GI=")</f>
        <v>#VALUE!</v>
      </c>
      <c r="CV205" t="e">
        <f>AND(Housing!D57,"AAAAAHtv8GM=")</f>
        <v>#VALUE!</v>
      </c>
      <c r="CW205" t="e">
        <f>AND(Housing!E57,"AAAAAHtv8GQ=")</f>
        <v>#VALUE!</v>
      </c>
      <c r="CX205" t="e">
        <f>AND(Housing!F57,"AAAAAHtv8GU=")</f>
        <v>#VALUE!</v>
      </c>
      <c r="CY205" t="e">
        <f>AND(Housing!G57,"AAAAAHtv8GY=")</f>
        <v>#VALUE!</v>
      </c>
      <c r="CZ205" t="e">
        <f>AND(Housing!H57,"AAAAAHtv8Gc=")</f>
        <v>#VALUE!</v>
      </c>
      <c r="DA205" t="e">
        <f>AND(Housing!I57,"AAAAAHtv8Gg=")</f>
        <v>#VALUE!</v>
      </c>
      <c r="DB205" t="e">
        <f>AND(Housing!J57,"AAAAAHtv8Gk=")</f>
        <v>#VALUE!</v>
      </c>
      <c r="DC205" t="e">
        <f>AND(Housing!K57,"AAAAAHtv8Go=")</f>
        <v>#VALUE!</v>
      </c>
      <c r="DD205" t="e">
        <f>AND(Housing!L57,"AAAAAHtv8Gs=")</f>
        <v>#VALUE!</v>
      </c>
      <c r="DE205" t="e">
        <f>AND(Housing!M57,"AAAAAHtv8Gw=")</f>
        <v>#VALUE!</v>
      </c>
      <c r="DF205">
        <f>IF(Housing!58:58,"AAAAAHtv8G0=",0)</f>
        <v>0</v>
      </c>
      <c r="DG205" t="e">
        <f>AND(Housing!#REF!,"AAAAAHtv8G4=")</f>
        <v>#REF!</v>
      </c>
      <c r="DH205" t="e">
        <f>AND(Housing!A58,"AAAAAHtv8G8=")</f>
        <v>#VALUE!</v>
      </c>
      <c r="DI205" t="e">
        <f>AND(Housing!B58,"AAAAAHtv8HA=")</f>
        <v>#VALUE!</v>
      </c>
      <c r="DJ205" t="e">
        <f>AND(Housing!C58,"AAAAAHtv8HE=")</f>
        <v>#VALUE!</v>
      </c>
      <c r="DK205" t="e">
        <f>AND(Housing!D58,"AAAAAHtv8HI=")</f>
        <v>#VALUE!</v>
      </c>
      <c r="DL205" t="e">
        <f>AND(Housing!E58,"AAAAAHtv8HM=")</f>
        <v>#VALUE!</v>
      </c>
      <c r="DM205" t="e">
        <f>AND(Housing!F58,"AAAAAHtv8HQ=")</f>
        <v>#VALUE!</v>
      </c>
      <c r="DN205" t="e">
        <f>AND(Housing!G58,"AAAAAHtv8HU=")</f>
        <v>#VALUE!</v>
      </c>
      <c r="DO205" t="e">
        <f>AND(Housing!H58,"AAAAAHtv8HY=")</f>
        <v>#VALUE!</v>
      </c>
      <c r="DP205" t="e">
        <f>AND(Housing!I58,"AAAAAHtv8Hc=")</f>
        <v>#VALUE!</v>
      </c>
      <c r="DQ205" t="e">
        <f>AND(Housing!J58,"AAAAAHtv8Hg=")</f>
        <v>#VALUE!</v>
      </c>
      <c r="DR205" t="e">
        <f>AND(Housing!K58,"AAAAAHtv8Hk=")</f>
        <v>#VALUE!</v>
      </c>
      <c r="DS205" t="e">
        <f>AND(Housing!L58,"AAAAAHtv8Ho=")</f>
        <v>#VALUE!</v>
      </c>
      <c r="DT205" t="e">
        <f>AND(Housing!M58,"AAAAAHtv8Hs=")</f>
        <v>#VALUE!</v>
      </c>
      <c r="DU205">
        <f>IF(Housing!59:59,"AAAAAHtv8Hw=",0)</f>
        <v>0</v>
      </c>
      <c r="DV205" t="e">
        <f>AND(Housing!#REF!,"AAAAAHtv8H0=")</f>
        <v>#REF!</v>
      </c>
      <c r="DW205" t="e">
        <f>AND(Housing!A59,"AAAAAHtv8H4=")</f>
        <v>#VALUE!</v>
      </c>
      <c r="DX205" t="e">
        <f>AND(Housing!B59,"AAAAAHtv8H8=")</f>
        <v>#VALUE!</v>
      </c>
      <c r="DY205" t="e">
        <f>AND(Housing!C59,"AAAAAHtv8IA=")</f>
        <v>#VALUE!</v>
      </c>
      <c r="DZ205" t="e">
        <f>AND(Housing!D59,"AAAAAHtv8IE=")</f>
        <v>#VALUE!</v>
      </c>
      <c r="EA205" t="e">
        <f>AND(Housing!E59,"AAAAAHtv8II=")</f>
        <v>#VALUE!</v>
      </c>
      <c r="EB205" t="e">
        <f>AND(Housing!F59,"AAAAAHtv8IM=")</f>
        <v>#VALUE!</v>
      </c>
      <c r="EC205" t="e">
        <f>AND(Housing!G59,"AAAAAHtv8IQ=")</f>
        <v>#VALUE!</v>
      </c>
      <c r="ED205" t="e">
        <f>AND(Housing!H59,"AAAAAHtv8IU=")</f>
        <v>#VALUE!</v>
      </c>
      <c r="EE205" t="e">
        <f>AND(Housing!I59,"AAAAAHtv8IY=")</f>
        <v>#VALUE!</v>
      </c>
      <c r="EF205" t="e">
        <f>AND(Housing!J59,"AAAAAHtv8Ic=")</f>
        <v>#VALUE!</v>
      </c>
      <c r="EG205" t="e">
        <f>AND(Housing!K59,"AAAAAHtv8Ig=")</f>
        <v>#VALUE!</v>
      </c>
      <c r="EH205" t="e">
        <f>AND(Housing!L59,"AAAAAHtv8Ik=")</f>
        <v>#VALUE!</v>
      </c>
      <c r="EI205" t="e">
        <f>AND(Housing!M59,"AAAAAHtv8Io=")</f>
        <v>#VALUE!</v>
      </c>
      <c r="EJ205">
        <f>IF(Housing!60:60,"AAAAAHtv8Is=",0)</f>
        <v>0</v>
      </c>
      <c r="EK205" t="e">
        <f>AND(Housing!#REF!,"AAAAAHtv8Iw=")</f>
        <v>#REF!</v>
      </c>
      <c r="EL205" t="e">
        <f>AND(Housing!A60,"AAAAAHtv8I0=")</f>
        <v>#VALUE!</v>
      </c>
      <c r="EM205" t="e">
        <f>AND(Housing!B60,"AAAAAHtv8I4=")</f>
        <v>#VALUE!</v>
      </c>
      <c r="EN205" t="e">
        <f>AND(Housing!C60,"AAAAAHtv8I8=")</f>
        <v>#VALUE!</v>
      </c>
      <c r="EO205" t="e">
        <f>AND(Housing!D60,"AAAAAHtv8JA=")</f>
        <v>#VALUE!</v>
      </c>
      <c r="EP205" t="e">
        <f>AND(Housing!E60,"AAAAAHtv8JE=")</f>
        <v>#VALUE!</v>
      </c>
      <c r="EQ205" t="e">
        <f>AND(Housing!F60,"AAAAAHtv8JI=")</f>
        <v>#VALUE!</v>
      </c>
      <c r="ER205" t="e">
        <f>AND(Housing!G60,"AAAAAHtv8JM=")</f>
        <v>#VALUE!</v>
      </c>
      <c r="ES205" t="e">
        <f>AND(Housing!H60,"AAAAAHtv8JQ=")</f>
        <v>#VALUE!</v>
      </c>
      <c r="ET205" t="e">
        <f>AND(Housing!I60,"AAAAAHtv8JU=")</f>
        <v>#VALUE!</v>
      </c>
      <c r="EU205" t="e">
        <f>AND(Housing!J60,"AAAAAHtv8JY=")</f>
        <v>#VALUE!</v>
      </c>
      <c r="EV205" t="e">
        <f>AND(Housing!K60,"AAAAAHtv8Jc=")</f>
        <v>#VALUE!</v>
      </c>
      <c r="EW205" t="e">
        <f>AND(Housing!L60,"AAAAAHtv8Jg=")</f>
        <v>#VALUE!</v>
      </c>
      <c r="EX205" t="e">
        <f>AND(Housing!M60,"AAAAAHtv8Jk=")</f>
        <v>#VALUE!</v>
      </c>
      <c r="EY205">
        <f>IF(Housing!61:61,"AAAAAHtv8Jo=",0)</f>
        <v>0</v>
      </c>
      <c r="EZ205" t="e">
        <f>AND(Housing!#REF!,"AAAAAHtv8Js=")</f>
        <v>#REF!</v>
      </c>
      <c r="FA205" t="e">
        <f>AND(Housing!A61,"AAAAAHtv8Jw=")</f>
        <v>#VALUE!</v>
      </c>
      <c r="FB205" t="e">
        <f>AND(Housing!B61,"AAAAAHtv8J0=")</f>
        <v>#VALUE!</v>
      </c>
      <c r="FC205" t="e">
        <f>AND(Housing!C61,"AAAAAHtv8J4=")</f>
        <v>#VALUE!</v>
      </c>
      <c r="FD205" t="e">
        <f>AND(Housing!D61,"AAAAAHtv8J8=")</f>
        <v>#VALUE!</v>
      </c>
      <c r="FE205" t="e">
        <f>AND(Housing!E61,"AAAAAHtv8KA=")</f>
        <v>#VALUE!</v>
      </c>
      <c r="FF205" t="e">
        <f>AND(Housing!F61,"AAAAAHtv8KE=")</f>
        <v>#VALUE!</v>
      </c>
      <c r="FG205" t="e">
        <f>AND(Housing!G61,"AAAAAHtv8KI=")</f>
        <v>#VALUE!</v>
      </c>
      <c r="FH205" t="e">
        <f>AND(Housing!H61,"AAAAAHtv8KM=")</f>
        <v>#VALUE!</v>
      </c>
      <c r="FI205" t="e">
        <f>AND(Housing!I61,"AAAAAHtv8KQ=")</f>
        <v>#VALUE!</v>
      </c>
      <c r="FJ205" t="e">
        <f>AND(Housing!J61,"AAAAAHtv8KU=")</f>
        <v>#VALUE!</v>
      </c>
      <c r="FK205" t="e">
        <f>AND(Housing!K61,"AAAAAHtv8KY=")</f>
        <v>#VALUE!</v>
      </c>
      <c r="FL205" t="e">
        <f>AND(Housing!L61,"AAAAAHtv8Kc=")</f>
        <v>#VALUE!</v>
      </c>
      <c r="FM205" t="e">
        <f>AND(Housing!M61,"AAAAAHtv8Kg=")</f>
        <v>#VALUE!</v>
      </c>
      <c r="FN205">
        <f>IF(Housing!62:62,"AAAAAHtv8Kk=",0)</f>
        <v>0</v>
      </c>
      <c r="FO205" t="e">
        <f>AND(Housing!#REF!,"AAAAAHtv8Ko=")</f>
        <v>#REF!</v>
      </c>
      <c r="FP205" t="e">
        <f>AND(Housing!A62,"AAAAAHtv8Ks=")</f>
        <v>#VALUE!</v>
      </c>
      <c r="FQ205" t="e">
        <f>AND(Housing!B62,"AAAAAHtv8Kw=")</f>
        <v>#VALUE!</v>
      </c>
      <c r="FR205" t="e">
        <f>AND(Housing!C62,"AAAAAHtv8K0=")</f>
        <v>#VALUE!</v>
      </c>
      <c r="FS205" t="e">
        <f>AND(Housing!D62,"AAAAAHtv8K4=")</f>
        <v>#VALUE!</v>
      </c>
      <c r="FT205" t="e">
        <f>AND(Housing!E62,"AAAAAHtv8K8=")</f>
        <v>#VALUE!</v>
      </c>
      <c r="FU205" t="e">
        <f>AND(Housing!F62,"AAAAAHtv8LA=")</f>
        <v>#VALUE!</v>
      </c>
      <c r="FV205" t="e">
        <f>AND(Housing!G62,"AAAAAHtv8LE=")</f>
        <v>#VALUE!</v>
      </c>
      <c r="FW205" t="e">
        <f>AND(Housing!H62,"AAAAAHtv8LI=")</f>
        <v>#VALUE!</v>
      </c>
      <c r="FX205" t="e">
        <f>AND(Housing!I62,"AAAAAHtv8LM=")</f>
        <v>#VALUE!</v>
      </c>
      <c r="FY205" t="e">
        <f>AND(Housing!J62,"AAAAAHtv8LQ=")</f>
        <v>#VALUE!</v>
      </c>
      <c r="FZ205" t="e">
        <f>AND(Housing!K62,"AAAAAHtv8LU=")</f>
        <v>#VALUE!</v>
      </c>
      <c r="GA205" t="e">
        <f>AND(Housing!L62,"AAAAAHtv8LY=")</f>
        <v>#VALUE!</v>
      </c>
      <c r="GB205" t="e">
        <f>AND(Housing!M62,"AAAAAHtv8Lc=")</f>
        <v>#VALUE!</v>
      </c>
      <c r="GC205">
        <f>IF(Housing!63:63,"AAAAAHtv8Lg=",0)</f>
        <v>0</v>
      </c>
      <c r="GD205" t="e">
        <f>AND(Housing!#REF!,"AAAAAHtv8Lk=")</f>
        <v>#REF!</v>
      </c>
      <c r="GE205" t="e">
        <f>AND(Housing!A63,"AAAAAHtv8Lo=")</f>
        <v>#VALUE!</v>
      </c>
      <c r="GF205" t="e">
        <f>AND(Housing!B63,"AAAAAHtv8Ls=")</f>
        <v>#VALUE!</v>
      </c>
      <c r="GG205" t="e">
        <f>AND(Housing!C63,"AAAAAHtv8Lw=")</f>
        <v>#VALUE!</v>
      </c>
      <c r="GH205" t="e">
        <f>AND(Housing!D63,"AAAAAHtv8L0=")</f>
        <v>#VALUE!</v>
      </c>
      <c r="GI205" t="e">
        <f>AND(Housing!E63,"AAAAAHtv8L4=")</f>
        <v>#VALUE!</v>
      </c>
      <c r="GJ205" t="e">
        <f>AND(Housing!F63,"AAAAAHtv8L8=")</f>
        <v>#VALUE!</v>
      </c>
      <c r="GK205" t="e">
        <f>AND(Housing!G63,"AAAAAHtv8MA=")</f>
        <v>#VALUE!</v>
      </c>
      <c r="GL205" t="e">
        <f>AND(Housing!H63,"AAAAAHtv8ME=")</f>
        <v>#VALUE!</v>
      </c>
      <c r="GM205" t="e">
        <f>AND(Housing!I63,"AAAAAHtv8MI=")</f>
        <v>#VALUE!</v>
      </c>
      <c r="GN205" t="e">
        <f>AND(Housing!J63,"AAAAAHtv8MM=")</f>
        <v>#VALUE!</v>
      </c>
      <c r="GO205" t="e">
        <f>AND(Housing!K63,"AAAAAHtv8MQ=")</f>
        <v>#VALUE!</v>
      </c>
      <c r="GP205" t="e">
        <f>AND(Housing!L63,"AAAAAHtv8MU=")</f>
        <v>#VALUE!</v>
      </c>
      <c r="GQ205" t="e">
        <f>AND(Housing!M63,"AAAAAHtv8MY=")</f>
        <v>#VALUE!</v>
      </c>
      <c r="GR205">
        <f>IF(Housing!64:64,"AAAAAHtv8Mc=",0)</f>
        <v>0</v>
      </c>
      <c r="GS205" t="e">
        <f>AND(Housing!#REF!,"AAAAAHtv8Mg=")</f>
        <v>#REF!</v>
      </c>
      <c r="GT205" t="e">
        <f>AND(Housing!A64,"AAAAAHtv8Mk=")</f>
        <v>#VALUE!</v>
      </c>
      <c r="GU205" t="e">
        <f>AND(Housing!B64,"AAAAAHtv8Mo=")</f>
        <v>#VALUE!</v>
      </c>
      <c r="GV205" t="e">
        <f>AND(Housing!C64,"AAAAAHtv8Ms=")</f>
        <v>#VALUE!</v>
      </c>
      <c r="GW205" t="e">
        <f>AND(Housing!D64,"AAAAAHtv8Mw=")</f>
        <v>#VALUE!</v>
      </c>
      <c r="GX205" t="e">
        <f>AND(Housing!E64,"AAAAAHtv8M0=")</f>
        <v>#VALUE!</v>
      </c>
      <c r="GY205" t="e">
        <f>AND(Housing!F64,"AAAAAHtv8M4=")</f>
        <v>#VALUE!</v>
      </c>
      <c r="GZ205" t="e">
        <f>AND(Housing!G64,"AAAAAHtv8M8=")</f>
        <v>#VALUE!</v>
      </c>
      <c r="HA205" t="e">
        <f>AND(Housing!H64,"AAAAAHtv8NA=")</f>
        <v>#VALUE!</v>
      </c>
      <c r="HB205" t="e">
        <f>AND(Housing!I64,"AAAAAHtv8NE=")</f>
        <v>#VALUE!</v>
      </c>
      <c r="HC205" t="e">
        <f>AND(Housing!J64,"AAAAAHtv8NI=")</f>
        <v>#VALUE!</v>
      </c>
      <c r="HD205" t="e">
        <f>AND(Housing!K64,"AAAAAHtv8NM=")</f>
        <v>#VALUE!</v>
      </c>
      <c r="HE205" t="e">
        <f>AND(Housing!L64,"AAAAAHtv8NQ=")</f>
        <v>#VALUE!</v>
      </c>
      <c r="HF205" t="e">
        <f>AND(Housing!M64,"AAAAAHtv8NU=")</f>
        <v>#VALUE!</v>
      </c>
      <c r="HG205">
        <f>IF(Housing!65:65,"AAAAAHtv8NY=",0)</f>
        <v>0</v>
      </c>
      <c r="HH205" t="e">
        <f>AND(Housing!#REF!,"AAAAAHtv8Nc=")</f>
        <v>#REF!</v>
      </c>
      <c r="HI205" t="e">
        <f>AND(Housing!A65,"AAAAAHtv8Ng=")</f>
        <v>#VALUE!</v>
      </c>
      <c r="HJ205" t="e">
        <f>AND(Housing!B65,"AAAAAHtv8Nk=")</f>
        <v>#VALUE!</v>
      </c>
      <c r="HK205" t="e">
        <f>AND(Housing!C65,"AAAAAHtv8No=")</f>
        <v>#VALUE!</v>
      </c>
      <c r="HL205" t="e">
        <f>AND(Housing!D65,"AAAAAHtv8Ns=")</f>
        <v>#VALUE!</v>
      </c>
      <c r="HM205" t="e">
        <f>AND(Housing!E65,"AAAAAHtv8Nw=")</f>
        <v>#VALUE!</v>
      </c>
      <c r="HN205" t="e">
        <f>AND(Housing!F65,"AAAAAHtv8N0=")</f>
        <v>#VALUE!</v>
      </c>
      <c r="HO205" t="e">
        <f>AND(Housing!G65,"AAAAAHtv8N4=")</f>
        <v>#VALUE!</v>
      </c>
      <c r="HP205" t="e">
        <f>AND(Housing!H65,"AAAAAHtv8N8=")</f>
        <v>#VALUE!</v>
      </c>
      <c r="HQ205" t="e">
        <f>AND(Housing!I65,"AAAAAHtv8OA=")</f>
        <v>#VALUE!</v>
      </c>
      <c r="HR205" t="e">
        <f>AND(Housing!J65,"AAAAAHtv8OE=")</f>
        <v>#VALUE!</v>
      </c>
      <c r="HS205" t="e">
        <f>AND(Housing!K65,"AAAAAHtv8OI=")</f>
        <v>#VALUE!</v>
      </c>
      <c r="HT205" t="e">
        <f>AND(Housing!L65,"AAAAAHtv8OM=")</f>
        <v>#VALUE!</v>
      </c>
      <c r="HU205" t="e">
        <f>AND(Housing!M65,"AAAAAHtv8OQ=")</f>
        <v>#VALUE!</v>
      </c>
      <c r="HV205">
        <f>IF(Housing!66:66,"AAAAAHtv8OU=",0)</f>
        <v>0</v>
      </c>
      <c r="HW205" t="e">
        <f>AND(Housing!#REF!,"AAAAAHtv8OY=")</f>
        <v>#REF!</v>
      </c>
      <c r="HX205" t="e">
        <f>AND(Housing!A66,"AAAAAHtv8Oc=")</f>
        <v>#VALUE!</v>
      </c>
      <c r="HY205" t="e">
        <f>AND(Housing!B66,"AAAAAHtv8Og=")</f>
        <v>#VALUE!</v>
      </c>
      <c r="HZ205" t="e">
        <f>AND(Housing!C66,"AAAAAHtv8Ok=")</f>
        <v>#VALUE!</v>
      </c>
      <c r="IA205" t="e">
        <f>AND(Housing!D66,"AAAAAHtv8Oo=")</f>
        <v>#VALUE!</v>
      </c>
      <c r="IB205" t="e">
        <f>AND(Housing!E66,"AAAAAHtv8Os=")</f>
        <v>#VALUE!</v>
      </c>
      <c r="IC205" t="e">
        <f>AND(Housing!F66,"AAAAAHtv8Ow=")</f>
        <v>#VALUE!</v>
      </c>
      <c r="ID205" t="e">
        <f>AND(Housing!G66,"AAAAAHtv8O0=")</f>
        <v>#VALUE!</v>
      </c>
      <c r="IE205" t="e">
        <f>AND(Housing!H66,"AAAAAHtv8O4=")</f>
        <v>#VALUE!</v>
      </c>
      <c r="IF205" t="e">
        <f>AND(Housing!I66,"AAAAAHtv8O8=")</f>
        <v>#VALUE!</v>
      </c>
      <c r="IG205" t="e">
        <f>AND(Housing!J66,"AAAAAHtv8PA=")</f>
        <v>#VALUE!</v>
      </c>
      <c r="IH205" t="e">
        <f>AND(Housing!K66,"AAAAAHtv8PE=")</f>
        <v>#VALUE!</v>
      </c>
      <c r="II205" t="e">
        <f>AND(Housing!L66,"AAAAAHtv8PI=")</f>
        <v>#VALUE!</v>
      </c>
      <c r="IJ205" t="e">
        <f>AND(Housing!M66,"AAAAAHtv8PM=")</f>
        <v>#VALUE!</v>
      </c>
      <c r="IK205">
        <f>IF(Housing!67:67,"AAAAAHtv8PQ=",0)</f>
        <v>0</v>
      </c>
      <c r="IL205" t="e">
        <f>AND(Housing!#REF!,"AAAAAHtv8PU=")</f>
        <v>#REF!</v>
      </c>
      <c r="IM205" t="e">
        <f>AND(Housing!A67,"AAAAAHtv8PY=")</f>
        <v>#VALUE!</v>
      </c>
      <c r="IN205" t="e">
        <f>AND(Housing!B67,"AAAAAHtv8Pc=")</f>
        <v>#VALUE!</v>
      </c>
      <c r="IO205" t="e">
        <f>AND(Housing!C67,"AAAAAHtv8Pg=")</f>
        <v>#VALUE!</v>
      </c>
      <c r="IP205" t="e">
        <f>AND(Housing!D67,"AAAAAHtv8Pk=")</f>
        <v>#VALUE!</v>
      </c>
      <c r="IQ205" t="e">
        <f>AND(Housing!E67,"AAAAAHtv8Po=")</f>
        <v>#VALUE!</v>
      </c>
      <c r="IR205" t="e">
        <f>AND(Housing!F67,"AAAAAHtv8Ps=")</f>
        <v>#VALUE!</v>
      </c>
      <c r="IS205" t="e">
        <f>AND(Housing!G67,"AAAAAHtv8Pw=")</f>
        <v>#VALUE!</v>
      </c>
      <c r="IT205" t="e">
        <f>AND(Housing!H67,"AAAAAHtv8P0=")</f>
        <v>#VALUE!</v>
      </c>
      <c r="IU205" t="e">
        <f>AND(Housing!I67,"AAAAAHtv8P4=")</f>
        <v>#VALUE!</v>
      </c>
      <c r="IV205" t="e">
        <f>AND(Housing!J67,"AAAAAHtv8P8=")</f>
        <v>#VALUE!</v>
      </c>
    </row>
    <row r="206" spans="1:256" x14ac:dyDescent="0.2">
      <c r="A206" t="e">
        <f>AND(Housing!K67,"AAAAACa99AA=")</f>
        <v>#VALUE!</v>
      </c>
      <c r="B206" t="e">
        <f>AND(Housing!L67,"AAAAACa99AE=")</f>
        <v>#VALUE!</v>
      </c>
      <c r="C206" t="e">
        <f>AND(Housing!M67,"AAAAACa99AI=")</f>
        <v>#VALUE!</v>
      </c>
      <c r="D206">
        <f>IF(Housing!68:68,"AAAAACa99AM=",0)</f>
        <v>0</v>
      </c>
      <c r="E206" t="e">
        <f>AND(Housing!#REF!,"AAAAACa99AQ=")</f>
        <v>#REF!</v>
      </c>
      <c r="F206" t="e">
        <f>AND(Housing!A68,"AAAAACa99AU=")</f>
        <v>#VALUE!</v>
      </c>
      <c r="G206" t="e">
        <f>AND(Housing!B68,"AAAAACa99AY=")</f>
        <v>#VALUE!</v>
      </c>
      <c r="H206" t="e">
        <f>AND(Housing!C68,"AAAAACa99Ac=")</f>
        <v>#VALUE!</v>
      </c>
      <c r="I206" t="e">
        <f>AND(Housing!D68,"AAAAACa99Ag=")</f>
        <v>#VALUE!</v>
      </c>
      <c r="J206" t="e">
        <f>AND(Housing!E68,"AAAAACa99Ak=")</f>
        <v>#VALUE!</v>
      </c>
      <c r="K206" t="e">
        <f>AND(Housing!F68,"AAAAACa99Ao=")</f>
        <v>#VALUE!</v>
      </c>
      <c r="L206" t="e">
        <f>AND(Housing!G68,"AAAAACa99As=")</f>
        <v>#VALUE!</v>
      </c>
      <c r="M206" t="e">
        <f>AND(Housing!H68,"AAAAACa99Aw=")</f>
        <v>#VALUE!</v>
      </c>
      <c r="N206" t="e">
        <f>AND(Housing!I68,"AAAAACa99A0=")</f>
        <v>#VALUE!</v>
      </c>
      <c r="O206" t="e">
        <f>AND(Housing!J68,"AAAAACa99A4=")</f>
        <v>#VALUE!</v>
      </c>
      <c r="P206" t="e">
        <f>AND(Housing!K68,"AAAAACa99A8=")</f>
        <v>#VALUE!</v>
      </c>
      <c r="Q206" t="e">
        <f>AND(Housing!L68,"AAAAACa99BA=")</f>
        <v>#VALUE!</v>
      </c>
      <c r="R206" t="e">
        <f>AND(Housing!M68,"AAAAACa99BE=")</f>
        <v>#VALUE!</v>
      </c>
      <c r="S206">
        <f>IF(Housing!69:69,"AAAAACa99BI=",0)</f>
        <v>0</v>
      </c>
      <c r="T206" t="e">
        <f>AND(Housing!#REF!,"AAAAACa99BM=")</f>
        <v>#REF!</v>
      </c>
      <c r="U206" t="e">
        <f>AND(Housing!A69,"AAAAACa99BQ=")</f>
        <v>#VALUE!</v>
      </c>
      <c r="V206" t="e">
        <f>AND(Housing!B69,"AAAAACa99BU=")</f>
        <v>#VALUE!</v>
      </c>
      <c r="W206" t="e">
        <f>AND(Housing!C69,"AAAAACa99BY=")</f>
        <v>#VALUE!</v>
      </c>
      <c r="X206" t="e">
        <f>AND(Housing!D69,"AAAAACa99Bc=")</f>
        <v>#VALUE!</v>
      </c>
      <c r="Y206" t="e">
        <f>AND(Housing!E69,"AAAAACa99Bg=")</f>
        <v>#VALUE!</v>
      </c>
      <c r="Z206" t="e">
        <f>AND(Housing!F69,"AAAAACa99Bk=")</f>
        <v>#VALUE!</v>
      </c>
      <c r="AA206" t="e">
        <f>AND(Housing!G69,"AAAAACa99Bo=")</f>
        <v>#VALUE!</v>
      </c>
      <c r="AB206" t="e">
        <f>AND(Housing!H69,"AAAAACa99Bs=")</f>
        <v>#VALUE!</v>
      </c>
      <c r="AC206" t="e">
        <f>AND(Housing!I69,"AAAAACa99Bw=")</f>
        <v>#VALUE!</v>
      </c>
      <c r="AD206" t="e">
        <f>AND(Housing!J69,"AAAAACa99B0=")</f>
        <v>#VALUE!</v>
      </c>
      <c r="AE206" t="e">
        <f>AND(Housing!K69,"AAAAACa99B4=")</f>
        <v>#VALUE!</v>
      </c>
      <c r="AF206" t="e">
        <f>AND(Housing!L69,"AAAAACa99B8=")</f>
        <v>#VALUE!</v>
      </c>
      <c r="AG206" t="e">
        <f>AND(Housing!M69,"AAAAACa99CA=")</f>
        <v>#VALUE!</v>
      </c>
      <c r="AH206">
        <f>IF(Housing!70:70,"AAAAACa99CE=",0)</f>
        <v>0</v>
      </c>
      <c r="AI206" t="e">
        <f>AND(Housing!#REF!,"AAAAACa99CI=")</f>
        <v>#REF!</v>
      </c>
      <c r="AJ206" t="e">
        <f>AND(Housing!A70,"AAAAACa99CM=")</f>
        <v>#VALUE!</v>
      </c>
      <c r="AK206" t="e">
        <f>AND(Housing!B70,"AAAAACa99CQ=")</f>
        <v>#VALUE!</v>
      </c>
      <c r="AL206" t="e">
        <f>AND(Housing!C70,"AAAAACa99CU=")</f>
        <v>#VALUE!</v>
      </c>
      <c r="AM206" t="e">
        <f>AND(Housing!D70,"AAAAACa99CY=")</f>
        <v>#VALUE!</v>
      </c>
      <c r="AN206" t="e">
        <f>AND(Housing!E70,"AAAAACa99Cc=")</f>
        <v>#VALUE!</v>
      </c>
      <c r="AO206" t="e">
        <f>AND(Housing!F70,"AAAAACa99Cg=")</f>
        <v>#VALUE!</v>
      </c>
      <c r="AP206" t="e">
        <f>AND(Housing!G70,"AAAAACa99Ck=")</f>
        <v>#VALUE!</v>
      </c>
      <c r="AQ206" t="e">
        <f>AND(Housing!H70,"AAAAACa99Co=")</f>
        <v>#VALUE!</v>
      </c>
      <c r="AR206" t="e">
        <f>AND(Housing!I70,"AAAAACa99Cs=")</f>
        <v>#VALUE!</v>
      </c>
      <c r="AS206" t="e">
        <f>AND(Housing!J70,"AAAAACa99Cw=")</f>
        <v>#VALUE!</v>
      </c>
      <c r="AT206" t="e">
        <f>AND(Housing!K70,"AAAAACa99C0=")</f>
        <v>#VALUE!</v>
      </c>
      <c r="AU206" t="e">
        <f>AND(Housing!L70,"AAAAACa99C4=")</f>
        <v>#VALUE!</v>
      </c>
      <c r="AV206" t="e">
        <f>AND(Housing!M70,"AAAAACa99C8=")</f>
        <v>#VALUE!</v>
      </c>
      <c r="AW206">
        <f>IF(Housing!71:71,"AAAAACa99DA=",0)</f>
        <v>0</v>
      </c>
      <c r="AX206" t="e">
        <f>AND(Housing!#REF!,"AAAAACa99DE=")</f>
        <v>#REF!</v>
      </c>
      <c r="AY206" t="e">
        <f>AND(Housing!A71,"AAAAACa99DI=")</f>
        <v>#VALUE!</v>
      </c>
      <c r="AZ206" t="e">
        <f>AND(Housing!B71,"AAAAACa99DM=")</f>
        <v>#VALUE!</v>
      </c>
      <c r="BA206" t="e">
        <f>AND(Housing!C71,"AAAAACa99DQ=")</f>
        <v>#VALUE!</v>
      </c>
      <c r="BB206" t="e">
        <f>AND(Housing!D71,"AAAAACa99DU=")</f>
        <v>#VALUE!</v>
      </c>
      <c r="BC206" t="e">
        <f>AND(Housing!E71,"AAAAACa99DY=")</f>
        <v>#VALUE!</v>
      </c>
      <c r="BD206" t="e">
        <f>AND(Housing!F71,"AAAAACa99Dc=")</f>
        <v>#VALUE!</v>
      </c>
      <c r="BE206" t="e">
        <f>AND(Housing!G71,"AAAAACa99Dg=")</f>
        <v>#VALUE!</v>
      </c>
      <c r="BF206" t="e">
        <f>AND(Housing!H71,"AAAAACa99Dk=")</f>
        <v>#VALUE!</v>
      </c>
      <c r="BG206" t="e">
        <f>AND(Housing!I71,"AAAAACa99Do=")</f>
        <v>#VALUE!</v>
      </c>
      <c r="BH206" t="e">
        <f>AND(Housing!J71,"AAAAACa99Ds=")</f>
        <v>#VALUE!</v>
      </c>
      <c r="BI206" t="e">
        <f>AND(Housing!K71,"AAAAACa99Dw=")</f>
        <v>#VALUE!</v>
      </c>
      <c r="BJ206" t="e">
        <f>AND(Housing!L71,"AAAAACa99D0=")</f>
        <v>#VALUE!</v>
      </c>
      <c r="BK206" t="e">
        <f>AND(Housing!M71,"AAAAACa99D4=")</f>
        <v>#VALUE!</v>
      </c>
      <c r="BL206">
        <f>IF(Housing!72:72,"AAAAACa99D8=",0)</f>
        <v>0</v>
      </c>
      <c r="BM206" t="e">
        <f>AND(Housing!#REF!,"AAAAACa99EA=")</f>
        <v>#REF!</v>
      </c>
      <c r="BN206" t="e">
        <f>AND(Housing!A72,"AAAAACa99EE=")</f>
        <v>#VALUE!</v>
      </c>
      <c r="BO206" t="e">
        <f>AND(Housing!B72,"AAAAACa99EI=")</f>
        <v>#VALUE!</v>
      </c>
      <c r="BP206" t="e">
        <f>AND(Housing!C72,"AAAAACa99EM=")</f>
        <v>#VALUE!</v>
      </c>
      <c r="BQ206" t="e">
        <f>AND(Housing!D72,"AAAAACa99EQ=")</f>
        <v>#VALUE!</v>
      </c>
      <c r="BR206" t="e">
        <f>AND(Housing!E72,"AAAAACa99EU=")</f>
        <v>#VALUE!</v>
      </c>
      <c r="BS206" t="e">
        <f>AND(Housing!F72,"AAAAACa99EY=")</f>
        <v>#VALUE!</v>
      </c>
      <c r="BT206" t="e">
        <f>AND(Housing!G72,"AAAAACa99Ec=")</f>
        <v>#VALUE!</v>
      </c>
      <c r="BU206" t="e">
        <f>AND(Housing!H72,"AAAAACa99Eg=")</f>
        <v>#VALUE!</v>
      </c>
      <c r="BV206" t="e">
        <f>AND(Housing!I72,"AAAAACa99Ek=")</f>
        <v>#VALUE!</v>
      </c>
      <c r="BW206" t="e">
        <f>AND(Housing!J72,"AAAAACa99Eo=")</f>
        <v>#VALUE!</v>
      </c>
      <c r="BX206" t="e">
        <f>AND(Housing!K72,"AAAAACa99Es=")</f>
        <v>#VALUE!</v>
      </c>
      <c r="BY206" t="e">
        <f>AND(Housing!L72,"AAAAACa99Ew=")</f>
        <v>#VALUE!</v>
      </c>
      <c r="BZ206" t="e">
        <f>AND(Housing!M72,"AAAAACa99E0=")</f>
        <v>#VALUE!</v>
      </c>
      <c r="CA206">
        <f>IF(Housing!73:73,"AAAAACa99E4=",0)</f>
        <v>0</v>
      </c>
      <c r="CB206" t="e">
        <f>AND(Housing!#REF!,"AAAAACa99E8=")</f>
        <v>#REF!</v>
      </c>
      <c r="CC206" t="e">
        <f>AND(Housing!A73,"AAAAACa99FA=")</f>
        <v>#VALUE!</v>
      </c>
      <c r="CD206" t="e">
        <f>AND(Housing!B73,"AAAAACa99FE=")</f>
        <v>#VALUE!</v>
      </c>
      <c r="CE206" t="e">
        <f>AND(Housing!C73,"AAAAACa99FI=")</f>
        <v>#VALUE!</v>
      </c>
      <c r="CF206" t="e">
        <f>AND(Housing!D73,"AAAAACa99FM=")</f>
        <v>#VALUE!</v>
      </c>
      <c r="CG206" t="e">
        <f>AND(Housing!E73,"AAAAACa99FQ=")</f>
        <v>#VALUE!</v>
      </c>
      <c r="CH206" t="e">
        <f>AND(Housing!F73,"AAAAACa99FU=")</f>
        <v>#VALUE!</v>
      </c>
      <c r="CI206" t="e">
        <f>AND(Housing!G73,"AAAAACa99FY=")</f>
        <v>#VALUE!</v>
      </c>
      <c r="CJ206" t="e">
        <f>AND(Housing!H73,"AAAAACa99Fc=")</f>
        <v>#VALUE!</v>
      </c>
      <c r="CK206" t="e">
        <f>AND(Housing!I73,"AAAAACa99Fg=")</f>
        <v>#VALUE!</v>
      </c>
      <c r="CL206" t="e">
        <f>AND(Housing!J73,"AAAAACa99Fk=")</f>
        <v>#VALUE!</v>
      </c>
      <c r="CM206" t="e">
        <f>AND(Housing!K73,"AAAAACa99Fo=")</f>
        <v>#VALUE!</v>
      </c>
      <c r="CN206" t="e">
        <f>AND(Housing!L73,"AAAAACa99Fs=")</f>
        <v>#VALUE!</v>
      </c>
      <c r="CO206" t="e">
        <f>AND(Housing!M73,"AAAAACa99Fw=")</f>
        <v>#VALUE!</v>
      </c>
      <c r="CP206">
        <f>IF(Housing!74:74,"AAAAACa99F0=",0)</f>
        <v>0</v>
      </c>
      <c r="CQ206" t="e">
        <f>AND(Housing!#REF!,"AAAAACa99F4=")</f>
        <v>#REF!</v>
      </c>
      <c r="CR206" t="e">
        <f>AND(Housing!A74,"AAAAACa99F8=")</f>
        <v>#VALUE!</v>
      </c>
      <c r="CS206" t="e">
        <f>AND(Housing!B74,"AAAAACa99GA=")</f>
        <v>#VALUE!</v>
      </c>
      <c r="CT206" t="e">
        <f>AND(Housing!C74,"AAAAACa99GE=")</f>
        <v>#VALUE!</v>
      </c>
      <c r="CU206" t="e">
        <f>AND(Housing!D74,"AAAAACa99GI=")</f>
        <v>#VALUE!</v>
      </c>
      <c r="CV206" t="e">
        <f>AND(Housing!E74,"AAAAACa99GM=")</f>
        <v>#VALUE!</v>
      </c>
      <c r="CW206" t="e">
        <f>AND(Housing!F74,"AAAAACa99GQ=")</f>
        <v>#VALUE!</v>
      </c>
      <c r="CX206" t="e">
        <f>AND(Housing!G74,"AAAAACa99GU=")</f>
        <v>#VALUE!</v>
      </c>
      <c r="CY206" t="e">
        <f>AND(Housing!H74,"AAAAACa99GY=")</f>
        <v>#VALUE!</v>
      </c>
      <c r="CZ206" t="e">
        <f>AND(Housing!I74,"AAAAACa99Gc=")</f>
        <v>#VALUE!</v>
      </c>
      <c r="DA206" t="e">
        <f>AND(Housing!J74,"AAAAACa99Gg=")</f>
        <v>#VALUE!</v>
      </c>
      <c r="DB206" t="e">
        <f>AND(Housing!K74,"AAAAACa99Gk=")</f>
        <v>#VALUE!</v>
      </c>
      <c r="DC206" t="e">
        <f>AND(Housing!L74,"AAAAACa99Go=")</f>
        <v>#VALUE!</v>
      </c>
      <c r="DD206" t="e">
        <f>AND(Housing!M74,"AAAAACa99Gs=")</f>
        <v>#VALUE!</v>
      </c>
      <c r="DE206">
        <f>IF(Housing!75:75,"AAAAACa99Gw=",0)</f>
        <v>0</v>
      </c>
      <c r="DF206" t="e">
        <f>AND(Housing!#REF!,"AAAAACa99G0=")</f>
        <v>#REF!</v>
      </c>
      <c r="DG206" t="e">
        <f>AND(Housing!A75,"AAAAACa99G4=")</f>
        <v>#VALUE!</v>
      </c>
      <c r="DH206" t="e">
        <f>IF(Housing!#REF!,"AAAAACa99G8=",0)</f>
        <v>#REF!</v>
      </c>
      <c r="DI206">
        <f>IF(Housing!A:A,"AAAAACa99HA=",0)</f>
        <v>0</v>
      </c>
      <c r="DJ206">
        <f>IF(Housing!B:B,"AAAAACa99HE=",0)</f>
        <v>0</v>
      </c>
      <c r="DK206">
        <f>IF(Housing!C:C,"AAAAACa99HI=",0)</f>
        <v>0</v>
      </c>
      <c r="DL206">
        <f>IF(Housing!D:D,"AAAAACa99HM=",0)</f>
        <v>0</v>
      </c>
      <c r="DM206">
        <f>IF(Housing!E:E,"AAAAACa99HQ=",0)</f>
        <v>0</v>
      </c>
      <c r="DN206">
        <f>IF(Housing!F:F,"AAAAACa99HU=",0)</f>
        <v>0</v>
      </c>
      <c r="DO206">
        <f>IF(Housing!G:G,"AAAAACa99HY=",0)</f>
        <v>0</v>
      </c>
      <c r="DP206">
        <f>IF(Housing!H:H,"AAAAACa99Hc=",0)</f>
        <v>0</v>
      </c>
      <c r="DQ206">
        <f>IF(Housing!I:I,"AAAAACa99Hg=",0)</f>
        <v>0</v>
      </c>
      <c r="DR206">
        <f>IF(Housing!J:J,"AAAAACa99Hk=",0)</f>
        <v>0</v>
      </c>
      <c r="DS206">
        <f>IF(Housing!K:K,"AAAAACa99Ho=",0)</f>
        <v>0</v>
      </c>
      <c r="DT206">
        <f>IF(Housing!L:L,"AAAAACa99Hs=",0)</f>
        <v>0</v>
      </c>
      <c r="DU206">
        <f>IF(Housing!M:M,"AAAAACa99Hw=",0)</f>
        <v>0</v>
      </c>
      <c r="DV206">
        <f>IF(Confirmations!1:1,"AAAAACa99H0=",0)</f>
        <v>0</v>
      </c>
      <c r="DW206" t="e">
        <f>AND(Confirmations!#REF!,"AAAAACa99H4=")</f>
        <v>#REF!</v>
      </c>
      <c r="DX206" t="e">
        <f>AND(Confirmations!A1,"AAAAACa99H8=")</f>
        <v>#VALUE!</v>
      </c>
      <c r="DY206" t="e">
        <f>AND(Confirmations!C1,"AAAAACa99IA=")</f>
        <v>#VALUE!</v>
      </c>
      <c r="DZ206" t="e">
        <f>AND(Confirmations!D1,"AAAAACa99IE=")</f>
        <v>#VALUE!</v>
      </c>
      <c r="EA206" t="e">
        <f>AND(Confirmations!E1,"AAAAACa99II=")</f>
        <v>#VALUE!</v>
      </c>
      <c r="EB206" t="e">
        <f>AND(Confirmations!F1,"AAAAACa99IM=")</f>
        <v>#VALUE!</v>
      </c>
      <c r="EC206" t="e">
        <f>AND(Confirmations!G1,"AAAAACa99IQ=")</f>
        <v>#VALUE!</v>
      </c>
      <c r="ED206" t="e">
        <f>AND(Confirmations!H1,"AAAAACa99IU=")</f>
        <v>#VALUE!</v>
      </c>
      <c r="EE206" t="e">
        <f>AND(Confirmations!I1,"AAAAACa99IY=")</f>
        <v>#VALUE!</v>
      </c>
      <c r="EF206" t="e">
        <f>AND(Confirmations!#REF!,"AAAAACa99Ic=")</f>
        <v>#REF!</v>
      </c>
      <c r="EG206" t="e">
        <f>AND(Confirmations!#REF!,"AAAAACa99Ig=")</f>
        <v>#REF!</v>
      </c>
      <c r="EH206" t="e">
        <f>AND(Confirmations!#REF!,"AAAAACa99Ik=")</f>
        <v>#REF!</v>
      </c>
      <c r="EI206" t="e">
        <f>AND(Confirmations!#REF!,"AAAAACa99Io=")</f>
        <v>#REF!</v>
      </c>
      <c r="EJ206" t="e">
        <f>AND(Confirmations!J1,"AAAAACa99Is=")</f>
        <v>#VALUE!</v>
      </c>
      <c r="EK206" t="e">
        <f>AND(Confirmations!K1,"AAAAACa99Iw=")</f>
        <v>#VALUE!</v>
      </c>
      <c r="EL206" t="e">
        <f>AND(Confirmations!L1,"AAAAACa99I0=")</f>
        <v>#VALUE!</v>
      </c>
      <c r="EM206" t="e">
        <f>AND(Confirmations!M1,"AAAAACa99I4=")</f>
        <v>#VALUE!</v>
      </c>
      <c r="EN206">
        <f>IF(Confirmations!2:2,"AAAAACa99I8=",0)</f>
        <v>0</v>
      </c>
      <c r="EO206" t="e">
        <f>AND(Confirmations!A2,"AAAAACa99JA=")</f>
        <v>#VALUE!</v>
      </c>
      <c r="EP206" t="e">
        <f>AND(Confirmations!B2,"AAAAACa99JE=")</f>
        <v>#VALUE!</v>
      </c>
      <c r="EQ206" t="e">
        <f>AND(Confirmations!C2,"AAAAACa99JI=")</f>
        <v>#VALUE!</v>
      </c>
      <c r="ER206" t="e">
        <f>AND(Confirmations!D2,"AAAAACa99JM=")</f>
        <v>#VALUE!</v>
      </c>
      <c r="ES206" t="e">
        <f>AND(Confirmations!E2,"AAAAACa99JQ=")</f>
        <v>#VALUE!</v>
      </c>
      <c r="ET206" t="e">
        <f>AND(Confirmations!F2,"AAAAACa99JU=")</f>
        <v>#VALUE!</v>
      </c>
      <c r="EU206" t="e">
        <f>AND(Confirmations!G2,"AAAAACa99JY=")</f>
        <v>#VALUE!</v>
      </c>
      <c r="EV206" t="e">
        <f>AND(Confirmations!H2,"AAAAACa99Jc=")</f>
        <v>#VALUE!</v>
      </c>
      <c r="EW206" t="e">
        <f>AND(Confirmations!I2,"AAAAACa99Jg=")</f>
        <v>#VALUE!</v>
      </c>
      <c r="EX206" t="e">
        <f>AND(Confirmations!#REF!,"AAAAACa99Jk=")</f>
        <v>#REF!</v>
      </c>
      <c r="EY206" t="e">
        <f>AND(Confirmations!#REF!,"AAAAACa99Jo=")</f>
        <v>#REF!</v>
      </c>
      <c r="EZ206" t="e">
        <f>AND(Confirmations!#REF!,"AAAAACa99Js=")</f>
        <v>#REF!</v>
      </c>
      <c r="FA206" t="e">
        <f>AND(Confirmations!#REF!,"AAAAACa99Jw=")</f>
        <v>#REF!</v>
      </c>
      <c r="FB206" t="e">
        <f>AND(Confirmations!J2,"AAAAACa99J0=")</f>
        <v>#VALUE!</v>
      </c>
      <c r="FC206" t="e">
        <f>AND(Confirmations!K2,"AAAAACa99J4=")</f>
        <v>#VALUE!</v>
      </c>
      <c r="FD206" t="e">
        <f>AND(Confirmations!L2,"AAAAACa99J8=")</f>
        <v>#VALUE!</v>
      </c>
      <c r="FE206" t="e">
        <f>AND(Confirmations!M2,"AAAAACa99KA=")</f>
        <v>#VALUE!</v>
      </c>
      <c r="FF206">
        <f>IF(Confirmations!3:3,"AAAAACa99KE=",0)</f>
        <v>0</v>
      </c>
      <c r="FG206" t="e">
        <f>AND(Confirmations!A3,"AAAAACa99KI=")</f>
        <v>#VALUE!</v>
      </c>
      <c r="FH206" t="e">
        <f>AND(Confirmations!B3,"AAAAACa99KM=")</f>
        <v>#VALUE!</v>
      </c>
      <c r="FI206" t="e">
        <f>AND(Confirmations!C3,"AAAAACa99KQ=")</f>
        <v>#VALUE!</v>
      </c>
      <c r="FJ206" t="e">
        <f>AND(Confirmations!D3,"AAAAACa99KU=")</f>
        <v>#VALUE!</v>
      </c>
      <c r="FK206" t="e">
        <f>AND(Confirmations!E3,"AAAAACa99KY=")</f>
        <v>#VALUE!</v>
      </c>
      <c r="FL206" t="e">
        <f>AND(Confirmations!F3,"AAAAACa99Kc=")</f>
        <v>#VALUE!</v>
      </c>
      <c r="FM206" t="e">
        <f>AND(Confirmations!G3,"AAAAACa99Kg=")</f>
        <v>#VALUE!</v>
      </c>
      <c r="FN206" t="e">
        <f>AND(Confirmations!H3,"AAAAACa99Kk=")</f>
        <v>#VALUE!</v>
      </c>
      <c r="FO206" t="e">
        <f>AND(Confirmations!I3,"AAAAACa99Ko=")</f>
        <v>#VALUE!</v>
      </c>
      <c r="FP206" t="e">
        <f>AND(Confirmations!#REF!,"AAAAACa99Ks=")</f>
        <v>#REF!</v>
      </c>
      <c r="FQ206" t="e">
        <f>AND(Confirmations!#REF!,"AAAAACa99Kw=")</f>
        <v>#REF!</v>
      </c>
      <c r="FR206" t="e">
        <f>AND(Confirmations!#REF!,"AAAAACa99K0=")</f>
        <v>#REF!</v>
      </c>
      <c r="FS206" t="e">
        <f>AND(Confirmations!#REF!,"AAAAACa99K4=")</f>
        <v>#REF!</v>
      </c>
      <c r="FT206" t="e">
        <f>AND(Confirmations!J3,"AAAAACa99K8=")</f>
        <v>#VALUE!</v>
      </c>
      <c r="FU206" t="e">
        <f>AND(Confirmations!K3,"AAAAACa99LA=")</f>
        <v>#VALUE!</v>
      </c>
      <c r="FV206" t="e">
        <f>AND(Confirmations!L3,"AAAAACa99LE=")</f>
        <v>#VALUE!</v>
      </c>
      <c r="FW206" t="e">
        <f>AND(Confirmations!M3,"AAAAACa99LI=")</f>
        <v>#VALUE!</v>
      </c>
      <c r="FX206">
        <f>IF(Confirmations!4:4,"AAAAACa99LM=",0)</f>
        <v>0</v>
      </c>
      <c r="FY206" t="e">
        <f>AND(Confirmations!A4,"AAAAACa99LQ=")</f>
        <v>#VALUE!</v>
      </c>
      <c r="FZ206" t="e">
        <f>AND(Confirmations!B4,"AAAAACa99LU=")</f>
        <v>#VALUE!</v>
      </c>
      <c r="GA206" t="e">
        <f>AND(Confirmations!C4,"AAAAACa99LY=")</f>
        <v>#VALUE!</v>
      </c>
      <c r="GB206" t="e">
        <f>AND(Confirmations!D4,"AAAAACa99Lc=")</f>
        <v>#VALUE!</v>
      </c>
      <c r="GC206" t="e">
        <f>AND(Confirmations!E4,"AAAAACa99Lg=")</f>
        <v>#VALUE!</v>
      </c>
      <c r="GD206" t="e">
        <f>AND(Confirmations!F4,"AAAAACa99Lk=")</f>
        <v>#VALUE!</v>
      </c>
      <c r="GE206" t="e">
        <f>AND(Confirmations!G4,"AAAAACa99Lo=")</f>
        <v>#VALUE!</v>
      </c>
      <c r="GF206" t="e">
        <f>AND(Confirmations!H4,"AAAAACa99Ls=")</f>
        <v>#VALUE!</v>
      </c>
      <c r="GG206" t="e">
        <f>AND(Confirmations!I4,"AAAAACa99Lw=")</f>
        <v>#VALUE!</v>
      </c>
      <c r="GH206" t="e">
        <f>AND(Confirmations!#REF!,"AAAAACa99L0=")</f>
        <v>#REF!</v>
      </c>
      <c r="GI206" t="e">
        <f>AND(Confirmations!#REF!,"AAAAACa99L4=")</f>
        <v>#REF!</v>
      </c>
      <c r="GJ206" t="e">
        <f>AND(Confirmations!#REF!,"AAAAACa99L8=")</f>
        <v>#REF!</v>
      </c>
      <c r="GK206" t="e">
        <f>AND(Confirmations!#REF!,"AAAAACa99MA=")</f>
        <v>#REF!</v>
      </c>
      <c r="GL206" t="e">
        <f>AND(Confirmations!J4,"AAAAACa99ME=")</f>
        <v>#VALUE!</v>
      </c>
      <c r="GM206" t="e">
        <f>AND(Confirmations!K4,"AAAAACa99MI=")</f>
        <v>#VALUE!</v>
      </c>
      <c r="GN206" t="e">
        <f>AND(Confirmations!L4,"AAAAACa99MM=")</f>
        <v>#VALUE!</v>
      </c>
      <c r="GO206" t="e">
        <f>AND(Confirmations!M4,"AAAAACa99MQ=")</f>
        <v>#VALUE!</v>
      </c>
      <c r="GP206">
        <f>IF(Confirmations!5:5,"AAAAACa99MU=",0)</f>
        <v>0</v>
      </c>
      <c r="GQ206" t="e">
        <f>AND(Confirmations!#REF!,"AAAAACa99MY=")</f>
        <v>#REF!</v>
      </c>
      <c r="GR206" t="e">
        <f>AND(Confirmations!#REF!,"AAAAACa99Mc=")</f>
        <v>#REF!</v>
      </c>
      <c r="GS206" t="e">
        <f>AND(Confirmations!A5,"AAAAACa99Mg=")</f>
        <v>#VALUE!</v>
      </c>
      <c r="GT206" t="e">
        <f>AND(Confirmations!B5,"AAAAACa99Mk=")</f>
        <v>#VALUE!</v>
      </c>
      <c r="GU206" t="e">
        <f>AND(Confirmations!C5,"AAAAACa99Mo=")</f>
        <v>#VALUE!</v>
      </c>
      <c r="GV206" t="e">
        <f>AND(Confirmations!D5,"AAAAACa99Ms=")</f>
        <v>#VALUE!</v>
      </c>
      <c r="GW206" t="e">
        <f>AND(Confirmations!E5,"AAAAACa99Mw=")</f>
        <v>#VALUE!</v>
      </c>
      <c r="GX206" t="e">
        <f>AND(Confirmations!F5,"AAAAACa99M0=")</f>
        <v>#VALUE!</v>
      </c>
      <c r="GY206" t="e">
        <f>AND(Confirmations!G5,"AAAAACa99M4=")</f>
        <v>#VALUE!</v>
      </c>
      <c r="GZ206" t="e">
        <f>AND(Confirmations!H5,"AAAAACa99M8=")</f>
        <v>#VALUE!</v>
      </c>
      <c r="HA206" t="e">
        <f>AND(Confirmations!I5,"AAAAACa99NA=")</f>
        <v>#VALUE!</v>
      </c>
      <c r="HB206" t="e">
        <f>AND(Confirmations!#REF!,"AAAAACa99NE=")</f>
        <v>#REF!</v>
      </c>
      <c r="HC206" t="e">
        <f>AND(Confirmations!#REF!,"AAAAACa99NI=")</f>
        <v>#REF!</v>
      </c>
      <c r="HD206" t="e">
        <f>AND(Confirmations!J5,"AAAAACa99NM=")</f>
        <v>#VALUE!</v>
      </c>
      <c r="HE206" t="e">
        <f>AND(Confirmations!K5,"AAAAACa99NQ=")</f>
        <v>#VALUE!</v>
      </c>
      <c r="HF206" t="e">
        <f>AND(Confirmations!L5,"AAAAACa99NU=")</f>
        <v>#VALUE!</v>
      </c>
      <c r="HG206" t="e">
        <f>AND(Confirmations!M5,"AAAAACa99NY=")</f>
        <v>#VALUE!</v>
      </c>
      <c r="HH206">
        <f>IF(Confirmations!6:6,"AAAAACa99Nc=",0)</f>
        <v>0</v>
      </c>
      <c r="HI206" t="e">
        <f>AND(Confirmations!#REF!,"AAAAACa99Ng=")</f>
        <v>#REF!</v>
      </c>
      <c r="HJ206" t="e">
        <f>AND(Confirmations!#REF!,"AAAAACa99Nk=")</f>
        <v>#REF!</v>
      </c>
      <c r="HK206" t="e">
        <f>AND(Confirmations!A6,"AAAAACa99No=")</f>
        <v>#VALUE!</v>
      </c>
      <c r="HL206" t="e">
        <f>AND(Confirmations!B6,"AAAAACa99Ns=")</f>
        <v>#VALUE!</v>
      </c>
      <c r="HM206" t="e">
        <f>AND(Confirmations!C6,"AAAAACa99Nw=")</f>
        <v>#VALUE!</v>
      </c>
      <c r="HN206" t="e">
        <f>AND(Confirmations!D6,"AAAAACa99N0=")</f>
        <v>#VALUE!</v>
      </c>
      <c r="HO206" t="e">
        <f>AND(Confirmations!E6,"AAAAACa99N4=")</f>
        <v>#VALUE!</v>
      </c>
      <c r="HP206" t="e">
        <f>AND(Confirmations!F6,"AAAAACa99N8=")</f>
        <v>#VALUE!</v>
      </c>
      <c r="HQ206" t="e">
        <f>AND(Confirmations!G6,"AAAAACa99OA=")</f>
        <v>#VALUE!</v>
      </c>
      <c r="HR206" t="e">
        <f>AND(Confirmations!H6,"AAAAACa99OE=")</f>
        <v>#VALUE!</v>
      </c>
      <c r="HS206" t="e">
        <f>AND(Confirmations!I6,"AAAAACa99OI=")</f>
        <v>#VALUE!</v>
      </c>
      <c r="HT206" t="e">
        <f>AND(Confirmations!#REF!,"AAAAACa99OM=")</f>
        <v>#REF!</v>
      </c>
      <c r="HU206" t="e">
        <f>AND(Confirmations!#REF!,"AAAAACa99OQ=")</f>
        <v>#REF!</v>
      </c>
      <c r="HV206" t="e">
        <f>AND(Confirmations!#REF!,"AAAAACa99OU=")</f>
        <v>#REF!</v>
      </c>
      <c r="HW206" t="e">
        <f>AND(Confirmations!#REF!,"AAAAACa99OY=")</f>
        <v>#REF!</v>
      </c>
      <c r="HX206" t="e">
        <f>AND(Confirmations!J6,"AAAAACa99Oc=")</f>
        <v>#VALUE!</v>
      </c>
      <c r="HY206" t="e">
        <f>AND(Confirmations!K6,"AAAAACa99Og=")</f>
        <v>#VALUE!</v>
      </c>
      <c r="HZ206">
        <f>IF(Confirmations!7:7,"AAAAACa99Ok=",0)</f>
        <v>0</v>
      </c>
      <c r="IA206" t="e">
        <f>AND(Confirmations!#REF!,"AAAAACa99Oo=")</f>
        <v>#REF!</v>
      </c>
      <c r="IB206" t="e">
        <f>AND(Confirmations!#REF!,"AAAAACa99Os=")</f>
        <v>#REF!</v>
      </c>
      <c r="IC206" t="e">
        <f>AND(Confirmations!A7,"AAAAACa99Ow=")</f>
        <v>#VALUE!</v>
      </c>
      <c r="ID206" t="e">
        <f>AND(Confirmations!B7,"AAAAACa99O0=")</f>
        <v>#VALUE!</v>
      </c>
      <c r="IE206" t="e">
        <f>AND(Confirmations!C7,"AAAAACa99O4=")</f>
        <v>#VALUE!</v>
      </c>
      <c r="IF206" t="e">
        <f>AND(Confirmations!D7,"AAAAACa99O8=")</f>
        <v>#VALUE!</v>
      </c>
      <c r="IG206" t="e">
        <f>AND(Confirmations!E7,"AAAAACa99PA=")</f>
        <v>#VALUE!</v>
      </c>
      <c r="IH206" t="e">
        <f>AND(Confirmations!F7,"AAAAACa99PE=")</f>
        <v>#VALUE!</v>
      </c>
      <c r="II206" t="e">
        <f>AND(Confirmations!G7,"AAAAACa99PI=")</f>
        <v>#VALUE!</v>
      </c>
      <c r="IJ206" t="e">
        <f>AND(Confirmations!H7,"AAAAACa99PM=")</f>
        <v>#VALUE!</v>
      </c>
      <c r="IK206" t="e">
        <f>AND(Confirmations!I7,"AAAAACa99PQ=")</f>
        <v>#VALUE!</v>
      </c>
      <c r="IL206" t="e">
        <f>AND(Confirmations!#REF!,"AAAAACa99PU=")</f>
        <v>#REF!</v>
      </c>
      <c r="IM206" t="e">
        <f>AND(Confirmations!#REF!,"AAAAACa99PY=")</f>
        <v>#REF!</v>
      </c>
      <c r="IN206" t="e">
        <f>AND(Confirmations!#REF!,"AAAAACa99Pc=")</f>
        <v>#REF!</v>
      </c>
      <c r="IO206" t="e">
        <f>AND(Confirmations!#REF!,"AAAAACa99Pg=")</f>
        <v>#REF!</v>
      </c>
      <c r="IP206" t="e">
        <f>AND(Confirmations!J7,"AAAAACa99Pk=")</f>
        <v>#VALUE!</v>
      </c>
      <c r="IQ206" t="e">
        <f>AND(Confirmations!K7,"AAAAACa99Po=")</f>
        <v>#VALUE!</v>
      </c>
      <c r="IR206">
        <f>IF(Confirmations!8:8,"AAAAACa99Ps=",0)</f>
        <v>0</v>
      </c>
      <c r="IS206" t="e">
        <f>AND(Confirmations!#REF!,"AAAAACa99Pw=")</f>
        <v>#REF!</v>
      </c>
      <c r="IT206" t="e">
        <f>AND(Confirmations!#REF!,"AAAAACa99P0=")</f>
        <v>#REF!</v>
      </c>
      <c r="IU206" t="e">
        <f>AND(Confirmations!A8,"AAAAACa99P4=")</f>
        <v>#VALUE!</v>
      </c>
      <c r="IV206" t="e">
        <f>AND(Confirmations!B8,"AAAAACa99P8=")</f>
        <v>#VALUE!</v>
      </c>
    </row>
    <row r="207" spans="1:256" x14ac:dyDescent="0.2">
      <c r="A207" t="e">
        <f>AND(Confirmations!C8,"AAAAAHf/uAA=")</f>
        <v>#VALUE!</v>
      </c>
      <c r="B207" t="e">
        <f>AND(Confirmations!D8,"AAAAAHf/uAE=")</f>
        <v>#VALUE!</v>
      </c>
      <c r="C207" t="e">
        <f>AND(Confirmations!E8,"AAAAAHf/uAI=")</f>
        <v>#VALUE!</v>
      </c>
      <c r="D207" t="e">
        <f>AND(Confirmations!F8,"AAAAAHf/uAM=")</f>
        <v>#VALUE!</v>
      </c>
      <c r="E207" t="e">
        <f>AND(Confirmations!G8,"AAAAAHf/uAQ=")</f>
        <v>#VALUE!</v>
      </c>
      <c r="F207" t="e">
        <f>AND(Confirmations!H8,"AAAAAHf/uAU=")</f>
        <v>#VALUE!</v>
      </c>
      <c r="G207" t="e">
        <f>AND(Confirmations!I8,"AAAAAHf/uAY=")</f>
        <v>#VALUE!</v>
      </c>
      <c r="H207" t="e">
        <f>AND(Confirmations!#REF!,"AAAAAHf/uAc=")</f>
        <v>#REF!</v>
      </c>
      <c r="I207" t="e">
        <f>AND(Confirmations!#REF!,"AAAAAHf/uAg=")</f>
        <v>#REF!</v>
      </c>
      <c r="J207" t="e">
        <f>AND(Confirmations!#REF!,"AAAAAHf/uAk=")</f>
        <v>#REF!</v>
      </c>
      <c r="K207" t="e">
        <f>AND(Confirmations!#REF!,"AAAAAHf/uAo=")</f>
        <v>#REF!</v>
      </c>
      <c r="L207" t="e">
        <f>AND(Confirmations!J8,"AAAAAHf/uAs=")</f>
        <v>#VALUE!</v>
      </c>
      <c r="M207" t="e">
        <f>AND(Confirmations!K8,"AAAAAHf/uAw=")</f>
        <v>#VALUE!</v>
      </c>
      <c r="N207">
        <f>IF(Confirmations!9:9,"AAAAAHf/uA0=",0)</f>
        <v>0</v>
      </c>
      <c r="O207" t="e">
        <f>AND(Confirmations!#REF!,"AAAAAHf/uA4=")</f>
        <v>#REF!</v>
      </c>
      <c r="P207" t="e">
        <f>AND(Confirmations!#REF!,"AAAAAHf/uA8=")</f>
        <v>#REF!</v>
      </c>
      <c r="Q207" t="e">
        <f>AND(Confirmations!A9,"AAAAAHf/uBA=")</f>
        <v>#VALUE!</v>
      </c>
      <c r="R207" t="e">
        <f>AND(Confirmations!B9,"AAAAAHf/uBE=")</f>
        <v>#VALUE!</v>
      </c>
      <c r="S207" t="e">
        <f>AND(Confirmations!C9,"AAAAAHf/uBI=")</f>
        <v>#VALUE!</v>
      </c>
      <c r="T207" t="e">
        <f>AND(Confirmations!D9,"AAAAAHf/uBM=")</f>
        <v>#VALUE!</v>
      </c>
      <c r="U207" t="e">
        <f>AND(Confirmations!E9,"AAAAAHf/uBQ=")</f>
        <v>#VALUE!</v>
      </c>
      <c r="V207" t="e">
        <f>AND(Confirmations!F9,"AAAAAHf/uBU=")</f>
        <v>#VALUE!</v>
      </c>
      <c r="W207" t="e">
        <f>AND(Confirmations!G9,"AAAAAHf/uBY=")</f>
        <v>#VALUE!</v>
      </c>
      <c r="X207" t="e">
        <f>AND(Confirmations!H9,"AAAAAHf/uBc=")</f>
        <v>#VALUE!</v>
      </c>
      <c r="Y207" t="e">
        <f>AND(Confirmations!I9,"AAAAAHf/uBg=")</f>
        <v>#VALUE!</v>
      </c>
      <c r="Z207" t="e">
        <f>AND(Confirmations!#REF!,"AAAAAHf/uBk=")</f>
        <v>#REF!</v>
      </c>
      <c r="AA207" t="e">
        <f>AND(Confirmations!#REF!,"AAAAAHf/uBo=")</f>
        <v>#REF!</v>
      </c>
      <c r="AB207" t="e">
        <f>AND(Confirmations!#REF!,"AAAAAHf/uBs=")</f>
        <v>#REF!</v>
      </c>
      <c r="AC207" t="e">
        <f>AND(Confirmations!#REF!,"AAAAAHf/uBw=")</f>
        <v>#REF!</v>
      </c>
      <c r="AD207" t="e">
        <f>AND(Confirmations!J9,"AAAAAHf/uB0=")</f>
        <v>#VALUE!</v>
      </c>
      <c r="AE207" t="e">
        <f>AND(Confirmations!K9,"AAAAAHf/uB4=")</f>
        <v>#VALUE!</v>
      </c>
      <c r="AF207">
        <f>IF(Confirmations!10:10,"AAAAAHf/uB8=",0)</f>
        <v>0</v>
      </c>
      <c r="AG207" t="e">
        <f>AND(Confirmations!#REF!,"AAAAAHf/uCA=")</f>
        <v>#REF!</v>
      </c>
      <c r="AH207" t="e">
        <f>AND(Confirmations!#REF!,"AAAAAHf/uCE=")</f>
        <v>#REF!</v>
      </c>
      <c r="AI207" t="e">
        <f>AND(Confirmations!A10,"AAAAAHf/uCI=")</f>
        <v>#VALUE!</v>
      </c>
      <c r="AJ207" t="e">
        <f>AND(Confirmations!B10,"AAAAAHf/uCM=")</f>
        <v>#VALUE!</v>
      </c>
      <c r="AK207" t="e">
        <f>AND(Confirmations!C10,"AAAAAHf/uCQ=")</f>
        <v>#VALUE!</v>
      </c>
      <c r="AL207" t="e">
        <f>AND(Confirmations!D10,"AAAAAHf/uCU=")</f>
        <v>#VALUE!</v>
      </c>
      <c r="AM207" t="e">
        <f>AND(Confirmations!E10,"AAAAAHf/uCY=")</f>
        <v>#VALUE!</v>
      </c>
      <c r="AN207" t="e">
        <f>AND(Confirmations!F10,"AAAAAHf/uCc=")</f>
        <v>#VALUE!</v>
      </c>
      <c r="AO207" t="e">
        <f>AND(Confirmations!G10,"AAAAAHf/uCg=")</f>
        <v>#VALUE!</v>
      </c>
      <c r="AP207" t="e">
        <f>AND(Confirmations!H10,"AAAAAHf/uCk=")</f>
        <v>#VALUE!</v>
      </c>
      <c r="AQ207" t="e">
        <f>AND(Confirmations!I10,"AAAAAHf/uCo=")</f>
        <v>#VALUE!</v>
      </c>
      <c r="AR207" t="e">
        <f>AND(Confirmations!#REF!,"AAAAAHf/uCs=")</f>
        <v>#REF!</v>
      </c>
      <c r="AS207" t="e">
        <f>AND(Confirmations!#REF!,"AAAAAHf/uCw=")</f>
        <v>#REF!</v>
      </c>
      <c r="AT207" t="e">
        <f>AND(Confirmations!#REF!,"AAAAAHf/uC0=")</f>
        <v>#REF!</v>
      </c>
      <c r="AU207" t="e">
        <f>AND(Confirmations!#REF!,"AAAAAHf/uC4=")</f>
        <v>#REF!</v>
      </c>
      <c r="AV207" t="e">
        <f>AND(Confirmations!J10,"AAAAAHf/uC8=")</f>
        <v>#VALUE!</v>
      </c>
      <c r="AW207" t="e">
        <f>AND(Confirmations!K10,"AAAAAHf/uDA=")</f>
        <v>#VALUE!</v>
      </c>
      <c r="AX207">
        <f>IF(Confirmations!14:14,"AAAAAHf/uDE=",0)</f>
        <v>0</v>
      </c>
      <c r="AY207" t="e">
        <f>AND(Confirmations!#REF!,"AAAAAHf/uDI=")</f>
        <v>#REF!</v>
      </c>
      <c r="AZ207" t="e">
        <f>AND(Confirmations!A14,"AAAAAHf/uDM=")</f>
        <v>#VALUE!</v>
      </c>
      <c r="BA207" t="e">
        <f>AND(Confirmations!B14,"AAAAAHf/uDQ=")</f>
        <v>#VALUE!</v>
      </c>
      <c r="BB207" t="e">
        <f>AND(Confirmations!C14,"AAAAAHf/uDU=")</f>
        <v>#VALUE!</v>
      </c>
      <c r="BC207" t="e">
        <f>AND(Confirmations!#REF!,"AAAAAHf/uDY=")</f>
        <v>#REF!</v>
      </c>
      <c r="BD207" t="e">
        <f>AND(Confirmations!#REF!,"AAAAAHf/uDc=")</f>
        <v>#REF!</v>
      </c>
      <c r="BE207" t="e">
        <f>AND(Confirmations!E14,"AAAAAHf/uDg=")</f>
        <v>#VALUE!</v>
      </c>
      <c r="BF207" t="e">
        <f>AND(Confirmations!H14,"AAAAAHf/uDk=")</f>
        <v>#VALUE!</v>
      </c>
      <c r="BG207" t="e">
        <f>AND(Confirmations!#REF!,"AAAAAHf/uDo=")</f>
        <v>#REF!</v>
      </c>
      <c r="BH207" t="e">
        <f>AND(Confirmations!#REF!,"AAAAAHf/uDs=")</f>
        <v>#REF!</v>
      </c>
      <c r="BI207" t="e">
        <f>AND(Confirmations!#REF!,"AAAAAHf/uDw=")</f>
        <v>#REF!</v>
      </c>
      <c r="BJ207" t="e">
        <f>AND(Confirmations!#REF!,"AAAAAHf/uD0=")</f>
        <v>#REF!</v>
      </c>
      <c r="BK207" t="e">
        <f>AND(Confirmations!#REF!,"AAAAAHf/uD4=")</f>
        <v>#REF!</v>
      </c>
      <c r="BL207" t="e">
        <f>AND(Confirmations!#REF!,"AAAAAHf/uD8=")</f>
        <v>#REF!</v>
      </c>
      <c r="BM207" t="e">
        <f>AND(Confirmations!#REF!,"AAAAAHf/uEA=")</f>
        <v>#REF!</v>
      </c>
      <c r="BN207" t="e">
        <f>AND(Confirmations!#REF!,"AAAAAHf/uEE=")</f>
        <v>#REF!</v>
      </c>
      <c r="BO207" t="e">
        <f>AND(Confirmations!#REF!,"AAAAAHf/uEI=")</f>
        <v>#REF!</v>
      </c>
      <c r="BP207">
        <f>IF(Confirmations!16:16,"AAAAAHf/uEM=",0)</f>
        <v>0</v>
      </c>
      <c r="BQ207" t="e">
        <f>AND(Confirmations!#REF!,"AAAAAHf/uEQ=")</f>
        <v>#REF!</v>
      </c>
      <c r="BR207" t="e">
        <f>AND(Confirmations!A16,"AAAAAHf/uEU=")</f>
        <v>#VALUE!</v>
      </c>
      <c r="BS207" t="e">
        <f>AND(Confirmations!B16,"AAAAAHf/uEY=")</f>
        <v>#VALUE!</v>
      </c>
      <c r="BT207" t="e">
        <f>AND(Confirmations!C16,"AAAAAHf/uEc=")</f>
        <v>#VALUE!</v>
      </c>
      <c r="BU207" t="e">
        <f>AND(Confirmations!#REF!,"AAAAAHf/uEg=")</f>
        <v>#REF!</v>
      </c>
      <c r="BV207" t="e">
        <f>AND(Confirmations!#REF!,"AAAAAHf/uEk=")</f>
        <v>#REF!</v>
      </c>
      <c r="BW207" t="e">
        <f>AND(Confirmations!E16,"AAAAAHf/uEo=")</f>
        <v>#VALUE!</v>
      </c>
      <c r="BX207" t="e">
        <f>AND(Confirmations!H16,"AAAAAHf/uEs=")</f>
        <v>#VALUE!</v>
      </c>
      <c r="BY207" t="e">
        <f>AND(Confirmations!#REF!,"AAAAAHf/uEw=")</f>
        <v>#REF!</v>
      </c>
      <c r="BZ207" t="e">
        <f>AND(Confirmations!#REF!,"AAAAAHf/uE0=")</f>
        <v>#REF!</v>
      </c>
      <c r="CA207" t="e">
        <f>AND(Confirmations!#REF!,"AAAAAHf/uE4=")</f>
        <v>#REF!</v>
      </c>
      <c r="CB207" t="e">
        <f>AND(Confirmations!#REF!,"AAAAAHf/uE8=")</f>
        <v>#REF!</v>
      </c>
      <c r="CC207" t="e">
        <f>AND(Confirmations!#REF!,"AAAAAHf/uFA=")</f>
        <v>#REF!</v>
      </c>
      <c r="CD207" t="e">
        <f>AND(Confirmations!#REF!,"AAAAAHf/uFE=")</f>
        <v>#REF!</v>
      </c>
      <c r="CE207" t="e">
        <f>AND(Confirmations!#REF!,"AAAAAHf/uFI=")</f>
        <v>#REF!</v>
      </c>
      <c r="CF207" t="e">
        <f>AND(Confirmations!#REF!,"AAAAAHf/uFM=")</f>
        <v>#REF!</v>
      </c>
      <c r="CG207" t="e">
        <f>AND(Confirmations!#REF!,"AAAAAHf/uFQ=")</f>
        <v>#REF!</v>
      </c>
      <c r="CH207">
        <f>IF(Confirmations!17:17,"AAAAAHf/uFU=",0)</f>
        <v>0</v>
      </c>
      <c r="CI207" t="e">
        <f>AND(Confirmations!#REF!,"AAAAAHf/uFY=")</f>
        <v>#REF!</v>
      </c>
      <c r="CJ207" t="e">
        <f>AND(Confirmations!A17,"AAAAAHf/uFc=")</f>
        <v>#VALUE!</v>
      </c>
      <c r="CK207" t="e">
        <f>AND(Confirmations!B17,"AAAAAHf/uFg=")</f>
        <v>#VALUE!</v>
      </c>
      <c r="CL207" t="e">
        <f>AND(Confirmations!C17,"AAAAAHf/uFk=")</f>
        <v>#VALUE!</v>
      </c>
      <c r="CM207" t="e">
        <f>AND(Confirmations!#REF!,"AAAAAHf/uFo=")</f>
        <v>#REF!</v>
      </c>
      <c r="CN207" t="e">
        <f>AND(Confirmations!#REF!,"AAAAAHf/uFs=")</f>
        <v>#REF!</v>
      </c>
      <c r="CO207" t="e">
        <f>AND(Confirmations!E17,"AAAAAHf/uFw=")</f>
        <v>#VALUE!</v>
      </c>
      <c r="CP207" t="e">
        <f>AND(Confirmations!H17,"AAAAAHf/uF0=")</f>
        <v>#VALUE!</v>
      </c>
      <c r="CQ207" t="e">
        <f>AND(Confirmations!#REF!,"AAAAAHf/uF4=")</f>
        <v>#REF!</v>
      </c>
      <c r="CR207" t="e">
        <f>AND(Confirmations!#REF!,"AAAAAHf/uF8=")</f>
        <v>#REF!</v>
      </c>
      <c r="CS207" t="e">
        <f>AND(Confirmations!#REF!,"AAAAAHf/uGA=")</f>
        <v>#REF!</v>
      </c>
      <c r="CT207" t="e">
        <f>AND(Confirmations!#REF!,"AAAAAHf/uGE=")</f>
        <v>#REF!</v>
      </c>
      <c r="CU207" t="e">
        <f>AND(Confirmations!#REF!,"AAAAAHf/uGI=")</f>
        <v>#REF!</v>
      </c>
      <c r="CV207" t="e">
        <f>AND(Confirmations!#REF!,"AAAAAHf/uGM=")</f>
        <v>#REF!</v>
      </c>
      <c r="CW207" t="e">
        <f>AND(Confirmations!#REF!,"AAAAAHf/uGQ=")</f>
        <v>#REF!</v>
      </c>
      <c r="CX207" t="e">
        <f>AND(Confirmations!#REF!,"AAAAAHf/uGU=")</f>
        <v>#REF!</v>
      </c>
      <c r="CY207" t="e">
        <f>AND(Confirmations!#REF!,"AAAAAHf/uGY=")</f>
        <v>#REF!</v>
      </c>
      <c r="CZ207">
        <f>IF(Confirmations!18:18,"AAAAAHf/uGc=",0)</f>
        <v>0</v>
      </c>
      <c r="DA207" t="e">
        <f>AND(Confirmations!#REF!,"AAAAAHf/uGg=")</f>
        <v>#REF!</v>
      </c>
      <c r="DB207" t="e">
        <f>AND(Confirmations!A18,"AAAAAHf/uGk=")</f>
        <v>#VALUE!</v>
      </c>
      <c r="DC207" t="e">
        <f>AND(Confirmations!B18,"AAAAAHf/uGo=")</f>
        <v>#VALUE!</v>
      </c>
      <c r="DD207" t="e">
        <f>AND(Confirmations!C18,"AAAAAHf/uGs=")</f>
        <v>#VALUE!</v>
      </c>
      <c r="DE207" t="e">
        <f>AND(Confirmations!#REF!,"AAAAAHf/uGw=")</f>
        <v>#REF!</v>
      </c>
      <c r="DF207" t="e">
        <f>AND(Confirmations!#REF!,"AAAAAHf/uG0=")</f>
        <v>#REF!</v>
      </c>
      <c r="DG207" t="e">
        <f>AND(Confirmations!E18,"AAAAAHf/uG4=")</f>
        <v>#VALUE!</v>
      </c>
      <c r="DH207" t="e">
        <f>AND(Confirmations!H18,"AAAAAHf/uG8=")</f>
        <v>#VALUE!</v>
      </c>
      <c r="DI207" t="e">
        <f>AND(Confirmations!#REF!,"AAAAAHf/uHA=")</f>
        <v>#REF!</v>
      </c>
      <c r="DJ207" t="e">
        <f>AND(Confirmations!#REF!,"AAAAAHf/uHE=")</f>
        <v>#REF!</v>
      </c>
      <c r="DK207" t="e">
        <f>AND(Confirmations!#REF!,"AAAAAHf/uHI=")</f>
        <v>#REF!</v>
      </c>
      <c r="DL207" t="e">
        <f>AND(Confirmations!#REF!,"AAAAAHf/uHM=")</f>
        <v>#REF!</v>
      </c>
      <c r="DM207" t="e">
        <f>AND(Confirmations!#REF!,"AAAAAHf/uHQ=")</f>
        <v>#REF!</v>
      </c>
      <c r="DN207" t="e">
        <f>AND(Confirmations!#REF!,"AAAAAHf/uHU=")</f>
        <v>#REF!</v>
      </c>
      <c r="DO207" t="e">
        <f>AND(Confirmations!#REF!,"AAAAAHf/uHY=")</f>
        <v>#REF!</v>
      </c>
      <c r="DP207" t="e">
        <f>AND(Confirmations!#REF!,"AAAAAHf/uHc=")</f>
        <v>#REF!</v>
      </c>
      <c r="DQ207" t="e">
        <f>AND(Confirmations!#REF!,"AAAAAHf/uHg=")</f>
        <v>#REF!</v>
      </c>
      <c r="DR207">
        <f>IF(Confirmations!21:21,"AAAAAHf/uHk=",0)</f>
        <v>0</v>
      </c>
      <c r="DS207" t="e">
        <f>AND(Confirmations!#REF!,"AAAAAHf/uHo=")</f>
        <v>#REF!</v>
      </c>
      <c r="DT207" t="e">
        <f>AND(Confirmations!A21,"AAAAAHf/uHs=")</f>
        <v>#VALUE!</v>
      </c>
      <c r="DU207" t="e">
        <f>AND(Confirmations!B21,"AAAAAHf/uHw=")</f>
        <v>#VALUE!</v>
      </c>
      <c r="DV207" t="e">
        <f>AND(Confirmations!C21,"AAAAAHf/uH0=")</f>
        <v>#VALUE!</v>
      </c>
      <c r="DW207" t="e">
        <f>AND(Confirmations!#REF!,"AAAAAHf/uH4=")</f>
        <v>#REF!</v>
      </c>
      <c r="DX207" t="e">
        <f>AND(Confirmations!#REF!,"AAAAAHf/uH8=")</f>
        <v>#REF!</v>
      </c>
      <c r="DY207" t="e">
        <f>AND(Confirmations!E21,"AAAAAHf/uIA=")</f>
        <v>#VALUE!</v>
      </c>
      <c r="DZ207" t="e">
        <f>AND(Confirmations!H21,"AAAAAHf/uIE=")</f>
        <v>#VALUE!</v>
      </c>
      <c r="EA207" t="e">
        <f>AND(Confirmations!#REF!,"AAAAAHf/uII=")</f>
        <v>#REF!</v>
      </c>
      <c r="EB207" t="e">
        <f>AND(Confirmations!#REF!,"AAAAAHf/uIM=")</f>
        <v>#REF!</v>
      </c>
      <c r="EC207" t="e">
        <f>AND(Confirmations!#REF!,"AAAAAHf/uIQ=")</f>
        <v>#REF!</v>
      </c>
      <c r="ED207" t="e">
        <f>AND(Confirmations!#REF!,"AAAAAHf/uIU=")</f>
        <v>#REF!</v>
      </c>
      <c r="EE207" t="e">
        <f>AND(Confirmations!#REF!,"AAAAAHf/uIY=")</f>
        <v>#REF!</v>
      </c>
      <c r="EF207" t="e">
        <f>AND(Confirmations!#REF!,"AAAAAHf/uIc=")</f>
        <v>#REF!</v>
      </c>
      <c r="EG207" t="e">
        <f>AND(Confirmations!#REF!,"AAAAAHf/uIg=")</f>
        <v>#REF!</v>
      </c>
      <c r="EH207" t="e">
        <f>AND(Confirmations!#REF!,"AAAAAHf/uIk=")</f>
        <v>#REF!</v>
      </c>
      <c r="EI207" t="e">
        <f>AND(Confirmations!#REF!,"AAAAAHf/uIo=")</f>
        <v>#REF!</v>
      </c>
      <c r="EJ207">
        <f>IF(Confirmations!22:22,"AAAAAHf/uIs=",0)</f>
        <v>0</v>
      </c>
      <c r="EK207" t="e">
        <f>AND(Confirmations!#REF!,"AAAAAHf/uIw=")</f>
        <v>#REF!</v>
      </c>
      <c r="EL207" t="e">
        <f>AND(Confirmations!A22,"AAAAAHf/uI0=")</f>
        <v>#VALUE!</v>
      </c>
      <c r="EM207" t="e">
        <f>AND(Confirmations!B22,"AAAAAHf/uI4=")</f>
        <v>#VALUE!</v>
      </c>
      <c r="EN207" t="e">
        <f>AND(Confirmations!C22,"AAAAAHf/uI8=")</f>
        <v>#VALUE!</v>
      </c>
      <c r="EO207" t="e">
        <f>AND(Confirmations!#REF!,"AAAAAHf/uJA=")</f>
        <v>#REF!</v>
      </c>
      <c r="EP207" t="e">
        <f>AND(Confirmations!#REF!,"AAAAAHf/uJE=")</f>
        <v>#REF!</v>
      </c>
      <c r="EQ207" t="e">
        <f>AND(Confirmations!E22,"AAAAAHf/uJI=")</f>
        <v>#VALUE!</v>
      </c>
      <c r="ER207" t="e">
        <f>AND(Confirmations!H22,"AAAAAHf/uJM=")</f>
        <v>#VALUE!</v>
      </c>
      <c r="ES207" t="e">
        <f>AND(Confirmations!#REF!,"AAAAAHf/uJQ=")</f>
        <v>#REF!</v>
      </c>
      <c r="ET207" t="e">
        <f>AND(Confirmations!#REF!,"AAAAAHf/uJU=")</f>
        <v>#REF!</v>
      </c>
      <c r="EU207" t="e">
        <f>AND(Confirmations!#REF!,"AAAAAHf/uJY=")</f>
        <v>#REF!</v>
      </c>
      <c r="EV207" t="e">
        <f>AND(Confirmations!#REF!,"AAAAAHf/uJc=")</f>
        <v>#REF!</v>
      </c>
      <c r="EW207" t="e">
        <f>AND(Confirmations!#REF!,"AAAAAHf/uJg=")</f>
        <v>#REF!</v>
      </c>
      <c r="EX207" t="e">
        <f>AND(Confirmations!#REF!,"AAAAAHf/uJk=")</f>
        <v>#REF!</v>
      </c>
      <c r="EY207" t="e">
        <f>AND(Confirmations!#REF!,"AAAAAHf/uJo=")</f>
        <v>#REF!</v>
      </c>
      <c r="EZ207" t="e">
        <f>AND(Confirmations!#REF!,"AAAAAHf/uJs=")</f>
        <v>#REF!</v>
      </c>
      <c r="FA207" t="e">
        <f>AND(Confirmations!#REF!,"AAAAAHf/uJw=")</f>
        <v>#REF!</v>
      </c>
      <c r="FB207">
        <f>IF(Confirmations!24:24,"AAAAAHf/uJ0=",0)</f>
        <v>0</v>
      </c>
      <c r="FC207" t="e">
        <f>AND(Confirmations!#REF!,"AAAAAHf/uJ4=")</f>
        <v>#REF!</v>
      </c>
      <c r="FD207" t="e">
        <f>AND(Confirmations!A24,"AAAAAHf/uJ8=")</f>
        <v>#VALUE!</v>
      </c>
      <c r="FE207" t="e">
        <f>AND(Confirmations!B24,"AAAAAHf/uKA=")</f>
        <v>#VALUE!</v>
      </c>
      <c r="FF207" t="e">
        <f>AND(Confirmations!C24,"AAAAAHf/uKE=")</f>
        <v>#VALUE!</v>
      </c>
      <c r="FG207" t="e">
        <f>AND(Confirmations!#REF!,"AAAAAHf/uKI=")</f>
        <v>#REF!</v>
      </c>
      <c r="FH207" t="e">
        <f>AND(Confirmations!#REF!,"AAAAAHf/uKM=")</f>
        <v>#REF!</v>
      </c>
      <c r="FI207" t="e">
        <f>AND(Confirmations!E24,"AAAAAHf/uKQ=")</f>
        <v>#VALUE!</v>
      </c>
      <c r="FJ207" t="e">
        <f>AND(Confirmations!H24,"AAAAAHf/uKU=")</f>
        <v>#VALUE!</v>
      </c>
      <c r="FK207" t="e">
        <f>AND(Confirmations!#REF!,"AAAAAHf/uKY=")</f>
        <v>#REF!</v>
      </c>
      <c r="FL207" t="e">
        <f>AND(Confirmations!#REF!,"AAAAAHf/uKc=")</f>
        <v>#REF!</v>
      </c>
      <c r="FM207" t="e">
        <f>AND(Confirmations!#REF!,"AAAAAHf/uKg=")</f>
        <v>#REF!</v>
      </c>
      <c r="FN207" t="e">
        <f>AND(Confirmations!#REF!,"AAAAAHf/uKk=")</f>
        <v>#REF!</v>
      </c>
      <c r="FO207" t="e">
        <f>AND(Confirmations!#REF!,"AAAAAHf/uKo=")</f>
        <v>#REF!</v>
      </c>
      <c r="FP207" t="e">
        <f>AND(Confirmations!#REF!,"AAAAAHf/uKs=")</f>
        <v>#REF!</v>
      </c>
      <c r="FQ207" t="e">
        <f>AND(Confirmations!#REF!,"AAAAAHf/uKw=")</f>
        <v>#REF!</v>
      </c>
      <c r="FR207" t="e">
        <f>AND(Confirmations!#REF!,"AAAAAHf/uK0=")</f>
        <v>#REF!</v>
      </c>
      <c r="FS207" t="e">
        <f>AND(Confirmations!#REF!,"AAAAAHf/uK4=")</f>
        <v>#REF!</v>
      </c>
      <c r="FT207" t="e">
        <f>IF(Confirmations!#REF!,"AAAAAHf/uK8=",0)</f>
        <v>#REF!</v>
      </c>
      <c r="FU207" t="e">
        <f>AND(Confirmations!#REF!,"AAAAAHf/uLA=")</f>
        <v>#REF!</v>
      </c>
      <c r="FV207" t="e">
        <f>AND(Confirmations!#REF!,"AAAAAHf/uLE=")</f>
        <v>#REF!</v>
      </c>
      <c r="FW207" t="e">
        <f>AND(Confirmations!#REF!,"AAAAAHf/uLI=")</f>
        <v>#REF!</v>
      </c>
      <c r="FX207" t="e">
        <f>AND(Confirmations!#REF!,"AAAAAHf/uLM=")</f>
        <v>#REF!</v>
      </c>
      <c r="FY207" t="e">
        <f>AND(Confirmations!#REF!,"AAAAAHf/uLQ=")</f>
        <v>#REF!</v>
      </c>
      <c r="FZ207" t="e">
        <f>AND(Confirmations!#REF!,"AAAAAHf/uLU=")</f>
        <v>#REF!</v>
      </c>
      <c r="GA207" t="e">
        <f>AND(Confirmations!#REF!,"AAAAAHf/uLY=")</f>
        <v>#REF!</v>
      </c>
      <c r="GB207" t="e">
        <f>AND(Confirmations!#REF!,"AAAAAHf/uLc=")</f>
        <v>#REF!</v>
      </c>
      <c r="GC207" t="e">
        <f>AND(Confirmations!#REF!,"AAAAAHf/uLg=")</f>
        <v>#REF!</v>
      </c>
      <c r="GD207" t="e">
        <f>AND(Confirmations!#REF!,"AAAAAHf/uLk=")</f>
        <v>#REF!</v>
      </c>
      <c r="GE207" t="e">
        <f>AND(Confirmations!#REF!,"AAAAAHf/uLo=")</f>
        <v>#REF!</v>
      </c>
      <c r="GF207" t="e">
        <f>AND(Confirmations!#REF!,"AAAAAHf/uLs=")</f>
        <v>#REF!</v>
      </c>
      <c r="GG207" t="e">
        <f>AND(Confirmations!#REF!,"AAAAAHf/uLw=")</f>
        <v>#REF!</v>
      </c>
      <c r="GH207" t="e">
        <f>AND(Confirmations!#REF!,"AAAAAHf/uL0=")</f>
        <v>#REF!</v>
      </c>
      <c r="GI207" t="e">
        <f>AND(Confirmations!#REF!,"AAAAAHf/uL4=")</f>
        <v>#REF!</v>
      </c>
      <c r="GJ207" t="e">
        <f>AND(Confirmations!#REF!,"AAAAAHf/uL8=")</f>
        <v>#REF!</v>
      </c>
      <c r="GK207" t="e">
        <f>AND(Confirmations!#REF!,"AAAAAHf/uMA=")</f>
        <v>#REF!</v>
      </c>
      <c r="GL207">
        <f>IF(Confirmations!20:20,"AAAAAHf/uME=",0)</f>
        <v>0</v>
      </c>
      <c r="GM207" t="e">
        <f>AND(Confirmations!#REF!,"AAAAAHf/uMI=")</f>
        <v>#REF!</v>
      </c>
      <c r="GN207" t="e">
        <f>AND(Confirmations!A20,"AAAAAHf/uMM=")</f>
        <v>#VALUE!</v>
      </c>
      <c r="GO207" t="e">
        <f>AND(Confirmations!B20,"AAAAAHf/uMQ=")</f>
        <v>#VALUE!</v>
      </c>
      <c r="GP207" t="e">
        <f>AND(Confirmations!C20,"AAAAAHf/uMU=")</f>
        <v>#VALUE!</v>
      </c>
      <c r="GQ207" t="e">
        <f>AND(Confirmations!#REF!,"AAAAAHf/uMY=")</f>
        <v>#REF!</v>
      </c>
      <c r="GR207" t="e">
        <f>AND(Confirmations!#REF!,"AAAAAHf/uMc=")</f>
        <v>#REF!</v>
      </c>
      <c r="GS207" t="e">
        <f>AND(Confirmations!E20,"AAAAAHf/uMg=")</f>
        <v>#VALUE!</v>
      </c>
      <c r="GT207" t="e">
        <f>AND(Confirmations!H20,"AAAAAHf/uMk=")</f>
        <v>#VALUE!</v>
      </c>
      <c r="GU207" t="e">
        <f>AND(Confirmations!#REF!,"AAAAAHf/uMo=")</f>
        <v>#REF!</v>
      </c>
      <c r="GV207" t="e">
        <f>AND(Confirmations!#REF!,"AAAAAHf/uMs=")</f>
        <v>#REF!</v>
      </c>
      <c r="GW207" t="e">
        <f>AND(Confirmations!#REF!,"AAAAAHf/uMw=")</f>
        <v>#REF!</v>
      </c>
      <c r="GX207" t="e">
        <f>AND(Confirmations!#REF!,"AAAAAHf/uM0=")</f>
        <v>#REF!</v>
      </c>
      <c r="GY207" t="e">
        <f>AND(Confirmations!#REF!,"AAAAAHf/uM4=")</f>
        <v>#REF!</v>
      </c>
      <c r="GZ207" t="e">
        <f>AND(Confirmations!#REF!,"AAAAAHf/uM8=")</f>
        <v>#REF!</v>
      </c>
      <c r="HA207" t="e">
        <f>AND(Confirmations!#REF!,"AAAAAHf/uNA=")</f>
        <v>#REF!</v>
      </c>
      <c r="HB207" t="e">
        <f>AND(Confirmations!#REF!,"AAAAAHf/uNE=")</f>
        <v>#REF!</v>
      </c>
      <c r="HC207" t="e">
        <f>AND(Confirmations!#REF!,"AAAAAHf/uNI=")</f>
        <v>#REF!</v>
      </c>
      <c r="HD207" t="e">
        <f>IF(Confirmations!#REF!,"AAAAAHf/uNM=",0)</f>
        <v>#REF!</v>
      </c>
      <c r="HE207" t="e">
        <f>AND(Confirmations!#REF!,"AAAAAHf/uNQ=")</f>
        <v>#REF!</v>
      </c>
      <c r="HF207" t="e">
        <f>AND(Confirmations!#REF!,"AAAAAHf/uNU=")</f>
        <v>#REF!</v>
      </c>
      <c r="HG207" t="e">
        <f>AND(Confirmations!#REF!,"AAAAAHf/uNY=")</f>
        <v>#REF!</v>
      </c>
      <c r="HH207" t="e">
        <f>AND(Confirmations!#REF!,"AAAAAHf/uNc=")</f>
        <v>#REF!</v>
      </c>
      <c r="HI207" t="e">
        <f>AND(Confirmations!#REF!,"AAAAAHf/uNg=")</f>
        <v>#REF!</v>
      </c>
      <c r="HJ207" t="e">
        <f>AND(Confirmations!#REF!,"AAAAAHf/uNk=")</f>
        <v>#REF!</v>
      </c>
      <c r="HK207" t="e">
        <f>AND(Confirmations!#REF!,"AAAAAHf/uNo=")</f>
        <v>#REF!</v>
      </c>
      <c r="HL207" t="e">
        <f>AND(Confirmations!#REF!,"AAAAAHf/uNs=")</f>
        <v>#REF!</v>
      </c>
      <c r="HM207" t="e">
        <f>AND(Confirmations!#REF!,"AAAAAHf/uNw=")</f>
        <v>#REF!</v>
      </c>
      <c r="HN207" t="e">
        <f>AND(Confirmations!#REF!,"AAAAAHf/uN0=")</f>
        <v>#REF!</v>
      </c>
      <c r="HO207" t="e">
        <f>AND(Confirmations!#REF!,"AAAAAHf/uN4=")</f>
        <v>#REF!</v>
      </c>
      <c r="HP207" t="e">
        <f>AND(Confirmations!#REF!,"AAAAAHf/uN8=")</f>
        <v>#REF!</v>
      </c>
      <c r="HQ207" t="e">
        <f>AND(Confirmations!#REF!,"AAAAAHf/uOA=")</f>
        <v>#REF!</v>
      </c>
      <c r="HR207" t="e">
        <f>AND(Confirmations!#REF!,"AAAAAHf/uOE=")</f>
        <v>#REF!</v>
      </c>
      <c r="HS207" t="e">
        <f>AND(Confirmations!#REF!,"AAAAAHf/uOI=")</f>
        <v>#REF!</v>
      </c>
      <c r="HT207" t="e">
        <f>AND(Confirmations!#REF!,"AAAAAHf/uOM=")</f>
        <v>#REF!</v>
      </c>
      <c r="HU207" t="e">
        <f>AND(Confirmations!#REF!,"AAAAAHf/uOQ=")</f>
        <v>#REF!</v>
      </c>
      <c r="HV207">
        <f>IF(Confirmations!25:25,"AAAAAHf/uOU=",0)</f>
        <v>0</v>
      </c>
      <c r="HW207" t="e">
        <f>AND(Confirmations!#REF!,"AAAAAHf/uOY=")</f>
        <v>#REF!</v>
      </c>
      <c r="HX207" t="e">
        <f>AND(Confirmations!A25,"AAAAAHf/uOc=")</f>
        <v>#VALUE!</v>
      </c>
      <c r="HY207" t="e">
        <f>AND(Confirmations!B25,"AAAAAHf/uOg=")</f>
        <v>#VALUE!</v>
      </c>
      <c r="HZ207" t="e">
        <f>AND(Confirmations!C25,"AAAAAHf/uOk=")</f>
        <v>#VALUE!</v>
      </c>
      <c r="IA207" t="e">
        <f>AND(Confirmations!#REF!,"AAAAAHf/uOo=")</f>
        <v>#REF!</v>
      </c>
      <c r="IB207" t="e">
        <f>AND(Confirmations!#REF!,"AAAAAHf/uOs=")</f>
        <v>#REF!</v>
      </c>
      <c r="IC207" t="e">
        <f>AND(Confirmations!E25,"AAAAAHf/uOw=")</f>
        <v>#VALUE!</v>
      </c>
      <c r="ID207" t="e">
        <f>AND(Confirmations!H25,"AAAAAHf/uO0=")</f>
        <v>#VALUE!</v>
      </c>
      <c r="IE207" t="e">
        <f>AND(Confirmations!#REF!,"AAAAAHf/uO4=")</f>
        <v>#REF!</v>
      </c>
      <c r="IF207" t="e">
        <f>AND(Confirmations!#REF!,"AAAAAHf/uO8=")</f>
        <v>#REF!</v>
      </c>
      <c r="IG207" t="e">
        <f>AND(Confirmations!#REF!,"AAAAAHf/uPA=")</f>
        <v>#REF!</v>
      </c>
      <c r="IH207" t="e">
        <f>AND(Confirmations!#REF!,"AAAAAHf/uPE=")</f>
        <v>#REF!</v>
      </c>
      <c r="II207" t="e">
        <f>AND(Confirmations!#REF!,"AAAAAHf/uPI=")</f>
        <v>#REF!</v>
      </c>
      <c r="IJ207" t="e">
        <f>AND(Confirmations!#REF!,"AAAAAHf/uPM=")</f>
        <v>#REF!</v>
      </c>
      <c r="IK207" t="e">
        <f>AND(Confirmations!#REF!,"AAAAAHf/uPQ=")</f>
        <v>#REF!</v>
      </c>
      <c r="IL207" t="e">
        <f>AND(Confirmations!#REF!,"AAAAAHf/uPU=")</f>
        <v>#REF!</v>
      </c>
      <c r="IM207" t="e">
        <f>AND(Confirmations!#REF!,"AAAAAHf/uPY=")</f>
        <v>#REF!</v>
      </c>
      <c r="IN207">
        <f>IF(Confirmations!28:28,"AAAAAHf/uPc=",0)</f>
        <v>0</v>
      </c>
      <c r="IO207" t="e">
        <f>AND(Confirmations!#REF!,"AAAAAHf/uPg=")</f>
        <v>#REF!</v>
      </c>
      <c r="IP207" t="e">
        <f>AND(Confirmations!A28,"AAAAAHf/uPk=")</f>
        <v>#VALUE!</v>
      </c>
      <c r="IQ207" t="e">
        <f>AND(Confirmations!B28,"AAAAAHf/uPo=")</f>
        <v>#VALUE!</v>
      </c>
      <c r="IR207" t="e">
        <f>AND(Confirmations!C28,"AAAAAHf/uPs=")</f>
        <v>#VALUE!</v>
      </c>
      <c r="IS207" t="e">
        <f>AND(Confirmations!#REF!,"AAAAAHf/uPw=")</f>
        <v>#REF!</v>
      </c>
      <c r="IT207" t="e">
        <f>AND(Confirmations!#REF!,"AAAAAHf/uP0=")</f>
        <v>#REF!</v>
      </c>
      <c r="IU207" t="e">
        <f>AND(Confirmations!E28,"AAAAAHf/uP4=")</f>
        <v>#VALUE!</v>
      </c>
      <c r="IV207" t="e">
        <f>AND(Confirmations!H28,"AAAAAHf/uP8=")</f>
        <v>#VALUE!</v>
      </c>
    </row>
    <row r="208" spans="1:256" x14ac:dyDescent="0.2">
      <c r="A208" t="e">
        <f>AND(Confirmations!#REF!,"AAAAAE/+XwA=")</f>
        <v>#REF!</v>
      </c>
      <c r="B208" t="e">
        <f>AND(Confirmations!#REF!,"AAAAAE/+XwE=")</f>
        <v>#REF!</v>
      </c>
      <c r="C208" t="e">
        <f>AND(Confirmations!#REF!,"AAAAAE/+XwI=")</f>
        <v>#REF!</v>
      </c>
      <c r="D208" t="e">
        <f>AND(Confirmations!#REF!,"AAAAAE/+XwM=")</f>
        <v>#REF!</v>
      </c>
      <c r="E208" t="e">
        <f>AND(Confirmations!#REF!,"AAAAAE/+XwQ=")</f>
        <v>#REF!</v>
      </c>
      <c r="F208" t="e">
        <f>AND(Confirmations!#REF!,"AAAAAE/+XwU=")</f>
        <v>#REF!</v>
      </c>
      <c r="G208" t="e">
        <f>AND(Confirmations!#REF!,"AAAAAE/+XwY=")</f>
        <v>#REF!</v>
      </c>
      <c r="H208" t="e">
        <f>AND(Confirmations!#REF!,"AAAAAE/+Xwc=")</f>
        <v>#REF!</v>
      </c>
      <c r="I208" t="e">
        <f>AND(Confirmations!#REF!,"AAAAAE/+Xwg=")</f>
        <v>#REF!</v>
      </c>
      <c r="J208">
        <f>IF(Confirmations!29:29,"AAAAAE/+Xwk=",0)</f>
        <v>0</v>
      </c>
      <c r="K208" t="e">
        <f>AND(Confirmations!#REF!,"AAAAAE/+Xwo=")</f>
        <v>#REF!</v>
      </c>
      <c r="L208" t="e">
        <f>AND(Confirmations!A29,"AAAAAE/+Xws=")</f>
        <v>#VALUE!</v>
      </c>
      <c r="M208" t="e">
        <f>AND(Confirmations!B29,"AAAAAE/+Xww=")</f>
        <v>#VALUE!</v>
      </c>
      <c r="N208" t="e">
        <f>AND(Confirmations!C29,"AAAAAE/+Xw0=")</f>
        <v>#VALUE!</v>
      </c>
      <c r="O208" t="e">
        <f>AND(Confirmations!#REF!,"AAAAAE/+Xw4=")</f>
        <v>#REF!</v>
      </c>
      <c r="P208" t="e">
        <f>AND(Confirmations!#REF!,"AAAAAE/+Xw8=")</f>
        <v>#REF!</v>
      </c>
      <c r="Q208" t="e">
        <f>AND(Confirmations!E29,"AAAAAE/+XxA=")</f>
        <v>#VALUE!</v>
      </c>
      <c r="R208" t="e">
        <f>AND(Confirmations!H29,"AAAAAE/+XxE=")</f>
        <v>#VALUE!</v>
      </c>
      <c r="S208" t="e">
        <f>AND(Confirmations!#REF!,"AAAAAE/+XxI=")</f>
        <v>#REF!</v>
      </c>
      <c r="T208" t="e">
        <f>AND(Confirmations!#REF!,"AAAAAE/+XxM=")</f>
        <v>#REF!</v>
      </c>
      <c r="U208" t="e">
        <f>AND(Confirmations!#REF!,"AAAAAE/+XxQ=")</f>
        <v>#REF!</v>
      </c>
      <c r="V208" t="e">
        <f>AND(Confirmations!#REF!,"AAAAAE/+XxU=")</f>
        <v>#REF!</v>
      </c>
      <c r="W208" t="e">
        <f>AND(Confirmations!#REF!,"AAAAAE/+XxY=")</f>
        <v>#REF!</v>
      </c>
      <c r="X208" t="e">
        <f>AND(Confirmations!#REF!,"AAAAAE/+Xxc=")</f>
        <v>#REF!</v>
      </c>
      <c r="Y208" t="e">
        <f>AND(Confirmations!#REF!,"AAAAAE/+Xxg=")</f>
        <v>#REF!</v>
      </c>
      <c r="Z208" t="e">
        <f>AND(Confirmations!#REF!,"AAAAAE/+Xxk=")</f>
        <v>#REF!</v>
      </c>
      <c r="AA208" t="e">
        <f>AND(Confirmations!#REF!,"AAAAAE/+Xxo=")</f>
        <v>#REF!</v>
      </c>
      <c r="AB208">
        <f>IF(Confirmations!30:30,"AAAAAE/+Xxs=",0)</f>
        <v>0</v>
      </c>
      <c r="AC208" t="e">
        <f>AND(Confirmations!#REF!,"AAAAAE/+Xxw=")</f>
        <v>#REF!</v>
      </c>
      <c r="AD208" t="e">
        <f>AND(Confirmations!A30,"AAAAAE/+Xx0=")</f>
        <v>#VALUE!</v>
      </c>
      <c r="AE208" t="e">
        <f>AND(Confirmations!B30,"AAAAAE/+Xx4=")</f>
        <v>#VALUE!</v>
      </c>
      <c r="AF208" t="e">
        <f>AND(Confirmations!C30,"AAAAAE/+Xx8=")</f>
        <v>#VALUE!</v>
      </c>
      <c r="AG208" t="e">
        <f>AND(Confirmations!#REF!,"AAAAAE/+XyA=")</f>
        <v>#REF!</v>
      </c>
      <c r="AH208" t="e">
        <f>AND(Confirmations!#REF!,"AAAAAE/+XyE=")</f>
        <v>#REF!</v>
      </c>
      <c r="AI208" t="e">
        <f>AND(Confirmations!E30,"AAAAAE/+XyI=")</f>
        <v>#VALUE!</v>
      </c>
      <c r="AJ208" t="e">
        <f>AND(Confirmations!H30,"AAAAAE/+XyM=")</f>
        <v>#VALUE!</v>
      </c>
      <c r="AK208" t="e">
        <f>AND(Confirmations!#REF!,"AAAAAE/+XyQ=")</f>
        <v>#REF!</v>
      </c>
      <c r="AL208" t="e">
        <f>AND(Confirmations!#REF!,"AAAAAE/+XyU=")</f>
        <v>#REF!</v>
      </c>
      <c r="AM208" t="e">
        <f>AND(Confirmations!#REF!,"AAAAAE/+XyY=")</f>
        <v>#REF!</v>
      </c>
      <c r="AN208" t="e">
        <f>AND(Confirmations!#REF!,"AAAAAE/+Xyc=")</f>
        <v>#REF!</v>
      </c>
      <c r="AO208" t="e">
        <f>AND(Confirmations!#REF!,"AAAAAE/+Xyg=")</f>
        <v>#REF!</v>
      </c>
      <c r="AP208" t="e">
        <f>AND(Confirmations!#REF!,"AAAAAE/+Xyk=")</f>
        <v>#REF!</v>
      </c>
      <c r="AQ208" t="e">
        <f>AND(Confirmations!#REF!,"AAAAAE/+Xyo=")</f>
        <v>#REF!</v>
      </c>
      <c r="AR208" t="e">
        <f>AND(Confirmations!#REF!,"AAAAAE/+Xys=")</f>
        <v>#REF!</v>
      </c>
      <c r="AS208" t="e">
        <f>AND(Confirmations!#REF!,"AAAAAE/+Xyw=")</f>
        <v>#REF!</v>
      </c>
      <c r="AT208">
        <f>IF(Confirmations!31:31,"AAAAAE/+Xy0=",0)</f>
        <v>0</v>
      </c>
      <c r="AU208" t="e">
        <f>AND(Confirmations!#REF!,"AAAAAE/+Xy4=")</f>
        <v>#REF!</v>
      </c>
      <c r="AV208" t="e">
        <f>AND(Confirmations!A31,"AAAAAE/+Xy8=")</f>
        <v>#VALUE!</v>
      </c>
      <c r="AW208" t="e">
        <f>AND(Confirmations!B31,"AAAAAE/+XzA=")</f>
        <v>#VALUE!</v>
      </c>
      <c r="AX208" t="e">
        <f>AND(Confirmations!C31,"AAAAAE/+XzE=")</f>
        <v>#VALUE!</v>
      </c>
      <c r="AY208" t="e">
        <f>AND(Confirmations!#REF!,"AAAAAE/+XzI=")</f>
        <v>#REF!</v>
      </c>
      <c r="AZ208" t="e">
        <f>AND(Confirmations!#REF!,"AAAAAE/+XzM=")</f>
        <v>#REF!</v>
      </c>
      <c r="BA208" t="e">
        <f>AND(Confirmations!E31,"AAAAAE/+XzQ=")</f>
        <v>#VALUE!</v>
      </c>
      <c r="BB208" t="e">
        <f>AND(Confirmations!H31,"AAAAAE/+XzU=")</f>
        <v>#VALUE!</v>
      </c>
      <c r="BC208" t="e">
        <f>AND(Confirmations!#REF!,"AAAAAE/+XzY=")</f>
        <v>#REF!</v>
      </c>
      <c r="BD208" t="e">
        <f>AND(Confirmations!#REF!,"AAAAAE/+Xzc=")</f>
        <v>#REF!</v>
      </c>
      <c r="BE208" t="e">
        <f>AND(Confirmations!#REF!,"AAAAAE/+Xzg=")</f>
        <v>#REF!</v>
      </c>
      <c r="BF208" t="e">
        <f>AND(Confirmations!#REF!,"AAAAAE/+Xzk=")</f>
        <v>#REF!</v>
      </c>
      <c r="BG208" t="e">
        <f>AND(Confirmations!#REF!,"AAAAAE/+Xzo=")</f>
        <v>#REF!</v>
      </c>
      <c r="BH208" t="e">
        <f>AND(Confirmations!#REF!,"AAAAAE/+Xzs=")</f>
        <v>#REF!</v>
      </c>
      <c r="BI208" t="e">
        <f>AND(Confirmations!#REF!,"AAAAAE/+Xzw=")</f>
        <v>#REF!</v>
      </c>
      <c r="BJ208" t="e">
        <f>AND(Confirmations!#REF!,"AAAAAE/+Xz0=")</f>
        <v>#REF!</v>
      </c>
      <c r="BK208" t="e">
        <f>AND(Confirmations!#REF!,"AAAAAE/+Xz4=")</f>
        <v>#REF!</v>
      </c>
      <c r="BL208">
        <f>IF(Confirmations!32:32,"AAAAAE/+Xz8=",0)</f>
        <v>0</v>
      </c>
      <c r="BM208" t="e">
        <f>AND(Confirmations!#REF!,"AAAAAE/+X0A=")</f>
        <v>#REF!</v>
      </c>
      <c r="BN208" t="e">
        <f>AND(Confirmations!A32,"AAAAAE/+X0E=")</f>
        <v>#VALUE!</v>
      </c>
      <c r="BO208" t="e">
        <f>AND(Confirmations!B32,"AAAAAE/+X0I=")</f>
        <v>#VALUE!</v>
      </c>
      <c r="BP208" t="e">
        <f>AND(Confirmations!C32,"AAAAAE/+X0M=")</f>
        <v>#VALUE!</v>
      </c>
      <c r="BQ208" t="e">
        <f>AND(Confirmations!#REF!,"AAAAAE/+X0Q=")</f>
        <v>#REF!</v>
      </c>
      <c r="BR208" t="e">
        <f>AND(Confirmations!#REF!,"AAAAAE/+X0U=")</f>
        <v>#REF!</v>
      </c>
      <c r="BS208" t="e">
        <f>AND(Confirmations!E32,"AAAAAE/+X0Y=")</f>
        <v>#VALUE!</v>
      </c>
      <c r="BT208" t="e">
        <f>AND(Confirmations!H32,"AAAAAE/+X0c=")</f>
        <v>#VALUE!</v>
      </c>
      <c r="BU208" t="e">
        <f>AND(Confirmations!#REF!,"AAAAAE/+X0g=")</f>
        <v>#REF!</v>
      </c>
      <c r="BV208" t="e">
        <f>AND(Confirmations!#REF!,"AAAAAE/+X0k=")</f>
        <v>#REF!</v>
      </c>
      <c r="BW208" t="e">
        <f>AND(Confirmations!#REF!,"AAAAAE/+X0o=")</f>
        <v>#REF!</v>
      </c>
      <c r="BX208" t="e">
        <f>AND(Confirmations!#REF!,"AAAAAE/+X0s=")</f>
        <v>#REF!</v>
      </c>
      <c r="BY208" t="e">
        <f>AND(Confirmations!#REF!,"AAAAAE/+X0w=")</f>
        <v>#REF!</v>
      </c>
      <c r="BZ208" t="e">
        <f>AND(Confirmations!#REF!,"AAAAAE/+X00=")</f>
        <v>#REF!</v>
      </c>
      <c r="CA208" t="e">
        <f>AND(Confirmations!#REF!,"AAAAAE/+X04=")</f>
        <v>#REF!</v>
      </c>
      <c r="CB208" t="e">
        <f>AND(Confirmations!#REF!,"AAAAAE/+X08=")</f>
        <v>#REF!</v>
      </c>
      <c r="CC208" t="e">
        <f>AND(Confirmations!#REF!,"AAAAAE/+X1A=")</f>
        <v>#REF!</v>
      </c>
      <c r="CD208">
        <f>IF(Confirmations!34:34,"AAAAAE/+X1E=",0)</f>
        <v>0</v>
      </c>
      <c r="CE208" t="e">
        <f>AND(Confirmations!#REF!,"AAAAAE/+X1I=")</f>
        <v>#REF!</v>
      </c>
      <c r="CF208" t="e">
        <f>AND(Confirmations!A34,"AAAAAE/+X1M=")</f>
        <v>#VALUE!</v>
      </c>
      <c r="CG208" t="e">
        <f>AND(Confirmations!B34,"AAAAAE/+X1Q=")</f>
        <v>#VALUE!</v>
      </c>
      <c r="CH208" t="e">
        <f>AND(Confirmations!C34,"AAAAAE/+X1U=")</f>
        <v>#VALUE!</v>
      </c>
      <c r="CI208" t="e">
        <f>AND(Confirmations!#REF!,"AAAAAE/+X1Y=")</f>
        <v>#REF!</v>
      </c>
      <c r="CJ208" t="e">
        <f>AND(Confirmations!#REF!,"AAAAAE/+X1c=")</f>
        <v>#REF!</v>
      </c>
      <c r="CK208" t="e">
        <f>AND(Confirmations!E34,"AAAAAE/+X1g=")</f>
        <v>#VALUE!</v>
      </c>
      <c r="CL208" t="e">
        <f>AND(Confirmations!H34,"AAAAAE/+X1k=")</f>
        <v>#VALUE!</v>
      </c>
      <c r="CM208" t="e">
        <f>AND(Confirmations!#REF!,"AAAAAE/+X1o=")</f>
        <v>#REF!</v>
      </c>
      <c r="CN208" t="e">
        <f>AND(Confirmations!#REF!,"AAAAAE/+X1s=")</f>
        <v>#REF!</v>
      </c>
      <c r="CO208" t="e">
        <f>AND(Confirmations!#REF!,"AAAAAE/+X1w=")</f>
        <v>#REF!</v>
      </c>
      <c r="CP208" t="e">
        <f>AND(Confirmations!#REF!,"AAAAAE/+X10=")</f>
        <v>#REF!</v>
      </c>
      <c r="CQ208" t="e">
        <f>AND(Confirmations!#REF!,"AAAAAE/+X14=")</f>
        <v>#REF!</v>
      </c>
      <c r="CR208" t="e">
        <f>AND(Confirmations!#REF!,"AAAAAE/+X18=")</f>
        <v>#REF!</v>
      </c>
      <c r="CS208" t="e">
        <f>AND(Confirmations!#REF!,"AAAAAE/+X2A=")</f>
        <v>#REF!</v>
      </c>
      <c r="CT208" t="e">
        <f>AND(Confirmations!#REF!,"AAAAAE/+X2E=")</f>
        <v>#REF!</v>
      </c>
      <c r="CU208" t="e">
        <f>AND(Confirmations!#REF!,"AAAAAE/+X2I=")</f>
        <v>#REF!</v>
      </c>
      <c r="CV208" t="e">
        <f>IF(Confirmations!#REF!,"AAAAAE/+X2M=",0)</f>
        <v>#REF!</v>
      </c>
      <c r="CW208" t="e">
        <f>AND(Confirmations!#REF!,"AAAAAE/+X2Q=")</f>
        <v>#REF!</v>
      </c>
      <c r="CX208" t="e">
        <f>AND(Confirmations!#REF!,"AAAAAE/+X2U=")</f>
        <v>#REF!</v>
      </c>
      <c r="CY208" t="e">
        <f>AND(Confirmations!#REF!,"AAAAAE/+X2Y=")</f>
        <v>#REF!</v>
      </c>
      <c r="CZ208" t="e">
        <f>AND(Confirmations!#REF!,"AAAAAE/+X2c=")</f>
        <v>#REF!</v>
      </c>
      <c r="DA208" t="e">
        <f>AND(Confirmations!#REF!,"AAAAAE/+X2g=")</f>
        <v>#REF!</v>
      </c>
      <c r="DB208" t="e">
        <f>AND(Confirmations!#REF!,"AAAAAE/+X2k=")</f>
        <v>#REF!</v>
      </c>
      <c r="DC208" t="e">
        <f>AND(Confirmations!#REF!,"AAAAAE/+X2o=")</f>
        <v>#REF!</v>
      </c>
      <c r="DD208" t="e">
        <f>AND(Confirmations!#REF!,"AAAAAE/+X2s=")</f>
        <v>#REF!</v>
      </c>
      <c r="DE208" t="e">
        <f>AND(Confirmations!#REF!,"AAAAAE/+X2w=")</f>
        <v>#REF!</v>
      </c>
      <c r="DF208" t="e">
        <f>AND(Confirmations!#REF!,"AAAAAE/+X20=")</f>
        <v>#REF!</v>
      </c>
      <c r="DG208" t="e">
        <f>AND(Confirmations!#REF!,"AAAAAE/+X24=")</f>
        <v>#REF!</v>
      </c>
      <c r="DH208" t="e">
        <f>AND(Confirmations!#REF!,"AAAAAE/+X28=")</f>
        <v>#REF!</v>
      </c>
      <c r="DI208" t="e">
        <f>AND(Confirmations!#REF!,"AAAAAE/+X3A=")</f>
        <v>#REF!</v>
      </c>
      <c r="DJ208" t="e">
        <f>AND(Confirmations!#REF!,"AAAAAE/+X3E=")</f>
        <v>#REF!</v>
      </c>
      <c r="DK208" t="e">
        <f>AND(Confirmations!#REF!,"AAAAAE/+X3I=")</f>
        <v>#REF!</v>
      </c>
      <c r="DL208" t="e">
        <f>AND(Confirmations!#REF!,"AAAAAE/+X3M=")</f>
        <v>#REF!</v>
      </c>
      <c r="DM208" t="e">
        <f>AND(Confirmations!#REF!,"AAAAAE/+X3Q=")</f>
        <v>#REF!</v>
      </c>
      <c r="DN208">
        <f>IF(Confirmations!35:35,"AAAAAE/+X3U=",0)</f>
        <v>0</v>
      </c>
      <c r="DO208" t="e">
        <f>AND(Confirmations!#REF!,"AAAAAE/+X3Y=")</f>
        <v>#REF!</v>
      </c>
      <c r="DP208" t="e">
        <f>AND(Confirmations!A35,"AAAAAE/+X3c=")</f>
        <v>#VALUE!</v>
      </c>
      <c r="DQ208" t="e">
        <f>AND(Confirmations!B35,"AAAAAE/+X3g=")</f>
        <v>#VALUE!</v>
      </c>
      <c r="DR208" t="e">
        <f>AND(Confirmations!C35,"AAAAAE/+X3k=")</f>
        <v>#VALUE!</v>
      </c>
      <c r="DS208" t="e">
        <f>AND(Confirmations!#REF!,"AAAAAE/+X3o=")</f>
        <v>#REF!</v>
      </c>
      <c r="DT208" t="e">
        <f>AND(Confirmations!#REF!,"AAAAAE/+X3s=")</f>
        <v>#REF!</v>
      </c>
      <c r="DU208" t="e">
        <f>AND(Confirmations!E35,"AAAAAE/+X3w=")</f>
        <v>#VALUE!</v>
      </c>
      <c r="DV208" t="e">
        <f>AND(Confirmations!H35,"AAAAAE/+X30=")</f>
        <v>#VALUE!</v>
      </c>
      <c r="DW208" t="e">
        <f>AND(Confirmations!#REF!,"AAAAAE/+X34=")</f>
        <v>#REF!</v>
      </c>
      <c r="DX208" t="e">
        <f>AND(Confirmations!#REF!,"AAAAAE/+X38=")</f>
        <v>#REF!</v>
      </c>
      <c r="DY208" t="e">
        <f>AND(Confirmations!#REF!,"AAAAAE/+X4A=")</f>
        <v>#REF!</v>
      </c>
      <c r="DZ208" t="e">
        <f>AND(Confirmations!#REF!,"AAAAAE/+X4E=")</f>
        <v>#REF!</v>
      </c>
      <c r="EA208" t="e">
        <f>AND(Confirmations!#REF!,"AAAAAE/+X4I=")</f>
        <v>#REF!</v>
      </c>
      <c r="EB208" t="e">
        <f>AND(Confirmations!#REF!,"AAAAAE/+X4M=")</f>
        <v>#REF!</v>
      </c>
      <c r="EC208" t="e">
        <f>AND(Confirmations!#REF!,"AAAAAE/+X4Q=")</f>
        <v>#REF!</v>
      </c>
      <c r="ED208" t="e">
        <f>AND(Confirmations!#REF!,"AAAAAE/+X4U=")</f>
        <v>#REF!</v>
      </c>
      <c r="EE208" t="e">
        <f>AND(Confirmations!#REF!,"AAAAAE/+X4Y=")</f>
        <v>#REF!</v>
      </c>
      <c r="EF208" t="e">
        <f>IF(Confirmations!#REF!,"AAAAAE/+X4c=",0)</f>
        <v>#REF!</v>
      </c>
      <c r="EG208" t="e">
        <f>AND(Confirmations!#REF!,"AAAAAE/+X4g=")</f>
        <v>#REF!</v>
      </c>
      <c r="EH208" t="e">
        <f>AND(Confirmations!#REF!,"AAAAAE/+X4k=")</f>
        <v>#REF!</v>
      </c>
      <c r="EI208" t="e">
        <f>AND(Confirmations!#REF!,"AAAAAE/+X4o=")</f>
        <v>#REF!</v>
      </c>
      <c r="EJ208" t="e">
        <f>AND(Confirmations!#REF!,"AAAAAE/+X4s=")</f>
        <v>#REF!</v>
      </c>
      <c r="EK208" t="e">
        <f>AND(Confirmations!#REF!,"AAAAAE/+X4w=")</f>
        <v>#REF!</v>
      </c>
      <c r="EL208" t="e">
        <f>AND(Confirmations!#REF!,"AAAAAE/+X40=")</f>
        <v>#REF!</v>
      </c>
      <c r="EM208" t="e">
        <f>AND(Confirmations!#REF!,"AAAAAE/+X44=")</f>
        <v>#REF!</v>
      </c>
      <c r="EN208" t="e">
        <f>AND(Confirmations!#REF!,"AAAAAE/+X48=")</f>
        <v>#REF!</v>
      </c>
      <c r="EO208" t="e">
        <f>AND(Confirmations!#REF!,"AAAAAE/+X5A=")</f>
        <v>#REF!</v>
      </c>
      <c r="EP208" t="e">
        <f>AND(Confirmations!#REF!,"AAAAAE/+X5E=")</f>
        <v>#REF!</v>
      </c>
      <c r="EQ208" t="e">
        <f>AND(Confirmations!#REF!,"AAAAAE/+X5I=")</f>
        <v>#REF!</v>
      </c>
      <c r="ER208" t="e">
        <f>AND(Confirmations!#REF!,"AAAAAE/+X5M=")</f>
        <v>#REF!</v>
      </c>
      <c r="ES208" t="e">
        <f>AND(Confirmations!#REF!,"AAAAAE/+X5Q=")</f>
        <v>#REF!</v>
      </c>
      <c r="ET208" t="e">
        <f>AND(Confirmations!#REF!,"AAAAAE/+X5U=")</f>
        <v>#REF!</v>
      </c>
      <c r="EU208" t="e">
        <f>AND(Confirmations!#REF!,"AAAAAE/+X5Y=")</f>
        <v>#REF!</v>
      </c>
      <c r="EV208" t="e">
        <f>AND(Confirmations!#REF!,"AAAAAE/+X5c=")</f>
        <v>#REF!</v>
      </c>
      <c r="EW208" t="e">
        <f>AND(Confirmations!#REF!,"AAAAAE/+X5g=")</f>
        <v>#REF!</v>
      </c>
      <c r="EX208" t="e">
        <f>IF(Confirmations!#REF!,"AAAAAE/+X5k=",0)</f>
        <v>#REF!</v>
      </c>
      <c r="EY208" t="e">
        <f>AND(Confirmations!#REF!,"AAAAAE/+X5o=")</f>
        <v>#REF!</v>
      </c>
      <c r="EZ208" t="e">
        <f>AND(Confirmations!#REF!,"AAAAAE/+X5s=")</f>
        <v>#REF!</v>
      </c>
      <c r="FA208" t="e">
        <f>AND(Confirmations!#REF!,"AAAAAE/+X5w=")</f>
        <v>#REF!</v>
      </c>
      <c r="FB208" t="e">
        <f>AND(Confirmations!#REF!,"AAAAAE/+X50=")</f>
        <v>#REF!</v>
      </c>
      <c r="FC208" t="e">
        <f>AND(Confirmations!#REF!,"AAAAAE/+X54=")</f>
        <v>#REF!</v>
      </c>
      <c r="FD208" t="e">
        <f>AND(Confirmations!#REF!,"AAAAAE/+X58=")</f>
        <v>#REF!</v>
      </c>
      <c r="FE208" t="e">
        <f>AND(Confirmations!#REF!,"AAAAAE/+X6A=")</f>
        <v>#REF!</v>
      </c>
      <c r="FF208" t="e">
        <f>AND(Confirmations!#REF!,"AAAAAE/+X6E=")</f>
        <v>#REF!</v>
      </c>
      <c r="FG208" t="e">
        <f>AND(Confirmations!#REF!,"AAAAAE/+X6I=")</f>
        <v>#REF!</v>
      </c>
      <c r="FH208" t="e">
        <f>AND(Confirmations!#REF!,"AAAAAE/+X6M=")</f>
        <v>#REF!</v>
      </c>
      <c r="FI208" t="e">
        <f>AND(Confirmations!#REF!,"AAAAAE/+X6Q=")</f>
        <v>#REF!</v>
      </c>
      <c r="FJ208" t="e">
        <f>AND(Confirmations!#REF!,"AAAAAE/+X6U=")</f>
        <v>#REF!</v>
      </c>
      <c r="FK208" t="e">
        <f>AND(Confirmations!#REF!,"AAAAAE/+X6Y=")</f>
        <v>#REF!</v>
      </c>
      <c r="FL208" t="e">
        <f>AND(Confirmations!#REF!,"AAAAAE/+X6c=")</f>
        <v>#REF!</v>
      </c>
      <c r="FM208" t="e">
        <f>AND(Confirmations!#REF!,"AAAAAE/+X6g=")</f>
        <v>#REF!</v>
      </c>
      <c r="FN208" t="e">
        <f>AND(Confirmations!#REF!,"AAAAAE/+X6k=")</f>
        <v>#REF!</v>
      </c>
      <c r="FO208" t="e">
        <f>AND(Confirmations!#REF!,"AAAAAE/+X6o=")</f>
        <v>#REF!</v>
      </c>
      <c r="FP208" t="e">
        <f>IF(Confirmations!#REF!,"AAAAAE/+X6s=",0)</f>
        <v>#REF!</v>
      </c>
      <c r="FQ208" t="e">
        <f>AND(Confirmations!#REF!,"AAAAAE/+X6w=")</f>
        <v>#REF!</v>
      </c>
      <c r="FR208" t="e">
        <f>AND(Confirmations!#REF!,"AAAAAE/+X60=")</f>
        <v>#REF!</v>
      </c>
      <c r="FS208" t="e">
        <f>AND(Confirmations!#REF!,"AAAAAE/+X64=")</f>
        <v>#REF!</v>
      </c>
      <c r="FT208" t="e">
        <f>AND(Confirmations!#REF!,"AAAAAE/+X68=")</f>
        <v>#REF!</v>
      </c>
      <c r="FU208" t="e">
        <f>AND(Confirmations!#REF!,"AAAAAE/+X7A=")</f>
        <v>#REF!</v>
      </c>
      <c r="FV208" t="e">
        <f>AND(Confirmations!#REF!,"AAAAAE/+X7E=")</f>
        <v>#REF!</v>
      </c>
      <c r="FW208" t="e">
        <f>AND(Confirmations!#REF!,"AAAAAE/+X7I=")</f>
        <v>#REF!</v>
      </c>
      <c r="FX208" t="e">
        <f>AND(Confirmations!#REF!,"AAAAAE/+X7M=")</f>
        <v>#REF!</v>
      </c>
      <c r="FY208" t="e">
        <f>AND(Confirmations!#REF!,"AAAAAE/+X7Q=")</f>
        <v>#REF!</v>
      </c>
      <c r="FZ208" t="e">
        <f>AND(Confirmations!#REF!,"AAAAAE/+X7U=")</f>
        <v>#REF!</v>
      </c>
      <c r="GA208" t="e">
        <f>AND(Confirmations!#REF!,"AAAAAE/+X7Y=")</f>
        <v>#REF!</v>
      </c>
      <c r="GB208" t="e">
        <f>AND(Confirmations!#REF!,"AAAAAE/+X7c=")</f>
        <v>#REF!</v>
      </c>
      <c r="GC208" t="e">
        <f>AND(Confirmations!#REF!,"AAAAAE/+X7g=")</f>
        <v>#REF!</v>
      </c>
      <c r="GD208" t="e">
        <f>AND(Confirmations!#REF!,"AAAAAE/+X7k=")</f>
        <v>#REF!</v>
      </c>
      <c r="GE208" t="e">
        <f>AND(Confirmations!#REF!,"AAAAAE/+X7o=")</f>
        <v>#REF!</v>
      </c>
      <c r="GF208" t="e">
        <f>AND(Confirmations!#REF!,"AAAAAE/+X7s=")</f>
        <v>#REF!</v>
      </c>
      <c r="GG208" t="e">
        <f>AND(Confirmations!#REF!,"AAAAAE/+X7w=")</f>
        <v>#REF!</v>
      </c>
      <c r="GH208">
        <f>IF(Confirmations!36:36,"AAAAAE/+X70=",0)</f>
        <v>0</v>
      </c>
      <c r="GI208" t="e">
        <f>AND(Confirmations!#REF!,"AAAAAE/+X74=")</f>
        <v>#REF!</v>
      </c>
      <c r="GJ208" t="e">
        <f>AND(Confirmations!A36,"AAAAAE/+X78=")</f>
        <v>#VALUE!</v>
      </c>
      <c r="GK208" t="e">
        <f>AND(Confirmations!B36,"AAAAAE/+X8A=")</f>
        <v>#VALUE!</v>
      </c>
      <c r="GL208" t="e">
        <f>AND(Confirmations!C36,"AAAAAE/+X8E=")</f>
        <v>#VALUE!</v>
      </c>
      <c r="GM208" t="e">
        <f>AND(Confirmations!D36,"AAAAAE/+X8I=")</f>
        <v>#VALUE!</v>
      </c>
      <c r="GN208" t="e">
        <f>AND(Confirmations!E36,"AAAAAE/+X8M=")</f>
        <v>#VALUE!</v>
      </c>
      <c r="GO208" t="e">
        <f>AND(Confirmations!F36,"AAAAAE/+X8Q=")</f>
        <v>#VALUE!</v>
      </c>
      <c r="GP208" t="e">
        <f>AND(Confirmations!G36,"AAAAAE/+X8U=")</f>
        <v>#VALUE!</v>
      </c>
      <c r="GQ208" t="e">
        <f>AND(Confirmations!H36,"AAAAAE/+X8Y=")</f>
        <v>#VALUE!</v>
      </c>
      <c r="GR208" t="e">
        <f>AND(Confirmations!I36,"AAAAAE/+X8c=")</f>
        <v>#VALUE!</v>
      </c>
      <c r="GS208" t="e">
        <f>AND(Confirmations!#REF!,"AAAAAE/+X8g=")</f>
        <v>#REF!</v>
      </c>
      <c r="GT208" t="e">
        <f>AND(Confirmations!#REF!,"AAAAAE/+X8k=")</f>
        <v>#REF!</v>
      </c>
      <c r="GU208" t="e">
        <f>AND(Confirmations!#REF!,"AAAAAE/+X8o=")</f>
        <v>#REF!</v>
      </c>
      <c r="GV208" t="e">
        <f>AND(Confirmations!#REF!,"AAAAAE/+X8s=")</f>
        <v>#REF!</v>
      </c>
      <c r="GW208" t="e">
        <f>AND(Confirmations!J36,"AAAAAE/+X8w=")</f>
        <v>#VALUE!</v>
      </c>
      <c r="GX208" t="e">
        <f>AND(Confirmations!K36,"AAAAAE/+X80=")</f>
        <v>#VALUE!</v>
      </c>
      <c r="GY208" t="e">
        <f>AND(Confirmations!L36,"AAAAAE/+X84=")</f>
        <v>#VALUE!</v>
      </c>
      <c r="GZ208" t="e">
        <f>IF(Confirmations!#REF!,"AAAAAE/+X88=",0)</f>
        <v>#REF!</v>
      </c>
      <c r="HA208" t="e">
        <f>AND(Confirmations!#REF!,"AAAAAE/+X9A=")</f>
        <v>#REF!</v>
      </c>
      <c r="HB208" t="e">
        <f>AND(Confirmations!#REF!,"AAAAAE/+X9E=")</f>
        <v>#REF!</v>
      </c>
      <c r="HC208" t="e">
        <f>AND(Confirmations!#REF!,"AAAAAE/+X9I=")</f>
        <v>#REF!</v>
      </c>
      <c r="HD208" t="e">
        <f>AND(Confirmations!#REF!,"AAAAAE/+X9M=")</f>
        <v>#REF!</v>
      </c>
      <c r="HE208" t="e">
        <f>AND(Confirmations!#REF!,"AAAAAE/+X9Q=")</f>
        <v>#REF!</v>
      </c>
      <c r="HF208" t="e">
        <f>AND(Confirmations!#REF!,"AAAAAE/+X9U=")</f>
        <v>#REF!</v>
      </c>
      <c r="HG208" t="e">
        <f>AND(Confirmations!#REF!,"AAAAAE/+X9Y=")</f>
        <v>#REF!</v>
      </c>
      <c r="HH208" t="e">
        <f>AND(Confirmations!#REF!,"AAAAAE/+X9c=")</f>
        <v>#REF!</v>
      </c>
      <c r="HI208" t="e">
        <f>AND(Confirmations!#REF!,"AAAAAE/+X9g=")</f>
        <v>#REF!</v>
      </c>
      <c r="HJ208" t="e">
        <f>AND(Confirmations!#REF!,"AAAAAE/+X9k=")</f>
        <v>#REF!</v>
      </c>
      <c r="HK208" t="e">
        <f>AND(Confirmations!#REF!,"AAAAAE/+X9o=")</f>
        <v>#REF!</v>
      </c>
      <c r="HL208" t="e">
        <f>AND(Confirmations!#REF!,"AAAAAE/+X9s=")</f>
        <v>#REF!</v>
      </c>
      <c r="HM208" t="e">
        <f>AND(Confirmations!#REF!,"AAAAAE/+X9w=")</f>
        <v>#REF!</v>
      </c>
      <c r="HN208" t="e">
        <f>AND(Confirmations!#REF!,"AAAAAE/+X90=")</f>
        <v>#REF!</v>
      </c>
      <c r="HO208" t="e">
        <f>AND(Confirmations!#REF!,"AAAAAE/+X94=")</f>
        <v>#REF!</v>
      </c>
      <c r="HP208" t="e">
        <f>AND(Confirmations!#REF!,"AAAAAE/+X98=")</f>
        <v>#REF!</v>
      </c>
      <c r="HQ208" t="e">
        <f>AND(Confirmations!#REF!,"AAAAAE/+X+A=")</f>
        <v>#REF!</v>
      </c>
      <c r="HR208" t="e">
        <f>IF(Confirmations!#REF!,"AAAAAE/+X+E=",0)</f>
        <v>#REF!</v>
      </c>
      <c r="HS208" t="e">
        <f>AND(Confirmations!#REF!,"AAAAAE/+X+I=")</f>
        <v>#REF!</v>
      </c>
      <c r="HT208" t="e">
        <f>AND(Confirmations!#REF!,"AAAAAE/+X+M=")</f>
        <v>#REF!</v>
      </c>
      <c r="HU208" t="e">
        <f>AND(Confirmations!#REF!,"AAAAAE/+X+Q=")</f>
        <v>#REF!</v>
      </c>
      <c r="HV208" t="e">
        <f>AND(Confirmations!#REF!,"AAAAAE/+X+U=")</f>
        <v>#REF!</v>
      </c>
      <c r="HW208" t="e">
        <f>AND(Confirmations!#REF!,"AAAAAE/+X+Y=")</f>
        <v>#REF!</v>
      </c>
      <c r="HX208" t="e">
        <f>AND(Confirmations!#REF!,"AAAAAE/+X+c=")</f>
        <v>#REF!</v>
      </c>
      <c r="HY208" t="e">
        <f>AND(Confirmations!#REF!,"AAAAAE/+X+g=")</f>
        <v>#REF!</v>
      </c>
      <c r="HZ208" t="e">
        <f>AND(Confirmations!#REF!,"AAAAAE/+X+k=")</f>
        <v>#REF!</v>
      </c>
      <c r="IA208" t="e">
        <f>AND(Confirmations!#REF!,"AAAAAE/+X+o=")</f>
        <v>#REF!</v>
      </c>
      <c r="IB208" t="e">
        <f>AND(Confirmations!#REF!,"AAAAAE/+X+s=")</f>
        <v>#REF!</v>
      </c>
      <c r="IC208" t="e">
        <f>AND(Confirmations!#REF!,"AAAAAE/+X+w=")</f>
        <v>#REF!</v>
      </c>
      <c r="ID208" t="e">
        <f>AND(Confirmations!#REF!,"AAAAAE/+X+0=")</f>
        <v>#REF!</v>
      </c>
      <c r="IE208" t="e">
        <f>AND(Confirmations!#REF!,"AAAAAE/+X+4=")</f>
        <v>#REF!</v>
      </c>
      <c r="IF208" t="e">
        <f>AND(Confirmations!#REF!,"AAAAAE/+X+8=")</f>
        <v>#REF!</v>
      </c>
      <c r="IG208" t="e">
        <f>AND(Confirmations!#REF!,"AAAAAE/+X/A=")</f>
        <v>#REF!</v>
      </c>
      <c r="IH208" t="e">
        <f>AND(Confirmations!#REF!,"AAAAAE/+X/E=")</f>
        <v>#REF!</v>
      </c>
      <c r="II208" t="e">
        <f>AND(Confirmations!#REF!,"AAAAAE/+X/I=")</f>
        <v>#REF!</v>
      </c>
      <c r="IJ208" t="e">
        <f>IF(Confirmations!#REF!,"AAAAAE/+X/M=",0)</f>
        <v>#REF!</v>
      </c>
      <c r="IK208" t="e">
        <f>AND(Confirmations!#REF!,"AAAAAE/+X/Q=")</f>
        <v>#REF!</v>
      </c>
      <c r="IL208" t="e">
        <f>AND(Confirmations!#REF!,"AAAAAE/+X/U=")</f>
        <v>#REF!</v>
      </c>
      <c r="IM208" t="e">
        <f>AND(Confirmations!#REF!,"AAAAAE/+X/Y=")</f>
        <v>#REF!</v>
      </c>
      <c r="IN208" t="e">
        <f>AND(Confirmations!#REF!,"AAAAAE/+X/c=")</f>
        <v>#REF!</v>
      </c>
      <c r="IO208" t="e">
        <f>AND(Confirmations!#REF!,"AAAAAE/+X/g=")</f>
        <v>#REF!</v>
      </c>
      <c r="IP208" t="e">
        <f>AND(Confirmations!#REF!,"AAAAAE/+X/k=")</f>
        <v>#REF!</v>
      </c>
      <c r="IQ208" t="e">
        <f>AND(Confirmations!#REF!,"AAAAAE/+X/o=")</f>
        <v>#REF!</v>
      </c>
      <c r="IR208" t="e">
        <f>AND(Confirmations!#REF!,"AAAAAE/+X/s=")</f>
        <v>#REF!</v>
      </c>
      <c r="IS208" t="e">
        <f>AND(Confirmations!#REF!,"AAAAAE/+X/w=")</f>
        <v>#REF!</v>
      </c>
      <c r="IT208" t="e">
        <f>AND(Confirmations!#REF!,"AAAAAE/+X/0=")</f>
        <v>#REF!</v>
      </c>
      <c r="IU208" t="e">
        <f>AND(Confirmations!#REF!,"AAAAAE/+X/4=")</f>
        <v>#REF!</v>
      </c>
      <c r="IV208" t="e">
        <f>AND(Confirmations!#REF!,"AAAAAE/+X/8=")</f>
        <v>#REF!</v>
      </c>
    </row>
    <row r="209" spans="1:256" x14ac:dyDescent="0.2">
      <c r="A209" t="e">
        <f>AND(Confirmations!#REF!,"AAAAAAd57wA=")</f>
        <v>#REF!</v>
      </c>
      <c r="B209" t="e">
        <f>AND(Confirmations!#REF!,"AAAAAAd57wE=")</f>
        <v>#REF!</v>
      </c>
      <c r="C209" t="e">
        <f>AND(Confirmations!#REF!,"AAAAAAd57wI=")</f>
        <v>#REF!</v>
      </c>
      <c r="D209" t="e">
        <f>AND(Confirmations!#REF!,"AAAAAAd57wM=")</f>
        <v>#REF!</v>
      </c>
      <c r="E209" t="e">
        <f>AND(Confirmations!#REF!,"AAAAAAd57wQ=")</f>
        <v>#REF!</v>
      </c>
      <c r="F209" t="e">
        <f>IF(Confirmations!#REF!,"AAAAAAd57wU=",0)</f>
        <v>#REF!</v>
      </c>
      <c r="G209" t="e">
        <f>AND(Confirmations!#REF!,"AAAAAAd57wY=")</f>
        <v>#REF!</v>
      </c>
      <c r="H209" t="e">
        <f>AND(Confirmations!#REF!,"AAAAAAd57wc=")</f>
        <v>#REF!</v>
      </c>
      <c r="I209" t="e">
        <f>AND(Confirmations!#REF!,"AAAAAAd57wg=")</f>
        <v>#REF!</v>
      </c>
      <c r="J209" t="e">
        <f>AND(Confirmations!#REF!,"AAAAAAd57wk=")</f>
        <v>#REF!</v>
      </c>
      <c r="K209" t="e">
        <f>AND(Confirmations!#REF!,"AAAAAAd57wo=")</f>
        <v>#REF!</v>
      </c>
      <c r="L209" t="e">
        <f>AND(Confirmations!#REF!,"AAAAAAd57ws=")</f>
        <v>#REF!</v>
      </c>
      <c r="M209" t="e">
        <f>AND(Confirmations!#REF!,"AAAAAAd57ww=")</f>
        <v>#REF!</v>
      </c>
      <c r="N209" t="e">
        <f>AND(Confirmations!#REF!,"AAAAAAd57w0=")</f>
        <v>#REF!</v>
      </c>
      <c r="O209" t="e">
        <f>AND(Confirmations!#REF!,"AAAAAAd57w4=")</f>
        <v>#REF!</v>
      </c>
      <c r="P209" t="e">
        <f>AND(Confirmations!#REF!,"AAAAAAd57w8=")</f>
        <v>#REF!</v>
      </c>
      <c r="Q209" t="e">
        <f>AND(Confirmations!#REF!,"AAAAAAd57xA=")</f>
        <v>#REF!</v>
      </c>
      <c r="R209" t="e">
        <f>AND(Confirmations!#REF!,"AAAAAAd57xE=")</f>
        <v>#REF!</v>
      </c>
      <c r="S209" t="e">
        <f>AND(Confirmations!#REF!,"AAAAAAd57xI=")</f>
        <v>#REF!</v>
      </c>
      <c r="T209" t="e">
        <f>AND(Confirmations!#REF!,"AAAAAAd57xM=")</f>
        <v>#REF!</v>
      </c>
      <c r="U209" t="e">
        <f>AND(Confirmations!#REF!,"AAAAAAd57xQ=")</f>
        <v>#REF!</v>
      </c>
      <c r="V209" t="e">
        <f>AND(Confirmations!#REF!,"AAAAAAd57xU=")</f>
        <v>#REF!</v>
      </c>
      <c r="W209" t="e">
        <f>AND(Confirmations!#REF!,"AAAAAAd57xY=")</f>
        <v>#REF!</v>
      </c>
      <c r="X209" t="e">
        <f>IF(Confirmations!#REF!,"AAAAAAd57xc=",0)</f>
        <v>#REF!</v>
      </c>
      <c r="Y209" t="e">
        <f>AND(Confirmations!#REF!,"AAAAAAd57xg=")</f>
        <v>#REF!</v>
      </c>
      <c r="Z209" t="e">
        <f>AND(Confirmations!#REF!,"AAAAAAd57xk=")</f>
        <v>#REF!</v>
      </c>
      <c r="AA209" t="e">
        <f>AND(Confirmations!#REF!,"AAAAAAd57xo=")</f>
        <v>#REF!</v>
      </c>
      <c r="AB209" t="e">
        <f>AND(Confirmations!#REF!,"AAAAAAd57xs=")</f>
        <v>#REF!</v>
      </c>
      <c r="AC209" t="e">
        <f>AND(Confirmations!#REF!,"AAAAAAd57xw=")</f>
        <v>#REF!</v>
      </c>
      <c r="AD209" t="e">
        <f>AND(Confirmations!#REF!,"AAAAAAd57x0=")</f>
        <v>#REF!</v>
      </c>
      <c r="AE209" t="e">
        <f>AND(Confirmations!#REF!,"AAAAAAd57x4=")</f>
        <v>#REF!</v>
      </c>
      <c r="AF209" t="e">
        <f>AND(Confirmations!#REF!,"AAAAAAd57x8=")</f>
        <v>#REF!</v>
      </c>
      <c r="AG209" t="e">
        <f>AND(Confirmations!#REF!,"AAAAAAd57yA=")</f>
        <v>#REF!</v>
      </c>
      <c r="AH209" t="e">
        <f>AND(Confirmations!#REF!,"AAAAAAd57yE=")</f>
        <v>#REF!</v>
      </c>
      <c r="AI209" t="e">
        <f>AND(Confirmations!#REF!,"AAAAAAd57yI=")</f>
        <v>#REF!</v>
      </c>
      <c r="AJ209" t="e">
        <f>AND(Confirmations!#REF!,"AAAAAAd57yM=")</f>
        <v>#REF!</v>
      </c>
      <c r="AK209" t="e">
        <f>AND(Confirmations!#REF!,"AAAAAAd57yQ=")</f>
        <v>#REF!</v>
      </c>
      <c r="AL209" t="e">
        <f>AND(Confirmations!#REF!,"AAAAAAd57yU=")</f>
        <v>#REF!</v>
      </c>
      <c r="AM209" t="e">
        <f>AND(Confirmations!#REF!,"AAAAAAd57yY=")</f>
        <v>#REF!</v>
      </c>
      <c r="AN209" t="e">
        <f>AND(Confirmations!#REF!,"AAAAAAd57yc=")</f>
        <v>#REF!</v>
      </c>
      <c r="AO209" t="e">
        <f>AND(Confirmations!#REF!,"AAAAAAd57yg=")</f>
        <v>#REF!</v>
      </c>
      <c r="AP209" t="e">
        <f>IF(Confirmations!#REF!,"AAAAAAd57yk=",0)</f>
        <v>#REF!</v>
      </c>
      <c r="AQ209" t="e">
        <f>AND(Confirmations!#REF!,"AAAAAAd57yo=")</f>
        <v>#REF!</v>
      </c>
      <c r="AR209" t="e">
        <f>AND(Confirmations!#REF!,"AAAAAAd57ys=")</f>
        <v>#REF!</v>
      </c>
      <c r="AS209" t="e">
        <f>AND(Confirmations!#REF!,"AAAAAAd57yw=")</f>
        <v>#REF!</v>
      </c>
      <c r="AT209" t="e">
        <f>AND(Confirmations!#REF!,"AAAAAAd57y0=")</f>
        <v>#REF!</v>
      </c>
      <c r="AU209" t="e">
        <f>AND(Confirmations!#REF!,"AAAAAAd57y4=")</f>
        <v>#REF!</v>
      </c>
      <c r="AV209" t="e">
        <f>AND(Confirmations!#REF!,"AAAAAAd57y8=")</f>
        <v>#REF!</v>
      </c>
      <c r="AW209" t="e">
        <f>AND(Confirmations!#REF!,"AAAAAAd57zA=")</f>
        <v>#REF!</v>
      </c>
      <c r="AX209" t="e">
        <f>AND(Confirmations!#REF!,"AAAAAAd57zE=")</f>
        <v>#REF!</v>
      </c>
      <c r="AY209" t="e">
        <f>AND(Confirmations!#REF!,"AAAAAAd57zI=")</f>
        <v>#REF!</v>
      </c>
      <c r="AZ209" t="e">
        <f>AND(Confirmations!#REF!,"AAAAAAd57zM=")</f>
        <v>#REF!</v>
      </c>
      <c r="BA209" t="e">
        <f>AND(Confirmations!#REF!,"AAAAAAd57zQ=")</f>
        <v>#REF!</v>
      </c>
      <c r="BB209" t="e">
        <f>AND(Confirmations!#REF!,"AAAAAAd57zU=")</f>
        <v>#REF!</v>
      </c>
      <c r="BC209" t="e">
        <f>AND(Confirmations!#REF!,"AAAAAAd57zY=")</f>
        <v>#REF!</v>
      </c>
      <c r="BD209" t="e">
        <f>AND(Confirmations!#REF!,"AAAAAAd57zc=")</f>
        <v>#REF!</v>
      </c>
      <c r="BE209" t="e">
        <f>AND(Confirmations!#REF!,"AAAAAAd57zg=")</f>
        <v>#REF!</v>
      </c>
      <c r="BF209" t="e">
        <f>AND(Confirmations!#REF!,"AAAAAAd57zk=")</f>
        <v>#REF!</v>
      </c>
      <c r="BG209" t="e">
        <f>AND(Confirmations!#REF!,"AAAAAAd57zo=")</f>
        <v>#REF!</v>
      </c>
      <c r="BH209" t="e">
        <f>IF(Confirmations!#REF!,"AAAAAAd57zs=",0)</f>
        <v>#REF!</v>
      </c>
      <c r="BI209" t="e">
        <f>AND(Confirmations!#REF!,"AAAAAAd57zw=")</f>
        <v>#REF!</v>
      </c>
      <c r="BJ209" t="e">
        <f>AND(Confirmations!#REF!,"AAAAAAd57z0=")</f>
        <v>#REF!</v>
      </c>
      <c r="BK209" t="e">
        <f>AND(Confirmations!#REF!,"AAAAAAd57z4=")</f>
        <v>#REF!</v>
      </c>
      <c r="BL209" t="e">
        <f>AND(Confirmations!#REF!,"AAAAAAd57z8=")</f>
        <v>#REF!</v>
      </c>
      <c r="BM209" t="e">
        <f>AND(Confirmations!#REF!,"AAAAAAd570A=")</f>
        <v>#REF!</v>
      </c>
      <c r="BN209" t="e">
        <f>AND(Confirmations!#REF!,"AAAAAAd570E=")</f>
        <v>#REF!</v>
      </c>
      <c r="BO209" t="e">
        <f>AND(Confirmations!#REF!,"AAAAAAd570I=")</f>
        <v>#REF!</v>
      </c>
      <c r="BP209" t="e">
        <f>AND(Confirmations!#REF!,"AAAAAAd570M=")</f>
        <v>#REF!</v>
      </c>
      <c r="BQ209" t="e">
        <f>AND(Confirmations!#REF!,"AAAAAAd570Q=")</f>
        <v>#REF!</v>
      </c>
      <c r="BR209" t="e">
        <f>AND(Confirmations!#REF!,"AAAAAAd570U=")</f>
        <v>#REF!</v>
      </c>
      <c r="BS209" t="e">
        <f>AND(Confirmations!#REF!,"AAAAAAd570Y=")</f>
        <v>#REF!</v>
      </c>
      <c r="BT209" t="e">
        <f>AND(Confirmations!#REF!,"AAAAAAd570c=")</f>
        <v>#REF!</v>
      </c>
      <c r="BU209" t="e">
        <f>AND(Confirmations!#REF!,"AAAAAAd570g=")</f>
        <v>#REF!</v>
      </c>
      <c r="BV209" t="e">
        <f>AND(Confirmations!#REF!,"AAAAAAd570k=")</f>
        <v>#REF!</v>
      </c>
      <c r="BW209" t="e">
        <f>AND(Confirmations!#REF!,"AAAAAAd570o=")</f>
        <v>#REF!</v>
      </c>
      <c r="BX209" t="e">
        <f>AND(Confirmations!#REF!,"AAAAAAd570s=")</f>
        <v>#REF!</v>
      </c>
      <c r="BY209" t="e">
        <f>AND(Confirmations!#REF!,"AAAAAAd570w=")</f>
        <v>#REF!</v>
      </c>
      <c r="BZ209" t="e">
        <f>IF(Confirmations!#REF!,"AAAAAAd5700=",0)</f>
        <v>#REF!</v>
      </c>
      <c r="CA209" t="e">
        <f>AND(Confirmations!#REF!,"AAAAAAd5704=")</f>
        <v>#REF!</v>
      </c>
      <c r="CB209" t="e">
        <f>AND(Confirmations!#REF!,"AAAAAAd5708=")</f>
        <v>#REF!</v>
      </c>
      <c r="CC209" t="e">
        <f>AND(Confirmations!#REF!,"AAAAAAd571A=")</f>
        <v>#REF!</v>
      </c>
      <c r="CD209" t="e">
        <f>AND(Confirmations!#REF!,"AAAAAAd571E=")</f>
        <v>#REF!</v>
      </c>
      <c r="CE209" t="e">
        <f>AND(Confirmations!#REF!,"AAAAAAd571I=")</f>
        <v>#REF!</v>
      </c>
      <c r="CF209" t="e">
        <f>AND(Confirmations!#REF!,"AAAAAAd571M=")</f>
        <v>#REF!</v>
      </c>
      <c r="CG209" t="e">
        <f>AND(Confirmations!#REF!,"AAAAAAd571Q=")</f>
        <v>#REF!</v>
      </c>
      <c r="CH209" t="e">
        <f>AND(Confirmations!#REF!,"AAAAAAd571U=")</f>
        <v>#REF!</v>
      </c>
      <c r="CI209" t="e">
        <f>AND(Confirmations!#REF!,"AAAAAAd571Y=")</f>
        <v>#REF!</v>
      </c>
      <c r="CJ209" t="e">
        <f>AND(Confirmations!#REF!,"AAAAAAd571c=")</f>
        <v>#REF!</v>
      </c>
      <c r="CK209" t="e">
        <f>AND(Confirmations!#REF!,"AAAAAAd571g=")</f>
        <v>#REF!</v>
      </c>
      <c r="CL209" t="e">
        <f>AND(Confirmations!#REF!,"AAAAAAd571k=")</f>
        <v>#REF!</v>
      </c>
      <c r="CM209" t="e">
        <f>AND(Confirmations!#REF!,"AAAAAAd571o=")</f>
        <v>#REF!</v>
      </c>
      <c r="CN209" t="e">
        <f>AND(Confirmations!#REF!,"AAAAAAd571s=")</f>
        <v>#REF!</v>
      </c>
      <c r="CO209" t="e">
        <f>AND(Confirmations!#REF!,"AAAAAAd571w=")</f>
        <v>#REF!</v>
      </c>
      <c r="CP209" t="e">
        <f>AND(Confirmations!#REF!,"AAAAAAd5710=")</f>
        <v>#REF!</v>
      </c>
      <c r="CQ209" t="e">
        <f>AND(Confirmations!#REF!,"AAAAAAd5714=")</f>
        <v>#REF!</v>
      </c>
      <c r="CR209" t="e">
        <f>IF(Confirmations!#REF!,"AAAAAAd5718=",0)</f>
        <v>#REF!</v>
      </c>
      <c r="CS209" t="e">
        <f>AND(Confirmations!#REF!,"AAAAAAd572A=")</f>
        <v>#REF!</v>
      </c>
      <c r="CT209" t="e">
        <f>AND(Confirmations!#REF!,"AAAAAAd572E=")</f>
        <v>#REF!</v>
      </c>
      <c r="CU209" t="e">
        <f>AND(Confirmations!#REF!,"AAAAAAd572I=")</f>
        <v>#REF!</v>
      </c>
      <c r="CV209" t="e">
        <f>AND(Confirmations!#REF!,"AAAAAAd572M=")</f>
        <v>#REF!</v>
      </c>
      <c r="CW209" t="e">
        <f>AND(Confirmations!#REF!,"AAAAAAd572Q=")</f>
        <v>#REF!</v>
      </c>
      <c r="CX209" t="e">
        <f>AND(Confirmations!#REF!,"AAAAAAd572U=")</f>
        <v>#REF!</v>
      </c>
      <c r="CY209" t="e">
        <f>AND(Confirmations!#REF!,"AAAAAAd572Y=")</f>
        <v>#REF!</v>
      </c>
      <c r="CZ209" t="e">
        <f>AND(Confirmations!#REF!,"AAAAAAd572c=")</f>
        <v>#REF!</v>
      </c>
      <c r="DA209" t="e">
        <f>AND(Confirmations!#REF!,"AAAAAAd572g=")</f>
        <v>#REF!</v>
      </c>
      <c r="DB209" t="e">
        <f>AND(Confirmations!#REF!,"AAAAAAd572k=")</f>
        <v>#REF!</v>
      </c>
      <c r="DC209" t="e">
        <f>AND(Confirmations!#REF!,"AAAAAAd572o=")</f>
        <v>#REF!</v>
      </c>
      <c r="DD209" t="e">
        <f>AND(Confirmations!#REF!,"AAAAAAd572s=")</f>
        <v>#REF!</v>
      </c>
      <c r="DE209" t="e">
        <f>AND(Confirmations!#REF!,"AAAAAAd572w=")</f>
        <v>#REF!</v>
      </c>
      <c r="DF209" t="e">
        <f>AND(Confirmations!#REF!,"AAAAAAd5720=")</f>
        <v>#REF!</v>
      </c>
      <c r="DG209" t="e">
        <f>AND(Confirmations!#REF!,"AAAAAAd5724=")</f>
        <v>#REF!</v>
      </c>
      <c r="DH209" t="e">
        <f>AND(Confirmations!#REF!,"AAAAAAd5728=")</f>
        <v>#REF!</v>
      </c>
      <c r="DI209" t="e">
        <f>AND(Confirmations!#REF!,"AAAAAAd573A=")</f>
        <v>#REF!</v>
      </c>
      <c r="DJ209" t="e">
        <f>IF(Confirmations!#REF!,"AAAAAAd573E=",0)</f>
        <v>#REF!</v>
      </c>
      <c r="DK209" t="e">
        <f>AND(Confirmations!#REF!,"AAAAAAd573I=")</f>
        <v>#REF!</v>
      </c>
      <c r="DL209" t="e">
        <f>AND(Confirmations!#REF!,"AAAAAAd573M=")</f>
        <v>#REF!</v>
      </c>
      <c r="DM209" t="e">
        <f>AND(Confirmations!#REF!,"AAAAAAd573Q=")</f>
        <v>#REF!</v>
      </c>
      <c r="DN209" t="e">
        <f>AND(Confirmations!#REF!,"AAAAAAd573U=")</f>
        <v>#REF!</v>
      </c>
      <c r="DO209" t="e">
        <f>AND(Confirmations!#REF!,"AAAAAAd573Y=")</f>
        <v>#REF!</v>
      </c>
      <c r="DP209" t="e">
        <f>AND(Confirmations!#REF!,"AAAAAAd573c=")</f>
        <v>#REF!</v>
      </c>
      <c r="DQ209" t="e">
        <f>AND(Confirmations!#REF!,"AAAAAAd573g=")</f>
        <v>#REF!</v>
      </c>
      <c r="DR209" t="e">
        <f>AND(Confirmations!#REF!,"AAAAAAd573k=")</f>
        <v>#REF!</v>
      </c>
      <c r="DS209" t="e">
        <f>AND(Confirmations!#REF!,"AAAAAAd573o=")</f>
        <v>#REF!</v>
      </c>
      <c r="DT209" t="e">
        <f>AND(Confirmations!#REF!,"AAAAAAd573s=")</f>
        <v>#REF!</v>
      </c>
      <c r="DU209" t="e">
        <f>AND(Confirmations!#REF!,"AAAAAAd573w=")</f>
        <v>#REF!</v>
      </c>
      <c r="DV209" t="e">
        <f>AND(Confirmations!#REF!,"AAAAAAd5730=")</f>
        <v>#REF!</v>
      </c>
      <c r="DW209" t="e">
        <f>AND(Confirmations!#REF!,"AAAAAAd5734=")</f>
        <v>#REF!</v>
      </c>
      <c r="DX209" t="e">
        <f>AND(Confirmations!#REF!,"AAAAAAd5738=")</f>
        <v>#REF!</v>
      </c>
      <c r="DY209" t="e">
        <f>AND(Confirmations!#REF!,"AAAAAAd574A=")</f>
        <v>#REF!</v>
      </c>
      <c r="DZ209" t="e">
        <f>AND(Confirmations!#REF!,"AAAAAAd574E=")</f>
        <v>#REF!</v>
      </c>
      <c r="EA209" t="e">
        <f>AND(Confirmations!#REF!,"AAAAAAd574I=")</f>
        <v>#REF!</v>
      </c>
      <c r="EB209" t="e">
        <f>IF(Confirmations!#REF!,"AAAAAAd574M=",0)</f>
        <v>#REF!</v>
      </c>
      <c r="EC209" t="e">
        <f>AND(Confirmations!#REF!,"AAAAAAd574Q=")</f>
        <v>#REF!</v>
      </c>
      <c r="ED209" t="e">
        <f>AND(Confirmations!#REF!,"AAAAAAd574U=")</f>
        <v>#REF!</v>
      </c>
      <c r="EE209" t="e">
        <f>AND(Confirmations!#REF!,"AAAAAAd574Y=")</f>
        <v>#REF!</v>
      </c>
      <c r="EF209" t="e">
        <f>AND(Confirmations!#REF!,"AAAAAAd574c=")</f>
        <v>#REF!</v>
      </c>
      <c r="EG209" t="e">
        <f>AND(Confirmations!#REF!,"AAAAAAd574g=")</f>
        <v>#REF!</v>
      </c>
      <c r="EH209" t="e">
        <f>AND(Confirmations!#REF!,"AAAAAAd574k=")</f>
        <v>#REF!</v>
      </c>
      <c r="EI209" t="e">
        <f>AND(Confirmations!#REF!,"AAAAAAd574o=")</f>
        <v>#REF!</v>
      </c>
      <c r="EJ209" t="e">
        <f>AND(Confirmations!#REF!,"AAAAAAd574s=")</f>
        <v>#REF!</v>
      </c>
      <c r="EK209" t="e">
        <f>AND(Confirmations!#REF!,"AAAAAAd574w=")</f>
        <v>#REF!</v>
      </c>
      <c r="EL209" t="e">
        <f>AND(Confirmations!#REF!,"AAAAAAd5740=")</f>
        <v>#REF!</v>
      </c>
      <c r="EM209" t="e">
        <f>AND(Confirmations!#REF!,"AAAAAAd5744=")</f>
        <v>#REF!</v>
      </c>
      <c r="EN209" t="e">
        <f>AND(Confirmations!#REF!,"AAAAAAd5748=")</f>
        <v>#REF!</v>
      </c>
      <c r="EO209" t="e">
        <f>AND(Confirmations!#REF!,"AAAAAAd575A=")</f>
        <v>#REF!</v>
      </c>
      <c r="EP209" t="e">
        <f>AND(Confirmations!#REF!,"AAAAAAd575E=")</f>
        <v>#REF!</v>
      </c>
      <c r="EQ209" t="e">
        <f>AND(Confirmations!#REF!,"AAAAAAd575I=")</f>
        <v>#REF!</v>
      </c>
      <c r="ER209" t="e">
        <f>AND(Confirmations!#REF!,"AAAAAAd575M=")</f>
        <v>#REF!</v>
      </c>
      <c r="ES209" t="e">
        <f>AND(Confirmations!#REF!,"AAAAAAd575Q=")</f>
        <v>#REF!</v>
      </c>
      <c r="ET209" t="e">
        <f>IF(Confirmations!#REF!,"AAAAAAd575U=",0)</f>
        <v>#REF!</v>
      </c>
      <c r="EU209" t="e">
        <f>AND(Confirmations!#REF!,"AAAAAAd575Y=")</f>
        <v>#REF!</v>
      </c>
      <c r="EV209" t="e">
        <f>AND(Confirmations!#REF!,"AAAAAAd575c=")</f>
        <v>#REF!</v>
      </c>
      <c r="EW209" t="e">
        <f>AND(Confirmations!#REF!,"AAAAAAd575g=")</f>
        <v>#REF!</v>
      </c>
      <c r="EX209" t="e">
        <f>AND(Confirmations!#REF!,"AAAAAAd575k=")</f>
        <v>#REF!</v>
      </c>
      <c r="EY209" t="e">
        <f>AND(Confirmations!#REF!,"AAAAAAd575o=")</f>
        <v>#REF!</v>
      </c>
      <c r="EZ209" t="e">
        <f>AND(Confirmations!#REF!,"AAAAAAd575s=")</f>
        <v>#REF!</v>
      </c>
      <c r="FA209" t="e">
        <f>AND(Confirmations!#REF!,"AAAAAAd575w=")</f>
        <v>#REF!</v>
      </c>
      <c r="FB209" t="e">
        <f>AND(Confirmations!#REF!,"AAAAAAd5750=")</f>
        <v>#REF!</v>
      </c>
      <c r="FC209" t="e">
        <f>AND(Confirmations!#REF!,"AAAAAAd5754=")</f>
        <v>#REF!</v>
      </c>
      <c r="FD209" t="e">
        <f>AND(Confirmations!#REF!,"AAAAAAd5758=")</f>
        <v>#REF!</v>
      </c>
      <c r="FE209" t="e">
        <f>AND(Confirmations!#REF!,"AAAAAAd576A=")</f>
        <v>#REF!</v>
      </c>
      <c r="FF209" t="e">
        <f>AND(Confirmations!#REF!,"AAAAAAd576E=")</f>
        <v>#REF!</v>
      </c>
      <c r="FG209" t="e">
        <f>AND(Confirmations!#REF!,"AAAAAAd576I=")</f>
        <v>#REF!</v>
      </c>
      <c r="FH209" t="e">
        <f>AND(Confirmations!#REF!,"AAAAAAd576M=")</f>
        <v>#REF!</v>
      </c>
      <c r="FI209" t="e">
        <f>AND(Confirmations!#REF!,"AAAAAAd576Q=")</f>
        <v>#REF!</v>
      </c>
      <c r="FJ209" t="e">
        <f>AND(Confirmations!#REF!,"AAAAAAd576U=")</f>
        <v>#REF!</v>
      </c>
      <c r="FK209" t="e">
        <f>AND(Confirmations!#REF!,"AAAAAAd576Y=")</f>
        <v>#REF!</v>
      </c>
      <c r="FL209" t="e">
        <f>IF(Confirmations!#REF!,"AAAAAAd576c=",0)</f>
        <v>#REF!</v>
      </c>
      <c r="FM209" t="e">
        <f>AND(Confirmations!#REF!,"AAAAAAd576g=")</f>
        <v>#REF!</v>
      </c>
      <c r="FN209" t="e">
        <f>AND(Confirmations!#REF!,"AAAAAAd576k=")</f>
        <v>#REF!</v>
      </c>
      <c r="FO209" t="e">
        <f>AND(Confirmations!#REF!,"AAAAAAd576o=")</f>
        <v>#REF!</v>
      </c>
      <c r="FP209" t="e">
        <f>AND(Confirmations!#REF!,"AAAAAAd576s=")</f>
        <v>#REF!</v>
      </c>
      <c r="FQ209" t="e">
        <f>AND(Confirmations!#REF!,"AAAAAAd576w=")</f>
        <v>#REF!</v>
      </c>
      <c r="FR209" t="e">
        <f>AND(Confirmations!#REF!,"AAAAAAd5760=")</f>
        <v>#REF!</v>
      </c>
      <c r="FS209" t="e">
        <f>AND(Confirmations!#REF!,"AAAAAAd5764=")</f>
        <v>#REF!</v>
      </c>
      <c r="FT209" t="e">
        <f>AND(Confirmations!#REF!,"AAAAAAd5768=")</f>
        <v>#REF!</v>
      </c>
      <c r="FU209" t="e">
        <f>AND(Confirmations!#REF!,"AAAAAAd577A=")</f>
        <v>#REF!</v>
      </c>
      <c r="FV209" t="e">
        <f>AND(Confirmations!#REF!,"AAAAAAd577E=")</f>
        <v>#REF!</v>
      </c>
      <c r="FW209" t="e">
        <f>AND(Confirmations!#REF!,"AAAAAAd577I=")</f>
        <v>#REF!</v>
      </c>
      <c r="FX209" t="e">
        <f>AND(Confirmations!#REF!,"AAAAAAd577M=")</f>
        <v>#REF!</v>
      </c>
      <c r="FY209" t="e">
        <f>AND(Confirmations!#REF!,"AAAAAAd577Q=")</f>
        <v>#REF!</v>
      </c>
      <c r="FZ209" t="e">
        <f>AND(Confirmations!#REF!,"AAAAAAd577U=")</f>
        <v>#REF!</v>
      </c>
      <c r="GA209" t="e">
        <f>AND(Confirmations!#REF!,"AAAAAAd577Y=")</f>
        <v>#REF!</v>
      </c>
      <c r="GB209" t="e">
        <f>AND(Confirmations!#REF!,"AAAAAAd577c=")</f>
        <v>#REF!</v>
      </c>
      <c r="GC209" t="e">
        <f>AND(Confirmations!#REF!,"AAAAAAd577g=")</f>
        <v>#REF!</v>
      </c>
      <c r="GD209" t="e">
        <f>IF(Confirmations!#REF!,"AAAAAAd577k=",0)</f>
        <v>#REF!</v>
      </c>
      <c r="GE209" t="e">
        <f>AND(Confirmations!#REF!,"AAAAAAd577o=")</f>
        <v>#REF!</v>
      </c>
      <c r="GF209" t="e">
        <f>AND(Confirmations!#REF!,"AAAAAAd577s=")</f>
        <v>#REF!</v>
      </c>
      <c r="GG209" t="e">
        <f>AND(Confirmations!#REF!,"AAAAAAd577w=")</f>
        <v>#REF!</v>
      </c>
      <c r="GH209" t="e">
        <f>AND(Confirmations!#REF!,"AAAAAAd5770=")</f>
        <v>#REF!</v>
      </c>
      <c r="GI209" t="e">
        <f>AND(Confirmations!#REF!,"AAAAAAd5774=")</f>
        <v>#REF!</v>
      </c>
      <c r="GJ209" t="e">
        <f>AND(Confirmations!#REF!,"AAAAAAd5778=")</f>
        <v>#REF!</v>
      </c>
      <c r="GK209" t="e">
        <f>AND(Confirmations!#REF!,"AAAAAAd578A=")</f>
        <v>#REF!</v>
      </c>
      <c r="GL209" t="e">
        <f>AND(Confirmations!#REF!,"AAAAAAd578E=")</f>
        <v>#REF!</v>
      </c>
      <c r="GM209" t="e">
        <f>AND(Confirmations!#REF!,"AAAAAAd578I=")</f>
        <v>#REF!</v>
      </c>
      <c r="GN209" t="e">
        <f>AND(Confirmations!#REF!,"AAAAAAd578M=")</f>
        <v>#REF!</v>
      </c>
      <c r="GO209" t="e">
        <f>AND(Confirmations!#REF!,"AAAAAAd578Q=")</f>
        <v>#REF!</v>
      </c>
      <c r="GP209" t="e">
        <f>AND(Confirmations!#REF!,"AAAAAAd578U=")</f>
        <v>#REF!</v>
      </c>
      <c r="GQ209" t="e">
        <f>AND(Confirmations!#REF!,"AAAAAAd578Y=")</f>
        <v>#REF!</v>
      </c>
      <c r="GR209" t="e">
        <f>AND(Confirmations!#REF!,"AAAAAAd578c=")</f>
        <v>#REF!</v>
      </c>
      <c r="GS209" t="e">
        <f>AND(Confirmations!#REF!,"AAAAAAd578g=")</f>
        <v>#REF!</v>
      </c>
      <c r="GT209" t="e">
        <f>AND(Confirmations!#REF!,"AAAAAAd578k=")</f>
        <v>#REF!</v>
      </c>
      <c r="GU209" t="e">
        <f>AND(Confirmations!#REF!,"AAAAAAd578o=")</f>
        <v>#REF!</v>
      </c>
      <c r="GV209" t="e">
        <f>IF(Confirmations!#REF!,"AAAAAAd578s=",0)</f>
        <v>#REF!</v>
      </c>
      <c r="GW209" t="e">
        <f>AND(Confirmations!#REF!,"AAAAAAd578w=")</f>
        <v>#REF!</v>
      </c>
      <c r="GX209" t="e">
        <f>AND(Confirmations!#REF!,"AAAAAAd5780=")</f>
        <v>#REF!</v>
      </c>
      <c r="GY209" t="e">
        <f>AND(Confirmations!#REF!,"AAAAAAd5784=")</f>
        <v>#REF!</v>
      </c>
      <c r="GZ209" t="e">
        <f>AND(Confirmations!#REF!,"AAAAAAd5788=")</f>
        <v>#REF!</v>
      </c>
      <c r="HA209" t="e">
        <f>AND(Confirmations!#REF!,"AAAAAAd579A=")</f>
        <v>#REF!</v>
      </c>
      <c r="HB209" t="e">
        <f>AND(Confirmations!#REF!,"AAAAAAd579E=")</f>
        <v>#REF!</v>
      </c>
      <c r="HC209" t="e">
        <f>AND(Confirmations!#REF!,"AAAAAAd579I=")</f>
        <v>#REF!</v>
      </c>
      <c r="HD209" t="e">
        <f>AND(Confirmations!#REF!,"AAAAAAd579M=")</f>
        <v>#REF!</v>
      </c>
      <c r="HE209" t="e">
        <f>AND(Confirmations!#REF!,"AAAAAAd579Q=")</f>
        <v>#REF!</v>
      </c>
      <c r="HF209" t="e">
        <f>AND(Confirmations!#REF!,"AAAAAAd579U=")</f>
        <v>#REF!</v>
      </c>
      <c r="HG209" t="e">
        <f>AND(Confirmations!#REF!,"AAAAAAd579Y=")</f>
        <v>#REF!</v>
      </c>
      <c r="HH209" t="e">
        <f>AND(Confirmations!#REF!,"AAAAAAd579c=")</f>
        <v>#REF!</v>
      </c>
      <c r="HI209" t="e">
        <f>AND(Confirmations!#REF!,"AAAAAAd579g=")</f>
        <v>#REF!</v>
      </c>
      <c r="HJ209" t="e">
        <f>AND(Confirmations!#REF!,"AAAAAAd579k=")</f>
        <v>#REF!</v>
      </c>
      <c r="HK209" t="e">
        <f>AND(Confirmations!#REF!,"AAAAAAd579o=")</f>
        <v>#REF!</v>
      </c>
      <c r="HL209" t="e">
        <f>AND(Confirmations!#REF!,"AAAAAAd579s=")</f>
        <v>#REF!</v>
      </c>
      <c r="HM209" t="e">
        <f>AND(Confirmations!#REF!,"AAAAAAd579w=")</f>
        <v>#REF!</v>
      </c>
      <c r="HN209" t="e">
        <f>IF(Confirmations!#REF!,"AAAAAAd5790=",0)</f>
        <v>#REF!</v>
      </c>
      <c r="HO209" t="e">
        <f>AND(Confirmations!#REF!,"AAAAAAd5794=")</f>
        <v>#REF!</v>
      </c>
      <c r="HP209" t="e">
        <f>AND(Confirmations!#REF!,"AAAAAAd5798=")</f>
        <v>#REF!</v>
      </c>
      <c r="HQ209" t="e">
        <f>AND(Confirmations!#REF!,"AAAAAAd57+A=")</f>
        <v>#REF!</v>
      </c>
      <c r="HR209" t="e">
        <f>AND(Confirmations!#REF!,"AAAAAAd57+E=")</f>
        <v>#REF!</v>
      </c>
      <c r="HS209" t="e">
        <f>AND(Confirmations!#REF!,"AAAAAAd57+I=")</f>
        <v>#REF!</v>
      </c>
      <c r="HT209" t="e">
        <f>AND(Confirmations!#REF!,"AAAAAAd57+M=")</f>
        <v>#REF!</v>
      </c>
      <c r="HU209" t="e">
        <f>AND(Confirmations!#REF!,"AAAAAAd57+Q=")</f>
        <v>#REF!</v>
      </c>
      <c r="HV209" t="e">
        <f>AND(Confirmations!#REF!,"AAAAAAd57+U=")</f>
        <v>#REF!</v>
      </c>
      <c r="HW209" t="e">
        <f>AND(Confirmations!#REF!,"AAAAAAd57+Y=")</f>
        <v>#REF!</v>
      </c>
      <c r="HX209" t="e">
        <f>AND(Confirmations!#REF!,"AAAAAAd57+c=")</f>
        <v>#REF!</v>
      </c>
      <c r="HY209" t="e">
        <f>AND(Confirmations!#REF!,"AAAAAAd57+g=")</f>
        <v>#REF!</v>
      </c>
      <c r="HZ209" t="e">
        <f>AND(Confirmations!#REF!,"AAAAAAd57+k=")</f>
        <v>#REF!</v>
      </c>
      <c r="IA209" t="e">
        <f>AND(Confirmations!#REF!,"AAAAAAd57+o=")</f>
        <v>#REF!</v>
      </c>
      <c r="IB209" t="e">
        <f>AND(Confirmations!#REF!,"AAAAAAd57+s=")</f>
        <v>#REF!</v>
      </c>
      <c r="IC209" t="e">
        <f>AND(Confirmations!#REF!,"AAAAAAd57+w=")</f>
        <v>#REF!</v>
      </c>
      <c r="ID209" t="e">
        <f>AND(Confirmations!#REF!,"AAAAAAd57+0=")</f>
        <v>#REF!</v>
      </c>
      <c r="IE209" t="e">
        <f>AND(Confirmations!#REF!,"AAAAAAd57+4=")</f>
        <v>#REF!</v>
      </c>
      <c r="IF209" t="e">
        <f>IF(Confirmations!#REF!,"AAAAAAd57+8=",0)</f>
        <v>#REF!</v>
      </c>
      <c r="IG209" t="e">
        <f>AND(Confirmations!#REF!,"AAAAAAd57/A=")</f>
        <v>#REF!</v>
      </c>
      <c r="IH209" t="e">
        <f>AND(Confirmations!#REF!,"AAAAAAd57/E=")</f>
        <v>#REF!</v>
      </c>
      <c r="II209" t="e">
        <f>AND(Confirmations!#REF!,"AAAAAAd57/I=")</f>
        <v>#REF!</v>
      </c>
      <c r="IJ209" t="e">
        <f>AND(Confirmations!#REF!,"AAAAAAd57/M=")</f>
        <v>#REF!</v>
      </c>
      <c r="IK209" t="e">
        <f>AND(Confirmations!#REF!,"AAAAAAd57/Q=")</f>
        <v>#REF!</v>
      </c>
      <c r="IL209" t="e">
        <f>AND(Confirmations!#REF!,"AAAAAAd57/U=")</f>
        <v>#REF!</v>
      </c>
      <c r="IM209" t="e">
        <f>AND(Confirmations!#REF!,"AAAAAAd57/Y=")</f>
        <v>#REF!</v>
      </c>
      <c r="IN209" t="e">
        <f>AND(Confirmations!#REF!,"AAAAAAd57/c=")</f>
        <v>#REF!</v>
      </c>
      <c r="IO209" t="e">
        <f>AND(Confirmations!#REF!,"AAAAAAd57/g=")</f>
        <v>#REF!</v>
      </c>
      <c r="IP209" t="e">
        <f>AND(Confirmations!#REF!,"AAAAAAd57/k=")</f>
        <v>#REF!</v>
      </c>
      <c r="IQ209" t="e">
        <f>AND(Confirmations!#REF!,"AAAAAAd57/o=")</f>
        <v>#REF!</v>
      </c>
      <c r="IR209" t="e">
        <f>AND(Confirmations!#REF!,"AAAAAAd57/s=")</f>
        <v>#REF!</v>
      </c>
      <c r="IS209" t="e">
        <f>AND(Confirmations!#REF!,"AAAAAAd57/w=")</f>
        <v>#REF!</v>
      </c>
      <c r="IT209" t="e">
        <f>AND(Confirmations!#REF!,"AAAAAAd57/0=")</f>
        <v>#REF!</v>
      </c>
      <c r="IU209" t="e">
        <f>AND(Confirmations!#REF!,"AAAAAAd57/4=")</f>
        <v>#REF!</v>
      </c>
      <c r="IV209" t="e">
        <f>AND(Confirmations!#REF!,"AAAAAAd57/8=")</f>
        <v>#REF!</v>
      </c>
    </row>
    <row r="210" spans="1:256" x14ac:dyDescent="0.2">
      <c r="A210" t="e">
        <f>AND(Confirmations!#REF!,"AAAAAEPH/wA=")</f>
        <v>#REF!</v>
      </c>
      <c r="B210" t="e">
        <f>IF(Confirmations!#REF!,"AAAAAEPH/wE=",0)</f>
        <v>#REF!</v>
      </c>
      <c r="C210" t="e">
        <f>AND(Confirmations!#REF!,"AAAAAEPH/wI=")</f>
        <v>#REF!</v>
      </c>
      <c r="D210" t="e">
        <f>AND(Confirmations!#REF!,"AAAAAEPH/wM=")</f>
        <v>#REF!</v>
      </c>
      <c r="E210" t="e">
        <f>AND(Confirmations!#REF!,"AAAAAEPH/wQ=")</f>
        <v>#REF!</v>
      </c>
      <c r="F210" t="e">
        <f>AND(Confirmations!#REF!,"AAAAAEPH/wU=")</f>
        <v>#REF!</v>
      </c>
      <c r="G210" t="e">
        <f>AND(Confirmations!#REF!,"AAAAAEPH/wY=")</f>
        <v>#REF!</v>
      </c>
      <c r="H210" t="e">
        <f>AND(Confirmations!#REF!,"AAAAAEPH/wc=")</f>
        <v>#REF!</v>
      </c>
      <c r="I210" t="e">
        <f>AND(Confirmations!#REF!,"AAAAAEPH/wg=")</f>
        <v>#REF!</v>
      </c>
      <c r="J210" t="e">
        <f>AND(Confirmations!#REF!,"AAAAAEPH/wk=")</f>
        <v>#REF!</v>
      </c>
      <c r="K210" t="e">
        <f>AND(Confirmations!#REF!,"AAAAAEPH/wo=")</f>
        <v>#REF!</v>
      </c>
      <c r="L210" t="e">
        <f>AND(Confirmations!#REF!,"AAAAAEPH/ws=")</f>
        <v>#REF!</v>
      </c>
      <c r="M210" t="e">
        <f>AND(Confirmations!#REF!,"AAAAAEPH/ww=")</f>
        <v>#REF!</v>
      </c>
      <c r="N210" t="e">
        <f>AND(Confirmations!#REF!,"AAAAAEPH/w0=")</f>
        <v>#REF!</v>
      </c>
      <c r="O210" t="e">
        <f>AND(Confirmations!#REF!,"AAAAAEPH/w4=")</f>
        <v>#REF!</v>
      </c>
      <c r="P210" t="e">
        <f>AND(Confirmations!#REF!,"AAAAAEPH/w8=")</f>
        <v>#REF!</v>
      </c>
      <c r="Q210" t="e">
        <f>AND(Confirmations!#REF!,"AAAAAEPH/xA=")</f>
        <v>#REF!</v>
      </c>
      <c r="R210" t="e">
        <f>AND(Confirmations!#REF!,"AAAAAEPH/xE=")</f>
        <v>#REF!</v>
      </c>
      <c r="S210" t="e">
        <f>AND(Confirmations!#REF!,"AAAAAEPH/xI=")</f>
        <v>#REF!</v>
      </c>
      <c r="T210" t="e">
        <f>IF(Confirmations!#REF!,"AAAAAEPH/xM=",0)</f>
        <v>#REF!</v>
      </c>
      <c r="U210" t="e">
        <f>AND(Confirmations!#REF!,"AAAAAEPH/xQ=")</f>
        <v>#REF!</v>
      </c>
      <c r="V210" t="e">
        <f>AND(Confirmations!#REF!,"AAAAAEPH/xU=")</f>
        <v>#REF!</v>
      </c>
      <c r="W210" t="e">
        <f>AND(Confirmations!#REF!,"AAAAAEPH/xY=")</f>
        <v>#REF!</v>
      </c>
      <c r="X210" t="e">
        <f>AND(Confirmations!#REF!,"AAAAAEPH/xc=")</f>
        <v>#REF!</v>
      </c>
      <c r="Y210" t="e">
        <f>AND(Confirmations!#REF!,"AAAAAEPH/xg=")</f>
        <v>#REF!</v>
      </c>
      <c r="Z210" t="e">
        <f>AND(Confirmations!#REF!,"AAAAAEPH/xk=")</f>
        <v>#REF!</v>
      </c>
      <c r="AA210" t="e">
        <f>AND(Confirmations!#REF!,"AAAAAEPH/xo=")</f>
        <v>#REF!</v>
      </c>
      <c r="AB210" t="e">
        <f>AND(Confirmations!#REF!,"AAAAAEPH/xs=")</f>
        <v>#REF!</v>
      </c>
      <c r="AC210" t="e">
        <f>AND(Confirmations!#REF!,"AAAAAEPH/xw=")</f>
        <v>#REF!</v>
      </c>
      <c r="AD210" t="e">
        <f>AND(Confirmations!#REF!,"AAAAAEPH/x0=")</f>
        <v>#REF!</v>
      </c>
      <c r="AE210" t="e">
        <f>AND(Confirmations!#REF!,"AAAAAEPH/x4=")</f>
        <v>#REF!</v>
      </c>
      <c r="AF210" t="e">
        <f>AND(Confirmations!#REF!,"AAAAAEPH/x8=")</f>
        <v>#REF!</v>
      </c>
      <c r="AG210" t="e">
        <f>AND(Confirmations!#REF!,"AAAAAEPH/yA=")</f>
        <v>#REF!</v>
      </c>
      <c r="AH210" t="e">
        <f>AND(Confirmations!#REF!,"AAAAAEPH/yE=")</f>
        <v>#REF!</v>
      </c>
      <c r="AI210" t="e">
        <f>AND(Confirmations!#REF!,"AAAAAEPH/yI=")</f>
        <v>#REF!</v>
      </c>
      <c r="AJ210" t="e">
        <f>AND(Confirmations!#REF!,"AAAAAEPH/yM=")</f>
        <v>#REF!</v>
      </c>
      <c r="AK210" t="e">
        <f>AND(Confirmations!#REF!,"AAAAAEPH/yQ=")</f>
        <v>#REF!</v>
      </c>
      <c r="AL210" t="e">
        <f>IF(Confirmations!#REF!,"AAAAAEPH/yU=",0)</f>
        <v>#REF!</v>
      </c>
      <c r="AM210" t="e">
        <f>AND(Confirmations!#REF!,"AAAAAEPH/yY=")</f>
        <v>#REF!</v>
      </c>
      <c r="AN210" t="e">
        <f>AND(Confirmations!#REF!,"AAAAAEPH/yc=")</f>
        <v>#REF!</v>
      </c>
      <c r="AO210" t="e">
        <f>AND(Confirmations!#REF!,"AAAAAEPH/yg=")</f>
        <v>#REF!</v>
      </c>
      <c r="AP210" t="e">
        <f>AND(Confirmations!#REF!,"AAAAAEPH/yk=")</f>
        <v>#REF!</v>
      </c>
      <c r="AQ210" t="e">
        <f>AND(Confirmations!#REF!,"AAAAAEPH/yo=")</f>
        <v>#REF!</v>
      </c>
      <c r="AR210" t="e">
        <f>AND(Confirmations!#REF!,"AAAAAEPH/ys=")</f>
        <v>#REF!</v>
      </c>
      <c r="AS210" t="e">
        <f>AND(Confirmations!#REF!,"AAAAAEPH/yw=")</f>
        <v>#REF!</v>
      </c>
      <c r="AT210" t="e">
        <f>AND(Confirmations!#REF!,"AAAAAEPH/y0=")</f>
        <v>#REF!</v>
      </c>
      <c r="AU210" t="e">
        <f>AND(Confirmations!#REF!,"AAAAAEPH/y4=")</f>
        <v>#REF!</v>
      </c>
      <c r="AV210" t="e">
        <f>AND(Confirmations!#REF!,"AAAAAEPH/y8=")</f>
        <v>#REF!</v>
      </c>
      <c r="AW210" t="e">
        <f>AND(Confirmations!#REF!,"AAAAAEPH/zA=")</f>
        <v>#REF!</v>
      </c>
      <c r="AX210" t="e">
        <f>AND(Confirmations!#REF!,"AAAAAEPH/zE=")</f>
        <v>#REF!</v>
      </c>
      <c r="AY210" t="e">
        <f>AND(Confirmations!#REF!,"AAAAAEPH/zI=")</f>
        <v>#REF!</v>
      </c>
      <c r="AZ210" t="e">
        <f>AND(Confirmations!#REF!,"AAAAAEPH/zM=")</f>
        <v>#REF!</v>
      </c>
      <c r="BA210" t="e">
        <f>AND(Confirmations!#REF!,"AAAAAEPH/zQ=")</f>
        <v>#REF!</v>
      </c>
      <c r="BB210" t="e">
        <f>AND(Confirmations!#REF!,"AAAAAEPH/zU=")</f>
        <v>#REF!</v>
      </c>
      <c r="BC210" t="e">
        <f>AND(Confirmations!#REF!,"AAAAAEPH/zY=")</f>
        <v>#REF!</v>
      </c>
      <c r="BD210" t="e">
        <f>IF(Confirmations!#REF!,"AAAAAEPH/zc=",0)</f>
        <v>#REF!</v>
      </c>
      <c r="BE210" t="e">
        <f>AND(Confirmations!#REF!,"AAAAAEPH/zg=")</f>
        <v>#REF!</v>
      </c>
      <c r="BF210" t="e">
        <f>AND(Confirmations!#REF!,"AAAAAEPH/zk=")</f>
        <v>#REF!</v>
      </c>
      <c r="BG210" t="e">
        <f>AND(Confirmations!#REF!,"AAAAAEPH/zo=")</f>
        <v>#REF!</v>
      </c>
      <c r="BH210" t="e">
        <f>AND(Confirmations!#REF!,"AAAAAEPH/zs=")</f>
        <v>#REF!</v>
      </c>
      <c r="BI210" t="e">
        <f>AND(Confirmations!#REF!,"AAAAAEPH/zw=")</f>
        <v>#REF!</v>
      </c>
      <c r="BJ210" t="e">
        <f>AND(Confirmations!#REF!,"AAAAAEPH/z0=")</f>
        <v>#REF!</v>
      </c>
      <c r="BK210" t="e">
        <f>AND(Confirmations!#REF!,"AAAAAEPH/z4=")</f>
        <v>#REF!</v>
      </c>
      <c r="BL210" t="e">
        <f>AND(Confirmations!#REF!,"AAAAAEPH/z8=")</f>
        <v>#REF!</v>
      </c>
      <c r="BM210" t="e">
        <f>AND(Confirmations!#REF!,"AAAAAEPH/0A=")</f>
        <v>#REF!</v>
      </c>
      <c r="BN210" t="e">
        <f>AND(Confirmations!#REF!,"AAAAAEPH/0E=")</f>
        <v>#REF!</v>
      </c>
      <c r="BO210" t="e">
        <f>AND(Confirmations!#REF!,"AAAAAEPH/0I=")</f>
        <v>#REF!</v>
      </c>
      <c r="BP210" t="e">
        <f>AND(Confirmations!#REF!,"AAAAAEPH/0M=")</f>
        <v>#REF!</v>
      </c>
      <c r="BQ210" t="e">
        <f>AND(Confirmations!#REF!,"AAAAAEPH/0Q=")</f>
        <v>#REF!</v>
      </c>
      <c r="BR210" t="e">
        <f>AND(Confirmations!#REF!,"AAAAAEPH/0U=")</f>
        <v>#REF!</v>
      </c>
      <c r="BS210" t="e">
        <f>AND(Confirmations!#REF!,"AAAAAEPH/0Y=")</f>
        <v>#REF!</v>
      </c>
      <c r="BT210" t="e">
        <f>AND(Confirmations!#REF!,"AAAAAEPH/0c=")</f>
        <v>#REF!</v>
      </c>
      <c r="BU210" t="e">
        <f>AND(Confirmations!#REF!,"AAAAAEPH/0g=")</f>
        <v>#REF!</v>
      </c>
      <c r="BV210" t="e">
        <f>IF(Confirmations!#REF!,"AAAAAEPH/0k=",0)</f>
        <v>#REF!</v>
      </c>
      <c r="BW210" t="e">
        <f>AND(Confirmations!#REF!,"AAAAAEPH/0o=")</f>
        <v>#REF!</v>
      </c>
      <c r="BX210" t="e">
        <f>AND(Confirmations!#REF!,"AAAAAEPH/0s=")</f>
        <v>#REF!</v>
      </c>
      <c r="BY210" t="e">
        <f>AND(Confirmations!#REF!,"AAAAAEPH/0w=")</f>
        <v>#REF!</v>
      </c>
      <c r="BZ210" t="e">
        <f>AND(Confirmations!#REF!,"AAAAAEPH/00=")</f>
        <v>#REF!</v>
      </c>
      <c r="CA210" t="e">
        <f>AND(Confirmations!#REF!,"AAAAAEPH/04=")</f>
        <v>#REF!</v>
      </c>
      <c r="CB210" t="e">
        <f>AND(Confirmations!#REF!,"AAAAAEPH/08=")</f>
        <v>#REF!</v>
      </c>
      <c r="CC210" t="e">
        <f>AND(Confirmations!#REF!,"AAAAAEPH/1A=")</f>
        <v>#REF!</v>
      </c>
      <c r="CD210" t="e">
        <f>AND(Confirmations!#REF!,"AAAAAEPH/1E=")</f>
        <v>#REF!</v>
      </c>
      <c r="CE210" t="e">
        <f>AND(Confirmations!#REF!,"AAAAAEPH/1I=")</f>
        <v>#REF!</v>
      </c>
      <c r="CF210" t="e">
        <f>AND(Confirmations!#REF!,"AAAAAEPH/1M=")</f>
        <v>#REF!</v>
      </c>
      <c r="CG210" t="e">
        <f>AND(Confirmations!#REF!,"AAAAAEPH/1Q=")</f>
        <v>#REF!</v>
      </c>
      <c r="CH210" t="e">
        <f>AND(Confirmations!#REF!,"AAAAAEPH/1U=")</f>
        <v>#REF!</v>
      </c>
      <c r="CI210" t="e">
        <f>AND(Confirmations!#REF!,"AAAAAEPH/1Y=")</f>
        <v>#REF!</v>
      </c>
      <c r="CJ210" t="e">
        <f>AND(Confirmations!#REF!,"AAAAAEPH/1c=")</f>
        <v>#REF!</v>
      </c>
      <c r="CK210" t="e">
        <f>AND(Confirmations!#REF!,"AAAAAEPH/1g=")</f>
        <v>#REF!</v>
      </c>
      <c r="CL210" t="e">
        <f>AND(Confirmations!#REF!,"AAAAAEPH/1k=")</f>
        <v>#REF!</v>
      </c>
      <c r="CM210" t="e">
        <f>AND(Confirmations!#REF!,"AAAAAEPH/1o=")</f>
        <v>#REF!</v>
      </c>
      <c r="CN210" t="e">
        <f>IF(Confirmations!#REF!,"AAAAAEPH/1s=",0)</f>
        <v>#REF!</v>
      </c>
      <c r="CO210" t="e">
        <f>AND(Confirmations!#REF!,"AAAAAEPH/1w=")</f>
        <v>#REF!</v>
      </c>
      <c r="CP210" t="e">
        <f>AND(Confirmations!#REF!,"AAAAAEPH/10=")</f>
        <v>#REF!</v>
      </c>
      <c r="CQ210" t="e">
        <f>AND(Confirmations!#REF!,"AAAAAEPH/14=")</f>
        <v>#REF!</v>
      </c>
      <c r="CR210" t="e">
        <f>AND(Confirmations!#REF!,"AAAAAEPH/18=")</f>
        <v>#REF!</v>
      </c>
      <c r="CS210" t="e">
        <f>AND(Confirmations!#REF!,"AAAAAEPH/2A=")</f>
        <v>#REF!</v>
      </c>
      <c r="CT210" t="e">
        <f>AND(Confirmations!#REF!,"AAAAAEPH/2E=")</f>
        <v>#REF!</v>
      </c>
      <c r="CU210" t="e">
        <f>AND(Confirmations!#REF!,"AAAAAEPH/2I=")</f>
        <v>#REF!</v>
      </c>
      <c r="CV210" t="e">
        <f>AND(Confirmations!#REF!,"AAAAAEPH/2M=")</f>
        <v>#REF!</v>
      </c>
      <c r="CW210" t="e">
        <f>AND(Confirmations!#REF!,"AAAAAEPH/2Q=")</f>
        <v>#REF!</v>
      </c>
      <c r="CX210" t="e">
        <f>AND(Confirmations!#REF!,"AAAAAEPH/2U=")</f>
        <v>#REF!</v>
      </c>
      <c r="CY210" t="e">
        <f>AND(Confirmations!#REF!,"AAAAAEPH/2Y=")</f>
        <v>#REF!</v>
      </c>
      <c r="CZ210" t="e">
        <f>AND(Confirmations!#REF!,"AAAAAEPH/2c=")</f>
        <v>#REF!</v>
      </c>
      <c r="DA210" t="e">
        <f>AND(Confirmations!#REF!,"AAAAAEPH/2g=")</f>
        <v>#REF!</v>
      </c>
      <c r="DB210" t="e">
        <f>AND(Confirmations!#REF!,"AAAAAEPH/2k=")</f>
        <v>#REF!</v>
      </c>
      <c r="DC210" t="e">
        <f>AND(Confirmations!#REF!,"AAAAAEPH/2o=")</f>
        <v>#REF!</v>
      </c>
      <c r="DD210" t="e">
        <f>AND(Confirmations!#REF!,"AAAAAEPH/2s=")</f>
        <v>#REF!</v>
      </c>
      <c r="DE210" t="e">
        <f>AND(Confirmations!#REF!,"AAAAAEPH/2w=")</f>
        <v>#REF!</v>
      </c>
      <c r="DF210" t="e">
        <f>IF(Confirmations!#REF!,"AAAAAEPH/20=",0)</f>
        <v>#REF!</v>
      </c>
      <c r="DG210" t="e">
        <f>AND(Confirmations!#REF!,"AAAAAEPH/24=")</f>
        <v>#REF!</v>
      </c>
      <c r="DH210" t="e">
        <f>AND(Confirmations!#REF!,"AAAAAEPH/28=")</f>
        <v>#REF!</v>
      </c>
      <c r="DI210" t="e">
        <f>AND(Confirmations!#REF!,"AAAAAEPH/3A=")</f>
        <v>#REF!</v>
      </c>
      <c r="DJ210" t="e">
        <f>AND(Confirmations!#REF!,"AAAAAEPH/3E=")</f>
        <v>#REF!</v>
      </c>
      <c r="DK210" t="e">
        <f>AND(Confirmations!#REF!,"AAAAAEPH/3I=")</f>
        <v>#REF!</v>
      </c>
      <c r="DL210" t="e">
        <f>AND(Confirmations!#REF!,"AAAAAEPH/3M=")</f>
        <v>#REF!</v>
      </c>
      <c r="DM210" t="e">
        <f>AND(Confirmations!#REF!,"AAAAAEPH/3Q=")</f>
        <v>#REF!</v>
      </c>
      <c r="DN210" t="e">
        <f>AND(Confirmations!#REF!,"AAAAAEPH/3U=")</f>
        <v>#REF!</v>
      </c>
      <c r="DO210" t="e">
        <f>AND(Confirmations!#REF!,"AAAAAEPH/3Y=")</f>
        <v>#REF!</v>
      </c>
      <c r="DP210" t="e">
        <f>AND(Confirmations!#REF!,"AAAAAEPH/3c=")</f>
        <v>#REF!</v>
      </c>
      <c r="DQ210" t="e">
        <f>AND(Confirmations!#REF!,"AAAAAEPH/3g=")</f>
        <v>#REF!</v>
      </c>
      <c r="DR210" t="e">
        <f>AND(Confirmations!#REF!,"AAAAAEPH/3k=")</f>
        <v>#REF!</v>
      </c>
      <c r="DS210" t="e">
        <f>AND(Confirmations!#REF!,"AAAAAEPH/3o=")</f>
        <v>#REF!</v>
      </c>
      <c r="DT210" t="e">
        <f>AND(Confirmations!#REF!,"AAAAAEPH/3s=")</f>
        <v>#REF!</v>
      </c>
      <c r="DU210" t="e">
        <f>AND(Confirmations!#REF!,"AAAAAEPH/3w=")</f>
        <v>#REF!</v>
      </c>
      <c r="DV210" t="e">
        <f>AND(Confirmations!#REF!,"AAAAAEPH/30=")</f>
        <v>#REF!</v>
      </c>
      <c r="DW210" t="e">
        <f>AND(Confirmations!#REF!,"AAAAAEPH/34=")</f>
        <v>#REF!</v>
      </c>
      <c r="DX210" t="e">
        <f>IF(Confirmations!#REF!,"AAAAAEPH/38=",0)</f>
        <v>#REF!</v>
      </c>
      <c r="DY210" t="e">
        <f>AND(Confirmations!#REF!,"AAAAAEPH/4A=")</f>
        <v>#REF!</v>
      </c>
      <c r="DZ210" t="e">
        <f>AND(Confirmations!#REF!,"AAAAAEPH/4E=")</f>
        <v>#REF!</v>
      </c>
      <c r="EA210" t="e">
        <f>AND(Confirmations!#REF!,"AAAAAEPH/4I=")</f>
        <v>#REF!</v>
      </c>
      <c r="EB210" t="e">
        <f>AND(Confirmations!#REF!,"AAAAAEPH/4M=")</f>
        <v>#REF!</v>
      </c>
      <c r="EC210" t="e">
        <f>AND(Confirmations!#REF!,"AAAAAEPH/4Q=")</f>
        <v>#REF!</v>
      </c>
      <c r="ED210" t="e">
        <f>AND(Confirmations!#REF!,"AAAAAEPH/4U=")</f>
        <v>#REF!</v>
      </c>
      <c r="EE210" t="e">
        <f>AND(Confirmations!#REF!,"AAAAAEPH/4Y=")</f>
        <v>#REF!</v>
      </c>
      <c r="EF210" t="e">
        <f>AND(Confirmations!#REF!,"AAAAAEPH/4c=")</f>
        <v>#REF!</v>
      </c>
      <c r="EG210" t="e">
        <f>AND(Confirmations!#REF!,"AAAAAEPH/4g=")</f>
        <v>#REF!</v>
      </c>
      <c r="EH210" t="e">
        <f>AND(Confirmations!#REF!,"AAAAAEPH/4k=")</f>
        <v>#REF!</v>
      </c>
      <c r="EI210" t="e">
        <f>AND(Confirmations!#REF!,"AAAAAEPH/4o=")</f>
        <v>#REF!</v>
      </c>
      <c r="EJ210" t="e">
        <f>AND(Confirmations!#REF!,"AAAAAEPH/4s=")</f>
        <v>#REF!</v>
      </c>
      <c r="EK210" t="e">
        <f>AND(Confirmations!#REF!,"AAAAAEPH/4w=")</f>
        <v>#REF!</v>
      </c>
      <c r="EL210" t="e">
        <f>AND(Confirmations!#REF!,"AAAAAEPH/40=")</f>
        <v>#REF!</v>
      </c>
      <c r="EM210" t="e">
        <f>AND(Confirmations!#REF!,"AAAAAEPH/44=")</f>
        <v>#REF!</v>
      </c>
      <c r="EN210" t="e">
        <f>AND(Confirmations!#REF!,"AAAAAEPH/48=")</f>
        <v>#REF!</v>
      </c>
      <c r="EO210" t="e">
        <f>AND(Confirmations!#REF!,"AAAAAEPH/5A=")</f>
        <v>#REF!</v>
      </c>
      <c r="EP210" t="e">
        <f>IF(Confirmations!#REF!,"AAAAAEPH/5E=",0)</f>
        <v>#REF!</v>
      </c>
      <c r="EQ210" t="e">
        <f>AND(Confirmations!#REF!,"AAAAAEPH/5I=")</f>
        <v>#REF!</v>
      </c>
      <c r="ER210" t="e">
        <f>AND(Confirmations!#REF!,"AAAAAEPH/5M=")</f>
        <v>#REF!</v>
      </c>
      <c r="ES210" t="e">
        <f>AND(Confirmations!#REF!,"AAAAAEPH/5Q=")</f>
        <v>#REF!</v>
      </c>
      <c r="ET210" t="e">
        <f>AND(Confirmations!#REF!,"AAAAAEPH/5U=")</f>
        <v>#REF!</v>
      </c>
      <c r="EU210" t="e">
        <f>AND(Confirmations!#REF!,"AAAAAEPH/5Y=")</f>
        <v>#REF!</v>
      </c>
      <c r="EV210" t="e">
        <f>AND(Confirmations!#REF!,"AAAAAEPH/5c=")</f>
        <v>#REF!</v>
      </c>
      <c r="EW210" t="e">
        <f>AND(Confirmations!#REF!,"AAAAAEPH/5g=")</f>
        <v>#REF!</v>
      </c>
      <c r="EX210" t="e">
        <f>AND(Confirmations!#REF!,"AAAAAEPH/5k=")</f>
        <v>#REF!</v>
      </c>
      <c r="EY210" t="e">
        <f>AND(Confirmations!#REF!,"AAAAAEPH/5o=")</f>
        <v>#REF!</v>
      </c>
      <c r="EZ210" t="e">
        <f>AND(Confirmations!#REF!,"AAAAAEPH/5s=")</f>
        <v>#REF!</v>
      </c>
      <c r="FA210" t="e">
        <f>AND(Confirmations!#REF!,"AAAAAEPH/5w=")</f>
        <v>#REF!</v>
      </c>
      <c r="FB210" t="e">
        <f>AND(Confirmations!#REF!,"AAAAAEPH/50=")</f>
        <v>#REF!</v>
      </c>
      <c r="FC210" t="e">
        <f>AND(Confirmations!#REF!,"AAAAAEPH/54=")</f>
        <v>#REF!</v>
      </c>
      <c r="FD210" t="e">
        <f>AND(Confirmations!#REF!,"AAAAAEPH/58=")</f>
        <v>#REF!</v>
      </c>
      <c r="FE210" t="e">
        <f>AND(Confirmations!#REF!,"AAAAAEPH/6A=")</f>
        <v>#REF!</v>
      </c>
      <c r="FF210" t="e">
        <f>AND(Confirmations!#REF!,"AAAAAEPH/6E=")</f>
        <v>#REF!</v>
      </c>
      <c r="FG210" t="e">
        <f>AND(Confirmations!#REF!,"AAAAAEPH/6I=")</f>
        <v>#REF!</v>
      </c>
      <c r="FH210" t="e">
        <f>IF(Confirmations!#REF!,"AAAAAEPH/6M=",0)</f>
        <v>#REF!</v>
      </c>
      <c r="FI210" t="e">
        <f>AND(Confirmations!#REF!,"AAAAAEPH/6Q=")</f>
        <v>#REF!</v>
      </c>
      <c r="FJ210" t="e">
        <f>AND(Confirmations!#REF!,"AAAAAEPH/6U=")</f>
        <v>#REF!</v>
      </c>
      <c r="FK210" t="e">
        <f>AND(Confirmations!#REF!,"AAAAAEPH/6Y=")</f>
        <v>#REF!</v>
      </c>
      <c r="FL210" t="e">
        <f>AND(Confirmations!#REF!,"AAAAAEPH/6c=")</f>
        <v>#REF!</v>
      </c>
      <c r="FM210" t="e">
        <f>AND(Confirmations!#REF!,"AAAAAEPH/6g=")</f>
        <v>#REF!</v>
      </c>
      <c r="FN210" t="e">
        <f>AND(Confirmations!#REF!,"AAAAAEPH/6k=")</f>
        <v>#REF!</v>
      </c>
      <c r="FO210" t="e">
        <f>AND(Confirmations!#REF!,"AAAAAEPH/6o=")</f>
        <v>#REF!</v>
      </c>
      <c r="FP210" t="e">
        <f>AND(Confirmations!#REF!,"AAAAAEPH/6s=")</f>
        <v>#REF!</v>
      </c>
      <c r="FQ210" t="e">
        <f>AND(Confirmations!#REF!,"AAAAAEPH/6w=")</f>
        <v>#REF!</v>
      </c>
      <c r="FR210" t="e">
        <f>AND(Confirmations!#REF!,"AAAAAEPH/60=")</f>
        <v>#REF!</v>
      </c>
      <c r="FS210" t="e">
        <f>AND(Confirmations!#REF!,"AAAAAEPH/64=")</f>
        <v>#REF!</v>
      </c>
      <c r="FT210" t="e">
        <f>AND(Confirmations!#REF!,"AAAAAEPH/68=")</f>
        <v>#REF!</v>
      </c>
      <c r="FU210" t="e">
        <f>AND(Confirmations!#REF!,"AAAAAEPH/7A=")</f>
        <v>#REF!</v>
      </c>
      <c r="FV210" t="e">
        <f>AND(Confirmations!#REF!,"AAAAAEPH/7E=")</f>
        <v>#REF!</v>
      </c>
      <c r="FW210" t="e">
        <f>AND(Confirmations!#REF!,"AAAAAEPH/7I=")</f>
        <v>#REF!</v>
      </c>
      <c r="FX210" t="e">
        <f>AND(Confirmations!#REF!,"AAAAAEPH/7M=")</f>
        <v>#REF!</v>
      </c>
      <c r="FY210" t="e">
        <f>AND(Confirmations!#REF!,"AAAAAEPH/7Q=")</f>
        <v>#REF!</v>
      </c>
      <c r="FZ210" t="e">
        <f>IF(Confirmations!#REF!,"AAAAAEPH/7U=",0)</f>
        <v>#REF!</v>
      </c>
      <c r="GA210" t="e">
        <f>AND(Confirmations!#REF!,"AAAAAEPH/7Y=")</f>
        <v>#REF!</v>
      </c>
      <c r="GB210" t="e">
        <f>AND(Confirmations!#REF!,"AAAAAEPH/7c=")</f>
        <v>#REF!</v>
      </c>
      <c r="GC210" t="e">
        <f>AND(Confirmations!#REF!,"AAAAAEPH/7g=")</f>
        <v>#REF!</v>
      </c>
      <c r="GD210" t="e">
        <f>AND(Confirmations!#REF!,"AAAAAEPH/7k=")</f>
        <v>#REF!</v>
      </c>
      <c r="GE210" t="e">
        <f>AND(Confirmations!#REF!,"AAAAAEPH/7o=")</f>
        <v>#REF!</v>
      </c>
      <c r="GF210" t="e">
        <f>AND(Confirmations!#REF!,"AAAAAEPH/7s=")</f>
        <v>#REF!</v>
      </c>
      <c r="GG210" t="e">
        <f>AND(Confirmations!#REF!,"AAAAAEPH/7w=")</f>
        <v>#REF!</v>
      </c>
      <c r="GH210" t="e">
        <f>AND(Confirmations!#REF!,"AAAAAEPH/70=")</f>
        <v>#REF!</v>
      </c>
      <c r="GI210" t="e">
        <f>AND(Confirmations!#REF!,"AAAAAEPH/74=")</f>
        <v>#REF!</v>
      </c>
      <c r="GJ210" t="e">
        <f>AND(Confirmations!#REF!,"AAAAAEPH/78=")</f>
        <v>#REF!</v>
      </c>
      <c r="GK210" t="e">
        <f>AND(Confirmations!#REF!,"AAAAAEPH/8A=")</f>
        <v>#REF!</v>
      </c>
      <c r="GL210" t="e">
        <f>AND(Confirmations!#REF!,"AAAAAEPH/8E=")</f>
        <v>#REF!</v>
      </c>
      <c r="GM210" t="e">
        <f>AND(Confirmations!#REF!,"AAAAAEPH/8I=")</f>
        <v>#REF!</v>
      </c>
      <c r="GN210" t="e">
        <f>AND(Confirmations!#REF!,"AAAAAEPH/8M=")</f>
        <v>#REF!</v>
      </c>
      <c r="GO210" t="e">
        <f>AND(Confirmations!#REF!,"AAAAAEPH/8Q=")</f>
        <v>#REF!</v>
      </c>
      <c r="GP210" t="e">
        <f>AND(Confirmations!#REF!,"AAAAAEPH/8U=")</f>
        <v>#REF!</v>
      </c>
      <c r="GQ210" t="e">
        <f>AND(Confirmations!#REF!,"AAAAAEPH/8Y=")</f>
        <v>#REF!</v>
      </c>
      <c r="GR210" t="e">
        <f>IF(Confirmations!#REF!,"AAAAAEPH/8c=",0)</f>
        <v>#REF!</v>
      </c>
      <c r="GS210" t="e">
        <f>AND(Confirmations!#REF!,"AAAAAEPH/8g=")</f>
        <v>#REF!</v>
      </c>
      <c r="GT210" t="e">
        <f>AND(Confirmations!#REF!,"AAAAAEPH/8k=")</f>
        <v>#REF!</v>
      </c>
      <c r="GU210" t="e">
        <f>AND(Confirmations!#REF!,"AAAAAEPH/8o=")</f>
        <v>#REF!</v>
      </c>
      <c r="GV210" t="e">
        <f>AND(Confirmations!#REF!,"AAAAAEPH/8s=")</f>
        <v>#REF!</v>
      </c>
      <c r="GW210" t="e">
        <f>AND(Confirmations!#REF!,"AAAAAEPH/8w=")</f>
        <v>#REF!</v>
      </c>
      <c r="GX210" t="e">
        <f>AND(Confirmations!#REF!,"AAAAAEPH/80=")</f>
        <v>#REF!</v>
      </c>
      <c r="GY210" t="e">
        <f>AND(Confirmations!#REF!,"AAAAAEPH/84=")</f>
        <v>#REF!</v>
      </c>
      <c r="GZ210" t="e">
        <f>AND(Confirmations!#REF!,"AAAAAEPH/88=")</f>
        <v>#REF!</v>
      </c>
      <c r="HA210" t="e">
        <f>AND(Confirmations!#REF!,"AAAAAEPH/9A=")</f>
        <v>#REF!</v>
      </c>
      <c r="HB210" t="e">
        <f>AND(Confirmations!#REF!,"AAAAAEPH/9E=")</f>
        <v>#REF!</v>
      </c>
      <c r="HC210" t="e">
        <f>AND(Confirmations!#REF!,"AAAAAEPH/9I=")</f>
        <v>#REF!</v>
      </c>
      <c r="HD210" t="e">
        <f>AND(Confirmations!#REF!,"AAAAAEPH/9M=")</f>
        <v>#REF!</v>
      </c>
      <c r="HE210" t="e">
        <f>AND(Confirmations!#REF!,"AAAAAEPH/9Q=")</f>
        <v>#REF!</v>
      </c>
      <c r="HF210" t="e">
        <f>AND(Confirmations!#REF!,"AAAAAEPH/9U=")</f>
        <v>#REF!</v>
      </c>
      <c r="HG210" t="e">
        <f>AND(Confirmations!#REF!,"AAAAAEPH/9Y=")</f>
        <v>#REF!</v>
      </c>
      <c r="HH210" t="e">
        <f>AND(Confirmations!#REF!,"AAAAAEPH/9c=")</f>
        <v>#REF!</v>
      </c>
      <c r="HI210" t="e">
        <f>AND(Confirmations!#REF!,"AAAAAEPH/9g=")</f>
        <v>#REF!</v>
      </c>
      <c r="HJ210" t="e">
        <f>IF(Confirmations!#REF!,"AAAAAEPH/9k=",0)</f>
        <v>#REF!</v>
      </c>
      <c r="HK210" t="e">
        <f>AND(Confirmations!#REF!,"AAAAAEPH/9o=")</f>
        <v>#REF!</v>
      </c>
      <c r="HL210" t="e">
        <f>AND(Confirmations!#REF!,"AAAAAEPH/9s=")</f>
        <v>#REF!</v>
      </c>
      <c r="HM210" t="e">
        <f>AND(Confirmations!#REF!,"AAAAAEPH/9w=")</f>
        <v>#REF!</v>
      </c>
      <c r="HN210" t="e">
        <f>AND(Confirmations!#REF!,"AAAAAEPH/90=")</f>
        <v>#REF!</v>
      </c>
      <c r="HO210" t="e">
        <f>AND(Confirmations!#REF!,"AAAAAEPH/94=")</f>
        <v>#REF!</v>
      </c>
      <c r="HP210" t="e">
        <f>AND(Confirmations!#REF!,"AAAAAEPH/98=")</f>
        <v>#REF!</v>
      </c>
      <c r="HQ210" t="e">
        <f>AND(Confirmations!#REF!,"AAAAAEPH/+A=")</f>
        <v>#REF!</v>
      </c>
      <c r="HR210" t="e">
        <f>AND(Confirmations!#REF!,"AAAAAEPH/+E=")</f>
        <v>#REF!</v>
      </c>
      <c r="HS210" t="e">
        <f>AND(Confirmations!#REF!,"AAAAAEPH/+I=")</f>
        <v>#REF!</v>
      </c>
      <c r="HT210" t="e">
        <f>AND(Confirmations!#REF!,"AAAAAEPH/+M=")</f>
        <v>#REF!</v>
      </c>
      <c r="HU210" t="e">
        <f>AND(Confirmations!#REF!,"AAAAAEPH/+Q=")</f>
        <v>#REF!</v>
      </c>
      <c r="HV210" t="e">
        <f>AND(Confirmations!#REF!,"AAAAAEPH/+U=")</f>
        <v>#REF!</v>
      </c>
      <c r="HW210" t="e">
        <f>AND(Confirmations!#REF!,"AAAAAEPH/+Y=")</f>
        <v>#REF!</v>
      </c>
      <c r="HX210" t="e">
        <f>AND(Confirmations!#REF!,"AAAAAEPH/+c=")</f>
        <v>#REF!</v>
      </c>
      <c r="HY210" t="e">
        <f>AND(Confirmations!#REF!,"AAAAAEPH/+g=")</f>
        <v>#REF!</v>
      </c>
      <c r="HZ210" t="e">
        <f>AND(Confirmations!#REF!,"AAAAAEPH/+k=")</f>
        <v>#REF!</v>
      </c>
      <c r="IA210" t="e">
        <f>AND(Confirmations!#REF!,"AAAAAEPH/+o=")</f>
        <v>#REF!</v>
      </c>
      <c r="IB210" t="e">
        <f>IF(Confirmations!#REF!,"AAAAAEPH/+s=",0)</f>
        <v>#REF!</v>
      </c>
      <c r="IC210" t="e">
        <f>AND(Confirmations!#REF!,"AAAAAEPH/+w=")</f>
        <v>#REF!</v>
      </c>
      <c r="ID210" t="e">
        <f>AND(Confirmations!#REF!,"AAAAAEPH/+0=")</f>
        <v>#REF!</v>
      </c>
      <c r="IE210" t="e">
        <f>AND(Confirmations!#REF!,"AAAAAEPH/+4=")</f>
        <v>#REF!</v>
      </c>
      <c r="IF210" t="e">
        <f>AND(Confirmations!#REF!,"AAAAAEPH/+8=")</f>
        <v>#REF!</v>
      </c>
      <c r="IG210" t="e">
        <f>AND(Confirmations!#REF!,"AAAAAEPH//A=")</f>
        <v>#REF!</v>
      </c>
      <c r="IH210" t="e">
        <f>AND(Confirmations!#REF!,"AAAAAEPH//E=")</f>
        <v>#REF!</v>
      </c>
      <c r="II210" t="e">
        <f>AND(Confirmations!#REF!,"AAAAAEPH//I=")</f>
        <v>#REF!</v>
      </c>
      <c r="IJ210" t="e">
        <f>AND(Confirmations!#REF!,"AAAAAEPH//M=")</f>
        <v>#REF!</v>
      </c>
      <c r="IK210" t="e">
        <f>AND(Confirmations!#REF!,"AAAAAEPH//Q=")</f>
        <v>#REF!</v>
      </c>
      <c r="IL210" t="e">
        <f>AND(Confirmations!#REF!,"AAAAAEPH//U=")</f>
        <v>#REF!</v>
      </c>
      <c r="IM210" t="e">
        <f>AND(Confirmations!#REF!,"AAAAAEPH//Y=")</f>
        <v>#REF!</v>
      </c>
      <c r="IN210" t="e">
        <f>AND(Confirmations!#REF!,"AAAAAEPH//c=")</f>
        <v>#REF!</v>
      </c>
      <c r="IO210" t="e">
        <f>AND(Confirmations!#REF!,"AAAAAEPH//g=")</f>
        <v>#REF!</v>
      </c>
      <c r="IP210" t="e">
        <f>AND(Confirmations!#REF!,"AAAAAEPH//k=")</f>
        <v>#REF!</v>
      </c>
      <c r="IQ210" t="e">
        <f>AND(Confirmations!#REF!,"AAAAAEPH//o=")</f>
        <v>#REF!</v>
      </c>
      <c r="IR210" t="e">
        <f>AND(Confirmations!#REF!,"AAAAAEPH//s=")</f>
        <v>#REF!</v>
      </c>
      <c r="IS210" t="e">
        <f>AND(Confirmations!#REF!,"AAAAAEPH//w=")</f>
        <v>#REF!</v>
      </c>
      <c r="IT210" t="e">
        <f>IF(Confirmations!#REF!,"AAAAAEPH//0=",0)</f>
        <v>#REF!</v>
      </c>
      <c r="IU210" t="e">
        <f>AND(Confirmations!#REF!,"AAAAAEPH//4=")</f>
        <v>#REF!</v>
      </c>
      <c r="IV210" t="e">
        <f>AND(Confirmations!#REF!,"AAAAAEPH//8=")</f>
        <v>#REF!</v>
      </c>
    </row>
    <row r="211" spans="1:256" x14ac:dyDescent="0.2">
      <c r="A211" t="e">
        <f>AND(Confirmations!#REF!,"AAAAAG9z6wA=")</f>
        <v>#REF!</v>
      </c>
      <c r="B211" t="e">
        <f>AND(Confirmations!#REF!,"AAAAAG9z6wE=")</f>
        <v>#REF!</v>
      </c>
      <c r="C211" t="e">
        <f>AND(Confirmations!#REF!,"AAAAAG9z6wI=")</f>
        <v>#REF!</v>
      </c>
      <c r="D211" t="e">
        <f>AND(Confirmations!#REF!,"AAAAAG9z6wM=")</f>
        <v>#REF!</v>
      </c>
      <c r="E211" t="e">
        <f>AND(Confirmations!#REF!,"AAAAAG9z6wQ=")</f>
        <v>#REF!</v>
      </c>
      <c r="F211" t="e">
        <f>AND(Confirmations!#REF!,"AAAAAG9z6wU=")</f>
        <v>#REF!</v>
      </c>
      <c r="G211" t="e">
        <f>AND(Confirmations!#REF!,"AAAAAG9z6wY=")</f>
        <v>#REF!</v>
      </c>
      <c r="H211" t="e">
        <f>AND(Confirmations!#REF!,"AAAAAG9z6wc=")</f>
        <v>#REF!</v>
      </c>
      <c r="I211" t="e">
        <f>AND(Confirmations!#REF!,"AAAAAG9z6wg=")</f>
        <v>#REF!</v>
      </c>
      <c r="J211" t="e">
        <f>AND(Confirmations!#REF!,"AAAAAG9z6wk=")</f>
        <v>#REF!</v>
      </c>
      <c r="K211" t="e">
        <f>AND(Confirmations!#REF!,"AAAAAG9z6wo=")</f>
        <v>#REF!</v>
      </c>
      <c r="L211" t="e">
        <f>AND(Confirmations!#REF!,"AAAAAG9z6ws=")</f>
        <v>#REF!</v>
      </c>
      <c r="M211" t="e">
        <f>AND(Confirmations!#REF!,"AAAAAG9z6ww=")</f>
        <v>#REF!</v>
      </c>
      <c r="N211" t="e">
        <f>AND(Confirmations!#REF!,"AAAAAG9z6w0=")</f>
        <v>#REF!</v>
      </c>
      <c r="O211" t="e">
        <f>AND(Confirmations!#REF!,"AAAAAG9z6w4=")</f>
        <v>#REF!</v>
      </c>
      <c r="P211" t="e">
        <f>IF(Confirmations!#REF!,"AAAAAG9z6w8=",0)</f>
        <v>#REF!</v>
      </c>
      <c r="Q211" t="e">
        <f>AND(Confirmations!#REF!,"AAAAAG9z6xA=")</f>
        <v>#REF!</v>
      </c>
      <c r="R211" t="e">
        <f>AND(Confirmations!#REF!,"AAAAAG9z6xE=")</f>
        <v>#REF!</v>
      </c>
      <c r="S211" t="e">
        <f>AND(Confirmations!#REF!,"AAAAAG9z6xI=")</f>
        <v>#REF!</v>
      </c>
      <c r="T211" t="e">
        <f>AND(Confirmations!#REF!,"AAAAAG9z6xM=")</f>
        <v>#REF!</v>
      </c>
      <c r="U211" t="e">
        <f>AND(Confirmations!#REF!,"AAAAAG9z6xQ=")</f>
        <v>#REF!</v>
      </c>
      <c r="V211" t="e">
        <f>AND(Confirmations!#REF!,"AAAAAG9z6xU=")</f>
        <v>#REF!</v>
      </c>
      <c r="W211" t="e">
        <f>AND(Confirmations!#REF!,"AAAAAG9z6xY=")</f>
        <v>#REF!</v>
      </c>
      <c r="X211" t="e">
        <f>AND(Confirmations!#REF!,"AAAAAG9z6xc=")</f>
        <v>#REF!</v>
      </c>
      <c r="Y211" t="e">
        <f>AND(Confirmations!#REF!,"AAAAAG9z6xg=")</f>
        <v>#REF!</v>
      </c>
      <c r="Z211" t="e">
        <f>AND(Confirmations!#REF!,"AAAAAG9z6xk=")</f>
        <v>#REF!</v>
      </c>
      <c r="AA211" t="e">
        <f>AND(Confirmations!#REF!,"AAAAAG9z6xo=")</f>
        <v>#REF!</v>
      </c>
      <c r="AB211" t="e">
        <f>AND(Confirmations!#REF!,"AAAAAG9z6xs=")</f>
        <v>#REF!</v>
      </c>
      <c r="AC211" t="e">
        <f>AND(Confirmations!#REF!,"AAAAAG9z6xw=")</f>
        <v>#REF!</v>
      </c>
      <c r="AD211" t="e">
        <f>AND(Confirmations!#REF!,"AAAAAG9z6x0=")</f>
        <v>#REF!</v>
      </c>
      <c r="AE211" t="e">
        <f>AND(Confirmations!#REF!,"AAAAAG9z6x4=")</f>
        <v>#REF!</v>
      </c>
      <c r="AF211" t="e">
        <f>AND(Confirmations!#REF!,"AAAAAG9z6x8=")</f>
        <v>#REF!</v>
      </c>
      <c r="AG211" t="e">
        <f>AND(Confirmations!#REF!,"AAAAAG9z6yA=")</f>
        <v>#REF!</v>
      </c>
      <c r="AH211" t="e">
        <f>IF(Confirmations!#REF!,"AAAAAG9z6yE=",0)</f>
        <v>#REF!</v>
      </c>
      <c r="AI211" t="e">
        <f>AND(Confirmations!#REF!,"AAAAAG9z6yI=")</f>
        <v>#REF!</v>
      </c>
      <c r="AJ211" t="e">
        <f>AND(Confirmations!#REF!,"AAAAAG9z6yM=")</f>
        <v>#REF!</v>
      </c>
      <c r="AK211" t="e">
        <f>AND(Confirmations!#REF!,"AAAAAG9z6yQ=")</f>
        <v>#REF!</v>
      </c>
      <c r="AL211" t="e">
        <f>AND(Confirmations!#REF!,"AAAAAG9z6yU=")</f>
        <v>#REF!</v>
      </c>
      <c r="AM211" t="e">
        <f>AND(Confirmations!#REF!,"AAAAAG9z6yY=")</f>
        <v>#REF!</v>
      </c>
      <c r="AN211" t="e">
        <f>AND(Confirmations!#REF!,"AAAAAG9z6yc=")</f>
        <v>#REF!</v>
      </c>
      <c r="AO211" t="e">
        <f>AND(Confirmations!#REF!,"AAAAAG9z6yg=")</f>
        <v>#REF!</v>
      </c>
      <c r="AP211" t="e">
        <f>AND(Confirmations!#REF!,"AAAAAG9z6yk=")</f>
        <v>#REF!</v>
      </c>
      <c r="AQ211" t="e">
        <f>AND(Confirmations!#REF!,"AAAAAG9z6yo=")</f>
        <v>#REF!</v>
      </c>
      <c r="AR211" t="e">
        <f>AND(Confirmations!#REF!,"AAAAAG9z6ys=")</f>
        <v>#REF!</v>
      </c>
      <c r="AS211" t="e">
        <f>AND(Confirmations!#REF!,"AAAAAG9z6yw=")</f>
        <v>#REF!</v>
      </c>
      <c r="AT211" t="e">
        <f>AND(Confirmations!#REF!,"AAAAAG9z6y0=")</f>
        <v>#REF!</v>
      </c>
      <c r="AU211" t="e">
        <f>AND(Confirmations!#REF!,"AAAAAG9z6y4=")</f>
        <v>#REF!</v>
      </c>
      <c r="AV211" t="e">
        <f>AND(Confirmations!#REF!,"AAAAAG9z6y8=")</f>
        <v>#REF!</v>
      </c>
      <c r="AW211" t="e">
        <f>AND(Confirmations!#REF!,"AAAAAG9z6zA=")</f>
        <v>#REF!</v>
      </c>
      <c r="AX211" t="e">
        <f>AND(Confirmations!#REF!,"AAAAAG9z6zE=")</f>
        <v>#REF!</v>
      </c>
      <c r="AY211" t="e">
        <f>AND(Confirmations!#REF!,"AAAAAG9z6zI=")</f>
        <v>#REF!</v>
      </c>
      <c r="AZ211" t="e">
        <f>IF(Confirmations!#REF!,"AAAAAG9z6zM=",0)</f>
        <v>#REF!</v>
      </c>
      <c r="BA211" t="e">
        <f>AND(Confirmations!#REF!,"AAAAAG9z6zQ=")</f>
        <v>#REF!</v>
      </c>
      <c r="BB211" t="e">
        <f>AND(Confirmations!#REF!,"AAAAAG9z6zU=")</f>
        <v>#REF!</v>
      </c>
      <c r="BC211" t="e">
        <f>AND(Confirmations!#REF!,"AAAAAG9z6zY=")</f>
        <v>#REF!</v>
      </c>
      <c r="BD211" t="e">
        <f>AND(Confirmations!#REF!,"AAAAAG9z6zc=")</f>
        <v>#REF!</v>
      </c>
      <c r="BE211" t="e">
        <f>AND(Confirmations!#REF!,"AAAAAG9z6zg=")</f>
        <v>#REF!</v>
      </c>
      <c r="BF211" t="e">
        <f>AND(Confirmations!#REF!,"AAAAAG9z6zk=")</f>
        <v>#REF!</v>
      </c>
      <c r="BG211" t="e">
        <f>AND(Confirmations!#REF!,"AAAAAG9z6zo=")</f>
        <v>#REF!</v>
      </c>
      <c r="BH211" t="e">
        <f>AND(Confirmations!#REF!,"AAAAAG9z6zs=")</f>
        <v>#REF!</v>
      </c>
      <c r="BI211" t="e">
        <f>AND(Confirmations!#REF!,"AAAAAG9z6zw=")</f>
        <v>#REF!</v>
      </c>
      <c r="BJ211" t="e">
        <f>AND(Confirmations!#REF!,"AAAAAG9z6z0=")</f>
        <v>#REF!</v>
      </c>
      <c r="BK211" t="e">
        <f>AND(Confirmations!#REF!,"AAAAAG9z6z4=")</f>
        <v>#REF!</v>
      </c>
      <c r="BL211" t="e">
        <f>AND(Confirmations!#REF!,"AAAAAG9z6z8=")</f>
        <v>#REF!</v>
      </c>
      <c r="BM211" t="e">
        <f>AND(Confirmations!#REF!,"AAAAAG9z60A=")</f>
        <v>#REF!</v>
      </c>
      <c r="BN211" t="e">
        <f>AND(Confirmations!#REF!,"AAAAAG9z60E=")</f>
        <v>#REF!</v>
      </c>
      <c r="BO211" t="e">
        <f>AND(Confirmations!#REF!,"AAAAAG9z60I=")</f>
        <v>#REF!</v>
      </c>
      <c r="BP211" t="e">
        <f>AND(Confirmations!#REF!,"AAAAAG9z60M=")</f>
        <v>#REF!</v>
      </c>
      <c r="BQ211" t="e">
        <f>AND(Confirmations!#REF!,"AAAAAG9z60Q=")</f>
        <v>#REF!</v>
      </c>
      <c r="BR211" t="e">
        <f>IF(Confirmations!#REF!,"AAAAAG9z60U=",0)</f>
        <v>#REF!</v>
      </c>
      <c r="BS211" t="e">
        <f>AND(Confirmations!#REF!,"AAAAAG9z60Y=")</f>
        <v>#REF!</v>
      </c>
      <c r="BT211" t="e">
        <f>AND(Confirmations!#REF!,"AAAAAG9z60c=")</f>
        <v>#REF!</v>
      </c>
      <c r="BU211" t="e">
        <f>AND(Confirmations!#REF!,"AAAAAG9z60g=")</f>
        <v>#REF!</v>
      </c>
      <c r="BV211" t="e">
        <f>AND(Confirmations!#REF!,"AAAAAG9z60k=")</f>
        <v>#REF!</v>
      </c>
      <c r="BW211" t="e">
        <f>AND(Confirmations!#REF!,"AAAAAG9z60o=")</f>
        <v>#REF!</v>
      </c>
      <c r="BX211" t="e">
        <f>AND(Confirmations!#REF!,"AAAAAG9z60s=")</f>
        <v>#REF!</v>
      </c>
      <c r="BY211" t="e">
        <f>AND(Confirmations!#REF!,"AAAAAG9z60w=")</f>
        <v>#REF!</v>
      </c>
      <c r="BZ211" t="e">
        <f>AND(Confirmations!#REF!,"AAAAAG9z600=")</f>
        <v>#REF!</v>
      </c>
      <c r="CA211" t="e">
        <f>AND(Confirmations!#REF!,"AAAAAG9z604=")</f>
        <v>#REF!</v>
      </c>
      <c r="CB211" t="e">
        <f>AND(Confirmations!#REF!,"AAAAAG9z608=")</f>
        <v>#REF!</v>
      </c>
      <c r="CC211" t="e">
        <f>AND(Confirmations!#REF!,"AAAAAG9z61A=")</f>
        <v>#REF!</v>
      </c>
      <c r="CD211" t="e">
        <f>AND(Confirmations!#REF!,"AAAAAG9z61E=")</f>
        <v>#REF!</v>
      </c>
      <c r="CE211" t="e">
        <f>AND(Confirmations!#REF!,"AAAAAG9z61I=")</f>
        <v>#REF!</v>
      </c>
      <c r="CF211" t="e">
        <f>AND(Confirmations!#REF!,"AAAAAG9z61M=")</f>
        <v>#REF!</v>
      </c>
      <c r="CG211" t="e">
        <f>AND(Confirmations!#REF!,"AAAAAG9z61Q=")</f>
        <v>#REF!</v>
      </c>
      <c r="CH211" t="e">
        <f>AND(Confirmations!#REF!,"AAAAAG9z61U=")</f>
        <v>#REF!</v>
      </c>
      <c r="CI211" t="e">
        <f>AND(Confirmations!#REF!,"AAAAAG9z61Y=")</f>
        <v>#REF!</v>
      </c>
      <c r="CJ211" t="e">
        <f>IF(Confirmations!#REF!,"AAAAAG9z61c=",0)</f>
        <v>#REF!</v>
      </c>
      <c r="CK211" t="e">
        <f>AND(Confirmations!#REF!,"AAAAAG9z61g=")</f>
        <v>#REF!</v>
      </c>
      <c r="CL211" t="e">
        <f>AND(Confirmations!#REF!,"AAAAAG9z61k=")</f>
        <v>#REF!</v>
      </c>
      <c r="CM211" t="e">
        <f>AND(Confirmations!#REF!,"AAAAAG9z61o=")</f>
        <v>#REF!</v>
      </c>
      <c r="CN211" t="e">
        <f>AND(Confirmations!#REF!,"AAAAAG9z61s=")</f>
        <v>#REF!</v>
      </c>
      <c r="CO211" t="e">
        <f>AND(Confirmations!#REF!,"AAAAAG9z61w=")</f>
        <v>#REF!</v>
      </c>
      <c r="CP211" t="e">
        <f>AND(Confirmations!#REF!,"AAAAAG9z610=")</f>
        <v>#REF!</v>
      </c>
      <c r="CQ211" t="e">
        <f>AND(Confirmations!#REF!,"AAAAAG9z614=")</f>
        <v>#REF!</v>
      </c>
      <c r="CR211" t="e">
        <f>AND(Confirmations!#REF!,"AAAAAG9z618=")</f>
        <v>#REF!</v>
      </c>
      <c r="CS211" t="e">
        <f>AND(Confirmations!#REF!,"AAAAAG9z62A=")</f>
        <v>#REF!</v>
      </c>
      <c r="CT211" t="e">
        <f>AND(Confirmations!#REF!,"AAAAAG9z62E=")</f>
        <v>#REF!</v>
      </c>
      <c r="CU211" t="e">
        <f>AND(Confirmations!#REF!,"AAAAAG9z62I=")</f>
        <v>#REF!</v>
      </c>
      <c r="CV211" t="e">
        <f>AND(Confirmations!#REF!,"AAAAAG9z62M=")</f>
        <v>#REF!</v>
      </c>
      <c r="CW211" t="e">
        <f>AND(Confirmations!#REF!,"AAAAAG9z62Q=")</f>
        <v>#REF!</v>
      </c>
      <c r="CX211" t="e">
        <f>AND(Confirmations!#REF!,"AAAAAG9z62U=")</f>
        <v>#REF!</v>
      </c>
      <c r="CY211" t="e">
        <f>AND(Confirmations!#REF!,"AAAAAG9z62Y=")</f>
        <v>#REF!</v>
      </c>
      <c r="CZ211" t="e">
        <f>AND(Confirmations!#REF!,"AAAAAG9z62c=")</f>
        <v>#REF!</v>
      </c>
      <c r="DA211" t="e">
        <f>AND(Confirmations!#REF!,"AAAAAG9z62g=")</f>
        <v>#REF!</v>
      </c>
      <c r="DB211" t="e">
        <f>IF(Confirmations!#REF!,"AAAAAG9z62k=",0)</f>
        <v>#REF!</v>
      </c>
      <c r="DC211" t="e">
        <f>AND(Confirmations!#REF!,"AAAAAG9z62o=")</f>
        <v>#REF!</v>
      </c>
      <c r="DD211" t="e">
        <f>AND(Confirmations!#REF!,"AAAAAG9z62s=")</f>
        <v>#REF!</v>
      </c>
      <c r="DE211" t="e">
        <f>AND(Confirmations!#REF!,"AAAAAG9z62w=")</f>
        <v>#REF!</v>
      </c>
      <c r="DF211" t="e">
        <f>AND(Confirmations!#REF!,"AAAAAG9z620=")</f>
        <v>#REF!</v>
      </c>
      <c r="DG211" t="e">
        <f>AND(Confirmations!#REF!,"AAAAAG9z624=")</f>
        <v>#REF!</v>
      </c>
      <c r="DH211" t="e">
        <f>AND(Confirmations!#REF!,"AAAAAG9z628=")</f>
        <v>#REF!</v>
      </c>
      <c r="DI211" t="e">
        <f>AND(Confirmations!#REF!,"AAAAAG9z63A=")</f>
        <v>#REF!</v>
      </c>
      <c r="DJ211" t="e">
        <f>AND(Confirmations!#REF!,"AAAAAG9z63E=")</f>
        <v>#REF!</v>
      </c>
      <c r="DK211" t="e">
        <f>AND(Confirmations!#REF!,"AAAAAG9z63I=")</f>
        <v>#REF!</v>
      </c>
      <c r="DL211" t="e">
        <f>AND(Confirmations!#REF!,"AAAAAG9z63M=")</f>
        <v>#REF!</v>
      </c>
      <c r="DM211" t="e">
        <f>AND(Confirmations!#REF!,"AAAAAG9z63Q=")</f>
        <v>#REF!</v>
      </c>
      <c r="DN211" t="e">
        <f>AND(Confirmations!#REF!,"AAAAAG9z63U=")</f>
        <v>#REF!</v>
      </c>
      <c r="DO211" t="e">
        <f>AND(Confirmations!#REF!,"AAAAAG9z63Y=")</f>
        <v>#REF!</v>
      </c>
      <c r="DP211" t="e">
        <f>AND(Confirmations!#REF!,"AAAAAG9z63c=")</f>
        <v>#REF!</v>
      </c>
      <c r="DQ211" t="e">
        <f>AND(Confirmations!#REF!,"AAAAAG9z63g=")</f>
        <v>#REF!</v>
      </c>
      <c r="DR211" t="e">
        <f>AND(Confirmations!#REF!,"AAAAAG9z63k=")</f>
        <v>#REF!</v>
      </c>
      <c r="DS211" t="e">
        <f>AND(Confirmations!#REF!,"AAAAAG9z63o=")</f>
        <v>#REF!</v>
      </c>
      <c r="DT211" t="e">
        <f>IF(Confirmations!#REF!,"AAAAAG9z63s=",0)</f>
        <v>#REF!</v>
      </c>
      <c r="DU211" t="e">
        <f>AND(Confirmations!#REF!,"AAAAAG9z63w=")</f>
        <v>#REF!</v>
      </c>
      <c r="DV211" t="e">
        <f>AND(Confirmations!#REF!,"AAAAAG9z630=")</f>
        <v>#REF!</v>
      </c>
      <c r="DW211" t="e">
        <f>AND(Confirmations!#REF!,"AAAAAG9z634=")</f>
        <v>#REF!</v>
      </c>
      <c r="DX211" t="e">
        <f>AND(Confirmations!#REF!,"AAAAAG9z638=")</f>
        <v>#REF!</v>
      </c>
      <c r="DY211" t="e">
        <f>AND(Confirmations!#REF!,"AAAAAG9z64A=")</f>
        <v>#REF!</v>
      </c>
      <c r="DZ211" t="e">
        <f>AND(Confirmations!#REF!,"AAAAAG9z64E=")</f>
        <v>#REF!</v>
      </c>
      <c r="EA211" t="e">
        <f>AND(Confirmations!#REF!,"AAAAAG9z64I=")</f>
        <v>#REF!</v>
      </c>
      <c r="EB211" t="e">
        <f>AND(Confirmations!#REF!,"AAAAAG9z64M=")</f>
        <v>#REF!</v>
      </c>
      <c r="EC211" t="e">
        <f>AND(Confirmations!#REF!,"AAAAAG9z64Q=")</f>
        <v>#REF!</v>
      </c>
      <c r="ED211" t="e">
        <f>AND(Confirmations!#REF!,"AAAAAG9z64U=")</f>
        <v>#REF!</v>
      </c>
      <c r="EE211" t="e">
        <f>AND(Confirmations!#REF!,"AAAAAG9z64Y=")</f>
        <v>#REF!</v>
      </c>
      <c r="EF211" t="e">
        <f>AND(Confirmations!#REF!,"AAAAAG9z64c=")</f>
        <v>#REF!</v>
      </c>
      <c r="EG211" t="e">
        <f>AND(Confirmations!#REF!,"AAAAAG9z64g=")</f>
        <v>#REF!</v>
      </c>
      <c r="EH211" t="e">
        <f>AND(Confirmations!#REF!,"AAAAAG9z64k=")</f>
        <v>#REF!</v>
      </c>
      <c r="EI211" t="e">
        <f>AND(Confirmations!#REF!,"AAAAAG9z64o=")</f>
        <v>#REF!</v>
      </c>
      <c r="EJ211" t="e">
        <f>AND(Confirmations!#REF!,"AAAAAG9z64s=")</f>
        <v>#REF!</v>
      </c>
      <c r="EK211" t="e">
        <f>AND(Confirmations!#REF!,"AAAAAG9z64w=")</f>
        <v>#REF!</v>
      </c>
      <c r="EL211" t="e">
        <f>IF(Confirmations!#REF!,"AAAAAG9z640=",0)</f>
        <v>#REF!</v>
      </c>
      <c r="EM211" t="e">
        <f>AND(Confirmations!#REF!,"AAAAAG9z644=")</f>
        <v>#REF!</v>
      </c>
      <c r="EN211" t="e">
        <f>AND(Confirmations!#REF!,"AAAAAG9z648=")</f>
        <v>#REF!</v>
      </c>
      <c r="EO211" t="e">
        <f>AND(Confirmations!#REF!,"AAAAAG9z65A=")</f>
        <v>#REF!</v>
      </c>
      <c r="EP211" t="e">
        <f>AND(Confirmations!#REF!,"AAAAAG9z65E=")</f>
        <v>#REF!</v>
      </c>
      <c r="EQ211" t="e">
        <f>AND(Confirmations!#REF!,"AAAAAG9z65I=")</f>
        <v>#REF!</v>
      </c>
      <c r="ER211" t="e">
        <f>AND(Confirmations!#REF!,"AAAAAG9z65M=")</f>
        <v>#REF!</v>
      </c>
      <c r="ES211" t="e">
        <f>AND(Confirmations!#REF!,"AAAAAG9z65Q=")</f>
        <v>#REF!</v>
      </c>
      <c r="ET211" t="e">
        <f>AND(Confirmations!#REF!,"AAAAAG9z65U=")</f>
        <v>#REF!</v>
      </c>
      <c r="EU211" t="e">
        <f>AND(Confirmations!#REF!,"AAAAAG9z65Y=")</f>
        <v>#REF!</v>
      </c>
      <c r="EV211" t="e">
        <f>AND(Confirmations!#REF!,"AAAAAG9z65c=")</f>
        <v>#REF!</v>
      </c>
      <c r="EW211" t="e">
        <f>AND(Confirmations!#REF!,"AAAAAG9z65g=")</f>
        <v>#REF!</v>
      </c>
      <c r="EX211" t="e">
        <f>AND(Confirmations!#REF!,"AAAAAG9z65k=")</f>
        <v>#REF!</v>
      </c>
      <c r="EY211" t="e">
        <f>AND(Confirmations!#REF!,"AAAAAG9z65o=")</f>
        <v>#REF!</v>
      </c>
      <c r="EZ211" t="e">
        <f>AND(Confirmations!#REF!,"AAAAAG9z65s=")</f>
        <v>#REF!</v>
      </c>
      <c r="FA211" t="e">
        <f>AND(Confirmations!#REF!,"AAAAAG9z65w=")</f>
        <v>#REF!</v>
      </c>
      <c r="FB211" t="e">
        <f>AND(Confirmations!#REF!,"AAAAAG9z650=")</f>
        <v>#REF!</v>
      </c>
      <c r="FC211" t="e">
        <f>AND(Confirmations!#REF!,"AAAAAG9z654=")</f>
        <v>#REF!</v>
      </c>
      <c r="FD211" t="e">
        <f>IF(Confirmations!#REF!,"AAAAAG9z658=",0)</f>
        <v>#REF!</v>
      </c>
      <c r="FE211" t="e">
        <f>AND(Confirmations!#REF!,"AAAAAG9z66A=")</f>
        <v>#REF!</v>
      </c>
      <c r="FF211" t="e">
        <f>AND(Confirmations!#REF!,"AAAAAG9z66E=")</f>
        <v>#REF!</v>
      </c>
      <c r="FG211" t="e">
        <f>AND(Confirmations!#REF!,"AAAAAG9z66I=")</f>
        <v>#REF!</v>
      </c>
      <c r="FH211" t="e">
        <f>AND(Confirmations!#REF!,"AAAAAG9z66M=")</f>
        <v>#REF!</v>
      </c>
      <c r="FI211" t="e">
        <f>AND(Confirmations!#REF!,"AAAAAG9z66Q=")</f>
        <v>#REF!</v>
      </c>
      <c r="FJ211" t="e">
        <f>AND(Confirmations!#REF!,"AAAAAG9z66U=")</f>
        <v>#REF!</v>
      </c>
      <c r="FK211" t="e">
        <f>AND(Confirmations!#REF!,"AAAAAG9z66Y=")</f>
        <v>#REF!</v>
      </c>
      <c r="FL211" t="e">
        <f>AND(Confirmations!#REF!,"AAAAAG9z66c=")</f>
        <v>#REF!</v>
      </c>
      <c r="FM211" t="e">
        <f>AND(Confirmations!#REF!,"AAAAAG9z66g=")</f>
        <v>#REF!</v>
      </c>
      <c r="FN211" t="e">
        <f>AND(Confirmations!#REF!,"AAAAAG9z66k=")</f>
        <v>#REF!</v>
      </c>
      <c r="FO211" t="e">
        <f>AND(Confirmations!#REF!,"AAAAAG9z66o=")</f>
        <v>#REF!</v>
      </c>
      <c r="FP211" t="e">
        <f>AND(Confirmations!#REF!,"AAAAAG9z66s=")</f>
        <v>#REF!</v>
      </c>
      <c r="FQ211" t="e">
        <f>AND(Confirmations!#REF!,"AAAAAG9z66w=")</f>
        <v>#REF!</v>
      </c>
      <c r="FR211" t="e">
        <f>AND(Confirmations!#REF!,"AAAAAG9z660=")</f>
        <v>#REF!</v>
      </c>
      <c r="FS211" t="e">
        <f>AND(Confirmations!#REF!,"AAAAAG9z664=")</f>
        <v>#REF!</v>
      </c>
      <c r="FT211" t="e">
        <f>AND(Confirmations!#REF!,"AAAAAG9z668=")</f>
        <v>#REF!</v>
      </c>
      <c r="FU211" t="e">
        <f>AND(Confirmations!#REF!,"AAAAAG9z67A=")</f>
        <v>#REF!</v>
      </c>
      <c r="FV211" t="e">
        <f>IF(Confirmations!#REF!,"AAAAAG9z67E=",0)</f>
        <v>#REF!</v>
      </c>
      <c r="FW211" t="e">
        <f>AND(Confirmations!#REF!,"AAAAAG9z67I=")</f>
        <v>#REF!</v>
      </c>
      <c r="FX211" t="e">
        <f>AND(Confirmations!#REF!,"AAAAAG9z67M=")</f>
        <v>#REF!</v>
      </c>
      <c r="FY211" t="e">
        <f>AND(Confirmations!#REF!,"AAAAAG9z67Q=")</f>
        <v>#REF!</v>
      </c>
      <c r="FZ211" t="e">
        <f>AND(Confirmations!#REF!,"AAAAAG9z67U=")</f>
        <v>#REF!</v>
      </c>
      <c r="GA211" t="e">
        <f>AND(Confirmations!#REF!,"AAAAAG9z67Y=")</f>
        <v>#REF!</v>
      </c>
      <c r="GB211" t="e">
        <f>AND(Confirmations!#REF!,"AAAAAG9z67c=")</f>
        <v>#REF!</v>
      </c>
      <c r="GC211" t="e">
        <f>AND(Confirmations!#REF!,"AAAAAG9z67g=")</f>
        <v>#REF!</v>
      </c>
      <c r="GD211" t="e">
        <f>AND(Confirmations!#REF!,"AAAAAG9z67k=")</f>
        <v>#REF!</v>
      </c>
      <c r="GE211" t="e">
        <f>AND(Confirmations!#REF!,"AAAAAG9z67o=")</f>
        <v>#REF!</v>
      </c>
      <c r="GF211" t="e">
        <f>AND(Confirmations!#REF!,"AAAAAG9z67s=")</f>
        <v>#REF!</v>
      </c>
      <c r="GG211" t="e">
        <f>AND(Confirmations!#REF!,"AAAAAG9z67w=")</f>
        <v>#REF!</v>
      </c>
      <c r="GH211" t="e">
        <f>AND(Confirmations!#REF!,"AAAAAG9z670=")</f>
        <v>#REF!</v>
      </c>
      <c r="GI211" t="e">
        <f>AND(Confirmations!#REF!,"AAAAAG9z674=")</f>
        <v>#REF!</v>
      </c>
      <c r="GJ211" t="e">
        <f>AND(Confirmations!#REF!,"AAAAAG9z678=")</f>
        <v>#REF!</v>
      </c>
      <c r="GK211" t="e">
        <f>AND(Confirmations!#REF!,"AAAAAG9z68A=")</f>
        <v>#REF!</v>
      </c>
      <c r="GL211" t="e">
        <f>AND(Confirmations!#REF!,"AAAAAG9z68E=")</f>
        <v>#REF!</v>
      </c>
      <c r="GM211" t="e">
        <f>AND(Confirmations!#REF!,"AAAAAG9z68I=")</f>
        <v>#REF!</v>
      </c>
      <c r="GN211" t="e">
        <f>IF(Confirmations!#REF!,"AAAAAG9z68M=",0)</f>
        <v>#REF!</v>
      </c>
      <c r="GO211" t="e">
        <f>AND(Confirmations!#REF!,"AAAAAG9z68Q=")</f>
        <v>#REF!</v>
      </c>
      <c r="GP211" t="e">
        <f>AND(Confirmations!#REF!,"AAAAAG9z68U=")</f>
        <v>#REF!</v>
      </c>
      <c r="GQ211" t="e">
        <f>AND(Confirmations!#REF!,"AAAAAG9z68Y=")</f>
        <v>#REF!</v>
      </c>
      <c r="GR211" t="e">
        <f>AND(Confirmations!#REF!,"AAAAAG9z68c=")</f>
        <v>#REF!</v>
      </c>
      <c r="GS211" t="e">
        <f>AND(Confirmations!#REF!,"AAAAAG9z68g=")</f>
        <v>#REF!</v>
      </c>
      <c r="GT211" t="e">
        <f>AND(Confirmations!#REF!,"AAAAAG9z68k=")</f>
        <v>#REF!</v>
      </c>
      <c r="GU211" t="e">
        <f>AND(Confirmations!#REF!,"AAAAAG9z68o=")</f>
        <v>#REF!</v>
      </c>
      <c r="GV211" t="e">
        <f>AND(Confirmations!#REF!,"AAAAAG9z68s=")</f>
        <v>#REF!</v>
      </c>
      <c r="GW211" t="e">
        <f>AND(Confirmations!#REF!,"AAAAAG9z68w=")</f>
        <v>#REF!</v>
      </c>
      <c r="GX211" t="e">
        <f>AND(Confirmations!#REF!,"AAAAAG9z680=")</f>
        <v>#REF!</v>
      </c>
      <c r="GY211" t="e">
        <f>AND(Confirmations!#REF!,"AAAAAG9z684=")</f>
        <v>#REF!</v>
      </c>
      <c r="GZ211" t="e">
        <f>AND(Confirmations!#REF!,"AAAAAG9z688=")</f>
        <v>#REF!</v>
      </c>
      <c r="HA211" t="e">
        <f>AND(Confirmations!#REF!,"AAAAAG9z69A=")</f>
        <v>#REF!</v>
      </c>
      <c r="HB211" t="e">
        <f>AND(Confirmations!#REF!,"AAAAAG9z69E=")</f>
        <v>#REF!</v>
      </c>
      <c r="HC211" t="e">
        <f>AND(Confirmations!#REF!,"AAAAAG9z69I=")</f>
        <v>#REF!</v>
      </c>
      <c r="HD211" t="e">
        <f>AND(Confirmations!#REF!,"AAAAAG9z69M=")</f>
        <v>#REF!</v>
      </c>
      <c r="HE211" t="e">
        <f>AND(Confirmations!#REF!,"AAAAAG9z69Q=")</f>
        <v>#REF!</v>
      </c>
      <c r="HF211" t="e">
        <f>IF(Confirmations!#REF!,"AAAAAG9z69U=",0)</f>
        <v>#REF!</v>
      </c>
      <c r="HG211" t="e">
        <f>AND(Confirmations!#REF!,"AAAAAG9z69Y=")</f>
        <v>#REF!</v>
      </c>
      <c r="HH211" t="e">
        <f>AND(Confirmations!#REF!,"AAAAAG9z69c=")</f>
        <v>#REF!</v>
      </c>
      <c r="HI211" t="e">
        <f>AND(Confirmations!#REF!,"AAAAAG9z69g=")</f>
        <v>#REF!</v>
      </c>
      <c r="HJ211" t="e">
        <f>AND(Confirmations!#REF!,"AAAAAG9z69k=")</f>
        <v>#REF!</v>
      </c>
      <c r="HK211" t="e">
        <f>AND(Confirmations!#REF!,"AAAAAG9z69o=")</f>
        <v>#REF!</v>
      </c>
      <c r="HL211" t="e">
        <f>AND(Confirmations!#REF!,"AAAAAG9z69s=")</f>
        <v>#REF!</v>
      </c>
      <c r="HM211" t="e">
        <f>AND(Confirmations!#REF!,"AAAAAG9z69w=")</f>
        <v>#REF!</v>
      </c>
      <c r="HN211" t="e">
        <f>AND(Confirmations!#REF!,"AAAAAG9z690=")</f>
        <v>#REF!</v>
      </c>
      <c r="HO211" t="e">
        <f>AND(Confirmations!#REF!,"AAAAAG9z694=")</f>
        <v>#REF!</v>
      </c>
      <c r="HP211" t="e">
        <f>AND(Confirmations!#REF!,"AAAAAG9z698=")</f>
        <v>#REF!</v>
      </c>
      <c r="HQ211" t="e">
        <f>AND(Confirmations!#REF!,"AAAAAG9z6+A=")</f>
        <v>#REF!</v>
      </c>
      <c r="HR211" t="e">
        <f>AND(Confirmations!#REF!,"AAAAAG9z6+E=")</f>
        <v>#REF!</v>
      </c>
      <c r="HS211" t="e">
        <f>AND(Confirmations!#REF!,"AAAAAG9z6+I=")</f>
        <v>#REF!</v>
      </c>
      <c r="HT211" t="e">
        <f>AND(Confirmations!#REF!,"AAAAAG9z6+M=")</f>
        <v>#REF!</v>
      </c>
      <c r="HU211" t="e">
        <f>AND(Confirmations!#REF!,"AAAAAG9z6+Q=")</f>
        <v>#REF!</v>
      </c>
      <c r="HV211" t="e">
        <f>AND(Confirmations!#REF!,"AAAAAG9z6+U=")</f>
        <v>#REF!</v>
      </c>
      <c r="HW211" t="e">
        <f>AND(Confirmations!#REF!,"AAAAAG9z6+Y=")</f>
        <v>#REF!</v>
      </c>
      <c r="HX211" t="e">
        <f>IF(Confirmations!#REF!,"AAAAAG9z6+c=",0)</f>
        <v>#REF!</v>
      </c>
      <c r="HY211" t="e">
        <f>AND(Confirmations!#REF!,"AAAAAG9z6+g=")</f>
        <v>#REF!</v>
      </c>
      <c r="HZ211" t="e">
        <f>AND(Confirmations!#REF!,"AAAAAG9z6+k=")</f>
        <v>#REF!</v>
      </c>
      <c r="IA211" t="e">
        <f>AND(Confirmations!#REF!,"AAAAAG9z6+o=")</f>
        <v>#REF!</v>
      </c>
      <c r="IB211" t="e">
        <f>AND(Confirmations!#REF!,"AAAAAG9z6+s=")</f>
        <v>#REF!</v>
      </c>
      <c r="IC211" t="e">
        <f>AND(Confirmations!#REF!,"AAAAAG9z6+w=")</f>
        <v>#REF!</v>
      </c>
      <c r="ID211" t="e">
        <f>AND(Confirmations!#REF!,"AAAAAG9z6+0=")</f>
        <v>#REF!</v>
      </c>
      <c r="IE211" t="e">
        <f>AND(Confirmations!#REF!,"AAAAAG9z6+4=")</f>
        <v>#REF!</v>
      </c>
      <c r="IF211" t="e">
        <f>AND(Confirmations!#REF!,"AAAAAG9z6+8=")</f>
        <v>#REF!</v>
      </c>
      <c r="IG211" t="e">
        <f>AND(Confirmations!#REF!,"AAAAAG9z6/A=")</f>
        <v>#REF!</v>
      </c>
      <c r="IH211" t="e">
        <f>AND(Confirmations!#REF!,"AAAAAG9z6/E=")</f>
        <v>#REF!</v>
      </c>
      <c r="II211" t="e">
        <f>AND(Confirmations!#REF!,"AAAAAG9z6/I=")</f>
        <v>#REF!</v>
      </c>
      <c r="IJ211" t="e">
        <f>AND(Confirmations!#REF!,"AAAAAG9z6/M=")</f>
        <v>#REF!</v>
      </c>
      <c r="IK211" t="e">
        <f>AND(Confirmations!#REF!,"AAAAAG9z6/Q=")</f>
        <v>#REF!</v>
      </c>
      <c r="IL211" t="e">
        <f>AND(Confirmations!#REF!,"AAAAAG9z6/U=")</f>
        <v>#REF!</v>
      </c>
      <c r="IM211" t="e">
        <f>AND(Confirmations!#REF!,"AAAAAG9z6/Y=")</f>
        <v>#REF!</v>
      </c>
      <c r="IN211" t="e">
        <f>AND(Confirmations!#REF!,"AAAAAG9z6/c=")</f>
        <v>#REF!</v>
      </c>
      <c r="IO211" t="e">
        <f>AND(Confirmations!#REF!,"AAAAAG9z6/g=")</f>
        <v>#REF!</v>
      </c>
      <c r="IP211" t="e">
        <f>IF(Confirmations!#REF!,"AAAAAG9z6/k=",0)</f>
        <v>#REF!</v>
      </c>
      <c r="IQ211" t="e">
        <f>AND(Confirmations!#REF!,"AAAAAG9z6/o=")</f>
        <v>#REF!</v>
      </c>
      <c r="IR211" t="e">
        <f>AND(Confirmations!#REF!,"AAAAAG9z6/s=")</f>
        <v>#REF!</v>
      </c>
      <c r="IS211" t="e">
        <f>AND(Confirmations!#REF!,"AAAAAG9z6/w=")</f>
        <v>#REF!</v>
      </c>
      <c r="IT211" t="e">
        <f>AND(Confirmations!#REF!,"AAAAAG9z6/0=")</f>
        <v>#REF!</v>
      </c>
      <c r="IU211" t="e">
        <f>AND(Confirmations!#REF!,"AAAAAG9z6/4=")</f>
        <v>#REF!</v>
      </c>
      <c r="IV211" t="e">
        <f>AND(Confirmations!#REF!,"AAAAAG9z6/8=")</f>
        <v>#REF!</v>
      </c>
    </row>
    <row r="212" spans="1:256" x14ac:dyDescent="0.2">
      <c r="A212" t="e">
        <f>AND(Confirmations!#REF!,"AAAAAHfN9gA=")</f>
        <v>#REF!</v>
      </c>
      <c r="B212" t="e">
        <f>AND(Confirmations!#REF!,"AAAAAHfN9gE=")</f>
        <v>#REF!</v>
      </c>
      <c r="C212" t="e">
        <f>AND(Confirmations!#REF!,"AAAAAHfN9gI=")</f>
        <v>#REF!</v>
      </c>
      <c r="D212" t="e">
        <f>AND(Confirmations!#REF!,"AAAAAHfN9gM=")</f>
        <v>#REF!</v>
      </c>
      <c r="E212" t="e">
        <f>AND(Confirmations!#REF!,"AAAAAHfN9gQ=")</f>
        <v>#REF!</v>
      </c>
      <c r="F212" t="e">
        <f>AND(Confirmations!#REF!,"AAAAAHfN9gU=")</f>
        <v>#REF!</v>
      </c>
      <c r="G212" t="e">
        <f>AND(Confirmations!#REF!,"AAAAAHfN9gY=")</f>
        <v>#REF!</v>
      </c>
      <c r="H212" t="e">
        <f>AND(Confirmations!#REF!,"AAAAAHfN9gc=")</f>
        <v>#REF!</v>
      </c>
      <c r="I212" t="e">
        <f>AND(Confirmations!#REF!,"AAAAAHfN9gg=")</f>
        <v>#REF!</v>
      </c>
      <c r="J212" t="e">
        <f>AND(Confirmations!#REF!,"AAAAAHfN9gk=")</f>
        <v>#REF!</v>
      </c>
      <c r="K212" t="e">
        <f>AND(Confirmations!#REF!,"AAAAAHfN9go=")</f>
        <v>#REF!</v>
      </c>
      <c r="L212" t="e">
        <f>IF(Confirmations!#REF!,"AAAAAHfN9gs=",0)</f>
        <v>#REF!</v>
      </c>
      <c r="M212" t="e">
        <f>AND(Confirmations!#REF!,"AAAAAHfN9gw=")</f>
        <v>#REF!</v>
      </c>
      <c r="N212" t="e">
        <f>AND(Confirmations!#REF!,"AAAAAHfN9g0=")</f>
        <v>#REF!</v>
      </c>
      <c r="O212" t="e">
        <f>AND(Confirmations!#REF!,"AAAAAHfN9g4=")</f>
        <v>#REF!</v>
      </c>
      <c r="P212" t="e">
        <f>AND(Confirmations!#REF!,"AAAAAHfN9g8=")</f>
        <v>#REF!</v>
      </c>
      <c r="Q212" t="e">
        <f>AND(Confirmations!#REF!,"AAAAAHfN9hA=")</f>
        <v>#REF!</v>
      </c>
      <c r="R212" t="e">
        <f>AND(Confirmations!#REF!,"AAAAAHfN9hE=")</f>
        <v>#REF!</v>
      </c>
      <c r="S212" t="e">
        <f>AND(Confirmations!#REF!,"AAAAAHfN9hI=")</f>
        <v>#REF!</v>
      </c>
      <c r="T212" t="e">
        <f>AND(Confirmations!#REF!,"AAAAAHfN9hM=")</f>
        <v>#REF!</v>
      </c>
      <c r="U212" t="e">
        <f>AND(Confirmations!#REF!,"AAAAAHfN9hQ=")</f>
        <v>#REF!</v>
      </c>
      <c r="V212" t="e">
        <f>AND(Confirmations!#REF!,"AAAAAHfN9hU=")</f>
        <v>#REF!</v>
      </c>
      <c r="W212" t="e">
        <f>AND(Confirmations!#REF!,"AAAAAHfN9hY=")</f>
        <v>#REF!</v>
      </c>
      <c r="X212" t="e">
        <f>AND(Confirmations!#REF!,"AAAAAHfN9hc=")</f>
        <v>#REF!</v>
      </c>
      <c r="Y212" t="e">
        <f>AND(Confirmations!#REF!,"AAAAAHfN9hg=")</f>
        <v>#REF!</v>
      </c>
      <c r="Z212" t="e">
        <f>AND(Confirmations!#REF!,"AAAAAHfN9hk=")</f>
        <v>#REF!</v>
      </c>
      <c r="AA212" t="e">
        <f>AND(Confirmations!#REF!,"AAAAAHfN9ho=")</f>
        <v>#REF!</v>
      </c>
      <c r="AB212" t="e">
        <f>AND(Confirmations!#REF!,"AAAAAHfN9hs=")</f>
        <v>#REF!</v>
      </c>
      <c r="AC212" t="e">
        <f>AND(Confirmations!#REF!,"AAAAAHfN9hw=")</f>
        <v>#REF!</v>
      </c>
      <c r="AD212" t="e">
        <f>IF(Confirmations!#REF!,"AAAAAHfN9h0=",0)</f>
        <v>#REF!</v>
      </c>
      <c r="AE212" t="e">
        <f>AND(Confirmations!#REF!,"AAAAAHfN9h4=")</f>
        <v>#REF!</v>
      </c>
      <c r="AF212" t="e">
        <f>AND(Confirmations!#REF!,"AAAAAHfN9h8=")</f>
        <v>#REF!</v>
      </c>
      <c r="AG212" t="e">
        <f>AND(Confirmations!#REF!,"AAAAAHfN9iA=")</f>
        <v>#REF!</v>
      </c>
      <c r="AH212" t="e">
        <f>AND(Confirmations!#REF!,"AAAAAHfN9iE=")</f>
        <v>#REF!</v>
      </c>
      <c r="AI212" t="e">
        <f>AND(Confirmations!#REF!,"AAAAAHfN9iI=")</f>
        <v>#REF!</v>
      </c>
      <c r="AJ212" t="e">
        <f>AND(Confirmations!#REF!,"AAAAAHfN9iM=")</f>
        <v>#REF!</v>
      </c>
      <c r="AK212" t="e">
        <f>AND(Confirmations!#REF!,"AAAAAHfN9iQ=")</f>
        <v>#REF!</v>
      </c>
      <c r="AL212" t="e">
        <f>AND(Confirmations!#REF!,"AAAAAHfN9iU=")</f>
        <v>#REF!</v>
      </c>
      <c r="AM212" t="e">
        <f>AND(Confirmations!#REF!,"AAAAAHfN9iY=")</f>
        <v>#REF!</v>
      </c>
      <c r="AN212" t="e">
        <f>AND(Confirmations!#REF!,"AAAAAHfN9ic=")</f>
        <v>#REF!</v>
      </c>
      <c r="AO212" t="e">
        <f>AND(Confirmations!#REF!,"AAAAAHfN9ig=")</f>
        <v>#REF!</v>
      </c>
      <c r="AP212" t="e">
        <f>AND(Confirmations!#REF!,"AAAAAHfN9ik=")</f>
        <v>#REF!</v>
      </c>
      <c r="AQ212" t="e">
        <f>AND(Confirmations!#REF!,"AAAAAHfN9io=")</f>
        <v>#REF!</v>
      </c>
      <c r="AR212" t="e">
        <f>AND(Confirmations!#REF!,"AAAAAHfN9is=")</f>
        <v>#REF!</v>
      </c>
      <c r="AS212" t="e">
        <f>AND(Confirmations!#REF!,"AAAAAHfN9iw=")</f>
        <v>#REF!</v>
      </c>
      <c r="AT212" t="e">
        <f>AND(Confirmations!#REF!,"AAAAAHfN9i0=")</f>
        <v>#REF!</v>
      </c>
      <c r="AU212" t="e">
        <f>AND(Confirmations!#REF!,"AAAAAHfN9i4=")</f>
        <v>#REF!</v>
      </c>
      <c r="AV212" t="e">
        <f>IF(Confirmations!#REF!,"AAAAAHfN9i8=",0)</f>
        <v>#REF!</v>
      </c>
      <c r="AW212" t="e">
        <f>AND(Confirmations!#REF!,"AAAAAHfN9jA=")</f>
        <v>#REF!</v>
      </c>
      <c r="AX212" t="e">
        <f>AND(Confirmations!#REF!,"AAAAAHfN9jE=")</f>
        <v>#REF!</v>
      </c>
      <c r="AY212" t="e">
        <f>AND(Confirmations!#REF!,"AAAAAHfN9jI=")</f>
        <v>#REF!</v>
      </c>
      <c r="AZ212" t="e">
        <f>AND(Confirmations!#REF!,"AAAAAHfN9jM=")</f>
        <v>#REF!</v>
      </c>
      <c r="BA212" t="e">
        <f>AND(Confirmations!#REF!,"AAAAAHfN9jQ=")</f>
        <v>#REF!</v>
      </c>
      <c r="BB212" t="e">
        <f>AND(Confirmations!#REF!,"AAAAAHfN9jU=")</f>
        <v>#REF!</v>
      </c>
      <c r="BC212" t="e">
        <f>AND(Confirmations!#REF!,"AAAAAHfN9jY=")</f>
        <v>#REF!</v>
      </c>
      <c r="BD212" t="e">
        <f>AND(Confirmations!#REF!,"AAAAAHfN9jc=")</f>
        <v>#REF!</v>
      </c>
      <c r="BE212" t="e">
        <f>AND(Confirmations!#REF!,"AAAAAHfN9jg=")</f>
        <v>#REF!</v>
      </c>
      <c r="BF212" t="e">
        <f>AND(Confirmations!#REF!,"AAAAAHfN9jk=")</f>
        <v>#REF!</v>
      </c>
      <c r="BG212" t="e">
        <f>AND(Confirmations!#REF!,"AAAAAHfN9jo=")</f>
        <v>#REF!</v>
      </c>
      <c r="BH212" t="e">
        <f>AND(Confirmations!#REF!,"AAAAAHfN9js=")</f>
        <v>#REF!</v>
      </c>
      <c r="BI212" t="e">
        <f>AND(Confirmations!#REF!,"AAAAAHfN9jw=")</f>
        <v>#REF!</v>
      </c>
      <c r="BJ212" t="e">
        <f>AND(Confirmations!#REF!,"AAAAAHfN9j0=")</f>
        <v>#REF!</v>
      </c>
      <c r="BK212" t="e">
        <f>AND(Confirmations!#REF!,"AAAAAHfN9j4=")</f>
        <v>#REF!</v>
      </c>
      <c r="BL212" t="e">
        <f>AND(Confirmations!#REF!,"AAAAAHfN9j8=")</f>
        <v>#REF!</v>
      </c>
      <c r="BM212" t="e">
        <f>AND(Confirmations!#REF!,"AAAAAHfN9kA=")</f>
        <v>#REF!</v>
      </c>
      <c r="BN212" t="e">
        <f>IF(Confirmations!#REF!,"AAAAAHfN9kE=",0)</f>
        <v>#REF!</v>
      </c>
      <c r="BO212" t="e">
        <f>AND(Confirmations!#REF!,"AAAAAHfN9kI=")</f>
        <v>#REF!</v>
      </c>
      <c r="BP212" t="e">
        <f>AND(Confirmations!#REF!,"AAAAAHfN9kM=")</f>
        <v>#REF!</v>
      </c>
      <c r="BQ212" t="e">
        <f>AND(Confirmations!#REF!,"AAAAAHfN9kQ=")</f>
        <v>#REF!</v>
      </c>
      <c r="BR212" t="e">
        <f>AND(Confirmations!#REF!,"AAAAAHfN9kU=")</f>
        <v>#REF!</v>
      </c>
      <c r="BS212" t="e">
        <f>AND(Confirmations!#REF!,"AAAAAHfN9kY=")</f>
        <v>#REF!</v>
      </c>
      <c r="BT212" t="e">
        <f>AND(Confirmations!#REF!,"AAAAAHfN9kc=")</f>
        <v>#REF!</v>
      </c>
      <c r="BU212" t="e">
        <f>AND(Confirmations!#REF!,"AAAAAHfN9kg=")</f>
        <v>#REF!</v>
      </c>
      <c r="BV212" t="e">
        <f>AND(Confirmations!#REF!,"AAAAAHfN9kk=")</f>
        <v>#REF!</v>
      </c>
      <c r="BW212" t="e">
        <f>AND(Confirmations!#REF!,"AAAAAHfN9ko=")</f>
        <v>#REF!</v>
      </c>
      <c r="BX212" t="e">
        <f>AND(Confirmations!#REF!,"AAAAAHfN9ks=")</f>
        <v>#REF!</v>
      </c>
      <c r="BY212" t="e">
        <f>AND(Confirmations!#REF!,"AAAAAHfN9kw=")</f>
        <v>#REF!</v>
      </c>
      <c r="BZ212" t="e">
        <f>AND(Confirmations!#REF!,"AAAAAHfN9k0=")</f>
        <v>#REF!</v>
      </c>
      <c r="CA212" t="e">
        <f>AND(Confirmations!#REF!,"AAAAAHfN9k4=")</f>
        <v>#REF!</v>
      </c>
      <c r="CB212" t="e">
        <f>AND(Confirmations!#REF!,"AAAAAHfN9k8=")</f>
        <v>#REF!</v>
      </c>
      <c r="CC212" t="e">
        <f>AND(Confirmations!#REF!,"AAAAAHfN9lA=")</f>
        <v>#REF!</v>
      </c>
      <c r="CD212" t="e">
        <f>AND(Confirmations!#REF!,"AAAAAHfN9lE=")</f>
        <v>#REF!</v>
      </c>
      <c r="CE212" t="e">
        <f>AND(Confirmations!#REF!,"AAAAAHfN9lI=")</f>
        <v>#REF!</v>
      </c>
      <c r="CF212" t="e">
        <f>IF(Confirmations!#REF!,"AAAAAHfN9lM=",0)</f>
        <v>#REF!</v>
      </c>
      <c r="CG212" t="e">
        <f>AND(Confirmations!#REF!,"AAAAAHfN9lQ=")</f>
        <v>#REF!</v>
      </c>
      <c r="CH212" t="e">
        <f>AND(Confirmations!#REF!,"AAAAAHfN9lU=")</f>
        <v>#REF!</v>
      </c>
      <c r="CI212" t="e">
        <f>AND(Confirmations!#REF!,"AAAAAHfN9lY=")</f>
        <v>#REF!</v>
      </c>
      <c r="CJ212" t="e">
        <f>AND(Confirmations!#REF!,"AAAAAHfN9lc=")</f>
        <v>#REF!</v>
      </c>
      <c r="CK212" t="e">
        <f>AND(Confirmations!#REF!,"AAAAAHfN9lg=")</f>
        <v>#REF!</v>
      </c>
      <c r="CL212" t="e">
        <f>AND(Confirmations!#REF!,"AAAAAHfN9lk=")</f>
        <v>#REF!</v>
      </c>
      <c r="CM212" t="e">
        <f>AND(Confirmations!#REF!,"AAAAAHfN9lo=")</f>
        <v>#REF!</v>
      </c>
      <c r="CN212" t="e">
        <f>AND(Confirmations!#REF!,"AAAAAHfN9ls=")</f>
        <v>#REF!</v>
      </c>
      <c r="CO212" t="e">
        <f>AND(Confirmations!#REF!,"AAAAAHfN9lw=")</f>
        <v>#REF!</v>
      </c>
      <c r="CP212" t="e">
        <f>AND(Confirmations!#REF!,"AAAAAHfN9l0=")</f>
        <v>#REF!</v>
      </c>
      <c r="CQ212" t="e">
        <f>AND(Confirmations!#REF!,"AAAAAHfN9l4=")</f>
        <v>#REF!</v>
      </c>
      <c r="CR212" t="e">
        <f>AND(Confirmations!#REF!,"AAAAAHfN9l8=")</f>
        <v>#REF!</v>
      </c>
      <c r="CS212" t="e">
        <f>AND(Confirmations!#REF!,"AAAAAHfN9mA=")</f>
        <v>#REF!</v>
      </c>
      <c r="CT212" t="e">
        <f>AND(Confirmations!#REF!,"AAAAAHfN9mE=")</f>
        <v>#REF!</v>
      </c>
      <c r="CU212" t="e">
        <f>AND(Confirmations!#REF!,"AAAAAHfN9mI=")</f>
        <v>#REF!</v>
      </c>
      <c r="CV212" t="e">
        <f>AND(Confirmations!#REF!,"AAAAAHfN9mM=")</f>
        <v>#REF!</v>
      </c>
      <c r="CW212" t="e">
        <f>AND(Confirmations!#REF!,"AAAAAHfN9mQ=")</f>
        <v>#REF!</v>
      </c>
      <c r="CX212" t="e">
        <f>IF(Confirmations!#REF!,"AAAAAHfN9mU=",0)</f>
        <v>#REF!</v>
      </c>
      <c r="CY212" t="e">
        <f>AND(Confirmations!#REF!,"AAAAAHfN9mY=")</f>
        <v>#REF!</v>
      </c>
      <c r="CZ212" t="e">
        <f>AND(Confirmations!#REF!,"AAAAAHfN9mc=")</f>
        <v>#REF!</v>
      </c>
      <c r="DA212" t="e">
        <f>AND(Confirmations!#REF!,"AAAAAHfN9mg=")</f>
        <v>#REF!</v>
      </c>
      <c r="DB212" t="e">
        <f>AND(Confirmations!#REF!,"AAAAAHfN9mk=")</f>
        <v>#REF!</v>
      </c>
      <c r="DC212" t="e">
        <f>AND(Confirmations!#REF!,"AAAAAHfN9mo=")</f>
        <v>#REF!</v>
      </c>
      <c r="DD212" t="e">
        <f>AND(Confirmations!#REF!,"AAAAAHfN9ms=")</f>
        <v>#REF!</v>
      </c>
      <c r="DE212" t="e">
        <f>AND(Confirmations!#REF!,"AAAAAHfN9mw=")</f>
        <v>#REF!</v>
      </c>
      <c r="DF212" t="e">
        <f>AND(Confirmations!#REF!,"AAAAAHfN9m0=")</f>
        <v>#REF!</v>
      </c>
      <c r="DG212" t="e">
        <f>AND(Confirmations!#REF!,"AAAAAHfN9m4=")</f>
        <v>#REF!</v>
      </c>
      <c r="DH212" t="e">
        <f>AND(Confirmations!#REF!,"AAAAAHfN9m8=")</f>
        <v>#REF!</v>
      </c>
      <c r="DI212" t="e">
        <f>AND(Confirmations!#REF!,"AAAAAHfN9nA=")</f>
        <v>#REF!</v>
      </c>
      <c r="DJ212" t="e">
        <f>AND(Confirmations!#REF!,"AAAAAHfN9nE=")</f>
        <v>#REF!</v>
      </c>
      <c r="DK212" t="e">
        <f>AND(Confirmations!#REF!,"AAAAAHfN9nI=")</f>
        <v>#REF!</v>
      </c>
      <c r="DL212" t="e">
        <f>AND(Confirmations!#REF!,"AAAAAHfN9nM=")</f>
        <v>#REF!</v>
      </c>
      <c r="DM212" t="e">
        <f>AND(Confirmations!#REF!,"AAAAAHfN9nQ=")</f>
        <v>#REF!</v>
      </c>
      <c r="DN212" t="e">
        <f>AND(Confirmations!#REF!,"AAAAAHfN9nU=")</f>
        <v>#REF!</v>
      </c>
      <c r="DO212" t="e">
        <f>AND(Confirmations!#REF!,"AAAAAHfN9nY=")</f>
        <v>#REF!</v>
      </c>
      <c r="DP212" t="e">
        <f>IF(Confirmations!#REF!,"AAAAAHfN9nc=",0)</f>
        <v>#REF!</v>
      </c>
      <c r="DQ212" t="e">
        <f>AND(Confirmations!#REF!,"AAAAAHfN9ng=")</f>
        <v>#REF!</v>
      </c>
      <c r="DR212" t="e">
        <f>AND(Confirmations!#REF!,"AAAAAHfN9nk=")</f>
        <v>#REF!</v>
      </c>
      <c r="DS212" t="e">
        <f>AND(Confirmations!#REF!,"AAAAAHfN9no=")</f>
        <v>#REF!</v>
      </c>
      <c r="DT212" t="e">
        <f>AND(Confirmations!#REF!,"AAAAAHfN9ns=")</f>
        <v>#REF!</v>
      </c>
      <c r="DU212" t="e">
        <f>AND(Confirmations!#REF!,"AAAAAHfN9nw=")</f>
        <v>#REF!</v>
      </c>
      <c r="DV212" t="e">
        <f>AND(Confirmations!#REF!,"AAAAAHfN9n0=")</f>
        <v>#REF!</v>
      </c>
      <c r="DW212" t="e">
        <f>AND(Confirmations!#REF!,"AAAAAHfN9n4=")</f>
        <v>#REF!</v>
      </c>
      <c r="DX212" t="e">
        <f>AND(Confirmations!#REF!,"AAAAAHfN9n8=")</f>
        <v>#REF!</v>
      </c>
      <c r="DY212" t="e">
        <f>AND(Confirmations!#REF!,"AAAAAHfN9oA=")</f>
        <v>#REF!</v>
      </c>
      <c r="DZ212" t="e">
        <f>AND(Confirmations!#REF!,"AAAAAHfN9oE=")</f>
        <v>#REF!</v>
      </c>
      <c r="EA212" t="e">
        <f>AND(Confirmations!#REF!,"AAAAAHfN9oI=")</f>
        <v>#REF!</v>
      </c>
      <c r="EB212" t="e">
        <f>AND(Confirmations!#REF!,"AAAAAHfN9oM=")</f>
        <v>#REF!</v>
      </c>
      <c r="EC212" t="e">
        <f>AND(Confirmations!#REF!,"AAAAAHfN9oQ=")</f>
        <v>#REF!</v>
      </c>
      <c r="ED212" t="e">
        <f>AND(Confirmations!#REF!,"AAAAAHfN9oU=")</f>
        <v>#REF!</v>
      </c>
      <c r="EE212" t="e">
        <f>AND(Confirmations!#REF!,"AAAAAHfN9oY=")</f>
        <v>#REF!</v>
      </c>
      <c r="EF212" t="e">
        <f>AND(Confirmations!#REF!,"AAAAAHfN9oc=")</f>
        <v>#REF!</v>
      </c>
      <c r="EG212" t="e">
        <f>AND(Confirmations!#REF!,"AAAAAHfN9og=")</f>
        <v>#REF!</v>
      </c>
      <c r="EH212" t="e">
        <f>IF(Confirmations!#REF!,"AAAAAHfN9ok=",0)</f>
        <v>#REF!</v>
      </c>
      <c r="EI212" t="e">
        <f>AND(Confirmations!#REF!,"AAAAAHfN9oo=")</f>
        <v>#REF!</v>
      </c>
      <c r="EJ212" t="e">
        <f>AND(Confirmations!#REF!,"AAAAAHfN9os=")</f>
        <v>#REF!</v>
      </c>
      <c r="EK212" t="e">
        <f>AND(Confirmations!#REF!,"AAAAAHfN9ow=")</f>
        <v>#REF!</v>
      </c>
      <c r="EL212" t="e">
        <f>AND(Confirmations!#REF!,"AAAAAHfN9o0=")</f>
        <v>#REF!</v>
      </c>
      <c r="EM212" t="e">
        <f>AND(Confirmations!#REF!,"AAAAAHfN9o4=")</f>
        <v>#REF!</v>
      </c>
      <c r="EN212" t="e">
        <f>AND(Confirmations!#REF!,"AAAAAHfN9o8=")</f>
        <v>#REF!</v>
      </c>
      <c r="EO212" t="e">
        <f>AND(Confirmations!#REF!,"AAAAAHfN9pA=")</f>
        <v>#REF!</v>
      </c>
      <c r="EP212" t="e">
        <f>AND(Confirmations!#REF!,"AAAAAHfN9pE=")</f>
        <v>#REF!</v>
      </c>
      <c r="EQ212" t="e">
        <f>AND(Confirmations!#REF!,"AAAAAHfN9pI=")</f>
        <v>#REF!</v>
      </c>
      <c r="ER212" t="e">
        <f>AND(Confirmations!#REF!,"AAAAAHfN9pM=")</f>
        <v>#REF!</v>
      </c>
      <c r="ES212" t="e">
        <f>AND(Confirmations!#REF!,"AAAAAHfN9pQ=")</f>
        <v>#REF!</v>
      </c>
      <c r="ET212" t="e">
        <f>AND(Confirmations!#REF!,"AAAAAHfN9pU=")</f>
        <v>#REF!</v>
      </c>
      <c r="EU212" t="e">
        <f>AND(Confirmations!#REF!,"AAAAAHfN9pY=")</f>
        <v>#REF!</v>
      </c>
      <c r="EV212" t="e">
        <f>AND(Confirmations!#REF!,"AAAAAHfN9pc=")</f>
        <v>#REF!</v>
      </c>
      <c r="EW212" t="e">
        <f>AND(Confirmations!#REF!,"AAAAAHfN9pg=")</f>
        <v>#REF!</v>
      </c>
      <c r="EX212" t="e">
        <f>AND(Confirmations!#REF!,"AAAAAHfN9pk=")</f>
        <v>#REF!</v>
      </c>
      <c r="EY212" t="e">
        <f>AND(Confirmations!#REF!,"AAAAAHfN9po=")</f>
        <v>#REF!</v>
      </c>
      <c r="EZ212" t="e">
        <f>IF(Confirmations!#REF!,"AAAAAHfN9ps=",0)</f>
        <v>#REF!</v>
      </c>
      <c r="FA212" t="e">
        <f>AND(Confirmations!#REF!,"AAAAAHfN9pw=")</f>
        <v>#REF!</v>
      </c>
      <c r="FB212" t="e">
        <f>AND(Confirmations!#REF!,"AAAAAHfN9p0=")</f>
        <v>#REF!</v>
      </c>
      <c r="FC212" t="e">
        <f>AND(Confirmations!#REF!,"AAAAAHfN9p4=")</f>
        <v>#REF!</v>
      </c>
      <c r="FD212" t="e">
        <f>AND(Confirmations!#REF!,"AAAAAHfN9p8=")</f>
        <v>#REF!</v>
      </c>
      <c r="FE212" t="e">
        <f>AND(Confirmations!#REF!,"AAAAAHfN9qA=")</f>
        <v>#REF!</v>
      </c>
      <c r="FF212" t="e">
        <f>AND(Confirmations!#REF!,"AAAAAHfN9qE=")</f>
        <v>#REF!</v>
      </c>
      <c r="FG212" t="e">
        <f>AND(Confirmations!#REF!,"AAAAAHfN9qI=")</f>
        <v>#REF!</v>
      </c>
      <c r="FH212" t="e">
        <f>AND(Confirmations!#REF!,"AAAAAHfN9qM=")</f>
        <v>#REF!</v>
      </c>
      <c r="FI212" t="e">
        <f>AND(Confirmations!#REF!,"AAAAAHfN9qQ=")</f>
        <v>#REF!</v>
      </c>
      <c r="FJ212" t="e">
        <f>AND(Confirmations!#REF!,"AAAAAHfN9qU=")</f>
        <v>#REF!</v>
      </c>
      <c r="FK212" t="e">
        <f>AND(Confirmations!#REF!,"AAAAAHfN9qY=")</f>
        <v>#REF!</v>
      </c>
      <c r="FL212" t="e">
        <f>AND(Confirmations!#REF!,"AAAAAHfN9qc=")</f>
        <v>#REF!</v>
      </c>
      <c r="FM212" t="e">
        <f>AND(Confirmations!#REF!,"AAAAAHfN9qg=")</f>
        <v>#REF!</v>
      </c>
      <c r="FN212" t="e">
        <f>AND(Confirmations!#REF!,"AAAAAHfN9qk=")</f>
        <v>#REF!</v>
      </c>
      <c r="FO212" t="e">
        <f>AND(Confirmations!#REF!,"AAAAAHfN9qo=")</f>
        <v>#REF!</v>
      </c>
      <c r="FP212" t="e">
        <f>AND(Confirmations!#REF!,"AAAAAHfN9qs=")</f>
        <v>#REF!</v>
      </c>
      <c r="FQ212" t="e">
        <f>AND(Confirmations!#REF!,"AAAAAHfN9qw=")</f>
        <v>#REF!</v>
      </c>
      <c r="FR212" t="e">
        <f>IF(Confirmations!#REF!,"AAAAAHfN9q0=",0)</f>
        <v>#REF!</v>
      </c>
      <c r="FS212" t="e">
        <f>AND(Confirmations!#REF!,"AAAAAHfN9q4=")</f>
        <v>#REF!</v>
      </c>
      <c r="FT212" t="e">
        <f>AND(Confirmations!#REF!,"AAAAAHfN9q8=")</f>
        <v>#REF!</v>
      </c>
      <c r="FU212" t="e">
        <f>AND(Confirmations!#REF!,"AAAAAHfN9rA=")</f>
        <v>#REF!</v>
      </c>
      <c r="FV212" t="e">
        <f>AND(Confirmations!#REF!,"AAAAAHfN9rE=")</f>
        <v>#REF!</v>
      </c>
      <c r="FW212" t="e">
        <f>AND(Confirmations!#REF!,"AAAAAHfN9rI=")</f>
        <v>#REF!</v>
      </c>
      <c r="FX212" t="e">
        <f>AND(Confirmations!#REF!,"AAAAAHfN9rM=")</f>
        <v>#REF!</v>
      </c>
      <c r="FY212" t="e">
        <f>AND(Confirmations!#REF!,"AAAAAHfN9rQ=")</f>
        <v>#REF!</v>
      </c>
      <c r="FZ212" t="e">
        <f>AND(Confirmations!#REF!,"AAAAAHfN9rU=")</f>
        <v>#REF!</v>
      </c>
      <c r="GA212" t="e">
        <f>AND(Confirmations!#REF!,"AAAAAHfN9rY=")</f>
        <v>#REF!</v>
      </c>
      <c r="GB212" t="e">
        <f>AND(Confirmations!#REF!,"AAAAAHfN9rc=")</f>
        <v>#REF!</v>
      </c>
      <c r="GC212" t="e">
        <f>AND(Confirmations!#REF!,"AAAAAHfN9rg=")</f>
        <v>#REF!</v>
      </c>
      <c r="GD212" t="e">
        <f>AND(Confirmations!#REF!,"AAAAAHfN9rk=")</f>
        <v>#REF!</v>
      </c>
      <c r="GE212" t="e">
        <f>AND(Confirmations!#REF!,"AAAAAHfN9ro=")</f>
        <v>#REF!</v>
      </c>
      <c r="GF212" t="e">
        <f>AND(Confirmations!#REF!,"AAAAAHfN9rs=")</f>
        <v>#REF!</v>
      </c>
      <c r="GG212" t="e">
        <f>AND(Confirmations!#REF!,"AAAAAHfN9rw=")</f>
        <v>#REF!</v>
      </c>
      <c r="GH212" t="e">
        <f>AND(Confirmations!#REF!,"AAAAAHfN9r0=")</f>
        <v>#REF!</v>
      </c>
      <c r="GI212" t="e">
        <f>AND(Confirmations!#REF!,"AAAAAHfN9r4=")</f>
        <v>#REF!</v>
      </c>
      <c r="GJ212" t="e">
        <f>IF(Confirmations!#REF!,"AAAAAHfN9r8=",0)</f>
        <v>#REF!</v>
      </c>
      <c r="GK212" t="e">
        <f>AND(Confirmations!#REF!,"AAAAAHfN9sA=")</f>
        <v>#REF!</v>
      </c>
      <c r="GL212" t="e">
        <f>AND(Confirmations!#REF!,"AAAAAHfN9sE=")</f>
        <v>#REF!</v>
      </c>
      <c r="GM212" t="e">
        <f>AND(Confirmations!#REF!,"AAAAAHfN9sI=")</f>
        <v>#REF!</v>
      </c>
      <c r="GN212" t="e">
        <f>AND(Confirmations!#REF!,"AAAAAHfN9sM=")</f>
        <v>#REF!</v>
      </c>
      <c r="GO212" t="e">
        <f>AND(Confirmations!#REF!,"AAAAAHfN9sQ=")</f>
        <v>#REF!</v>
      </c>
      <c r="GP212" t="e">
        <f>AND(Confirmations!#REF!,"AAAAAHfN9sU=")</f>
        <v>#REF!</v>
      </c>
      <c r="GQ212" t="e">
        <f>AND(Confirmations!#REF!,"AAAAAHfN9sY=")</f>
        <v>#REF!</v>
      </c>
      <c r="GR212" t="e">
        <f>AND(Confirmations!#REF!,"AAAAAHfN9sc=")</f>
        <v>#REF!</v>
      </c>
      <c r="GS212" t="e">
        <f>AND(Confirmations!#REF!,"AAAAAHfN9sg=")</f>
        <v>#REF!</v>
      </c>
      <c r="GT212" t="e">
        <f>AND(Confirmations!#REF!,"AAAAAHfN9sk=")</f>
        <v>#REF!</v>
      </c>
      <c r="GU212" t="e">
        <f>AND(Confirmations!#REF!,"AAAAAHfN9so=")</f>
        <v>#REF!</v>
      </c>
      <c r="GV212" t="e">
        <f>AND(Confirmations!#REF!,"AAAAAHfN9ss=")</f>
        <v>#REF!</v>
      </c>
      <c r="GW212" t="e">
        <f>AND(Confirmations!#REF!,"AAAAAHfN9sw=")</f>
        <v>#REF!</v>
      </c>
      <c r="GX212" t="e">
        <f>AND(Confirmations!#REF!,"AAAAAHfN9s0=")</f>
        <v>#REF!</v>
      </c>
      <c r="GY212" t="e">
        <f>AND(Confirmations!#REF!,"AAAAAHfN9s4=")</f>
        <v>#REF!</v>
      </c>
      <c r="GZ212" t="e">
        <f>AND(Confirmations!#REF!,"AAAAAHfN9s8=")</f>
        <v>#REF!</v>
      </c>
      <c r="HA212" t="e">
        <f>AND(Confirmations!#REF!,"AAAAAHfN9tA=")</f>
        <v>#REF!</v>
      </c>
      <c r="HB212" t="e">
        <f>IF(Confirmations!#REF!,"AAAAAHfN9tE=",0)</f>
        <v>#REF!</v>
      </c>
      <c r="HC212" t="e">
        <f>AND(Confirmations!#REF!,"AAAAAHfN9tI=")</f>
        <v>#REF!</v>
      </c>
      <c r="HD212" t="e">
        <f>AND(Confirmations!#REF!,"AAAAAHfN9tM=")</f>
        <v>#REF!</v>
      </c>
      <c r="HE212" t="e">
        <f>AND(Confirmations!#REF!,"AAAAAHfN9tQ=")</f>
        <v>#REF!</v>
      </c>
      <c r="HF212" t="e">
        <f>AND(Confirmations!#REF!,"AAAAAHfN9tU=")</f>
        <v>#REF!</v>
      </c>
      <c r="HG212" t="e">
        <f>AND(Confirmations!#REF!,"AAAAAHfN9tY=")</f>
        <v>#REF!</v>
      </c>
      <c r="HH212" t="e">
        <f>AND(Confirmations!#REF!,"AAAAAHfN9tc=")</f>
        <v>#REF!</v>
      </c>
      <c r="HI212" t="e">
        <f>AND(Confirmations!#REF!,"AAAAAHfN9tg=")</f>
        <v>#REF!</v>
      </c>
      <c r="HJ212" t="e">
        <f>AND(Confirmations!#REF!,"AAAAAHfN9tk=")</f>
        <v>#REF!</v>
      </c>
      <c r="HK212" t="e">
        <f>AND(Confirmations!#REF!,"AAAAAHfN9to=")</f>
        <v>#REF!</v>
      </c>
      <c r="HL212" t="e">
        <f>AND(Confirmations!#REF!,"AAAAAHfN9ts=")</f>
        <v>#REF!</v>
      </c>
      <c r="HM212" t="e">
        <f>AND(Confirmations!#REF!,"AAAAAHfN9tw=")</f>
        <v>#REF!</v>
      </c>
      <c r="HN212" t="e">
        <f>AND(Confirmations!#REF!,"AAAAAHfN9t0=")</f>
        <v>#REF!</v>
      </c>
      <c r="HO212" t="e">
        <f>AND(Confirmations!#REF!,"AAAAAHfN9t4=")</f>
        <v>#REF!</v>
      </c>
      <c r="HP212" t="e">
        <f>AND(Confirmations!#REF!,"AAAAAHfN9t8=")</f>
        <v>#REF!</v>
      </c>
      <c r="HQ212" t="e">
        <f>AND(Confirmations!#REF!,"AAAAAHfN9uA=")</f>
        <v>#REF!</v>
      </c>
      <c r="HR212" t="e">
        <f>AND(Confirmations!#REF!,"AAAAAHfN9uE=")</f>
        <v>#REF!</v>
      </c>
      <c r="HS212" t="e">
        <f>AND(Confirmations!#REF!,"AAAAAHfN9uI=")</f>
        <v>#REF!</v>
      </c>
      <c r="HT212" t="e">
        <f>IF(Confirmations!#REF!,"AAAAAHfN9uM=",0)</f>
        <v>#REF!</v>
      </c>
      <c r="HU212" t="e">
        <f>AND(Confirmations!#REF!,"AAAAAHfN9uQ=")</f>
        <v>#REF!</v>
      </c>
      <c r="HV212" t="e">
        <f>AND(Confirmations!#REF!,"AAAAAHfN9uU=")</f>
        <v>#REF!</v>
      </c>
      <c r="HW212" t="e">
        <f>AND(Confirmations!#REF!,"AAAAAHfN9uY=")</f>
        <v>#REF!</v>
      </c>
      <c r="HX212" t="e">
        <f>AND(Confirmations!#REF!,"AAAAAHfN9uc=")</f>
        <v>#REF!</v>
      </c>
      <c r="HY212" t="e">
        <f>AND(Confirmations!#REF!,"AAAAAHfN9ug=")</f>
        <v>#REF!</v>
      </c>
      <c r="HZ212" t="e">
        <f>AND(Confirmations!#REF!,"AAAAAHfN9uk=")</f>
        <v>#REF!</v>
      </c>
      <c r="IA212" t="e">
        <f>AND(Confirmations!#REF!,"AAAAAHfN9uo=")</f>
        <v>#REF!</v>
      </c>
      <c r="IB212" t="e">
        <f>AND(Confirmations!#REF!,"AAAAAHfN9us=")</f>
        <v>#REF!</v>
      </c>
      <c r="IC212" t="e">
        <f>AND(Confirmations!#REF!,"AAAAAHfN9uw=")</f>
        <v>#REF!</v>
      </c>
      <c r="ID212" t="e">
        <f>AND(Confirmations!#REF!,"AAAAAHfN9u0=")</f>
        <v>#REF!</v>
      </c>
      <c r="IE212" t="e">
        <f>AND(Confirmations!#REF!,"AAAAAHfN9u4=")</f>
        <v>#REF!</v>
      </c>
      <c r="IF212" t="e">
        <f>AND(Confirmations!#REF!,"AAAAAHfN9u8=")</f>
        <v>#REF!</v>
      </c>
      <c r="IG212" t="e">
        <f>AND(Confirmations!#REF!,"AAAAAHfN9vA=")</f>
        <v>#REF!</v>
      </c>
      <c r="IH212" t="e">
        <f>AND(Confirmations!#REF!,"AAAAAHfN9vE=")</f>
        <v>#REF!</v>
      </c>
      <c r="II212" t="e">
        <f>AND(Confirmations!#REF!,"AAAAAHfN9vI=")</f>
        <v>#REF!</v>
      </c>
      <c r="IJ212" t="e">
        <f>AND(Confirmations!#REF!,"AAAAAHfN9vM=")</f>
        <v>#REF!</v>
      </c>
      <c r="IK212" t="e">
        <f>AND(Confirmations!#REF!,"AAAAAHfN9vQ=")</f>
        <v>#REF!</v>
      </c>
      <c r="IL212" t="e">
        <f>IF(Confirmations!#REF!,"AAAAAHfN9vU=",0)</f>
        <v>#REF!</v>
      </c>
      <c r="IM212" t="e">
        <f>AND(Confirmations!#REF!,"AAAAAHfN9vY=")</f>
        <v>#REF!</v>
      </c>
      <c r="IN212" t="e">
        <f>AND(Confirmations!#REF!,"AAAAAHfN9vc=")</f>
        <v>#REF!</v>
      </c>
      <c r="IO212" t="e">
        <f>AND(Confirmations!#REF!,"AAAAAHfN9vg=")</f>
        <v>#REF!</v>
      </c>
      <c r="IP212" t="e">
        <f>AND(Confirmations!#REF!,"AAAAAHfN9vk=")</f>
        <v>#REF!</v>
      </c>
      <c r="IQ212" t="e">
        <f>AND(Confirmations!#REF!,"AAAAAHfN9vo=")</f>
        <v>#REF!</v>
      </c>
      <c r="IR212" t="e">
        <f>AND(Confirmations!#REF!,"AAAAAHfN9vs=")</f>
        <v>#REF!</v>
      </c>
      <c r="IS212" t="e">
        <f>AND(Confirmations!#REF!,"AAAAAHfN9vw=")</f>
        <v>#REF!</v>
      </c>
      <c r="IT212" t="e">
        <f>AND(Confirmations!#REF!,"AAAAAHfN9v0=")</f>
        <v>#REF!</v>
      </c>
      <c r="IU212" t="e">
        <f>AND(Confirmations!#REF!,"AAAAAHfN9v4=")</f>
        <v>#REF!</v>
      </c>
      <c r="IV212" t="e">
        <f>AND(Confirmations!#REF!,"AAAAAHfN9v8=")</f>
        <v>#REF!</v>
      </c>
    </row>
    <row r="213" spans="1:256" x14ac:dyDescent="0.2">
      <c r="A213" t="e">
        <f>AND(Confirmations!#REF!,"AAAAAHef2wA=")</f>
        <v>#REF!</v>
      </c>
      <c r="B213" t="e">
        <f>AND(Confirmations!#REF!,"AAAAAHef2wE=")</f>
        <v>#REF!</v>
      </c>
      <c r="C213" t="e">
        <f>AND(Confirmations!#REF!,"AAAAAHef2wI=")</f>
        <v>#REF!</v>
      </c>
      <c r="D213" t="e">
        <f>AND(Confirmations!#REF!,"AAAAAHef2wM=")</f>
        <v>#REF!</v>
      </c>
      <c r="E213" t="e">
        <f>AND(Confirmations!#REF!,"AAAAAHef2wQ=")</f>
        <v>#REF!</v>
      </c>
      <c r="F213" t="e">
        <f>AND(Confirmations!#REF!,"AAAAAHef2wU=")</f>
        <v>#REF!</v>
      </c>
      <c r="G213" t="e">
        <f>AND(Confirmations!#REF!,"AAAAAHef2wY=")</f>
        <v>#REF!</v>
      </c>
      <c r="H213" t="e">
        <f>IF(Confirmations!#REF!,"AAAAAHef2wc=",0)</f>
        <v>#REF!</v>
      </c>
      <c r="I213" t="e">
        <f>AND(Confirmations!#REF!,"AAAAAHef2wg=")</f>
        <v>#REF!</v>
      </c>
      <c r="J213" t="e">
        <f>AND(Confirmations!#REF!,"AAAAAHef2wk=")</f>
        <v>#REF!</v>
      </c>
      <c r="K213" t="e">
        <f>AND(Confirmations!#REF!,"AAAAAHef2wo=")</f>
        <v>#REF!</v>
      </c>
      <c r="L213" t="e">
        <f>AND(Confirmations!#REF!,"AAAAAHef2ws=")</f>
        <v>#REF!</v>
      </c>
      <c r="M213" t="e">
        <f>AND(Confirmations!#REF!,"AAAAAHef2ww=")</f>
        <v>#REF!</v>
      </c>
      <c r="N213" t="e">
        <f>AND(Confirmations!#REF!,"AAAAAHef2w0=")</f>
        <v>#REF!</v>
      </c>
      <c r="O213" t="e">
        <f>AND(Confirmations!#REF!,"AAAAAHef2w4=")</f>
        <v>#REF!</v>
      </c>
      <c r="P213" t="e">
        <f>AND(Confirmations!#REF!,"AAAAAHef2w8=")</f>
        <v>#REF!</v>
      </c>
      <c r="Q213" t="e">
        <f>AND(Confirmations!#REF!,"AAAAAHef2xA=")</f>
        <v>#REF!</v>
      </c>
      <c r="R213" t="e">
        <f>AND(Confirmations!#REF!,"AAAAAHef2xE=")</f>
        <v>#REF!</v>
      </c>
      <c r="S213" t="e">
        <f>AND(Confirmations!#REF!,"AAAAAHef2xI=")</f>
        <v>#REF!</v>
      </c>
      <c r="T213" t="e">
        <f>AND(Confirmations!#REF!,"AAAAAHef2xM=")</f>
        <v>#REF!</v>
      </c>
      <c r="U213" t="e">
        <f>AND(Confirmations!#REF!,"AAAAAHef2xQ=")</f>
        <v>#REF!</v>
      </c>
      <c r="V213" t="e">
        <f>AND(Confirmations!#REF!,"AAAAAHef2xU=")</f>
        <v>#REF!</v>
      </c>
      <c r="W213" t="e">
        <f>AND(Confirmations!#REF!,"AAAAAHef2xY=")</f>
        <v>#REF!</v>
      </c>
      <c r="X213" t="e">
        <f>AND(Confirmations!#REF!,"AAAAAHef2xc=")</f>
        <v>#REF!</v>
      </c>
      <c r="Y213" t="e">
        <f>AND(Confirmations!#REF!,"AAAAAHef2xg=")</f>
        <v>#REF!</v>
      </c>
      <c r="Z213" t="e">
        <f>IF(Confirmations!#REF!,"AAAAAHef2xk=",0)</f>
        <v>#REF!</v>
      </c>
      <c r="AA213" t="e">
        <f>AND(Confirmations!#REF!,"AAAAAHef2xo=")</f>
        <v>#REF!</v>
      </c>
      <c r="AB213" t="e">
        <f>AND(Confirmations!#REF!,"AAAAAHef2xs=")</f>
        <v>#REF!</v>
      </c>
      <c r="AC213" t="e">
        <f>AND(Confirmations!#REF!,"AAAAAHef2xw=")</f>
        <v>#REF!</v>
      </c>
      <c r="AD213" t="e">
        <f>AND(Confirmations!#REF!,"AAAAAHef2x0=")</f>
        <v>#REF!</v>
      </c>
      <c r="AE213" t="e">
        <f>AND(Confirmations!#REF!,"AAAAAHef2x4=")</f>
        <v>#REF!</v>
      </c>
      <c r="AF213" t="e">
        <f>AND(Confirmations!#REF!,"AAAAAHef2x8=")</f>
        <v>#REF!</v>
      </c>
      <c r="AG213" t="e">
        <f>AND(Confirmations!#REF!,"AAAAAHef2yA=")</f>
        <v>#REF!</v>
      </c>
      <c r="AH213" t="e">
        <f>AND(Confirmations!#REF!,"AAAAAHef2yE=")</f>
        <v>#REF!</v>
      </c>
      <c r="AI213" t="e">
        <f>AND(Confirmations!#REF!,"AAAAAHef2yI=")</f>
        <v>#REF!</v>
      </c>
      <c r="AJ213" t="e">
        <f>AND(Confirmations!#REF!,"AAAAAHef2yM=")</f>
        <v>#REF!</v>
      </c>
      <c r="AK213" t="e">
        <f>AND(Confirmations!#REF!,"AAAAAHef2yQ=")</f>
        <v>#REF!</v>
      </c>
      <c r="AL213" t="e">
        <f>AND(Confirmations!#REF!,"AAAAAHef2yU=")</f>
        <v>#REF!</v>
      </c>
      <c r="AM213" t="e">
        <f>AND(Confirmations!#REF!,"AAAAAHef2yY=")</f>
        <v>#REF!</v>
      </c>
      <c r="AN213" t="e">
        <f>AND(Confirmations!#REF!,"AAAAAHef2yc=")</f>
        <v>#REF!</v>
      </c>
      <c r="AO213" t="e">
        <f>AND(Confirmations!#REF!,"AAAAAHef2yg=")</f>
        <v>#REF!</v>
      </c>
      <c r="AP213" t="e">
        <f>AND(Confirmations!#REF!,"AAAAAHef2yk=")</f>
        <v>#REF!</v>
      </c>
      <c r="AQ213" t="e">
        <f>AND(Confirmations!#REF!,"AAAAAHef2yo=")</f>
        <v>#REF!</v>
      </c>
      <c r="AR213" t="e">
        <f>IF(Confirmations!#REF!,"AAAAAHef2ys=",0)</f>
        <v>#REF!</v>
      </c>
      <c r="AS213" t="e">
        <f>AND(Confirmations!#REF!,"AAAAAHef2yw=")</f>
        <v>#REF!</v>
      </c>
      <c r="AT213" t="e">
        <f>AND(Confirmations!#REF!,"AAAAAHef2y0=")</f>
        <v>#REF!</v>
      </c>
      <c r="AU213" t="e">
        <f>AND(Confirmations!#REF!,"AAAAAHef2y4=")</f>
        <v>#REF!</v>
      </c>
      <c r="AV213" t="e">
        <f>AND(Confirmations!#REF!,"AAAAAHef2y8=")</f>
        <v>#REF!</v>
      </c>
      <c r="AW213" t="e">
        <f>AND(Confirmations!#REF!,"AAAAAHef2zA=")</f>
        <v>#REF!</v>
      </c>
      <c r="AX213" t="e">
        <f>AND(Confirmations!#REF!,"AAAAAHef2zE=")</f>
        <v>#REF!</v>
      </c>
      <c r="AY213" t="e">
        <f>AND(Confirmations!#REF!,"AAAAAHef2zI=")</f>
        <v>#REF!</v>
      </c>
      <c r="AZ213" t="e">
        <f>AND(Confirmations!#REF!,"AAAAAHef2zM=")</f>
        <v>#REF!</v>
      </c>
      <c r="BA213" t="e">
        <f>AND(Confirmations!#REF!,"AAAAAHef2zQ=")</f>
        <v>#REF!</v>
      </c>
      <c r="BB213" t="e">
        <f>AND(Confirmations!#REF!,"AAAAAHef2zU=")</f>
        <v>#REF!</v>
      </c>
      <c r="BC213" t="e">
        <f>AND(Confirmations!#REF!,"AAAAAHef2zY=")</f>
        <v>#REF!</v>
      </c>
      <c r="BD213" t="e">
        <f>AND(Confirmations!#REF!,"AAAAAHef2zc=")</f>
        <v>#REF!</v>
      </c>
      <c r="BE213" t="e">
        <f>AND(Confirmations!#REF!,"AAAAAHef2zg=")</f>
        <v>#REF!</v>
      </c>
      <c r="BF213" t="e">
        <f>AND(Confirmations!#REF!,"AAAAAHef2zk=")</f>
        <v>#REF!</v>
      </c>
      <c r="BG213" t="e">
        <f>AND(Confirmations!#REF!,"AAAAAHef2zo=")</f>
        <v>#REF!</v>
      </c>
      <c r="BH213" t="e">
        <f>AND(Confirmations!#REF!,"AAAAAHef2zs=")</f>
        <v>#REF!</v>
      </c>
      <c r="BI213" t="e">
        <f>AND(Confirmations!#REF!,"AAAAAHef2zw=")</f>
        <v>#REF!</v>
      </c>
      <c r="BJ213" t="e">
        <f>IF(Confirmations!#REF!,"AAAAAHef2z0=",0)</f>
        <v>#REF!</v>
      </c>
      <c r="BK213" t="e">
        <f>AND(Confirmations!#REF!,"AAAAAHef2z4=")</f>
        <v>#REF!</v>
      </c>
      <c r="BL213" t="e">
        <f>AND(Confirmations!#REF!,"AAAAAHef2z8=")</f>
        <v>#REF!</v>
      </c>
      <c r="BM213" t="e">
        <f>AND(Confirmations!#REF!,"AAAAAHef20A=")</f>
        <v>#REF!</v>
      </c>
      <c r="BN213" t="e">
        <f>AND(Confirmations!#REF!,"AAAAAHef20E=")</f>
        <v>#REF!</v>
      </c>
      <c r="BO213" t="e">
        <f>AND(Confirmations!#REF!,"AAAAAHef20I=")</f>
        <v>#REF!</v>
      </c>
      <c r="BP213" t="e">
        <f>AND(Confirmations!#REF!,"AAAAAHef20M=")</f>
        <v>#REF!</v>
      </c>
      <c r="BQ213" t="e">
        <f>AND(Confirmations!#REF!,"AAAAAHef20Q=")</f>
        <v>#REF!</v>
      </c>
      <c r="BR213" t="e">
        <f>AND(Confirmations!#REF!,"AAAAAHef20U=")</f>
        <v>#REF!</v>
      </c>
      <c r="BS213" t="e">
        <f>AND(Confirmations!#REF!,"AAAAAHef20Y=")</f>
        <v>#REF!</v>
      </c>
      <c r="BT213" t="e">
        <f>AND(Confirmations!#REF!,"AAAAAHef20c=")</f>
        <v>#REF!</v>
      </c>
      <c r="BU213" t="e">
        <f>AND(Confirmations!#REF!,"AAAAAHef20g=")</f>
        <v>#REF!</v>
      </c>
      <c r="BV213" t="e">
        <f>AND(Confirmations!#REF!,"AAAAAHef20k=")</f>
        <v>#REF!</v>
      </c>
      <c r="BW213" t="e">
        <f>AND(Confirmations!#REF!,"AAAAAHef20o=")</f>
        <v>#REF!</v>
      </c>
      <c r="BX213" t="e">
        <f>AND(Confirmations!#REF!,"AAAAAHef20s=")</f>
        <v>#REF!</v>
      </c>
      <c r="BY213" t="e">
        <f>AND(Confirmations!#REF!,"AAAAAHef20w=")</f>
        <v>#REF!</v>
      </c>
      <c r="BZ213" t="e">
        <f>AND(Confirmations!#REF!,"AAAAAHef200=")</f>
        <v>#REF!</v>
      </c>
      <c r="CA213" t="e">
        <f>AND(Confirmations!#REF!,"AAAAAHef204=")</f>
        <v>#REF!</v>
      </c>
      <c r="CB213" t="e">
        <f>IF(Confirmations!#REF!,"AAAAAHef208=",0)</f>
        <v>#REF!</v>
      </c>
      <c r="CC213" t="e">
        <f>AND(Confirmations!#REF!,"AAAAAHef21A=")</f>
        <v>#REF!</v>
      </c>
      <c r="CD213" t="e">
        <f>AND(Confirmations!#REF!,"AAAAAHef21E=")</f>
        <v>#REF!</v>
      </c>
      <c r="CE213" t="e">
        <f>AND(Confirmations!#REF!,"AAAAAHef21I=")</f>
        <v>#REF!</v>
      </c>
      <c r="CF213" t="e">
        <f>AND(Confirmations!#REF!,"AAAAAHef21M=")</f>
        <v>#REF!</v>
      </c>
      <c r="CG213" t="e">
        <f>AND(Confirmations!#REF!,"AAAAAHef21Q=")</f>
        <v>#REF!</v>
      </c>
      <c r="CH213" t="e">
        <f>AND(Confirmations!#REF!,"AAAAAHef21U=")</f>
        <v>#REF!</v>
      </c>
      <c r="CI213" t="e">
        <f>AND(Confirmations!#REF!,"AAAAAHef21Y=")</f>
        <v>#REF!</v>
      </c>
      <c r="CJ213" t="e">
        <f>AND(Confirmations!#REF!,"AAAAAHef21c=")</f>
        <v>#REF!</v>
      </c>
      <c r="CK213" t="e">
        <f>AND(Confirmations!#REF!,"AAAAAHef21g=")</f>
        <v>#REF!</v>
      </c>
      <c r="CL213" t="e">
        <f>AND(Confirmations!#REF!,"AAAAAHef21k=")</f>
        <v>#REF!</v>
      </c>
      <c r="CM213" t="e">
        <f>AND(Confirmations!#REF!,"AAAAAHef21o=")</f>
        <v>#REF!</v>
      </c>
      <c r="CN213" t="e">
        <f>AND(Confirmations!#REF!,"AAAAAHef21s=")</f>
        <v>#REF!</v>
      </c>
      <c r="CO213" t="e">
        <f>AND(Confirmations!#REF!,"AAAAAHef21w=")</f>
        <v>#REF!</v>
      </c>
      <c r="CP213" t="e">
        <f>AND(Confirmations!#REF!,"AAAAAHef210=")</f>
        <v>#REF!</v>
      </c>
      <c r="CQ213" t="e">
        <f>AND(Confirmations!#REF!,"AAAAAHef214=")</f>
        <v>#REF!</v>
      </c>
      <c r="CR213" t="e">
        <f>AND(Confirmations!#REF!,"AAAAAHef218=")</f>
        <v>#REF!</v>
      </c>
      <c r="CS213" t="e">
        <f>AND(Confirmations!#REF!,"AAAAAHef22A=")</f>
        <v>#REF!</v>
      </c>
      <c r="CT213" t="e">
        <f>IF(Confirmations!#REF!,"AAAAAHef22E=",0)</f>
        <v>#REF!</v>
      </c>
      <c r="CU213" t="e">
        <f>AND(Confirmations!#REF!,"AAAAAHef22I=")</f>
        <v>#REF!</v>
      </c>
      <c r="CV213" t="e">
        <f>AND(Confirmations!#REF!,"AAAAAHef22M=")</f>
        <v>#REF!</v>
      </c>
      <c r="CW213" t="e">
        <f>AND(Confirmations!#REF!,"AAAAAHef22Q=")</f>
        <v>#REF!</v>
      </c>
      <c r="CX213" t="e">
        <f>AND(Confirmations!#REF!,"AAAAAHef22U=")</f>
        <v>#REF!</v>
      </c>
      <c r="CY213" t="e">
        <f>AND(Confirmations!#REF!,"AAAAAHef22Y=")</f>
        <v>#REF!</v>
      </c>
      <c r="CZ213" t="e">
        <f>AND(Confirmations!#REF!,"AAAAAHef22c=")</f>
        <v>#REF!</v>
      </c>
      <c r="DA213" t="e">
        <f>AND(Confirmations!#REF!,"AAAAAHef22g=")</f>
        <v>#REF!</v>
      </c>
      <c r="DB213" t="e">
        <f>AND(Confirmations!#REF!,"AAAAAHef22k=")</f>
        <v>#REF!</v>
      </c>
      <c r="DC213" t="e">
        <f>AND(Confirmations!#REF!,"AAAAAHef22o=")</f>
        <v>#REF!</v>
      </c>
      <c r="DD213" t="e">
        <f>AND(Confirmations!#REF!,"AAAAAHef22s=")</f>
        <v>#REF!</v>
      </c>
      <c r="DE213" t="e">
        <f>AND(Confirmations!#REF!,"AAAAAHef22w=")</f>
        <v>#REF!</v>
      </c>
      <c r="DF213" t="e">
        <f>AND(Confirmations!#REF!,"AAAAAHef220=")</f>
        <v>#REF!</v>
      </c>
      <c r="DG213" t="e">
        <f>AND(Confirmations!#REF!,"AAAAAHef224=")</f>
        <v>#REF!</v>
      </c>
      <c r="DH213" t="e">
        <f>AND(Confirmations!#REF!,"AAAAAHef228=")</f>
        <v>#REF!</v>
      </c>
      <c r="DI213" t="e">
        <f>AND(Confirmations!#REF!,"AAAAAHef23A=")</f>
        <v>#REF!</v>
      </c>
      <c r="DJ213" t="e">
        <f>AND(Confirmations!#REF!,"AAAAAHef23E=")</f>
        <v>#REF!</v>
      </c>
      <c r="DK213" t="e">
        <f>AND(Confirmations!#REF!,"AAAAAHef23I=")</f>
        <v>#REF!</v>
      </c>
      <c r="DL213" t="e">
        <f>IF(Confirmations!#REF!,"AAAAAHef23M=",0)</f>
        <v>#REF!</v>
      </c>
      <c r="DM213" t="e">
        <f>AND(Confirmations!#REF!,"AAAAAHef23Q=")</f>
        <v>#REF!</v>
      </c>
      <c r="DN213" t="e">
        <f>AND(Confirmations!#REF!,"AAAAAHef23U=")</f>
        <v>#REF!</v>
      </c>
      <c r="DO213" t="e">
        <f>AND(Confirmations!#REF!,"AAAAAHef23Y=")</f>
        <v>#REF!</v>
      </c>
      <c r="DP213" t="e">
        <f>AND(Confirmations!#REF!,"AAAAAHef23c=")</f>
        <v>#REF!</v>
      </c>
      <c r="DQ213" t="e">
        <f>AND(Confirmations!#REF!,"AAAAAHef23g=")</f>
        <v>#REF!</v>
      </c>
      <c r="DR213" t="e">
        <f>AND(Confirmations!#REF!,"AAAAAHef23k=")</f>
        <v>#REF!</v>
      </c>
      <c r="DS213" t="e">
        <f>AND(Confirmations!#REF!,"AAAAAHef23o=")</f>
        <v>#REF!</v>
      </c>
      <c r="DT213" t="e">
        <f>AND(Confirmations!#REF!,"AAAAAHef23s=")</f>
        <v>#REF!</v>
      </c>
      <c r="DU213" t="e">
        <f>AND(Confirmations!#REF!,"AAAAAHef23w=")</f>
        <v>#REF!</v>
      </c>
      <c r="DV213" t="e">
        <f>AND(Confirmations!#REF!,"AAAAAHef230=")</f>
        <v>#REF!</v>
      </c>
      <c r="DW213" t="e">
        <f>AND(Confirmations!#REF!,"AAAAAHef234=")</f>
        <v>#REF!</v>
      </c>
      <c r="DX213" t="e">
        <f>AND(Confirmations!#REF!,"AAAAAHef238=")</f>
        <v>#REF!</v>
      </c>
      <c r="DY213" t="e">
        <f>AND(Confirmations!#REF!,"AAAAAHef24A=")</f>
        <v>#REF!</v>
      </c>
      <c r="DZ213" t="e">
        <f>AND(Confirmations!#REF!,"AAAAAHef24E=")</f>
        <v>#REF!</v>
      </c>
      <c r="EA213" t="e">
        <f>AND(Confirmations!#REF!,"AAAAAHef24I=")</f>
        <v>#REF!</v>
      </c>
      <c r="EB213" t="e">
        <f>AND(Confirmations!#REF!,"AAAAAHef24M=")</f>
        <v>#REF!</v>
      </c>
      <c r="EC213" t="e">
        <f>AND(Confirmations!#REF!,"AAAAAHef24Q=")</f>
        <v>#REF!</v>
      </c>
      <c r="ED213" t="e">
        <f>IF(Confirmations!#REF!,"AAAAAHef24U=",0)</f>
        <v>#REF!</v>
      </c>
      <c r="EE213" t="e">
        <f>AND(Confirmations!#REF!,"AAAAAHef24Y=")</f>
        <v>#REF!</v>
      </c>
      <c r="EF213" t="e">
        <f>AND(Confirmations!#REF!,"AAAAAHef24c=")</f>
        <v>#REF!</v>
      </c>
      <c r="EG213" t="e">
        <f>AND(Confirmations!#REF!,"AAAAAHef24g=")</f>
        <v>#REF!</v>
      </c>
      <c r="EH213" t="e">
        <f>AND(Confirmations!#REF!,"AAAAAHef24k=")</f>
        <v>#REF!</v>
      </c>
      <c r="EI213" t="e">
        <f>AND(Confirmations!#REF!,"AAAAAHef24o=")</f>
        <v>#REF!</v>
      </c>
      <c r="EJ213" t="e">
        <f>AND(Confirmations!#REF!,"AAAAAHef24s=")</f>
        <v>#REF!</v>
      </c>
      <c r="EK213" t="e">
        <f>AND(Confirmations!#REF!,"AAAAAHef24w=")</f>
        <v>#REF!</v>
      </c>
      <c r="EL213" t="e">
        <f>AND(Confirmations!#REF!,"AAAAAHef240=")</f>
        <v>#REF!</v>
      </c>
      <c r="EM213" t="e">
        <f>AND(Confirmations!#REF!,"AAAAAHef244=")</f>
        <v>#REF!</v>
      </c>
      <c r="EN213" t="e">
        <f>AND(Confirmations!#REF!,"AAAAAHef248=")</f>
        <v>#REF!</v>
      </c>
      <c r="EO213" t="e">
        <f>AND(Confirmations!#REF!,"AAAAAHef25A=")</f>
        <v>#REF!</v>
      </c>
      <c r="EP213" t="e">
        <f>AND(Confirmations!#REF!,"AAAAAHef25E=")</f>
        <v>#REF!</v>
      </c>
      <c r="EQ213" t="e">
        <f>AND(Confirmations!#REF!,"AAAAAHef25I=")</f>
        <v>#REF!</v>
      </c>
      <c r="ER213" t="e">
        <f>AND(Confirmations!#REF!,"AAAAAHef25M=")</f>
        <v>#REF!</v>
      </c>
      <c r="ES213" t="e">
        <f>AND(Confirmations!#REF!,"AAAAAHef25Q=")</f>
        <v>#REF!</v>
      </c>
      <c r="ET213" t="e">
        <f>AND(Confirmations!#REF!,"AAAAAHef25U=")</f>
        <v>#REF!</v>
      </c>
      <c r="EU213" t="e">
        <f>AND(Confirmations!#REF!,"AAAAAHef25Y=")</f>
        <v>#REF!</v>
      </c>
      <c r="EV213" t="e">
        <f>IF(Confirmations!#REF!,"AAAAAHef25c=",0)</f>
        <v>#REF!</v>
      </c>
      <c r="EW213" t="e">
        <f>AND(Confirmations!#REF!,"AAAAAHef25g=")</f>
        <v>#REF!</v>
      </c>
      <c r="EX213" t="e">
        <f>AND(Confirmations!#REF!,"AAAAAHef25k=")</f>
        <v>#REF!</v>
      </c>
      <c r="EY213" t="e">
        <f>AND(Confirmations!#REF!,"AAAAAHef25o=")</f>
        <v>#REF!</v>
      </c>
      <c r="EZ213" t="e">
        <f>AND(Confirmations!#REF!,"AAAAAHef25s=")</f>
        <v>#REF!</v>
      </c>
      <c r="FA213" t="e">
        <f>AND(Confirmations!#REF!,"AAAAAHef25w=")</f>
        <v>#REF!</v>
      </c>
      <c r="FB213" t="e">
        <f>AND(Confirmations!#REF!,"AAAAAHef250=")</f>
        <v>#REF!</v>
      </c>
      <c r="FC213" t="e">
        <f>AND(Confirmations!#REF!,"AAAAAHef254=")</f>
        <v>#REF!</v>
      </c>
      <c r="FD213" t="e">
        <f>AND(Confirmations!#REF!,"AAAAAHef258=")</f>
        <v>#REF!</v>
      </c>
      <c r="FE213" t="e">
        <f>AND(Confirmations!#REF!,"AAAAAHef26A=")</f>
        <v>#REF!</v>
      </c>
      <c r="FF213" t="e">
        <f>AND(Confirmations!#REF!,"AAAAAHef26E=")</f>
        <v>#REF!</v>
      </c>
      <c r="FG213" t="e">
        <f>AND(Confirmations!#REF!,"AAAAAHef26I=")</f>
        <v>#REF!</v>
      </c>
      <c r="FH213" t="e">
        <f>AND(Confirmations!#REF!,"AAAAAHef26M=")</f>
        <v>#REF!</v>
      </c>
      <c r="FI213" t="e">
        <f>AND(Confirmations!#REF!,"AAAAAHef26Q=")</f>
        <v>#REF!</v>
      </c>
      <c r="FJ213" t="e">
        <f>AND(Confirmations!#REF!,"AAAAAHef26U=")</f>
        <v>#REF!</v>
      </c>
      <c r="FK213" t="e">
        <f>AND(Confirmations!#REF!,"AAAAAHef26Y=")</f>
        <v>#REF!</v>
      </c>
      <c r="FL213" t="e">
        <f>AND(Confirmations!#REF!,"AAAAAHef26c=")</f>
        <v>#REF!</v>
      </c>
      <c r="FM213" t="e">
        <f>AND(Confirmations!#REF!,"AAAAAHef26g=")</f>
        <v>#REF!</v>
      </c>
      <c r="FN213" t="e">
        <f>IF(Confirmations!#REF!,"AAAAAHef26k=",0)</f>
        <v>#REF!</v>
      </c>
      <c r="FO213" t="e">
        <f>AND(Confirmations!#REF!,"AAAAAHef26o=")</f>
        <v>#REF!</v>
      </c>
      <c r="FP213" t="e">
        <f>AND(Confirmations!#REF!,"AAAAAHef26s=")</f>
        <v>#REF!</v>
      </c>
      <c r="FQ213" t="e">
        <f>AND(Confirmations!#REF!,"AAAAAHef26w=")</f>
        <v>#REF!</v>
      </c>
      <c r="FR213" t="e">
        <f>AND(Confirmations!#REF!,"AAAAAHef260=")</f>
        <v>#REF!</v>
      </c>
      <c r="FS213" t="e">
        <f>AND(Confirmations!#REF!,"AAAAAHef264=")</f>
        <v>#REF!</v>
      </c>
      <c r="FT213" t="e">
        <f>AND(Confirmations!#REF!,"AAAAAHef268=")</f>
        <v>#REF!</v>
      </c>
      <c r="FU213" t="e">
        <f>AND(Confirmations!#REF!,"AAAAAHef27A=")</f>
        <v>#REF!</v>
      </c>
      <c r="FV213" t="e">
        <f>AND(Confirmations!#REF!,"AAAAAHef27E=")</f>
        <v>#REF!</v>
      </c>
      <c r="FW213" t="e">
        <f>AND(Confirmations!#REF!,"AAAAAHef27I=")</f>
        <v>#REF!</v>
      </c>
      <c r="FX213" t="e">
        <f>AND(Confirmations!#REF!,"AAAAAHef27M=")</f>
        <v>#REF!</v>
      </c>
      <c r="FY213" t="e">
        <f>AND(Confirmations!#REF!,"AAAAAHef27Q=")</f>
        <v>#REF!</v>
      </c>
      <c r="FZ213" t="e">
        <f>AND(Confirmations!#REF!,"AAAAAHef27U=")</f>
        <v>#REF!</v>
      </c>
      <c r="GA213" t="e">
        <f>AND(Confirmations!#REF!,"AAAAAHef27Y=")</f>
        <v>#REF!</v>
      </c>
      <c r="GB213" t="e">
        <f>AND(Confirmations!#REF!,"AAAAAHef27c=")</f>
        <v>#REF!</v>
      </c>
      <c r="GC213" t="e">
        <f>AND(Confirmations!#REF!,"AAAAAHef27g=")</f>
        <v>#REF!</v>
      </c>
      <c r="GD213" t="e">
        <f>AND(Confirmations!#REF!,"AAAAAHef27k=")</f>
        <v>#REF!</v>
      </c>
      <c r="GE213" t="e">
        <f>AND(Confirmations!#REF!,"AAAAAHef27o=")</f>
        <v>#REF!</v>
      </c>
      <c r="GF213" t="e">
        <f>IF(Confirmations!#REF!,"AAAAAHef27s=",0)</f>
        <v>#REF!</v>
      </c>
      <c r="GG213" t="e">
        <f>AND(Confirmations!#REF!,"AAAAAHef27w=")</f>
        <v>#REF!</v>
      </c>
      <c r="GH213" t="e">
        <f>AND(Confirmations!#REF!,"AAAAAHef270=")</f>
        <v>#REF!</v>
      </c>
      <c r="GI213" t="e">
        <f>AND(Confirmations!#REF!,"AAAAAHef274=")</f>
        <v>#REF!</v>
      </c>
      <c r="GJ213" t="e">
        <f>AND(Confirmations!#REF!,"AAAAAHef278=")</f>
        <v>#REF!</v>
      </c>
      <c r="GK213" t="e">
        <f>AND(Confirmations!#REF!,"AAAAAHef28A=")</f>
        <v>#REF!</v>
      </c>
      <c r="GL213" t="e">
        <f>AND(Confirmations!#REF!,"AAAAAHef28E=")</f>
        <v>#REF!</v>
      </c>
      <c r="GM213" t="e">
        <f>AND(Confirmations!#REF!,"AAAAAHef28I=")</f>
        <v>#REF!</v>
      </c>
      <c r="GN213" t="e">
        <f>AND(Confirmations!#REF!,"AAAAAHef28M=")</f>
        <v>#REF!</v>
      </c>
      <c r="GO213" t="e">
        <f>AND(Confirmations!#REF!,"AAAAAHef28Q=")</f>
        <v>#REF!</v>
      </c>
      <c r="GP213" t="e">
        <f>AND(Confirmations!#REF!,"AAAAAHef28U=")</f>
        <v>#REF!</v>
      </c>
      <c r="GQ213" t="e">
        <f>AND(Confirmations!#REF!,"AAAAAHef28Y=")</f>
        <v>#REF!</v>
      </c>
      <c r="GR213" t="e">
        <f>AND(Confirmations!#REF!,"AAAAAHef28c=")</f>
        <v>#REF!</v>
      </c>
      <c r="GS213" t="e">
        <f>AND(Confirmations!#REF!,"AAAAAHef28g=")</f>
        <v>#REF!</v>
      </c>
      <c r="GT213" t="e">
        <f>AND(Confirmations!#REF!,"AAAAAHef28k=")</f>
        <v>#REF!</v>
      </c>
      <c r="GU213" t="e">
        <f>AND(Confirmations!#REF!,"AAAAAHef28o=")</f>
        <v>#REF!</v>
      </c>
      <c r="GV213" t="e">
        <f>AND(Confirmations!#REF!,"AAAAAHef28s=")</f>
        <v>#REF!</v>
      </c>
      <c r="GW213" t="e">
        <f>AND(Confirmations!#REF!,"AAAAAHef28w=")</f>
        <v>#REF!</v>
      </c>
      <c r="GX213" t="e">
        <f>IF(Confirmations!#REF!,"AAAAAHef280=",0)</f>
        <v>#REF!</v>
      </c>
      <c r="GY213" t="e">
        <f>AND(Confirmations!#REF!,"AAAAAHef284=")</f>
        <v>#REF!</v>
      </c>
      <c r="GZ213" t="e">
        <f>AND(Confirmations!#REF!,"AAAAAHef288=")</f>
        <v>#REF!</v>
      </c>
      <c r="HA213" t="e">
        <f>AND(Confirmations!#REF!,"AAAAAHef29A=")</f>
        <v>#REF!</v>
      </c>
      <c r="HB213" t="e">
        <f>AND(Confirmations!#REF!,"AAAAAHef29E=")</f>
        <v>#REF!</v>
      </c>
      <c r="HC213" t="e">
        <f>AND(Confirmations!#REF!,"AAAAAHef29I=")</f>
        <v>#REF!</v>
      </c>
      <c r="HD213" t="e">
        <f>AND(Confirmations!#REF!,"AAAAAHef29M=")</f>
        <v>#REF!</v>
      </c>
      <c r="HE213" t="e">
        <f>AND(Confirmations!#REF!,"AAAAAHef29Q=")</f>
        <v>#REF!</v>
      </c>
      <c r="HF213" t="e">
        <f>AND(Confirmations!#REF!,"AAAAAHef29U=")</f>
        <v>#REF!</v>
      </c>
      <c r="HG213" t="e">
        <f>AND(Confirmations!#REF!,"AAAAAHef29Y=")</f>
        <v>#REF!</v>
      </c>
      <c r="HH213" t="e">
        <f>AND(Confirmations!#REF!,"AAAAAHef29c=")</f>
        <v>#REF!</v>
      </c>
      <c r="HI213" t="e">
        <f>AND(Confirmations!#REF!,"AAAAAHef29g=")</f>
        <v>#REF!</v>
      </c>
      <c r="HJ213" t="e">
        <f>AND(Confirmations!#REF!,"AAAAAHef29k=")</f>
        <v>#REF!</v>
      </c>
      <c r="HK213" t="e">
        <f>AND(Confirmations!#REF!,"AAAAAHef29o=")</f>
        <v>#REF!</v>
      </c>
      <c r="HL213" t="e">
        <f>AND(Confirmations!#REF!,"AAAAAHef29s=")</f>
        <v>#REF!</v>
      </c>
      <c r="HM213" t="e">
        <f>AND(Confirmations!#REF!,"AAAAAHef29w=")</f>
        <v>#REF!</v>
      </c>
      <c r="HN213" t="e">
        <f>AND(Confirmations!#REF!,"AAAAAHef290=")</f>
        <v>#REF!</v>
      </c>
      <c r="HO213" t="e">
        <f>AND(Confirmations!#REF!,"AAAAAHef294=")</f>
        <v>#REF!</v>
      </c>
      <c r="HP213" t="e">
        <f>IF(Confirmations!#REF!,"AAAAAHef298=",0)</f>
        <v>#REF!</v>
      </c>
      <c r="HQ213" t="e">
        <f>AND(Confirmations!#REF!,"AAAAAHef2+A=")</f>
        <v>#REF!</v>
      </c>
      <c r="HR213" t="e">
        <f>AND(Confirmations!#REF!,"AAAAAHef2+E=")</f>
        <v>#REF!</v>
      </c>
      <c r="HS213" t="e">
        <f>AND(Confirmations!#REF!,"AAAAAHef2+I=")</f>
        <v>#REF!</v>
      </c>
      <c r="HT213" t="e">
        <f>AND(Confirmations!#REF!,"AAAAAHef2+M=")</f>
        <v>#REF!</v>
      </c>
      <c r="HU213" t="e">
        <f>AND(Confirmations!#REF!,"AAAAAHef2+Q=")</f>
        <v>#REF!</v>
      </c>
      <c r="HV213" t="e">
        <f>AND(Confirmations!#REF!,"AAAAAHef2+U=")</f>
        <v>#REF!</v>
      </c>
      <c r="HW213" t="e">
        <f>AND(Confirmations!#REF!,"AAAAAHef2+Y=")</f>
        <v>#REF!</v>
      </c>
      <c r="HX213" t="e">
        <f>AND(Confirmations!#REF!,"AAAAAHef2+c=")</f>
        <v>#REF!</v>
      </c>
      <c r="HY213" t="e">
        <f>AND(Confirmations!#REF!,"AAAAAHef2+g=")</f>
        <v>#REF!</v>
      </c>
      <c r="HZ213" t="e">
        <f>AND(Confirmations!#REF!,"AAAAAHef2+k=")</f>
        <v>#REF!</v>
      </c>
      <c r="IA213" t="e">
        <f>AND(Confirmations!#REF!,"AAAAAHef2+o=")</f>
        <v>#REF!</v>
      </c>
      <c r="IB213" t="e">
        <f>AND(Confirmations!#REF!,"AAAAAHef2+s=")</f>
        <v>#REF!</v>
      </c>
      <c r="IC213" t="e">
        <f>AND(Confirmations!#REF!,"AAAAAHef2+w=")</f>
        <v>#REF!</v>
      </c>
      <c r="ID213" t="e">
        <f>AND(Confirmations!#REF!,"AAAAAHef2+0=")</f>
        <v>#REF!</v>
      </c>
      <c r="IE213" t="e">
        <f>AND(Confirmations!#REF!,"AAAAAHef2+4=")</f>
        <v>#REF!</v>
      </c>
      <c r="IF213" t="e">
        <f>AND(Confirmations!#REF!,"AAAAAHef2+8=")</f>
        <v>#REF!</v>
      </c>
      <c r="IG213" t="e">
        <f>AND(Confirmations!#REF!,"AAAAAHef2/A=")</f>
        <v>#REF!</v>
      </c>
      <c r="IH213" t="e">
        <f>IF(Confirmations!#REF!,"AAAAAHef2/E=",0)</f>
        <v>#REF!</v>
      </c>
      <c r="II213" t="e">
        <f>AND(Confirmations!#REF!,"AAAAAHef2/I=")</f>
        <v>#REF!</v>
      </c>
      <c r="IJ213" t="e">
        <f>AND(Confirmations!#REF!,"AAAAAHef2/M=")</f>
        <v>#REF!</v>
      </c>
      <c r="IK213" t="e">
        <f>AND(Confirmations!#REF!,"AAAAAHef2/Q=")</f>
        <v>#REF!</v>
      </c>
      <c r="IL213" t="e">
        <f>AND(Confirmations!#REF!,"AAAAAHef2/U=")</f>
        <v>#REF!</v>
      </c>
      <c r="IM213" t="e">
        <f>AND(Confirmations!#REF!,"AAAAAHef2/Y=")</f>
        <v>#REF!</v>
      </c>
      <c r="IN213" t="e">
        <f>AND(Confirmations!#REF!,"AAAAAHef2/c=")</f>
        <v>#REF!</v>
      </c>
      <c r="IO213" t="e">
        <f>AND(Confirmations!#REF!,"AAAAAHef2/g=")</f>
        <v>#REF!</v>
      </c>
      <c r="IP213" t="e">
        <f>AND(Confirmations!#REF!,"AAAAAHef2/k=")</f>
        <v>#REF!</v>
      </c>
      <c r="IQ213" t="e">
        <f>AND(Confirmations!#REF!,"AAAAAHef2/o=")</f>
        <v>#REF!</v>
      </c>
      <c r="IR213" t="e">
        <f>AND(Confirmations!#REF!,"AAAAAHef2/s=")</f>
        <v>#REF!</v>
      </c>
      <c r="IS213" t="e">
        <f>AND(Confirmations!#REF!,"AAAAAHef2/w=")</f>
        <v>#REF!</v>
      </c>
      <c r="IT213" t="e">
        <f>AND(Confirmations!#REF!,"AAAAAHef2/0=")</f>
        <v>#REF!</v>
      </c>
      <c r="IU213" t="e">
        <f>AND(Confirmations!#REF!,"AAAAAHef2/4=")</f>
        <v>#REF!</v>
      </c>
      <c r="IV213" t="e">
        <f>AND(Confirmations!#REF!,"AAAAAHef2/8=")</f>
        <v>#REF!</v>
      </c>
    </row>
    <row r="214" spans="1:256" x14ac:dyDescent="0.2">
      <c r="A214" t="e">
        <f>AND(Confirmations!#REF!,"AAAAAH8cjgA=")</f>
        <v>#REF!</v>
      </c>
      <c r="B214" t="e">
        <f>AND(Confirmations!#REF!,"AAAAAH8cjgE=")</f>
        <v>#REF!</v>
      </c>
      <c r="C214" t="e">
        <f>AND(Confirmations!#REF!,"AAAAAH8cjgI=")</f>
        <v>#REF!</v>
      </c>
      <c r="D214" t="e">
        <f>IF(Confirmations!#REF!,"AAAAAH8cjgM=",0)</f>
        <v>#REF!</v>
      </c>
      <c r="E214" t="e">
        <f>AND(Confirmations!#REF!,"AAAAAH8cjgQ=")</f>
        <v>#REF!</v>
      </c>
      <c r="F214" t="e">
        <f>AND(Confirmations!#REF!,"AAAAAH8cjgU=")</f>
        <v>#REF!</v>
      </c>
      <c r="G214" t="e">
        <f>AND(Confirmations!#REF!,"AAAAAH8cjgY=")</f>
        <v>#REF!</v>
      </c>
      <c r="H214" t="e">
        <f>AND(Confirmations!#REF!,"AAAAAH8cjgc=")</f>
        <v>#REF!</v>
      </c>
      <c r="I214" t="e">
        <f>AND(Confirmations!#REF!,"AAAAAH8cjgg=")</f>
        <v>#REF!</v>
      </c>
      <c r="J214" t="e">
        <f>AND(Confirmations!#REF!,"AAAAAH8cjgk=")</f>
        <v>#REF!</v>
      </c>
      <c r="K214" t="e">
        <f>AND(Confirmations!#REF!,"AAAAAH8cjgo=")</f>
        <v>#REF!</v>
      </c>
      <c r="L214" t="e">
        <f>AND(Confirmations!#REF!,"AAAAAH8cjgs=")</f>
        <v>#REF!</v>
      </c>
      <c r="M214" t="e">
        <f>AND(Confirmations!#REF!,"AAAAAH8cjgw=")</f>
        <v>#REF!</v>
      </c>
      <c r="N214" t="e">
        <f>AND(Confirmations!#REF!,"AAAAAH8cjg0=")</f>
        <v>#REF!</v>
      </c>
      <c r="O214" t="e">
        <f>AND(Confirmations!#REF!,"AAAAAH8cjg4=")</f>
        <v>#REF!</v>
      </c>
      <c r="P214" t="e">
        <f>AND(Confirmations!#REF!,"AAAAAH8cjg8=")</f>
        <v>#REF!</v>
      </c>
      <c r="Q214" t="e">
        <f>AND(Confirmations!#REF!,"AAAAAH8cjhA=")</f>
        <v>#REF!</v>
      </c>
      <c r="R214" t="e">
        <f>AND(Confirmations!#REF!,"AAAAAH8cjhE=")</f>
        <v>#REF!</v>
      </c>
      <c r="S214" t="e">
        <f>AND(Confirmations!#REF!,"AAAAAH8cjhI=")</f>
        <v>#REF!</v>
      </c>
      <c r="T214" t="e">
        <f>AND(Confirmations!#REF!,"AAAAAH8cjhM=")</f>
        <v>#REF!</v>
      </c>
      <c r="U214" t="e">
        <f>AND(Confirmations!#REF!,"AAAAAH8cjhQ=")</f>
        <v>#REF!</v>
      </c>
      <c r="V214" t="e">
        <f>IF(Confirmations!#REF!,"AAAAAH8cjhU=",0)</f>
        <v>#REF!</v>
      </c>
      <c r="W214" t="e">
        <f>AND(Confirmations!#REF!,"AAAAAH8cjhY=")</f>
        <v>#REF!</v>
      </c>
      <c r="X214" t="e">
        <f>AND(Confirmations!#REF!,"AAAAAH8cjhc=")</f>
        <v>#REF!</v>
      </c>
      <c r="Y214" t="e">
        <f>AND(Confirmations!#REF!,"AAAAAH8cjhg=")</f>
        <v>#REF!</v>
      </c>
      <c r="Z214" t="e">
        <f>AND(Confirmations!#REF!,"AAAAAH8cjhk=")</f>
        <v>#REF!</v>
      </c>
      <c r="AA214" t="e">
        <f>AND(Confirmations!#REF!,"AAAAAH8cjho=")</f>
        <v>#REF!</v>
      </c>
      <c r="AB214" t="e">
        <f>AND(Confirmations!#REF!,"AAAAAH8cjhs=")</f>
        <v>#REF!</v>
      </c>
      <c r="AC214" t="e">
        <f>AND(Confirmations!#REF!,"AAAAAH8cjhw=")</f>
        <v>#REF!</v>
      </c>
      <c r="AD214" t="e">
        <f>AND(Confirmations!#REF!,"AAAAAH8cjh0=")</f>
        <v>#REF!</v>
      </c>
      <c r="AE214" t="e">
        <f>AND(Confirmations!#REF!,"AAAAAH8cjh4=")</f>
        <v>#REF!</v>
      </c>
      <c r="AF214" t="e">
        <f>AND(Confirmations!#REF!,"AAAAAH8cjh8=")</f>
        <v>#REF!</v>
      </c>
      <c r="AG214" t="e">
        <f>AND(Confirmations!#REF!,"AAAAAH8cjiA=")</f>
        <v>#REF!</v>
      </c>
      <c r="AH214" t="e">
        <f>AND(Confirmations!#REF!,"AAAAAH8cjiE=")</f>
        <v>#REF!</v>
      </c>
      <c r="AI214" t="e">
        <f>AND(Confirmations!#REF!,"AAAAAH8cjiI=")</f>
        <v>#REF!</v>
      </c>
      <c r="AJ214" t="e">
        <f>AND(Confirmations!#REF!,"AAAAAH8cjiM=")</f>
        <v>#REF!</v>
      </c>
      <c r="AK214" t="e">
        <f>AND(Confirmations!#REF!,"AAAAAH8cjiQ=")</f>
        <v>#REF!</v>
      </c>
      <c r="AL214" t="e">
        <f>AND(Confirmations!#REF!,"AAAAAH8cjiU=")</f>
        <v>#REF!</v>
      </c>
      <c r="AM214" t="e">
        <f>AND(Confirmations!#REF!,"AAAAAH8cjiY=")</f>
        <v>#REF!</v>
      </c>
      <c r="AN214" t="e">
        <f>IF(Confirmations!#REF!,"AAAAAH8cjic=",0)</f>
        <v>#REF!</v>
      </c>
      <c r="AO214" t="e">
        <f>AND(Confirmations!#REF!,"AAAAAH8cjig=")</f>
        <v>#REF!</v>
      </c>
      <c r="AP214" t="e">
        <f>AND(Confirmations!#REF!,"AAAAAH8cjik=")</f>
        <v>#REF!</v>
      </c>
      <c r="AQ214" t="e">
        <f>AND(Confirmations!#REF!,"AAAAAH8cjio=")</f>
        <v>#REF!</v>
      </c>
      <c r="AR214" t="e">
        <f>AND(Confirmations!#REF!,"AAAAAH8cjis=")</f>
        <v>#REF!</v>
      </c>
      <c r="AS214" t="e">
        <f>AND(Confirmations!#REF!,"AAAAAH8cjiw=")</f>
        <v>#REF!</v>
      </c>
      <c r="AT214" t="e">
        <f>AND(Confirmations!#REF!,"AAAAAH8cji0=")</f>
        <v>#REF!</v>
      </c>
      <c r="AU214" t="e">
        <f>AND(Confirmations!#REF!,"AAAAAH8cji4=")</f>
        <v>#REF!</v>
      </c>
      <c r="AV214" t="e">
        <f>AND(Confirmations!#REF!,"AAAAAH8cji8=")</f>
        <v>#REF!</v>
      </c>
      <c r="AW214" t="e">
        <f>AND(Confirmations!#REF!,"AAAAAH8cjjA=")</f>
        <v>#REF!</v>
      </c>
      <c r="AX214" t="e">
        <f>AND(Confirmations!#REF!,"AAAAAH8cjjE=")</f>
        <v>#REF!</v>
      </c>
      <c r="AY214" t="e">
        <f>AND(Confirmations!#REF!,"AAAAAH8cjjI=")</f>
        <v>#REF!</v>
      </c>
      <c r="AZ214" t="e">
        <f>AND(Confirmations!#REF!,"AAAAAH8cjjM=")</f>
        <v>#REF!</v>
      </c>
      <c r="BA214" t="e">
        <f>AND(Confirmations!#REF!,"AAAAAH8cjjQ=")</f>
        <v>#REF!</v>
      </c>
      <c r="BB214" t="e">
        <f>AND(Confirmations!#REF!,"AAAAAH8cjjU=")</f>
        <v>#REF!</v>
      </c>
      <c r="BC214" t="e">
        <f>AND(Confirmations!#REF!,"AAAAAH8cjjY=")</f>
        <v>#REF!</v>
      </c>
      <c r="BD214" t="e">
        <f>AND(Confirmations!#REF!,"AAAAAH8cjjc=")</f>
        <v>#REF!</v>
      </c>
      <c r="BE214" t="e">
        <f>AND(Confirmations!#REF!,"AAAAAH8cjjg=")</f>
        <v>#REF!</v>
      </c>
      <c r="BF214" t="e">
        <f>IF(Confirmations!#REF!,"AAAAAH8cjjk=",0)</f>
        <v>#REF!</v>
      </c>
      <c r="BG214" t="e">
        <f>AND(Confirmations!#REF!,"AAAAAH8cjjo=")</f>
        <v>#REF!</v>
      </c>
      <c r="BH214" t="e">
        <f>AND(Confirmations!#REF!,"AAAAAH8cjjs=")</f>
        <v>#REF!</v>
      </c>
      <c r="BI214" t="e">
        <f>AND(Confirmations!#REF!,"AAAAAH8cjjw=")</f>
        <v>#REF!</v>
      </c>
      <c r="BJ214" t="e">
        <f>AND(Confirmations!#REF!,"AAAAAH8cjj0=")</f>
        <v>#REF!</v>
      </c>
      <c r="BK214" t="e">
        <f>AND(Confirmations!#REF!,"AAAAAH8cjj4=")</f>
        <v>#REF!</v>
      </c>
      <c r="BL214" t="e">
        <f>AND(Confirmations!#REF!,"AAAAAH8cjj8=")</f>
        <v>#REF!</v>
      </c>
      <c r="BM214" t="e">
        <f>AND(Confirmations!#REF!,"AAAAAH8cjkA=")</f>
        <v>#REF!</v>
      </c>
      <c r="BN214" t="e">
        <f>AND(Confirmations!#REF!,"AAAAAH8cjkE=")</f>
        <v>#REF!</v>
      </c>
      <c r="BO214" t="e">
        <f>AND(Confirmations!#REF!,"AAAAAH8cjkI=")</f>
        <v>#REF!</v>
      </c>
      <c r="BP214" t="e">
        <f>AND(Confirmations!#REF!,"AAAAAH8cjkM=")</f>
        <v>#REF!</v>
      </c>
      <c r="BQ214" t="e">
        <f>AND(Confirmations!#REF!,"AAAAAH8cjkQ=")</f>
        <v>#REF!</v>
      </c>
      <c r="BR214" t="e">
        <f>AND(Confirmations!#REF!,"AAAAAH8cjkU=")</f>
        <v>#REF!</v>
      </c>
      <c r="BS214" t="e">
        <f>AND(Confirmations!#REF!,"AAAAAH8cjkY=")</f>
        <v>#REF!</v>
      </c>
      <c r="BT214" t="e">
        <f>AND(Confirmations!#REF!,"AAAAAH8cjkc=")</f>
        <v>#REF!</v>
      </c>
      <c r="BU214" t="e">
        <f>AND(Confirmations!#REF!,"AAAAAH8cjkg=")</f>
        <v>#REF!</v>
      </c>
      <c r="BV214" t="e">
        <f>AND(Confirmations!#REF!,"AAAAAH8cjkk=")</f>
        <v>#REF!</v>
      </c>
      <c r="BW214" t="e">
        <f>AND(Confirmations!#REF!,"AAAAAH8cjko=")</f>
        <v>#REF!</v>
      </c>
      <c r="BX214" t="e">
        <f>IF(Confirmations!#REF!,"AAAAAH8cjks=",0)</f>
        <v>#REF!</v>
      </c>
      <c r="BY214" t="e">
        <f>AND(Confirmations!#REF!,"AAAAAH8cjkw=")</f>
        <v>#REF!</v>
      </c>
      <c r="BZ214" t="e">
        <f>AND(Confirmations!#REF!,"AAAAAH8cjk0=")</f>
        <v>#REF!</v>
      </c>
      <c r="CA214" t="e">
        <f>AND(Confirmations!#REF!,"AAAAAH8cjk4=")</f>
        <v>#REF!</v>
      </c>
      <c r="CB214" t="e">
        <f>AND(Confirmations!#REF!,"AAAAAH8cjk8=")</f>
        <v>#REF!</v>
      </c>
      <c r="CC214" t="e">
        <f>AND(Confirmations!#REF!,"AAAAAH8cjlA=")</f>
        <v>#REF!</v>
      </c>
      <c r="CD214" t="e">
        <f>AND(Confirmations!#REF!,"AAAAAH8cjlE=")</f>
        <v>#REF!</v>
      </c>
      <c r="CE214" t="e">
        <f>AND(Confirmations!#REF!,"AAAAAH8cjlI=")</f>
        <v>#REF!</v>
      </c>
      <c r="CF214" t="e">
        <f>AND(Confirmations!#REF!,"AAAAAH8cjlM=")</f>
        <v>#REF!</v>
      </c>
      <c r="CG214" t="e">
        <f>AND(Confirmations!#REF!,"AAAAAH8cjlQ=")</f>
        <v>#REF!</v>
      </c>
      <c r="CH214" t="e">
        <f>AND(Confirmations!#REF!,"AAAAAH8cjlU=")</f>
        <v>#REF!</v>
      </c>
      <c r="CI214" t="e">
        <f>AND(Confirmations!#REF!,"AAAAAH8cjlY=")</f>
        <v>#REF!</v>
      </c>
      <c r="CJ214" t="e">
        <f>AND(Confirmations!#REF!,"AAAAAH8cjlc=")</f>
        <v>#REF!</v>
      </c>
      <c r="CK214" t="e">
        <f>AND(Confirmations!#REF!,"AAAAAH8cjlg=")</f>
        <v>#REF!</v>
      </c>
      <c r="CL214" t="e">
        <f>AND(Confirmations!#REF!,"AAAAAH8cjlk=")</f>
        <v>#REF!</v>
      </c>
      <c r="CM214" t="e">
        <f>AND(Confirmations!#REF!,"AAAAAH8cjlo=")</f>
        <v>#REF!</v>
      </c>
      <c r="CN214" t="e">
        <f>AND(Confirmations!#REF!,"AAAAAH8cjls=")</f>
        <v>#REF!</v>
      </c>
      <c r="CO214" t="e">
        <f>AND(Confirmations!#REF!,"AAAAAH8cjlw=")</f>
        <v>#REF!</v>
      </c>
      <c r="CP214" t="e">
        <f>IF(Confirmations!#REF!,"AAAAAH8cjl0=",0)</f>
        <v>#REF!</v>
      </c>
      <c r="CQ214" t="e">
        <f>AND(Confirmations!#REF!,"AAAAAH8cjl4=")</f>
        <v>#REF!</v>
      </c>
      <c r="CR214" t="e">
        <f>AND(Confirmations!#REF!,"AAAAAH8cjl8=")</f>
        <v>#REF!</v>
      </c>
      <c r="CS214" t="e">
        <f>AND(Confirmations!#REF!,"AAAAAH8cjmA=")</f>
        <v>#REF!</v>
      </c>
      <c r="CT214" t="e">
        <f>AND(Confirmations!#REF!,"AAAAAH8cjmE=")</f>
        <v>#REF!</v>
      </c>
      <c r="CU214" t="e">
        <f>AND(Confirmations!#REF!,"AAAAAH8cjmI=")</f>
        <v>#REF!</v>
      </c>
      <c r="CV214" t="e">
        <f>AND(Confirmations!#REF!,"AAAAAH8cjmM=")</f>
        <v>#REF!</v>
      </c>
      <c r="CW214" t="e">
        <f>AND(Confirmations!#REF!,"AAAAAH8cjmQ=")</f>
        <v>#REF!</v>
      </c>
      <c r="CX214" t="e">
        <f>AND(Confirmations!#REF!,"AAAAAH8cjmU=")</f>
        <v>#REF!</v>
      </c>
      <c r="CY214" t="e">
        <f>AND(Confirmations!#REF!,"AAAAAH8cjmY=")</f>
        <v>#REF!</v>
      </c>
      <c r="CZ214" t="e">
        <f>AND(Confirmations!#REF!,"AAAAAH8cjmc=")</f>
        <v>#REF!</v>
      </c>
      <c r="DA214" t="e">
        <f>AND(Confirmations!#REF!,"AAAAAH8cjmg=")</f>
        <v>#REF!</v>
      </c>
      <c r="DB214" t="e">
        <f>AND(Confirmations!#REF!,"AAAAAH8cjmk=")</f>
        <v>#REF!</v>
      </c>
      <c r="DC214" t="e">
        <f>AND(Confirmations!#REF!,"AAAAAH8cjmo=")</f>
        <v>#REF!</v>
      </c>
      <c r="DD214" t="e">
        <f>AND(Confirmations!#REF!,"AAAAAH8cjms=")</f>
        <v>#REF!</v>
      </c>
      <c r="DE214" t="e">
        <f>AND(Confirmations!#REF!,"AAAAAH8cjmw=")</f>
        <v>#REF!</v>
      </c>
      <c r="DF214" t="e">
        <f>AND(Confirmations!#REF!,"AAAAAH8cjm0=")</f>
        <v>#REF!</v>
      </c>
      <c r="DG214" t="e">
        <f>AND(Confirmations!#REF!,"AAAAAH8cjm4=")</f>
        <v>#REF!</v>
      </c>
      <c r="DH214" t="e">
        <f>IF(Confirmations!#REF!,"AAAAAH8cjm8=",0)</f>
        <v>#REF!</v>
      </c>
      <c r="DI214" t="e">
        <f>AND(Confirmations!#REF!,"AAAAAH8cjnA=")</f>
        <v>#REF!</v>
      </c>
      <c r="DJ214" t="e">
        <f>AND(Confirmations!#REF!,"AAAAAH8cjnE=")</f>
        <v>#REF!</v>
      </c>
      <c r="DK214" t="e">
        <f>AND(Confirmations!#REF!,"AAAAAH8cjnI=")</f>
        <v>#REF!</v>
      </c>
      <c r="DL214" t="e">
        <f>AND(Confirmations!#REF!,"AAAAAH8cjnM=")</f>
        <v>#REF!</v>
      </c>
      <c r="DM214" t="e">
        <f>AND(Confirmations!#REF!,"AAAAAH8cjnQ=")</f>
        <v>#REF!</v>
      </c>
      <c r="DN214" t="e">
        <f>AND(Confirmations!#REF!,"AAAAAH8cjnU=")</f>
        <v>#REF!</v>
      </c>
      <c r="DO214" t="e">
        <f>AND(Confirmations!#REF!,"AAAAAH8cjnY=")</f>
        <v>#REF!</v>
      </c>
      <c r="DP214" t="e">
        <f>AND(Confirmations!#REF!,"AAAAAH8cjnc=")</f>
        <v>#REF!</v>
      </c>
      <c r="DQ214" t="e">
        <f>AND(Confirmations!#REF!,"AAAAAH8cjng=")</f>
        <v>#REF!</v>
      </c>
      <c r="DR214" t="e">
        <f>AND(Confirmations!#REF!,"AAAAAH8cjnk=")</f>
        <v>#REF!</v>
      </c>
      <c r="DS214" t="e">
        <f>AND(Confirmations!#REF!,"AAAAAH8cjno=")</f>
        <v>#REF!</v>
      </c>
      <c r="DT214" t="e">
        <f>AND(Confirmations!#REF!,"AAAAAH8cjns=")</f>
        <v>#REF!</v>
      </c>
      <c r="DU214" t="e">
        <f>AND(Confirmations!#REF!,"AAAAAH8cjnw=")</f>
        <v>#REF!</v>
      </c>
      <c r="DV214" t="e">
        <f>AND(Confirmations!#REF!,"AAAAAH8cjn0=")</f>
        <v>#REF!</v>
      </c>
      <c r="DW214" t="e">
        <f>AND(Confirmations!#REF!,"AAAAAH8cjn4=")</f>
        <v>#REF!</v>
      </c>
      <c r="DX214" t="e">
        <f>AND(Confirmations!#REF!,"AAAAAH8cjn8=")</f>
        <v>#REF!</v>
      </c>
      <c r="DY214" t="e">
        <f>AND(Confirmations!#REF!,"AAAAAH8cjoA=")</f>
        <v>#REF!</v>
      </c>
      <c r="DZ214" t="e">
        <f>IF(Confirmations!#REF!,"AAAAAH8cjoE=",0)</f>
        <v>#REF!</v>
      </c>
      <c r="EA214" t="e">
        <f>AND(Confirmations!#REF!,"AAAAAH8cjoI=")</f>
        <v>#REF!</v>
      </c>
      <c r="EB214" t="e">
        <f>AND(Confirmations!#REF!,"AAAAAH8cjoM=")</f>
        <v>#REF!</v>
      </c>
      <c r="EC214" t="e">
        <f>AND(Confirmations!#REF!,"AAAAAH8cjoQ=")</f>
        <v>#REF!</v>
      </c>
      <c r="ED214" t="e">
        <f>AND(Confirmations!#REF!,"AAAAAH8cjoU=")</f>
        <v>#REF!</v>
      </c>
      <c r="EE214" t="e">
        <f>AND(Confirmations!#REF!,"AAAAAH8cjoY=")</f>
        <v>#REF!</v>
      </c>
      <c r="EF214" t="e">
        <f>AND(Confirmations!#REF!,"AAAAAH8cjoc=")</f>
        <v>#REF!</v>
      </c>
      <c r="EG214" t="e">
        <f>AND(Confirmations!#REF!,"AAAAAH8cjog=")</f>
        <v>#REF!</v>
      </c>
      <c r="EH214" t="e">
        <f>AND(Confirmations!#REF!,"AAAAAH8cjok=")</f>
        <v>#REF!</v>
      </c>
      <c r="EI214" t="e">
        <f>AND(Confirmations!#REF!,"AAAAAH8cjoo=")</f>
        <v>#REF!</v>
      </c>
      <c r="EJ214" t="e">
        <f>AND(Confirmations!#REF!,"AAAAAH8cjos=")</f>
        <v>#REF!</v>
      </c>
      <c r="EK214" t="e">
        <f>AND(Confirmations!#REF!,"AAAAAH8cjow=")</f>
        <v>#REF!</v>
      </c>
      <c r="EL214" t="e">
        <f>AND(Confirmations!#REF!,"AAAAAH8cjo0=")</f>
        <v>#REF!</v>
      </c>
      <c r="EM214" t="e">
        <f>AND(Confirmations!#REF!,"AAAAAH8cjo4=")</f>
        <v>#REF!</v>
      </c>
      <c r="EN214" t="e">
        <f>AND(Confirmations!#REF!,"AAAAAH8cjo8=")</f>
        <v>#REF!</v>
      </c>
      <c r="EO214" t="e">
        <f>AND(Confirmations!#REF!,"AAAAAH8cjpA=")</f>
        <v>#REF!</v>
      </c>
      <c r="EP214" t="e">
        <f>AND(Confirmations!#REF!,"AAAAAH8cjpE=")</f>
        <v>#REF!</v>
      </c>
      <c r="EQ214" t="e">
        <f>AND(Confirmations!#REF!,"AAAAAH8cjpI=")</f>
        <v>#REF!</v>
      </c>
      <c r="ER214" t="e">
        <f>IF(Confirmations!#REF!,"AAAAAH8cjpM=",0)</f>
        <v>#REF!</v>
      </c>
      <c r="ES214" t="e">
        <f>AND(Confirmations!#REF!,"AAAAAH8cjpQ=")</f>
        <v>#REF!</v>
      </c>
      <c r="ET214" t="e">
        <f>AND(Confirmations!#REF!,"AAAAAH8cjpU=")</f>
        <v>#REF!</v>
      </c>
      <c r="EU214" t="e">
        <f>AND(Confirmations!#REF!,"AAAAAH8cjpY=")</f>
        <v>#REF!</v>
      </c>
      <c r="EV214" t="e">
        <f>AND(Confirmations!#REF!,"AAAAAH8cjpc=")</f>
        <v>#REF!</v>
      </c>
      <c r="EW214" t="e">
        <f>AND(Confirmations!#REF!,"AAAAAH8cjpg=")</f>
        <v>#REF!</v>
      </c>
      <c r="EX214" t="e">
        <f>AND(Confirmations!#REF!,"AAAAAH8cjpk=")</f>
        <v>#REF!</v>
      </c>
      <c r="EY214" t="e">
        <f>AND(Confirmations!#REF!,"AAAAAH8cjpo=")</f>
        <v>#REF!</v>
      </c>
      <c r="EZ214" t="e">
        <f>AND(Confirmations!#REF!,"AAAAAH8cjps=")</f>
        <v>#REF!</v>
      </c>
      <c r="FA214" t="e">
        <f>AND(Confirmations!#REF!,"AAAAAH8cjpw=")</f>
        <v>#REF!</v>
      </c>
      <c r="FB214" t="e">
        <f>AND(Confirmations!#REF!,"AAAAAH8cjp0=")</f>
        <v>#REF!</v>
      </c>
      <c r="FC214" t="e">
        <f>AND(Confirmations!#REF!,"AAAAAH8cjp4=")</f>
        <v>#REF!</v>
      </c>
      <c r="FD214" t="e">
        <f>AND(Confirmations!#REF!,"AAAAAH8cjp8=")</f>
        <v>#REF!</v>
      </c>
      <c r="FE214" t="e">
        <f>AND(Confirmations!#REF!,"AAAAAH8cjqA=")</f>
        <v>#REF!</v>
      </c>
      <c r="FF214" t="e">
        <f>AND(Confirmations!#REF!,"AAAAAH8cjqE=")</f>
        <v>#REF!</v>
      </c>
      <c r="FG214" t="e">
        <f>AND(Confirmations!#REF!,"AAAAAH8cjqI=")</f>
        <v>#REF!</v>
      </c>
      <c r="FH214" t="e">
        <f>AND(Confirmations!#REF!,"AAAAAH8cjqM=")</f>
        <v>#REF!</v>
      </c>
      <c r="FI214" t="e">
        <f>AND(Confirmations!#REF!,"AAAAAH8cjqQ=")</f>
        <v>#REF!</v>
      </c>
      <c r="FJ214" t="e">
        <f>IF(Confirmations!#REF!,"AAAAAH8cjqU=",0)</f>
        <v>#REF!</v>
      </c>
      <c r="FK214" t="e">
        <f>AND(Confirmations!#REF!,"AAAAAH8cjqY=")</f>
        <v>#REF!</v>
      </c>
      <c r="FL214" t="e">
        <f>AND(Confirmations!#REF!,"AAAAAH8cjqc=")</f>
        <v>#REF!</v>
      </c>
      <c r="FM214" t="e">
        <f>AND(Confirmations!#REF!,"AAAAAH8cjqg=")</f>
        <v>#REF!</v>
      </c>
      <c r="FN214" t="e">
        <f>AND(Confirmations!#REF!,"AAAAAH8cjqk=")</f>
        <v>#REF!</v>
      </c>
      <c r="FO214" t="e">
        <f>AND(Confirmations!#REF!,"AAAAAH8cjqo=")</f>
        <v>#REF!</v>
      </c>
      <c r="FP214" t="e">
        <f>AND(Confirmations!#REF!,"AAAAAH8cjqs=")</f>
        <v>#REF!</v>
      </c>
      <c r="FQ214" t="e">
        <f>AND(Confirmations!#REF!,"AAAAAH8cjqw=")</f>
        <v>#REF!</v>
      </c>
      <c r="FR214" t="e">
        <f>AND(Confirmations!#REF!,"AAAAAH8cjq0=")</f>
        <v>#REF!</v>
      </c>
      <c r="FS214" t="e">
        <f>AND(Confirmations!#REF!,"AAAAAH8cjq4=")</f>
        <v>#REF!</v>
      </c>
      <c r="FT214" t="e">
        <f>AND(Confirmations!#REF!,"AAAAAH8cjq8=")</f>
        <v>#REF!</v>
      </c>
      <c r="FU214" t="e">
        <f>AND(Confirmations!#REF!,"AAAAAH8cjrA=")</f>
        <v>#REF!</v>
      </c>
      <c r="FV214" t="e">
        <f>AND(Confirmations!#REF!,"AAAAAH8cjrE=")</f>
        <v>#REF!</v>
      </c>
      <c r="FW214" t="e">
        <f>AND(Confirmations!#REF!,"AAAAAH8cjrI=")</f>
        <v>#REF!</v>
      </c>
      <c r="FX214" t="e">
        <f>AND(Confirmations!#REF!,"AAAAAH8cjrM=")</f>
        <v>#REF!</v>
      </c>
      <c r="FY214" t="e">
        <f>AND(Confirmations!#REF!,"AAAAAH8cjrQ=")</f>
        <v>#REF!</v>
      </c>
      <c r="FZ214" t="e">
        <f>AND(Confirmations!#REF!,"AAAAAH8cjrU=")</f>
        <v>#REF!</v>
      </c>
      <c r="GA214" t="e">
        <f>AND(Confirmations!#REF!,"AAAAAH8cjrY=")</f>
        <v>#REF!</v>
      </c>
      <c r="GB214" t="e">
        <f>IF(Confirmations!#REF!,"AAAAAH8cjrc=",0)</f>
        <v>#REF!</v>
      </c>
      <c r="GC214" t="e">
        <f>AND(Confirmations!#REF!,"AAAAAH8cjrg=")</f>
        <v>#REF!</v>
      </c>
      <c r="GD214" t="e">
        <f>AND(Confirmations!#REF!,"AAAAAH8cjrk=")</f>
        <v>#REF!</v>
      </c>
      <c r="GE214" t="e">
        <f>AND(Confirmations!#REF!,"AAAAAH8cjro=")</f>
        <v>#REF!</v>
      </c>
      <c r="GF214" t="e">
        <f>AND(Confirmations!#REF!,"AAAAAH8cjrs=")</f>
        <v>#REF!</v>
      </c>
      <c r="GG214" t="e">
        <f>AND(Confirmations!#REF!,"AAAAAH8cjrw=")</f>
        <v>#REF!</v>
      </c>
      <c r="GH214" t="e">
        <f>AND(Confirmations!#REF!,"AAAAAH8cjr0=")</f>
        <v>#REF!</v>
      </c>
      <c r="GI214" t="e">
        <f>AND(Confirmations!#REF!,"AAAAAH8cjr4=")</f>
        <v>#REF!</v>
      </c>
      <c r="GJ214" t="e">
        <f>AND(Confirmations!#REF!,"AAAAAH8cjr8=")</f>
        <v>#REF!</v>
      </c>
      <c r="GK214" t="e">
        <f>AND(Confirmations!#REF!,"AAAAAH8cjsA=")</f>
        <v>#REF!</v>
      </c>
      <c r="GL214" t="e">
        <f>AND(Confirmations!#REF!,"AAAAAH8cjsE=")</f>
        <v>#REF!</v>
      </c>
      <c r="GM214" t="e">
        <f>AND(Confirmations!#REF!,"AAAAAH8cjsI=")</f>
        <v>#REF!</v>
      </c>
      <c r="GN214" t="e">
        <f>AND(Confirmations!#REF!,"AAAAAH8cjsM=")</f>
        <v>#REF!</v>
      </c>
      <c r="GO214" t="e">
        <f>AND(Confirmations!#REF!,"AAAAAH8cjsQ=")</f>
        <v>#REF!</v>
      </c>
      <c r="GP214" t="e">
        <f>AND(Confirmations!#REF!,"AAAAAH8cjsU=")</f>
        <v>#REF!</v>
      </c>
      <c r="GQ214" t="e">
        <f>AND(Confirmations!#REF!,"AAAAAH8cjsY=")</f>
        <v>#REF!</v>
      </c>
      <c r="GR214" t="e">
        <f>AND(Confirmations!#REF!,"AAAAAH8cjsc=")</f>
        <v>#REF!</v>
      </c>
      <c r="GS214" t="e">
        <f>AND(Confirmations!#REF!,"AAAAAH8cjsg=")</f>
        <v>#REF!</v>
      </c>
      <c r="GT214" t="e">
        <f>IF(Confirmations!#REF!,"AAAAAH8cjsk=",0)</f>
        <v>#REF!</v>
      </c>
      <c r="GU214" t="e">
        <f>AND(Confirmations!#REF!,"AAAAAH8cjso=")</f>
        <v>#REF!</v>
      </c>
      <c r="GV214" t="e">
        <f>AND(Confirmations!#REF!,"AAAAAH8cjss=")</f>
        <v>#REF!</v>
      </c>
      <c r="GW214" t="e">
        <f>AND(Confirmations!#REF!,"AAAAAH8cjsw=")</f>
        <v>#REF!</v>
      </c>
      <c r="GX214" t="e">
        <f>AND(Confirmations!#REF!,"AAAAAH8cjs0=")</f>
        <v>#REF!</v>
      </c>
      <c r="GY214" t="e">
        <f>AND(Confirmations!#REF!,"AAAAAH8cjs4=")</f>
        <v>#REF!</v>
      </c>
      <c r="GZ214" t="e">
        <f>AND(Confirmations!#REF!,"AAAAAH8cjs8=")</f>
        <v>#REF!</v>
      </c>
      <c r="HA214" t="e">
        <f>AND(Confirmations!#REF!,"AAAAAH8cjtA=")</f>
        <v>#REF!</v>
      </c>
      <c r="HB214" t="e">
        <f>AND(Confirmations!#REF!,"AAAAAH8cjtE=")</f>
        <v>#REF!</v>
      </c>
      <c r="HC214" t="e">
        <f>AND(Confirmations!#REF!,"AAAAAH8cjtI=")</f>
        <v>#REF!</v>
      </c>
      <c r="HD214" t="e">
        <f>AND(Confirmations!#REF!,"AAAAAH8cjtM=")</f>
        <v>#REF!</v>
      </c>
      <c r="HE214" t="e">
        <f>AND(Confirmations!#REF!,"AAAAAH8cjtQ=")</f>
        <v>#REF!</v>
      </c>
      <c r="HF214" t="e">
        <f>AND(Confirmations!#REF!,"AAAAAH8cjtU=")</f>
        <v>#REF!</v>
      </c>
      <c r="HG214" t="e">
        <f>AND(Confirmations!#REF!,"AAAAAH8cjtY=")</f>
        <v>#REF!</v>
      </c>
      <c r="HH214" t="e">
        <f>AND(Confirmations!#REF!,"AAAAAH8cjtc=")</f>
        <v>#REF!</v>
      </c>
      <c r="HI214" t="e">
        <f>AND(Confirmations!#REF!,"AAAAAH8cjtg=")</f>
        <v>#REF!</v>
      </c>
      <c r="HJ214" t="e">
        <f>AND(Confirmations!#REF!,"AAAAAH8cjtk=")</f>
        <v>#REF!</v>
      </c>
      <c r="HK214" t="e">
        <f>AND(Confirmations!#REF!,"AAAAAH8cjto=")</f>
        <v>#REF!</v>
      </c>
      <c r="HL214" t="e">
        <f>IF(Confirmations!#REF!,"AAAAAH8cjts=",0)</f>
        <v>#REF!</v>
      </c>
      <c r="HM214" t="e">
        <f>AND(Confirmations!#REF!,"AAAAAH8cjtw=")</f>
        <v>#REF!</v>
      </c>
      <c r="HN214" t="e">
        <f>AND(Confirmations!#REF!,"AAAAAH8cjt0=")</f>
        <v>#REF!</v>
      </c>
      <c r="HO214" t="e">
        <f>AND(Confirmations!#REF!,"AAAAAH8cjt4=")</f>
        <v>#REF!</v>
      </c>
      <c r="HP214" t="e">
        <f>AND(Confirmations!#REF!,"AAAAAH8cjt8=")</f>
        <v>#REF!</v>
      </c>
      <c r="HQ214" t="e">
        <f>AND(Confirmations!#REF!,"AAAAAH8cjuA=")</f>
        <v>#REF!</v>
      </c>
      <c r="HR214" t="e">
        <f>AND(Confirmations!#REF!,"AAAAAH8cjuE=")</f>
        <v>#REF!</v>
      </c>
      <c r="HS214" t="e">
        <f>AND(Confirmations!#REF!,"AAAAAH8cjuI=")</f>
        <v>#REF!</v>
      </c>
      <c r="HT214" t="e">
        <f>AND(Confirmations!#REF!,"AAAAAH8cjuM=")</f>
        <v>#REF!</v>
      </c>
      <c r="HU214" t="e">
        <f>AND(Confirmations!#REF!,"AAAAAH8cjuQ=")</f>
        <v>#REF!</v>
      </c>
      <c r="HV214" t="e">
        <f>AND(Confirmations!#REF!,"AAAAAH8cjuU=")</f>
        <v>#REF!</v>
      </c>
      <c r="HW214" t="e">
        <f>AND(Confirmations!#REF!,"AAAAAH8cjuY=")</f>
        <v>#REF!</v>
      </c>
      <c r="HX214" t="e">
        <f>AND(Confirmations!#REF!,"AAAAAH8cjuc=")</f>
        <v>#REF!</v>
      </c>
      <c r="HY214" t="e">
        <f>AND(Confirmations!#REF!,"AAAAAH8cjug=")</f>
        <v>#REF!</v>
      </c>
      <c r="HZ214" t="e">
        <f>AND(Confirmations!#REF!,"AAAAAH8cjuk=")</f>
        <v>#REF!</v>
      </c>
      <c r="IA214" t="e">
        <f>AND(Confirmations!#REF!,"AAAAAH8cjuo=")</f>
        <v>#REF!</v>
      </c>
      <c r="IB214" t="e">
        <f>AND(Confirmations!#REF!,"AAAAAH8cjus=")</f>
        <v>#REF!</v>
      </c>
      <c r="IC214" t="e">
        <f>AND(Confirmations!#REF!,"AAAAAH8cjuw=")</f>
        <v>#REF!</v>
      </c>
      <c r="ID214">
        <f>IF(Confirmations!37:37,"AAAAAH8cju0=",0)</f>
        <v>0</v>
      </c>
      <c r="IE214" t="e">
        <f>AND(Confirmations!A37,"AAAAAH8cju4=")</f>
        <v>#VALUE!</v>
      </c>
      <c r="IF214" t="e">
        <f>AND(Confirmations!B37,"AAAAAH8cju8=")</f>
        <v>#VALUE!</v>
      </c>
      <c r="IG214" t="e">
        <f>AND(Confirmations!C37,"AAAAAH8cjvA=")</f>
        <v>#VALUE!</v>
      </c>
      <c r="IH214" t="e">
        <f>AND(Confirmations!D37,"AAAAAH8cjvE=")</f>
        <v>#VALUE!</v>
      </c>
      <c r="II214" t="e">
        <f>AND(Confirmations!E37,"AAAAAH8cjvI=")</f>
        <v>#VALUE!</v>
      </c>
      <c r="IJ214" t="e">
        <f>AND(Confirmations!F37,"AAAAAH8cjvM=")</f>
        <v>#VALUE!</v>
      </c>
      <c r="IK214" t="e">
        <f>AND(Confirmations!G37,"AAAAAH8cjvQ=")</f>
        <v>#VALUE!</v>
      </c>
      <c r="IL214" t="e">
        <f>AND(Confirmations!H37,"AAAAAH8cjvU=")</f>
        <v>#VALUE!</v>
      </c>
      <c r="IM214" t="e">
        <f>AND(Confirmations!I37,"AAAAAH8cjvY=")</f>
        <v>#VALUE!</v>
      </c>
      <c r="IN214" t="e">
        <f>AND(Confirmations!#REF!,"AAAAAH8cjvc=")</f>
        <v>#REF!</v>
      </c>
      <c r="IO214" t="e">
        <f>AND(Confirmations!#REF!,"AAAAAH8cjvg=")</f>
        <v>#REF!</v>
      </c>
      <c r="IP214" t="e">
        <f>AND(Confirmations!#REF!,"AAAAAH8cjvk=")</f>
        <v>#REF!</v>
      </c>
      <c r="IQ214" t="e">
        <f>AND(Confirmations!#REF!,"AAAAAH8cjvo=")</f>
        <v>#REF!</v>
      </c>
      <c r="IR214" t="e">
        <f>AND(Confirmations!J37,"AAAAAH8cjvs=")</f>
        <v>#VALUE!</v>
      </c>
      <c r="IS214" t="e">
        <f>AND(Confirmations!K37,"AAAAAH8cjvw=")</f>
        <v>#VALUE!</v>
      </c>
      <c r="IT214" t="e">
        <f>AND(Confirmations!L37,"AAAAAH8cjv0=")</f>
        <v>#VALUE!</v>
      </c>
      <c r="IU214" t="e">
        <f>AND(Confirmations!M37,"AAAAAH8cjv4=")</f>
        <v>#VALUE!</v>
      </c>
      <c r="IV214">
        <f>IF(Confirmations!39:39,"AAAAAH8cjv8=",0)</f>
        <v>0</v>
      </c>
    </row>
    <row r="215" spans="1:256" x14ac:dyDescent="0.2">
      <c r="A215" t="e">
        <f>AND(Confirmations!#REF!,"AAAAAHp2/QA=")</f>
        <v>#REF!</v>
      </c>
      <c r="B215" t="e">
        <f>AND(Confirmations!A39,"AAAAAHp2/QE=")</f>
        <v>#VALUE!</v>
      </c>
      <c r="C215" t="e">
        <f>AND(Confirmations!B39,"AAAAAHp2/QI=")</f>
        <v>#VALUE!</v>
      </c>
      <c r="D215" t="e">
        <f>AND(Confirmations!C39,"AAAAAHp2/QM=")</f>
        <v>#VALUE!</v>
      </c>
      <c r="E215" t="e">
        <f>AND(Confirmations!D39,"AAAAAHp2/QQ=")</f>
        <v>#VALUE!</v>
      </c>
      <c r="F215" t="e">
        <f>AND(Confirmations!E39,"AAAAAHp2/QU=")</f>
        <v>#VALUE!</v>
      </c>
      <c r="G215" t="e">
        <f>AND(Confirmations!F39,"AAAAAHp2/QY=")</f>
        <v>#VALUE!</v>
      </c>
      <c r="H215" t="e">
        <f>AND(Confirmations!G39,"AAAAAHp2/Qc=")</f>
        <v>#VALUE!</v>
      </c>
      <c r="I215" t="e">
        <f>AND(Confirmations!H39,"AAAAAHp2/Qg=")</f>
        <v>#VALUE!</v>
      </c>
      <c r="J215" t="e">
        <f>AND(Confirmations!I39,"AAAAAHp2/Qk=")</f>
        <v>#VALUE!</v>
      </c>
      <c r="K215" t="e">
        <f>AND(Confirmations!#REF!,"AAAAAHp2/Qo=")</f>
        <v>#REF!</v>
      </c>
      <c r="L215" t="e">
        <f>AND(Confirmations!#REF!,"AAAAAHp2/Qs=")</f>
        <v>#REF!</v>
      </c>
      <c r="M215" t="e">
        <f>AND(Confirmations!#REF!,"AAAAAHp2/Qw=")</f>
        <v>#REF!</v>
      </c>
      <c r="N215" t="e">
        <f>AND(Confirmations!#REF!,"AAAAAHp2/Q0=")</f>
        <v>#REF!</v>
      </c>
      <c r="O215" t="e">
        <f>AND(Confirmations!J39,"AAAAAHp2/Q4=")</f>
        <v>#VALUE!</v>
      </c>
      <c r="P215" t="e">
        <f>AND(Confirmations!K39,"AAAAAHp2/Q8=")</f>
        <v>#VALUE!</v>
      </c>
      <c r="Q215" t="e">
        <f>AND(Confirmations!L39,"AAAAAHp2/RA=")</f>
        <v>#VALUE!</v>
      </c>
      <c r="R215" t="e">
        <f>IF(Confirmations!#REF!,"AAAAAHp2/RE=",0)</f>
        <v>#REF!</v>
      </c>
      <c r="S215" t="e">
        <f>AND(Confirmations!#REF!,"AAAAAHp2/RI=")</f>
        <v>#REF!</v>
      </c>
      <c r="T215" t="e">
        <f>AND(Confirmations!#REF!,"AAAAAHp2/RM=")</f>
        <v>#REF!</v>
      </c>
      <c r="U215" t="e">
        <f>AND(Confirmations!#REF!,"AAAAAHp2/RQ=")</f>
        <v>#REF!</v>
      </c>
      <c r="V215" t="e">
        <f>AND(Confirmations!#REF!,"AAAAAHp2/RU=")</f>
        <v>#REF!</v>
      </c>
      <c r="W215" t="e">
        <f>AND(Confirmations!#REF!,"AAAAAHp2/RY=")</f>
        <v>#REF!</v>
      </c>
      <c r="X215" t="e">
        <f>AND(Confirmations!#REF!,"AAAAAHp2/Rc=")</f>
        <v>#REF!</v>
      </c>
      <c r="Y215" t="e">
        <f>AND(Confirmations!#REF!,"AAAAAHp2/Rg=")</f>
        <v>#REF!</v>
      </c>
      <c r="Z215" t="e">
        <f>AND(Confirmations!#REF!,"AAAAAHp2/Rk=")</f>
        <v>#REF!</v>
      </c>
      <c r="AA215" t="e">
        <f>AND(Confirmations!#REF!,"AAAAAHp2/Ro=")</f>
        <v>#REF!</v>
      </c>
      <c r="AB215" t="e">
        <f>AND(Confirmations!#REF!,"AAAAAHp2/Rs=")</f>
        <v>#REF!</v>
      </c>
      <c r="AC215" t="e">
        <f>AND(Confirmations!#REF!,"AAAAAHp2/Rw=")</f>
        <v>#REF!</v>
      </c>
      <c r="AD215" t="e">
        <f>AND(Confirmations!#REF!,"AAAAAHp2/R0=")</f>
        <v>#REF!</v>
      </c>
      <c r="AE215" t="e">
        <f>AND(Confirmations!#REF!,"AAAAAHp2/R4=")</f>
        <v>#REF!</v>
      </c>
      <c r="AF215" t="e">
        <f>AND(Confirmations!#REF!,"AAAAAHp2/R8=")</f>
        <v>#REF!</v>
      </c>
      <c r="AG215" t="e">
        <f>AND(Confirmations!#REF!,"AAAAAHp2/SA=")</f>
        <v>#REF!</v>
      </c>
      <c r="AH215" t="e">
        <f>AND(Confirmations!#REF!,"AAAAAHp2/SE=")</f>
        <v>#REF!</v>
      </c>
      <c r="AI215" t="e">
        <f>AND(Confirmations!#REF!,"AAAAAHp2/SI=")</f>
        <v>#REF!</v>
      </c>
      <c r="AJ215">
        <f>IF(Confirmations!40:40,"AAAAAHp2/SM=",0)</f>
        <v>0</v>
      </c>
      <c r="AK215" t="e">
        <f>AND(Confirmations!#REF!,"AAAAAHp2/SQ=")</f>
        <v>#REF!</v>
      </c>
      <c r="AL215" t="e">
        <f>AND(Confirmations!A40,"AAAAAHp2/SU=")</f>
        <v>#VALUE!</v>
      </c>
      <c r="AM215" t="e">
        <f>AND(Confirmations!B40,"AAAAAHp2/SY=")</f>
        <v>#VALUE!</v>
      </c>
      <c r="AN215" t="e">
        <f>AND(Confirmations!C40,"AAAAAHp2/Sc=")</f>
        <v>#VALUE!</v>
      </c>
      <c r="AO215" t="e">
        <f>AND(Confirmations!D40,"AAAAAHp2/Sg=")</f>
        <v>#VALUE!</v>
      </c>
      <c r="AP215" t="e">
        <f>AND(Confirmations!E40,"AAAAAHp2/Sk=")</f>
        <v>#VALUE!</v>
      </c>
      <c r="AQ215" t="e">
        <f>AND(Confirmations!F40,"AAAAAHp2/So=")</f>
        <v>#VALUE!</v>
      </c>
      <c r="AR215" t="e">
        <f>AND(Confirmations!G40,"AAAAAHp2/Ss=")</f>
        <v>#VALUE!</v>
      </c>
      <c r="AS215" t="e">
        <f>AND(Confirmations!H40,"AAAAAHp2/Sw=")</f>
        <v>#VALUE!</v>
      </c>
      <c r="AT215" t="e">
        <f>AND(Confirmations!I40,"AAAAAHp2/S0=")</f>
        <v>#VALUE!</v>
      </c>
      <c r="AU215" t="e">
        <f>AND(Confirmations!#REF!,"AAAAAHp2/S4=")</f>
        <v>#REF!</v>
      </c>
      <c r="AV215" t="e">
        <f>AND(Confirmations!#REF!,"AAAAAHp2/S8=")</f>
        <v>#REF!</v>
      </c>
      <c r="AW215" t="e">
        <f>AND(Confirmations!#REF!,"AAAAAHp2/TA=")</f>
        <v>#REF!</v>
      </c>
      <c r="AX215" t="e">
        <f>AND(Confirmations!#REF!,"AAAAAHp2/TE=")</f>
        <v>#REF!</v>
      </c>
      <c r="AY215" t="e">
        <f>AND(Confirmations!J40,"AAAAAHp2/TI=")</f>
        <v>#VALUE!</v>
      </c>
      <c r="AZ215" t="e">
        <f>AND(Confirmations!K40,"AAAAAHp2/TM=")</f>
        <v>#VALUE!</v>
      </c>
      <c r="BA215" t="e">
        <f>AND(Confirmations!L40,"AAAAAHp2/TQ=")</f>
        <v>#VALUE!</v>
      </c>
      <c r="BB215">
        <f>IF(Confirmations!41:41,"AAAAAHp2/TU=",0)</f>
        <v>0</v>
      </c>
      <c r="BC215" t="e">
        <f>AND(Confirmations!#REF!,"AAAAAHp2/TY=")</f>
        <v>#REF!</v>
      </c>
      <c r="BD215" t="e">
        <f>AND(Confirmations!A41,"AAAAAHp2/Tc=")</f>
        <v>#VALUE!</v>
      </c>
      <c r="BE215" t="e">
        <f>AND(Confirmations!B41,"AAAAAHp2/Tg=")</f>
        <v>#VALUE!</v>
      </c>
      <c r="BF215" t="e">
        <f>AND(Confirmations!C41,"AAAAAHp2/Tk=")</f>
        <v>#VALUE!</v>
      </c>
      <c r="BG215" t="e">
        <f>AND(Confirmations!D41,"AAAAAHp2/To=")</f>
        <v>#VALUE!</v>
      </c>
      <c r="BH215" t="e">
        <f>AND(Confirmations!E41,"AAAAAHp2/Ts=")</f>
        <v>#VALUE!</v>
      </c>
      <c r="BI215" t="e">
        <f>AND(Confirmations!F41,"AAAAAHp2/Tw=")</f>
        <v>#VALUE!</v>
      </c>
      <c r="BJ215" t="e">
        <f>AND(Confirmations!G41,"AAAAAHp2/T0=")</f>
        <v>#VALUE!</v>
      </c>
      <c r="BK215" t="e">
        <f>AND(Confirmations!H41,"AAAAAHp2/T4=")</f>
        <v>#VALUE!</v>
      </c>
      <c r="BL215" t="e">
        <f>AND(Confirmations!I41,"AAAAAHp2/T8=")</f>
        <v>#VALUE!</v>
      </c>
      <c r="BM215" t="e">
        <f>AND(Confirmations!#REF!,"AAAAAHp2/UA=")</f>
        <v>#REF!</v>
      </c>
      <c r="BN215" t="e">
        <f>AND(Confirmations!#REF!,"AAAAAHp2/UE=")</f>
        <v>#REF!</v>
      </c>
      <c r="BO215" t="e">
        <f>AND(Confirmations!#REF!,"AAAAAHp2/UI=")</f>
        <v>#REF!</v>
      </c>
      <c r="BP215" t="e">
        <f>AND(Confirmations!#REF!,"AAAAAHp2/UM=")</f>
        <v>#REF!</v>
      </c>
      <c r="BQ215" t="e">
        <f>AND(Confirmations!J41,"AAAAAHp2/UQ=")</f>
        <v>#VALUE!</v>
      </c>
      <c r="BR215" t="e">
        <f>AND(Confirmations!K41,"AAAAAHp2/UU=")</f>
        <v>#VALUE!</v>
      </c>
      <c r="BS215" t="e">
        <f>AND(Confirmations!L41,"AAAAAHp2/UY=")</f>
        <v>#VALUE!</v>
      </c>
      <c r="BT215">
        <f>IF(Confirmations!42:42,"AAAAAHp2/Uc=",0)</f>
        <v>0</v>
      </c>
      <c r="BU215" t="e">
        <f>AND(Confirmations!#REF!,"AAAAAHp2/Ug=")</f>
        <v>#REF!</v>
      </c>
      <c r="BV215" t="e">
        <f>AND(Confirmations!A42,"AAAAAHp2/Uk=")</f>
        <v>#VALUE!</v>
      </c>
      <c r="BW215" t="e">
        <f>AND(Confirmations!B42,"AAAAAHp2/Uo=")</f>
        <v>#VALUE!</v>
      </c>
      <c r="BX215" t="e">
        <f>AND(Confirmations!C42,"AAAAAHp2/Us=")</f>
        <v>#VALUE!</v>
      </c>
      <c r="BY215" t="e">
        <f>AND(Confirmations!D42,"AAAAAHp2/Uw=")</f>
        <v>#VALUE!</v>
      </c>
      <c r="BZ215" t="e">
        <f>AND(Confirmations!E42,"AAAAAHp2/U0=")</f>
        <v>#VALUE!</v>
      </c>
      <c r="CA215" t="e">
        <f>AND(Confirmations!F42,"AAAAAHp2/U4=")</f>
        <v>#VALUE!</v>
      </c>
      <c r="CB215" t="e">
        <f>AND(Confirmations!G42,"AAAAAHp2/U8=")</f>
        <v>#VALUE!</v>
      </c>
      <c r="CC215" t="e">
        <f>AND(Confirmations!H42,"AAAAAHp2/VA=")</f>
        <v>#VALUE!</v>
      </c>
      <c r="CD215" t="e">
        <f>AND(Confirmations!I42,"AAAAAHp2/VE=")</f>
        <v>#VALUE!</v>
      </c>
      <c r="CE215" t="e">
        <f>AND(Confirmations!#REF!,"AAAAAHp2/VI=")</f>
        <v>#REF!</v>
      </c>
      <c r="CF215" t="e">
        <f>AND(Confirmations!#REF!,"AAAAAHp2/VM=")</f>
        <v>#REF!</v>
      </c>
      <c r="CG215" t="e">
        <f>AND(Confirmations!#REF!,"AAAAAHp2/VQ=")</f>
        <v>#REF!</v>
      </c>
      <c r="CH215" t="e">
        <f>AND(Confirmations!#REF!,"AAAAAHp2/VU=")</f>
        <v>#REF!</v>
      </c>
      <c r="CI215" t="e">
        <f>AND(Confirmations!J42,"AAAAAHp2/VY=")</f>
        <v>#VALUE!</v>
      </c>
      <c r="CJ215" t="e">
        <f>AND(Confirmations!K42,"AAAAAHp2/Vc=")</f>
        <v>#VALUE!</v>
      </c>
      <c r="CK215" t="e">
        <f>AND(Confirmations!L42,"AAAAAHp2/Vg=")</f>
        <v>#VALUE!</v>
      </c>
      <c r="CL215">
        <f>IF(Confirmations!43:43,"AAAAAHp2/Vk=",0)</f>
        <v>0</v>
      </c>
      <c r="CM215" t="e">
        <f>AND(Confirmations!#REF!,"AAAAAHp2/Vo=")</f>
        <v>#REF!</v>
      </c>
      <c r="CN215" t="e">
        <f>AND(Confirmations!A43,"AAAAAHp2/Vs=")</f>
        <v>#VALUE!</v>
      </c>
      <c r="CO215" t="e">
        <f>AND(Confirmations!B43,"AAAAAHp2/Vw=")</f>
        <v>#VALUE!</v>
      </c>
      <c r="CP215" t="e">
        <f>AND(Confirmations!C43,"AAAAAHp2/V0=")</f>
        <v>#VALUE!</v>
      </c>
      <c r="CQ215" t="e">
        <f>AND(Confirmations!D43,"AAAAAHp2/V4=")</f>
        <v>#VALUE!</v>
      </c>
      <c r="CR215" t="e">
        <f>AND(Confirmations!E43,"AAAAAHp2/V8=")</f>
        <v>#VALUE!</v>
      </c>
      <c r="CS215" t="e">
        <f>AND(Confirmations!F43,"AAAAAHp2/WA=")</f>
        <v>#VALUE!</v>
      </c>
      <c r="CT215" t="e">
        <f>AND(Confirmations!G43,"AAAAAHp2/WE=")</f>
        <v>#VALUE!</v>
      </c>
      <c r="CU215" t="e">
        <f>AND(Confirmations!H43,"AAAAAHp2/WI=")</f>
        <v>#VALUE!</v>
      </c>
      <c r="CV215" t="e">
        <f>AND(Confirmations!I43,"AAAAAHp2/WM=")</f>
        <v>#VALUE!</v>
      </c>
      <c r="CW215" t="e">
        <f>AND(Confirmations!#REF!,"AAAAAHp2/WQ=")</f>
        <v>#REF!</v>
      </c>
      <c r="CX215" t="e">
        <f>AND(Confirmations!#REF!,"AAAAAHp2/WU=")</f>
        <v>#REF!</v>
      </c>
      <c r="CY215" t="e">
        <f>AND(Confirmations!#REF!,"AAAAAHp2/WY=")</f>
        <v>#REF!</v>
      </c>
      <c r="CZ215" t="e">
        <f>AND(Confirmations!#REF!,"AAAAAHp2/Wc=")</f>
        <v>#REF!</v>
      </c>
      <c r="DA215" t="e">
        <f>AND(Confirmations!J43,"AAAAAHp2/Wg=")</f>
        <v>#VALUE!</v>
      </c>
      <c r="DB215" t="e">
        <f>AND(Confirmations!K43,"AAAAAHp2/Wk=")</f>
        <v>#VALUE!</v>
      </c>
      <c r="DC215" t="e">
        <f>AND(Confirmations!L43,"AAAAAHp2/Wo=")</f>
        <v>#VALUE!</v>
      </c>
      <c r="DD215">
        <f>IF(Confirmations!44:44,"AAAAAHp2/Ws=",0)</f>
        <v>0</v>
      </c>
      <c r="DE215" t="e">
        <f>AND(Confirmations!#REF!,"AAAAAHp2/Ww=")</f>
        <v>#REF!</v>
      </c>
      <c r="DF215" t="e">
        <f>AND(Confirmations!A44,"AAAAAHp2/W0=")</f>
        <v>#VALUE!</v>
      </c>
      <c r="DG215" t="e">
        <f>AND(Confirmations!B44,"AAAAAHp2/W4=")</f>
        <v>#VALUE!</v>
      </c>
      <c r="DH215" t="e">
        <f>AND(Confirmations!C44,"AAAAAHp2/W8=")</f>
        <v>#VALUE!</v>
      </c>
      <c r="DI215" t="e">
        <f>AND(Confirmations!D44,"AAAAAHp2/XA=")</f>
        <v>#VALUE!</v>
      </c>
      <c r="DJ215" t="e">
        <f>AND(Confirmations!E44,"AAAAAHp2/XE=")</f>
        <v>#VALUE!</v>
      </c>
      <c r="DK215" t="e">
        <f>AND(Confirmations!F44,"AAAAAHp2/XI=")</f>
        <v>#VALUE!</v>
      </c>
      <c r="DL215" t="e">
        <f>AND(Confirmations!G44,"AAAAAHp2/XM=")</f>
        <v>#VALUE!</v>
      </c>
      <c r="DM215" t="e">
        <f>AND(Confirmations!H44,"AAAAAHp2/XQ=")</f>
        <v>#VALUE!</v>
      </c>
      <c r="DN215" t="e">
        <f>AND(Confirmations!I44,"AAAAAHp2/XU=")</f>
        <v>#VALUE!</v>
      </c>
      <c r="DO215" t="e">
        <f>AND(Confirmations!#REF!,"AAAAAHp2/XY=")</f>
        <v>#REF!</v>
      </c>
      <c r="DP215" t="e">
        <f>AND(Confirmations!#REF!,"AAAAAHp2/Xc=")</f>
        <v>#REF!</v>
      </c>
      <c r="DQ215" t="e">
        <f>AND(Confirmations!#REF!,"AAAAAHp2/Xg=")</f>
        <v>#REF!</v>
      </c>
      <c r="DR215" t="e">
        <f>AND(Confirmations!#REF!,"AAAAAHp2/Xk=")</f>
        <v>#REF!</v>
      </c>
      <c r="DS215" t="e">
        <f>AND(Confirmations!J44,"AAAAAHp2/Xo=")</f>
        <v>#VALUE!</v>
      </c>
      <c r="DT215" t="e">
        <f>AND(Confirmations!K44,"AAAAAHp2/Xs=")</f>
        <v>#VALUE!</v>
      </c>
      <c r="DU215" t="e">
        <f>AND(Confirmations!L44,"AAAAAHp2/Xw=")</f>
        <v>#VALUE!</v>
      </c>
      <c r="DV215" t="e">
        <f>IF(Confirmations!#REF!,"AAAAAHp2/X0=",0)</f>
        <v>#REF!</v>
      </c>
      <c r="DW215" t="e">
        <f>AND(Confirmations!#REF!,"AAAAAHp2/X4=")</f>
        <v>#REF!</v>
      </c>
      <c r="DX215" t="e">
        <f>AND(Confirmations!#REF!,"AAAAAHp2/X8=")</f>
        <v>#REF!</v>
      </c>
      <c r="DY215" t="e">
        <f>AND(Confirmations!#REF!,"AAAAAHp2/YA=")</f>
        <v>#REF!</v>
      </c>
      <c r="DZ215" t="e">
        <f>AND(Confirmations!#REF!,"AAAAAHp2/YE=")</f>
        <v>#REF!</v>
      </c>
      <c r="EA215" t="e">
        <f>AND(Confirmations!#REF!,"AAAAAHp2/YI=")</f>
        <v>#REF!</v>
      </c>
      <c r="EB215" t="e">
        <f>AND(Confirmations!#REF!,"AAAAAHp2/YM=")</f>
        <v>#REF!</v>
      </c>
      <c r="EC215" t="e">
        <f>AND(Confirmations!#REF!,"AAAAAHp2/YQ=")</f>
        <v>#REF!</v>
      </c>
      <c r="ED215" t="e">
        <f>AND(Confirmations!#REF!,"AAAAAHp2/YU=")</f>
        <v>#REF!</v>
      </c>
      <c r="EE215" t="e">
        <f>AND(Confirmations!#REF!,"AAAAAHp2/YY=")</f>
        <v>#REF!</v>
      </c>
      <c r="EF215" t="e">
        <f>AND(Confirmations!#REF!,"AAAAAHp2/Yc=")</f>
        <v>#REF!</v>
      </c>
      <c r="EG215" t="e">
        <f>AND(Confirmations!#REF!,"AAAAAHp2/Yg=")</f>
        <v>#REF!</v>
      </c>
      <c r="EH215" t="e">
        <f>AND(Confirmations!#REF!,"AAAAAHp2/Yk=")</f>
        <v>#REF!</v>
      </c>
      <c r="EI215" t="e">
        <f>AND(Confirmations!#REF!,"AAAAAHp2/Yo=")</f>
        <v>#REF!</v>
      </c>
      <c r="EJ215" t="e">
        <f>AND(Confirmations!#REF!,"AAAAAHp2/Ys=")</f>
        <v>#REF!</v>
      </c>
      <c r="EK215" t="e">
        <f>AND(Confirmations!#REF!,"AAAAAHp2/Yw=")</f>
        <v>#REF!</v>
      </c>
      <c r="EL215" t="e">
        <f>AND(Confirmations!#REF!,"AAAAAHp2/Y0=")</f>
        <v>#REF!</v>
      </c>
      <c r="EM215" t="e">
        <f>AND(Confirmations!#REF!,"AAAAAHp2/Y4=")</f>
        <v>#REF!</v>
      </c>
      <c r="EN215">
        <f>IF(Confirmations!45:45,"AAAAAHp2/Y8=",0)</f>
        <v>0</v>
      </c>
      <c r="EO215" t="e">
        <f>AND(Confirmations!#REF!,"AAAAAHp2/ZA=")</f>
        <v>#REF!</v>
      </c>
      <c r="EP215" t="e">
        <f>AND(Confirmations!A45,"AAAAAHp2/ZE=")</f>
        <v>#VALUE!</v>
      </c>
      <c r="EQ215" t="e">
        <f>AND(Confirmations!B45,"AAAAAHp2/ZI=")</f>
        <v>#VALUE!</v>
      </c>
      <c r="ER215" t="e">
        <f>AND(Confirmations!C45,"AAAAAHp2/ZM=")</f>
        <v>#VALUE!</v>
      </c>
      <c r="ES215" t="e">
        <f>AND(Confirmations!D45,"AAAAAHp2/ZQ=")</f>
        <v>#VALUE!</v>
      </c>
      <c r="ET215" t="e">
        <f>AND(Confirmations!E45,"AAAAAHp2/ZU=")</f>
        <v>#VALUE!</v>
      </c>
      <c r="EU215" t="e">
        <f>AND(Confirmations!F45,"AAAAAHp2/ZY=")</f>
        <v>#VALUE!</v>
      </c>
      <c r="EV215" t="e">
        <f>AND(Confirmations!G45,"AAAAAHp2/Zc=")</f>
        <v>#VALUE!</v>
      </c>
      <c r="EW215" t="e">
        <f>AND(Confirmations!H45,"AAAAAHp2/Zg=")</f>
        <v>#VALUE!</v>
      </c>
      <c r="EX215" t="e">
        <f>AND(Confirmations!I45,"AAAAAHp2/Zk=")</f>
        <v>#VALUE!</v>
      </c>
      <c r="EY215" t="e">
        <f>AND(Confirmations!#REF!,"AAAAAHp2/Zo=")</f>
        <v>#REF!</v>
      </c>
      <c r="EZ215" t="e">
        <f>AND(Confirmations!#REF!,"AAAAAHp2/Zs=")</f>
        <v>#REF!</v>
      </c>
      <c r="FA215" t="e">
        <f>AND(Confirmations!#REF!,"AAAAAHp2/Zw=")</f>
        <v>#REF!</v>
      </c>
      <c r="FB215" t="e">
        <f>AND(Confirmations!#REF!,"AAAAAHp2/Z0=")</f>
        <v>#REF!</v>
      </c>
      <c r="FC215" t="e">
        <f>AND(Confirmations!J45,"AAAAAHp2/Z4=")</f>
        <v>#VALUE!</v>
      </c>
      <c r="FD215" t="e">
        <f>AND(Confirmations!K45,"AAAAAHp2/Z8=")</f>
        <v>#VALUE!</v>
      </c>
      <c r="FE215" t="e">
        <f>AND(Confirmations!L45,"AAAAAHp2/aA=")</f>
        <v>#VALUE!</v>
      </c>
      <c r="FF215">
        <f>IF(Confirmations!46:46,"AAAAAHp2/aE=",0)</f>
        <v>0</v>
      </c>
      <c r="FG215" t="e">
        <f>AND(Confirmations!#REF!,"AAAAAHp2/aI=")</f>
        <v>#REF!</v>
      </c>
      <c r="FH215" t="e">
        <f>AND(Confirmations!A46,"AAAAAHp2/aM=")</f>
        <v>#VALUE!</v>
      </c>
      <c r="FI215" t="e">
        <f>AND(Confirmations!B46,"AAAAAHp2/aQ=")</f>
        <v>#VALUE!</v>
      </c>
      <c r="FJ215" t="e">
        <f>AND(Confirmations!C46,"AAAAAHp2/aU=")</f>
        <v>#VALUE!</v>
      </c>
      <c r="FK215" t="e">
        <f>AND(Confirmations!D46,"AAAAAHp2/aY=")</f>
        <v>#VALUE!</v>
      </c>
      <c r="FL215" t="e">
        <f>AND(Confirmations!E46,"AAAAAHp2/ac=")</f>
        <v>#VALUE!</v>
      </c>
      <c r="FM215" t="e">
        <f>AND(Confirmations!F46,"AAAAAHp2/ag=")</f>
        <v>#VALUE!</v>
      </c>
      <c r="FN215" t="e">
        <f>AND(Confirmations!G46,"AAAAAHp2/ak=")</f>
        <v>#VALUE!</v>
      </c>
      <c r="FO215" t="e">
        <f>AND(Confirmations!H46,"AAAAAHp2/ao=")</f>
        <v>#VALUE!</v>
      </c>
      <c r="FP215" t="e">
        <f>AND(Confirmations!I46,"AAAAAHp2/as=")</f>
        <v>#VALUE!</v>
      </c>
      <c r="FQ215" t="e">
        <f>AND(Confirmations!#REF!,"AAAAAHp2/aw=")</f>
        <v>#REF!</v>
      </c>
      <c r="FR215" t="e">
        <f>AND(Confirmations!#REF!,"AAAAAHp2/a0=")</f>
        <v>#REF!</v>
      </c>
      <c r="FS215" t="e">
        <f>AND(Confirmations!#REF!,"AAAAAHp2/a4=")</f>
        <v>#REF!</v>
      </c>
      <c r="FT215" t="e">
        <f>AND(Confirmations!#REF!,"AAAAAHp2/a8=")</f>
        <v>#REF!</v>
      </c>
      <c r="FU215" t="e">
        <f>AND(Confirmations!J46,"AAAAAHp2/bA=")</f>
        <v>#VALUE!</v>
      </c>
      <c r="FV215" t="e">
        <f>AND(Confirmations!K46,"AAAAAHp2/bE=")</f>
        <v>#VALUE!</v>
      </c>
      <c r="FW215" t="e">
        <f>AND(Confirmations!L46,"AAAAAHp2/bI=")</f>
        <v>#VALUE!</v>
      </c>
      <c r="FX215">
        <f>IF(Confirmations!47:47,"AAAAAHp2/bM=",0)</f>
        <v>0</v>
      </c>
      <c r="FY215" t="e">
        <f>AND(Confirmations!#REF!,"AAAAAHp2/bQ=")</f>
        <v>#REF!</v>
      </c>
      <c r="FZ215" t="e">
        <f>AND(Confirmations!A47,"AAAAAHp2/bU=")</f>
        <v>#VALUE!</v>
      </c>
      <c r="GA215" t="e">
        <f>AND(Confirmations!B47,"AAAAAHp2/bY=")</f>
        <v>#VALUE!</v>
      </c>
      <c r="GB215" t="e">
        <f>AND(Confirmations!C47,"AAAAAHp2/bc=")</f>
        <v>#VALUE!</v>
      </c>
      <c r="GC215" t="e">
        <f>AND(Confirmations!D47,"AAAAAHp2/bg=")</f>
        <v>#VALUE!</v>
      </c>
      <c r="GD215" t="e">
        <f>AND(Confirmations!E47,"AAAAAHp2/bk=")</f>
        <v>#VALUE!</v>
      </c>
      <c r="GE215" t="e">
        <f>AND(Confirmations!F47,"AAAAAHp2/bo=")</f>
        <v>#VALUE!</v>
      </c>
      <c r="GF215" t="e">
        <f>AND(Confirmations!G47,"AAAAAHp2/bs=")</f>
        <v>#VALUE!</v>
      </c>
      <c r="GG215" t="e">
        <f>AND(Confirmations!H47,"AAAAAHp2/bw=")</f>
        <v>#VALUE!</v>
      </c>
      <c r="GH215" t="e">
        <f>AND(Confirmations!I47,"AAAAAHp2/b0=")</f>
        <v>#VALUE!</v>
      </c>
      <c r="GI215" t="e">
        <f>AND(Confirmations!#REF!,"AAAAAHp2/b4=")</f>
        <v>#REF!</v>
      </c>
      <c r="GJ215" t="e">
        <f>AND(Confirmations!#REF!,"AAAAAHp2/b8=")</f>
        <v>#REF!</v>
      </c>
      <c r="GK215" t="e">
        <f>AND(Confirmations!#REF!,"AAAAAHp2/cA=")</f>
        <v>#REF!</v>
      </c>
      <c r="GL215" t="e">
        <f>AND(Confirmations!#REF!,"AAAAAHp2/cE=")</f>
        <v>#REF!</v>
      </c>
      <c r="GM215" t="e">
        <f>AND(Confirmations!J47,"AAAAAHp2/cI=")</f>
        <v>#VALUE!</v>
      </c>
      <c r="GN215" t="e">
        <f>AND(Confirmations!K47,"AAAAAHp2/cM=")</f>
        <v>#VALUE!</v>
      </c>
      <c r="GO215" t="e">
        <f>AND(Confirmations!L47,"AAAAAHp2/cQ=")</f>
        <v>#VALUE!</v>
      </c>
      <c r="GP215">
        <f>IF(Confirmations!48:48,"AAAAAHp2/cU=",0)</f>
        <v>0</v>
      </c>
      <c r="GQ215" t="e">
        <f>AND(Confirmations!#REF!,"AAAAAHp2/cY=")</f>
        <v>#REF!</v>
      </c>
      <c r="GR215" t="e">
        <f>AND(Confirmations!A48,"AAAAAHp2/cc=")</f>
        <v>#VALUE!</v>
      </c>
      <c r="GS215" t="e">
        <f>AND(Confirmations!B48,"AAAAAHp2/cg=")</f>
        <v>#VALUE!</v>
      </c>
      <c r="GT215" t="e">
        <f>AND(Confirmations!C48,"AAAAAHp2/ck=")</f>
        <v>#VALUE!</v>
      </c>
      <c r="GU215" t="e">
        <f>AND(Confirmations!D48,"AAAAAHp2/co=")</f>
        <v>#VALUE!</v>
      </c>
      <c r="GV215" t="e">
        <f>AND(Confirmations!E48,"AAAAAHp2/cs=")</f>
        <v>#VALUE!</v>
      </c>
      <c r="GW215" t="e">
        <f>AND(Confirmations!F48,"AAAAAHp2/cw=")</f>
        <v>#VALUE!</v>
      </c>
      <c r="GX215" t="e">
        <f>AND(Confirmations!G48,"AAAAAHp2/c0=")</f>
        <v>#VALUE!</v>
      </c>
      <c r="GY215" t="e">
        <f>AND(Confirmations!H48,"AAAAAHp2/c4=")</f>
        <v>#VALUE!</v>
      </c>
      <c r="GZ215" t="e">
        <f>AND(Confirmations!I48,"AAAAAHp2/c8=")</f>
        <v>#VALUE!</v>
      </c>
      <c r="HA215" t="e">
        <f>AND(Confirmations!#REF!,"AAAAAHp2/dA=")</f>
        <v>#REF!</v>
      </c>
      <c r="HB215" t="e">
        <f>AND(Confirmations!#REF!,"AAAAAHp2/dE=")</f>
        <v>#REF!</v>
      </c>
      <c r="HC215" t="e">
        <f>AND(Confirmations!#REF!,"AAAAAHp2/dI=")</f>
        <v>#REF!</v>
      </c>
      <c r="HD215" t="e">
        <f>AND(Confirmations!#REF!,"AAAAAHp2/dM=")</f>
        <v>#REF!</v>
      </c>
      <c r="HE215" t="e">
        <f>AND(Confirmations!J48,"AAAAAHp2/dQ=")</f>
        <v>#VALUE!</v>
      </c>
      <c r="HF215" t="e">
        <f>AND(Confirmations!K48,"AAAAAHp2/dU=")</f>
        <v>#VALUE!</v>
      </c>
      <c r="HG215" t="e">
        <f>AND(Confirmations!L48,"AAAAAHp2/dY=")</f>
        <v>#VALUE!</v>
      </c>
      <c r="HH215">
        <f>IF(Confirmations!49:49,"AAAAAHp2/dc=",0)</f>
        <v>0</v>
      </c>
      <c r="HI215" t="e">
        <f>AND(Confirmations!#REF!,"AAAAAHp2/dg=")</f>
        <v>#REF!</v>
      </c>
      <c r="HJ215" t="e">
        <f>AND(Confirmations!A49,"AAAAAHp2/dk=")</f>
        <v>#VALUE!</v>
      </c>
      <c r="HK215" t="e">
        <f>AND(Confirmations!B49,"AAAAAHp2/do=")</f>
        <v>#VALUE!</v>
      </c>
      <c r="HL215" t="e">
        <f>AND(Confirmations!C49,"AAAAAHp2/ds=")</f>
        <v>#VALUE!</v>
      </c>
      <c r="HM215" t="e">
        <f>AND(Confirmations!D49,"AAAAAHp2/dw=")</f>
        <v>#VALUE!</v>
      </c>
      <c r="HN215" t="e">
        <f>AND(Confirmations!E49,"AAAAAHp2/d0=")</f>
        <v>#VALUE!</v>
      </c>
      <c r="HO215" t="e">
        <f>AND(Confirmations!F49,"AAAAAHp2/d4=")</f>
        <v>#VALUE!</v>
      </c>
      <c r="HP215" t="e">
        <f>AND(Confirmations!G49,"AAAAAHp2/d8=")</f>
        <v>#VALUE!</v>
      </c>
      <c r="HQ215" t="e">
        <f>AND(Confirmations!H49,"AAAAAHp2/eA=")</f>
        <v>#VALUE!</v>
      </c>
      <c r="HR215" t="e">
        <f>AND(Confirmations!I49,"AAAAAHp2/eE=")</f>
        <v>#VALUE!</v>
      </c>
      <c r="HS215" t="e">
        <f>AND(Confirmations!#REF!,"AAAAAHp2/eI=")</f>
        <v>#REF!</v>
      </c>
      <c r="HT215" t="e">
        <f>AND(Confirmations!#REF!,"AAAAAHp2/eM=")</f>
        <v>#REF!</v>
      </c>
      <c r="HU215" t="e">
        <f>AND(Confirmations!#REF!,"AAAAAHp2/eQ=")</f>
        <v>#REF!</v>
      </c>
      <c r="HV215" t="e">
        <f>AND(Confirmations!#REF!,"AAAAAHp2/eU=")</f>
        <v>#REF!</v>
      </c>
      <c r="HW215" t="e">
        <f>AND(Confirmations!J49,"AAAAAHp2/eY=")</f>
        <v>#VALUE!</v>
      </c>
      <c r="HX215" t="e">
        <f>AND(Confirmations!K49,"AAAAAHp2/ec=")</f>
        <v>#VALUE!</v>
      </c>
      <c r="HY215" t="e">
        <f>AND(Confirmations!L49,"AAAAAHp2/eg=")</f>
        <v>#VALUE!</v>
      </c>
      <c r="HZ215">
        <f>IF(Confirmations!50:50,"AAAAAHp2/ek=",0)</f>
        <v>0</v>
      </c>
      <c r="IA215" t="e">
        <f>AND(Confirmations!#REF!,"AAAAAHp2/eo=")</f>
        <v>#REF!</v>
      </c>
      <c r="IB215" t="e">
        <f>AND(Confirmations!A50,"AAAAAHp2/es=")</f>
        <v>#VALUE!</v>
      </c>
      <c r="IC215" t="e">
        <f>AND(Confirmations!B50,"AAAAAHp2/ew=")</f>
        <v>#VALUE!</v>
      </c>
      <c r="ID215" t="e">
        <f>AND(Confirmations!C50,"AAAAAHp2/e0=")</f>
        <v>#VALUE!</v>
      </c>
      <c r="IE215" t="e">
        <f>AND(Confirmations!D50,"AAAAAHp2/e4=")</f>
        <v>#VALUE!</v>
      </c>
      <c r="IF215" t="e">
        <f>AND(Confirmations!E50,"AAAAAHp2/e8=")</f>
        <v>#VALUE!</v>
      </c>
      <c r="IG215" t="e">
        <f>AND(Confirmations!F50,"AAAAAHp2/fA=")</f>
        <v>#VALUE!</v>
      </c>
      <c r="IH215" t="e">
        <f>AND(Confirmations!G50,"AAAAAHp2/fE=")</f>
        <v>#VALUE!</v>
      </c>
      <c r="II215" t="e">
        <f>AND(Confirmations!H50,"AAAAAHp2/fI=")</f>
        <v>#VALUE!</v>
      </c>
      <c r="IJ215" t="e">
        <f>AND(Confirmations!I50,"AAAAAHp2/fM=")</f>
        <v>#VALUE!</v>
      </c>
      <c r="IK215" t="e">
        <f>AND(Confirmations!#REF!,"AAAAAHp2/fQ=")</f>
        <v>#REF!</v>
      </c>
      <c r="IL215" t="e">
        <f>AND(Confirmations!#REF!,"AAAAAHp2/fU=")</f>
        <v>#REF!</v>
      </c>
      <c r="IM215" t="e">
        <f>AND(Confirmations!#REF!,"AAAAAHp2/fY=")</f>
        <v>#REF!</v>
      </c>
      <c r="IN215" t="e">
        <f>AND(Confirmations!#REF!,"AAAAAHp2/fc=")</f>
        <v>#REF!</v>
      </c>
      <c r="IO215" t="e">
        <f>AND(Confirmations!J50,"AAAAAHp2/fg=")</f>
        <v>#VALUE!</v>
      </c>
      <c r="IP215" t="e">
        <f>AND(Confirmations!K50,"AAAAAHp2/fk=")</f>
        <v>#VALUE!</v>
      </c>
      <c r="IQ215" t="e">
        <f>AND(Confirmations!L50,"AAAAAHp2/fo=")</f>
        <v>#VALUE!</v>
      </c>
      <c r="IR215" t="e">
        <f>IF(Confirmations!#REF!,"AAAAAHp2/fs=",0)</f>
        <v>#REF!</v>
      </c>
      <c r="IS215" t="e">
        <f>AND(Confirmations!#REF!,"AAAAAHp2/fw=")</f>
        <v>#REF!</v>
      </c>
      <c r="IT215" t="e">
        <f>AND(Confirmations!#REF!,"AAAAAHp2/f0=")</f>
        <v>#REF!</v>
      </c>
      <c r="IU215" t="e">
        <f>AND(Confirmations!#REF!,"AAAAAHp2/f4=")</f>
        <v>#REF!</v>
      </c>
      <c r="IV215" t="e">
        <f>AND(Confirmations!#REF!,"AAAAAHp2/f8=")</f>
        <v>#REF!</v>
      </c>
    </row>
    <row r="216" spans="1:256" x14ac:dyDescent="0.2">
      <c r="A216" t="e">
        <f>AND(Confirmations!#REF!,"AAAAAHftvQA=")</f>
        <v>#REF!</v>
      </c>
      <c r="B216" t="e">
        <f>AND(Confirmations!#REF!,"AAAAAHftvQE=")</f>
        <v>#REF!</v>
      </c>
      <c r="C216" t="e">
        <f>AND(Confirmations!#REF!,"AAAAAHftvQI=")</f>
        <v>#REF!</v>
      </c>
      <c r="D216" t="e">
        <f>AND(Confirmations!#REF!,"AAAAAHftvQM=")</f>
        <v>#REF!</v>
      </c>
      <c r="E216" t="e">
        <f>AND(Confirmations!#REF!,"AAAAAHftvQQ=")</f>
        <v>#REF!</v>
      </c>
      <c r="F216" t="e">
        <f>AND(Confirmations!#REF!,"AAAAAHftvQU=")</f>
        <v>#REF!</v>
      </c>
      <c r="G216" t="e">
        <f>AND(Confirmations!#REF!,"AAAAAHftvQY=")</f>
        <v>#REF!</v>
      </c>
      <c r="H216" t="e">
        <f>AND(Confirmations!#REF!,"AAAAAHftvQc=")</f>
        <v>#REF!</v>
      </c>
      <c r="I216" t="e">
        <f>AND(Confirmations!#REF!,"AAAAAHftvQg=")</f>
        <v>#REF!</v>
      </c>
      <c r="J216" t="e">
        <f>AND(Confirmations!#REF!,"AAAAAHftvQk=")</f>
        <v>#REF!</v>
      </c>
      <c r="K216" t="e">
        <f>AND(Confirmations!#REF!,"AAAAAHftvQo=")</f>
        <v>#REF!</v>
      </c>
      <c r="L216" t="e">
        <f>AND(Confirmations!#REF!,"AAAAAHftvQs=")</f>
        <v>#REF!</v>
      </c>
      <c r="M216" t="e">
        <f>AND(Confirmations!#REF!,"AAAAAHftvQw=")</f>
        <v>#REF!</v>
      </c>
      <c r="N216" t="e">
        <f>IF(Confirmations!#REF!,"AAAAAHftvQ0=",0)</f>
        <v>#REF!</v>
      </c>
      <c r="O216" t="e">
        <f>AND(Confirmations!#REF!,"AAAAAHftvQ4=")</f>
        <v>#REF!</v>
      </c>
      <c r="P216" t="e">
        <f>AND(Confirmations!#REF!,"AAAAAHftvQ8=")</f>
        <v>#REF!</v>
      </c>
      <c r="Q216" t="e">
        <f>AND(Confirmations!#REF!,"AAAAAHftvRA=")</f>
        <v>#REF!</v>
      </c>
      <c r="R216" t="e">
        <f>AND(Confirmations!#REF!,"AAAAAHftvRE=")</f>
        <v>#REF!</v>
      </c>
      <c r="S216" t="e">
        <f>AND(Confirmations!#REF!,"AAAAAHftvRI=")</f>
        <v>#REF!</v>
      </c>
      <c r="T216" t="e">
        <f>AND(Confirmations!#REF!,"AAAAAHftvRM=")</f>
        <v>#REF!</v>
      </c>
      <c r="U216" t="e">
        <f>AND(Confirmations!#REF!,"AAAAAHftvRQ=")</f>
        <v>#REF!</v>
      </c>
      <c r="V216" t="e">
        <f>AND(Confirmations!#REF!,"AAAAAHftvRU=")</f>
        <v>#REF!</v>
      </c>
      <c r="W216" t="e">
        <f>AND(Confirmations!#REF!,"AAAAAHftvRY=")</f>
        <v>#REF!</v>
      </c>
      <c r="X216" t="e">
        <f>AND(Confirmations!#REF!,"AAAAAHftvRc=")</f>
        <v>#REF!</v>
      </c>
      <c r="Y216" t="e">
        <f>AND(Confirmations!#REF!,"AAAAAHftvRg=")</f>
        <v>#REF!</v>
      </c>
      <c r="Z216" t="e">
        <f>AND(Confirmations!#REF!,"AAAAAHftvRk=")</f>
        <v>#REF!</v>
      </c>
      <c r="AA216" t="e">
        <f>AND(Confirmations!#REF!,"AAAAAHftvRo=")</f>
        <v>#REF!</v>
      </c>
      <c r="AB216" t="e">
        <f>AND(Confirmations!#REF!,"AAAAAHftvRs=")</f>
        <v>#REF!</v>
      </c>
      <c r="AC216" t="e">
        <f>AND(Confirmations!#REF!,"AAAAAHftvRw=")</f>
        <v>#REF!</v>
      </c>
      <c r="AD216" t="e">
        <f>AND(Confirmations!#REF!,"AAAAAHftvR0=")</f>
        <v>#REF!</v>
      </c>
      <c r="AE216" t="e">
        <f>AND(Confirmations!#REF!,"AAAAAHftvR4=")</f>
        <v>#REF!</v>
      </c>
      <c r="AF216" t="e">
        <f>IF(Confirmations!#REF!,"AAAAAHftvR8=",0)</f>
        <v>#REF!</v>
      </c>
      <c r="AG216" t="e">
        <f>AND(Confirmations!#REF!,"AAAAAHftvSA=")</f>
        <v>#REF!</v>
      </c>
      <c r="AH216" t="e">
        <f>AND(Confirmations!#REF!,"AAAAAHftvSE=")</f>
        <v>#REF!</v>
      </c>
      <c r="AI216" t="e">
        <f>AND(Confirmations!#REF!,"AAAAAHftvSI=")</f>
        <v>#REF!</v>
      </c>
      <c r="AJ216" t="e">
        <f>AND(Confirmations!#REF!,"AAAAAHftvSM=")</f>
        <v>#REF!</v>
      </c>
      <c r="AK216" t="e">
        <f>AND(Confirmations!#REF!,"AAAAAHftvSQ=")</f>
        <v>#REF!</v>
      </c>
      <c r="AL216" t="e">
        <f>AND(Confirmations!#REF!,"AAAAAHftvSU=")</f>
        <v>#REF!</v>
      </c>
      <c r="AM216" t="e">
        <f>AND(Confirmations!#REF!,"AAAAAHftvSY=")</f>
        <v>#REF!</v>
      </c>
      <c r="AN216" t="e">
        <f>AND(Confirmations!#REF!,"AAAAAHftvSc=")</f>
        <v>#REF!</v>
      </c>
      <c r="AO216" t="e">
        <f>AND(Confirmations!#REF!,"AAAAAHftvSg=")</f>
        <v>#REF!</v>
      </c>
      <c r="AP216" t="e">
        <f>AND(Confirmations!#REF!,"AAAAAHftvSk=")</f>
        <v>#REF!</v>
      </c>
      <c r="AQ216" t="e">
        <f>AND(Confirmations!#REF!,"AAAAAHftvSo=")</f>
        <v>#REF!</v>
      </c>
      <c r="AR216" t="e">
        <f>AND(Confirmations!#REF!,"AAAAAHftvSs=")</f>
        <v>#REF!</v>
      </c>
      <c r="AS216" t="e">
        <f>AND(Confirmations!#REF!,"AAAAAHftvSw=")</f>
        <v>#REF!</v>
      </c>
      <c r="AT216" t="e">
        <f>AND(Confirmations!#REF!,"AAAAAHftvS0=")</f>
        <v>#REF!</v>
      </c>
      <c r="AU216" t="e">
        <f>AND(Confirmations!#REF!,"AAAAAHftvS4=")</f>
        <v>#REF!</v>
      </c>
      <c r="AV216" t="e">
        <f>AND(Confirmations!#REF!,"AAAAAHftvS8=")</f>
        <v>#REF!</v>
      </c>
      <c r="AW216" t="e">
        <f>AND(Confirmations!#REF!,"AAAAAHftvTA=")</f>
        <v>#REF!</v>
      </c>
      <c r="AX216">
        <f>IF(Confirmations!51:51,"AAAAAHftvTE=",0)</f>
        <v>0</v>
      </c>
      <c r="AY216" t="e">
        <f>AND(Confirmations!#REF!,"AAAAAHftvTI=")</f>
        <v>#REF!</v>
      </c>
      <c r="AZ216" t="e">
        <f>AND(Confirmations!A51,"AAAAAHftvTM=")</f>
        <v>#VALUE!</v>
      </c>
      <c r="BA216" t="e">
        <f>AND(Confirmations!B51,"AAAAAHftvTQ=")</f>
        <v>#VALUE!</v>
      </c>
      <c r="BB216" t="e">
        <f>AND(Confirmations!C51,"AAAAAHftvTU=")</f>
        <v>#VALUE!</v>
      </c>
      <c r="BC216" t="e">
        <f>AND(Confirmations!D51,"AAAAAHftvTY=")</f>
        <v>#VALUE!</v>
      </c>
      <c r="BD216" t="e">
        <f>AND(Confirmations!E51,"AAAAAHftvTc=")</f>
        <v>#VALUE!</v>
      </c>
      <c r="BE216" t="e">
        <f>AND(Confirmations!F51,"AAAAAHftvTg=")</f>
        <v>#VALUE!</v>
      </c>
      <c r="BF216" t="e">
        <f>AND(Confirmations!G51,"AAAAAHftvTk=")</f>
        <v>#VALUE!</v>
      </c>
      <c r="BG216" t="e">
        <f>AND(Confirmations!H51,"AAAAAHftvTo=")</f>
        <v>#VALUE!</v>
      </c>
      <c r="BH216" t="e">
        <f>AND(Confirmations!I51,"AAAAAHftvTs=")</f>
        <v>#VALUE!</v>
      </c>
      <c r="BI216" t="e">
        <f>AND(Confirmations!#REF!,"AAAAAHftvTw=")</f>
        <v>#REF!</v>
      </c>
      <c r="BJ216" t="e">
        <f>AND(Confirmations!#REF!,"AAAAAHftvT0=")</f>
        <v>#REF!</v>
      </c>
      <c r="BK216" t="e">
        <f>AND(Confirmations!#REF!,"AAAAAHftvT4=")</f>
        <v>#REF!</v>
      </c>
      <c r="BL216" t="e">
        <f>AND(Confirmations!#REF!,"AAAAAHftvT8=")</f>
        <v>#REF!</v>
      </c>
      <c r="BM216" t="e">
        <f>AND(Confirmations!J51,"AAAAAHftvUA=")</f>
        <v>#VALUE!</v>
      </c>
      <c r="BN216" t="e">
        <f>AND(Confirmations!K51,"AAAAAHftvUE=")</f>
        <v>#VALUE!</v>
      </c>
      <c r="BO216" t="e">
        <f>AND(Confirmations!L51,"AAAAAHftvUI=")</f>
        <v>#VALUE!</v>
      </c>
      <c r="BP216" t="e">
        <f>IF(Confirmations!#REF!,"AAAAAHftvUM=",0)</f>
        <v>#REF!</v>
      </c>
      <c r="BQ216" t="e">
        <f>AND(Confirmations!#REF!,"AAAAAHftvUQ=")</f>
        <v>#REF!</v>
      </c>
      <c r="BR216" t="e">
        <f>AND(Confirmations!#REF!,"AAAAAHftvUU=")</f>
        <v>#REF!</v>
      </c>
      <c r="BS216" t="e">
        <f>AND(Confirmations!#REF!,"AAAAAHftvUY=")</f>
        <v>#REF!</v>
      </c>
      <c r="BT216" t="e">
        <f>AND(Confirmations!#REF!,"AAAAAHftvUc=")</f>
        <v>#REF!</v>
      </c>
      <c r="BU216" t="e">
        <f>AND(Confirmations!#REF!,"AAAAAHftvUg=")</f>
        <v>#REF!</v>
      </c>
      <c r="BV216" t="e">
        <f>AND(Confirmations!#REF!,"AAAAAHftvUk=")</f>
        <v>#REF!</v>
      </c>
      <c r="BW216" t="e">
        <f>AND(Confirmations!#REF!,"AAAAAHftvUo=")</f>
        <v>#REF!</v>
      </c>
      <c r="BX216" t="e">
        <f>AND(Confirmations!#REF!,"AAAAAHftvUs=")</f>
        <v>#REF!</v>
      </c>
      <c r="BY216" t="e">
        <f>AND(Confirmations!#REF!,"AAAAAHftvUw=")</f>
        <v>#REF!</v>
      </c>
      <c r="BZ216" t="e">
        <f>AND(Confirmations!#REF!,"AAAAAHftvU0=")</f>
        <v>#REF!</v>
      </c>
      <c r="CA216" t="e">
        <f>AND(Confirmations!#REF!,"AAAAAHftvU4=")</f>
        <v>#REF!</v>
      </c>
      <c r="CB216" t="e">
        <f>AND(Confirmations!#REF!,"AAAAAHftvU8=")</f>
        <v>#REF!</v>
      </c>
      <c r="CC216" t="e">
        <f>AND(Confirmations!#REF!,"AAAAAHftvVA=")</f>
        <v>#REF!</v>
      </c>
      <c r="CD216" t="e">
        <f>AND(Confirmations!#REF!,"AAAAAHftvVE=")</f>
        <v>#REF!</v>
      </c>
      <c r="CE216" t="e">
        <f>AND(Confirmations!#REF!,"AAAAAHftvVI=")</f>
        <v>#REF!</v>
      </c>
      <c r="CF216" t="e">
        <f>AND(Confirmations!#REF!,"AAAAAHftvVM=")</f>
        <v>#REF!</v>
      </c>
      <c r="CG216" t="e">
        <f>AND(Confirmations!#REF!,"AAAAAHftvVQ=")</f>
        <v>#REF!</v>
      </c>
      <c r="CH216">
        <f>IF(Confirmations!52:52,"AAAAAHftvVU=",0)</f>
        <v>0</v>
      </c>
      <c r="CI216" t="e">
        <f>AND(Confirmations!#REF!,"AAAAAHftvVY=")</f>
        <v>#REF!</v>
      </c>
      <c r="CJ216" t="e">
        <f>AND(Confirmations!A52,"AAAAAHftvVc=")</f>
        <v>#VALUE!</v>
      </c>
      <c r="CK216" t="e">
        <f>AND(Confirmations!B52,"AAAAAHftvVg=")</f>
        <v>#VALUE!</v>
      </c>
      <c r="CL216" t="e">
        <f>AND(Confirmations!C52,"AAAAAHftvVk=")</f>
        <v>#VALUE!</v>
      </c>
      <c r="CM216" t="e">
        <f>AND(Confirmations!D52,"AAAAAHftvVo=")</f>
        <v>#VALUE!</v>
      </c>
      <c r="CN216" t="e">
        <f>AND(Confirmations!E52,"AAAAAHftvVs=")</f>
        <v>#VALUE!</v>
      </c>
      <c r="CO216" t="e">
        <f>AND(Confirmations!F52,"AAAAAHftvVw=")</f>
        <v>#VALUE!</v>
      </c>
      <c r="CP216" t="e">
        <f>AND(Confirmations!G52,"AAAAAHftvV0=")</f>
        <v>#VALUE!</v>
      </c>
      <c r="CQ216" t="e">
        <f>AND(Confirmations!H52,"AAAAAHftvV4=")</f>
        <v>#VALUE!</v>
      </c>
      <c r="CR216" t="e">
        <f>AND(Confirmations!I52,"AAAAAHftvV8=")</f>
        <v>#VALUE!</v>
      </c>
      <c r="CS216" t="e">
        <f>AND(Confirmations!#REF!,"AAAAAHftvWA=")</f>
        <v>#REF!</v>
      </c>
      <c r="CT216" t="e">
        <f>AND(Confirmations!#REF!,"AAAAAHftvWE=")</f>
        <v>#REF!</v>
      </c>
      <c r="CU216" t="e">
        <f>AND(Confirmations!#REF!,"AAAAAHftvWI=")</f>
        <v>#REF!</v>
      </c>
      <c r="CV216" t="e">
        <f>AND(Confirmations!#REF!,"AAAAAHftvWM=")</f>
        <v>#REF!</v>
      </c>
      <c r="CW216" t="e">
        <f>AND(Confirmations!J52,"AAAAAHftvWQ=")</f>
        <v>#VALUE!</v>
      </c>
      <c r="CX216" t="e">
        <f>AND(Confirmations!K52,"AAAAAHftvWU=")</f>
        <v>#VALUE!</v>
      </c>
      <c r="CY216" t="e">
        <f>AND(Confirmations!L52,"AAAAAHftvWY=")</f>
        <v>#VALUE!</v>
      </c>
      <c r="CZ216">
        <f>IF(Confirmations!53:53,"AAAAAHftvWc=",0)</f>
        <v>0</v>
      </c>
      <c r="DA216" t="e">
        <f>AND(Confirmations!#REF!,"AAAAAHftvWg=")</f>
        <v>#REF!</v>
      </c>
      <c r="DB216" t="e">
        <f>AND(Confirmations!A53,"AAAAAHftvWk=")</f>
        <v>#VALUE!</v>
      </c>
      <c r="DC216" t="e">
        <f>AND(Confirmations!B53,"AAAAAHftvWo=")</f>
        <v>#VALUE!</v>
      </c>
      <c r="DD216" t="e">
        <f>AND(Confirmations!C53,"AAAAAHftvWs=")</f>
        <v>#VALUE!</v>
      </c>
      <c r="DE216" t="e">
        <f>AND(Confirmations!D53,"AAAAAHftvWw=")</f>
        <v>#VALUE!</v>
      </c>
      <c r="DF216" t="e">
        <f>AND(Confirmations!E53,"AAAAAHftvW0=")</f>
        <v>#VALUE!</v>
      </c>
      <c r="DG216" t="e">
        <f>AND(Confirmations!F53,"AAAAAHftvW4=")</f>
        <v>#VALUE!</v>
      </c>
      <c r="DH216" t="e">
        <f>AND(Confirmations!G53,"AAAAAHftvW8=")</f>
        <v>#VALUE!</v>
      </c>
      <c r="DI216" t="e">
        <f>AND(Confirmations!H53,"AAAAAHftvXA=")</f>
        <v>#VALUE!</v>
      </c>
      <c r="DJ216" t="e">
        <f>AND(Confirmations!I53,"AAAAAHftvXE=")</f>
        <v>#VALUE!</v>
      </c>
      <c r="DK216" t="e">
        <f>AND(Confirmations!#REF!,"AAAAAHftvXI=")</f>
        <v>#REF!</v>
      </c>
      <c r="DL216" t="e">
        <f>AND(Confirmations!#REF!,"AAAAAHftvXM=")</f>
        <v>#REF!</v>
      </c>
      <c r="DM216" t="e">
        <f>AND(Confirmations!#REF!,"AAAAAHftvXQ=")</f>
        <v>#REF!</v>
      </c>
      <c r="DN216" t="e">
        <f>AND(Confirmations!#REF!,"AAAAAHftvXU=")</f>
        <v>#REF!</v>
      </c>
      <c r="DO216" t="e">
        <f>AND(Confirmations!J53,"AAAAAHftvXY=")</f>
        <v>#VALUE!</v>
      </c>
      <c r="DP216" t="e">
        <f>AND(Confirmations!K53,"AAAAAHftvXc=")</f>
        <v>#VALUE!</v>
      </c>
      <c r="DQ216" t="e">
        <f>AND(Confirmations!L53,"AAAAAHftvXg=")</f>
        <v>#VALUE!</v>
      </c>
      <c r="DR216">
        <f>IF(Confirmations!54:54,"AAAAAHftvXk=",0)</f>
        <v>0</v>
      </c>
      <c r="DS216" t="e">
        <f>AND(Confirmations!#REF!,"AAAAAHftvXo=")</f>
        <v>#REF!</v>
      </c>
      <c r="DT216" t="e">
        <f>AND(Confirmations!A54,"AAAAAHftvXs=")</f>
        <v>#VALUE!</v>
      </c>
      <c r="DU216" t="e">
        <f>AND(Confirmations!B54,"AAAAAHftvXw=")</f>
        <v>#VALUE!</v>
      </c>
      <c r="DV216" t="e">
        <f>AND(Confirmations!C54,"AAAAAHftvX0=")</f>
        <v>#VALUE!</v>
      </c>
      <c r="DW216" t="e">
        <f>AND(Confirmations!D54,"AAAAAHftvX4=")</f>
        <v>#VALUE!</v>
      </c>
      <c r="DX216" t="e">
        <f>AND(Confirmations!E54,"AAAAAHftvX8=")</f>
        <v>#VALUE!</v>
      </c>
      <c r="DY216" t="e">
        <f>AND(Confirmations!F54,"AAAAAHftvYA=")</f>
        <v>#VALUE!</v>
      </c>
      <c r="DZ216" t="e">
        <f>AND(Confirmations!G54,"AAAAAHftvYE=")</f>
        <v>#VALUE!</v>
      </c>
      <c r="EA216" t="e">
        <f>AND(Confirmations!H54,"AAAAAHftvYI=")</f>
        <v>#VALUE!</v>
      </c>
      <c r="EB216" t="e">
        <f>AND(Confirmations!I54,"AAAAAHftvYM=")</f>
        <v>#VALUE!</v>
      </c>
      <c r="EC216" t="e">
        <f>AND(Confirmations!#REF!,"AAAAAHftvYQ=")</f>
        <v>#REF!</v>
      </c>
      <c r="ED216" t="e">
        <f>AND(Confirmations!#REF!,"AAAAAHftvYU=")</f>
        <v>#REF!</v>
      </c>
      <c r="EE216" t="e">
        <f>AND(Confirmations!#REF!,"AAAAAHftvYY=")</f>
        <v>#REF!</v>
      </c>
      <c r="EF216" t="e">
        <f>AND(Confirmations!#REF!,"AAAAAHftvYc=")</f>
        <v>#REF!</v>
      </c>
      <c r="EG216" t="e">
        <f>AND(Confirmations!J54,"AAAAAHftvYg=")</f>
        <v>#VALUE!</v>
      </c>
      <c r="EH216" t="e">
        <f>AND(Confirmations!K54,"AAAAAHftvYk=")</f>
        <v>#VALUE!</v>
      </c>
      <c r="EI216" t="e">
        <f>AND(Confirmations!L54,"AAAAAHftvYo=")</f>
        <v>#VALUE!</v>
      </c>
      <c r="EJ216">
        <f>IF(Confirmations!55:55,"AAAAAHftvYs=",0)</f>
        <v>0</v>
      </c>
      <c r="EK216" t="e">
        <f>AND(Confirmations!#REF!,"AAAAAHftvYw=")</f>
        <v>#REF!</v>
      </c>
      <c r="EL216" t="e">
        <f>AND(Confirmations!A55,"AAAAAHftvY0=")</f>
        <v>#VALUE!</v>
      </c>
      <c r="EM216" t="e">
        <f>AND(Confirmations!B55,"AAAAAHftvY4=")</f>
        <v>#VALUE!</v>
      </c>
      <c r="EN216" t="e">
        <f>AND(Confirmations!C55,"AAAAAHftvY8=")</f>
        <v>#VALUE!</v>
      </c>
      <c r="EO216" t="e">
        <f>AND(Confirmations!D55,"AAAAAHftvZA=")</f>
        <v>#VALUE!</v>
      </c>
      <c r="EP216" t="e">
        <f>AND(Confirmations!E55,"AAAAAHftvZE=")</f>
        <v>#VALUE!</v>
      </c>
      <c r="EQ216" t="e">
        <f>AND(Confirmations!F55,"AAAAAHftvZI=")</f>
        <v>#VALUE!</v>
      </c>
      <c r="ER216" t="e">
        <f>AND(Confirmations!G55,"AAAAAHftvZM=")</f>
        <v>#VALUE!</v>
      </c>
      <c r="ES216" t="e">
        <f>AND(Confirmations!H55,"AAAAAHftvZQ=")</f>
        <v>#VALUE!</v>
      </c>
      <c r="ET216" t="e">
        <f>AND(Confirmations!I55,"AAAAAHftvZU=")</f>
        <v>#VALUE!</v>
      </c>
      <c r="EU216" t="e">
        <f>AND(Confirmations!#REF!,"AAAAAHftvZY=")</f>
        <v>#REF!</v>
      </c>
      <c r="EV216" t="e">
        <f>AND(Confirmations!#REF!,"AAAAAHftvZc=")</f>
        <v>#REF!</v>
      </c>
      <c r="EW216" t="e">
        <f>AND(Confirmations!#REF!,"AAAAAHftvZg=")</f>
        <v>#REF!</v>
      </c>
      <c r="EX216" t="e">
        <f>AND(Confirmations!#REF!,"AAAAAHftvZk=")</f>
        <v>#REF!</v>
      </c>
      <c r="EY216" t="e">
        <f>AND(Confirmations!J55,"AAAAAHftvZo=")</f>
        <v>#VALUE!</v>
      </c>
      <c r="EZ216" t="e">
        <f>AND(Confirmations!K55,"AAAAAHftvZs=")</f>
        <v>#VALUE!</v>
      </c>
      <c r="FA216" t="e">
        <f>AND(Confirmations!L55,"AAAAAHftvZw=")</f>
        <v>#VALUE!</v>
      </c>
      <c r="FB216">
        <f>IF(Confirmations!56:56,"AAAAAHftvZ0=",0)</f>
        <v>0</v>
      </c>
      <c r="FC216" t="e">
        <f>AND(Confirmations!#REF!,"AAAAAHftvZ4=")</f>
        <v>#REF!</v>
      </c>
      <c r="FD216" t="e">
        <f>AND(Confirmations!A56,"AAAAAHftvZ8=")</f>
        <v>#VALUE!</v>
      </c>
      <c r="FE216" t="e">
        <f>AND(Confirmations!B56,"AAAAAHftvaA=")</f>
        <v>#VALUE!</v>
      </c>
      <c r="FF216" t="e">
        <f>AND(Confirmations!C56,"AAAAAHftvaE=")</f>
        <v>#VALUE!</v>
      </c>
      <c r="FG216" t="e">
        <f>AND(Confirmations!D56,"AAAAAHftvaI=")</f>
        <v>#VALUE!</v>
      </c>
      <c r="FH216" t="e">
        <f>AND(Confirmations!E56,"AAAAAHftvaM=")</f>
        <v>#VALUE!</v>
      </c>
      <c r="FI216" t="e">
        <f>AND(Confirmations!F56,"AAAAAHftvaQ=")</f>
        <v>#VALUE!</v>
      </c>
      <c r="FJ216" t="e">
        <f>AND(Confirmations!G56,"AAAAAHftvaU=")</f>
        <v>#VALUE!</v>
      </c>
      <c r="FK216" t="e">
        <f>AND(Confirmations!H56,"AAAAAHftvaY=")</f>
        <v>#VALUE!</v>
      </c>
      <c r="FL216" t="e">
        <f>AND(Confirmations!I56,"AAAAAHftvac=")</f>
        <v>#VALUE!</v>
      </c>
      <c r="FM216" t="e">
        <f>AND(Confirmations!#REF!,"AAAAAHftvag=")</f>
        <v>#REF!</v>
      </c>
      <c r="FN216" t="e">
        <f>AND(Confirmations!#REF!,"AAAAAHftvak=")</f>
        <v>#REF!</v>
      </c>
      <c r="FO216" t="e">
        <f>AND(Confirmations!#REF!,"AAAAAHftvao=")</f>
        <v>#REF!</v>
      </c>
      <c r="FP216" t="e">
        <f>AND(Confirmations!#REF!,"AAAAAHftvas=")</f>
        <v>#REF!</v>
      </c>
      <c r="FQ216" t="e">
        <f>AND(Confirmations!J56,"AAAAAHftvaw=")</f>
        <v>#VALUE!</v>
      </c>
      <c r="FR216" t="e">
        <f>AND(Confirmations!K56,"AAAAAHftva0=")</f>
        <v>#VALUE!</v>
      </c>
      <c r="FS216" t="e">
        <f>AND(Confirmations!L56,"AAAAAHftva4=")</f>
        <v>#VALUE!</v>
      </c>
      <c r="FT216" t="e">
        <f>IF(Confirmations!#REF!,"AAAAAHftva8=",0)</f>
        <v>#REF!</v>
      </c>
      <c r="FU216" t="e">
        <f>AND(Confirmations!#REF!,"AAAAAHftvbA=")</f>
        <v>#REF!</v>
      </c>
      <c r="FV216" t="e">
        <f>AND(Confirmations!#REF!,"AAAAAHftvbE=")</f>
        <v>#REF!</v>
      </c>
      <c r="FW216" t="e">
        <f>AND(Confirmations!#REF!,"AAAAAHftvbI=")</f>
        <v>#REF!</v>
      </c>
      <c r="FX216" t="e">
        <f>AND(Confirmations!#REF!,"AAAAAHftvbM=")</f>
        <v>#REF!</v>
      </c>
      <c r="FY216" t="e">
        <f>AND(Confirmations!#REF!,"AAAAAHftvbQ=")</f>
        <v>#REF!</v>
      </c>
      <c r="FZ216" t="e">
        <f>AND(Confirmations!#REF!,"AAAAAHftvbU=")</f>
        <v>#REF!</v>
      </c>
      <c r="GA216" t="e">
        <f>AND(Confirmations!#REF!,"AAAAAHftvbY=")</f>
        <v>#REF!</v>
      </c>
      <c r="GB216" t="e">
        <f>AND(Confirmations!#REF!,"AAAAAHftvbc=")</f>
        <v>#REF!</v>
      </c>
      <c r="GC216" t="e">
        <f>AND(Confirmations!#REF!,"AAAAAHftvbg=")</f>
        <v>#REF!</v>
      </c>
      <c r="GD216" t="e">
        <f>AND(Confirmations!#REF!,"AAAAAHftvbk=")</f>
        <v>#REF!</v>
      </c>
      <c r="GE216" t="e">
        <f>AND(Confirmations!#REF!,"AAAAAHftvbo=")</f>
        <v>#REF!</v>
      </c>
      <c r="GF216" t="e">
        <f>AND(Confirmations!#REF!,"AAAAAHftvbs=")</f>
        <v>#REF!</v>
      </c>
      <c r="GG216" t="e">
        <f>AND(Confirmations!#REF!,"AAAAAHftvbw=")</f>
        <v>#REF!</v>
      </c>
      <c r="GH216" t="e">
        <f>AND(Confirmations!#REF!,"AAAAAHftvb0=")</f>
        <v>#REF!</v>
      </c>
      <c r="GI216" t="e">
        <f>AND(Confirmations!#REF!,"AAAAAHftvb4=")</f>
        <v>#REF!</v>
      </c>
      <c r="GJ216" t="e">
        <f>AND(Confirmations!#REF!,"AAAAAHftvb8=")</f>
        <v>#REF!</v>
      </c>
      <c r="GK216" t="e">
        <f>AND(Confirmations!#REF!,"AAAAAHftvcA=")</f>
        <v>#REF!</v>
      </c>
      <c r="GL216">
        <f>IF(Confirmations!57:57,"AAAAAHftvcE=",0)</f>
        <v>0</v>
      </c>
      <c r="GM216" t="e">
        <f>AND(Confirmations!A57,"AAAAAHftvcI=")</f>
        <v>#VALUE!</v>
      </c>
      <c r="GN216" t="e">
        <f>AND(Confirmations!B57,"AAAAAHftvcM=")</f>
        <v>#VALUE!</v>
      </c>
      <c r="GO216" t="e">
        <f>AND(Confirmations!C57,"AAAAAHftvcQ=")</f>
        <v>#VALUE!</v>
      </c>
      <c r="GP216" t="e">
        <f>AND(Confirmations!D57,"AAAAAHftvcU=")</f>
        <v>#VALUE!</v>
      </c>
      <c r="GQ216" t="e">
        <f>AND(Confirmations!E57,"AAAAAHftvcY=")</f>
        <v>#VALUE!</v>
      </c>
      <c r="GR216" t="e">
        <f>AND(Confirmations!F57,"AAAAAHftvcc=")</f>
        <v>#VALUE!</v>
      </c>
      <c r="GS216" t="e">
        <f>AND(Confirmations!G57,"AAAAAHftvcg=")</f>
        <v>#VALUE!</v>
      </c>
      <c r="GT216" t="e">
        <f>AND(Confirmations!H57,"AAAAAHftvck=")</f>
        <v>#VALUE!</v>
      </c>
      <c r="GU216" t="e">
        <f>AND(Confirmations!I57,"AAAAAHftvco=")</f>
        <v>#VALUE!</v>
      </c>
      <c r="GV216" t="e">
        <f>AND(Confirmations!#REF!,"AAAAAHftvcs=")</f>
        <v>#REF!</v>
      </c>
      <c r="GW216" t="e">
        <f>AND(Confirmations!#REF!,"AAAAAHftvcw=")</f>
        <v>#REF!</v>
      </c>
      <c r="GX216" t="e">
        <f>AND(Confirmations!#REF!,"AAAAAHftvc0=")</f>
        <v>#REF!</v>
      </c>
      <c r="GY216" t="e">
        <f>AND(Confirmations!#REF!,"AAAAAHftvc4=")</f>
        <v>#REF!</v>
      </c>
      <c r="GZ216" t="e">
        <f>AND(Confirmations!J57,"AAAAAHftvc8=")</f>
        <v>#VALUE!</v>
      </c>
      <c r="HA216" t="e">
        <f>AND(Confirmations!K57,"AAAAAHftvdA=")</f>
        <v>#VALUE!</v>
      </c>
      <c r="HB216" t="e">
        <f>AND(Confirmations!L57,"AAAAAHftvdE=")</f>
        <v>#VALUE!</v>
      </c>
      <c r="HC216" t="e">
        <f>AND(Confirmations!M57,"AAAAAHftvdI=")</f>
        <v>#VALUE!</v>
      </c>
      <c r="HD216">
        <f>IF(Confirmations!58:58,"AAAAAHftvdM=",0)</f>
        <v>0</v>
      </c>
      <c r="HE216" t="e">
        <f>AND(Confirmations!A58,"AAAAAHftvdQ=")</f>
        <v>#VALUE!</v>
      </c>
      <c r="HF216" t="e">
        <f>AND(Confirmations!B58,"AAAAAHftvdU=")</f>
        <v>#VALUE!</v>
      </c>
      <c r="HG216" t="e">
        <f>AND(Confirmations!C58,"AAAAAHftvdY=")</f>
        <v>#VALUE!</v>
      </c>
      <c r="HH216" t="e">
        <f>AND(Confirmations!D58,"AAAAAHftvdc=")</f>
        <v>#VALUE!</v>
      </c>
      <c r="HI216" t="e">
        <f>AND(Confirmations!E58,"AAAAAHftvdg=")</f>
        <v>#VALUE!</v>
      </c>
      <c r="HJ216" t="e">
        <f>AND(Confirmations!F58,"AAAAAHftvdk=")</f>
        <v>#VALUE!</v>
      </c>
      <c r="HK216" t="e">
        <f>AND(Confirmations!G58,"AAAAAHftvdo=")</f>
        <v>#VALUE!</v>
      </c>
      <c r="HL216" t="e">
        <f>AND(Confirmations!H58,"AAAAAHftvds=")</f>
        <v>#VALUE!</v>
      </c>
      <c r="HM216" t="e">
        <f>AND(Confirmations!I58,"AAAAAHftvdw=")</f>
        <v>#VALUE!</v>
      </c>
      <c r="HN216" t="e">
        <f>AND(Confirmations!#REF!,"AAAAAHftvd0=")</f>
        <v>#REF!</v>
      </c>
      <c r="HO216" t="e">
        <f>AND(Confirmations!#REF!,"AAAAAHftvd4=")</f>
        <v>#REF!</v>
      </c>
      <c r="HP216" t="e">
        <f>AND(Confirmations!#REF!,"AAAAAHftvd8=")</f>
        <v>#REF!</v>
      </c>
      <c r="HQ216" t="e">
        <f>AND(Confirmations!#REF!,"AAAAAHftveA=")</f>
        <v>#REF!</v>
      </c>
      <c r="HR216" t="e">
        <f>AND(Confirmations!J58,"AAAAAHftveE=")</f>
        <v>#VALUE!</v>
      </c>
      <c r="HS216" t="e">
        <f>AND(Confirmations!K58,"AAAAAHftveI=")</f>
        <v>#VALUE!</v>
      </c>
      <c r="HT216" t="e">
        <f>AND(Confirmations!L58,"AAAAAHftveM=")</f>
        <v>#VALUE!</v>
      </c>
      <c r="HU216" t="e">
        <f>AND(Confirmations!M58,"AAAAAHftveQ=")</f>
        <v>#VALUE!</v>
      </c>
      <c r="HV216">
        <f>IF(Confirmations!59:59,"AAAAAHftveU=",0)</f>
        <v>0</v>
      </c>
      <c r="HW216" t="e">
        <f>AND(Confirmations!A59,"AAAAAHftveY=")</f>
        <v>#VALUE!</v>
      </c>
      <c r="HX216" t="e">
        <f>AND(Confirmations!B59,"AAAAAHftvec=")</f>
        <v>#VALUE!</v>
      </c>
      <c r="HY216" t="e">
        <f>AND(Confirmations!C59,"AAAAAHftveg=")</f>
        <v>#VALUE!</v>
      </c>
      <c r="HZ216" t="e">
        <f>AND(Confirmations!D59,"AAAAAHftvek=")</f>
        <v>#VALUE!</v>
      </c>
      <c r="IA216" t="e">
        <f>AND(Confirmations!E59,"AAAAAHftveo=")</f>
        <v>#VALUE!</v>
      </c>
      <c r="IB216" t="e">
        <f>AND(Confirmations!F59,"AAAAAHftves=")</f>
        <v>#VALUE!</v>
      </c>
      <c r="IC216" t="e">
        <f>AND(Confirmations!G59,"AAAAAHftvew=")</f>
        <v>#VALUE!</v>
      </c>
      <c r="ID216" t="e">
        <f>AND(Confirmations!H59,"AAAAAHftve0=")</f>
        <v>#VALUE!</v>
      </c>
      <c r="IE216" t="e">
        <f>AND(Confirmations!I59,"AAAAAHftve4=")</f>
        <v>#VALUE!</v>
      </c>
      <c r="IF216" t="e">
        <f>AND(Confirmations!#REF!,"AAAAAHftve8=")</f>
        <v>#REF!</v>
      </c>
      <c r="IG216" t="e">
        <f>AND(Confirmations!#REF!,"AAAAAHftvfA=")</f>
        <v>#REF!</v>
      </c>
      <c r="IH216" t="e">
        <f>AND(Confirmations!#REF!,"AAAAAHftvfE=")</f>
        <v>#REF!</v>
      </c>
      <c r="II216" t="e">
        <f>AND(Confirmations!#REF!,"AAAAAHftvfI=")</f>
        <v>#REF!</v>
      </c>
      <c r="IJ216" t="e">
        <f>AND(Confirmations!J59,"AAAAAHftvfM=")</f>
        <v>#VALUE!</v>
      </c>
      <c r="IK216" t="e">
        <f>AND(Confirmations!K59,"AAAAAHftvfQ=")</f>
        <v>#VALUE!</v>
      </c>
      <c r="IL216" t="e">
        <f>AND(Confirmations!L59,"AAAAAHftvfU=")</f>
        <v>#VALUE!</v>
      </c>
      <c r="IM216" t="e">
        <f>AND(Confirmations!M59,"AAAAAHftvfY=")</f>
        <v>#VALUE!</v>
      </c>
      <c r="IN216" t="e">
        <f>IF(Confirmations!#REF!,"AAAAAHftvfc=",0)</f>
        <v>#REF!</v>
      </c>
      <c r="IO216" t="e">
        <f>AND(Confirmations!#REF!,"AAAAAHftvfg=")</f>
        <v>#REF!</v>
      </c>
      <c r="IP216" t="e">
        <f>AND(Confirmations!#REF!,"AAAAAHftvfk=")</f>
        <v>#REF!</v>
      </c>
      <c r="IQ216" t="e">
        <f>AND(Confirmations!#REF!,"AAAAAHftvfo=")</f>
        <v>#REF!</v>
      </c>
      <c r="IR216" t="e">
        <f>AND(Confirmations!#REF!,"AAAAAHftvfs=")</f>
        <v>#REF!</v>
      </c>
      <c r="IS216" t="e">
        <f>AND(Confirmations!#REF!,"AAAAAHftvfw=")</f>
        <v>#REF!</v>
      </c>
      <c r="IT216" t="e">
        <f>AND(Confirmations!#REF!,"AAAAAHftvf0=")</f>
        <v>#REF!</v>
      </c>
      <c r="IU216" t="e">
        <f>AND(Confirmations!#REF!,"AAAAAHftvf4=")</f>
        <v>#REF!</v>
      </c>
      <c r="IV216" t="e">
        <f>AND(Confirmations!#REF!,"AAAAAHftvf8=")</f>
        <v>#REF!</v>
      </c>
    </row>
    <row r="217" spans="1:256" x14ac:dyDescent="0.2">
      <c r="A217" t="e">
        <f>AND(Confirmations!#REF!,"AAAAAH6znAA=")</f>
        <v>#REF!</v>
      </c>
      <c r="B217" t="e">
        <f>AND(Confirmations!#REF!,"AAAAAH6znAE=")</f>
        <v>#REF!</v>
      </c>
      <c r="C217" t="e">
        <f>AND(Confirmations!#REF!,"AAAAAH6znAI=")</f>
        <v>#REF!</v>
      </c>
      <c r="D217" t="e">
        <f>AND(Confirmations!#REF!,"AAAAAH6znAM=")</f>
        <v>#REF!</v>
      </c>
      <c r="E217" t="e">
        <f>AND(Confirmations!#REF!,"AAAAAH6znAQ=")</f>
        <v>#REF!</v>
      </c>
      <c r="F217" t="e">
        <f>AND(Confirmations!#REF!,"AAAAAH6znAU=")</f>
        <v>#REF!</v>
      </c>
      <c r="G217" t="e">
        <f>AND(Confirmations!#REF!,"AAAAAH6znAY=")</f>
        <v>#REF!</v>
      </c>
      <c r="H217" t="e">
        <f>AND(Confirmations!#REF!,"AAAAAH6znAc=")</f>
        <v>#REF!</v>
      </c>
      <c r="I217" t="e">
        <f>AND(Confirmations!#REF!,"AAAAAH6znAg=")</f>
        <v>#REF!</v>
      </c>
      <c r="J217" t="e">
        <f>IF(Confirmations!#REF!,"AAAAAH6znAk=",0)</f>
        <v>#REF!</v>
      </c>
      <c r="K217" t="e">
        <f>AND(Confirmations!#REF!,"AAAAAH6znAo=")</f>
        <v>#REF!</v>
      </c>
      <c r="L217" t="e">
        <f>AND(Confirmations!#REF!,"AAAAAH6znAs=")</f>
        <v>#REF!</v>
      </c>
      <c r="M217" t="e">
        <f>AND(Confirmations!#REF!,"AAAAAH6znAw=")</f>
        <v>#REF!</v>
      </c>
      <c r="N217" t="e">
        <f>AND(Confirmations!#REF!,"AAAAAH6znA0=")</f>
        <v>#REF!</v>
      </c>
      <c r="O217" t="e">
        <f>AND(Confirmations!#REF!,"AAAAAH6znA4=")</f>
        <v>#REF!</v>
      </c>
      <c r="P217" t="e">
        <f>AND(Confirmations!#REF!,"AAAAAH6znA8=")</f>
        <v>#REF!</v>
      </c>
      <c r="Q217" t="e">
        <f>AND(Confirmations!#REF!,"AAAAAH6znBA=")</f>
        <v>#REF!</v>
      </c>
      <c r="R217" t="e">
        <f>AND(Confirmations!#REF!,"AAAAAH6znBE=")</f>
        <v>#REF!</v>
      </c>
      <c r="S217" t="e">
        <f>AND(Confirmations!#REF!,"AAAAAH6znBI=")</f>
        <v>#REF!</v>
      </c>
      <c r="T217" t="e">
        <f>AND(Confirmations!#REF!,"AAAAAH6znBM=")</f>
        <v>#REF!</v>
      </c>
      <c r="U217" t="e">
        <f>AND(Confirmations!#REF!,"AAAAAH6znBQ=")</f>
        <v>#REF!</v>
      </c>
      <c r="V217" t="e">
        <f>AND(Confirmations!#REF!,"AAAAAH6znBU=")</f>
        <v>#REF!</v>
      </c>
      <c r="W217" t="e">
        <f>AND(Confirmations!#REF!,"AAAAAH6znBY=")</f>
        <v>#REF!</v>
      </c>
      <c r="X217" t="e">
        <f>AND(Confirmations!#REF!,"AAAAAH6znBc=")</f>
        <v>#REF!</v>
      </c>
      <c r="Y217" t="e">
        <f>AND(Confirmations!#REF!,"AAAAAH6znBg=")</f>
        <v>#REF!</v>
      </c>
      <c r="Z217" t="e">
        <f>AND(Confirmations!#REF!,"AAAAAH6znBk=")</f>
        <v>#REF!</v>
      </c>
      <c r="AA217" t="e">
        <f>AND(Confirmations!#REF!,"AAAAAH6znBo=")</f>
        <v>#REF!</v>
      </c>
      <c r="AB217" t="e">
        <f>IF(Confirmations!#REF!,"AAAAAH6znBs=",0)</f>
        <v>#REF!</v>
      </c>
      <c r="AC217" t="e">
        <f>AND(Confirmations!#REF!,"AAAAAH6znBw=")</f>
        <v>#REF!</v>
      </c>
      <c r="AD217" t="e">
        <f>AND(Confirmations!#REF!,"AAAAAH6znB0=")</f>
        <v>#REF!</v>
      </c>
      <c r="AE217" t="e">
        <f>AND(Confirmations!#REF!,"AAAAAH6znB4=")</f>
        <v>#REF!</v>
      </c>
      <c r="AF217" t="e">
        <f>AND(Confirmations!#REF!,"AAAAAH6znB8=")</f>
        <v>#REF!</v>
      </c>
      <c r="AG217" t="e">
        <f>AND(Confirmations!#REF!,"AAAAAH6znCA=")</f>
        <v>#REF!</v>
      </c>
      <c r="AH217" t="e">
        <f>AND(Confirmations!#REF!,"AAAAAH6znCE=")</f>
        <v>#REF!</v>
      </c>
      <c r="AI217" t="e">
        <f>AND(Confirmations!#REF!,"AAAAAH6znCI=")</f>
        <v>#REF!</v>
      </c>
      <c r="AJ217" t="e">
        <f>AND(Confirmations!#REF!,"AAAAAH6znCM=")</f>
        <v>#REF!</v>
      </c>
      <c r="AK217" t="e">
        <f>AND(Confirmations!#REF!,"AAAAAH6znCQ=")</f>
        <v>#REF!</v>
      </c>
      <c r="AL217" t="e">
        <f>AND(Confirmations!#REF!,"AAAAAH6znCU=")</f>
        <v>#REF!</v>
      </c>
      <c r="AM217" t="e">
        <f>AND(Confirmations!#REF!,"AAAAAH6znCY=")</f>
        <v>#REF!</v>
      </c>
      <c r="AN217" t="e">
        <f>AND(Confirmations!#REF!,"AAAAAH6znCc=")</f>
        <v>#REF!</v>
      </c>
      <c r="AO217" t="e">
        <f>AND(Confirmations!#REF!,"AAAAAH6znCg=")</f>
        <v>#REF!</v>
      </c>
      <c r="AP217" t="e">
        <f>AND(Confirmations!#REF!,"AAAAAH6znCk=")</f>
        <v>#REF!</v>
      </c>
      <c r="AQ217" t="e">
        <f>AND(Confirmations!#REF!,"AAAAAH6znCo=")</f>
        <v>#REF!</v>
      </c>
      <c r="AR217" t="e">
        <f>AND(Confirmations!#REF!,"AAAAAH6znCs=")</f>
        <v>#REF!</v>
      </c>
      <c r="AS217" t="e">
        <f>AND(Confirmations!#REF!,"AAAAAH6znCw=")</f>
        <v>#REF!</v>
      </c>
      <c r="AT217" t="e">
        <f>IF(Confirmations!#REF!,"AAAAAH6znC0=",0)</f>
        <v>#REF!</v>
      </c>
      <c r="AU217" t="e">
        <f>AND(Confirmations!#REF!,"AAAAAH6znC4=")</f>
        <v>#REF!</v>
      </c>
      <c r="AV217" t="e">
        <f>AND(Confirmations!#REF!,"AAAAAH6znC8=")</f>
        <v>#REF!</v>
      </c>
      <c r="AW217" t="e">
        <f>AND(Confirmations!#REF!,"AAAAAH6znDA=")</f>
        <v>#REF!</v>
      </c>
      <c r="AX217" t="e">
        <f>AND(Confirmations!#REF!,"AAAAAH6znDE=")</f>
        <v>#REF!</v>
      </c>
      <c r="AY217" t="e">
        <f>AND(Confirmations!#REF!,"AAAAAH6znDI=")</f>
        <v>#REF!</v>
      </c>
      <c r="AZ217" t="e">
        <f>AND(Confirmations!#REF!,"AAAAAH6znDM=")</f>
        <v>#REF!</v>
      </c>
      <c r="BA217" t="e">
        <f>AND(Confirmations!#REF!,"AAAAAH6znDQ=")</f>
        <v>#REF!</v>
      </c>
      <c r="BB217" t="e">
        <f>AND(Confirmations!#REF!,"AAAAAH6znDU=")</f>
        <v>#REF!</v>
      </c>
      <c r="BC217" t="e">
        <f>AND(Confirmations!#REF!,"AAAAAH6znDY=")</f>
        <v>#REF!</v>
      </c>
      <c r="BD217" t="e">
        <f>AND(Confirmations!#REF!,"AAAAAH6znDc=")</f>
        <v>#REF!</v>
      </c>
      <c r="BE217" t="e">
        <f>AND(Confirmations!#REF!,"AAAAAH6znDg=")</f>
        <v>#REF!</v>
      </c>
      <c r="BF217" t="e">
        <f>AND(Confirmations!#REF!,"AAAAAH6znDk=")</f>
        <v>#REF!</v>
      </c>
      <c r="BG217" t="e">
        <f>AND(Confirmations!#REF!,"AAAAAH6znDo=")</f>
        <v>#REF!</v>
      </c>
      <c r="BH217" t="e">
        <f>AND(Confirmations!#REF!,"AAAAAH6znDs=")</f>
        <v>#REF!</v>
      </c>
      <c r="BI217" t="e">
        <f>AND(Confirmations!#REF!,"AAAAAH6znDw=")</f>
        <v>#REF!</v>
      </c>
      <c r="BJ217" t="e">
        <f>AND(Confirmations!#REF!,"AAAAAH6znD0=")</f>
        <v>#REF!</v>
      </c>
      <c r="BK217" t="e">
        <f>AND(Confirmations!#REF!,"AAAAAH6znD4=")</f>
        <v>#REF!</v>
      </c>
      <c r="BL217" t="e">
        <f>IF(Confirmations!#REF!,"AAAAAH6znD8=",0)</f>
        <v>#REF!</v>
      </c>
      <c r="BM217" t="e">
        <f>AND(Confirmations!#REF!,"AAAAAH6znEA=")</f>
        <v>#REF!</v>
      </c>
      <c r="BN217" t="e">
        <f>AND(Confirmations!#REF!,"AAAAAH6znEE=")</f>
        <v>#REF!</v>
      </c>
      <c r="BO217" t="e">
        <f>AND(Confirmations!#REF!,"AAAAAH6znEI=")</f>
        <v>#REF!</v>
      </c>
      <c r="BP217" t="e">
        <f>AND(Confirmations!#REF!,"AAAAAH6znEM=")</f>
        <v>#REF!</v>
      </c>
      <c r="BQ217" t="e">
        <f>AND(Confirmations!#REF!,"AAAAAH6znEQ=")</f>
        <v>#REF!</v>
      </c>
      <c r="BR217" t="e">
        <f>AND(Confirmations!#REF!,"AAAAAH6znEU=")</f>
        <v>#REF!</v>
      </c>
      <c r="BS217" t="e">
        <f>AND(Confirmations!#REF!,"AAAAAH6znEY=")</f>
        <v>#REF!</v>
      </c>
      <c r="BT217" t="e">
        <f>AND(Confirmations!#REF!,"AAAAAH6znEc=")</f>
        <v>#REF!</v>
      </c>
      <c r="BU217" t="e">
        <f>AND(Confirmations!#REF!,"AAAAAH6znEg=")</f>
        <v>#REF!</v>
      </c>
      <c r="BV217" t="e">
        <f>AND(Confirmations!#REF!,"AAAAAH6znEk=")</f>
        <v>#REF!</v>
      </c>
      <c r="BW217" t="e">
        <f>AND(Confirmations!#REF!,"AAAAAH6znEo=")</f>
        <v>#REF!</v>
      </c>
      <c r="BX217" t="e">
        <f>AND(Confirmations!#REF!,"AAAAAH6znEs=")</f>
        <v>#REF!</v>
      </c>
      <c r="BY217" t="e">
        <f>AND(Confirmations!#REF!,"AAAAAH6znEw=")</f>
        <v>#REF!</v>
      </c>
      <c r="BZ217" t="e">
        <f>AND(Confirmations!#REF!,"AAAAAH6znE0=")</f>
        <v>#REF!</v>
      </c>
      <c r="CA217" t="e">
        <f>AND(Confirmations!#REF!,"AAAAAH6znE4=")</f>
        <v>#REF!</v>
      </c>
      <c r="CB217" t="e">
        <f>AND(Confirmations!#REF!,"AAAAAH6znE8=")</f>
        <v>#REF!</v>
      </c>
      <c r="CC217" t="e">
        <f>AND(Confirmations!#REF!,"AAAAAH6znFA=")</f>
        <v>#REF!</v>
      </c>
      <c r="CD217" t="e">
        <f>IF(Confirmations!#REF!,"AAAAAH6znFE=",0)</f>
        <v>#REF!</v>
      </c>
      <c r="CE217" t="e">
        <f>AND(Confirmations!#REF!,"AAAAAH6znFI=")</f>
        <v>#REF!</v>
      </c>
      <c r="CF217" t="e">
        <f>AND(Confirmations!#REF!,"AAAAAH6znFM=")</f>
        <v>#REF!</v>
      </c>
      <c r="CG217" t="e">
        <f>AND(Confirmations!#REF!,"AAAAAH6znFQ=")</f>
        <v>#REF!</v>
      </c>
      <c r="CH217" t="e">
        <f>AND(Confirmations!#REF!,"AAAAAH6znFU=")</f>
        <v>#REF!</v>
      </c>
      <c r="CI217" t="e">
        <f>AND(Confirmations!#REF!,"AAAAAH6znFY=")</f>
        <v>#REF!</v>
      </c>
      <c r="CJ217" t="e">
        <f>AND(Confirmations!#REF!,"AAAAAH6znFc=")</f>
        <v>#REF!</v>
      </c>
      <c r="CK217" t="e">
        <f>AND(Confirmations!#REF!,"AAAAAH6znFg=")</f>
        <v>#REF!</v>
      </c>
      <c r="CL217" t="e">
        <f>AND(Confirmations!#REF!,"AAAAAH6znFk=")</f>
        <v>#REF!</v>
      </c>
      <c r="CM217" t="e">
        <f>AND(Confirmations!#REF!,"AAAAAH6znFo=")</f>
        <v>#REF!</v>
      </c>
      <c r="CN217" t="e">
        <f>AND(Confirmations!#REF!,"AAAAAH6znFs=")</f>
        <v>#REF!</v>
      </c>
      <c r="CO217" t="e">
        <f>AND(Confirmations!#REF!,"AAAAAH6znFw=")</f>
        <v>#REF!</v>
      </c>
      <c r="CP217" t="e">
        <f>AND(Confirmations!#REF!,"AAAAAH6znF0=")</f>
        <v>#REF!</v>
      </c>
      <c r="CQ217" t="e">
        <f>AND(Confirmations!#REF!,"AAAAAH6znF4=")</f>
        <v>#REF!</v>
      </c>
      <c r="CR217" t="e">
        <f>AND(Confirmations!#REF!,"AAAAAH6znF8=")</f>
        <v>#REF!</v>
      </c>
      <c r="CS217" t="e">
        <f>AND(Confirmations!#REF!,"AAAAAH6znGA=")</f>
        <v>#REF!</v>
      </c>
      <c r="CT217" t="e">
        <f>AND(Confirmations!#REF!,"AAAAAH6znGE=")</f>
        <v>#REF!</v>
      </c>
      <c r="CU217" t="e">
        <f>AND(Confirmations!#REF!,"AAAAAH6znGI=")</f>
        <v>#REF!</v>
      </c>
      <c r="CV217" t="e">
        <f>IF(Confirmations!#REF!,"AAAAAH6znGM=",0)</f>
        <v>#REF!</v>
      </c>
      <c r="CW217" t="e">
        <f>AND(Confirmations!#REF!,"AAAAAH6znGQ=")</f>
        <v>#REF!</v>
      </c>
      <c r="CX217" t="e">
        <f>AND(Confirmations!#REF!,"AAAAAH6znGU=")</f>
        <v>#REF!</v>
      </c>
      <c r="CY217" t="e">
        <f>AND(Confirmations!#REF!,"AAAAAH6znGY=")</f>
        <v>#REF!</v>
      </c>
      <c r="CZ217" t="e">
        <f>AND(Confirmations!#REF!,"AAAAAH6znGc=")</f>
        <v>#REF!</v>
      </c>
      <c r="DA217" t="e">
        <f>AND(Confirmations!#REF!,"AAAAAH6znGg=")</f>
        <v>#REF!</v>
      </c>
      <c r="DB217" t="e">
        <f>AND(Confirmations!#REF!,"AAAAAH6znGk=")</f>
        <v>#REF!</v>
      </c>
      <c r="DC217" t="e">
        <f>AND(Confirmations!#REF!,"AAAAAH6znGo=")</f>
        <v>#REF!</v>
      </c>
      <c r="DD217" t="e">
        <f>AND(Confirmations!#REF!,"AAAAAH6znGs=")</f>
        <v>#REF!</v>
      </c>
      <c r="DE217" t="e">
        <f>AND(Confirmations!#REF!,"AAAAAH6znGw=")</f>
        <v>#REF!</v>
      </c>
      <c r="DF217" t="e">
        <f>AND(Confirmations!#REF!,"AAAAAH6znG0=")</f>
        <v>#REF!</v>
      </c>
      <c r="DG217" t="e">
        <f>AND(Confirmations!#REF!,"AAAAAH6znG4=")</f>
        <v>#REF!</v>
      </c>
      <c r="DH217" t="e">
        <f>AND(Confirmations!#REF!,"AAAAAH6znG8=")</f>
        <v>#REF!</v>
      </c>
      <c r="DI217" t="e">
        <f>AND(Confirmations!#REF!,"AAAAAH6znHA=")</f>
        <v>#REF!</v>
      </c>
      <c r="DJ217" t="e">
        <f>AND(Confirmations!#REF!,"AAAAAH6znHE=")</f>
        <v>#REF!</v>
      </c>
      <c r="DK217" t="e">
        <f>AND(Confirmations!#REF!,"AAAAAH6znHI=")</f>
        <v>#REF!</v>
      </c>
      <c r="DL217" t="e">
        <f>AND(Confirmations!#REF!,"AAAAAH6znHM=")</f>
        <v>#REF!</v>
      </c>
      <c r="DM217" t="e">
        <f>AND(Confirmations!#REF!,"AAAAAH6znHQ=")</f>
        <v>#REF!</v>
      </c>
      <c r="DN217" t="e">
        <f>IF(Confirmations!#REF!,"AAAAAH6znHU=",0)</f>
        <v>#REF!</v>
      </c>
      <c r="DO217" t="e">
        <f>AND(Confirmations!#REF!,"AAAAAH6znHY=")</f>
        <v>#REF!</v>
      </c>
      <c r="DP217" t="e">
        <f>AND(Confirmations!#REF!,"AAAAAH6znHc=")</f>
        <v>#REF!</v>
      </c>
      <c r="DQ217" t="e">
        <f>AND(Confirmations!#REF!,"AAAAAH6znHg=")</f>
        <v>#REF!</v>
      </c>
      <c r="DR217" t="e">
        <f>AND(Confirmations!#REF!,"AAAAAH6znHk=")</f>
        <v>#REF!</v>
      </c>
      <c r="DS217" t="e">
        <f>AND(Confirmations!#REF!,"AAAAAH6znHo=")</f>
        <v>#REF!</v>
      </c>
      <c r="DT217" t="e">
        <f>AND(Confirmations!#REF!,"AAAAAH6znHs=")</f>
        <v>#REF!</v>
      </c>
      <c r="DU217" t="e">
        <f>AND(Confirmations!#REF!,"AAAAAH6znHw=")</f>
        <v>#REF!</v>
      </c>
      <c r="DV217" t="e">
        <f>AND(Confirmations!#REF!,"AAAAAH6znH0=")</f>
        <v>#REF!</v>
      </c>
      <c r="DW217" t="e">
        <f>AND(Confirmations!#REF!,"AAAAAH6znH4=")</f>
        <v>#REF!</v>
      </c>
      <c r="DX217" t="e">
        <f>AND(Confirmations!#REF!,"AAAAAH6znH8=")</f>
        <v>#REF!</v>
      </c>
      <c r="DY217" t="e">
        <f>AND(Confirmations!#REF!,"AAAAAH6znIA=")</f>
        <v>#REF!</v>
      </c>
      <c r="DZ217" t="e">
        <f>AND(Confirmations!#REF!,"AAAAAH6znIE=")</f>
        <v>#REF!</v>
      </c>
      <c r="EA217" t="e">
        <f>AND(Confirmations!#REF!,"AAAAAH6znII=")</f>
        <v>#REF!</v>
      </c>
      <c r="EB217" t="e">
        <f>AND(Confirmations!#REF!,"AAAAAH6znIM=")</f>
        <v>#REF!</v>
      </c>
      <c r="EC217" t="e">
        <f>AND(Confirmations!#REF!,"AAAAAH6znIQ=")</f>
        <v>#REF!</v>
      </c>
      <c r="ED217" t="e">
        <f>AND(Confirmations!#REF!,"AAAAAH6znIU=")</f>
        <v>#REF!</v>
      </c>
      <c r="EE217" t="e">
        <f>AND(Confirmations!#REF!,"AAAAAH6znIY=")</f>
        <v>#REF!</v>
      </c>
      <c r="EF217" t="e">
        <f>IF(Confirmations!#REF!,"AAAAAH6znIc=",0)</f>
        <v>#REF!</v>
      </c>
      <c r="EG217" t="e">
        <f>AND(Confirmations!#REF!,"AAAAAH6znIg=")</f>
        <v>#REF!</v>
      </c>
      <c r="EH217" t="e">
        <f>AND(Confirmations!#REF!,"AAAAAH6znIk=")</f>
        <v>#REF!</v>
      </c>
      <c r="EI217" t="e">
        <f>AND(Confirmations!#REF!,"AAAAAH6znIo=")</f>
        <v>#REF!</v>
      </c>
      <c r="EJ217" t="e">
        <f>AND(Confirmations!#REF!,"AAAAAH6znIs=")</f>
        <v>#REF!</v>
      </c>
      <c r="EK217" t="e">
        <f>AND(Confirmations!#REF!,"AAAAAH6znIw=")</f>
        <v>#REF!</v>
      </c>
      <c r="EL217" t="e">
        <f>AND(Confirmations!#REF!,"AAAAAH6znI0=")</f>
        <v>#REF!</v>
      </c>
      <c r="EM217" t="e">
        <f>AND(Confirmations!#REF!,"AAAAAH6znI4=")</f>
        <v>#REF!</v>
      </c>
      <c r="EN217" t="e">
        <f>AND(Confirmations!#REF!,"AAAAAH6znI8=")</f>
        <v>#REF!</v>
      </c>
      <c r="EO217" t="e">
        <f>AND(Confirmations!#REF!,"AAAAAH6znJA=")</f>
        <v>#REF!</v>
      </c>
      <c r="EP217" t="e">
        <f>AND(Confirmations!#REF!,"AAAAAH6znJE=")</f>
        <v>#REF!</v>
      </c>
      <c r="EQ217" t="e">
        <f>AND(Confirmations!#REF!,"AAAAAH6znJI=")</f>
        <v>#REF!</v>
      </c>
      <c r="ER217" t="e">
        <f>AND(Confirmations!#REF!,"AAAAAH6znJM=")</f>
        <v>#REF!</v>
      </c>
      <c r="ES217" t="e">
        <f>AND(Confirmations!#REF!,"AAAAAH6znJQ=")</f>
        <v>#REF!</v>
      </c>
      <c r="ET217" t="e">
        <f>AND(Confirmations!#REF!,"AAAAAH6znJU=")</f>
        <v>#REF!</v>
      </c>
      <c r="EU217" t="e">
        <f>AND(Confirmations!#REF!,"AAAAAH6znJY=")</f>
        <v>#REF!</v>
      </c>
      <c r="EV217" t="e">
        <f>AND(Confirmations!#REF!,"AAAAAH6znJc=")</f>
        <v>#REF!</v>
      </c>
      <c r="EW217" t="e">
        <f>AND(Confirmations!#REF!,"AAAAAH6znJg=")</f>
        <v>#REF!</v>
      </c>
      <c r="EX217" t="e">
        <f>IF(Confirmations!#REF!,"AAAAAH6znJk=",0)</f>
        <v>#REF!</v>
      </c>
      <c r="EY217" t="e">
        <f>AND(Confirmations!#REF!,"AAAAAH6znJo=")</f>
        <v>#REF!</v>
      </c>
      <c r="EZ217" t="e">
        <f>AND(Confirmations!#REF!,"AAAAAH6znJs=")</f>
        <v>#REF!</v>
      </c>
      <c r="FA217" t="e">
        <f>AND(Confirmations!#REF!,"AAAAAH6znJw=")</f>
        <v>#REF!</v>
      </c>
      <c r="FB217" t="e">
        <f>AND(Confirmations!#REF!,"AAAAAH6znJ0=")</f>
        <v>#REF!</v>
      </c>
      <c r="FC217" t="e">
        <f>AND(Confirmations!#REF!,"AAAAAH6znJ4=")</f>
        <v>#REF!</v>
      </c>
      <c r="FD217" t="e">
        <f>AND(Confirmations!#REF!,"AAAAAH6znJ8=")</f>
        <v>#REF!</v>
      </c>
      <c r="FE217" t="e">
        <f>AND(Confirmations!#REF!,"AAAAAH6znKA=")</f>
        <v>#REF!</v>
      </c>
      <c r="FF217" t="e">
        <f>AND(Confirmations!#REF!,"AAAAAH6znKE=")</f>
        <v>#REF!</v>
      </c>
      <c r="FG217" t="e">
        <f>AND(Confirmations!#REF!,"AAAAAH6znKI=")</f>
        <v>#REF!</v>
      </c>
      <c r="FH217" t="e">
        <f>AND(Confirmations!#REF!,"AAAAAH6znKM=")</f>
        <v>#REF!</v>
      </c>
      <c r="FI217" t="e">
        <f>AND(Confirmations!#REF!,"AAAAAH6znKQ=")</f>
        <v>#REF!</v>
      </c>
      <c r="FJ217" t="e">
        <f>AND(Confirmations!#REF!,"AAAAAH6znKU=")</f>
        <v>#REF!</v>
      </c>
      <c r="FK217" t="e">
        <f>AND(Confirmations!#REF!,"AAAAAH6znKY=")</f>
        <v>#REF!</v>
      </c>
      <c r="FL217" t="e">
        <f>AND(Confirmations!#REF!,"AAAAAH6znKc=")</f>
        <v>#REF!</v>
      </c>
      <c r="FM217" t="e">
        <f>AND(Confirmations!#REF!,"AAAAAH6znKg=")</f>
        <v>#REF!</v>
      </c>
      <c r="FN217" t="e">
        <f>AND(Confirmations!#REF!,"AAAAAH6znKk=")</f>
        <v>#REF!</v>
      </c>
      <c r="FO217" t="e">
        <f>AND(Confirmations!#REF!,"AAAAAH6znKo=")</f>
        <v>#REF!</v>
      </c>
      <c r="FP217" t="e">
        <f>IF(Confirmations!#REF!,"AAAAAH6znKs=",0)</f>
        <v>#REF!</v>
      </c>
      <c r="FQ217" t="e">
        <f>AND(Confirmations!#REF!,"AAAAAH6znKw=")</f>
        <v>#REF!</v>
      </c>
      <c r="FR217" t="e">
        <f>AND(Confirmations!#REF!,"AAAAAH6znK0=")</f>
        <v>#REF!</v>
      </c>
      <c r="FS217" t="e">
        <f>AND(Confirmations!#REF!,"AAAAAH6znK4=")</f>
        <v>#REF!</v>
      </c>
      <c r="FT217" t="e">
        <f>AND(Confirmations!#REF!,"AAAAAH6znK8=")</f>
        <v>#REF!</v>
      </c>
      <c r="FU217" t="e">
        <f>AND(Confirmations!#REF!,"AAAAAH6znLA=")</f>
        <v>#REF!</v>
      </c>
      <c r="FV217" t="e">
        <f>AND(Confirmations!#REF!,"AAAAAH6znLE=")</f>
        <v>#REF!</v>
      </c>
      <c r="FW217" t="e">
        <f>AND(Confirmations!#REF!,"AAAAAH6znLI=")</f>
        <v>#REF!</v>
      </c>
      <c r="FX217" t="e">
        <f>AND(Confirmations!#REF!,"AAAAAH6znLM=")</f>
        <v>#REF!</v>
      </c>
      <c r="FY217" t="e">
        <f>AND(Confirmations!#REF!,"AAAAAH6znLQ=")</f>
        <v>#REF!</v>
      </c>
      <c r="FZ217" t="e">
        <f>AND(Confirmations!#REF!,"AAAAAH6znLU=")</f>
        <v>#REF!</v>
      </c>
      <c r="GA217" t="e">
        <f>AND(Confirmations!#REF!,"AAAAAH6znLY=")</f>
        <v>#REF!</v>
      </c>
      <c r="GB217" t="e">
        <f>AND(Confirmations!#REF!,"AAAAAH6znLc=")</f>
        <v>#REF!</v>
      </c>
      <c r="GC217" t="e">
        <f>AND(Confirmations!#REF!,"AAAAAH6znLg=")</f>
        <v>#REF!</v>
      </c>
      <c r="GD217" t="e">
        <f>AND(Confirmations!#REF!,"AAAAAH6znLk=")</f>
        <v>#REF!</v>
      </c>
      <c r="GE217" t="e">
        <f>AND(Confirmations!#REF!,"AAAAAH6znLo=")</f>
        <v>#REF!</v>
      </c>
      <c r="GF217" t="e">
        <f>AND(Confirmations!#REF!,"AAAAAH6znLs=")</f>
        <v>#REF!</v>
      </c>
      <c r="GG217" t="e">
        <f>AND(Confirmations!#REF!,"AAAAAH6znLw=")</f>
        <v>#REF!</v>
      </c>
      <c r="GH217" t="e">
        <f>IF(Confirmations!#REF!,"AAAAAH6znL0=",0)</f>
        <v>#REF!</v>
      </c>
      <c r="GI217" t="e">
        <f>AND(Confirmations!#REF!,"AAAAAH6znL4=")</f>
        <v>#REF!</v>
      </c>
      <c r="GJ217" t="e">
        <f>AND(Confirmations!#REF!,"AAAAAH6znL8=")</f>
        <v>#REF!</v>
      </c>
      <c r="GK217" t="e">
        <f>AND(Confirmations!#REF!,"AAAAAH6znMA=")</f>
        <v>#REF!</v>
      </c>
      <c r="GL217" t="e">
        <f>AND(Confirmations!#REF!,"AAAAAH6znME=")</f>
        <v>#REF!</v>
      </c>
      <c r="GM217" t="e">
        <f>AND(Confirmations!#REF!,"AAAAAH6znMI=")</f>
        <v>#REF!</v>
      </c>
      <c r="GN217" t="e">
        <f>AND(Confirmations!#REF!,"AAAAAH6znMM=")</f>
        <v>#REF!</v>
      </c>
      <c r="GO217" t="e">
        <f>AND(Confirmations!#REF!,"AAAAAH6znMQ=")</f>
        <v>#REF!</v>
      </c>
      <c r="GP217" t="e">
        <f>AND(Confirmations!#REF!,"AAAAAH6znMU=")</f>
        <v>#REF!</v>
      </c>
      <c r="GQ217" t="e">
        <f>AND(Confirmations!#REF!,"AAAAAH6znMY=")</f>
        <v>#REF!</v>
      </c>
      <c r="GR217" t="e">
        <f>AND(Confirmations!#REF!,"AAAAAH6znMc=")</f>
        <v>#REF!</v>
      </c>
      <c r="GS217" t="e">
        <f>AND(Confirmations!#REF!,"AAAAAH6znMg=")</f>
        <v>#REF!</v>
      </c>
      <c r="GT217" t="e">
        <f>AND(Confirmations!#REF!,"AAAAAH6znMk=")</f>
        <v>#REF!</v>
      </c>
      <c r="GU217" t="e">
        <f>AND(Confirmations!#REF!,"AAAAAH6znMo=")</f>
        <v>#REF!</v>
      </c>
      <c r="GV217" t="e">
        <f>AND(Confirmations!#REF!,"AAAAAH6znMs=")</f>
        <v>#REF!</v>
      </c>
      <c r="GW217" t="e">
        <f>AND(Confirmations!#REF!,"AAAAAH6znMw=")</f>
        <v>#REF!</v>
      </c>
      <c r="GX217" t="e">
        <f>AND(Confirmations!#REF!,"AAAAAH6znM0=")</f>
        <v>#REF!</v>
      </c>
      <c r="GY217" t="e">
        <f>AND(Confirmations!#REF!,"AAAAAH6znM4=")</f>
        <v>#REF!</v>
      </c>
      <c r="GZ217" t="e">
        <f>IF(Confirmations!#REF!,"AAAAAH6znM8=",0)</f>
        <v>#REF!</v>
      </c>
      <c r="HA217" t="e">
        <f>AND(Confirmations!#REF!,"AAAAAH6znNA=")</f>
        <v>#REF!</v>
      </c>
      <c r="HB217" t="e">
        <f>AND(Confirmations!#REF!,"AAAAAH6znNE=")</f>
        <v>#REF!</v>
      </c>
      <c r="HC217" t="e">
        <f>AND(Confirmations!#REF!,"AAAAAH6znNI=")</f>
        <v>#REF!</v>
      </c>
      <c r="HD217" t="e">
        <f>AND(Confirmations!#REF!,"AAAAAH6znNM=")</f>
        <v>#REF!</v>
      </c>
      <c r="HE217" t="e">
        <f>AND(Confirmations!#REF!,"AAAAAH6znNQ=")</f>
        <v>#REF!</v>
      </c>
      <c r="HF217" t="e">
        <f>AND(Confirmations!#REF!,"AAAAAH6znNU=")</f>
        <v>#REF!</v>
      </c>
      <c r="HG217" t="e">
        <f>AND(Confirmations!#REF!,"AAAAAH6znNY=")</f>
        <v>#REF!</v>
      </c>
      <c r="HH217" t="e">
        <f>AND(Confirmations!#REF!,"AAAAAH6znNc=")</f>
        <v>#REF!</v>
      </c>
      <c r="HI217" t="e">
        <f>AND(Confirmations!#REF!,"AAAAAH6znNg=")</f>
        <v>#REF!</v>
      </c>
      <c r="HJ217" t="e">
        <f>AND(Confirmations!#REF!,"AAAAAH6znNk=")</f>
        <v>#REF!</v>
      </c>
      <c r="HK217" t="e">
        <f>AND(Confirmations!#REF!,"AAAAAH6znNo=")</f>
        <v>#REF!</v>
      </c>
      <c r="HL217" t="e">
        <f>AND(Confirmations!#REF!,"AAAAAH6znNs=")</f>
        <v>#REF!</v>
      </c>
      <c r="HM217" t="e">
        <f>AND(Confirmations!#REF!,"AAAAAH6znNw=")</f>
        <v>#REF!</v>
      </c>
      <c r="HN217" t="e">
        <f>AND(Confirmations!#REF!,"AAAAAH6znN0=")</f>
        <v>#REF!</v>
      </c>
      <c r="HO217" t="e">
        <f>AND(Confirmations!#REF!,"AAAAAH6znN4=")</f>
        <v>#REF!</v>
      </c>
      <c r="HP217" t="e">
        <f>AND(Confirmations!#REF!,"AAAAAH6znN8=")</f>
        <v>#REF!</v>
      </c>
      <c r="HQ217" t="e">
        <f>AND(Confirmations!#REF!,"AAAAAH6znOA=")</f>
        <v>#REF!</v>
      </c>
      <c r="HR217" t="e">
        <f>IF(Confirmations!#REF!,"AAAAAH6znOE=",0)</f>
        <v>#REF!</v>
      </c>
      <c r="HS217" t="e">
        <f>AND(Confirmations!#REF!,"AAAAAH6znOI=")</f>
        <v>#REF!</v>
      </c>
      <c r="HT217" t="e">
        <f>AND(Confirmations!#REF!,"AAAAAH6znOM=")</f>
        <v>#REF!</v>
      </c>
      <c r="HU217" t="e">
        <f>AND(Confirmations!#REF!,"AAAAAH6znOQ=")</f>
        <v>#REF!</v>
      </c>
      <c r="HV217" t="e">
        <f>AND(Confirmations!#REF!,"AAAAAH6znOU=")</f>
        <v>#REF!</v>
      </c>
      <c r="HW217" t="e">
        <f>AND(Confirmations!#REF!,"AAAAAH6znOY=")</f>
        <v>#REF!</v>
      </c>
      <c r="HX217" t="e">
        <f>AND(Confirmations!#REF!,"AAAAAH6znOc=")</f>
        <v>#REF!</v>
      </c>
      <c r="HY217" t="e">
        <f>AND(Confirmations!#REF!,"AAAAAH6znOg=")</f>
        <v>#REF!</v>
      </c>
      <c r="HZ217" t="e">
        <f>AND(Confirmations!#REF!,"AAAAAH6znOk=")</f>
        <v>#REF!</v>
      </c>
      <c r="IA217" t="e">
        <f>AND(Confirmations!#REF!,"AAAAAH6znOo=")</f>
        <v>#REF!</v>
      </c>
      <c r="IB217" t="e">
        <f>AND(Confirmations!#REF!,"AAAAAH6znOs=")</f>
        <v>#REF!</v>
      </c>
      <c r="IC217" t="e">
        <f>AND(Confirmations!#REF!,"AAAAAH6znOw=")</f>
        <v>#REF!</v>
      </c>
      <c r="ID217" t="e">
        <f>AND(Confirmations!#REF!,"AAAAAH6znO0=")</f>
        <v>#REF!</v>
      </c>
      <c r="IE217" t="e">
        <f>AND(Confirmations!#REF!,"AAAAAH6znO4=")</f>
        <v>#REF!</v>
      </c>
      <c r="IF217" t="e">
        <f>AND(Confirmations!#REF!,"AAAAAH6znO8=")</f>
        <v>#REF!</v>
      </c>
      <c r="IG217" t="e">
        <f>AND(Confirmations!#REF!,"AAAAAH6znPA=")</f>
        <v>#REF!</v>
      </c>
      <c r="IH217" t="e">
        <f>AND(Confirmations!#REF!,"AAAAAH6znPE=")</f>
        <v>#REF!</v>
      </c>
      <c r="II217" t="e">
        <f>AND(Confirmations!#REF!,"AAAAAH6znPI=")</f>
        <v>#REF!</v>
      </c>
      <c r="IJ217" t="e">
        <f>IF(Confirmations!#REF!,"AAAAAH6znPM=",0)</f>
        <v>#REF!</v>
      </c>
      <c r="IK217" t="e">
        <f>AND(Confirmations!#REF!,"AAAAAH6znPQ=")</f>
        <v>#REF!</v>
      </c>
      <c r="IL217" t="e">
        <f>AND(Confirmations!#REF!,"AAAAAH6znPU=")</f>
        <v>#REF!</v>
      </c>
      <c r="IM217" t="e">
        <f>AND(Confirmations!#REF!,"AAAAAH6znPY=")</f>
        <v>#REF!</v>
      </c>
      <c r="IN217" t="e">
        <f>AND(Confirmations!#REF!,"AAAAAH6znPc=")</f>
        <v>#REF!</v>
      </c>
      <c r="IO217" t="e">
        <f>AND(Confirmations!#REF!,"AAAAAH6znPg=")</f>
        <v>#REF!</v>
      </c>
      <c r="IP217" t="e">
        <f>AND(Confirmations!#REF!,"AAAAAH6znPk=")</f>
        <v>#REF!</v>
      </c>
      <c r="IQ217" t="e">
        <f>AND(Confirmations!#REF!,"AAAAAH6znPo=")</f>
        <v>#REF!</v>
      </c>
      <c r="IR217" t="e">
        <f>AND(Confirmations!#REF!,"AAAAAH6znPs=")</f>
        <v>#REF!</v>
      </c>
      <c r="IS217" t="e">
        <f>AND(Confirmations!#REF!,"AAAAAH6znPw=")</f>
        <v>#REF!</v>
      </c>
      <c r="IT217" t="e">
        <f>AND(Confirmations!#REF!,"AAAAAH6znP0=")</f>
        <v>#REF!</v>
      </c>
      <c r="IU217" t="e">
        <f>AND(Confirmations!#REF!,"AAAAAH6znP4=")</f>
        <v>#REF!</v>
      </c>
      <c r="IV217" t="e">
        <f>AND(Confirmations!#REF!,"AAAAAH6znP8=")</f>
        <v>#REF!</v>
      </c>
    </row>
    <row r="218" spans="1:256" x14ac:dyDescent="0.2">
      <c r="A218" t="e">
        <f>AND(Confirmations!#REF!,"AAAAAHx/XQA=")</f>
        <v>#REF!</v>
      </c>
      <c r="B218" t="e">
        <f>AND(Confirmations!#REF!,"AAAAAHx/XQE=")</f>
        <v>#REF!</v>
      </c>
      <c r="C218" t="e">
        <f>AND(Confirmations!#REF!,"AAAAAHx/XQI=")</f>
        <v>#REF!</v>
      </c>
      <c r="D218" t="e">
        <f>AND(Confirmations!#REF!,"AAAAAHx/XQM=")</f>
        <v>#REF!</v>
      </c>
      <c r="E218" t="e">
        <f>AND(Confirmations!#REF!,"AAAAAHx/XQQ=")</f>
        <v>#REF!</v>
      </c>
      <c r="F218" t="e">
        <f>IF(Confirmations!#REF!,"AAAAAHx/XQU=",0)</f>
        <v>#REF!</v>
      </c>
      <c r="G218" t="e">
        <f>AND(Confirmations!#REF!,"AAAAAHx/XQY=")</f>
        <v>#REF!</v>
      </c>
      <c r="H218" t="e">
        <f>AND(Confirmations!#REF!,"AAAAAHx/XQc=")</f>
        <v>#REF!</v>
      </c>
      <c r="I218" t="e">
        <f>AND(Confirmations!#REF!,"AAAAAHx/XQg=")</f>
        <v>#REF!</v>
      </c>
      <c r="J218" t="e">
        <f>AND(Confirmations!#REF!,"AAAAAHx/XQk=")</f>
        <v>#REF!</v>
      </c>
      <c r="K218" t="e">
        <f>AND(Confirmations!#REF!,"AAAAAHx/XQo=")</f>
        <v>#REF!</v>
      </c>
      <c r="L218" t="e">
        <f>AND(Confirmations!#REF!,"AAAAAHx/XQs=")</f>
        <v>#REF!</v>
      </c>
      <c r="M218" t="e">
        <f>AND(Confirmations!#REF!,"AAAAAHx/XQw=")</f>
        <v>#REF!</v>
      </c>
      <c r="N218" t="e">
        <f>AND(Confirmations!#REF!,"AAAAAHx/XQ0=")</f>
        <v>#REF!</v>
      </c>
      <c r="O218" t="e">
        <f>AND(Confirmations!#REF!,"AAAAAHx/XQ4=")</f>
        <v>#REF!</v>
      </c>
      <c r="P218" t="e">
        <f>AND(Confirmations!#REF!,"AAAAAHx/XQ8=")</f>
        <v>#REF!</v>
      </c>
      <c r="Q218" t="e">
        <f>AND(Confirmations!#REF!,"AAAAAHx/XRA=")</f>
        <v>#REF!</v>
      </c>
      <c r="R218" t="e">
        <f>AND(Confirmations!#REF!,"AAAAAHx/XRE=")</f>
        <v>#REF!</v>
      </c>
      <c r="S218" t="e">
        <f>AND(Confirmations!#REF!,"AAAAAHx/XRI=")</f>
        <v>#REF!</v>
      </c>
      <c r="T218" t="e">
        <f>AND(Confirmations!#REF!,"AAAAAHx/XRM=")</f>
        <v>#REF!</v>
      </c>
      <c r="U218" t="e">
        <f>AND(Confirmations!#REF!,"AAAAAHx/XRQ=")</f>
        <v>#REF!</v>
      </c>
      <c r="V218" t="e">
        <f>AND(Confirmations!#REF!,"AAAAAHx/XRU=")</f>
        <v>#REF!</v>
      </c>
      <c r="W218" t="e">
        <f>AND(Confirmations!#REF!,"AAAAAHx/XRY=")</f>
        <v>#REF!</v>
      </c>
      <c r="X218" t="e">
        <f>IF(Confirmations!#REF!,"AAAAAHx/XRc=",0)</f>
        <v>#REF!</v>
      </c>
      <c r="Y218" t="e">
        <f>AND(Confirmations!#REF!,"AAAAAHx/XRg=")</f>
        <v>#REF!</v>
      </c>
      <c r="Z218" t="e">
        <f>AND(Confirmations!#REF!,"AAAAAHx/XRk=")</f>
        <v>#REF!</v>
      </c>
      <c r="AA218" t="e">
        <f>AND(Confirmations!#REF!,"AAAAAHx/XRo=")</f>
        <v>#REF!</v>
      </c>
      <c r="AB218" t="e">
        <f>AND(Confirmations!#REF!,"AAAAAHx/XRs=")</f>
        <v>#REF!</v>
      </c>
      <c r="AC218" t="e">
        <f>AND(Confirmations!#REF!,"AAAAAHx/XRw=")</f>
        <v>#REF!</v>
      </c>
      <c r="AD218" t="e">
        <f>AND(Confirmations!#REF!,"AAAAAHx/XR0=")</f>
        <v>#REF!</v>
      </c>
      <c r="AE218" t="e">
        <f>AND(Confirmations!#REF!,"AAAAAHx/XR4=")</f>
        <v>#REF!</v>
      </c>
      <c r="AF218" t="e">
        <f>AND(Confirmations!#REF!,"AAAAAHx/XR8=")</f>
        <v>#REF!</v>
      </c>
      <c r="AG218" t="e">
        <f>AND(Confirmations!#REF!,"AAAAAHx/XSA=")</f>
        <v>#REF!</v>
      </c>
      <c r="AH218" t="e">
        <f>AND(Confirmations!#REF!,"AAAAAHx/XSE=")</f>
        <v>#REF!</v>
      </c>
      <c r="AI218" t="e">
        <f>AND(Confirmations!#REF!,"AAAAAHx/XSI=")</f>
        <v>#REF!</v>
      </c>
      <c r="AJ218" t="e">
        <f>AND(Confirmations!#REF!,"AAAAAHx/XSM=")</f>
        <v>#REF!</v>
      </c>
      <c r="AK218" t="e">
        <f>AND(Confirmations!#REF!,"AAAAAHx/XSQ=")</f>
        <v>#REF!</v>
      </c>
      <c r="AL218" t="e">
        <f>AND(Confirmations!#REF!,"AAAAAHx/XSU=")</f>
        <v>#REF!</v>
      </c>
      <c r="AM218" t="e">
        <f>AND(Confirmations!#REF!,"AAAAAHx/XSY=")</f>
        <v>#REF!</v>
      </c>
      <c r="AN218" t="e">
        <f>AND(Confirmations!#REF!,"AAAAAHx/XSc=")</f>
        <v>#REF!</v>
      </c>
      <c r="AO218" t="e">
        <f>AND(Confirmations!#REF!,"AAAAAHx/XSg=")</f>
        <v>#REF!</v>
      </c>
      <c r="AP218" t="e">
        <f>IF(Confirmations!#REF!,"AAAAAHx/XSk=",0)</f>
        <v>#REF!</v>
      </c>
      <c r="AQ218" t="e">
        <f>AND(Confirmations!#REF!,"AAAAAHx/XSo=")</f>
        <v>#REF!</v>
      </c>
      <c r="AR218" t="e">
        <f>AND(Confirmations!#REF!,"AAAAAHx/XSs=")</f>
        <v>#REF!</v>
      </c>
      <c r="AS218" t="e">
        <f>AND(Confirmations!#REF!,"AAAAAHx/XSw=")</f>
        <v>#REF!</v>
      </c>
      <c r="AT218" t="e">
        <f>AND(Confirmations!#REF!,"AAAAAHx/XS0=")</f>
        <v>#REF!</v>
      </c>
      <c r="AU218" t="e">
        <f>AND(Confirmations!#REF!,"AAAAAHx/XS4=")</f>
        <v>#REF!</v>
      </c>
      <c r="AV218" t="e">
        <f>AND(Confirmations!#REF!,"AAAAAHx/XS8=")</f>
        <v>#REF!</v>
      </c>
      <c r="AW218" t="e">
        <f>AND(Confirmations!#REF!,"AAAAAHx/XTA=")</f>
        <v>#REF!</v>
      </c>
      <c r="AX218" t="e">
        <f>AND(Confirmations!#REF!,"AAAAAHx/XTE=")</f>
        <v>#REF!</v>
      </c>
      <c r="AY218" t="e">
        <f>AND(Confirmations!#REF!,"AAAAAHx/XTI=")</f>
        <v>#REF!</v>
      </c>
      <c r="AZ218" t="e">
        <f>AND(Confirmations!#REF!,"AAAAAHx/XTM=")</f>
        <v>#REF!</v>
      </c>
      <c r="BA218" t="e">
        <f>AND(Confirmations!#REF!,"AAAAAHx/XTQ=")</f>
        <v>#REF!</v>
      </c>
      <c r="BB218" t="e">
        <f>AND(Confirmations!#REF!,"AAAAAHx/XTU=")</f>
        <v>#REF!</v>
      </c>
      <c r="BC218" t="e">
        <f>AND(Confirmations!#REF!,"AAAAAHx/XTY=")</f>
        <v>#REF!</v>
      </c>
      <c r="BD218" t="e">
        <f>AND(Confirmations!#REF!,"AAAAAHx/XTc=")</f>
        <v>#REF!</v>
      </c>
      <c r="BE218" t="e">
        <f>AND(Confirmations!#REF!,"AAAAAHx/XTg=")</f>
        <v>#REF!</v>
      </c>
      <c r="BF218" t="e">
        <f>AND(Confirmations!#REF!,"AAAAAHx/XTk=")</f>
        <v>#REF!</v>
      </c>
      <c r="BG218" t="e">
        <f>AND(Confirmations!#REF!,"AAAAAHx/XTo=")</f>
        <v>#REF!</v>
      </c>
      <c r="BH218" t="e">
        <f>IF(Confirmations!#REF!,"AAAAAHx/XTs=",0)</f>
        <v>#REF!</v>
      </c>
      <c r="BI218" t="e">
        <f>AND(Confirmations!#REF!,"AAAAAHx/XTw=")</f>
        <v>#REF!</v>
      </c>
      <c r="BJ218" t="e">
        <f>AND(Confirmations!#REF!,"AAAAAHx/XT0=")</f>
        <v>#REF!</v>
      </c>
      <c r="BK218" t="e">
        <f>AND(Confirmations!#REF!,"AAAAAHx/XT4=")</f>
        <v>#REF!</v>
      </c>
      <c r="BL218" t="e">
        <f>AND(Confirmations!#REF!,"AAAAAHx/XT8=")</f>
        <v>#REF!</v>
      </c>
      <c r="BM218" t="e">
        <f>AND(Confirmations!#REF!,"AAAAAHx/XUA=")</f>
        <v>#REF!</v>
      </c>
      <c r="BN218" t="e">
        <f>AND(Confirmations!#REF!,"AAAAAHx/XUE=")</f>
        <v>#REF!</v>
      </c>
      <c r="BO218" t="e">
        <f>AND(Confirmations!#REF!,"AAAAAHx/XUI=")</f>
        <v>#REF!</v>
      </c>
      <c r="BP218" t="e">
        <f>AND(Confirmations!#REF!,"AAAAAHx/XUM=")</f>
        <v>#REF!</v>
      </c>
      <c r="BQ218" t="e">
        <f>AND(Confirmations!#REF!,"AAAAAHx/XUQ=")</f>
        <v>#REF!</v>
      </c>
      <c r="BR218" t="e">
        <f>AND(Confirmations!#REF!,"AAAAAHx/XUU=")</f>
        <v>#REF!</v>
      </c>
      <c r="BS218" t="e">
        <f>AND(Confirmations!#REF!,"AAAAAHx/XUY=")</f>
        <v>#REF!</v>
      </c>
      <c r="BT218" t="e">
        <f>AND(Confirmations!#REF!,"AAAAAHx/XUc=")</f>
        <v>#REF!</v>
      </c>
      <c r="BU218" t="e">
        <f>AND(Confirmations!#REF!,"AAAAAHx/XUg=")</f>
        <v>#REF!</v>
      </c>
      <c r="BV218" t="e">
        <f>AND(Confirmations!#REF!,"AAAAAHx/XUk=")</f>
        <v>#REF!</v>
      </c>
      <c r="BW218" t="e">
        <f>AND(Confirmations!#REF!,"AAAAAHx/XUo=")</f>
        <v>#REF!</v>
      </c>
      <c r="BX218" t="e">
        <f>AND(Confirmations!#REF!,"AAAAAHx/XUs=")</f>
        <v>#REF!</v>
      </c>
      <c r="BY218" t="e">
        <f>AND(Confirmations!#REF!,"AAAAAHx/XUw=")</f>
        <v>#REF!</v>
      </c>
      <c r="BZ218" t="e">
        <f>IF(Confirmations!#REF!,"AAAAAHx/XU0=",0)</f>
        <v>#REF!</v>
      </c>
      <c r="CA218" t="e">
        <f>AND(Confirmations!#REF!,"AAAAAHx/XU4=")</f>
        <v>#REF!</v>
      </c>
      <c r="CB218" t="e">
        <f>AND(Confirmations!#REF!,"AAAAAHx/XU8=")</f>
        <v>#REF!</v>
      </c>
      <c r="CC218" t="e">
        <f>AND(Confirmations!#REF!,"AAAAAHx/XVA=")</f>
        <v>#REF!</v>
      </c>
      <c r="CD218" t="e">
        <f>AND(Confirmations!#REF!,"AAAAAHx/XVE=")</f>
        <v>#REF!</v>
      </c>
      <c r="CE218" t="e">
        <f>AND(Confirmations!#REF!,"AAAAAHx/XVI=")</f>
        <v>#REF!</v>
      </c>
      <c r="CF218" t="e">
        <f>AND(Confirmations!#REF!,"AAAAAHx/XVM=")</f>
        <v>#REF!</v>
      </c>
      <c r="CG218" t="e">
        <f>AND(Confirmations!#REF!,"AAAAAHx/XVQ=")</f>
        <v>#REF!</v>
      </c>
      <c r="CH218" t="e">
        <f>AND(Confirmations!#REF!,"AAAAAHx/XVU=")</f>
        <v>#REF!</v>
      </c>
      <c r="CI218" t="e">
        <f>AND(Confirmations!#REF!,"AAAAAHx/XVY=")</f>
        <v>#REF!</v>
      </c>
      <c r="CJ218" t="e">
        <f>AND(Confirmations!#REF!,"AAAAAHx/XVc=")</f>
        <v>#REF!</v>
      </c>
      <c r="CK218" t="e">
        <f>AND(Confirmations!#REF!,"AAAAAHx/XVg=")</f>
        <v>#REF!</v>
      </c>
      <c r="CL218" t="e">
        <f>AND(Confirmations!#REF!,"AAAAAHx/XVk=")</f>
        <v>#REF!</v>
      </c>
      <c r="CM218" t="e">
        <f>AND(Confirmations!#REF!,"AAAAAHx/XVo=")</f>
        <v>#REF!</v>
      </c>
      <c r="CN218" t="e">
        <f>AND(Confirmations!#REF!,"AAAAAHx/XVs=")</f>
        <v>#REF!</v>
      </c>
      <c r="CO218" t="e">
        <f>AND(Confirmations!#REF!,"AAAAAHx/XVw=")</f>
        <v>#REF!</v>
      </c>
      <c r="CP218" t="e">
        <f>AND(Confirmations!#REF!,"AAAAAHx/XV0=")</f>
        <v>#REF!</v>
      </c>
      <c r="CQ218" t="e">
        <f>AND(Confirmations!#REF!,"AAAAAHx/XV4=")</f>
        <v>#REF!</v>
      </c>
      <c r="CR218" t="e">
        <f>IF(Confirmations!#REF!,"AAAAAHx/XV8=",0)</f>
        <v>#REF!</v>
      </c>
      <c r="CS218" t="e">
        <f>AND(Confirmations!#REF!,"AAAAAHx/XWA=")</f>
        <v>#REF!</v>
      </c>
      <c r="CT218" t="e">
        <f>AND(Confirmations!#REF!,"AAAAAHx/XWE=")</f>
        <v>#REF!</v>
      </c>
      <c r="CU218" t="e">
        <f>AND(Confirmations!#REF!,"AAAAAHx/XWI=")</f>
        <v>#REF!</v>
      </c>
      <c r="CV218" t="e">
        <f>AND(Confirmations!#REF!,"AAAAAHx/XWM=")</f>
        <v>#REF!</v>
      </c>
      <c r="CW218" t="e">
        <f>AND(Confirmations!#REF!,"AAAAAHx/XWQ=")</f>
        <v>#REF!</v>
      </c>
      <c r="CX218" t="e">
        <f>AND(Confirmations!#REF!,"AAAAAHx/XWU=")</f>
        <v>#REF!</v>
      </c>
      <c r="CY218" t="e">
        <f>AND(Confirmations!#REF!,"AAAAAHx/XWY=")</f>
        <v>#REF!</v>
      </c>
      <c r="CZ218" t="e">
        <f>AND(Confirmations!#REF!,"AAAAAHx/XWc=")</f>
        <v>#REF!</v>
      </c>
      <c r="DA218" t="e">
        <f>AND(Confirmations!#REF!,"AAAAAHx/XWg=")</f>
        <v>#REF!</v>
      </c>
      <c r="DB218" t="e">
        <f>AND(Confirmations!#REF!,"AAAAAHx/XWk=")</f>
        <v>#REF!</v>
      </c>
      <c r="DC218" t="e">
        <f>AND(Confirmations!#REF!,"AAAAAHx/XWo=")</f>
        <v>#REF!</v>
      </c>
      <c r="DD218" t="e">
        <f>AND(Confirmations!#REF!,"AAAAAHx/XWs=")</f>
        <v>#REF!</v>
      </c>
      <c r="DE218" t="e">
        <f>AND(Confirmations!#REF!,"AAAAAHx/XWw=")</f>
        <v>#REF!</v>
      </c>
      <c r="DF218" t="e">
        <f>AND(Confirmations!#REF!,"AAAAAHx/XW0=")</f>
        <v>#REF!</v>
      </c>
      <c r="DG218" t="e">
        <f>AND(Confirmations!#REF!,"AAAAAHx/XW4=")</f>
        <v>#REF!</v>
      </c>
      <c r="DH218" t="e">
        <f>AND(Confirmations!#REF!,"AAAAAHx/XW8=")</f>
        <v>#REF!</v>
      </c>
      <c r="DI218" t="e">
        <f>AND(Confirmations!#REF!,"AAAAAHx/XXA=")</f>
        <v>#REF!</v>
      </c>
      <c r="DJ218" t="e">
        <f>IF(Confirmations!#REF!,"AAAAAHx/XXE=",0)</f>
        <v>#REF!</v>
      </c>
      <c r="DK218" t="e">
        <f>AND(Confirmations!#REF!,"AAAAAHx/XXI=")</f>
        <v>#REF!</v>
      </c>
      <c r="DL218" t="e">
        <f>AND(Confirmations!#REF!,"AAAAAHx/XXM=")</f>
        <v>#REF!</v>
      </c>
      <c r="DM218" t="e">
        <f>AND(Confirmations!#REF!,"AAAAAHx/XXQ=")</f>
        <v>#REF!</v>
      </c>
      <c r="DN218" t="e">
        <f>AND(Confirmations!#REF!,"AAAAAHx/XXU=")</f>
        <v>#REF!</v>
      </c>
      <c r="DO218" t="e">
        <f>AND(Confirmations!#REF!,"AAAAAHx/XXY=")</f>
        <v>#REF!</v>
      </c>
      <c r="DP218" t="e">
        <f>AND(Confirmations!#REF!,"AAAAAHx/XXc=")</f>
        <v>#REF!</v>
      </c>
      <c r="DQ218" t="e">
        <f>AND(Confirmations!#REF!,"AAAAAHx/XXg=")</f>
        <v>#REF!</v>
      </c>
      <c r="DR218" t="e">
        <f>AND(Confirmations!#REF!,"AAAAAHx/XXk=")</f>
        <v>#REF!</v>
      </c>
      <c r="DS218" t="e">
        <f>AND(Confirmations!#REF!,"AAAAAHx/XXo=")</f>
        <v>#REF!</v>
      </c>
      <c r="DT218" t="e">
        <f>AND(Confirmations!#REF!,"AAAAAHx/XXs=")</f>
        <v>#REF!</v>
      </c>
      <c r="DU218" t="e">
        <f>AND(Confirmations!#REF!,"AAAAAHx/XXw=")</f>
        <v>#REF!</v>
      </c>
      <c r="DV218" t="e">
        <f>AND(Confirmations!#REF!,"AAAAAHx/XX0=")</f>
        <v>#REF!</v>
      </c>
      <c r="DW218" t="e">
        <f>AND(Confirmations!#REF!,"AAAAAHx/XX4=")</f>
        <v>#REF!</v>
      </c>
      <c r="DX218" t="e">
        <f>AND(Confirmations!#REF!,"AAAAAHx/XX8=")</f>
        <v>#REF!</v>
      </c>
      <c r="DY218" t="e">
        <f>AND(Confirmations!#REF!,"AAAAAHx/XYA=")</f>
        <v>#REF!</v>
      </c>
      <c r="DZ218" t="e">
        <f>AND(Confirmations!#REF!,"AAAAAHx/XYE=")</f>
        <v>#REF!</v>
      </c>
      <c r="EA218" t="e">
        <f>AND(Confirmations!#REF!,"AAAAAHx/XYI=")</f>
        <v>#REF!</v>
      </c>
      <c r="EB218" t="e">
        <f>IF(Confirmations!#REF!,"AAAAAHx/XYM=",0)</f>
        <v>#REF!</v>
      </c>
      <c r="EC218" t="e">
        <f>AND(Confirmations!#REF!,"AAAAAHx/XYQ=")</f>
        <v>#REF!</v>
      </c>
      <c r="ED218" t="e">
        <f>AND(Confirmations!#REF!,"AAAAAHx/XYU=")</f>
        <v>#REF!</v>
      </c>
      <c r="EE218" t="e">
        <f>AND(Confirmations!#REF!,"AAAAAHx/XYY=")</f>
        <v>#REF!</v>
      </c>
      <c r="EF218" t="e">
        <f>AND(Confirmations!#REF!,"AAAAAHx/XYc=")</f>
        <v>#REF!</v>
      </c>
      <c r="EG218" t="e">
        <f>AND(Confirmations!#REF!,"AAAAAHx/XYg=")</f>
        <v>#REF!</v>
      </c>
      <c r="EH218" t="e">
        <f>AND(Confirmations!#REF!,"AAAAAHx/XYk=")</f>
        <v>#REF!</v>
      </c>
      <c r="EI218" t="e">
        <f>AND(Confirmations!#REF!,"AAAAAHx/XYo=")</f>
        <v>#REF!</v>
      </c>
      <c r="EJ218" t="e">
        <f>AND(Confirmations!#REF!,"AAAAAHx/XYs=")</f>
        <v>#REF!</v>
      </c>
      <c r="EK218" t="e">
        <f>AND(Confirmations!#REF!,"AAAAAHx/XYw=")</f>
        <v>#REF!</v>
      </c>
      <c r="EL218" t="e">
        <f>AND(Confirmations!#REF!,"AAAAAHx/XY0=")</f>
        <v>#REF!</v>
      </c>
      <c r="EM218" t="e">
        <f>AND(Confirmations!#REF!,"AAAAAHx/XY4=")</f>
        <v>#REF!</v>
      </c>
      <c r="EN218" t="e">
        <f>AND(Confirmations!#REF!,"AAAAAHx/XY8=")</f>
        <v>#REF!</v>
      </c>
      <c r="EO218" t="e">
        <f>AND(Confirmations!#REF!,"AAAAAHx/XZA=")</f>
        <v>#REF!</v>
      </c>
      <c r="EP218" t="e">
        <f>AND(Confirmations!#REF!,"AAAAAHx/XZE=")</f>
        <v>#REF!</v>
      </c>
      <c r="EQ218" t="e">
        <f>AND(Confirmations!#REF!,"AAAAAHx/XZI=")</f>
        <v>#REF!</v>
      </c>
      <c r="ER218" t="e">
        <f>AND(Confirmations!#REF!,"AAAAAHx/XZM=")</f>
        <v>#REF!</v>
      </c>
      <c r="ES218" t="e">
        <f>AND(Confirmations!#REF!,"AAAAAHx/XZQ=")</f>
        <v>#REF!</v>
      </c>
      <c r="ET218" t="e">
        <f>IF(Confirmations!#REF!,"AAAAAHx/XZU=",0)</f>
        <v>#REF!</v>
      </c>
      <c r="EU218" t="e">
        <f>AND(Confirmations!#REF!,"AAAAAHx/XZY=")</f>
        <v>#REF!</v>
      </c>
      <c r="EV218" t="e">
        <f>AND(Confirmations!#REF!,"AAAAAHx/XZc=")</f>
        <v>#REF!</v>
      </c>
      <c r="EW218" t="e">
        <f>AND(Confirmations!#REF!,"AAAAAHx/XZg=")</f>
        <v>#REF!</v>
      </c>
      <c r="EX218" t="e">
        <f>AND(Confirmations!#REF!,"AAAAAHx/XZk=")</f>
        <v>#REF!</v>
      </c>
      <c r="EY218" t="e">
        <f>AND(Confirmations!#REF!,"AAAAAHx/XZo=")</f>
        <v>#REF!</v>
      </c>
      <c r="EZ218" t="e">
        <f>AND(Confirmations!#REF!,"AAAAAHx/XZs=")</f>
        <v>#REF!</v>
      </c>
      <c r="FA218" t="e">
        <f>AND(Confirmations!#REF!,"AAAAAHx/XZw=")</f>
        <v>#REF!</v>
      </c>
      <c r="FB218" t="e">
        <f>AND(Confirmations!#REF!,"AAAAAHx/XZ0=")</f>
        <v>#REF!</v>
      </c>
      <c r="FC218" t="e">
        <f>AND(Confirmations!#REF!,"AAAAAHx/XZ4=")</f>
        <v>#REF!</v>
      </c>
      <c r="FD218" t="e">
        <f>AND(Confirmations!#REF!,"AAAAAHx/XZ8=")</f>
        <v>#REF!</v>
      </c>
      <c r="FE218" t="e">
        <f>AND(Confirmations!#REF!,"AAAAAHx/XaA=")</f>
        <v>#REF!</v>
      </c>
      <c r="FF218" t="e">
        <f>AND(Confirmations!#REF!,"AAAAAHx/XaE=")</f>
        <v>#REF!</v>
      </c>
      <c r="FG218" t="e">
        <f>AND(Confirmations!#REF!,"AAAAAHx/XaI=")</f>
        <v>#REF!</v>
      </c>
      <c r="FH218" t="e">
        <f>AND(Confirmations!#REF!,"AAAAAHx/XaM=")</f>
        <v>#REF!</v>
      </c>
      <c r="FI218" t="e">
        <f>AND(Confirmations!#REF!,"AAAAAHx/XaQ=")</f>
        <v>#REF!</v>
      </c>
      <c r="FJ218" t="e">
        <f>AND(Confirmations!#REF!,"AAAAAHx/XaU=")</f>
        <v>#REF!</v>
      </c>
      <c r="FK218" t="e">
        <f>AND(Confirmations!#REF!,"AAAAAHx/XaY=")</f>
        <v>#REF!</v>
      </c>
      <c r="FL218">
        <f>IF(Confirmations!A:A,"AAAAAHx/Xac=",0)</f>
        <v>0</v>
      </c>
      <c r="FM218">
        <f>IF(Confirmations!B:B,"AAAAAHx/Xag=",0)</f>
        <v>0</v>
      </c>
      <c r="FN218">
        <f>IF(Confirmations!C:C,"AAAAAHx/Xak=",0)</f>
        <v>0</v>
      </c>
      <c r="FO218">
        <f>IF(Confirmations!D:D,"AAAAAHx/Xao=",0)</f>
        <v>0</v>
      </c>
      <c r="FP218">
        <f>IF(Confirmations!E:E,"AAAAAHx/Xas=",0)</f>
        <v>0</v>
      </c>
      <c r="FQ218">
        <f>IF(Confirmations!F:F,"AAAAAHx/Xaw=",0)</f>
        <v>0</v>
      </c>
      <c r="FR218">
        <f>IF(Confirmations!G:G,"AAAAAHx/Xa0=",0)</f>
        <v>0</v>
      </c>
      <c r="FS218">
        <f>IF(Confirmations!H:H,"AAAAAHx/Xa4=",0)</f>
        <v>0</v>
      </c>
      <c r="FT218">
        <f>IF(Confirmations!I:I,"AAAAAHx/Xa8=",0)</f>
        <v>0</v>
      </c>
      <c r="FU218" t="e">
        <f>IF(Confirmations!#REF!,"AAAAAHx/XbA=",0)</f>
        <v>#REF!</v>
      </c>
      <c r="FV218" t="e">
        <f>IF(Confirmations!#REF!,"AAAAAHx/XbE=",0)</f>
        <v>#REF!</v>
      </c>
      <c r="FW218" t="e">
        <f>IF(Confirmations!#REF!,"AAAAAHx/XbI=",0)</f>
        <v>#REF!</v>
      </c>
      <c r="FX218" t="e">
        <f>IF(Confirmations!#REF!,"AAAAAHx/XbM=",0)</f>
        <v>#REF!</v>
      </c>
      <c r="FY218">
        <f>IF(Confirmations!J:J,"AAAAAHx/XbQ=",0)</f>
        <v>0</v>
      </c>
      <c r="FZ218">
        <f>IF(Confirmations!K:K,"AAAAAHx/XbU=",0)</f>
        <v>0</v>
      </c>
      <c r="GA218">
        <f>IF(Confirmations!L:L,"AAAAAHx/XbY=",0)</f>
        <v>0</v>
      </c>
      <c r="GB218">
        <f>IF(Confirmations!M:M,"AAAAAHx/Xbc=",0)</f>
        <v>0</v>
      </c>
      <c r="GC218">
        <f>IF('Reporting '!1:1,"AAAAAHx/Xbg=",0)</f>
        <v>0</v>
      </c>
      <c r="GD218" t="e">
        <f>AND('Reporting '!#REF!,"AAAAAHx/Xbk=")</f>
        <v>#REF!</v>
      </c>
      <c r="GE218" t="e">
        <f>AND('Reporting '!A1,"AAAAAHx/Xbo=")</f>
        <v>#VALUE!</v>
      </c>
      <c r="GF218" t="e">
        <f>AND('Reporting '!C1,"AAAAAHx/Xbs=")</f>
        <v>#VALUE!</v>
      </c>
      <c r="GG218" t="e">
        <f>AND('Reporting '!D1,"AAAAAHx/Xbw=")</f>
        <v>#VALUE!</v>
      </c>
      <c r="GH218" t="e">
        <f>AND('Reporting '!E1,"AAAAAHx/Xb0=")</f>
        <v>#VALUE!</v>
      </c>
      <c r="GI218" t="e">
        <f>AND('Reporting '!F1,"AAAAAHx/Xb4=")</f>
        <v>#VALUE!</v>
      </c>
      <c r="GJ218" t="e">
        <f>AND('Reporting '!G1,"AAAAAHx/Xb8=")</f>
        <v>#VALUE!</v>
      </c>
      <c r="GK218" t="e">
        <f>AND('Reporting '!H1,"AAAAAHx/XcA=")</f>
        <v>#VALUE!</v>
      </c>
      <c r="GL218" t="e">
        <f>AND('Reporting '!I1,"AAAAAHx/XcE=")</f>
        <v>#VALUE!</v>
      </c>
      <c r="GM218" t="e">
        <f>AND('Reporting '!J1,"AAAAAHx/XcI=")</f>
        <v>#VALUE!</v>
      </c>
      <c r="GN218" t="e">
        <f>AND('Reporting '!#REF!,"AAAAAHx/XcM=")</f>
        <v>#REF!</v>
      </c>
      <c r="GO218" t="e">
        <f>AND('Reporting '!#REF!,"AAAAAHx/XcQ=")</f>
        <v>#REF!</v>
      </c>
      <c r="GP218" t="e">
        <f>AND('Reporting '!#REF!,"AAAAAHx/XcU=")</f>
        <v>#REF!</v>
      </c>
      <c r="GQ218" t="e">
        <f>AND('Reporting '!#REF!,"AAAAAHx/XcY=")</f>
        <v>#REF!</v>
      </c>
      <c r="GR218">
        <f>IF('Reporting '!2:2,"AAAAAHx/Xcc=",0)</f>
        <v>0</v>
      </c>
      <c r="GS218" t="e">
        <f>AND('Reporting '!A2,"AAAAAHx/Xcg=")</f>
        <v>#VALUE!</v>
      </c>
      <c r="GT218" t="e">
        <f>AND('Reporting '!B2,"AAAAAHx/Xck=")</f>
        <v>#VALUE!</v>
      </c>
      <c r="GU218" t="e">
        <f>AND('Reporting '!C2,"AAAAAHx/Xco=")</f>
        <v>#VALUE!</v>
      </c>
      <c r="GV218" t="e">
        <f>AND('Reporting '!D2,"AAAAAHx/Xcs=")</f>
        <v>#VALUE!</v>
      </c>
      <c r="GW218" t="e">
        <f>AND('Reporting '!E2,"AAAAAHx/Xcw=")</f>
        <v>#VALUE!</v>
      </c>
      <c r="GX218" t="e">
        <f>AND('Reporting '!F2,"AAAAAHx/Xc0=")</f>
        <v>#VALUE!</v>
      </c>
      <c r="GY218" t="e">
        <f>AND('Reporting '!G2,"AAAAAHx/Xc4=")</f>
        <v>#VALUE!</v>
      </c>
      <c r="GZ218" t="e">
        <f>AND('Reporting '!H2,"AAAAAHx/Xc8=")</f>
        <v>#VALUE!</v>
      </c>
      <c r="HA218" t="e">
        <f>AND('Reporting '!I2,"AAAAAHx/XdA=")</f>
        <v>#VALUE!</v>
      </c>
      <c r="HB218" t="e">
        <f>AND('Reporting '!J2,"AAAAAHx/XdE=")</f>
        <v>#VALUE!</v>
      </c>
      <c r="HC218" t="e">
        <f>AND('Reporting '!#REF!,"AAAAAHx/XdI=")</f>
        <v>#REF!</v>
      </c>
      <c r="HD218" t="e">
        <f>AND('Reporting '!#REF!,"AAAAAHx/XdM=")</f>
        <v>#REF!</v>
      </c>
      <c r="HE218" t="e">
        <f>AND('Reporting '!#REF!,"AAAAAHx/XdQ=")</f>
        <v>#REF!</v>
      </c>
      <c r="HF218" t="e">
        <f>AND('Reporting '!#REF!,"AAAAAHx/XdU=")</f>
        <v>#REF!</v>
      </c>
      <c r="HG218">
        <f>IF('Reporting '!3:3,"AAAAAHx/XdY=",0)</f>
        <v>0</v>
      </c>
      <c r="HH218" t="e">
        <f>AND('Reporting '!A3,"AAAAAHx/Xdc=")</f>
        <v>#VALUE!</v>
      </c>
      <c r="HI218" t="e">
        <f>AND('Reporting '!B3,"AAAAAHx/Xdg=")</f>
        <v>#VALUE!</v>
      </c>
      <c r="HJ218" t="e">
        <f>AND('Reporting '!C3,"AAAAAHx/Xdk=")</f>
        <v>#VALUE!</v>
      </c>
      <c r="HK218" t="e">
        <f>AND('Reporting '!D3,"AAAAAHx/Xdo=")</f>
        <v>#VALUE!</v>
      </c>
      <c r="HL218" t="e">
        <f>AND('Reporting '!E3,"AAAAAHx/Xds=")</f>
        <v>#VALUE!</v>
      </c>
      <c r="HM218" t="e">
        <f>AND('Reporting '!F3,"AAAAAHx/Xdw=")</f>
        <v>#VALUE!</v>
      </c>
      <c r="HN218" t="e">
        <f>AND('Reporting '!G3,"AAAAAHx/Xd0=")</f>
        <v>#VALUE!</v>
      </c>
      <c r="HO218" t="e">
        <f>AND('Reporting '!H3,"AAAAAHx/Xd4=")</f>
        <v>#VALUE!</v>
      </c>
      <c r="HP218" t="e">
        <f>AND('Reporting '!I3,"AAAAAHx/Xd8=")</f>
        <v>#VALUE!</v>
      </c>
      <c r="HQ218" t="e">
        <f>AND('Reporting '!J3,"AAAAAHx/XeA=")</f>
        <v>#VALUE!</v>
      </c>
      <c r="HR218" t="e">
        <f>AND('Reporting '!#REF!,"AAAAAHx/XeE=")</f>
        <v>#REF!</v>
      </c>
      <c r="HS218" t="e">
        <f>AND('Reporting '!#REF!,"AAAAAHx/XeI=")</f>
        <v>#REF!</v>
      </c>
      <c r="HT218" t="e">
        <f>AND('Reporting '!#REF!,"AAAAAHx/XeM=")</f>
        <v>#REF!</v>
      </c>
      <c r="HU218" t="e">
        <f>AND('Reporting '!#REF!,"AAAAAHx/XeQ=")</f>
        <v>#REF!</v>
      </c>
      <c r="HV218" t="e">
        <f>IF('Reporting '!#REF!,"AAAAAHx/XeU=",0)</f>
        <v>#REF!</v>
      </c>
      <c r="HW218" t="e">
        <f>AND('Reporting '!#REF!,"AAAAAHx/XeY=")</f>
        <v>#REF!</v>
      </c>
      <c r="HX218" t="e">
        <f>AND('Reporting '!#REF!,"AAAAAHx/Xec=")</f>
        <v>#REF!</v>
      </c>
      <c r="HY218" t="e">
        <f>AND('Reporting '!#REF!,"AAAAAHx/Xeg=")</f>
        <v>#REF!</v>
      </c>
      <c r="HZ218" t="e">
        <f>AND('Reporting '!#REF!,"AAAAAHx/Xek=")</f>
        <v>#REF!</v>
      </c>
      <c r="IA218" t="e">
        <f>AND('Reporting '!#REF!,"AAAAAHx/Xeo=")</f>
        <v>#REF!</v>
      </c>
      <c r="IB218" t="e">
        <f>AND('Reporting '!#REF!,"AAAAAHx/Xes=")</f>
        <v>#REF!</v>
      </c>
      <c r="IC218" t="e">
        <f>AND('Reporting '!#REF!,"AAAAAHx/Xew=")</f>
        <v>#REF!</v>
      </c>
      <c r="ID218" t="e">
        <f>AND('Reporting '!#REF!,"AAAAAHx/Xe0=")</f>
        <v>#REF!</v>
      </c>
      <c r="IE218" t="e">
        <f>AND('Reporting '!#REF!,"AAAAAHx/Xe4=")</f>
        <v>#REF!</v>
      </c>
      <c r="IF218" t="e">
        <f>AND('Reporting '!#REF!,"AAAAAHx/Xe8=")</f>
        <v>#REF!</v>
      </c>
      <c r="IG218" t="e">
        <f>AND('Reporting '!#REF!,"AAAAAHx/XfA=")</f>
        <v>#REF!</v>
      </c>
      <c r="IH218" t="e">
        <f>AND('Reporting '!#REF!,"AAAAAHx/XfE=")</f>
        <v>#REF!</v>
      </c>
      <c r="II218" t="e">
        <f>AND('Reporting '!#REF!,"AAAAAHx/XfI=")</f>
        <v>#REF!</v>
      </c>
      <c r="IJ218" t="e">
        <f>AND('Reporting '!#REF!,"AAAAAHx/XfM=")</f>
        <v>#REF!</v>
      </c>
      <c r="IK218" t="e">
        <f>IF('Reporting '!#REF!,"AAAAAHx/XfQ=",0)</f>
        <v>#REF!</v>
      </c>
      <c r="IL218" t="e">
        <f>AND('Reporting '!#REF!,"AAAAAHx/XfU=")</f>
        <v>#REF!</v>
      </c>
      <c r="IM218" t="e">
        <f>AND('Reporting '!#REF!,"AAAAAHx/XfY=")</f>
        <v>#REF!</v>
      </c>
      <c r="IN218" t="e">
        <f>AND('Reporting '!#REF!,"AAAAAHx/Xfc=")</f>
        <v>#REF!</v>
      </c>
      <c r="IO218" t="e">
        <f>AND('Reporting '!#REF!,"AAAAAHx/Xfg=")</f>
        <v>#REF!</v>
      </c>
      <c r="IP218" t="e">
        <f>AND('Reporting '!#REF!,"AAAAAHx/Xfk=")</f>
        <v>#REF!</v>
      </c>
      <c r="IQ218" t="e">
        <f>AND('Reporting '!#REF!,"AAAAAHx/Xfo=")</f>
        <v>#REF!</v>
      </c>
      <c r="IR218" t="e">
        <f>AND('Reporting '!#REF!,"AAAAAHx/Xfs=")</f>
        <v>#REF!</v>
      </c>
      <c r="IS218" t="e">
        <f>AND('Reporting '!#REF!,"AAAAAHx/Xfw=")</f>
        <v>#REF!</v>
      </c>
      <c r="IT218" t="e">
        <f>AND('Reporting '!#REF!,"AAAAAHx/Xf0=")</f>
        <v>#REF!</v>
      </c>
      <c r="IU218" t="e">
        <f>AND('Reporting '!#REF!,"AAAAAHx/Xf4=")</f>
        <v>#REF!</v>
      </c>
      <c r="IV218" t="e">
        <f>AND('Reporting '!#REF!,"AAAAAHx/Xf8=")</f>
        <v>#REF!</v>
      </c>
    </row>
    <row r="219" spans="1:256" x14ac:dyDescent="0.2">
      <c r="A219" t="e">
        <f>AND('Reporting '!#REF!,"AAAAAFd9dgA=")</f>
        <v>#REF!</v>
      </c>
      <c r="B219" t="e">
        <f>AND('Reporting '!#REF!,"AAAAAFd9dgE=")</f>
        <v>#REF!</v>
      </c>
      <c r="C219" t="e">
        <f>AND('Reporting '!#REF!,"AAAAAFd9dgI=")</f>
        <v>#REF!</v>
      </c>
      <c r="D219">
        <f>IF('Reporting '!6:6,"AAAAAFd9dgM=",0)</f>
        <v>0</v>
      </c>
      <c r="E219" t="e">
        <f>AND('Reporting '!#REF!,"AAAAAFd9dgQ=")</f>
        <v>#REF!</v>
      </c>
      <c r="F219" t="e">
        <f>AND('Reporting '!A6,"AAAAAFd9dgU=")</f>
        <v>#VALUE!</v>
      </c>
      <c r="G219" t="e">
        <f>AND('Reporting '!B6,"AAAAAFd9dgY=")</f>
        <v>#VALUE!</v>
      </c>
      <c r="H219" t="e">
        <f>AND('Reporting '!C6,"AAAAAFd9dgc=")</f>
        <v>#VALUE!</v>
      </c>
      <c r="I219" t="e">
        <f>AND('Reporting '!D6,"AAAAAFd9dgg=")</f>
        <v>#VALUE!</v>
      </c>
      <c r="J219" t="e">
        <f>AND('Reporting '!E6,"AAAAAFd9dgk=")</f>
        <v>#VALUE!</v>
      </c>
      <c r="K219" t="e">
        <f>AND('Reporting '!F6,"AAAAAFd9dgo=")</f>
        <v>#VALUE!</v>
      </c>
      <c r="L219" t="e">
        <f>AND('Reporting '!G6,"AAAAAFd9dgs=")</f>
        <v>#VALUE!</v>
      </c>
      <c r="M219" t="e">
        <f>AND('Reporting '!H6,"AAAAAFd9dgw=")</f>
        <v>#VALUE!</v>
      </c>
      <c r="N219" t="e">
        <f>AND('Reporting '!I6,"AAAAAFd9dg0=")</f>
        <v>#VALUE!</v>
      </c>
      <c r="O219" t="e">
        <f>AND('Reporting '!J6,"AAAAAFd9dg4=")</f>
        <v>#VALUE!</v>
      </c>
      <c r="P219" t="e">
        <f>AND('Reporting '!#REF!,"AAAAAFd9dg8=")</f>
        <v>#REF!</v>
      </c>
      <c r="Q219" t="e">
        <f>AND('Reporting '!#REF!,"AAAAAFd9dhA=")</f>
        <v>#REF!</v>
      </c>
      <c r="R219" t="e">
        <f>AND('Reporting '!#REF!,"AAAAAFd9dhE=")</f>
        <v>#REF!</v>
      </c>
      <c r="S219">
        <f>IF('Reporting '!7:7,"AAAAAFd9dhI=",0)</f>
        <v>0</v>
      </c>
      <c r="T219" t="e">
        <f>AND('Reporting '!#REF!,"AAAAAFd9dhM=")</f>
        <v>#REF!</v>
      </c>
      <c r="U219" t="e">
        <f>AND('Reporting '!A7,"AAAAAFd9dhQ=")</f>
        <v>#VALUE!</v>
      </c>
      <c r="V219" t="e">
        <f>AND('Reporting '!B7,"AAAAAFd9dhU=")</f>
        <v>#VALUE!</v>
      </c>
      <c r="W219" t="e">
        <f>AND('Reporting '!C7,"AAAAAFd9dhY=")</f>
        <v>#VALUE!</v>
      </c>
      <c r="X219" t="e">
        <f>AND('Reporting '!D7,"AAAAAFd9dhc=")</f>
        <v>#VALUE!</v>
      </c>
      <c r="Y219" t="e">
        <f>AND('Reporting '!E7,"AAAAAFd9dhg=")</f>
        <v>#VALUE!</v>
      </c>
      <c r="Z219" t="e">
        <f>AND('Reporting '!F7,"AAAAAFd9dhk=")</f>
        <v>#VALUE!</v>
      </c>
      <c r="AA219" t="e">
        <f>AND('Reporting '!G7,"AAAAAFd9dho=")</f>
        <v>#VALUE!</v>
      </c>
      <c r="AB219" t="e">
        <f>AND('Reporting '!H7,"AAAAAFd9dhs=")</f>
        <v>#VALUE!</v>
      </c>
      <c r="AC219" t="e">
        <f>AND('Reporting '!I7,"AAAAAFd9dhw=")</f>
        <v>#VALUE!</v>
      </c>
      <c r="AD219" t="e">
        <f>AND('Reporting '!J7,"AAAAAFd9dh0=")</f>
        <v>#VALUE!</v>
      </c>
      <c r="AE219" t="e">
        <f>AND('Reporting '!#REF!,"AAAAAFd9dh4=")</f>
        <v>#REF!</v>
      </c>
      <c r="AF219" t="e">
        <f>AND('Reporting '!#REF!,"AAAAAFd9dh8=")</f>
        <v>#REF!</v>
      </c>
      <c r="AG219" t="e">
        <f>AND('Reporting '!#REF!,"AAAAAFd9diA=")</f>
        <v>#REF!</v>
      </c>
      <c r="AH219" t="e">
        <f>IF('Reporting '!#REF!,"AAAAAFd9diE=",0)</f>
        <v>#REF!</v>
      </c>
      <c r="AI219" t="e">
        <f>AND('Reporting '!#REF!,"AAAAAFd9diI=")</f>
        <v>#REF!</v>
      </c>
      <c r="AJ219" t="e">
        <f>AND('Reporting '!#REF!,"AAAAAFd9diM=")</f>
        <v>#REF!</v>
      </c>
      <c r="AK219" t="e">
        <f>AND('Reporting '!#REF!,"AAAAAFd9diQ=")</f>
        <v>#REF!</v>
      </c>
      <c r="AL219" t="e">
        <f>AND('Reporting '!#REF!,"AAAAAFd9diU=")</f>
        <v>#REF!</v>
      </c>
      <c r="AM219" t="e">
        <f>AND('Reporting '!#REF!,"AAAAAFd9diY=")</f>
        <v>#REF!</v>
      </c>
      <c r="AN219" t="e">
        <f>AND('Reporting '!#REF!,"AAAAAFd9dic=")</f>
        <v>#REF!</v>
      </c>
      <c r="AO219" t="e">
        <f>AND('Reporting '!#REF!,"AAAAAFd9dig=")</f>
        <v>#REF!</v>
      </c>
      <c r="AP219" t="e">
        <f>AND('Reporting '!#REF!,"AAAAAFd9dik=")</f>
        <v>#REF!</v>
      </c>
      <c r="AQ219" t="e">
        <f>AND('Reporting '!#REF!,"AAAAAFd9dio=")</f>
        <v>#REF!</v>
      </c>
      <c r="AR219" t="e">
        <f>AND('Reporting '!#REF!,"AAAAAFd9dis=")</f>
        <v>#REF!</v>
      </c>
      <c r="AS219" t="e">
        <f>AND('Reporting '!#REF!,"AAAAAFd9diw=")</f>
        <v>#REF!</v>
      </c>
      <c r="AT219" t="e">
        <f>AND('Reporting '!#REF!,"AAAAAFd9di0=")</f>
        <v>#REF!</v>
      </c>
      <c r="AU219" t="e">
        <f>AND('Reporting '!#REF!,"AAAAAFd9di4=")</f>
        <v>#REF!</v>
      </c>
      <c r="AV219" t="e">
        <f>AND('Reporting '!#REF!,"AAAAAFd9di8=")</f>
        <v>#REF!</v>
      </c>
      <c r="AW219" t="e">
        <f>IF('Reporting '!#REF!,"AAAAAFd9djA=",0)</f>
        <v>#REF!</v>
      </c>
      <c r="AX219" t="e">
        <f>AND('Reporting '!#REF!,"AAAAAFd9djE=")</f>
        <v>#REF!</v>
      </c>
      <c r="AY219" t="e">
        <f>AND('Reporting '!#REF!,"AAAAAFd9djI=")</f>
        <v>#REF!</v>
      </c>
      <c r="AZ219" t="e">
        <f>AND('Reporting '!#REF!,"AAAAAFd9djM=")</f>
        <v>#REF!</v>
      </c>
      <c r="BA219" t="e">
        <f>AND('Reporting '!#REF!,"AAAAAFd9djQ=")</f>
        <v>#REF!</v>
      </c>
      <c r="BB219" t="e">
        <f>AND('Reporting '!#REF!,"AAAAAFd9djU=")</f>
        <v>#REF!</v>
      </c>
      <c r="BC219" t="e">
        <f>AND('Reporting '!#REF!,"AAAAAFd9djY=")</f>
        <v>#REF!</v>
      </c>
      <c r="BD219" t="e">
        <f>AND('Reporting '!#REF!,"AAAAAFd9djc=")</f>
        <v>#REF!</v>
      </c>
      <c r="BE219" t="e">
        <f>AND('Reporting '!#REF!,"AAAAAFd9djg=")</f>
        <v>#REF!</v>
      </c>
      <c r="BF219" t="e">
        <f>AND('Reporting '!#REF!,"AAAAAFd9djk=")</f>
        <v>#REF!</v>
      </c>
      <c r="BG219" t="e">
        <f>AND('Reporting '!#REF!,"AAAAAFd9djo=")</f>
        <v>#REF!</v>
      </c>
      <c r="BH219" t="e">
        <f>AND('Reporting '!#REF!,"AAAAAFd9djs=")</f>
        <v>#REF!</v>
      </c>
      <c r="BI219" t="e">
        <f>AND('Reporting '!#REF!,"AAAAAFd9djw=")</f>
        <v>#REF!</v>
      </c>
      <c r="BJ219" t="e">
        <f>AND('Reporting '!#REF!,"AAAAAFd9dj0=")</f>
        <v>#REF!</v>
      </c>
      <c r="BK219" t="e">
        <f>AND('Reporting '!#REF!,"AAAAAFd9dj4=")</f>
        <v>#REF!</v>
      </c>
      <c r="BL219">
        <f>IF('Reporting '!12:12,"AAAAAFd9dj8=",0)</f>
        <v>0</v>
      </c>
      <c r="BM219" t="e">
        <f>AND('Reporting '!#REF!,"AAAAAFd9dkA=")</f>
        <v>#REF!</v>
      </c>
      <c r="BN219" t="e">
        <f>AND('Reporting '!#REF!,"AAAAAFd9dkE=")</f>
        <v>#REF!</v>
      </c>
      <c r="BO219" t="e">
        <f>AND('Reporting '!B12,"AAAAAFd9dkI=")</f>
        <v>#VALUE!</v>
      </c>
      <c r="BP219" t="e">
        <f>AND('Reporting '!A9,"AAAAAFd9dkM=")</f>
        <v>#VALUE!</v>
      </c>
      <c r="BQ219" t="e">
        <f>AND('Reporting '!D12,"AAAAAFd9dkQ=")</f>
        <v>#VALUE!</v>
      </c>
      <c r="BR219" t="e">
        <f>AND('Reporting '!E12,"AAAAAFd9dkU=")</f>
        <v>#VALUE!</v>
      </c>
      <c r="BS219" t="e">
        <f>AND('Reporting '!F12,"AAAAAFd9dkY=")</f>
        <v>#VALUE!</v>
      </c>
      <c r="BT219" t="e">
        <f>AND('Reporting '!G12,"AAAAAFd9dkc=")</f>
        <v>#VALUE!</v>
      </c>
      <c r="BU219" t="e">
        <f>AND('Reporting '!H12,"AAAAAFd9dkg=")</f>
        <v>#VALUE!</v>
      </c>
      <c r="BV219" t="e">
        <f>AND('Reporting '!I12,"AAAAAFd9dkk=")</f>
        <v>#VALUE!</v>
      </c>
      <c r="BW219" t="e">
        <f>AND('Reporting '!J12,"AAAAAFd9dko=")</f>
        <v>#VALUE!</v>
      </c>
      <c r="BX219" t="e">
        <f>AND('Reporting '!#REF!,"AAAAAFd9dks=")</f>
        <v>#REF!</v>
      </c>
      <c r="BY219" t="e">
        <f>AND('Reporting '!#REF!,"AAAAAFd9dkw=")</f>
        <v>#REF!</v>
      </c>
      <c r="BZ219" t="e">
        <f>AND('Reporting '!#REF!,"AAAAAFd9dk0=")</f>
        <v>#REF!</v>
      </c>
      <c r="CA219">
        <f>IF('Reporting '!13:13,"AAAAAFd9dk4=",0)</f>
        <v>0</v>
      </c>
      <c r="CB219" t="e">
        <f>AND('Reporting '!#REF!,"AAAAAFd9dk8=")</f>
        <v>#REF!</v>
      </c>
      <c r="CC219" t="e">
        <f>AND('Reporting '!A13,"AAAAAFd9dlA=")</f>
        <v>#VALUE!</v>
      </c>
      <c r="CD219" t="e">
        <f>AND('Reporting '!B13,"AAAAAFd9dlE=")</f>
        <v>#VALUE!</v>
      </c>
      <c r="CE219" t="e">
        <f>AND('Reporting '!A10,"AAAAAFd9dlI=")</f>
        <v>#VALUE!</v>
      </c>
      <c r="CF219" t="e">
        <f>AND('Reporting '!D13,"AAAAAFd9dlM=")</f>
        <v>#VALUE!</v>
      </c>
      <c r="CG219" t="e">
        <f>AND('Reporting '!E13,"AAAAAFd9dlQ=")</f>
        <v>#VALUE!</v>
      </c>
      <c r="CH219" t="e">
        <f>AND('Reporting '!F13,"AAAAAFd9dlU=")</f>
        <v>#VALUE!</v>
      </c>
      <c r="CI219" t="e">
        <f>AND('Reporting '!G13,"AAAAAFd9dlY=")</f>
        <v>#VALUE!</v>
      </c>
      <c r="CJ219" t="e">
        <f>AND('Reporting '!H13,"AAAAAFd9dlc=")</f>
        <v>#VALUE!</v>
      </c>
      <c r="CK219" t="e">
        <f>AND('Reporting '!I13,"AAAAAFd9dlg=")</f>
        <v>#VALUE!</v>
      </c>
      <c r="CL219" t="e">
        <f>AND('Reporting '!J13,"AAAAAFd9dlk=")</f>
        <v>#VALUE!</v>
      </c>
      <c r="CM219" t="e">
        <f>AND('Reporting '!#REF!,"AAAAAFd9dlo=")</f>
        <v>#REF!</v>
      </c>
      <c r="CN219" t="e">
        <f>AND('Reporting '!#REF!,"AAAAAFd9dls=")</f>
        <v>#REF!</v>
      </c>
      <c r="CO219" t="e">
        <f>AND('Reporting '!#REF!,"AAAAAFd9dlw=")</f>
        <v>#REF!</v>
      </c>
      <c r="CP219">
        <f>IF('Reporting '!22:22,"AAAAAFd9dl0=",0)</f>
        <v>0</v>
      </c>
      <c r="CQ219" t="e">
        <f>AND('Reporting '!#REF!,"AAAAAFd9dl4=")</f>
        <v>#REF!</v>
      </c>
      <c r="CR219" t="e">
        <f>AND('Reporting '!A22,"AAAAAFd9dl8=")</f>
        <v>#VALUE!</v>
      </c>
      <c r="CS219" t="e">
        <f>AND('Reporting '!B22,"AAAAAFd9dmA=")</f>
        <v>#VALUE!</v>
      </c>
      <c r="CT219" t="e">
        <f>AND('Reporting '!A11,"AAAAAFd9dmE=")</f>
        <v>#VALUE!</v>
      </c>
      <c r="CU219" t="e">
        <f>AND('Reporting '!D22,"AAAAAFd9dmI=")</f>
        <v>#VALUE!</v>
      </c>
      <c r="CV219" t="e">
        <f>AND('Reporting '!E22,"AAAAAFd9dmM=")</f>
        <v>#VALUE!</v>
      </c>
      <c r="CW219" t="e">
        <f>AND('Reporting '!F22,"AAAAAFd9dmQ=")</f>
        <v>#VALUE!</v>
      </c>
      <c r="CX219" t="e">
        <f>AND('Reporting '!G22,"AAAAAFd9dmU=")</f>
        <v>#VALUE!</v>
      </c>
      <c r="CY219" t="e">
        <f>AND('Reporting '!H22,"AAAAAFd9dmY=")</f>
        <v>#VALUE!</v>
      </c>
      <c r="CZ219" t="e">
        <f>AND('Reporting '!I22,"AAAAAFd9dmc=")</f>
        <v>#VALUE!</v>
      </c>
      <c r="DA219" t="e">
        <f>AND('Reporting '!J22,"AAAAAFd9dmg=")</f>
        <v>#VALUE!</v>
      </c>
      <c r="DB219" t="e">
        <f>AND('Reporting '!#REF!,"AAAAAFd9dmk=")</f>
        <v>#REF!</v>
      </c>
      <c r="DC219" t="e">
        <f>AND('Reporting '!#REF!,"AAAAAFd9dmo=")</f>
        <v>#REF!</v>
      </c>
      <c r="DD219" t="e">
        <f>AND('Reporting '!#REF!,"AAAAAFd9dms=")</f>
        <v>#REF!</v>
      </c>
      <c r="DE219" t="e">
        <f>IF('Reporting '!#REF!,"AAAAAFd9dmw=",0)</f>
        <v>#REF!</v>
      </c>
      <c r="DF219" t="e">
        <f>AND('Reporting '!#REF!,"AAAAAFd9dm0=")</f>
        <v>#REF!</v>
      </c>
      <c r="DG219" t="e">
        <f>AND('Reporting '!#REF!,"AAAAAFd9dm4=")</f>
        <v>#REF!</v>
      </c>
      <c r="DH219" t="e">
        <f>AND('Reporting '!#REF!,"AAAAAFd9dm8=")</f>
        <v>#REF!</v>
      </c>
      <c r="DI219" t="e">
        <f>AND('Reporting '!A12,"AAAAAFd9dnA=")</f>
        <v>#VALUE!</v>
      </c>
      <c r="DJ219" t="e">
        <f>AND('Reporting '!#REF!,"AAAAAFd9dnE=")</f>
        <v>#REF!</v>
      </c>
      <c r="DK219" t="e">
        <f>AND('Reporting '!#REF!,"AAAAAFd9dnI=")</f>
        <v>#REF!</v>
      </c>
      <c r="DL219" t="e">
        <f>AND('Reporting '!#REF!,"AAAAAFd9dnM=")</f>
        <v>#REF!</v>
      </c>
      <c r="DM219" t="e">
        <f>AND('Reporting '!#REF!,"AAAAAFd9dnQ=")</f>
        <v>#REF!</v>
      </c>
      <c r="DN219" t="e">
        <f>AND('Reporting '!#REF!,"AAAAAFd9dnU=")</f>
        <v>#REF!</v>
      </c>
      <c r="DO219" t="e">
        <f>AND('Reporting '!#REF!,"AAAAAFd9dnY=")</f>
        <v>#REF!</v>
      </c>
      <c r="DP219" t="e">
        <f>AND('Reporting '!#REF!,"AAAAAFd9dnc=")</f>
        <v>#REF!</v>
      </c>
      <c r="DQ219" t="e">
        <f>AND('Reporting '!#REF!,"AAAAAFd9dng=")</f>
        <v>#REF!</v>
      </c>
      <c r="DR219" t="e">
        <f>AND('Reporting '!#REF!,"AAAAAFd9dnk=")</f>
        <v>#REF!</v>
      </c>
      <c r="DS219" t="e">
        <f>AND('Reporting '!#REF!,"AAAAAFd9dno=")</f>
        <v>#REF!</v>
      </c>
      <c r="DT219" t="e">
        <f>IF('Reporting '!#REF!,"AAAAAFd9dns=",0)</f>
        <v>#REF!</v>
      </c>
      <c r="DU219" t="e">
        <f>AND('Reporting '!#REF!,"AAAAAFd9dnw=")</f>
        <v>#REF!</v>
      </c>
      <c r="DV219" t="e">
        <f>AND('Reporting '!#REF!,"AAAAAFd9dn0=")</f>
        <v>#REF!</v>
      </c>
      <c r="DW219" t="e">
        <f>AND('Reporting '!#REF!,"AAAAAFd9dn4=")</f>
        <v>#REF!</v>
      </c>
      <c r="DX219" t="e">
        <f>AND('Reporting '!#REF!,"AAAAAFd9dn8=")</f>
        <v>#REF!</v>
      </c>
      <c r="DY219" t="e">
        <f>AND('Reporting '!#REF!,"AAAAAFd9doA=")</f>
        <v>#REF!</v>
      </c>
      <c r="DZ219" t="e">
        <f>AND('Reporting '!#REF!,"AAAAAFd9doE=")</f>
        <v>#REF!</v>
      </c>
      <c r="EA219" t="e">
        <f>AND('Reporting '!#REF!,"AAAAAFd9doI=")</f>
        <v>#REF!</v>
      </c>
      <c r="EB219" t="e">
        <f>AND('Reporting '!#REF!,"AAAAAFd9doM=")</f>
        <v>#REF!</v>
      </c>
      <c r="EC219" t="e">
        <f>AND('Reporting '!#REF!,"AAAAAFd9doQ=")</f>
        <v>#REF!</v>
      </c>
      <c r="ED219" t="e">
        <f>AND('Reporting '!#REF!,"AAAAAFd9doU=")</f>
        <v>#REF!</v>
      </c>
      <c r="EE219" t="e">
        <f>AND('Reporting '!#REF!,"AAAAAFd9doY=")</f>
        <v>#REF!</v>
      </c>
      <c r="EF219" t="e">
        <f>AND('Reporting '!#REF!,"AAAAAFd9doc=")</f>
        <v>#REF!</v>
      </c>
      <c r="EG219" t="e">
        <f>AND('Reporting '!#REF!,"AAAAAFd9dog=")</f>
        <v>#REF!</v>
      </c>
      <c r="EH219" t="e">
        <f>AND('Reporting '!#REF!,"AAAAAFd9dok=")</f>
        <v>#REF!</v>
      </c>
      <c r="EI219">
        <f>IF('Reporting '!23:23,"AAAAAFd9doo=",0)</f>
        <v>0</v>
      </c>
      <c r="EJ219" t="e">
        <f>AND('Reporting '!#REF!,"AAAAAFd9dos=")</f>
        <v>#REF!</v>
      </c>
      <c r="EK219" t="e">
        <f>AND('Reporting '!A23,"AAAAAFd9dow=")</f>
        <v>#VALUE!</v>
      </c>
      <c r="EL219" t="e">
        <f>AND('Reporting '!B23,"AAAAAFd9do0=")</f>
        <v>#VALUE!</v>
      </c>
      <c r="EM219" t="e">
        <f>AND('Reporting '!C23,"AAAAAFd9do4=")</f>
        <v>#VALUE!</v>
      </c>
      <c r="EN219" t="e">
        <f>AND('Reporting '!D23,"AAAAAFd9do8=")</f>
        <v>#VALUE!</v>
      </c>
      <c r="EO219" t="e">
        <f>AND('Reporting '!E23,"AAAAAFd9dpA=")</f>
        <v>#VALUE!</v>
      </c>
      <c r="EP219" t="e">
        <f>AND('Reporting '!F23,"AAAAAFd9dpE=")</f>
        <v>#VALUE!</v>
      </c>
      <c r="EQ219" t="e">
        <f>AND('Reporting '!G23,"AAAAAFd9dpI=")</f>
        <v>#VALUE!</v>
      </c>
      <c r="ER219" t="e">
        <f>AND('Reporting '!H23,"AAAAAFd9dpM=")</f>
        <v>#VALUE!</v>
      </c>
      <c r="ES219" t="e">
        <f>AND('Reporting '!I23,"AAAAAFd9dpQ=")</f>
        <v>#VALUE!</v>
      </c>
      <c r="ET219" t="e">
        <f>AND('Reporting '!J23,"AAAAAFd9dpU=")</f>
        <v>#VALUE!</v>
      </c>
      <c r="EU219" t="e">
        <f>AND('Reporting '!#REF!,"AAAAAFd9dpY=")</f>
        <v>#REF!</v>
      </c>
      <c r="EV219" t="e">
        <f>AND('Reporting '!#REF!,"AAAAAFd9dpc=")</f>
        <v>#REF!</v>
      </c>
      <c r="EW219" t="e">
        <f>AND('Reporting '!#REF!,"AAAAAFd9dpg=")</f>
        <v>#REF!</v>
      </c>
      <c r="EX219" t="e">
        <f>IF('Reporting '!#REF!,"AAAAAFd9dpk=",0)</f>
        <v>#REF!</v>
      </c>
      <c r="EY219" t="e">
        <f>AND('Reporting '!#REF!,"AAAAAFd9dpo=")</f>
        <v>#REF!</v>
      </c>
      <c r="EZ219" t="e">
        <f>AND('Reporting '!#REF!,"AAAAAFd9dps=")</f>
        <v>#REF!</v>
      </c>
      <c r="FA219" t="e">
        <f>AND('Reporting '!#REF!,"AAAAAFd9dpw=")</f>
        <v>#REF!</v>
      </c>
      <c r="FB219" t="e">
        <f>AND('Reporting '!#REF!,"AAAAAFd9dp0=")</f>
        <v>#REF!</v>
      </c>
      <c r="FC219" t="e">
        <f>AND('Reporting '!#REF!,"AAAAAFd9dp4=")</f>
        <v>#REF!</v>
      </c>
      <c r="FD219" t="e">
        <f>AND('Reporting '!#REF!,"AAAAAFd9dp8=")</f>
        <v>#REF!</v>
      </c>
      <c r="FE219" t="e">
        <f>AND('Reporting '!#REF!,"AAAAAFd9dqA=")</f>
        <v>#REF!</v>
      </c>
      <c r="FF219" t="e">
        <f>AND('Reporting '!#REF!,"AAAAAFd9dqE=")</f>
        <v>#REF!</v>
      </c>
      <c r="FG219" t="e">
        <f>AND('Reporting '!#REF!,"AAAAAFd9dqI=")</f>
        <v>#REF!</v>
      </c>
      <c r="FH219" t="e">
        <f>AND('Reporting '!#REF!,"AAAAAFd9dqM=")</f>
        <v>#REF!</v>
      </c>
      <c r="FI219" t="e">
        <f>AND('Reporting '!#REF!,"AAAAAFd9dqQ=")</f>
        <v>#REF!</v>
      </c>
      <c r="FJ219" t="e">
        <f>AND('Reporting '!#REF!,"AAAAAFd9dqU=")</f>
        <v>#REF!</v>
      </c>
      <c r="FK219" t="e">
        <f>AND('Reporting '!#REF!,"AAAAAFd9dqY=")</f>
        <v>#REF!</v>
      </c>
      <c r="FL219" t="e">
        <f>AND('Reporting '!#REF!,"AAAAAFd9dqc=")</f>
        <v>#REF!</v>
      </c>
      <c r="FM219">
        <f>IF('Reporting '!25:25,"AAAAAFd9dqg=",0)</f>
        <v>0</v>
      </c>
      <c r="FN219" t="e">
        <f>AND('Reporting '!#REF!,"AAAAAFd9dqk=")</f>
        <v>#REF!</v>
      </c>
      <c r="FO219" t="e">
        <f>AND('Reporting '!#REF!,"AAAAAFd9dqo=")</f>
        <v>#REF!</v>
      </c>
      <c r="FP219" t="e">
        <f>AND('Reporting '!A25,"AAAAAFd9dqs=")</f>
        <v>#VALUE!</v>
      </c>
      <c r="FQ219" t="e">
        <f>AND('Reporting '!B25,"AAAAAFd9dqw=")</f>
        <v>#VALUE!</v>
      </c>
      <c r="FR219" t="e">
        <f>AND('Reporting '!C25,"AAAAAFd9dq0=")</f>
        <v>#VALUE!</v>
      </c>
      <c r="FS219" t="e">
        <f>AND('Reporting '!#REF!,"AAAAAFd9dq4=")</f>
        <v>#REF!</v>
      </c>
      <c r="FT219" t="e">
        <f>AND('Reporting '!D25,"AAAAAFd9dq8=")</f>
        <v>#VALUE!</v>
      </c>
      <c r="FU219" t="e">
        <f>AND('Reporting '!F25,"AAAAAFd9drA=")</f>
        <v>#VALUE!</v>
      </c>
      <c r="FV219" t="e">
        <f>AND('Reporting '!G25,"AAAAAFd9drE=")</f>
        <v>#VALUE!</v>
      </c>
      <c r="FW219" t="e">
        <f>AND('Reporting '!H25,"AAAAAFd9drI=")</f>
        <v>#VALUE!</v>
      </c>
      <c r="FX219" t="e">
        <f>AND('Reporting '!I25,"AAAAAFd9drM=")</f>
        <v>#VALUE!</v>
      </c>
      <c r="FY219" t="e">
        <f>AND('Reporting '!J25,"AAAAAFd9drQ=")</f>
        <v>#VALUE!</v>
      </c>
      <c r="FZ219" t="e">
        <f>AND('Reporting '!#REF!,"AAAAAFd9drU=")</f>
        <v>#REF!</v>
      </c>
      <c r="GA219" t="e">
        <f>AND('Reporting '!#REF!,"AAAAAFd9drY=")</f>
        <v>#REF!</v>
      </c>
      <c r="GB219">
        <f>IF('Reporting '!26:26,"AAAAAFd9drc=",0)</f>
        <v>0</v>
      </c>
      <c r="GC219" t="e">
        <f>AND('Reporting '!#REF!,"AAAAAFd9drg=")</f>
        <v>#REF!</v>
      </c>
      <c r="GD219" t="e">
        <f>AND('Reporting '!#REF!,"AAAAAFd9drk=")</f>
        <v>#REF!</v>
      </c>
      <c r="GE219" t="e">
        <f>AND('Reporting '!A26,"AAAAAFd9dro=")</f>
        <v>#VALUE!</v>
      </c>
      <c r="GF219" t="e">
        <f>AND('Reporting '!B26,"AAAAAFd9drs=")</f>
        <v>#VALUE!</v>
      </c>
      <c r="GG219" t="e">
        <f>AND('Reporting '!C26,"AAAAAFd9drw=")</f>
        <v>#VALUE!</v>
      </c>
      <c r="GH219" t="e">
        <f>AND('Reporting '!D26,"AAAAAFd9dr0=")</f>
        <v>#VALUE!</v>
      </c>
      <c r="GI219" t="e">
        <f>AND('Reporting '!E26,"AAAAAFd9dr4=")</f>
        <v>#VALUE!</v>
      </c>
      <c r="GJ219" t="e">
        <f>AND('Reporting '!F26,"AAAAAFd9dr8=")</f>
        <v>#VALUE!</v>
      </c>
      <c r="GK219" t="e">
        <f>AND('Reporting '!G26,"AAAAAFd9dsA=")</f>
        <v>#VALUE!</v>
      </c>
      <c r="GL219" t="e">
        <f>AND('Reporting '!H26,"AAAAAFd9dsE=")</f>
        <v>#VALUE!</v>
      </c>
      <c r="GM219" t="e">
        <f>AND('Reporting '!I26,"AAAAAFd9dsI=")</f>
        <v>#VALUE!</v>
      </c>
      <c r="GN219" t="e">
        <f>AND('Reporting '!J26,"AAAAAFd9dsM=")</f>
        <v>#VALUE!</v>
      </c>
      <c r="GO219" t="e">
        <f>AND('Reporting '!#REF!,"AAAAAFd9dsQ=")</f>
        <v>#REF!</v>
      </c>
      <c r="GP219" t="e">
        <f>AND('Reporting '!#REF!,"AAAAAFd9dsU=")</f>
        <v>#REF!</v>
      </c>
      <c r="GQ219">
        <f>IF('Reporting '!28:28,"AAAAAFd9dsY=",0)</f>
        <v>0</v>
      </c>
      <c r="GR219" t="e">
        <f>AND('Reporting '!#REF!,"AAAAAFd9dsc=")</f>
        <v>#REF!</v>
      </c>
      <c r="GS219" t="e">
        <f>AND('Reporting '!A28,"AAAAAFd9dsg=")</f>
        <v>#VALUE!</v>
      </c>
      <c r="GT219" t="e">
        <f>AND('Reporting '!B28,"AAAAAFd9dsk=")</f>
        <v>#VALUE!</v>
      </c>
      <c r="GU219" t="e">
        <f>AND('Reporting '!C28,"AAAAAFd9dso=")</f>
        <v>#VALUE!</v>
      </c>
      <c r="GV219" t="e">
        <f>AND('Reporting '!D28,"AAAAAFd9dss=")</f>
        <v>#VALUE!</v>
      </c>
      <c r="GW219" t="e">
        <f>AND('Reporting '!E28,"AAAAAFd9dsw=")</f>
        <v>#VALUE!</v>
      </c>
      <c r="GX219" t="e">
        <f>AND('Reporting '!F28,"AAAAAFd9ds0=")</f>
        <v>#VALUE!</v>
      </c>
      <c r="GY219" t="e">
        <f>AND('Reporting '!G28,"AAAAAFd9ds4=")</f>
        <v>#VALUE!</v>
      </c>
      <c r="GZ219" t="e">
        <f>AND('Reporting '!H28,"AAAAAFd9ds8=")</f>
        <v>#VALUE!</v>
      </c>
      <c r="HA219" t="e">
        <f>AND('Reporting '!I28,"AAAAAFd9dtA=")</f>
        <v>#VALUE!</v>
      </c>
      <c r="HB219" t="e">
        <f>AND('Reporting '!J28,"AAAAAFd9dtE=")</f>
        <v>#VALUE!</v>
      </c>
      <c r="HC219" t="e">
        <f>AND('Reporting '!#REF!,"AAAAAFd9dtI=")</f>
        <v>#REF!</v>
      </c>
      <c r="HD219" t="e">
        <f>AND('Reporting '!#REF!,"AAAAAFd9dtM=")</f>
        <v>#REF!</v>
      </c>
      <c r="HE219" t="e">
        <f>AND('Reporting '!#REF!,"AAAAAFd9dtQ=")</f>
        <v>#REF!</v>
      </c>
      <c r="HF219">
        <f>IF('Reporting '!29:29,"AAAAAFd9dtU=",0)</f>
        <v>0</v>
      </c>
      <c r="HG219" t="e">
        <f>AND('Reporting '!#REF!,"AAAAAFd9dtY=")</f>
        <v>#REF!</v>
      </c>
      <c r="HH219" t="e">
        <f>AND('Reporting '!A29,"AAAAAFd9dtc=")</f>
        <v>#VALUE!</v>
      </c>
      <c r="HI219" t="e">
        <f>AND('Reporting '!B29,"AAAAAFd9dtg=")</f>
        <v>#VALUE!</v>
      </c>
      <c r="HJ219" t="e">
        <f>AND('Reporting '!C29,"AAAAAFd9dtk=")</f>
        <v>#VALUE!</v>
      </c>
      <c r="HK219" t="e">
        <f>AND('Reporting '!D29,"AAAAAFd9dto=")</f>
        <v>#VALUE!</v>
      </c>
      <c r="HL219" t="e">
        <f>AND('Reporting '!E29,"AAAAAFd9dts=")</f>
        <v>#VALUE!</v>
      </c>
      <c r="HM219" t="e">
        <f>AND('Reporting '!F29,"AAAAAFd9dtw=")</f>
        <v>#VALUE!</v>
      </c>
      <c r="HN219" t="e">
        <f>AND('Reporting '!G29,"AAAAAFd9dt0=")</f>
        <v>#VALUE!</v>
      </c>
      <c r="HO219" t="e">
        <f>AND('Reporting '!H29,"AAAAAFd9dt4=")</f>
        <v>#VALUE!</v>
      </c>
      <c r="HP219" t="e">
        <f>AND('Reporting '!I29,"AAAAAFd9dt8=")</f>
        <v>#VALUE!</v>
      </c>
      <c r="HQ219" t="e">
        <f>AND('Reporting '!J29,"AAAAAFd9duA=")</f>
        <v>#VALUE!</v>
      </c>
      <c r="HR219" t="e">
        <f>AND('Reporting '!#REF!,"AAAAAFd9duE=")</f>
        <v>#REF!</v>
      </c>
      <c r="HS219" t="e">
        <f>AND('Reporting '!#REF!,"AAAAAFd9duI=")</f>
        <v>#REF!</v>
      </c>
      <c r="HT219" t="e">
        <f>AND('Reporting '!#REF!,"AAAAAFd9duM=")</f>
        <v>#REF!</v>
      </c>
      <c r="HU219" t="e">
        <f>IF('Reporting '!#REF!,"AAAAAFd9duQ=",0)</f>
        <v>#REF!</v>
      </c>
      <c r="HV219" t="e">
        <f>AND('Reporting '!#REF!,"AAAAAFd9duU=")</f>
        <v>#REF!</v>
      </c>
      <c r="HW219" t="e">
        <f>AND('Reporting '!#REF!,"AAAAAFd9duY=")</f>
        <v>#REF!</v>
      </c>
      <c r="HX219" t="e">
        <f>AND('Reporting '!#REF!,"AAAAAFd9duc=")</f>
        <v>#REF!</v>
      </c>
      <c r="HY219" t="e">
        <f>AND('Reporting '!#REF!,"AAAAAFd9dug=")</f>
        <v>#REF!</v>
      </c>
      <c r="HZ219" t="e">
        <f>AND('Reporting '!#REF!,"AAAAAFd9duk=")</f>
        <v>#REF!</v>
      </c>
      <c r="IA219" t="e">
        <f>AND('Reporting '!#REF!,"AAAAAFd9duo=")</f>
        <v>#REF!</v>
      </c>
      <c r="IB219" t="e">
        <f>AND('Reporting '!#REF!,"AAAAAFd9dus=")</f>
        <v>#REF!</v>
      </c>
      <c r="IC219" t="e">
        <f>AND('Reporting '!#REF!,"AAAAAFd9duw=")</f>
        <v>#REF!</v>
      </c>
      <c r="ID219" t="e">
        <f>AND('Reporting '!#REF!,"AAAAAFd9du0=")</f>
        <v>#REF!</v>
      </c>
      <c r="IE219" t="e">
        <f>AND('Reporting '!#REF!,"AAAAAFd9du4=")</f>
        <v>#REF!</v>
      </c>
      <c r="IF219" t="e">
        <f>AND('Reporting '!#REF!,"AAAAAFd9du8=")</f>
        <v>#REF!</v>
      </c>
      <c r="IG219" t="e">
        <f>AND('Reporting '!#REF!,"AAAAAFd9dvA=")</f>
        <v>#REF!</v>
      </c>
      <c r="IH219" t="e">
        <f>AND('Reporting '!#REF!,"AAAAAFd9dvE=")</f>
        <v>#REF!</v>
      </c>
      <c r="II219" t="e">
        <f>AND('Reporting '!#REF!,"AAAAAFd9dvI=")</f>
        <v>#REF!</v>
      </c>
      <c r="IJ219" t="e">
        <f>IF('Reporting '!#REF!,"AAAAAFd9dvM=",0)</f>
        <v>#REF!</v>
      </c>
      <c r="IK219" t="e">
        <f>AND('Reporting '!#REF!,"AAAAAFd9dvQ=")</f>
        <v>#REF!</v>
      </c>
      <c r="IL219" t="e">
        <f>AND('Reporting '!#REF!,"AAAAAFd9dvU=")</f>
        <v>#REF!</v>
      </c>
      <c r="IM219" t="e">
        <f>AND('Reporting '!#REF!,"AAAAAFd9dvY=")</f>
        <v>#REF!</v>
      </c>
      <c r="IN219" t="e">
        <f>AND('Reporting '!#REF!,"AAAAAFd9dvc=")</f>
        <v>#REF!</v>
      </c>
      <c r="IO219" t="e">
        <f>AND('Reporting '!#REF!,"AAAAAFd9dvg=")</f>
        <v>#REF!</v>
      </c>
      <c r="IP219" t="e">
        <f>AND('Reporting '!#REF!,"AAAAAFd9dvk=")</f>
        <v>#REF!</v>
      </c>
      <c r="IQ219" t="e">
        <f>AND('Reporting '!#REF!,"AAAAAFd9dvo=")</f>
        <v>#REF!</v>
      </c>
      <c r="IR219" t="e">
        <f>AND('Reporting '!#REF!,"AAAAAFd9dvs=")</f>
        <v>#REF!</v>
      </c>
      <c r="IS219" t="e">
        <f>AND('Reporting '!#REF!,"AAAAAFd9dvw=")</f>
        <v>#REF!</v>
      </c>
      <c r="IT219" t="e">
        <f>AND('Reporting '!#REF!,"AAAAAFd9dv0=")</f>
        <v>#REF!</v>
      </c>
      <c r="IU219" t="e">
        <f>AND('Reporting '!#REF!,"AAAAAFd9dv4=")</f>
        <v>#REF!</v>
      </c>
      <c r="IV219" t="e">
        <f>AND('Reporting '!#REF!,"AAAAAFd9dv8=")</f>
        <v>#REF!</v>
      </c>
    </row>
    <row r="220" spans="1:256" x14ac:dyDescent="0.2">
      <c r="A220" t="e">
        <f>AND('Reporting '!#REF!,"AAAAAD+7/wA=")</f>
        <v>#REF!</v>
      </c>
      <c r="B220" t="e">
        <f>AND('Reporting '!#REF!,"AAAAAD+7/wE=")</f>
        <v>#REF!</v>
      </c>
      <c r="C220" t="e">
        <f>IF('Reporting '!#REF!,"AAAAAD+7/wI=",0)</f>
        <v>#REF!</v>
      </c>
      <c r="D220" t="e">
        <f>AND('Reporting '!#REF!,"AAAAAD+7/wM=")</f>
        <v>#REF!</v>
      </c>
      <c r="E220" t="e">
        <f>AND('Reporting '!#REF!,"AAAAAD+7/wQ=")</f>
        <v>#REF!</v>
      </c>
      <c r="F220" t="e">
        <f>AND('Reporting '!#REF!,"AAAAAD+7/wU=")</f>
        <v>#REF!</v>
      </c>
      <c r="G220" t="e">
        <f>AND('Reporting '!#REF!,"AAAAAD+7/wY=")</f>
        <v>#REF!</v>
      </c>
      <c r="H220" t="e">
        <f>AND('Reporting '!#REF!,"AAAAAD+7/wc=")</f>
        <v>#REF!</v>
      </c>
      <c r="I220" t="e">
        <f>AND('Reporting '!#REF!,"AAAAAD+7/wg=")</f>
        <v>#REF!</v>
      </c>
      <c r="J220" t="e">
        <f>AND('Reporting '!#REF!,"AAAAAD+7/wk=")</f>
        <v>#REF!</v>
      </c>
      <c r="K220" t="e">
        <f>AND('Reporting '!#REF!,"AAAAAD+7/wo=")</f>
        <v>#REF!</v>
      </c>
      <c r="L220" t="e">
        <f>AND('Reporting '!#REF!,"AAAAAD+7/ws=")</f>
        <v>#REF!</v>
      </c>
      <c r="M220" t="e">
        <f>AND('Reporting '!#REF!,"AAAAAD+7/ww=")</f>
        <v>#REF!</v>
      </c>
      <c r="N220" t="e">
        <f>AND('Reporting '!#REF!,"AAAAAD+7/w0=")</f>
        <v>#REF!</v>
      </c>
      <c r="O220" t="e">
        <f>AND('Reporting '!#REF!,"AAAAAD+7/w4=")</f>
        <v>#REF!</v>
      </c>
      <c r="P220" t="e">
        <f>AND('Reporting '!#REF!,"AAAAAD+7/w8=")</f>
        <v>#REF!</v>
      </c>
      <c r="Q220" t="e">
        <f>AND('Reporting '!#REF!,"AAAAAD+7/xA=")</f>
        <v>#REF!</v>
      </c>
      <c r="R220" t="e">
        <f>IF('Reporting '!#REF!,"AAAAAD+7/xE=",0)</f>
        <v>#REF!</v>
      </c>
      <c r="S220" t="e">
        <f>AND('Reporting '!#REF!,"AAAAAD+7/xI=")</f>
        <v>#REF!</v>
      </c>
      <c r="T220" t="e">
        <f>AND('Reporting '!#REF!,"AAAAAD+7/xM=")</f>
        <v>#REF!</v>
      </c>
      <c r="U220" t="e">
        <f>AND('Reporting '!#REF!,"AAAAAD+7/xQ=")</f>
        <v>#REF!</v>
      </c>
      <c r="V220" t="e">
        <f>AND('Reporting '!#REF!,"AAAAAD+7/xU=")</f>
        <v>#REF!</v>
      </c>
      <c r="W220" t="e">
        <f>AND('Reporting '!#REF!,"AAAAAD+7/xY=")</f>
        <v>#REF!</v>
      </c>
      <c r="X220" t="e">
        <f>AND('Reporting '!#REF!,"AAAAAD+7/xc=")</f>
        <v>#REF!</v>
      </c>
      <c r="Y220" t="e">
        <f>AND('Reporting '!#REF!,"AAAAAD+7/xg=")</f>
        <v>#REF!</v>
      </c>
      <c r="Z220" t="e">
        <f>AND('Reporting '!#REF!,"AAAAAD+7/xk=")</f>
        <v>#REF!</v>
      </c>
      <c r="AA220" t="e">
        <f>AND('Reporting '!#REF!,"AAAAAD+7/xo=")</f>
        <v>#REF!</v>
      </c>
      <c r="AB220" t="e">
        <f>AND('Reporting '!#REF!,"AAAAAD+7/xs=")</f>
        <v>#REF!</v>
      </c>
      <c r="AC220" t="e">
        <f>AND('Reporting '!#REF!,"AAAAAD+7/xw=")</f>
        <v>#REF!</v>
      </c>
      <c r="AD220" t="e">
        <f>AND('Reporting '!#REF!,"AAAAAD+7/x0=")</f>
        <v>#REF!</v>
      </c>
      <c r="AE220" t="e">
        <f>AND('Reporting '!#REF!,"AAAAAD+7/x4=")</f>
        <v>#REF!</v>
      </c>
      <c r="AF220" t="e">
        <f>AND('Reporting '!#REF!,"AAAAAD+7/x8=")</f>
        <v>#REF!</v>
      </c>
      <c r="AG220" t="e">
        <f>IF('Reporting '!#REF!,"AAAAAD+7/yA=",0)</f>
        <v>#REF!</v>
      </c>
      <c r="AH220" t="e">
        <f>AND('Reporting '!#REF!,"AAAAAD+7/yE=")</f>
        <v>#REF!</v>
      </c>
      <c r="AI220" t="e">
        <f>AND('Reporting '!#REF!,"AAAAAD+7/yI=")</f>
        <v>#REF!</v>
      </c>
      <c r="AJ220" t="e">
        <f>AND('Reporting '!#REF!,"AAAAAD+7/yM=")</f>
        <v>#REF!</v>
      </c>
      <c r="AK220" t="e">
        <f>AND('Reporting '!#REF!,"AAAAAD+7/yQ=")</f>
        <v>#REF!</v>
      </c>
      <c r="AL220" t="e">
        <f>AND('Reporting '!#REF!,"AAAAAD+7/yU=")</f>
        <v>#REF!</v>
      </c>
      <c r="AM220" t="e">
        <f>AND('Reporting '!#REF!,"AAAAAD+7/yY=")</f>
        <v>#REF!</v>
      </c>
      <c r="AN220" t="e">
        <f>AND('Reporting '!#REF!,"AAAAAD+7/yc=")</f>
        <v>#REF!</v>
      </c>
      <c r="AO220" t="e">
        <f>AND('Reporting '!#REF!,"AAAAAD+7/yg=")</f>
        <v>#REF!</v>
      </c>
      <c r="AP220" t="e">
        <f>AND('Reporting '!#REF!,"AAAAAD+7/yk=")</f>
        <v>#REF!</v>
      </c>
      <c r="AQ220" t="e">
        <f>AND('Reporting '!#REF!,"AAAAAD+7/yo=")</f>
        <v>#REF!</v>
      </c>
      <c r="AR220" t="e">
        <f>AND('Reporting '!#REF!,"AAAAAD+7/ys=")</f>
        <v>#REF!</v>
      </c>
      <c r="AS220" t="e">
        <f>AND('Reporting '!#REF!,"AAAAAD+7/yw=")</f>
        <v>#REF!</v>
      </c>
      <c r="AT220" t="e">
        <f>AND('Reporting '!#REF!,"AAAAAD+7/y0=")</f>
        <v>#REF!</v>
      </c>
      <c r="AU220" t="e">
        <f>AND('Reporting '!#REF!,"AAAAAD+7/y4=")</f>
        <v>#REF!</v>
      </c>
      <c r="AV220" t="e">
        <f>IF('Reporting '!#REF!,"AAAAAD+7/y8=",0)</f>
        <v>#REF!</v>
      </c>
      <c r="AW220" t="e">
        <f>AND('Reporting '!#REF!,"AAAAAD+7/zA=")</f>
        <v>#REF!</v>
      </c>
      <c r="AX220" t="e">
        <f>AND('Reporting '!#REF!,"AAAAAD+7/zE=")</f>
        <v>#REF!</v>
      </c>
      <c r="AY220" t="e">
        <f>AND('Reporting '!#REF!,"AAAAAD+7/zI=")</f>
        <v>#REF!</v>
      </c>
      <c r="AZ220" t="e">
        <f>AND('Reporting '!#REF!,"AAAAAD+7/zM=")</f>
        <v>#REF!</v>
      </c>
      <c r="BA220" t="e">
        <f>AND('Reporting '!#REF!,"AAAAAD+7/zQ=")</f>
        <v>#REF!</v>
      </c>
      <c r="BB220" t="e">
        <f>AND('Reporting '!#REF!,"AAAAAD+7/zU=")</f>
        <v>#REF!</v>
      </c>
      <c r="BC220" t="e">
        <f>AND('Reporting '!#REF!,"AAAAAD+7/zY=")</f>
        <v>#REF!</v>
      </c>
      <c r="BD220" t="e">
        <f>AND('Reporting '!#REF!,"AAAAAD+7/zc=")</f>
        <v>#REF!</v>
      </c>
      <c r="BE220" t="e">
        <f>AND('Reporting '!#REF!,"AAAAAD+7/zg=")</f>
        <v>#REF!</v>
      </c>
      <c r="BF220" t="e">
        <f>AND('Reporting '!#REF!,"AAAAAD+7/zk=")</f>
        <v>#REF!</v>
      </c>
      <c r="BG220" t="e">
        <f>AND('Reporting '!#REF!,"AAAAAD+7/zo=")</f>
        <v>#REF!</v>
      </c>
      <c r="BH220" t="e">
        <f>AND('Reporting '!#REF!,"AAAAAD+7/zs=")</f>
        <v>#REF!</v>
      </c>
      <c r="BI220" t="e">
        <f>AND('Reporting '!#REF!,"AAAAAD+7/zw=")</f>
        <v>#REF!</v>
      </c>
      <c r="BJ220" t="e">
        <f>AND('Reporting '!#REF!,"AAAAAD+7/z0=")</f>
        <v>#REF!</v>
      </c>
      <c r="BK220" t="e">
        <f>IF('Reporting '!#REF!,"AAAAAD+7/z4=",0)</f>
        <v>#REF!</v>
      </c>
      <c r="BL220" t="e">
        <f>AND('Reporting '!#REF!,"AAAAAD+7/z8=")</f>
        <v>#REF!</v>
      </c>
      <c r="BM220" t="e">
        <f>AND('Reporting '!#REF!,"AAAAAD+7/0A=")</f>
        <v>#REF!</v>
      </c>
      <c r="BN220" t="e">
        <f>AND('Reporting '!#REF!,"AAAAAD+7/0E=")</f>
        <v>#REF!</v>
      </c>
      <c r="BO220" t="e">
        <f>AND('Reporting '!#REF!,"AAAAAD+7/0I=")</f>
        <v>#REF!</v>
      </c>
      <c r="BP220" t="e">
        <f>AND('Reporting '!#REF!,"AAAAAD+7/0M=")</f>
        <v>#REF!</v>
      </c>
      <c r="BQ220" t="e">
        <f>AND('Reporting '!#REF!,"AAAAAD+7/0Q=")</f>
        <v>#REF!</v>
      </c>
      <c r="BR220" t="e">
        <f>AND('Reporting '!#REF!,"AAAAAD+7/0U=")</f>
        <v>#REF!</v>
      </c>
      <c r="BS220" t="e">
        <f>AND('Reporting '!#REF!,"AAAAAD+7/0Y=")</f>
        <v>#REF!</v>
      </c>
      <c r="BT220" t="e">
        <f>AND('Reporting '!#REF!,"AAAAAD+7/0c=")</f>
        <v>#REF!</v>
      </c>
      <c r="BU220" t="e">
        <f>AND('Reporting '!#REF!,"AAAAAD+7/0g=")</f>
        <v>#REF!</v>
      </c>
      <c r="BV220" t="e">
        <f>AND('Reporting '!#REF!,"AAAAAD+7/0k=")</f>
        <v>#REF!</v>
      </c>
      <c r="BW220" t="e">
        <f>AND('Reporting '!#REF!,"AAAAAD+7/0o=")</f>
        <v>#REF!</v>
      </c>
      <c r="BX220" t="e">
        <f>AND('Reporting '!#REF!,"AAAAAD+7/0s=")</f>
        <v>#REF!</v>
      </c>
      <c r="BY220" t="e">
        <f>AND('Reporting '!#REF!,"AAAAAD+7/0w=")</f>
        <v>#REF!</v>
      </c>
      <c r="BZ220" t="e">
        <f>IF('Reporting '!#REF!,"AAAAAD+7/00=",0)</f>
        <v>#REF!</v>
      </c>
      <c r="CA220" t="e">
        <f>AND('Reporting '!#REF!,"AAAAAD+7/04=")</f>
        <v>#REF!</v>
      </c>
      <c r="CB220" t="e">
        <f>AND('Reporting '!#REF!,"AAAAAD+7/08=")</f>
        <v>#REF!</v>
      </c>
      <c r="CC220" t="e">
        <f>AND('Reporting '!#REF!,"AAAAAD+7/1A=")</f>
        <v>#REF!</v>
      </c>
      <c r="CD220" t="e">
        <f>AND('Reporting '!#REF!,"AAAAAD+7/1E=")</f>
        <v>#REF!</v>
      </c>
      <c r="CE220" t="e">
        <f>AND('Reporting '!#REF!,"AAAAAD+7/1I=")</f>
        <v>#REF!</v>
      </c>
      <c r="CF220" t="e">
        <f>AND('Reporting '!#REF!,"AAAAAD+7/1M=")</f>
        <v>#REF!</v>
      </c>
      <c r="CG220" t="e">
        <f>AND('Reporting '!#REF!,"AAAAAD+7/1Q=")</f>
        <v>#REF!</v>
      </c>
      <c r="CH220" t="e">
        <f>AND('Reporting '!#REF!,"AAAAAD+7/1U=")</f>
        <v>#REF!</v>
      </c>
      <c r="CI220" t="e">
        <f>AND('Reporting '!#REF!,"AAAAAD+7/1Y=")</f>
        <v>#REF!</v>
      </c>
      <c r="CJ220" t="e">
        <f>AND('Reporting '!#REF!,"AAAAAD+7/1c=")</f>
        <v>#REF!</v>
      </c>
      <c r="CK220" t="e">
        <f>AND('Reporting '!#REF!,"AAAAAD+7/1g=")</f>
        <v>#REF!</v>
      </c>
      <c r="CL220" t="e">
        <f>AND('Reporting '!#REF!,"AAAAAD+7/1k=")</f>
        <v>#REF!</v>
      </c>
      <c r="CM220" t="e">
        <f>AND('Reporting '!#REF!,"AAAAAD+7/1o=")</f>
        <v>#REF!</v>
      </c>
      <c r="CN220" t="e">
        <f>AND('Reporting '!#REF!,"AAAAAD+7/1s=")</f>
        <v>#REF!</v>
      </c>
      <c r="CO220" t="e">
        <f>IF('Reporting '!#REF!,"AAAAAD+7/1w=",0)</f>
        <v>#REF!</v>
      </c>
      <c r="CP220" t="e">
        <f>AND('Reporting '!#REF!,"AAAAAD+7/10=")</f>
        <v>#REF!</v>
      </c>
      <c r="CQ220" t="e">
        <f>AND('Reporting '!#REF!,"AAAAAD+7/14=")</f>
        <v>#REF!</v>
      </c>
      <c r="CR220" t="e">
        <f>AND('Reporting '!#REF!,"AAAAAD+7/18=")</f>
        <v>#REF!</v>
      </c>
      <c r="CS220" t="e">
        <f>AND('Reporting '!#REF!,"AAAAAD+7/2A=")</f>
        <v>#REF!</v>
      </c>
      <c r="CT220" t="e">
        <f>AND('Reporting '!#REF!,"AAAAAD+7/2E=")</f>
        <v>#REF!</v>
      </c>
      <c r="CU220" t="e">
        <f>AND('Reporting '!#REF!,"AAAAAD+7/2I=")</f>
        <v>#REF!</v>
      </c>
      <c r="CV220" t="e">
        <f>AND('Reporting '!#REF!,"AAAAAD+7/2M=")</f>
        <v>#REF!</v>
      </c>
      <c r="CW220" t="e">
        <f>AND('Reporting '!#REF!,"AAAAAD+7/2Q=")</f>
        <v>#REF!</v>
      </c>
      <c r="CX220" t="e">
        <f>AND('Reporting '!#REF!,"AAAAAD+7/2U=")</f>
        <v>#REF!</v>
      </c>
      <c r="CY220" t="e">
        <f>AND('Reporting '!#REF!,"AAAAAD+7/2Y=")</f>
        <v>#REF!</v>
      </c>
      <c r="CZ220" t="e">
        <f>AND('Reporting '!#REF!,"AAAAAD+7/2c=")</f>
        <v>#REF!</v>
      </c>
      <c r="DA220" t="e">
        <f>AND('Reporting '!#REF!,"AAAAAD+7/2g=")</f>
        <v>#REF!</v>
      </c>
      <c r="DB220" t="e">
        <f>AND('Reporting '!#REF!,"AAAAAD+7/2k=")</f>
        <v>#REF!</v>
      </c>
      <c r="DC220" t="e">
        <f>AND('Reporting '!#REF!,"AAAAAD+7/2o=")</f>
        <v>#REF!</v>
      </c>
      <c r="DD220" t="e">
        <f>IF('Reporting '!#REF!,"AAAAAD+7/2s=",0)</f>
        <v>#REF!</v>
      </c>
      <c r="DE220" t="e">
        <f>AND('Reporting '!#REF!,"AAAAAD+7/2w=")</f>
        <v>#REF!</v>
      </c>
      <c r="DF220" t="e">
        <f>AND('Reporting '!#REF!,"AAAAAD+7/20=")</f>
        <v>#REF!</v>
      </c>
      <c r="DG220" t="e">
        <f>AND('Reporting '!#REF!,"AAAAAD+7/24=")</f>
        <v>#REF!</v>
      </c>
      <c r="DH220" t="e">
        <f>AND('Reporting '!#REF!,"AAAAAD+7/28=")</f>
        <v>#REF!</v>
      </c>
      <c r="DI220" t="e">
        <f>AND('Reporting '!#REF!,"AAAAAD+7/3A=")</f>
        <v>#REF!</v>
      </c>
      <c r="DJ220" t="e">
        <f>AND('Reporting '!#REF!,"AAAAAD+7/3E=")</f>
        <v>#REF!</v>
      </c>
      <c r="DK220" t="e">
        <f>AND('Reporting '!#REF!,"AAAAAD+7/3I=")</f>
        <v>#REF!</v>
      </c>
      <c r="DL220" t="e">
        <f>AND('Reporting '!#REF!,"AAAAAD+7/3M=")</f>
        <v>#REF!</v>
      </c>
      <c r="DM220" t="e">
        <f>AND('Reporting '!#REF!,"AAAAAD+7/3Q=")</f>
        <v>#REF!</v>
      </c>
      <c r="DN220" t="e">
        <f>AND('Reporting '!#REF!,"AAAAAD+7/3U=")</f>
        <v>#REF!</v>
      </c>
      <c r="DO220" t="e">
        <f>AND('Reporting '!#REF!,"AAAAAD+7/3Y=")</f>
        <v>#REF!</v>
      </c>
      <c r="DP220" t="e">
        <f>AND('Reporting '!#REF!,"AAAAAD+7/3c=")</f>
        <v>#REF!</v>
      </c>
      <c r="DQ220" t="e">
        <f>AND('Reporting '!#REF!,"AAAAAD+7/3g=")</f>
        <v>#REF!</v>
      </c>
      <c r="DR220" t="e">
        <f>AND('Reporting '!#REF!,"AAAAAD+7/3k=")</f>
        <v>#REF!</v>
      </c>
      <c r="DS220" t="e">
        <f>IF('Reporting '!#REF!,"AAAAAD+7/3o=",0)</f>
        <v>#REF!</v>
      </c>
      <c r="DT220" t="e">
        <f>AND('Reporting '!#REF!,"AAAAAD+7/3s=")</f>
        <v>#REF!</v>
      </c>
      <c r="DU220" t="e">
        <f>AND('Reporting '!#REF!,"AAAAAD+7/3w=")</f>
        <v>#REF!</v>
      </c>
      <c r="DV220" t="e">
        <f>AND('Reporting '!#REF!,"AAAAAD+7/30=")</f>
        <v>#REF!</v>
      </c>
      <c r="DW220" t="e">
        <f>AND('Reporting '!#REF!,"AAAAAD+7/34=")</f>
        <v>#REF!</v>
      </c>
      <c r="DX220" t="e">
        <f>AND('Reporting '!#REF!,"AAAAAD+7/38=")</f>
        <v>#REF!</v>
      </c>
      <c r="DY220" t="e">
        <f>AND('Reporting '!#REF!,"AAAAAD+7/4A=")</f>
        <v>#REF!</v>
      </c>
      <c r="DZ220" t="e">
        <f>AND('Reporting '!#REF!,"AAAAAD+7/4E=")</f>
        <v>#REF!</v>
      </c>
      <c r="EA220" t="e">
        <f>AND('Reporting '!#REF!,"AAAAAD+7/4I=")</f>
        <v>#REF!</v>
      </c>
      <c r="EB220" t="e">
        <f>AND('Reporting '!#REF!,"AAAAAD+7/4M=")</f>
        <v>#REF!</v>
      </c>
      <c r="EC220" t="e">
        <f>AND('Reporting '!#REF!,"AAAAAD+7/4Q=")</f>
        <v>#REF!</v>
      </c>
      <c r="ED220" t="e">
        <f>AND('Reporting '!#REF!,"AAAAAD+7/4U=")</f>
        <v>#REF!</v>
      </c>
      <c r="EE220" t="e">
        <f>AND('Reporting '!#REF!,"AAAAAD+7/4Y=")</f>
        <v>#REF!</v>
      </c>
      <c r="EF220" t="e">
        <f>AND('Reporting '!#REF!,"AAAAAD+7/4c=")</f>
        <v>#REF!</v>
      </c>
      <c r="EG220" t="e">
        <f>AND('Reporting '!#REF!,"AAAAAD+7/4g=")</f>
        <v>#REF!</v>
      </c>
      <c r="EH220" t="e">
        <f>IF('Reporting '!#REF!,"AAAAAD+7/4k=",0)</f>
        <v>#REF!</v>
      </c>
      <c r="EI220" t="e">
        <f>AND('Reporting '!#REF!,"AAAAAD+7/4o=")</f>
        <v>#REF!</v>
      </c>
      <c r="EJ220" t="e">
        <f>AND('Reporting '!#REF!,"AAAAAD+7/4s=")</f>
        <v>#REF!</v>
      </c>
      <c r="EK220" t="e">
        <f>AND('Reporting '!#REF!,"AAAAAD+7/4w=")</f>
        <v>#REF!</v>
      </c>
      <c r="EL220" t="e">
        <f>AND('Reporting '!#REF!,"AAAAAD+7/40=")</f>
        <v>#REF!</v>
      </c>
      <c r="EM220" t="e">
        <f>AND('Reporting '!#REF!,"AAAAAD+7/44=")</f>
        <v>#REF!</v>
      </c>
      <c r="EN220" t="e">
        <f>AND('Reporting '!#REF!,"AAAAAD+7/48=")</f>
        <v>#REF!</v>
      </c>
      <c r="EO220" t="e">
        <f>AND('Reporting '!#REF!,"AAAAAD+7/5A=")</f>
        <v>#REF!</v>
      </c>
      <c r="EP220" t="e">
        <f>AND('Reporting '!#REF!,"AAAAAD+7/5E=")</f>
        <v>#REF!</v>
      </c>
      <c r="EQ220" t="e">
        <f>AND('Reporting '!#REF!,"AAAAAD+7/5I=")</f>
        <v>#REF!</v>
      </c>
      <c r="ER220" t="e">
        <f>AND('Reporting '!#REF!,"AAAAAD+7/5M=")</f>
        <v>#REF!</v>
      </c>
      <c r="ES220" t="e">
        <f>AND('Reporting '!#REF!,"AAAAAD+7/5Q=")</f>
        <v>#REF!</v>
      </c>
      <c r="ET220" t="e">
        <f>AND('Reporting '!#REF!,"AAAAAD+7/5U=")</f>
        <v>#REF!</v>
      </c>
      <c r="EU220" t="e">
        <f>AND('Reporting '!#REF!,"AAAAAD+7/5Y=")</f>
        <v>#REF!</v>
      </c>
      <c r="EV220" t="e">
        <f>AND('Reporting '!#REF!,"AAAAAD+7/5c=")</f>
        <v>#REF!</v>
      </c>
      <c r="EW220" t="e">
        <f>IF('Reporting '!#REF!,"AAAAAD+7/5g=",0)</f>
        <v>#REF!</v>
      </c>
      <c r="EX220" t="e">
        <f>AND('Reporting '!#REF!,"AAAAAD+7/5k=")</f>
        <v>#REF!</v>
      </c>
      <c r="EY220" t="e">
        <f>AND('Reporting '!#REF!,"AAAAAD+7/5o=")</f>
        <v>#REF!</v>
      </c>
      <c r="EZ220" t="e">
        <f>AND('Reporting '!#REF!,"AAAAAD+7/5s=")</f>
        <v>#REF!</v>
      </c>
      <c r="FA220" t="e">
        <f>AND('Reporting '!#REF!,"AAAAAD+7/5w=")</f>
        <v>#REF!</v>
      </c>
      <c r="FB220" t="e">
        <f>AND('Reporting '!#REF!,"AAAAAD+7/50=")</f>
        <v>#REF!</v>
      </c>
      <c r="FC220" t="e">
        <f>AND('Reporting '!#REF!,"AAAAAD+7/54=")</f>
        <v>#REF!</v>
      </c>
      <c r="FD220" t="e">
        <f>AND('Reporting '!#REF!,"AAAAAD+7/58=")</f>
        <v>#REF!</v>
      </c>
      <c r="FE220" t="e">
        <f>AND('Reporting '!#REF!,"AAAAAD+7/6A=")</f>
        <v>#REF!</v>
      </c>
      <c r="FF220" t="e">
        <f>AND('Reporting '!#REF!,"AAAAAD+7/6E=")</f>
        <v>#REF!</v>
      </c>
      <c r="FG220" t="e">
        <f>AND('Reporting '!#REF!,"AAAAAD+7/6I=")</f>
        <v>#REF!</v>
      </c>
      <c r="FH220" t="e">
        <f>AND('Reporting '!#REF!,"AAAAAD+7/6M=")</f>
        <v>#REF!</v>
      </c>
      <c r="FI220" t="e">
        <f>AND('Reporting '!#REF!,"AAAAAD+7/6Q=")</f>
        <v>#REF!</v>
      </c>
      <c r="FJ220" t="e">
        <f>AND('Reporting '!#REF!,"AAAAAD+7/6U=")</f>
        <v>#REF!</v>
      </c>
      <c r="FK220" t="e">
        <f>AND('Reporting '!#REF!,"AAAAAD+7/6Y=")</f>
        <v>#REF!</v>
      </c>
      <c r="FL220" t="e">
        <f>IF('Reporting '!#REF!,"AAAAAD+7/6c=",0)</f>
        <v>#REF!</v>
      </c>
      <c r="FM220" t="e">
        <f>AND('Reporting '!#REF!,"AAAAAD+7/6g=")</f>
        <v>#REF!</v>
      </c>
      <c r="FN220" t="e">
        <f>AND('Reporting '!#REF!,"AAAAAD+7/6k=")</f>
        <v>#REF!</v>
      </c>
      <c r="FO220" t="e">
        <f>AND('Reporting '!#REF!,"AAAAAD+7/6o=")</f>
        <v>#REF!</v>
      </c>
      <c r="FP220" t="e">
        <f>AND('Reporting '!#REF!,"AAAAAD+7/6s=")</f>
        <v>#REF!</v>
      </c>
      <c r="FQ220" t="e">
        <f>AND('Reporting '!#REF!,"AAAAAD+7/6w=")</f>
        <v>#REF!</v>
      </c>
      <c r="FR220" t="e">
        <f>AND('Reporting '!#REF!,"AAAAAD+7/60=")</f>
        <v>#REF!</v>
      </c>
      <c r="FS220" t="e">
        <f>AND('Reporting '!#REF!,"AAAAAD+7/64=")</f>
        <v>#REF!</v>
      </c>
      <c r="FT220" t="e">
        <f>AND('Reporting '!#REF!,"AAAAAD+7/68=")</f>
        <v>#REF!</v>
      </c>
      <c r="FU220" t="e">
        <f>AND('Reporting '!#REF!,"AAAAAD+7/7A=")</f>
        <v>#REF!</v>
      </c>
      <c r="FV220" t="e">
        <f>AND('Reporting '!#REF!,"AAAAAD+7/7E=")</f>
        <v>#REF!</v>
      </c>
      <c r="FW220" t="e">
        <f>AND('Reporting '!#REF!,"AAAAAD+7/7I=")</f>
        <v>#REF!</v>
      </c>
      <c r="FX220" t="e">
        <f>AND('Reporting '!#REF!,"AAAAAD+7/7M=")</f>
        <v>#REF!</v>
      </c>
      <c r="FY220" t="e">
        <f>AND('Reporting '!#REF!,"AAAAAD+7/7Q=")</f>
        <v>#REF!</v>
      </c>
      <c r="FZ220" t="e">
        <f>AND('Reporting '!#REF!,"AAAAAD+7/7U=")</f>
        <v>#REF!</v>
      </c>
      <c r="GA220" t="e">
        <f>IF('Reporting '!#REF!,"AAAAAD+7/7Y=",0)</f>
        <v>#REF!</v>
      </c>
      <c r="GB220" t="e">
        <f>AND('Reporting '!#REF!,"AAAAAD+7/7c=")</f>
        <v>#REF!</v>
      </c>
      <c r="GC220" t="e">
        <f>AND('Reporting '!#REF!,"AAAAAD+7/7g=")</f>
        <v>#REF!</v>
      </c>
      <c r="GD220" t="e">
        <f>AND('Reporting '!#REF!,"AAAAAD+7/7k=")</f>
        <v>#REF!</v>
      </c>
      <c r="GE220" t="e">
        <f>AND('Reporting '!#REF!,"AAAAAD+7/7o=")</f>
        <v>#REF!</v>
      </c>
      <c r="GF220" t="e">
        <f>AND('Reporting '!#REF!,"AAAAAD+7/7s=")</f>
        <v>#REF!</v>
      </c>
      <c r="GG220" t="e">
        <f>AND('Reporting '!#REF!,"AAAAAD+7/7w=")</f>
        <v>#REF!</v>
      </c>
      <c r="GH220" t="e">
        <f>AND('Reporting '!#REF!,"AAAAAD+7/70=")</f>
        <v>#REF!</v>
      </c>
      <c r="GI220" t="e">
        <f>AND('Reporting '!#REF!,"AAAAAD+7/74=")</f>
        <v>#REF!</v>
      </c>
      <c r="GJ220" t="e">
        <f>AND('Reporting '!#REF!,"AAAAAD+7/78=")</f>
        <v>#REF!</v>
      </c>
      <c r="GK220" t="e">
        <f>AND('Reporting '!#REF!,"AAAAAD+7/8A=")</f>
        <v>#REF!</v>
      </c>
      <c r="GL220" t="e">
        <f>AND('Reporting '!#REF!,"AAAAAD+7/8E=")</f>
        <v>#REF!</v>
      </c>
      <c r="GM220" t="e">
        <f>AND('Reporting '!#REF!,"AAAAAD+7/8I=")</f>
        <v>#REF!</v>
      </c>
      <c r="GN220" t="e">
        <f>AND('Reporting '!#REF!,"AAAAAD+7/8M=")</f>
        <v>#REF!</v>
      </c>
      <c r="GO220" t="e">
        <f>AND('Reporting '!#REF!,"AAAAAD+7/8Q=")</f>
        <v>#REF!</v>
      </c>
      <c r="GP220" t="e">
        <f>IF('Reporting '!#REF!,"AAAAAD+7/8U=",0)</f>
        <v>#REF!</v>
      </c>
      <c r="GQ220" t="e">
        <f>AND('Reporting '!#REF!,"AAAAAD+7/8Y=")</f>
        <v>#REF!</v>
      </c>
      <c r="GR220" t="e">
        <f>AND('Reporting '!#REF!,"AAAAAD+7/8c=")</f>
        <v>#REF!</v>
      </c>
      <c r="GS220" t="e">
        <f>AND('Reporting '!#REF!,"AAAAAD+7/8g=")</f>
        <v>#REF!</v>
      </c>
      <c r="GT220" t="e">
        <f>AND('Reporting '!#REF!,"AAAAAD+7/8k=")</f>
        <v>#REF!</v>
      </c>
      <c r="GU220" t="e">
        <f>AND('Reporting '!#REF!,"AAAAAD+7/8o=")</f>
        <v>#REF!</v>
      </c>
      <c r="GV220" t="e">
        <f>AND('Reporting '!#REF!,"AAAAAD+7/8s=")</f>
        <v>#REF!</v>
      </c>
      <c r="GW220" t="e">
        <f>AND('Reporting '!#REF!,"AAAAAD+7/8w=")</f>
        <v>#REF!</v>
      </c>
      <c r="GX220" t="e">
        <f>AND('Reporting '!#REF!,"AAAAAD+7/80=")</f>
        <v>#REF!</v>
      </c>
      <c r="GY220" t="e">
        <f>AND('Reporting '!#REF!,"AAAAAD+7/84=")</f>
        <v>#REF!</v>
      </c>
      <c r="GZ220" t="e">
        <f>AND('Reporting '!#REF!,"AAAAAD+7/88=")</f>
        <v>#REF!</v>
      </c>
      <c r="HA220" t="e">
        <f>AND('Reporting '!#REF!,"AAAAAD+7/9A=")</f>
        <v>#REF!</v>
      </c>
      <c r="HB220" t="e">
        <f>AND('Reporting '!#REF!,"AAAAAD+7/9E=")</f>
        <v>#REF!</v>
      </c>
      <c r="HC220" t="e">
        <f>AND('Reporting '!#REF!,"AAAAAD+7/9I=")</f>
        <v>#REF!</v>
      </c>
      <c r="HD220" t="e">
        <f>AND('Reporting '!#REF!,"AAAAAD+7/9M=")</f>
        <v>#REF!</v>
      </c>
      <c r="HE220" t="e">
        <f>IF('Reporting '!#REF!,"AAAAAD+7/9Q=",0)</f>
        <v>#REF!</v>
      </c>
      <c r="HF220" t="e">
        <f>AND('Reporting '!#REF!,"AAAAAD+7/9U=")</f>
        <v>#REF!</v>
      </c>
      <c r="HG220" t="e">
        <f>AND('Reporting '!#REF!,"AAAAAD+7/9Y=")</f>
        <v>#REF!</v>
      </c>
      <c r="HH220" t="e">
        <f>AND('Reporting '!#REF!,"AAAAAD+7/9c=")</f>
        <v>#REF!</v>
      </c>
      <c r="HI220" t="e">
        <f>AND('Reporting '!#REF!,"AAAAAD+7/9g=")</f>
        <v>#REF!</v>
      </c>
      <c r="HJ220" t="e">
        <f>AND('Reporting '!#REF!,"AAAAAD+7/9k=")</f>
        <v>#REF!</v>
      </c>
      <c r="HK220" t="e">
        <f>AND('Reporting '!#REF!,"AAAAAD+7/9o=")</f>
        <v>#REF!</v>
      </c>
      <c r="HL220" t="e">
        <f>AND('Reporting '!#REF!,"AAAAAD+7/9s=")</f>
        <v>#REF!</v>
      </c>
      <c r="HM220" t="e">
        <f>AND('Reporting '!#REF!,"AAAAAD+7/9w=")</f>
        <v>#REF!</v>
      </c>
      <c r="HN220" t="e">
        <f>AND('Reporting '!#REF!,"AAAAAD+7/90=")</f>
        <v>#REF!</v>
      </c>
      <c r="HO220" t="e">
        <f>AND('Reporting '!#REF!,"AAAAAD+7/94=")</f>
        <v>#REF!</v>
      </c>
      <c r="HP220" t="e">
        <f>AND('Reporting '!#REF!,"AAAAAD+7/98=")</f>
        <v>#REF!</v>
      </c>
      <c r="HQ220" t="e">
        <f>AND('Reporting '!#REF!,"AAAAAD+7/+A=")</f>
        <v>#REF!</v>
      </c>
      <c r="HR220" t="e">
        <f>AND('Reporting '!#REF!,"AAAAAD+7/+E=")</f>
        <v>#REF!</v>
      </c>
      <c r="HS220" t="e">
        <f>AND('Reporting '!#REF!,"AAAAAD+7/+I=")</f>
        <v>#REF!</v>
      </c>
      <c r="HT220" t="e">
        <f>IF('Reporting '!#REF!,"AAAAAD+7/+M=",0)</f>
        <v>#REF!</v>
      </c>
      <c r="HU220" t="e">
        <f>AND('Reporting '!#REF!,"AAAAAD+7/+Q=")</f>
        <v>#REF!</v>
      </c>
      <c r="HV220" t="e">
        <f>AND('Reporting '!#REF!,"AAAAAD+7/+U=")</f>
        <v>#REF!</v>
      </c>
      <c r="HW220" t="e">
        <f>AND('Reporting '!#REF!,"AAAAAD+7/+Y=")</f>
        <v>#REF!</v>
      </c>
      <c r="HX220" t="e">
        <f>AND('Reporting '!#REF!,"AAAAAD+7/+c=")</f>
        <v>#REF!</v>
      </c>
      <c r="HY220" t="e">
        <f>AND('Reporting '!#REF!,"AAAAAD+7/+g=")</f>
        <v>#REF!</v>
      </c>
      <c r="HZ220" t="e">
        <f>AND('Reporting '!#REF!,"AAAAAD+7/+k=")</f>
        <v>#REF!</v>
      </c>
      <c r="IA220" t="e">
        <f>AND('Reporting '!#REF!,"AAAAAD+7/+o=")</f>
        <v>#REF!</v>
      </c>
      <c r="IB220" t="e">
        <f>AND('Reporting '!#REF!,"AAAAAD+7/+s=")</f>
        <v>#REF!</v>
      </c>
      <c r="IC220" t="e">
        <f>AND('Reporting '!#REF!,"AAAAAD+7/+w=")</f>
        <v>#REF!</v>
      </c>
      <c r="ID220" t="e">
        <f>AND('Reporting '!#REF!,"AAAAAD+7/+0=")</f>
        <v>#REF!</v>
      </c>
      <c r="IE220" t="e">
        <f>AND('Reporting '!#REF!,"AAAAAD+7/+4=")</f>
        <v>#REF!</v>
      </c>
      <c r="IF220" t="e">
        <f>AND('Reporting '!#REF!,"AAAAAD+7/+8=")</f>
        <v>#REF!</v>
      </c>
      <c r="IG220" t="e">
        <f>AND('Reporting '!#REF!,"AAAAAD+7//A=")</f>
        <v>#REF!</v>
      </c>
      <c r="IH220" t="e">
        <f>AND('Reporting '!#REF!,"AAAAAD+7//E=")</f>
        <v>#REF!</v>
      </c>
      <c r="II220" t="e">
        <f>IF('Reporting '!#REF!,"AAAAAD+7//I=",0)</f>
        <v>#REF!</v>
      </c>
      <c r="IJ220" t="e">
        <f>AND('Reporting '!#REF!,"AAAAAD+7//M=")</f>
        <v>#REF!</v>
      </c>
      <c r="IK220" t="e">
        <f>AND('Reporting '!#REF!,"AAAAAD+7//Q=")</f>
        <v>#REF!</v>
      </c>
      <c r="IL220" t="e">
        <f>AND('Reporting '!#REF!,"AAAAAD+7//U=")</f>
        <v>#REF!</v>
      </c>
      <c r="IM220" t="e">
        <f>AND('Reporting '!#REF!,"AAAAAD+7//Y=")</f>
        <v>#REF!</v>
      </c>
      <c r="IN220" t="e">
        <f>AND('Reporting '!#REF!,"AAAAAD+7//c=")</f>
        <v>#REF!</v>
      </c>
      <c r="IO220" t="e">
        <f>AND('Reporting '!#REF!,"AAAAAD+7//g=")</f>
        <v>#REF!</v>
      </c>
      <c r="IP220" t="e">
        <f>AND('Reporting '!#REF!,"AAAAAD+7//k=")</f>
        <v>#REF!</v>
      </c>
      <c r="IQ220" t="e">
        <f>AND('Reporting '!#REF!,"AAAAAD+7//o=")</f>
        <v>#REF!</v>
      </c>
      <c r="IR220" t="e">
        <f>AND('Reporting '!#REF!,"AAAAAD+7//s=")</f>
        <v>#REF!</v>
      </c>
      <c r="IS220" t="e">
        <f>AND('Reporting '!#REF!,"AAAAAD+7//w=")</f>
        <v>#REF!</v>
      </c>
      <c r="IT220" t="e">
        <f>AND('Reporting '!#REF!,"AAAAAD+7//0=")</f>
        <v>#REF!</v>
      </c>
      <c r="IU220" t="e">
        <f>AND('Reporting '!#REF!,"AAAAAD+7//4=")</f>
        <v>#REF!</v>
      </c>
      <c r="IV220" t="e">
        <f>AND('Reporting '!#REF!,"AAAAAD+7//8=")</f>
        <v>#REF!</v>
      </c>
    </row>
    <row r="221" spans="1:256" x14ac:dyDescent="0.2">
      <c r="A221" t="e">
        <f>AND('Reporting '!#REF!,"AAAAAHrvvwA=")</f>
        <v>#REF!</v>
      </c>
      <c r="B221" t="e">
        <f>IF('Reporting '!#REF!,"AAAAAHrvvwE=",0)</f>
        <v>#REF!</v>
      </c>
      <c r="C221" t="e">
        <f>AND('Reporting '!#REF!,"AAAAAHrvvwI=")</f>
        <v>#REF!</v>
      </c>
      <c r="D221" t="e">
        <f>AND('Reporting '!#REF!,"AAAAAHrvvwM=")</f>
        <v>#REF!</v>
      </c>
      <c r="E221" t="e">
        <f>AND('Reporting '!#REF!,"AAAAAHrvvwQ=")</f>
        <v>#REF!</v>
      </c>
      <c r="F221" t="e">
        <f>AND('Reporting '!#REF!,"AAAAAHrvvwU=")</f>
        <v>#REF!</v>
      </c>
      <c r="G221" t="e">
        <f>AND('Reporting '!#REF!,"AAAAAHrvvwY=")</f>
        <v>#REF!</v>
      </c>
      <c r="H221" t="e">
        <f>AND('Reporting '!#REF!,"AAAAAHrvvwc=")</f>
        <v>#REF!</v>
      </c>
      <c r="I221" t="e">
        <f>AND('Reporting '!#REF!,"AAAAAHrvvwg=")</f>
        <v>#REF!</v>
      </c>
      <c r="J221" t="e">
        <f>AND('Reporting '!#REF!,"AAAAAHrvvwk=")</f>
        <v>#REF!</v>
      </c>
      <c r="K221" t="e">
        <f>AND('Reporting '!#REF!,"AAAAAHrvvwo=")</f>
        <v>#REF!</v>
      </c>
      <c r="L221" t="e">
        <f>AND('Reporting '!#REF!,"AAAAAHrvvws=")</f>
        <v>#REF!</v>
      </c>
      <c r="M221" t="e">
        <f>AND('Reporting '!#REF!,"AAAAAHrvvww=")</f>
        <v>#REF!</v>
      </c>
      <c r="N221" t="e">
        <f>AND('Reporting '!#REF!,"AAAAAHrvvw0=")</f>
        <v>#REF!</v>
      </c>
      <c r="O221" t="e">
        <f>AND('Reporting '!#REF!,"AAAAAHrvvw4=")</f>
        <v>#REF!</v>
      </c>
      <c r="P221" t="e">
        <f>AND('Reporting '!#REF!,"AAAAAHrvvw8=")</f>
        <v>#REF!</v>
      </c>
      <c r="Q221" t="e">
        <f>IF('Reporting '!#REF!,"AAAAAHrvvxA=",0)</f>
        <v>#REF!</v>
      </c>
      <c r="R221" t="e">
        <f>AND('Reporting '!#REF!,"AAAAAHrvvxE=")</f>
        <v>#REF!</v>
      </c>
      <c r="S221" t="e">
        <f>AND('Reporting '!#REF!,"AAAAAHrvvxI=")</f>
        <v>#REF!</v>
      </c>
      <c r="T221" t="e">
        <f>AND('Reporting '!#REF!,"AAAAAHrvvxM=")</f>
        <v>#REF!</v>
      </c>
      <c r="U221" t="e">
        <f>AND('Reporting '!#REF!,"AAAAAHrvvxQ=")</f>
        <v>#REF!</v>
      </c>
      <c r="V221" t="e">
        <f>AND('Reporting '!#REF!,"AAAAAHrvvxU=")</f>
        <v>#REF!</v>
      </c>
      <c r="W221" t="e">
        <f>AND('Reporting '!#REF!,"AAAAAHrvvxY=")</f>
        <v>#REF!</v>
      </c>
      <c r="X221" t="e">
        <f>AND('Reporting '!#REF!,"AAAAAHrvvxc=")</f>
        <v>#REF!</v>
      </c>
      <c r="Y221" t="e">
        <f>AND('Reporting '!#REF!,"AAAAAHrvvxg=")</f>
        <v>#REF!</v>
      </c>
      <c r="Z221" t="e">
        <f>AND('Reporting '!#REF!,"AAAAAHrvvxk=")</f>
        <v>#REF!</v>
      </c>
      <c r="AA221" t="e">
        <f>AND('Reporting '!#REF!,"AAAAAHrvvxo=")</f>
        <v>#REF!</v>
      </c>
      <c r="AB221" t="e">
        <f>AND('Reporting '!#REF!,"AAAAAHrvvxs=")</f>
        <v>#REF!</v>
      </c>
      <c r="AC221" t="e">
        <f>AND('Reporting '!#REF!,"AAAAAHrvvxw=")</f>
        <v>#REF!</v>
      </c>
      <c r="AD221" t="e">
        <f>AND('Reporting '!#REF!,"AAAAAHrvvx0=")</f>
        <v>#REF!</v>
      </c>
      <c r="AE221" t="e">
        <f>AND('Reporting '!#REF!,"AAAAAHrvvx4=")</f>
        <v>#REF!</v>
      </c>
      <c r="AF221" t="e">
        <f>IF('Reporting '!#REF!,"AAAAAHrvvx8=",0)</f>
        <v>#REF!</v>
      </c>
      <c r="AG221" t="e">
        <f>AND('Reporting '!#REF!,"AAAAAHrvvyA=")</f>
        <v>#REF!</v>
      </c>
      <c r="AH221" t="e">
        <f>AND('Reporting '!#REF!,"AAAAAHrvvyE=")</f>
        <v>#REF!</v>
      </c>
      <c r="AI221" t="e">
        <f>AND('Reporting '!#REF!,"AAAAAHrvvyI=")</f>
        <v>#REF!</v>
      </c>
      <c r="AJ221" t="e">
        <f>AND('Reporting '!#REF!,"AAAAAHrvvyM=")</f>
        <v>#REF!</v>
      </c>
      <c r="AK221" t="e">
        <f>AND('Reporting '!#REF!,"AAAAAHrvvyQ=")</f>
        <v>#REF!</v>
      </c>
      <c r="AL221" t="e">
        <f>AND('Reporting '!#REF!,"AAAAAHrvvyU=")</f>
        <v>#REF!</v>
      </c>
      <c r="AM221" t="e">
        <f>AND('Reporting '!#REF!,"AAAAAHrvvyY=")</f>
        <v>#REF!</v>
      </c>
      <c r="AN221" t="e">
        <f>AND('Reporting '!#REF!,"AAAAAHrvvyc=")</f>
        <v>#REF!</v>
      </c>
      <c r="AO221" t="e">
        <f>AND('Reporting '!#REF!,"AAAAAHrvvyg=")</f>
        <v>#REF!</v>
      </c>
      <c r="AP221" t="e">
        <f>AND('Reporting '!#REF!,"AAAAAHrvvyk=")</f>
        <v>#REF!</v>
      </c>
      <c r="AQ221" t="e">
        <f>AND('Reporting '!#REF!,"AAAAAHrvvyo=")</f>
        <v>#REF!</v>
      </c>
      <c r="AR221" t="e">
        <f>AND('Reporting '!#REF!,"AAAAAHrvvys=")</f>
        <v>#REF!</v>
      </c>
      <c r="AS221" t="e">
        <f>AND('Reporting '!#REF!,"AAAAAHrvvyw=")</f>
        <v>#REF!</v>
      </c>
      <c r="AT221" t="e">
        <f>AND('Reporting '!#REF!,"AAAAAHrvvy0=")</f>
        <v>#REF!</v>
      </c>
      <c r="AU221" t="e">
        <f>IF('Reporting '!#REF!,"AAAAAHrvvy4=",0)</f>
        <v>#REF!</v>
      </c>
      <c r="AV221" t="e">
        <f>AND('Reporting '!#REF!,"AAAAAHrvvy8=")</f>
        <v>#REF!</v>
      </c>
      <c r="AW221" t="e">
        <f>AND('Reporting '!#REF!,"AAAAAHrvvzA=")</f>
        <v>#REF!</v>
      </c>
      <c r="AX221" t="e">
        <f>AND('Reporting '!#REF!,"AAAAAHrvvzE=")</f>
        <v>#REF!</v>
      </c>
      <c r="AY221" t="e">
        <f>AND('Reporting '!#REF!,"AAAAAHrvvzI=")</f>
        <v>#REF!</v>
      </c>
      <c r="AZ221" t="e">
        <f>AND('Reporting '!#REF!,"AAAAAHrvvzM=")</f>
        <v>#REF!</v>
      </c>
      <c r="BA221" t="e">
        <f>AND('Reporting '!#REF!,"AAAAAHrvvzQ=")</f>
        <v>#REF!</v>
      </c>
      <c r="BB221" t="e">
        <f>AND('Reporting '!#REF!,"AAAAAHrvvzU=")</f>
        <v>#REF!</v>
      </c>
      <c r="BC221" t="e">
        <f>AND('Reporting '!#REF!,"AAAAAHrvvzY=")</f>
        <v>#REF!</v>
      </c>
      <c r="BD221" t="e">
        <f>AND('Reporting '!#REF!,"AAAAAHrvvzc=")</f>
        <v>#REF!</v>
      </c>
      <c r="BE221" t="e">
        <f>AND('Reporting '!#REF!,"AAAAAHrvvzg=")</f>
        <v>#REF!</v>
      </c>
      <c r="BF221" t="e">
        <f>AND('Reporting '!#REF!,"AAAAAHrvvzk=")</f>
        <v>#REF!</v>
      </c>
      <c r="BG221" t="e">
        <f>AND('Reporting '!#REF!,"AAAAAHrvvzo=")</f>
        <v>#REF!</v>
      </c>
      <c r="BH221" t="e">
        <f>AND('Reporting '!#REF!,"AAAAAHrvvzs=")</f>
        <v>#REF!</v>
      </c>
      <c r="BI221" t="e">
        <f>AND('Reporting '!#REF!,"AAAAAHrvvzw=")</f>
        <v>#REF!</v>
      </c>
      <c r="BJ221">
        <f>IF('Reporting '!50:50,"AAAAAHrvvz0=",0)</f>
        <v>0</v>
      </c>
      <c r="BK221" t="e">
        <f>AND('Reporting '!A50,"AAAAAHrvvz4=")</f>
        <v>#VALUE!</v>
      </c>
      <c r="BL221" t="e">
        <f>AND('Reporting '!B50,"AAAAAHrvvz8=")</f>
        <v>#VALUE!</v>
      </c>
      <c r="BM221" t="e">
        <f>AND('Reporting '!C50,"AAAAAHrvv0A=")</f>
        <v>#VALUE!</v>
      </c>
      <c r="BN221" t="e">
        <f>AND('Reporting '!D50,"AAAAAHrvv0E=")</f>
        <v>#VALUE!</v>
      </c>
      <c r="BO221" t="e">
        <f>AND('Reporting '!E50,"AAAAAHrvv0I=")</f>
        <v>#VALUE!</v>
      </c>
      <c r="BP221" t="e">
        <f>AND('Reporting '!F50,"AAAAAHrvv0M=")</f>
        <v>#VALUE!</v>
      </c>
      <c r="BQ221" t="e">
        <f>AND('Reporting '!G50,"AAAAAHrvv0Q=")</f>
        <v>#VALUE!</v>
      </c>
      <c r="BR221" t="e">
        <f>AND('Reporting '!H50,"AAAAAHrvv0U=")</f>
        <v>#VALUE!</v>
      </c>
      <c r="BS221" t="e">
        <f>AND('Reporting '!I50,"AAAAAHrvv0Y=")</f>
        <v>#VALUE!</v>
      </c>
      <c r="BT221" t="e">
        <f>AND('Reporting '!J50,"AAAAAHrvv0c=")</f>
        <v>#VALUE!</v>
      </c>
      <c r="BU221" t="e">
        <f>AND('Reporting '!#REF!,"AAAAAHrvv0g=")</f>
        <v>#REF!</v>
      </c>
      <c r="BV221" t="e">
        <f>AND('Reporting '!#REF!,"AAAAAHrvv0k=")</f>
        <v>#REF!</v>
      </c>
      <c r="BW221" t="e">
        <f>AND('Reporting '!#REF!,"AAAAAHrvv0o=")</f>
        <v>#REF!</v>
      </c>
      <c r="BX221" t="e">
        <f>AND('Reporting '!#REF!,"AAAAAHrvv0s=")</f>
        <v>#REF!</v>
      </c>
      <c r="BY221" t="e">
        <f>IF('Reporting '!#REF!,"AAAAAHrvv0w=",0)</f>
        <v>#REF!</v>
      </c>
      <c r="BZ221" t="e">
        <f>AND('Reporting '!#REF!,"AAAAAHrvv00=")</f>
        <v>#REF!</v>
      </c>
      <c r="CA221" t="e">
        <f>AND('Reporting '!#REF!,"AAAAAHrvv04=")</f>
        <v>#REF!</v>
      </c>
      <c r="CB221" t="e">
        <f>AND('Reporting '!#REF!,"AAAAAHrvv08=")</f>
        <v>#REF!</v>
      </c>
      <c r="CC221" t="e">
        <f>AND('Reporting '!#REF!,"AAAAAHrvv1A=")</f>
        <v>#REF!</v>
      </c>
      <c r="CD221" t="e">
        <f>AND('Reporting '!#REF!,"AAAAAHrvv1E=")</f>
        <v>#REF!</v>
      </c>
      <c r="CE221" t="e">
        <f>AND('Reporting '!#REF!,"AAAAAHrvv1I=")</f>
        <v>#REF!</v>
      </c>
      <c r="CF221" t="e">
        <f>AND('Reporting '!#REF!,"AAAAAHrvv1M=")</f>
        <v>#REF!</v>
      </c>
      <c r="CG221" t="e">
        <f>AND('Reporting '!#REF!,"AAAAAHrvv1Q=")</f>
        <v>#REF!</v>
      </c>
      <c r="CH221" t="e">
        <f>AND('Reporting '!#REF!,"AAAAAHrvv1U=")</f>
        <v>#REF!</v>
      </c>
      <c r="CI221" t="e">
        <f>AND('Reporting '!#REF!,"AAAAAHrvv1Y=")</f>
        <v>#REF!</v>
      </c>
      <c r="CJ221" t="e">
        <f>AND('Reporting '!#REF!,"AAAAAHrvv1c=")</f>
        <v>#REF!</v>
      </c>
      <c r="CK221" t="e">
        <f>AND('Reporting '!#REF!,"AAAAAHrvv1g=")</f>
        <v>#REF!</v>
      </c>
      <c r="CL221" t="e">
        <f>AND('Reporting '!#REF!,"AAAAAHrvv1k=")</f>
        <v>#REF!</v>
      </c>
      <c r="CM221" t="e">
        <f>AND('Reporting '!#REF!,"AAAAAHrvv1o=")</f>
        <v>#REF!</v>
      </c>
      <c r="CN221" t="e">
        <f>IF('Reporting '!#REF!,"AAAAAHrvv1s=",0)</f>
        <v>#REF!</v>
      </c>
      <c r="CO221" t="e">
        <f>AND('Reporting '!#REF!,"AAAAAHrvv1w=")</f>
        <v>#REF!</v>
      </c>
      <c r="CP221" t="e">
        <f>AND('Reporting '!#REF!,"AAAAAHrvv10=")</f>
        <v>#REF!</v>
      </c>
      <c r="CQ221" t="e">
        <f>AND('Reporting '!#REF!,"AAAAAHrvv14=")</f>
        <v>#REF!</v>
      </c>
      <c r="CR221" t="e">
        <f>AND('Reporting '!#REF!,"AAAAAHrvv18=")</f>
        <v>#REF!</v>
      </c>
      <c r="CS221" t="e">
        <f>AND('Reporting '!#REF!,"AAAAAHrvv2A=")</f>
        <v>#REF!</v>
      </c>
      <c r="CT221" t="e">
        <f>AND('Reporting '!#REF!,"AAAAAHrvv2E=")</f>
        <v>#REF!</v>
      </c>
      <c r="CU221" t="e">
        <f>AND('Reporting '!#REF!,"AAAAAHrvv2I=")</f>
        <v>#REF!</v>
      </c>
      <c r="CV221" t="e">
        <f>AND('Reporting '!#REF!,"AAAAAHrvv2M=")</f>
        <v>#REF!</v>
      </c>
      <c r="CW221" t="e">
        <f>AND('Reporting '!#REF!,"AAAAAHrvv2Q=")</f>
        <v>#REF!</v>
      </c>
      <c r="CX221" t="e">
        <f>AND('Reporting '!#REF!,"AAAAAHrvv2U=")</f>
        <v>#REF!</v>
      </c>
      <c r="CY221" t="e">
        <f>AND('Reporting '!#REF!,"AAAAAHrvv2Y=")</f>
        <v>#REF!</v>
      </c>
      <c r="CZ221" t="e">
        <f>AND('Reporting '!#REF!,"AAAAAHrvv2c=")</f>
        <v>#REF!</v>
      </c>
      <c r="DA221" t="e">
        <f>AND('Reporting '!#REF!,"AAAAAHrvv2g=")</f>
        <v>#REF!</v>
      </c>
      <c r="DB221" t="e">
        <f>AND('Reporting '!#REF!,"AAAAAHrvv2k=")</f>
        <v>#REF!</v>
      </c>
      <c r="DC221">
        <f>IF('Reporting '!62:62,"AAAAAHrvv2o=",0)</f>
        <v>0</v>
      </c>
      <c r="DD221" t="e">
        <f>AND('Reporting '!#REF!,"AAAAAHrvv2s=")</f>
        <v>#REF!</v>
      </c>
      <c r="DE221" t="e">
        <f>AND('Reporting '!A62,"AAAAAHrvv2w=")</f>
        <v>#VALUE!</v>
      </c>
      <c r="DF221" t="e">
        <f>AND('Reporting '!B62,"AAAAAHrvv20=")</f>
        <v>#VALUE!</v>
      </c>
      <c r="DG221" t="e">
        <f>AND('Reporting '!C62,"AAAAAHrvv24=")</f>
        <v>#VALUE!</v>
      </c>
      <c r="DH221" t="e">
        <f>AND('Reporting '!D62,"AAAAAHrvv28=")</f>
        <v>#VALUE!</v>
      </c>
      <c r="DI221" t="e">
        <f>AND('Reporting '!E62,"AAAAAHrvv3A=")</f>
        <v>#VALUE!</v>
      </c>
      <c r="DJ221" t="e">
        <f>AND('Reporting '!F62,"AAAAAHrvv3E=")</f>
        <v>#VALUE!</v>
      </c>
      <c r="DK221" t="e">
        <f>AND('Reporting '!G62,"AAAAAHrvv3I=")</f>
        <v>#VALUE!</v>
      </c>
      <c r="DL221" t="e">
        <f>AND('Reporting '!H62,"AAAAAHrvv3M=")</f>
        <v>#VALUE!</v>
      </c>
      <c r="DM221" t="e">
        <f>AND('Reporting '!I62,"AAAAAHrvv3Q=")</f>
        <v>#VALUE!</v>
      </c>
      <c r="DN221" t="e">
        <f>AND('Reporting '!J62,"AAAAAHrvv3U=")</f>
        <v>#VALUE!</v>
      </c>
      <c r="DO221" t="e">
        <f>AND('Reporting '!#REF!,"AAAAAHrvv3Y=")</f>
        <v>#REF!</v>
      </c>
      <c r="DP221" t="e">
        <f>AND('Reporting '!#REF!,"AAAAAHrvv3c=")</f>
        <v>#REF!</v>
      </c>
      <c r="DQ221" t="e">
        <f>AND('Reporting '!#REF!,"AAAAAHrvv3g=")</f>
        <v>#REF!</v>
      </c>
      <c r="DR221">
        <f>IF('Reporting '!51:51,"AAAAAHrvv3k=",0)</f>
        <v>0</v>
      </c>
      <c r="DS221" t="e">
        <f>AND('Reporting '!#REF!,"AAAAAHrvv3o=")</f>
        <v>#REF!</v>
      </c>
      <c r="DT221" t="e">
        <f>AND('Reporting '!A51,"AAAAAHrvv3s=")</f>
        <v>#VALUE!</v>
      </c>
      <c r="DU221" t="e">
        <f>AND('Reporting '!B51,"AAAAAHrvv3w=")</f>
        <v>#VALUE!</v>
      </c>
      <c r="DV221" t="e">
        <f>AND('Reporting '!C51,"AAAAAHrvv30=")</f>
        <v>#VALUE!</v>
      </c>
      <c r="DW221" t="e">
        <f>AND('Reporting '!D51,"AAAAAHrvv34=")</f>
        <v>#VALUE!</v>
      </c>
      <c r="DX221" t="e">
        <f>AND('Reporting '!E51,"AAAAAHrvv38=")</f>
        <v>#VALUE!</v>
      </c>
      <c r="DY221" t="e">
        <f>AND('Reporting '!F51,"AAAAAHrvv4A=")</f>
        <v>#VALUE!</v>
      </c>
      <c r="DZ221" t="e">
        <f>AND('Reporting '!G51,"AAAAAHrvv4E=")</f>
        <v>#VALUE!</v>
      </c>
      <c r="EA221" t="e">
        <f>AND('Reporting '!H51,"AAAAAHrvv4I=")</f>
        <v>#VALUE!</v>
      </c>
      <c r="EB221" t="e">
        <f>AND('Reporting '!I51,"AAAAAHrvv4M=")</f>
        <v>#VALUE!</v>
      </c>
      <c r="EC221" t="e">
        <f>AND('Reporting '!J51,"AAAAAHrvv4Q=")</f>
        <v>#VALUE!</v>
      </c>
      <c r="ED221" t="e">
        <f>AND('Reporting '!#REF!,"AAAAAHrvv4U=")</f>
        <v>#REF!</v>
      </c>
      <c r="EE221" t="e">
        <f>AND('Reporting '!#REF!,"AAAAAHrvv4Y=")</f>
        <v>#REF!</v>
      </c>
      <c r="EF221" t="e">
        <f>AND('Reporting '!#REF!,"AAAAAHrvv4c=")</f>
        <v>#REF!</v>
      </c>
      <c r="EG221">
        <f>IF('Reporting '!52:52,"AAAAAHrvv4g=",0)</f>
        <v>0</v>
      </c>
      <c r="EH221" t="e">
        <f>AND('Reporting '!#REF!,"AAAAAHrvv4k=")</f>
        <v>#REF!</v>
      </c>
      <c r="EI221" t="e">
        <f>AND('Reporting '!A52,"AAAAAHrvv4o=")</f>
        <v>#VALUE!</v>
      </c>
      <c r="EJ221" t="e">
        <f>AND('Reporting '!B52,"AAAAAHrvv4s=")</f>
        <v>#VALUE!</v>
      </c>
      <c r="EK221" t="e">
        <f>AND('Reporting '!C52,"AAAAAHrvv4w=")</f>
        <v>#VALUE!</v>
      </c>
      <c r="EL221" t="e">
        <f>AND('Reporting '!D52,"AAAAAHrvv40=")</f>
        <v>#VALUE!</v>
      </c>
      <c r="EM221" t="e">
        <f>AND('Reporting '!E52,"AAAAAHrvv44=")</f>
        <v>#VALUE!</v>
      </c>
      <c r="EN221" t="e">
        <f>AND('Reporting '!F52,"AAAAAHrvv48=")</f>
        <v>#VALUE!</v>
      </c>
      <c r="EO221" t="e">
        <f>AND('Reporting '!G52,"AAAAAHrvv5A=")</f>
        <v>#VALUE!</v>
      </c>
      <c r="EP221" t="e">
        <f>AND('Reporting '!H52,"AAAAAHrvv5E=")</f>
        <v>#VALUE!</v>
      </c>
      <c r="EQ221" t="e">
        <f>AND('Reporting '!I52,"AAAAAHrvv5I=")</f>
        <v>#VALUE!</v>
      </c>
      <c r="ER221" t="e">
        <f>AND('Reporting '!J52,"AAAAAHrvv5M=")</f>
        <v>#VALUE!</v>
      </c>
      <c r="ES221" t="e">
        <f>AND('Reporting '!#REF!,"AAAAAHrvv5Q=")</f>
        <v>#REF!</v>
      </c>
      <c r="ET221" t="e">
        <f>AND('Reporting '!#REF!,"AAAAAHrvv5U=")</f>
        <v>#REF!</v>
      </c>
      <c r="EU221" t="e">
        <f>AND('Reporting '!#REF!,"AAAAAHrvv5Y=")</f>
        <v>#REF!</v>
      </c>
      <c r="EV221">
        <f>IF('Reporting '!53:53,"AAAAAHrvv5c=",0)</f>
        <v>0</v>
      </c>
      <c r="EW221" t="e">
        <f>AND('Reporting '!#REF!,"AAAAAHrvv5g=")</f>
        <v>#REF!</v>
      </c>
      <c r="EX221" t="e">
        <f>AND('Reporting '!A53,"AAAAAHrvv5k=")</f>
        <v>#VALUE!</v>
      </c>
      <c r="EY221" t="e">
        <f>AND('Reporting '!B53,"AAAAAHrvv5o=")</f>
        <v>#VALUE!</v>
      </c>
      <c r="EZ221" t="e">
        <f>AND('Reporting '!C53,"AAAAAHrvv5s=")</f>
        <v>#VALUE!</v>
      </c>
      <c r="FA221" t="e">
        <f>AND('Reporting '!D53,"AAAAAHrvv5w=")</f>
        <v>#VALUE!</v>
      </c>
      <c r="FB221" t="e">
        <f>AND('Reporting '!E53,"AAAAAHrvv50=")</f>
        <v>#VALUE!</v>
      </c>
      <c r="FC221" t="e">
        <f>AND('Reporting '!F53,"AAAAAHrvv54=")</f>
        <v>#VALUE!</v>
      </c>
      <c r="FD221" t="e">
        <f>AND('Reporting '!G53,"AAAAAHrvv58=")</f>
        <v>#VALUE!</v>
      </c>
      <c r="FE221" t="e">
        <f>AND('Reporting '!H53,"AAAAAHrvv6A=")</f>
        <v>#VALUE!</v>
      </c>
      <c r="FF221" t="e">
        <f>AND('Reporting '!I53,"AAAAAHrvv6E=")</f>
        <v>#VALUE!</v>
      </c>
      <c r="FG221" t="e">
        <f>AND('Reporting '!J53,"AAAAAHrvv6I=")</f>
        <v>#VALUE!</v>
      </c>
      <c r="FH221" t="e">
        <f>AND('Reporting '!#REF!,"AAAAAHrvv6M=")</f>
        <v>#REF!</v>
      </c>
      <c r="FI221" t="e">
        <f>AND('Reporting '!#REF!,"AAAAAHrvv6Q=")</f>
        <v>#REF!</v>
      </c>
      <c r="FJ221" t="e">
        <f>AND('Reporting '!#REF!,"AAAAAHrvv6U=")</f>
        <v>#REF!</v>
      </c>
      <c r="FK221">
        <f>IF('Reporting '!54:54,"AAAAAHrvv6Y=",0)</f>
        <v>0</v>
      </c>
      <c r="FL221" t="e">
        <f>AND('Reporting '!#REF!,"AAAAAHrvv6c=")</f>
        <v>#REF!</v>
      </c>
      <c r="FM221" t="e">
        <f>AND('Reporting '!A54,"AAAAAHrvv6g=")</f>
        <v>#VALUE!</v>
      </c>
      <c r="FN221" t="e">
        <f>AND('Reporting '!B54,"AAAAAHrvv6k=")</f>
        <v>#VALUE!</v>
      </c>
      <c r="FO221" t="e">
        <f>AND('Reporting '!C54,"AAAAAHrvv6o=")</f>
        <v>#VALUE!</v>
      </c>
      <c r="FP221" t="e">
        <f>AND('Reporting '!D54,"AAAAAHrvv6s=")</f>
        <v>#VALUE!</v>
      </c>
      <c r="FQ221" t="e">
        <f>AND('Reporting '!E54,"AAAAAHrvv6w=")</f>
        <v>#VALUE!</v>
      </c>
      <c r="FR221" t="e">
        <f>AND('Reporting '!F54,"AAAAAHrvv60=")</f>
        <v>#VALUE!</v>
      </c>
      <c r="FS221" t="e">
        <f>AND('Reporting '!G54,"AAAAAHrvv64=")</f>
        <v>#VALUE!</v>
      </c>
      <c r="FT221" t="e">
        <f>AND('Reporting '!H54,"AAAAAHrvv68=")</f>
        <v>#VALUE!</v>
      </c>
      <c r="FU221" t="e">
        <f>AND('Reporting '!I54,"AAAAAHrvv7A=")</f>
        <v>#VALUE!</v>
      </c>
      <c r="FV221" t="e">
        <f>AND('Reporting '!J54,"AAAAAHrvv7E=")</f>
        <v>#VALUE!</v>
      </c>
      <c r="FW221" t="e">
        <f>AND('Reporting '!#REF!,"AAAAAHrvv7I=")</f>
        <v>#REF!</v>
      </c>
      <c r="FX221" t="e">
        <f>AND('Reporting '!#REF!,"AAAAAHrvv7M=")</f>
        <v>#REF!</v>
      </c>
      <c r="FY221" t="e">
        <f>AND('Reporting '!#REF!,"AAAAAHrvv7Q=")</f>
        <v>#REF!</v>
      </c>
      <c r="FZ221">
        <f>IF('Reporting '!55:55,"AAAAAHrvv7U=",0)</f>
        <v>0</v>
      </c>
      <c r="GA221" t="e">
        <f>AND('Reporting '!#REF!,"AAAAAHrvv7Y=")</f>
        <v>#REF!</v>
      </c>
      <c r="GB221" t="e">
        <f>AND('Reporting '!A55,"AAAAAHrvv7c=")</f>
        <v>#VALUE!</v>
      </c>
      <c r="GC221" t="e">
        <f>AND('Reporting '!B55,"AAAAAHrvv7g=")</f>
        <v>#VALUE!</v>
      </c>
      <c r="GD221" t="e">
        <f>AND('Reporting '!C55,"AAAAAHrvv7k=")</f>
        <v>#VALUE!</v>
      </c>
      <c r="GE221" t="e">
        <f>AND('Reporting '!D55,"AAAAAHrvv7o=")</f>
        <v>#VALUE!</v>
      </c>
      <c r="GF221" t="e">
        <f>AND('Reporting '!E55,"AAAAAHrvv7s=")</f>
        <v>#VALUE!</v>
      </c>
      <c r="GG221" t="e">
        <f>AND('Reporting '!F55,"AAAAAHrvv7w=")</f>
        <v>#VALUE!</v>
      </c>
      <c r="GH221" t="e">
        <f>AND('Reporting '!G55,"AAAAAHrvv70=")</f>
        <v>#VALUE!</v>
      </c>
      <c r="GI221" t="e">
        <f>AND('Reporting '!H55,"AAAAAHrvv74=")</f>
        <v>#VALUE!</v>
      </c>
      <c r="GJ221" t="e">
        <f>AND('Reporting '!I55,"AAAAAHrvv78=")</f>
        <v>#VALUE!</v>
      </c>
      <c r="GK221" t="e">
        <f>AND('Reporting '!J55,"AAAAAHrvv8A=")</f>
        <v>#VALUE!</v>
      </c>
      <c r="GL221" t="e">
        <f>AND('Reporting '!#REF!,"AAAAAHrvv8E=")</f>
        <v>#REF!</v>
      </c>
      <c r="GM221" t="e">
        <f>AND('Reporting '!#REF!,"AAAAAHrvv8I=")</f>
        <v>#REF!</v>
      </c>
      <c r="GN221" t="e">
        <f>AND('Reporting '!#REF!,"AAAAAHrvv8M=")</f>
        <v>#REF!</v>
      </c>
      <c r="GO221">
        <f>IF('Reporting '!56:56,"AAAAAHrvv8Q=",0)</f>
        <v>0</v>
      </c>
      <c r="GP221" t="e">
        <f>AND('Reporting '!#REF!,"AAAAAHrvv8U=")</f>
        <v>#REF!</v>
      </c>
      <c r="GQ221" t="e">
        <f>AND('Reporting '!A56,"AAAAAHrvv8Y=")</f>
        <v>#VALUE!</v>
      </c>
      <c r="GR221" t="e">
        <f>AND('Reporting '!B56,"AAAAAHrvv8c=")</f>
        <v>#VALUE!</v>
      </c>
      <c r="GS221" t="e">
        <f>AND('Reporting '!C56,"AAAAAHrvv8g=")</f>
        <v>#VALUE!</v>
      </c>
      <c r="GT221" t="e">
        <f>AND('Reporting '!D56,"AAAAAHrvv8k=")</f>
        <v>#VALUE!</v>
      </c>
      <c r="GU221" t="e">
        <f>AND('Reporting '!E56,"AAAAAHrvv8o=")</f>
        <v>#VALUE!</v>
      </c>
      <c r="GV221" t="e">
        <f>AND('Reporting '!F56,"AAAAAHrvv8s=")</f>
        <v>#VALUE!</v>
      </c>
      <c r="GW221" t="e">
        <f>AND('Reporting '!G56,"AAAAAHrvv8w=")</f>
        <v>#VALUE!</v>
      </c>
      <c r="GX221" t="e">
        <f>AND('Reporting '!H56,"AAAAAHrvv80=")</f>
        <v>#VALUE!</v>
      </c>
      <c r="GY221" t="e">
        <f>AND('Reporting '!I56,"AAAAAHrvv84=")</f>
        <v>#VALUE!</v>
      </c>
      <c r="GZ221" t="e">
        <f>AND('Reporting '!J56,"AAAAAHrvv88=")</f>
        <v>#VALUE!</v>
      </c>
      <c r="HA221" t="e">
        <f>AND('Reporting '!#REF!,"AAAAAHrvv9A=")</f>
        <v>#REF!</v>
      </c>
      <c r="HB221" t="e">
        <f>AND('Reporting '!#REF!,"AAAAAHrvv9E=")</f>
        <v>#REF!</v>
      </c>
      <c r="HC221" t="e">
        <f>AND('Reporting '!#REF!,"AAAAAHrvv9I=")</f>
        <v>#REF!</v>
      </c>
      <c r="HD221">
        <f>IF('Reporting '!57:57,"AAAAAHrvv9M=",0)</f>
        <v>0</v>
      </c>
      <c r="HE221" t="e">
        <f>AND('Reporting '!#REF!,"AAAAAHrvv9Q=")</f>
        <v>#REF!</v>
      </c>
      <c r="HF221" t="e">
        <f>AND('Reporting '!A57,"AAAAAHrvv9U=")</f>
        <v>#VALUE!</v>
      </c>
      <c r="HG221" t="e">
        <f>AND('Reporting '!B57,"AAAAAHrvv9Y=")</f>
        <v>#VALUE!</v>
      </c>
      <c r="HH221" t="e">
        <f>AND('Reporting '!C57,"AAAAAHrvv9c=")</f>
        <v>#VALUE!</v>
      </c>
      <c r="HI221" t="e">
        <f>AND('Reporting '!D57,"AAAAAHrvv9g=")</f>
        <v>#VALUE!</v>
      </c>
      <c r="HJ221" t="e">
        <f>AND('Reporting '!E57,"AAAAAHrvv9k=")</f>
        <v>#VALUE!</v>
      </c>
      <c r="HK221" t="e">
        <f>AND('Reporting '!F57,"AAAAAHrvv9o=")</f>
        <v>#VALUE!</v>
      </c>
      <c r="HL221" t="e">
        <f>AND('Reporting '!G57,"AAAAAHrvv9s=")</f>
        <v>#VALUE!</v>
      </c>
      <c r="HM221" t="e">
        <f>AND('Reporting '!H57,"AAAAAHrvv9w=")</f>
        <v>#VALUE!</v>
      </c>
      <c r="HN221" t="e">
        <f>AND('Reporting '!I57,"AAAAAHrvv90=")</f>
        <v>#VALUE!</v>
      </c>
      <c r="HO221" t="e">
        <f>AND('Reporting '!J57,"AAAAAHrvv94=")</f>
        <v>#VALUE!</v>
      </c>
      <c r="HP221" t="e">
        <f>AND('Reporting '!#REF!,"AAAAAHrvv98=")</f>
        <v>#REF!</v>
      </c>
      <c r="HQ221" t="e">
        <f>AND('Reporting '!#REF!,"AAAAAHrvv+A=")</f>
        <v>#REF!</v>
      </c>
      <c r="HR221" t="e">
        <f>AND('Reporting '!#REF!,"AAAAAHrvv+E=")</f>
        <v>#REF!</v>
      </c>
      <c r="HS221">
        <f>IF('Reporting '!60:60,"AAAAAHrvv+I=",0)</f>
        <v>0</v>
      </c>
      <c r="HT221" t="e">
        <f>AND('Reporting '!#REF!,"AAAAAHrvv+M=")</f>
        <v>#REF!</v>
      </c>
      <c r="HU221" t="e">
        <f>AND('Reporting '!A60,"AAAAAHrvv+Q=")</f>
        <v>#VALUE!</v>
      </c>
      <c r="HV221" t="e">
        <f>AND('Reporting '!B60,"AAAAAHrvv+U=")</f>
        <v>#VALUE!</v>
      </c>
      <c r="HW221" t="e">
        <f>AND('Reporting '!C60,"AAAAAHrvv+Y=")</f>
        <v>#VALUE!</v>
      </c>
      <c r="HX221" t="e">
        <f>AND('Reporting '!D60,"AAAAAHrvv+c=")</f>
        <v>#VALUE!</v>
      </c>
      <c r="HY221" t="e">
        <f>AND('Reporting '!E60,"AAAAAHrvv+g=")</f>
        <v>#VALUE!</v>
      </c>
      <c r="HZ221" t="e">
        <f>AND('Reporting '!F60,"AAAAAHrvv+k=")</f>
        <v>#VALUE!</v>
      </c>
      <c r="IA221" t="e">
        <f>AND('Reporting '!G60,"AAAAAHrvv+o=")</f>
        <v>#VALUE!</v>
      </c>
      <c r="IB221" t="e">
        <f>AND('Reporting '!H60,"AAAAAHrvv+s=")</f>
        <v>#VALUE!</v>
      </c>
      <c r="IC221" t="e">
        <f>AND('Reporting '!I60,"AAAAAHrvv+w=")</f>
        <v>#VALUE!</v>
      </c>
      <c r="ID221" t="e">
        <f>AND('Reporting '!J60,"AAAAAHrvv+0=")</f>
        <v>#VALUE!</v>
      </c>
      <c r="IE221" t="e">
        <f>AND('Reporting '!#REF!,"AAAAAHrvv+4=")</f>
        <v>#REF!</v>
      </c>
      <c r="IF221" t="e">
        <f>AND('Reporting '!#REF!,"AAAAAHrvv+8=")</f>
        <v>#REF!</v>
      </c>
      <c r="IG221" t="e">
        <f>AND('Reporting '!#REF!,"AAAAAHrvv/A=")</f>
        <v>#REF!</v>
      </c>
      <c r="IH221">
        <f>IF('Reporting '!67:67,"AAAAAHrvv/E=",0)</f>
        <v>0</v>
      </c>
      <c r="II221" t="e">
        <f>AND('Reporting '!#REF!,"AAAAAHrvv/I=")</f>
        <v>#REF!</v>
      </c>
      <c r="IJ221" t="e">
        <f>AND('Reporting '!A67,"AAAAAHrvv/M=")</f>
        <v>#VALUE!</v>
      </c>
      <c r="IK221" t="e">
        <f>AND('Reporting '!B67,"AAAAAHrvv/Q=")</f>
        <v>#VALUE!</v>
      </c>
      <c r="IL221" t="e">
        <f>AND('Reporting '!C67,"AAAAAHrvv/U=")</f>
        <v>#VALUE!</v>
      </c>
      <c r="IM221" t="e">
        <f>AND('Reporting '!D67,"AAAAAHrvv/Y=")</f>
        <v>#VALUE!</v>
      </c>
      <c r="IN221" t="e">
        <f>AND('Reporting '!E67,"AAAAAHrvv/c=")</f>
        <v>#VALUE!</v>
      </c>
      <c r="IO221" t="e">
        <f>AND('Reporting '!F67,"AAAAAHrvv/g=")</f>
        <v>#VALUE!</v>
      </c>
      <c r="IP221" t="e">
        <f>AND('Reporting '!G67,"AAAAAHrvv/k=")</f>
        <v>#VALUE!</v>
      </c>
      <c r="IQ221" t="e">
        <f>AND('Reporting '!H67,"AAAAAHrvv/o=")</f>
        <v>#VALUE!</v>
      </c>
      <c r="IR221" t="e">
        <f>AND('Reporting '!I67,"AAAAAHrvv/s=")</f>
        <v>#VALUE!</v>
      </c>
      <c r="IS221" t="e">
        <f>AND('Reporting '!J67,"AAAAAHrvv/w=")</f>
        <v>#VALUE!</v>
      </c>
      <c r="IT221" t="e">
        <f>AND('Reporting '!#REF!,"AAAAAHrvv/0=")</f>
        <v>#REF!</v>
      </c>
      <c r="IU221" t="e">
        <f>AND('Reporting '!#REF!,"AAAAAHrvv/4=")</f>
        <v>#REF!</v>
      </c>
      <c r="IV221" t="e">
        <f>AND('Reporting '!#REF!,"AAAAAHrvv/8=")</f>
        <v>#REF!</v>
      </c>
    </row>
    <row r="222" spans="1:256" x14ac:dyDescent="0.2">
      <c r="A222" t="e">
        <f>IF('Reporting '!#REF!,"AAAAAD/22wA=",0)</f>
        <v>#REF!</v>
      </c>
      <c r="B222" t="e">
        <f>AND('Reporting '!#REF!,"AAAAAD/22wE=")</f>
        <v>#REF!</v>
      </c>
      <c r="C222" t="e">
        <f>AND('Reporting '!#REF!,"AAAAAD/22wI=")</f>
        <v>#REF!</v>
      </c>
      <c r="D222" t="e">
        <f>AND('Reporting '!#REF!,"AAAAAD/22wM=")</f>
        <v>#REF!</v>
      </c>
      <c r="E222" t="e">
        <f>AND('Reporting '!#REF!,"AAAAAD/22wQ=")</f>
        <v>#REF!</v>
      </c>
      <c r="F222" t="e">
        <f>AND('Reporting '!#REF!,"AAAAAD/22wU=")</f>
        <v>#REF!</v>
      </c>
      <c r="G222" t="e">
        <f>AND('Reporting '!#REF!,"AAAAAD/22wY=")</f>
        <v>#REF!</v>
      </c>
      <c r="H222" t="e">
        <f>AND('Reporting '!#REF!,"AAAAAD/22wc=")</f>
        <v>#REF!</v>
      </c>
      <c r="I222" t="e">
        <f>AND('Reporting '!#REF!,"AAAAAD/22wg=")</f>
        <v>#REF!</v>
      </c>
      <c r="J222" t="e">
        <f>AND('Reporting '!#REF!,"AAAAAD/22wk=")</f>
        <v>#REF!</v>
      </c>
      <c r="K222" t="e">
        <f>AND('Reporting '!#REF!,"AAAAAD/22wo=")</f>
        <v>#REF!</v>
      </c>
      <c r="L222" t="e">
        <f>AND('Reporting '!#REF!,"AAAAAD/22ws=")</f>
        <v>#REF!</v>
      </c>
      <c r="M222" t="e">
        <f>AND('Reporting '!#REF!,"AAAAAD/22ww=")</f>
        <v>#REF!</v>
      </c>
      <c r="N222" t="e">
        <f>AND('Reporting '!#REF!,"AAAAAD/22w0=")</f>
        <v>#REF!</v>
      </c>
      <c r="O222" t="e">
        <f>AND('Reporting '!#REF!,"AAAAAD/22w4=")</f>
        <v>#REF!</v>
      </c>
      <c r="P222" t="e">
        <f>IF('Reporting '!#REF!,"AAAAAD/22w8=",0)</f>
        <v>#REF!</v>
      </c>
      <c r="Q222" t="e">
        <f>AND('Reporting '!#REF!,"AAAAAD/22xA=")</f>
        <v>#REF!</v>
      </c>
      <c r="R222" t="e">
        <f>AND('Reporting '!#REF!,"AAAAAD/22xE=")</f>
        <v>#REF!</v>
      </c>
      <c r="S222" t="e">
        <f>AND('Reporting '!#REF!,"AAAAAD/22xI=")</f>
        <v>#REF!</v>
      </c>
      <c r="T222" t="e">
        <f>AND('Reporting '!#REF!,"AAAAAD/22xM=")</f>
        <v>#REF!</v>
      </c>
      <c r="U222" t="e">
        <f>AND('Reporting '!#REF!,"AAAAAD/22xQ=")</f>
        <v>#REF!</v>
      </c>
      <c r="V222" t="e">
        <f>AND('Reporting '!#REF!,"AAAAAD/22xU=")</f>
        <v>#REF!</v>
      </c>
      <c r="W222" t="e">
        <f>AND('Reporting '!#REF!,"AAAAAD/22xY=")</f>
        <v>#REF!</v>
      </c>
      <c r="X222" t="e">
        <f>AND('Reporting '!#REF!,"AAAAAD/22xc=")</f>
        <v>#REF!</v>
      </c>
      <c r="Y222" t="e">
        <f>AND('Reporting '!#REF!,"AAAAAD/22xg=")</f>
        <v>#REF!</v>
      </c>
      <c r="Z222" t="e">
        <f>AND('Reporting '!#REF!,"AAAAAD/22xk=")</f>
        <v>#REF!</v>
      </c>
      <c r="AA222" t="e">
        <f>AND('Reporting '!#REF!,"AAAAAD/22xo=")</f>
        <v>#REF!</v>
      </c>
      <c r="AB222" t="e">
        <f>AND('Reporting '!#REF!,"AAAAAD/22xs=")</f>
        <v>#REF!</v>
      </c>
      <c r="AC222" t="e">
        <f>AND('Reporting '!#REF!,"AAAAAD/22xw=")</f>
        <v>#REF!</v>
      </c>
      <c r="AD222" t="e">
        <f>AND('Reporting '!#REF!,"AAAAAD/22x0=")</f>
        <v>#REF!</v>
      </c>
      <c r="AE222" t="e">
        <f>IF('Reporting '!#REF!,"AAAAAD/22x4=",0)</f>
        <v>#REF!</v>
      </c>
      <c r="AF222" t="e">
        <f>AND('Reporting '!#REF!,"AAAAAD/22x8=")</f>
        <v>#REF!</v>
      </c>
      <c r="AG222" t="e">
        <f>AND('Reporting '!#REF!,"AAAAAD/22yA=")</f>
        <v>#REF!</v>
      </c>
      <c r="AH222" t="e">
        <f>AND('Reporting '!#REF!,"AAAAAD/22yE=")</f>
        <v>#REF!</v>
      </c>
      <c r="AI222" t="e">
        <f>AND('Reporting '!#REF!,"AAAAAD/22yI=")</f>
        <v>#REF!</v>
      </c>
      <c r="AJ222" t="e">
        <f>AND('Reporting '!#REF!,"AAAAAD/22yM=")</f>
        <v>#REF!</v>
      </c>
      <c r="AK222" t="e">
        <f>AND('Reporting '!#REF!,"AAAAAD/22yQ=")</f>
        <v>#REF!</v>
      </c>
      <c r="AL222" t="e">
        <f>AND('Reporting '!#REF!,"AAAAAD/22yU=")</f>
        <v>#REF!</v>
      </c>
      <c r="AM222" t="e">
        <f>AND('Reporting '!#REF!,"AAAAAD/22yY=")</f>
        <v>#REF!</v>
      </c>
      <c r="AN222" t="e">
        <f>AND('Reporting '!#REF!,"AAAAAD/22yc=")</f>
        <v>#REF!</v>
      </c>
      <c r="AO222" t="e">
        <f>AND('Reporting '!#REF!,"AAAAAD/22yg=")</f>
        <v>#REF!</v>
      </c>
      <c r="AP222" t="e">
        <f>AND('Reporting '!#REF!,"AAAAAD/22yk=")</f>
        <v>#REF!</v>
      </c>
      <c r="AQ222" t="e">
        <f>AND('Reporting '!#REF!,"AAAAAD/22yo=")</f>
        <v>#REF!</v>
      </c>
      <c r="AR222" t="e">
        <f>AND('Reporting '!#REF!,"AAAAAD/22ys=")</f>
        <v>#REF!</v>
      </c>
      <c r="AS222" t="e">
        <f>AND('Reporting '!#REF!,"AAAAAD/22yw=")</f>
        <v>#REF!</v>
      </c>
      <c r="AT222" t="e">
        <f>IF('Reporting '!#REF!,"AAAAAD/22y0=",0)</f>
        <v>#REF!</v>
      </c>
      <c r="AU222" t="e">
        <f>AND('Reporting '!#REF!,"AAAAAD/22y4=")</f>
        <v>#REF!</v>
      </c>
      <c r="AV222" t="e">
        <f>AND('Reporting '!#REF!,"AAAAAD/22y8=")</f>
        <v>#REF!</v>
      </c>
      <c r="AW222" t="e">
        <f>AND('Reporting '!#REF!,"AAAAAD/22zA=")</f>
        <v>#REF!</v>
      </c>
      <c r="AX222" t="e">
        <f>AND('Reporting '!#REF!,"AAAAAD/22zE=")</f>
        <v>#REF!</v>
      </c>
      <c r="AY222" t="e">
        <f>AND('Reporting '!#REF!,"AAAAAD/22zI=")</f>
        <v>#REF!</v>
      </c>
      <c r="AZ222" t="e">
        <f>AND('Reporting '!#REF!,"AAAAAD/22zM=")</f>
        <v>#REF!</v>
      </c>
      <c r="BA222" t="e">
        <f>AND('Reporting '!#REF!,"AAAAAD/22zQ=")</f>
        <v>#REF!</v>
      </c>
      <c r="BB222" t="e">
        <f>AND('Reporting '!#REF!,"AAAAAD/22zU=")</f>
        <v>#REF!</v>
      </c>
      <c r="BC222" t="e">
        <f>AND('Reporting '!#REF!,"AAAAAD/22zY=")</f>
        <v>#REF!</v>
      </c>
      <c r="BD222" t="e">
        <f>AND('Reporting '!#REF!,"AAAAAD/22zc=")</f>
        <v>#REF!</v>
      </c>
      <c r="BE222" t="e">
        <f>AND('Reporting '!#REF!,"AAAAAD/22zg=")</f>
        <v>#REF!</v>
      </c>
      <c r="BF222" t="e">
        <f>AND('Reporting '!#REF!,"AAAAAD/22zk=")</f>
        <v>#REF!</v>
      </c>
      <c r="BG222" t="e">
        <f>AND('Reporting '!#REF!,"AAAAAD/22zo=")</f>
        <v>#REF!</v>
      </c>
      <c r="BH222" t="e">
        <f>AND('Reporting '!#REF!,"AAAAAD/22zs=")</f>
        <v>#REF!</v>
      </c>
      <c r="BI222" t="e">
        <f>IF('Reporting '!#REF!,"AAAAAD/22zw=",0)</f>
        <v>#REF!</v>
      </c>
      <c r="BJ222" t="e">
        <f>AND('Reporting '!#REF!,"AAAAAD/22z0=")</f>
        <v>#REF!</v>
      </c>
      <c r="BK222" t="e">
        <f>AND('Reporting '!#REF!,"AAAAAD/22z4=")</f>
        <v>#REF!</v>
      </c>
      <c r="BL222" t="e">
        <f>AND('Reporting '!#REF!,"AAAAAD/22z8=")</f>
        <v>#REF!</v>
      </c>
      <c r="BM222" t="e">
        <f>AND('Reporting '!#REF!,"AAAAAD/220A=")</f>
        <v>#REF!</v>
      </c>
      <c r="BN222" t="e">
        <f>AND('Reporting '!#REF!,"AAAAAD/220E=")</f>
        <v>#REF!</v>
      </c>
      <c r="BO222" t="e">
        <f>AND('Reporting '!#REF!,"AAAAAD/220I=")</f>
        <v>#REF!</v>
      </c>
      <c r="BP222" t="e">
        <f>AND('Reporting '!#REF!,"AAAAAD/220M=")</f>
        <v>#REF!</v>
      </c>
      <c r="BQ222" t="e">
        <f>AND('Reporting '!#REF!,"AAAAAD/220Q=")</f>
        <v>#REF!</v>
      </c>
      <c r="BR222" t="e">
        <f>AND('Reporting '!#REF!,"AAAAAD/220U=")</f>
        <v>#REF!</v>
      </c>
      <c r="BS222" t="e">
        <f>AND('Reporting '!#REF!,"AAAAAD/220Y=")</f>
        <v>#REF!</v>
      </c>
      <c r="BT222" t="e">
        <f>AND('Reporting '!#REF!,"AAAAAD/220c=")</f>
        <v>#REF!</v>
      </c>
      <c r="BU222" t="e">
        <f>AND('Reporting '!#REF!,"AAAAAD/220g=")</f>
        <v>#REF!</v>
      </c>
      <c r="BV222" t="e">
        <f>AND('Reporting '!#REF!,"AAAAAD/220k=")</f>
        <v>#REF!</v>
      </c>
      <c r="BW222" t="e">
        <f>AND('Reporting '!#REF!,"AAAAAD/220o=")</f>
        <v>#REF!</v>
      </c>
      <c r="BX222" t="e">
        <f>IF('Reporting '!#REF!,"AAAAAD/220s=",0)</f>
        <v>#REF!</v>
      </c>
      <c r="BY222" t="e">
        <f>AND('Reporting '!#REF!,"AAAAAD/220w=")</f>
        <v>#REF!</v>
      </c>
      <c r="BZ222" t="e">
        <f>AND('Reporting '!#REF!,"AAAAAD/2200=")</f>
        <v>#REF!</v>
      </c>
      <c r="CA222" t="e">
        <f>AND('Reporting '!#REF!,"AAAAAD/2204=")</f>
        <v>#REF!</v>
      </c>
      <c r="CB222" t="e">
        <f>AND('Reporting '!#REF!,"AAAAAD/2208=")</f>
        <v>#REF!</v>
      </c>
      <c r="CC222" t="e">
        <f>AND('Reporting '!#REF!,"AAAAAD/221A=")</f>
        <v>#REF!</v>
      </c>
      <c r="CD222" t="e">
        <f>AND('Reporting '!#REF!,"AAAAAD/221E=")</f>
        <v>#REF!</v>
      </c>
      <c r="CE222" t="e">
        <f>AND('Reporting '!#REF!,"AAAAAD/221I=")</f>
        <v>#REF!</v>
      </c>
      <c r="CF222" t="e">
        <f>AND('Reporting '!#REF!,"AAAAAD/221M=")</f>
        <v>#REF!</v>
      </c>
      <c r="CG222" t="e">
        <f>AND('Reporting '!#REF!,"AAAAAD/221Q=")</f>
        <v>#REF!</v>
      </c>
      <c r="CH222" t="e">
        <f>AND('Reporting '!#REF!,"AAAAAD/221U=")</f>
        <v>#REF!</v>
      </c>
      <c r="CI222" t="e">
        <f>AND('Reporting '!#REF!,"AAAAAD/221Y=")</f>
        <v>#REF!</v>
      </c>
      <c r="CJ222" t="e">
        <f>AND('Reporting '!#REF!,"AAAAAD/221c=")</f>
        <v>#REF!</v>
      </c>
      <c r="CK222" t="e">
        <f>AND('Reporting '!#REF!,"AAAAAD/221g=")</f>
        <v>#REF!</v>
      </c>
      <c r="CL222" t="e">
        <f>AND('Reporting '!#REF!,"AAAAAD/221k=")</f>
        <v>#REF!</v>
      </c>
      <c r="CM222" t="e">
        <f>IF('Reporting '!#REF!,"AAAAAD/221o=",0)</f>
        <v>#REF!</v>
      </c>
      <c r="CN222" t="e">
        <f>AND('Reporting '!#REF!,"AAAAAD/221s=")</f>
        <v>#REF!</v>
      </c>
      <c r="CO222" t="e">
        <f>AND('Reporting '!#REF!,"AAAAAD/221w=")</f>
        <v>#REF!</v>
      </c>
      <c r="CP222" t="e">
        <f>AND('Reporting '!#REF!,"AAAAAD/2210=")</f>
        <v>#REF!</v>
      </c>
      <c r="CQ222" t="e">
        <f>AND('Reporting '!#REF!,"AAAAAD/2214=")</f>
        <v>#REF!</v>
      </c>
      <c r="CR222" t="e">
        <f>AND('Reporting '!#REF!,"AAAAAD/2218=")</f>
        <v>#REF!</v>
      </c>
      <c r="CS222" t="e">
        <f>AND('Reporting '!#REF!,"AAAAAD/222A=")</f>
        <v>#REF!</v>
      </c>
      <c r="CT222" t="e">
        <f>AND('Reporting '!#REF!,"AAAAAD/222E=")</f>
        <v>#REF!</v>
      </c>
      <c r="CU222" t="e">
        <f>AND('Reporting '!#REF!,"AAAAAD/222I=")</f>
        <v>#REF!</v>
      </c>
      <c r="CV222" t="e">
        <f>AND('Reporting '!#REF!,"AAAAAD/222M=")</f>
        <v>#REF!</v>
      </c>
      <c r="CW222" t="e">
        <f>AND('Reporting '!#REF!,"AAAAAD/222Q=")</f>
        <v>#REF!</v>
      </c>
      <c r="CX222" t="e">
        <f>AND('Reporting '!#REF!,"AAAAAD/222U=")</f>
        <v>#REF!</v>
      </c>
      <c r="CY222" t="e">
        <f>AND('Reporting '!#REF!,"AAAAAD/222Y=")</f>
        <v>#REF!</v>
      </c>
      <c r="CZ222" t="e">
        <f>AND('Reporting '!#REF!,"AAAAAD/222c=")</f>
        <v>#REF!</v>
      </c>
      <c r="DA222" t="e">
        <f>AND('Reporting '!#REF!,"AAAAAD/222g=")</f>
        <v>#REF!</v>
      </c>
      <c r="DB222" t="e">
        <f>IF('Reporting '!#REF!,"AAAAAD/222k=",0)</f>
        <v>#REF!</v>
      </c>
      <c r="DC222" t="e">
        <f>AND('Reporting '!#REF!,"AAAAAD/222o=")</f>
        <v>#REF!</v>
      </c>
      <c r="DD222" t="e">
        <f>AND('Reporting '!#REF!,"AAAAAD/222s=")</f>
        <v>#REF!</v>
      </c>
      <c r="DE222" t="e">
        <f>AND('Reporting '!#REF!,"AAAAAD/222w=")</f>
        <v>#REF!</v>
      </c>
      <c r="DF222" t="e">
        <f>AND('Reporting '!#REF!,"AAAAAD/2220=")</f>
        <v>#REF!</v>
      </c>
      <c r="DG222" t="e">
        <f>AND('Reporting '!#REF!,"AAAAAD/2224=")</f>
        <v>#REF!</v>
      </c>
      <c r="DH222" t="e">
        <f>AND('Reporting '!#REF!,"AAAAAD/2228=")</f>
        <v>#REF!</v>
      </c>
      <c r="DI222" t="e">
        <f>AND('Reporting '!#REF!,"AAAAAD/223A=")</f>
        <v>#REF!</v>
      </c>
      <c r="DJ222" t="e">
        <f>AND('Reporting '!#REF!,"AAAAAD/223E=")</f>
        <v>#REF!</v>
      </c>
      <c r="DK222" t="e">
        <f>AND('Reporting '!#REF!,"AAAAAD/223I=")</f>
        <v>#REF!</v>
      </c>
      <c r="DL222" t="e">
        <f>AND('Reporting '!#REF!,"AAAAAD/223M=")</f>
        <v>#REF!</v>
      </c>
      <c r="DM222" t="e">
        <f>AND('Reporting '!#REF!,"AAAAAD/223Q=")</f>
        <v>#REF!</v>
      </c>
      <c r="DN222" t="e">
        <f>AND('Reporting '!#REF!,"AAAAAD/223U=")</f>
        <v>#REF!</v>
      </c>
      <c r="DO222" t="e">
        <f>AND('Reporting '!#REF!,"AAAAAD/223Y=")</f>
        <v>#REF!</v>
      </c>
      <c r="DP222" t="e">
        <f>AND('Reporting '!#REF!,"AAAAAD/223c=")</f>
        <v>#REF!</v>
      </c>
      <c r="DQ222" t="e">
        <f>IF('Reporting '!#REF!,"AAAAAD/223g=",0)</f>
        <v>#REF!</v>
      </c>
      <c r="DR222" t="e">
        <f>AND('Reporting '!#REF!,"AAAAAD/223k=")</f>
        <v>#REF!</v>
      </c>
      <c r="DS222" t="e">
        <f>AND('Reporting '!#REF!,"AAAAAD/223o=")</f>
        <v>#REF!</v>
      </c>
      <c r="DT222" t="e">
        <f>AND('Reporting '!#REF!,"AAAAAD/223s=")</f>
        <v>#REF!</v>
      </c>
      <c r="DU222" t="e">
        <f>AND('Reporting '!#REF!,"AAAAAD/223w=")</f>
        <v>#REF!</v>
      </c>
      <c r="DV222" t="e">
        <f>AND('Reporting '!#REF!,"AAAAAD/2230=")</f>
        <v>#REF!</v>
      </c>
      <c r="DW222" t="e">
        <f>AND('Reporting '!#REF!,"AAAAAD/2234=")</f>
        <v>#REF!</v>
      </c>
      <c r="DX222" t="e">
        <f>AND('Reporting '!#REF!,"AAAAAD/2238=")</f>
        <v>#REF!</v>
      </c>
      <c r="DY222" t="e">
        <f>AND('Reporting '!#REF!,"AAAAAD/224A=")</f>
        <v>#REF!</v>
      </c>
      <c r="DZ222" t="e">
        <f>AND('Reporting '!#REF!,"AAAAAD/224E=")</f>
        <v>#REF!</v>
      </c>
      <c r="EA222" t="e">
        <f>AND('Reporting '!#REF!,"AAAAAD/224I=")</f>
        <v>#REF!</v>
      </c>
      <c r="EB222" t="e">
        <f>AND('Reporting '!#REF!,"AAAAAD/224M=")</f>
        <v>#REF!</v>
      </c>
      <c r="EC222" t="e">
        <f>AND('Reporting '!#REF!,"AAAAAD/224Q=")</f>
        <v>#REF!</v>
      </c>
      <c r="ED222" t="e">
        <f>AND('Reporting '!#REF!,"AAAAAD/224U=")</f>
        <v>#REF!</v>
      </c>
      <c r="EE222" t="e">
        <f>AND('Reporting '!#REF!,"AAAAAD/224Y=")</f>
        <v>#REF!</v>
      </c>
      <c r="EF222" t="e">
        <f>IF('Reporting '!#REF!,"AAAAAD/224c=",0)</f>
        <v>#REF!</v>
      </c>
      <c r="EG222" t="e">
        <f>AND('Reporting '!#REF!,"AAAAAD/224g=")</f>
        <v>#REF!</v>
      </c>
      <c r="EH222" t="e">
        <f>AND('Reporting '!#REF!,"AAAAAD/224k=")</f>
        <v>#REF!</v>
      </c>
      <c r="EI222" t="e">
        <f>AND('Reporting '!#REF!,"AAAAAD/224o=")</f>
        <v>#REF!</v>
      </c>
      <c r="EJ222" t="e">
        <f>AND('Reporting '!#REF!,"AAAAAD/224s=")</f>
        <v>#REF!</v>
      </c>
      <c r="EK222" t="e">
        <f>AND('Reporting '!#REF!,"AAAAAD/224w=")</f>
        <v>#REF!</v>
      </c>
      <c r="EL222" t="e">
        <f>AND('Reporting '!#REF!,"AAAAAD/2240=")</f>
        <v>#REF!</v>
      </c>
      <c r="EM222" t="e">
        <f>AND('Reporting '!#REF!,"AAAAAD/2244=")</f>
        <v>#REF!</v>
      </c>
      <c r="EN222" t="e">
        <f>AND('Reporting '!#REF!,"AAAAAD/2248=")</f>
        <v>#REF!</v>
      </c>
      <c r="EO222" t="e">
        <f>AND('Reporting '!#REF!,"AAAAAD/225A=")</f>
        <v>#REF!</v>
      </c>
      <c r="EP222" t="e">
        <f>AND('Reporting '!#REF!,"AAAAAD/225E=")</f>
        <v>#REF!</v>
      </c>
      <c r="EQ222" t="e">
        <f>AND('Reporting '!#REF!,"AAAAAD/225I=")</f>
        <v>#REF!</v>
      </c>
      <c r="ER222" t="e">
        <f>AND('Reporting '!#REF!,"AAAAAD/225M=")</f>
        <v>#REF!</v>
      </c>
      <c r="ES222" t="e">
        <f>AND('Reporting '!#REF!,"AAAAAD/225Q=")</f>
        <v>#REF!</v>
      </c>
      <c r="ET222" t="e">
        <f>AND('Reporting '!#REF!,"AAAAAD/225U=")</f>
        <v>#REF!</v>
      </c>
      <c r="EU222" t="e">
        <f>IF('Reporting '!#REF!,"AAAAAD/225Y=",0)</f>
        <v>#REF!</v>
      </c>
      <c r="EV222" t="e">
        <f>AND('Reporting '!#REF!,"AAAAAD/225c=")</f>
        <v>#REF!</v>
      </c>
      <c r="EW222" t="e">
        <f>AND('Reporting '!#REF!,"AAAAAD/225g=")</f>
        <v>#REF!</v>
      </c>
      <c r="EX222" t="e">
        <f>AND('Reporting '!#REF!,"AAAAAD/225k=")</f>
        <v>#REF!</v>
      </c>
      <c r="EY222" t="e">
        <f>AND('Reporting '!#REF!,"AAAAAD/225o=")</f>
        <v>#REF!</v>
      </c>
      <c r="EZ222" t="e">
        <f>AND('Reporting '!#REF!,"AAAAAD/225s=")</f>
        <v>#REF!</v>
      </c>
      <c r="FA222" t="e">
        <f>AND('Reporting '!#REF!,"AAAAAD/225w=")</f>
        <v>#REF!</v>
      </c>
      <c r="FB222" t="e">
        <f>AND('Reporting '!#REF!,"AAAAAD/2250=")</f>
        <v>#REF!</v>
      </c>
      <c r="FC222" t="e">
        <f>AND('Reporting '!#REF!,"AAAAAD/2254=")</f>
        <v>#REF!</v>
      </c>
      <c r="FD222" t="e">
        <f>AND('Reporting '!#REF!,"AAAAAD/2258=")</f>
        <v>#REF!</v>
      </c>
      <c r="FE222" t="e">
        <f>AND('Reporting '!#REF!,"AAAAAD/226A=")</f>
        <v>#REF!</v>
      </c>
      <c r="FF222" t="e">
        <f>AND('Reporting '!#REF!,"AAAAAD/226E=")</f>
        <v>#REF!</v>
      </c>
      <c r="FG222" t="e">
        <f>AND('Reporting '!#REF!,"AAAAAD/226I=")</f>
        <v>#REF!</v>
      </c>
      <c r="FH222" t="e">
        <f>AND('Reporting '!#REF!,"AAAAAD/226M=")</f>
        <v>#REF!</v>
      </c>
      <c r="FI222" t="e">
        <f>AND('Reporting '!#REF!,"AAAAAD/226Q=")</f>
        <v>#REF!</v>
      </c>
      <c r="FJ222" t="e">
        <f>IF('Reporting '!#REF!,"AAAAAD/226U=",0)</f>
        <v>#REF!</v>
      </c>
      <c r="FK222" t="e">
        <f>AND('Reporting '!#REF!,"AAAAAD/226Y=")</f>
        <v>#REF!</v>
      </c>
      <c r="FL222" t="e">
        <f>AND('Reporting '!#REF!,"AAAAAD/226c=")</f>
        <v>#REF!</v>
      </c>
      <c r="FM222" t="e">
        <f>AND('Reporting '!#REF!,"AAAAAD/226g=")</f>
        <v>#REF!</v>
      </c>
      <c r="FN222" t="e">
        <f>AND('Reporting '!#REF!,"AAAAAD/226k=")</f>
        <v>#REF!</v>
      </c>
      <c r="FO222" t="e">
        <f>AND('Reporting '!#REF!,"AAAAAD/226o=")</f>
        <v>#REF!</v>
      </c>
      <c r="FP222" t="e">
        <f>AND('Reporting '!#REF!,"AAAAAD/226s=")</f>
        <v>#REF!</v>
      </c>
      <c r="FQ222" t="e">
        <f>AND('Reporting '!#REF!,"AAAAAD/226w=")</f>
        <v>#REF!</v>
      </c>
      <c r="FR222" t="e">
        <f>AND('Reporting '!#REF!,"AAAAAD/2260=")</f>
        <v>#REF!</v>
      </c>
      <c r="FS222" t="e">
        <f>AND('Reporting '!#REF!,"AAAAAD/2264=")</f>
        <v>#REF!</v>
      </c>
      <c r="FT222" t="e">
        <f>AND('Reporting '!#REF!,"AAAAAD/2268=")</f>
        <v>#REF!</v>
      </c>
      <c r="FU222" t="e">
        <f>AND('Reporting '!#REF!,"AAAAAD/227A=")</f>
        <v>#REF!</v>
      </c>
      <c r="FV222" t="e">
        <f>AND('Reporting '!#REF!,"AAAAAD/227E=")</f>
        <v>#REF!</v>
      </c>
      <c r="FW222" t="e">
        <f>AND('Reporting '!#REF!,"AAAAAD/227I=")</f>
        <v>#REF!</v>
      </c>
      <c r="FX222" t="e">
        <f>AND('Reporting '!#REF!,"AAAAAD/227M=")</f>
        <v>#REF!</v>
      </c>
      <c r="FY222" t="e">
        <f>IF('Reporting '!#REF!,"AAAAAD/227Q=",0)</f>
        <v>#REF!</v>
      </c>
      <c r="FZ222" t="e">
        <f>AND('Reporting '!#REF!,"AAAAAD/227U=")</f>
        <v>#REF!</v>
      </c>
      <c r="GA222" t="e">
        <f>AND('Reporting '!#REF!,"AAAAAD/227Y=")</f>
        <v>#REF!</v>
      </c>
      <c r="GB222" t="e">
        <f>AND('Reporting '!#REF!,"AAAAAD/227c=")</f>
        <v>#REF!</v>
      </c>
      <c r="GC222" t="e">
        <f>AND('Reporting '!#REF!,"AAAAAD/227g=")</f>
        <v>#REF!</v>
      </c>
      <c r="GD222" t="e">
        <f>AND('Reporting '!#REF!,"AAAAAD/227k=")</f>
        <v>#REF!</v>
      </c>
      <c r="GE222" t="e">
        <f>AND('Reporting '!#REF!,"AAAAAD/227o=")</f>
        <v>#REF!</v>
      </c>
      <c r="GF222" t="e">
        <f>AND('Reporting '!#REF!,"AAAAAD/227s=")</f>
        <v>#REF!</v>
      </c>
      <c r="GG222" t="e">
        <f>AND('Reporting '!#REF!,"AAAAAD/227w=")</f>
        <v>#REF!</v>
      </c>
      <c r="GH222" t="e">
        <f>AND('Reporting '!#REF!,"AAAAAD/2270=")</f>
        <v>#REF!</v>
      </c>
      <c r="GI222" t="e">
        <f>AND('Reporting '!#REF!,"AAAAAD/2274=")</f>
        <v>#REF!</v>
      </c>
      <c r="GJ222" t="e">
        <f>AND('Reporting '!#REF!,"AAAAAD/2278=")</f>
        <v>#REF!</v>
      </c>
      <c r="GK222" t="e">
        <f>AND('Reporting '!#REF!,"AAAAAD/228A=")</f>
        <v>#REF!</v>
      </c>
      <c r="GL222" t="e">
        <f>AND('Reporting '!#REF!,"AAAAAD/228E=")</f>
        <v>#REF!</v>
      </c>
      <c r="GM222" t="e">
        <f>AND('Reporting '!#REF!,"AAAAAD/228I=")</f>
        <v>#REF!</v>
      </c>
      <c r="GN222" t="e">
        <f>IF('Reporting '!#REF!,"AAAAAD/228M=",0)</f>
        <v>#REF!</v>
      </c>
      <c r="GO222" t="e">
        <f>AND('Reporting '!#REF!,"AAAAAD/228Q=")</f>
        <v>#REF!</v>
      </c>
      <c r="GP222" t="e">
        <f>AND('Reporting '!#REF!,"AAAAAD/228U=")</f>
        <v>#REF!</v>
      </c>
      <c r="GQ222" t="e">
        <f>AND('Reporting '!#REF!,"AAAAAD/228Y=")</f>
        <v>#REF!</v>
      </c>
      <c r="GR222" t="e">
        <f>AND('Reporting '!#REF!,"AAAAAD/228c=")</f>
        <v>#REF!</v>
      </c>
      <c r="GS222" t="e">
        <f>AND('Reporting '!#REF!,"AAAAAD/228g=")</f>
        <v>#REF!</v>
      </c>
      <c r="GT222" t="e">
        <f>AND('Reporting '!#REF!,"AAAAAD/228k=")</f>
        <v>#REF!</v>
      </c>
      <c r="GU222" t="e">
        <f>AND('Reporting '!#REF!,"AAAAAD/228o=")</f>
        <v>#REF!</v>
      </c>
      <c r="GV222" t="e">
        <f>AND('Reporting '!#REF!,"AAAAAD/228s=")</f>
        <v>#REF!</v>
      </c>
      <c r="GW222" t="e">
        <f>AND('Reporting '!#REF!,"AAAAAD/228w=")</f>
        <v>#REF!</v>
      </c>
      <c r="GX222" t="e">
        <f>AND('Reporting '!#REF!,"AAAAAD/2280=")</f>
        <v>#REF!</v>
      </c>
      <c r="GY222" t="e">
        <f>AND('Reporting '!#REF!,"AAAAAD/2284=")</f>
        <v>#REF!</v>
      </c>
      <c r="GZ222" t="e">
        <f>AND('Reporting '!#REF!,"AAAAAD/2288=")</f>
        <v>#REF!</v>
      </c>
      <c r="HA222" t="e">
        <f>AND('Reporting '!#REF!,"AAAAAD/229A=")</f>
        <v>#REF!</v>
      </c>
      <c r="HB222" t="e">
        <f>AND('Reporting '!#REF!,"AAAAAD/229E=")</f>
        <v>#REF!</v>
      </c>
      <c r="HC222">
        <f>IF('Reporting '!90:90,"AAAAAD/229I=",0)</f>
        <v>0</v>
      </c>
      <c r="HD222" t="e">
        <f>AND('Reporting '!A90,"AAAAAD/229M=")</f>
        <v>#VALUE!</v>
      </c>
      <c r="HE222" t="e">
        <f>AND('Reporting '!B90,"AAAAAD/229Q=")</f>
        <v>#VALUE!</v>
      </c>
      <c r="HF222" t="e">
        <f>AND('Reporting '!C90,"AAAAAD/229U=")</f>
        <v>#VALUE!</v>
      </c>
      <c r="HG222" t="e">
        <f>AND('Reporting '!D90,"AAAAAD/229Y=")</f>
        <v>#VALUE!</v>
      </c>
      <c r="HH222" t="e">
        <f>AND('Reporting '!E90,"AAAAAD/229c=")</f>
        <v>#VALUE!</v>
      </c>
      <c r="HI222" t="e">
        <f>AND('Reporting '!F90,"AAAAAD/229g=")</f>
        <v>#VALUE!</v>
      </c>
      <c r="HJ222" t="e">
        <f>AND('Reporting '!G90,"AAAAAD/229k=")</f>
        <v>#VALUE!</v>
      </c>
      <c r="HK222" t="e">
        <f>AND('Reporting '!H90,"AAAAAD/229o=")</f>
        <v>#VALUE!</v>
      </c>
      <c r="HL222" t="e">
        <f>AND('Reporting '!I90,"AAAAAD/229s=")</f>
        <v>#VALUE!</v>
      </c>
      <c r="HM222" t="e">
        <f>AND('Reporting '!J90,"AAAAAD/229w=")</f>
        <v>#VALUE!</v>
      </c>
      <c r="HN222" t="e">
        <f>AND('Reporting '!#REF!,"AAAAAD/2290=")</f>
        <v>#REF!</v>
      </c>
      <c r="HO222" t="e">
        <f>AND('Reporting '!#REF!,"AAAAAD/2294=")</f>
        <v>#REF!</v>
      </c>
      <c r="HP222" t="e">
        <f>AND('Reporting '!#REF!,"AAAAAD/2298=")</f>
        <v>#REF!</v>
      </c>
      <c r="HQ222" t="e">
        <f>AND('Reporting '!#REF!,"AAAAAD/22+A=")</f>
        <v>#REF!</v>
      </c>
      <c r="HR222" t="e">
        <f>IF('Reporting '!#REF!,"AAAAAD/22+E=",0)</f>
        <v>#REF!</v>
      </c>
      <c r="HS222" t="e">
        <f>AND('Reporting '!#REF!,"AAAAAD/22+I=")</f>
        <v>#REF!</v>
      </c>
      <c r="HT222" t="e">
        <f>AND('Reporting '!#REF!,"AAAAAD/22+M=")</f>
        <v>#REF!</v>
      </c>
      <c r="HU222" t="e">
        <f>AND('Reporting '!#REF!,"AAAAAD/22+Q=")</f>
        <v>#REF!</v>
      </c>
      <c r="HV222" t="e">
        <f>AND('Reporting '!#REF!,"AAAAAD/22+U=")</f>
        <v>#REF!</v>
      </c>
      <c r="HW222" t="e">
        <f>AND('Reporting '!#REF!,"AAAAAD/22+Y=")</f>
        <v>#REF!</v>
      </c>
      <c r="HX222" t="e">
        <f>AND('Reporting '!#REF!,"AAAAAD/22+c=")</f>
        <v>#REF!</v>
      </c>
      <c r="HY222" t="e">
        <f>AND('Reporting '!#REF!,"AAAAAD/22+g=")</f>
        <v>#REF!</v>
      </c>
      <c r="HZ222" t="e">
        <f>AND('Reporting '!#REF!,"AAAAAD/22+k=")</f>
        <v>#REF!</v>
      </c>
      <c r="IA222" t="e">
        <f>AND('Reporting '!#REF!,"AAAAAD/22+o=")</f>
        <v>#REF!</v>
      </c>
      <c r="IB222" t="e">
        <f>AND('Reporting '!#REF!,"AAAAAD/22+s=")</f>
        <v>#REF!</v>
      </c>
      <c r="IC222" t="e">
        <f>AND('Reporting '!#REF!,"AAAAAD/22+w=")</f>
        <v>#REF!</v>
      </c>
      <c r="ID222" t="e">
        <f>AND('Reporting '!#REF!,"AAAAAD/22+0=")</f>
        <v>#REF!</v>
      </c>
      <c r="IE222" t="e">
        <f>AND('Reporting '!#REF!,"AAAAAD/22+4=")</f>
        <v>#REF!</v>
      </c>
      <c r="IF222" t="e">
        <f>AND('Reporting '!#REF!,"AAAAAD/22+8=")</f>
        <v>#REF!</v>
      </c>
      <c r="IG222" t="e">
        <f>IF('Reporting '!#REF!,"AAAAAD/22/A=",0)</f>
        <v>#REF!</v>
      </c>
      <c r="IH222" t="e">
        <f>AND('Reporting '!#REF!,"AAAAAD/22/E=")</f>
        <v>#REF!</v>
      </c>
      <c r="II222" t="e">
        <f>AND('Reporting '!#REF!,"AAAAAD/22/I=")</f>
        <v>#REF!</v>
      </c>
      <c r="IJ222" t="e">
        <f>AND('Reporting '!#REF!,"AAAAAD/22/M=")</f>
        <v>#REF!</v>
      </c>
      <c r="IK222" t="e">
        <f>AND('Reporting '!#REF!,"AAAAAD/22/Q=")</f>
        <v>#REF!</v>
      </c>
      <c r="IL222" t="e">
        <f>AND('Reporting '!#REF!,"AAAAAD/22/U=")</f>
        <v>#REF!</v>
      </c>
      <c r="IM222" t="e">
        <f>AND('Reporting '!#REF!,"AAAAAD/22/Y=")</f>
        <v>#REF!</v>
      </c>
      <c r="IN222" t="e">
        <f>AND('Reporting '!#REF!,"AAAAAD/22/c=")</f>
        <v>#REF!</v>
      </c>
      <c r="IO222" t="e">
        <f>AND('Reporting '!#REF!,"AAAAAD/22/g=")</f>
        <v>#REF!</v>
      </c>
      <c r="IP222" t="e">
        <f>AND('Reporting '!#REF!,"AAAAAD/22/k=")</f>
        <v>#REF!</v>
      </c>
      <c r="IQ222" t="e">
        <f>AND('Reporting '!#REF!,"AAAAAD/22/o=")</f>
        <v>#REF!</v>
      </c>
      <c r="IR222" t="e">
        <f>AND('Reporting '!#REF!,"AAAAAD/22/s=")</f>
        <v>#REF!</v>
      </c>
      <c r="IS222" t="e">
        <f>AND('Reporting '!#REF!,"AAAAAD/22/w=")</f>
        <v>#REF!</v>
      </c>
      <c r="IT222" t="e">
        <f>AND('Reporting '!#REF!,"AAAAAD/22/0=")</f>
        <v>#REF!</v>
      </c>
      <c r="IU222" t="e">
        <f>AND('Reporting '!#REF!,"AAAAAD/22/4=")</f>
        <v>#REF!</v>
      </c>
      <c r="IV222" t="e">
        <f>IF('Reporting '!#REF!,"AAAAAD/22/8=",0)</f>
        <v>#REF!</v>
      </c>
    </row>
    <row r="223" spans="1:256" x14ac:dyDescent="0.2">
      <c r="A223" t="e">
        <f>AND('Reporting '!#REF!,"AAAAAFr/+wA=")</f>
        <v>#REF!</v>
      </c>
      <c r="B223" t="e">
        <f>AND('Reporting '!#REF!,"AAAAAFr/+wE=")</f>
        <v>#REF!</v>
      </c>
      <c r="C223" t="e">
        <f>AND('Reporting '!#REF!,"AAAAAFr/+wI=")</f>
        <v>#REF!</v>
      </c>
      <c r="D223" t="e">
        <f>AND('Reporting '!#REF!,"AAAAAFr/+wM=")</f>
        <v>#REF!</v>
      </c>
      <c r="E223" t="e">
        <f>AND('Reporting '!#REF!,"AAAAAFr/+wQ=")</f>
        <v>#REF!</v>
      </c>
      <c r="F223" t="e">
        <f>AND('Reporting '!#REF!,"AAAAAFr/+wU=")</f>
        <v>#REF!</v>
      </c>
      <c r="G223" t="e">
        <f>AND('Reporting '!#REF!,"AAAAAFr/+wY=")</f>
        <v>#REF!</v>
      </c>
      <c r="H223" t="e">
        <f>AND('Reporting '!#REF!,"AAAAAFr/+wc=")</f>
        <v>#REF!</v>
      </c>
      <c r="I223" t="e">
        <f>AND('Reporting '!#REF!,"AAAAAFr/+wg=")</f>
        <v>#REF!</v>
      </c>
      <c r="J223" t="e">
        <f>AND('Reporting '!#REF!,"AAAAAFr/+wk=")</f>
        <v>#REF!</v>
      </c>
      <c r="K223" t="e">
        <f>AND('Reporting '!#REF!,"AAAAAFr/+wo=")</f>
        <v>#REF!</v>
      </c>
      <c r="L223" t="e">
        <f>AND('Reporting '!#REF!,"AAAAAFr/+ws=")</f>
        <v>#REF!</v>
      </c>
      <c r="M223" t="e">
        <f>AND('Reporting '!#REF!,"AAAAAFr/+ww=")</f>
        <v>#REF!</v>
      </c>
      <c r="N223" t="e">
        <f>AND('Reporting '!#REF!,"AAAAAFr/+w0=")</f>
        <v>#REF!</v>
      </c>
      <c r="O223" t="e">
        <f>IF('Reporting '!#REF!,"AAAAAFr/+w4=",0)</f>
        <v>#REF!</v>
      </c>
      <c r="P223" t="e">
        <f>AND('Reporting '!#REF!,"AAAAAFr/+w8=")</f>
        <v>#REF!</v>
      </c>
      <c r="Q223" t="e">
        <f>AND('Reporting '!#REF!,"AAAAAFr/+xA=")</f>
        <v>#REF!</v>
      </c>
      <c r="R223" t="e">
        <f>AND('Reporting '!#REF!,"AAAAAFr/+xE=")</f>
        <v>#REF!</v>
      </c>
      <c r="S223" t="e">
        <f>AND('Reporting '!#REF!,"AAAAAFr/+xI=")</f>
        <v>#REF!</v>
      </c>
      <c r="T223" t="e">
        <f>AND('Reporting '!#REF!,"AAAAAFr/+xM=")</f>
        <v>#REF!</v>
      </c>
      <c r="U223" t="e">
        <f>AND('Reporting '!#REF!,"AAAAAFr/+xQ=")</f>
        <v>#REF!</v>
      </c>
      <c r="V223" t="e">
        <f>AND('Reporting '!#REF!,"AAAAAFr/+xU=")</f>
        <v>#REF!</v>
      </c>
      <c r="W223" t="e">
        <f>AND('Reporting '!#REF!,"AAAAAFr/+xY=")</f>
        <v>#REF!</v>
      </c>
      <c r="X223" t="e">
        <f>AND('Reporting '!#REF!,"AAAAAFr/+xc=")</f>
        <v>#REF!</v>
      </c>
      <c r="Y223" t="e">
        <f>AND('Reporting '!#REF!,"AAAAAFr/+xg=")</f>
        <v>#REF!</v>
      </c>
      <c r="Z223" t="e">
        <f>AND('Reporting '!#REF!,"AAAAAFr/+xk=")</f>
        <v>#REF!</v>
      </c>
      <c r="AA223" t="e">
        <f>AND('Reporting '!#REF!,"AAAAAFr/+xo=")</f>
        <v>#REF!</v>
      </c>
      <c r="AB223" t="e">
        <f>AND('Reporting '!#REF!,"AAAAAFr/+xs=")</f>
        <v>#REF!</v>
      </c>
      <c r="AC223" t="e">
        <f>AND('Reporting '!#REF!,"AAAAAFr/+xw=")</f>
        <v>#REF!</v>
      </c>
      <c r="AD223" t="e">
        <f>IF('Reporting '!#REF!,"AAAAAFr/+x0=",0)</f>
        <v>#REF!</v>
      </c>
      <c r="AE223" t="e">
        <f>AND('Reporting '!#REF!,"AAAAAFr/+x4=")</f>
        <v>#REF!</v>
      </c>
      <c r="AF223" t="e">
        <f>AND('Reporting '!#REF!,"AAAAAFr/+x8=")</f>
        <v>#REF!</v>
      </c>
      <c r="AG223" t="e">
        <f>AND('Reporting '!#REF!,"AAAAAFr/+yA=")</f>
        <v>#REF!</v>
      </c>
      <c r="AH223" t="e">
        <f>AND('Reporting '!#REF!,"AAAAAFr/+yE=")</f>
        <v>#REF!</v>
      </c>
      <c r="AI223" t="e">
        <f>AND('Reporting '!#REF!,"AAAAAFr/+yI=")</f>
        <v>#REF!</v>
      </c>
      <c r="AJ223" t="e">
        <f>AND('Reporting '!#REF!,"AAAAAFr/+yM=")</f>
        <v>#REF!</v>
      </c>
      <c r="AK223" t="e">
        <f>AND('Reporting '!#REF!,"AAAAAFr/+yQ=")</f>
        <v>#REF!</v>
      </c>
      <c r="AL223" t="e">
        <f>AND('Reporting '!#REF!,"AAAAAFr/+yU=")</f>
        <v>#REF!</v>
      </c>
      <c r="AM223" t="e">
        <f>AND('Reporting '!#REF!,"AAAAAFr/+yY=")</f>
        <v>#REF!</v>
      </c>
      <c r="AN223" t="e">
        <f>AND('Reporting '!#REF!,"AAAAAFr/+yc=")</f>
        <v>#REF!</v>
      </c>
      <c r="AO223" t="e">
        <f>AND('Reporting '!#REF!,"AAAAAFr/+yg=")</f>
        <v>#REF!</v>
      </c>
      <c r="AP223" t="e">
        <f>AND('Reporting '!#REF!,"AAAAAFr/+yk=")</f>
        <v>#REF!</v>
      </c>
      <c r="AQ223" t="e">
        <f>AND('Reporting '!#REF!,"AAAAAFr/+yo=")</f>
        <v>#REF!</v>
      </c>
      <c r="AR223" t="e">
        <f>AND('Reporting '!#REF!,"AAAAAFr/+ys=")</f>
        <v>#REF!</v>
      </c>
      <c r="AS223" t="e">
        <f>IF('Reporting '!#REF!,"AAAAAFr/+yw=",0)</f>
        <v>#REF!</v>
      </c>
      <c r="AT223" t="e">
        <f>AND('Reporting '!#REF!,"AAAAAFr/+y0=")</f>
        <v>#REF!</v>
      </c>
      <c r="AU223" t="e">
        <f>AND('Reporting '!#REF!,"AAAAAFr/+y4=")</f>
        <v>#REF!</v>
      </c>
      <c r="AV223" t="e">
        <f>AND('Reporting '!#REF!,"AAAAAFr/+y8=")</f>
        <v>#REF!</v>
      </c>
      <c r="AW223" t="e">
        <f>AND('Reporting '!#REF!,"AAAAAFr/+zA=")</f>
        <v>#REF!</v>
      </c>
      <c r="AX223" t="e">
        <f>AND('Reporting '!#REF!,"AAAAAFr/+zE=")</f>
        <v>#REF!</v>
      </c>
      <c r="AY223" t="e">
        <f>AND('Reporting '!#REF!,"AAAAAFr/+zI=")</f>
        <v>#REF!</v>
      </c>
      <c r="AZ223" t="e">
        <f>AND('Reporting '!#REF!,"AAAAAFr/+zM=")</f>
        <v>#REF!</v>
      </c>
      <c r="BA223" t="e">
        <f>AND('Reporting '!#REF!,"AAAAAFr/+zQ=")</f>
        <v>#REF!</v>
      </c>
      <c r="BB223" t="e">
        <f>AND('Reporting '!#REF!,"AAAAAFr/+zU=")</f>
        <v>#REF!</v>
      </c>
      <c r="BC223" t="e">
        <f>AND('Reporting '!#REF!,"AAAAAFr/+zY=")</f>
        <v>#REF!</v>
      </c>
      <c r="BD223" t="e">
        <f>AND('Reporting '!#REF!,"AAAAAFr/+zc=")</f>
        <v>#REF!</v>
      </c>
      <c r="BE223" t="e">
        <f>AND('Reporting '!#REF!,"AAAAAFr/+zg=")</f>
        <v>#REF!</v>
      </c>
      <c r="BF223" t="e">
        <f>AND('Reporting '!#REF!,"AAAAAFr/+zk=")</f>
        <v>#REF!</v>
      </c>
      <c r="BG223" t="e">
        <f>AND('Reporting '!#REF!,"AAAAAFr/+zo=")</f>
        <v>#REF!</v>
      </c>
      <c r="BH223" t="e">
        <f>IF('Reporting '!#REF!,"AAAAAFr/+zs=",0)</f>
        <v>#REF!</v>
      </c>
      <c r="BI223" t="e">
        <f>AND('Reporting '!#REF!,"AAAAAFr/+zw=")</f>
        <v>#REF!</v>
      </c>
      <c r="BJ223" t="e">
        <f>AND('Reporting '!#REF!,"AAAAAFr/+z0=")</f>
        <v>#REF!</v>
      </c>
      <c r="BK223" t="e">
        <f>AND('Reporting '!#REF!,"AAAAAFr/+z4=")</f>
        <v>#REF!</v>
      </c>
      <c r="BL223" t="e">
        <f>AND('Reporting '!#REF!,"AAAAAFr/+z8=")</f>
        <v>#REF!</v>
      </c>
      <c r="BM223" t="e">
        <f>AND('Reporting '!#REF!,"AAAAAFr/+0A=")</f>
        <v>#REF!</v>
      </c>
      <c r="BN223" t="e">
        <f>AND('Reporting '!#REF!,"AAAAAFr/+0E=")</f>
        <v>#REF!</v>
      </c>
      <c r="BO223" t="e">
        <f>AND('Reporting '!#REF!,"AAAAAFr/+0I=")</f>
        <v>#REF!</v>
      </c>
      <c r="BP223" t="e">
        <f>AND('Reporting '!#REF!,"AAAAAFr/+0M=")</f>
        <v>#REF!</v>
      </c>
      <c r="BQ223" t="e">
        <f>AND('Reporting '!#REF!,"AAAAAFr/+0Q=")</f>
        <v>#REF!</v>
      </c>
      <c r="BR223" t="e">
        <f>AND('Reporting '!#REF!,"AAAAAFr/+0U=")</f>
        <v>#REF!</v>
      </c>
      <c r="BS223" t="e">
        <f>AND('Reporting '!#REF!,"AAAAAFr/+0Y=")</f>
        <v>#REF!</v>
      </c>
      <c r="BT223" t="e">
        <f>AND('Reporting '!#REF!,"AAAAAFr/+0c=")</f>
        <v>#REF!</v>
      </c>
      <c r="BU223" t="e">
        <f>AND('Reporting '!#REF!,"AAAAAFr/+0g=")</f>
        <v>#REF!</v>
      </c>
      <c r="BV223" t="e">
        <f>AND('Reporting '!#REF!,"AAAAAFr/+0k=")</f>
        <v>#REF!</v>
      </c>
      <c r="BW223" t="e">
        <f>IF('Reporting '!#REF!,"AAAAAFr/+0o=",0)</f>
        <v>#REF!</v>
      </c>
      <c r="BX223" t="e">
        <f>AND('Reporting '!#REF!,"AAAAAFr/+0s=")</f>
        <v>#REF!</v>
      </c>
      <c r="BY223" t="e">
        <f>AND('Reporting '!#REF!,"AAAAAFr/+0w=")</f>
        <v>#REF!</v>
      </c>
      <c r="BZ223" t="e">
        <f>AND('Reporting '!#REF!,"AAAAAFr/+00=")</f>
        <v>#REF!</v>
      </c>
      <c r="CA223" t="e">
        <f>AND('Reporting '!#REF!,"AAAAAFr/+04=")</f>
        <v>#REF!</v>
      </c>
      <c r="CB223" t="e">
        <f>AND('Reporting '!#REF!,"AAAAAFr/+08=")</f>
        <v>#REF!</v>
      </c>
      <c r="CC223" t="e">
        <f>AND('Reporting '!#REF!,"AAAAAFr/+1A=")</f>
        <v>#REF!</v>
      </c>
      <c r="CD223" t="e">
        <f>AND('Reporting '!#REF!,"AAAAAFr/+1E=")</f>
        <v>#REF!</v>
      </c>
      <c r="CE223" t="e">
        <f>AND('Reporting '!#REF!,"AAAAAFr/+1I=")</f>
        <v>#REF!</v>
      </c>
      <c r="CF223" t="e">
        <f>AND('Reporting '!#REF!,"AAAAAFr/+1M=")</f>
        <v>#REF!</v>
      </c>
      <c r="CG223" t="e">
        <f>AND('Reporting '!#REF!,"AAAAAFr/+1Q=")</f>
        <v>#REF!</v>
      </c>
      <c r="CH223" t="e">
        <f>AND('Reporting '!#REF!,"AAAAAFr/+1U=")</f>
        <v>#REF!</v>
      </c>
      <c r="CI223" t="e">
        <f>AND('Reporting '!#REF!,"AAAAAFr/+1Y=")</f>
        <v>#REF!</v>
      </c>
      <c r="CJ223" t="e">
        <f>AND('Reporting '!#REF!,"AAAAAFr/+1c=")</f>
        <v>#REF!</v>
      </c>
      <c r="CK223" t="e">
        <f>AND('Reporting '!#REF!,"AAAAAFr/+1g=")</f>
        <v>#REF!</v>
      </c>
      <c r="CL223" t="e">
        <f>IF('Reporting '!#REF!,"AAAAAFr/+1k=",0)</f>
        <v>#REF!</v>
      </c>
      <c r="CM223" t="e">
        <f>AND('Reporting '!#REF!,"AAAAAFr/+1o=")</f>
        <v>#REF!</v>
      </c>
      <c r="CN223" t="e">
        <f>AND('Reporting '!#REF!,"AAAAAFr/+1s=")</f>
        <v>#REF!</v>
      </c>
      <c r="CO223" t="e">
        <f>AND('Reporting '!#REF!,"AAAAAFr/+1w=")</f>
        <v>#REF!</v>
      </c>
      <c r="CP223" t="e">
        <f>AND('Reporting '!#REF!,"AAAAAFr/+10=")</f>
        <v>#REF!</v>
      </c>
      <c r="CQ223" t="e">
        <f>AND('Reporting '!#REF!,"AAAAAFr/+14=")</f>
        <v>#REF!</v>
      </c>
      <c r="CR223" t="e">
        <f>AND('Reporting '!#REF!,"AAAAAFr/+18=")</f>
        <v>#REF!</v>
      </c>
      <c r="CS223" t="e">
        <f>AND('Reporting '!#REF!,"AAAAAFr/+2A=")</f>
        <v>#REF!</v>
      </c>
      <c r="CT223" t="e">
        <f>AND('Reporting '!#REF!,"AAAAAFr/+2E=")</f>
        <v>#REF!</v>
      </c>
      <c r="CU223" t="e">
        <f>AND('Reporting '!#REF!,"AAAAAFr/+2I=")</f>
        <v>#REF!</v>
      </c>
      <c r="CV223" t="e">
        <f>AND('Reporting '!#REF!,"AAAAAFr/+2M=")</f>
        <v>#REF!</v>
      </c>
      <c r="CW223" t="e">
        <f>AND('Reporting '!#REF!,"AAAAAFr/+2Q=")</f>
        <v>#REF!</v>
      </c>
      <c r="CX223" t="e">
        <f>AND('Reporting '!#REF!,"AAAAAFr/+2U=")</f>
        <v>#REF!</v>
      </c>
      <c r="CY223" t="e">
        <f>AND('Reporting '!#REF!,"AAAAAFr/+2Y=")</f>
        <v>#REF!</v>
      </c>
      <c r="CZ223" t="e">
        <f>AND('Reporting '!#REF!,"AAAAAFr/+2c=")</f>
        <v>#REF!</v>
      </c>
      <c r="DA223" t="e">
        <f>IF('Reporting '!#REF!,"AAAAAFr/+2g=",0)</f>
        <v>#REF!</v>
      </c>
      <c r="DB223" t="e">
        <f>AND('Reporting '!#REF!,"AAAAAFr/+2k=")</f>
        <v>#REF!</v>
      </c>
      <c r="DC223" t="e">
        <f>AND('Reporting '!#REF!,"AAAAAFr/+2o=")</f>
        <v>#REF!</v>
      </c>
      <c r="DD223" t="e">
        <f>AND('Reporting '!#REF!,"AAAAAFr/+2s=")</f>
        <v>#REF!</v>
      </c>
      <c r="DE223" t="e">
        <f>AND('Reporting '!#REF!,"AAAAAFr/+2w=")</f>
        <v>#REF!</v>
      </c>
      <c r="DF223" t="e">
        <f>AND('Reporting '!#REF!,"AAAAAFr/+20=")</f>
        <v>#REF!</v>
      </c>
      <c r="DG223" t="e">
        <f>AND('Reporting '!#REF!,"AAAAAFr/+24=")</f>
        <v>#REF!</v>
      </c>
      <c r="DH223" t="e">
        <f>AND('Reporting '!#REF!,"AAAAAFr/+28=")</f>
        <v>#REF!</v>
      </c>
      <c r="DI223" t="e">
        <f>AND('Reporting '!#REF!,"AAAAAFr/+3A=")</f>
        <v>#REF!</v>
      </c>
      <c r="DJ223" t="e">
        <f>AND('Reporting '!#REF!,"AAAAAFr/+3E=")</f>
        <v>#REF!</v>
      </c>
      <c r="DK223" t="e">
        <f>AND('Reporting '!#REF!,"AAAAAFr/+3I=")</f>
        <v>#REF!</v>
      </c>
      <c r="DL223" t="e">
        <f>AND('Reporting '!#REF!,"AAAAAFr/+3M=")</f>
        <v>#REF!</v>
      </c>
      <c r="DM223" t="e">
        <f>AND('Reporting '!#REF!,"AAAAAFr/+3Q=")</f>
        <v>#REF!</v>
      </c>
      <c r="DN223" t="e">
        <f>AND('Reporting '!#REF!,"AAAAAFr/+3U=")</f>
        <v>#REF!</v>
      </c>
      <c r="DO223" t="e">
        <f>AND('Reporting '!#REF!,"AAAAAFr/+3Y=")</f>
        <v>#REF!</v>
      </c>
      <c r="DP223" t="e">
        <f>IF('Reporting '!#REF!,"AAAAAFr/+3c=",0)</f>
        <v>#REF!</v>
      </c>
      <c r="DQ223" t="e">
        <f>AND('Reporting '!#REF!,"AAAAAFr/+3g=")</f>
        <v>#REF!</v>
      </c>
      <c r="DR223" t="e">
        <f>AND('Reporting '!#REF!,"AAAAAFr/+3k=")</f>
        <v>#REF!</v>
      </c>
      <c r="DS223" t="e">
        <f>AND('Reporting '!#REF!,"AAAAAFr/+3o=")</f>
        <v>#REF!</v>
      </c>
      <c r="DT223" t="e">
        <f>AND('Reporting '!#REF!,"AAAAAFr/+3s=")</f>
        <v>#REF!</v>
      </c>
      <c r="DU223" t="e">
        <f>AND('Reporting '!#REF!,"AAAAAFr/+3w=")</f>
        <v>#REF!</v>
      </c>
      <c r="DV223" t="e">
        <f>AND('Reporting '!#REF!,"AAAAAFr/+30=")</f>
        <v>#REF!</v>
      </c>
      <c r="DW223" t="e">
        <f>AND('Reporting '!#REF!,"AAAAAFr/+34=")</f>
        <v>#REF!</v>
      </c>
      <c r="DX223" t="e">
        <f>AND('Reporting '!#REF!,"AAAAAFr/+38=")</f>
        <v>#REF!</v>
      </c>
      <c r="DY223" t="e">
        <f>AND('Reporting '!#REF!,"AAAAAFr/+4A=")</f>
        <v>#REF!</v>
      </c>
      <c r="DZ223" t="e">
        <f>AND('Reporting '!#REF!,"AAAAAFr/+4E=")</f>
        <v>#REF!</v>
      </c>
      <c r="EA223" t="e">
        <f>AND('Reporting '!#REF!,"AAAAAFr/+4I=")</f>
        <v>#REF!</v>
      </c>
      <c r="EB223" t="e">
        <f>AND('Reporting '!#REF!,"AAAAAFr/+4M=")</f>
        <v>#REF!</v>
      </c>
      <c r="EC223" t="e">
        <f>AND('Reporting '!#REF!,"AAAAAFr/+4Q=")</f>
        <v>#REF!</v>
      </c>
      <c r="ED223" t="e">
        <f>AND('Reporting '!#REF!,"AAAAAFr/+4U=")</f>
        <v>#REF!</v>
      </c>
      <c r="EE223" t="e">
        <f>IF('Reporting '!#REF!,"AAAAAFr/+4Y=",0)</f>
        <v>#REF!</v>
      </c>
      <c r="EF223" t="e">
        <f>AND('Reporting '!#REF!,"AAAAAFr/+4c=")</f>
        <v>#REF!</v>
      </c>
      <c r="EG223" t="e">
        <f>AND('Reporting '!#REF!,"AAAAAFr/+4g=")</f>
        <v>#REF!</v>
      </c>
      <c r="EH223" t="e">
        <f>AND('Reporting '!#REF!,"AAAAAFr/+4k=")</f>
        <v>#REF!</v>
      </c>
      <c r="EI223" t="e">
        <f>AND('Reporting '!#REF!,"AAAAAFr/+4o=")</f>
        <v>#REF!</v>
      </c>
      <c r="EJ223" t="e">
        <f>AND('Reporting '!#REF!,"AAAAAFr/+4s=")</f>
        <v>#REF!</v>
      </c>
      <c r="EK223" t="e">
        <f>AND('Reporting '!#REF!,"AAAAAFr/+4w=")</f>
        <v>#REF!</v>
      </c>
      <c r="EL223" t="e">
        <f>AND('Reporting '!#REF!,"AAAAAFr/+40=")</f>
        <v>#REF!</v>
      </c>
      <c r="EM223" t="e">
        <f>AND('Reporting '!#REF!,"AAAAAFr/+44=")</f>
        <v>#REF!</v>
      </c>
      <c r="EN223" t="e">
        <f>AND('Reporting '!#REF!,"AAAAAFr/+48=")</f>
        <v>#REF!</v>
      </c>
      <c r="EO223" t="e">
        <f>AND('Reporting '!#REF!,"AAAAAFr/+5A=")</f>
        <v>#REF!</v>
      </c>
      <c r="EP223" t="e">
        <f>AND('Reporting '!#REF!,"AAAAAFr/+5E=")</f>
        <v>#REF!</v>
      </c>
      <c r="EQ223" t="e">
        <f>AND('Reporting '!#REF!,"AAAAAFr/+5I=")</f>
        <v>#REF!</v>
      </c>
      <c r="ER223" t="e">
        <f>AND('Reporting '!#REF!,"AAAAAFr/+5M=")</f>
        <v>#REF!</v>
      </c>
      <c r="ES223" t="e">
        <f>AND('Reporting '!#REF!,"AAAAAFr/+5Q=")</f>
        <v>#REF!</v>
      </c>
      <c r="ET223" t="e">
        <f>IF('Reporting '!#REF!,"AAAAAFr/+5U=",0)</f>
        <v>#REF!</v>
      </c>
      <c r="EU223" t="e">
        <f>AND('Reporting '!#REF!,"AAAAAFr/+5Y=")</f>
        <v>#REF!</v>
      </c>
      <c r="EV223" t="e">
        <f>AND('Reporting '!#REF!,"AAAAAFr/+5c=")</f>
        <v>#REF!</v>
      </c>
      <c r="EW223" t="e">
        <f>AND('Reporting '!#REF!,"AAAAAFr/+5g=")</f>
        <v>#REF!</v>
      </c>
      <c r="EX223" t="e">
        <f>AND('Reporting '!#REF!,"AAAAAFr/+5k=")</f>
        <v>#REF!</v>
      </c>
      <c r="EY223" t="e">
        <f>AND('Reporting '!#REF!,"AAAAAFr/+5o=")</f>
        <v>#REF!</v>
      </c>
      <c r="EZ223" t="e">
        <f>AND('Reporting '!#REF!,"AAAAAFr/+5s=")</f>
        <v>#REF!</v>
      </c>
      <c r="FA223" t="e">
        <f>AND('Reporting '!#REF!,"AAAAAFr/+5w=")</f>
        <v>#REF!</v>
      </c>
      <c r="FB223" t="e">
        <f>AND('Reporting '!#REF!,"AAAAAFr/+50=")</f>
        <v>#REF!</v>
      </c>
      <c r="FC223" t="e">
        <f>AND('Reporting '!#REF!,"AAAAAFr/+54=")</f>
        <v>#REF!</v>
      </c>
      <c r="FD223" t="e">
        <f>AND('Reporting '!#REF!,"AAAAAFr/+58=")</f>
        <v>#REF!</v>
      </c>
      <c r="FE223" t="e">
        <f>AND('Reporting '!#REF!,"AAAAAFr/+6A=")</f>
        <v>#REF!</v>
      </c>
      <c r="FF223" t="e">
        <f>AND('Reporting '!#REF!,"AAAAAFr/+6E=")</f>
        <v>#REF!</v>
      </c>
      <c r="FG223" t="e">
        <f>AND('Reporting '!#REF!,"AAAAAFr/+6I=")</f>
        <v>#REF!</v>
      </c>
      <c r="FH223" t="e">
        <f>AND('Reporting '!#REF!,"AAAAAFr/+6M=")</f>
        <v>#REF!</v>
      </c>
      <c r="FI223" t="e">
        <f>IF('Reporting '!#REF!,"AAAAAFr/+6Q=",0)</f>
        <v>#REF!</v>
      </c>
      <c r="FJ223" t="e">
        <f>AND('Reporting '!#REF!,"AAAAAFr/+6U=")</f>
        <v>#REF!</v>
      </c>
      <c r="FK223" t="e">
        <f>AND('Reporting '!#REF!,"AAAAAFr/+6Y=")</f>
        <v>#REF!</v>
      </c>
      <c r="FL223" t="e">
        <f>AND('Reporting '!#REF!,"AAAAAFr/+6c=")</f>
        <v>#REF!</v>
      </c>
      <c r="FM223" t="e">
        <f>AND('Reporting '!#REF!,"AAAAAFr/+6g=")</f>
        <v>#REF!</v>
      </c>
      <c r="FN223" t="e">
        <f>AND('Reporting '!#REF!,"AAAAAFr/+6k=")</f>
        <v>#REF!</v>
      </c>
      <c r="FO223" t="e">
        <f>AND('Reporting '!#REF!,"AAAAAFr/+6o=")</f>
        <v>#REF!</v>
      </c>
      <c r="FP223" t="e">
        <f>AND('Reporting '!#REF!,"AAAAAFr/+6s=")</f>
        <v>#REF!</v>
      </c>
      <c r="FQ223" t="e">
        <f>AND('Reporting '!#REF!,"AAAAAFr/+6w=")</f>
        <v>#REF!</v>
      </c>
      <c r="FR223" t="e">
        <f>AND('Reporting '!#REF!,"AAAAAFr/+60=")</f>
        <v>#REF!</v>
      </c>
      <c r="FS223" t="e">
        <f>AND('Reporting '!#REF!,"AAAAAFr/+64=")</f>
        <v>#REF!</v>
      </c>
      <c r="FT223" t="e">
        <f>AND('Reporting '!#REF!,"AAAAAFr/+68=")</f>
        <v>#REF!</v>
      </c>
      <c r="FU223" t="e">
        <f>AND('Reporting '!#REF!,"AAAAAFr/+7A=")</f>
        <v>#REF!</v>
      </c>
      <c r="FV223" t="e">
        <f>AND('Reporting '!#REF!,"AAAAAFr/+7E=")</f>
        <v>#REF!</v>
      </c>
      <c r="FW223" t="e">
        <f>AND('Reporting '!#REF!,"AAAAAFr/+7I=")</f>
        <v>#REF!</v>
      </c>
      <c r="FX223" t="e">
        <f>IF('Reporting '!#REF!,"AAAAAFr/+7M=",0)</f>
        <v>#REF!</v>
      </c>
      <c r="FY223" t="e">
        <f>AND('Reporting '!#REF!,"AAAAAFr/+7Q=")</f>
        <v>#REF!</v>
      </c>
      <c r="FZ223" t="e">
        <f>AND('Reporting '!#REF!,"AAAAAFr/+7U=")</f>
        <v>#REF!</v>
      </c>
      <c r="GA223" t="e">
        <f>AND('Reporting '!#REF!,"AAAAAFr/+7Y=")</f>
        <v>#REF!</v>
      </c>
      <c r="GB223" t="e">
        <f>AND('Reporting '!#REF!,"AAAAAFr/+7c=")</f>
        <v>#REF!</v>
      </c>
      <c r="GC223" t="e">
        <f>AND('Reporting '!#REF!,"AAAAAFr/+7g=")</f>
        <v>#REF!</v>
      </c>
      <c r="GD223" t="e">
        <f>AND('Reporting '!#REF!,"AAAAAFr/+7k=")</f>
        <v>#REF!</v>
      </c>
      <c r="GE223" t="e">
        <f>AND('Reporting '!#REF!,"AAAAAFr/+7o=")</f>
        <v>#REF!</v>
      </c>
      <c r="GF223" t="e">
        <f>AND('Reporting '!#REF!,"AAAAAFr/+7s=")</f>
        <v>#REF!</v>
      </c>
      <c r="GG223" t="e">
        <f>AND('Reporting '!#REF!,"AAAAAFr/+7w=")</f>
        <v>#REF!</v>
      </c>
      <c r="GH223" t="e">
        <f>AND('Reporting '!#REF!,"AAAAAFr/+70=")</f>
        <v>#REF!</v>
      </c>
      <c r="GI223" t="e">
        <f>AND('Reporting '!#REF!,"AAAAAFr/+74=")</f>
        <v>#REF!</v>
      </c>
      <c r="GJ223" t="e">
        <f>AND('Reporting '!#REF!,"AAAAAFr/+78=")</f>
        <v>#REF!</v>
      </c>
      <c r="GK223" t="e">
        <f>AND('Reporting '!#REF!,"AAAAAFr/+8A=")</f>
        <v>#REF!</v>
      </c>
      <c r="GL223" t="e">
        <f>AND('Reporting '!#REF!,"AAAAAFr/+8E=")</f>
        <v>#REF!</v>
      </c>
      <c r="GM223" t="e">
        <f>IF('Reporting '!#REF!,"AAAAAFr/+8I=",0)</f>
        <v>#REF!</v>
      </c>
      <c r="GN223" t="e">
        <f>AND('Reporting '!#REF!,"AAAAAFr/+8M=")</f>
        <v>#REF!</v>
      </c>
      <c r="GO223" t="e">
        <f>AND('Reporting '!#REF!,"AAAAAFr/+8Q=")</f>
        <v>#REF!</v>
      </c>
      <c r="GP223" t="e">
        <f>AND('Reporting '!#REF!,"AAAAAFr/+8U=")</f>
        <v>#REF!</v>
      </c>
      <c r="GQ223" t="e">
        <f>AND('Reporting '!#REF!,"AAAAAFr/+8Y=")</f>
        <v>#REF!</v>
      </c>
      <c r="GR223" t="e">
        <f>AND('Reporting '!#REF!,"AAAAAFr/+8c=")</f>
        <v>#REF!</v>
      </c>
      <c r="GS223" t="e">
        <f>AND('Reporting '!#REF!,"AAAAAFr/+8g=")</f>
        <v>#REF!</v>
      </c>
      <c r="GT223" t="e">
        <f>AND('Reporting '!#REF!,"AAAAAFr/+8k=")</f>
        <v>#REF!</v>
      </c>
      <c r="GU223" t="e">
        <f>AND('Reporting '!#REF!,"AAAAAFr/+8o=")</f>
        <v>#REF!</v>
      </c>
      <c r="GV223" t="e">
        <f>AND('Reporting '!#REF!,"AAAAAFr/+8s=")</f>
        <v>#REF!</v>
      </c>
      <c r="GW223" t="e">
        <f>AND('Reporting '!#REF!,"AAAAAFr/+8w=")</f>
        <v>#REF!</v>
      </c>
      <c r="GX223" t="e">
        <f>AND('Reporting '!#REF!,"AAAAAFr/+80=")</f>
        <v>#REF!</v>
      </c>
      <c r="GY223" t="e">
        <f>AND('Reporting '!#REF!,"AAAAAFr/+84=")</f>
        <v>#REF!</v>
      </c>
      <c r="GZ223" t="e">
        <f>AND('Reporting '!#REF!,"AAAAAFr/+88=")</f>
        <v>#REF!</v>
      </c>
      <c r="HA223" t="e">
        <f>AND('Reporting '!#REF!,"AAAAAFr/+9A=")</f>
        <v>#REF!</v>
      </c>
      <c r="HB223" t="e">
        <f>IF('Reporting '!#REF!,"AAAAAFr/+9E=",0)</f>
        <v>#REF!</v>
      </c>
      <c r="HC223" t="e">
        <f>AND('Reporting '!#REF!,"AAAAAFr/+9I=")</f>
        <v>#REF!</v>
      </c>
      <c r="HD223" t="e">
        <f>AND('Reporting '!#REF!,"AAAAAFr/+9M=")</f>
        <v>#REF!</v>
      </c>
      <c r="HE223" t="e">
        <f>AND('Reporting '!#REF!,"AAAAAFr/+9Q=")</f>
        <v>#REF!</v>
      </c>
      <c r="HF223" t="e">
        <f>AND('Reporting '!#REF!,"AAAAAFr/+9U=")</f>
        <v>#REF!</v>
      </c>
      <c r="HG223" t="e">
        <f>AND('Reporting '!#REF!,"AAAAAFr/+9Y=")</f>
        <v>#REF!</v>
      </c>
      <c r="HH223" t="e">
        <f>AND('Reporting '!#REF!,"AAAAAFr/+9c=")</f>
        <v>#REF!</v>
      </c>
      <c r="HI223" t="e">
        <f>AND('Reporting '!#REF!,"AAAAAFr/+9g=")</f>
        <v>#REF!</v>
      </c>
      <c r="HJ223" t="e">
        <f>AND('Reporting '!#REF!,"AAAAAFr/+9k=")</f>
        <v>#REF!</v>
      </c>
      <c r="HK223" t="e">
        <f>AND('Reporting '!#REF!,"AAAAAFr/+9o=")</f>
        <v>#REF!</v>
      </c>
      <c r="HL223" t="e">
        <f>AND('Reporting '!#REF!,"AAAAAFr/+9s=")</f>
        <v>#REF!</v>
      </c>
      <c r="HM223" t="e">
        <f>AND('Reporting '!#REF!,"AAAAAFr/+9w=")</f>
        <v>#REF!</v>
      </c>
      <c r="HN223" t="e">
        <f>AND('Reporting '!#REF!,"AAAAAFr/+90=")</f>
        <v>#REF!</v>
      </c>
      <c r="HO223" t="e">
        <f>AND('Reporting '!#REF!,"AAAAAFr/+94=")</f>
        <v>#REF!</v>
      </c>
      <c r="HP223" t="e">
        <f>AND('Reporting '!#REF!,"AAAAAFr/+98=")</f>
        <v>#REF!</v>
      </c>
      <c r="HQ223" t="e">
        <f>IF('Reporting '!#REF!,"AAAAAFr/++A=",0)</f>
        <v>#REF!</v>
      </c>
      <c r="HR223" t="e">
        <f>AND('Reporting '!#REF!,"AAAAAFr/++E=")</f>
        <v>#REF!</v>
      </c>
      <c r="HS223" t="e">
        <f>AND('Reporting '!#REF!,"AAAAAFr/++I=")</f>
        <v>#REF!</v>
      </c>
      <c r="HT223" t="e">
        <f>AND('Reporting '!#REF!,"AAAAAFr/++M=")</f>
        <v>#REF!</v>
      </c>
      <c r="HU223" t="e">
        <f>AND('Reporting '!#REF!,"AAAAAFr/++Q=")</f>
        <v>#REF!</v>
      </c>
      <c r="HV223" t="e">
        <f>AND('Reporting '!#REF!,"AAAAAFr/++U=")</f>
        <v>#REF!</v>
      </c>
      <c r="HW223" t="e">
        <f>AND('Reporting '!#REF!,"AAAAAFr/++Y=")</f>
        <v>#REF!</v>
      </c>
      <c r="HX223" t="e">
        <f>AND('Reporting '!#REF!,"AAAAAFr/++c=")</f>
        <v>#REF!</v>
      </c>
      <c r="HY223" t="e">
        <f>AND('Reporting '!#REF!,"AAAAAFr/++g=")</f>
        <v>#REF!</v>
      </c>
      <c r="HZ223" t="e">
        <f>AND('Reporting '!#REF!,"AAAAAFr/++k=")</f>
        <v>#REF!</v>
      </c>
      <c r="IA223" t="e">
        <f>AND('Reporting '!#REF!,"AAAAAFr/++o=")</f>
        <v>#REF!</v>
      </c>
      <c r="IB223" t="e">
        <f>AND('Reporting '!#REF!,"AAAAAFr/++s=")</f>
        <v>#REF!</v>
      </c>
      <c r="IC223" t="e">
        <f>AND('Reporting '!#REF!,"AAAAAFr/++w=")</f>
        <v>#REF!</v>
      </c>
      <c r="ID223" t="e">
        <f>AND('Reporting '!#REF!,"AAAAAFr/++0=")</f>
        <v>#REF!</v>
      </c>
      <c r="IE223" t="e">
        <f>AND('Reporting '!#REF!,"AAAAAFr/++4=")</f>
        <v>#REF!</v>
      </c>
      <c r="IF223" t="e">
        <f>IF('Reporting '!#REF!,"AAAAAFr/++8=",0)</f>
        <v>#REF!</v>
      </c>
      <c r="IG223" t="e">
        <f>AND('Reporting '!#REF!,"AAAAAFr/+/A=")</f>
        <v>#REF!</v>
      </c>
      <c r="IH223" t="e">
        <f>AND('Reporting '!#REF!,"AAAAAFr/+/E=")</f>
        <v>#REF!</v>
      </c>
      <c r="II223" t="e">
        <f>AND('Reporting '!#REF!,"AAAAAFr/+/I=")</f>
        <v>#REF!</v>
      </c>
      <c r="IJ223" t="e">
        <f>AND('Reporting '!#REF!,"AAAAAFr/+/M=")</f>
        <v>#REF!</v>
      </c>
      <c r="IK223" t="e">
        <f>AND('Reporting '!#REF!,"AAAAAFr/+/Q=")</f>
        <v>#REF!</v>
      </c>
      <c r="IL223" t="e">
        <f>AND('Reporting '!#REF!,"AAAAAFr/+/U=")</f>
        <v>#REF!</v>
      </c>
      <c r="IM223" t="e">
        <f>AND('Reporting '!#REF!,"AAAAAFr/+/Y=")</f>
        <v>#REF!</v>
      </c>
      <c r="IN223" t="e">
        <f>AND('Reporting '!#REF!,"AAAAAFr/+/c=")</f>
        <v>#REF!</v>
      </c>
      <c r="IO223" t="e">
        <f>AND('Reporting '!#REF!,"AAAAAFr/+/g=")</f>
        <v>#REF!</v>
      </c>
      <c r="IP223" t="e">
        <f>AND('Reporting '!#REF!,"AAAAAFr/+/k=")</f>
        <v>#REF!</v>
      </c>
      <c r="IQ223" t="e">
        <f>AND('Reporting '!#REF!,"AAAAAFr/+/o=")</f>
        <v>#REF!</v>
      </c>
      <c r="IR223" t="e">
        <f>AND('Reporting '!#REF!,"AAAAAFr/+/s=")</f>
        <v>#REF!</v>
      </c>
      <c r="IS223" t="e">
        <f>AND('Reporting '!#REF!,"AAAAAFr/+/w=")</f>
        <v>#REF!</v>
      </c>
      <c r="IT223" t="e">
        <f>AND('Reporting '!#REF!,"AAAAAFr/+/0=")</f>
        <v>#REF!</v>
      </c>
      <c r="IU223" t="e">
        <f>IF('Reporting '!#REF!,"AAAAAFr/+/4=",0)</f>
        <v>#REF!</v>
      </c>
      <c r="IV223" t="e">
        <f>AND('Reporting '!#REF!,"AAAAAFr/+/8=")</f>
        <v>#REF!</v>
      </c>
    </row>
    <row r="224" spans="1:256" x14ac:dyDescent="0.2">
      <c r="A224" t="e">
        <f>AND('Reporting '!#REF!,"AAAAAGslrwA=")</f>
        <v>#REF!</v>
      </c>
      <c r="B224" t="e">
        <f>AND('Reporting '!#REF!,"AAAAAGslrwE=")</f>
        <v>#REF!</v>
      </c>
      <c r="C224" t="e">
        <f>AND('Reporting '!#REF!,"AAAAAGslrwI=")</f>
        <v>#REF!</v>
      </c>
      <c r="D224" t="e">
        <f>AND('Reporting '!#REF!,"AAAAAGslrwM=")</f>
        <v>#REF!</v>
      </c>
      <c r="E224" t="e">
        <f>AND('Reporting '!#REF!,"AAAAAGslrwQ=")</f>
        <v>#REF!</v>
      </c>
      <c r="F224" t="e">
        <f>AND('Reporting '!#REF!,"AAAAAGslrwU=")</f>
        <v>#REF!</v>
      </c>
      <c r="G224" t="e">
        <f>AND('Reporting '!#REF!,"AAAAAGslrwY=")</f>
        <v>#REF!</v>
      </c>
      <c r="H224" t="e">
        <f>AND('Reporting '!#REF!,"AAAAAGslrwc=")</f>
        <v>#REF!</v>
      </c>
      <c r="I224" t="e">
        <f>AND('Reporting '!#REF!,"AAAAAGslrwg=")</f>
        <v>#REF!</v>
      </c>
      <c r="J224" t="e">
        <f>AND('Reporting '!#REF!,"AAAAAGslrwk=")</f>
        <v>#REF!</v>
      </c>
      <c r="K224" t="e">
        <f>AND('Reporting '!#REF!,"AAAAAGslrwo=")</f>
        <v>#REF!</v>
      </c>
      <c r="L224" t="e">
        <f>AND('Reporting '!#REF!,"AAAAAGslrws=")</f>
        <v>#REF!</v>
      </c>
      <c r="M224" t="e">
        <f>AND('Reporting '!#REF!,"AAAAAGslrww=")</f>
        <v>#REF!</v>
      </c>
      <c r="N224" t="e">
        <f>IF('Reporting '!#REF!,"AAAAAGslrw0=",0)</f>
        <v>#REF!</v>
      </c>
      <c r="O224" t="e">
        <f>AND('Reporting '!#REF!,"AAAAAGslrw4=")</f>
        <v>#REF!</v>
      </c>
      <c r="P224" t="e">
        <f>AND('Reporting '!#REF!,"AAAAAGslrw8=")</f>
        <v>#REF!</v>
      </c>
      <c r="Q224" t="e">
        <f>AND('Reporting '!#REF!,"AAAAAGslrxA=")</f>
        <v>#REF!</v>
      </c>
      <c r="R224" t="e">
        <f>AND('Reporting '!#REF!,"AAAAAGslrxE=")</f>
        <v>#REF!</v>
      </c>
      <c r="S224" t="e">
        <f>AND('Reporting '!#REF!,"AAAAAGslrxI=")</f>
        <v>#REF!</v>
      </c>
      <c r="T224" t="e">
        <f>AND('Reporting '!#REF!,"AAAAAGslrxM=")</f>
        <v>#REF!</v>
      </c>
      <c r="U224" t="e">
        <f>AND('Reporting '!#REF!,"AAAAAGslrxQ=")</f>
        <v>#REF!</v>
      </c>
      <c r="V224" t="e">
        <f>AND('Reporting '!#REF!,"AAAAAGslrxU=")</f>
        <v>#REF!</v>
      </c>
      <c r="W224" t="e">
        <f>AND('Reporting '!#REF!,"AAAAAGslrxY=")</f>
        <v>#REF!</v>
      </c>
      <c r="X224" t="e">
        <f>AND('Reporting '!#REF!,"AAAAAGslrxc=")</f>
        <v>#REF!</v>
      </c>
      <c r="Y224" t="e">
        <f>AND('Reporting '!#REF!,"AAAAAGslrxg=")</f>
        <v>#REF!</v>
      </c>
      <c r="Z224" t="e">
        <f>AND('Reporting '!#REF!,"AAAAAGslrxk=")</f>
        <v>#REF!</v>
      </c>
      <c r="AA224" t="e">
        <f>AND('Reporting '!#REF!,"AAAAAGslrxo=")</f>
        <v>#REF!</v>
      </c>
      <c r="AB224" t="e">
        <f>AND('Reporting '!#REF!,"AAAAAGslrxs=")</f>
        <v>#REF!</v>
      </c>
      <c r="AC224" t="e">
        <f>IF('Reporting '!#REF!,"AAAAAGslrxw=",0)</f>
        <v>#REF!</v>
      </c>
      <c r="AD224" t="e">
        <f>AND('Reporting '!#REF!,"AAAAAGslrx0=")</f>
        <v>#REF!</v>
      </c>
      <c r="AE224" t="e">
        <f>AND('Reporting '!#REF!,"AAAAAGslrx4=")</f>
        <v>#REF!</v>
      </c>
      <c r="AF224" t="e">
        <f>AND('Reporting '!#REF!,"AAAAAGslrx8=")</f>
        <v>#REF!</v>
      </c>
      <c r="AG224" t="e">
        <f>AND('Reporting '!#REF!,"AAAAAGslryA=")</f>
        <v>#REF!</v>
      </c>
      <c r="AH224" t="e">
        <f>AND('Reporting '!#REF!,"AAAAAGslryE=")</f>
        <v>#REF!</v>
      </c>
      <c r="AI224" t="e">
        <f>AND('Reporting '!#REF!,"AAAAAGslryI=")</f>
        <v>#REF!</v>
      </c>
      <c r="AJ224" t="e">
        <f>AND('Reporting '!#REF!,"AAAAAGslryM=")</f>
        <v>#REF!</v>
      </c>
      <c r="AK224" t="e">
        <f>AND('Reporting '!#REF!,"AAAAAGslryQ=")</f>
        <v>#REF!</v>
      </c>
      <c r="AL224" t="e">
        <f>AND('Reporting '!#REF!,"AAAAAGslryU=")</f>
        <v>#REF!</v>
      </c>
      <c r="AM224" t="e">
        <f>AND('Reporting '!#REF!,"AAAAAGslryY=")</f>
        <v>#REF!</v>
      </c>
      <c r="AN224" t="e">
        <f>AND('Reporting '!#REF!,"AAAAAGslryc=")</f>
        <v>#REF!</v>
      </c>
      <c r="AO224" t="e">
        <f>AND('Reporting '!#REF!,"AAAAAGslryg=")</f>
        <v>#REF!</v>
      </c>
      <c r="AP224" t="e">
        <f>AND('Reporting '!#REF!,"AAAAAGslryk=")</f>
        <v>#REF!</v>
      </c>
      <c r="AQ224" t="e">
        <f>AND('Reporting '!#REF!,"AAAAAGslryo=")</f>
        <v>#REF!</v>
      </c>
      <c r="AR224" t="e">
        <f>IF('Reporting '!#REF!,"AAAAAGslrys=",0)</f>
        <v>#REF!</v>
      </c>
      <c r="AS224" t="e">
        <f>AND('Reporting '!#REF!,"AAAAAGslryw=")</f>
        <v>#REF!</v>
      </c>
      <c r="AT224" t="e">
        <f>AND('Reporting '!#REF!,"AAAAAGslry0=")</f>
        <v>#REF!</v>
      </c>
      <c r="AU224" t="e">
        <f>AND('Reporting '!#REF!,"AAAAAGslry4=")</f>
        <v>#REF!</v>
      </c>
      <c r="AV224" t="e">
        <f>AND('Reporting '!#REF!,"AAAAAGslry8=")</f>
        <v>#REF!</v>
      </c>
      <c r="AW224" t="e">
        <f>AND('Reporting '!#REF!,"AAAAAGslrzA=")</f>
        <v>#REF!</v>
      </c>
      <c r="AX224" t="e">
        <f>AND('Reporting '!#REF!,"AAAAAGslrzE=")</f>
        <v>#REF!</v>
      </c>
      <c r="AY224" t="e">
        <f>AND('Reporting '!#REF!,"AAAAAGslrzI=")</f>
        <v>#REF!</v>
      </c>
      <c r="AZ224" t="e">
        <f>AND('Reporting '!#REF!,"AAAAAGslrzM=")</f>
        <v>#REF!</v>
      </c>
      <c r="BA224" t="e">
        <f>AND('Reporting '!#REF!,"AAAAAGslrzQ=")</f>
        <v>#REF!</v>
      </c>
      <c r="BB224" t="e">
        <f>AND('Reporting '!#REF!,"AAAAAGslrzU=")</f>
        <v>#REF!</v>
      </c>
      <c r="BC224" t="e">
        <f>AND('Reporting '!#REF!,"AAAAAGslrzY=")</f>
        <v>#REF!</v>
      </c>
      <c r="BD224" t="e">
        <f>AND('Reporting '!#REF!,"AAAAAGslrzc=")</f>
        <v>#REF!</v>
      </c>
      <c r="BE224" t="e">
        <f>AND('Reporting '!#REF!,"AAAAAGslrzg=")</f>
        <v>#REF!</v>
      </c>
      <c r="BF224" t="e">
        <f>AND('Reporting '!#REF!,"AAAAAGslrzk=")</f>
        <v>#REF!</v>
      </c>
      <c r="BG224" t="e">
        <f>IF('Reporting '!#REF!,"AAAAAGslrzo=",0)</f>
        <v>#REF!</v>
      </c>
      <c r="BH224" t="e">
        <f>AND('Reporting '!#REF!,"AAAAAGslrzs=")</f>
        <v>#REF!</v>
      </c>
      <c r="BI224" t="e">
        <f>AND('Reporting '!#REF!,"AAAAAGslrzw=")</f>
        <v>#REF!</v>
      </c>
      <c r="BJ224" t="e">
        <f>AND('Reporting '!#REF!,"AAAAAGslrz0=")</f>
        <v>#REF!</v>
      </c>
      <c r="BK224" t="e">
        <f>AND('Reporting '!#REF!,"AAAAAGslrz4=")</f>
        <v>#REF!</v>
      </c>
      <c r="BL224" t="e">
        <f>AND('Reporting '!#REF!,"AAAAAGslrz8=")</f>
        <v>#REF!</v>
      </c>
      <c r="BM224" t="e">
        <f>AND('Reporting '!#REF!,"AAAAAGslr0A=")</f>
        <v>#REF!</v>
      </c>
      <c r="BN224" t="e">
        <f>AND('Reporting '!#REF!,"AAAAAGslr0E=")</f>
        <v>#REF!</v>
      </c>
      <c r="BO224" t="e">
        <f>AND('Reporting '!#REF!,"AAAAAGslr0I=")</f>
        <v>#REF!</v>
      </c>
      <c r="BP224" t="e">
        <f>AND('Reporting '!#REF!,"AAAAAGslr0M=")</f>
        <v>#REF!</v>
      </c>
      <c r="BQ224" t="e">
        <f>AND('Reporting '!#REF!,"AAAAAGslr0Q=")</f>
        <v>#REF!</v>
      </c>
      <c r="BR224" t="e">
        <f>AND('Reporting '!#REF!,"AAAAAGslr0U=")</f>
        <v>#REF!</v>
      </c>
      <c r="BS224" t="e">
        <f>AND('Reporting '!#REF!,"AAAAAGslr0Y=")</f>
        <v>#REF!</v>
      </c>
      <c r="BT224" t="e">
        <f>AND('Reporting '!#REF!,"AAAAAGslr0c=")</f>
        <v>#REF!</v>
      </c>
      <c r="BU224" t="e">
        <f>AND('Reporting '!#REF!,"AAAAAGslr0g=")</f>
        <v>#REF!</v>
      </c>
      <c r="BV224" t="e">
        <f>IF('Reporting '!#REF!,"AAAAAGslr0k=",0)</f>
        <v>#REF!</v>
      </c>
      <c r="BW224" t="e">
        <f>AND('Reporting '!#REF!,"AAAAAGslr0o=")</f>
        <v>#REF!</v>
      </c>
      <c r="BX224" t="e">
        <f>AND('Reporting '!#REF!,"AAAAAGslr0s=")</f>
        <v>#REF!</v>
      </c>
      <c r="BY224" t="e">
        <f>AND('Reporting '!#REF!,"AAAAAGslr0w=")</f>
        <v>#REF!</v>
      </c>
      <c r="BZ224" t="e">
        <f>AND('Reporting '!#REF!,"AAAAAGslr00=")</f>
        <v>#REF!</v>
      </c>
      <c r="CA224" t="e">
        <f>AND('Reporting '!#REF!,"AAAAAGslr04=")</f>
        <v>#REF!</v>
      </c>
      <c r="CB224" t="e">
        <f>AND('Reporting '!#REF!,"AAAAAGslr08=")</f>
        <v>#REF!</v>
      </c>
      <c r="CC224" t="e">
        <f>AND('Reporting '!#REF!,"AAAAAGslr1A=")</f>
        <v>#REF!</v>
      </c>
      <c r="CD224" t="e">
        <f>AND('Reporting '!#REF!,"AAAAAGslr1E=")</f>
        <v>#REF!</v>
      </c>
      <c r="CE224" t="e">
        <f>AND('Reporting '!#REF!,"AAAAAGslr1I=")</f>
        <v>#REF!</v>
      </c>
      <c r="CF224" t="e">
        <f>AND('Reporting '!#REF!,"AAAAAGslr1M=")</f>
        <v>#REF!</v>
      </c>
      <c r="CG224" t="e">
        <f>AND('Reporting '!#REF!,"AAAAAGslr1Q=")</f>
        <v>#REF!</v>
      </c>
      <c r="CH224" t="e">
        <f>AND('Reporting '!#REF!,"AAAAAGslr1U=")</f>
        <v>#REF!</v>
      </c>
      <c r="CI224" t="e">
        <f>AND('Reporting '!#REF!,"AAAAAGslr1Y=")</f>
        <v>#REF!</v>
      </c>
      <c r="CJ224" t="e">
        <f>AND('Reporting '!#REF!,"AAAAAGslr1c=")</f>
        <v>#REF!</v>
      </c>
      <c r="CK224" t="e">
        <f>IF('Reporting '!#REF!,"AAAAAGslr1g=",0)</f>
        <v>#REF!</v>
      </c>
      <c r="CL224" t="e">
        <f>AND('Reporting '!#REF!,"AAAAAGslr1k=")</f>
        <v>#REF!</v>
      </c>
      <c r="CM224" t="e">
        <f>AND('Reporting '!#REF!,"AAAAAGslr1o=")</f>
        <v>#REF!</v>
      </c>
      <c r="CN224" t="e">
        <f>AND('Reporting '!#REF!,"AAAAAGslr1s=")</f>
        <v>#REF!</v>
      </c>
      <c r="CO224" t="e">
        <f>AND('Reporting '!#REF!,"AAAAAGslr1w=")</f>
        <v>#REF!</v>
      </c>
      <c r="CP224" t="e">
        <f>AND('Reporting '!#REF!,"AAAAAGslr10=")</f>
        <v>#REF!</v>
      </c>
      <c r="CQ224" t="e">
        <f>AND('Reporting '!#REF!,"AAAAAGslr14=")</f>
        <v>#REF!</v>
      </c>
      <c r="CR224" t="e">
        <f>AND('Reporting '!#REF!,"AAAAAGslr18=")</f>
        <v>#REF!</v>
      </c>
      <c r="CS224" t="e">
        <f>AND('Reporting '!#REF!,"AAAAAGslr2A=")</f>
        <v>#REF!</v>
      </c>
      <c r="CT224" t="e">
        <f>AND('Reporting '!#REF!,"AAAAAGslr2E=")</f>
        <v>#REF!</v>
      </c>
      <c r="CU224" t="e">
        <f>AND('Reporting '!#REF!,"AAAAAGslr2I=")</f>
        <v>#REF!</v>
      </c>
      <c r="CV224" t="e">
        <f>AND('Reporting '!#REF!,"AAAAAGslr2M=")</f>
        <v>#REF!</v>
      </c>
      <c r="CW224" t="e">
        <f>AND('Reporting '!#REF!,"AAAAAGslr2Q=")</f>
        <v>#REF!</v>
      </c>
      <c r="CX224" t="e">
        <f>AND('Reporting '!#REF!,"AAAAAGslr2U=")</f>
        <v>#REF!</v>
      </c>
      <c r="CY224" t="e">
        <f>AND('Reporting '!#REF!,"AAAAAGslr2Y=")</f>
        <v>#REF!</v>
      </c>
      <c r="CZ224" t="e">
        <f>IF('Reporting '!#REF!,"AAAAAGslr2c=",0)</f>
        <v>#REF!</v>
      </c>
      <c r="DA224" t="e">
        <f>AND('Reporting '!#REF!,"AAAAAGslr2g=")</f>
        <v>#REF!</v>
      </c>
      <c r="DB224" t="e">
        <f>AND('Reporting '!#REF!,"AAAAAGslr2k=")</f>
        <v>#REF!</v>
      </c>
      <c r="DC224" t="e">
        <f>AND('Reporting '!#REF!,"AAAAAGslr2o=")</f>
        <v>#REF!</v>
      </c>
      <c r="DD224" t="e">
        <f>AND('Reporting '!#REF!,"AAAAAGslr2s=")</f>
        <v>#REF!</v>
      </c>
      <c r="DE224" t="e">
        <f>AND('Reporting '!#REF!,"AAAAAGslr2w=")</f>
        <v>#REF!</v>
      </c>
      <c r="DF224" t="e">
        <f>AND('Reporting '!#REF!,"AAAAAGslr20=")</f>
        <v>#REF!</v>
      </c>
      <c r="DG224" t="e">
        <f>AND('Reporting '!#REF!,"AAAAAGslr24=")</f>
        <v>#REF!</v>
      </c>
      <c r="DH224" t="e">
        <f>AND('Reporting '!#REF!,"AAAAAGslr28=")</f>
        <v>#REF!</v>
      </c>
      <c r="DI224" t="e">
        <f>AND('Reporting '!#REF!,"AAAAAGslr3A=")</f>
        <v>#REF!</v>
      </c>
      <c r="DJ224" t="e">
        <f>AND('Reporting '!#REF!,"AAAAAGslr3E=")</f>
        <v>#REF!</v>
      </c>
      <c r="DK224" t="e">
        <f>AND('Reporting '!#REF!,"AAAAAGslr3I=")</f>
        <v>#REF!</v>
      </c>
      <c r="DL224" t="e">
        <f>AND('Reporting '!#REF!,"AAAAAGslr3M=")</f>
        <v>#REF!</v>
      </c>
      <c r="DM224" t="e">
        <f>AND('Reporting '!#REF!,"AAAAAGslr3Q=")</f>
        <v>#REF!</v>
      </c>
      <c r="DN224" t="e">
        <f>AND('Reporting '!#REF!,"AAAAAGslr3U=")</f>
        <v>#REF!</v>
      </c>
      <c r="DO224" t="e">
        <f>IF('Reporting '!#REF!,"AAAAAGslr3Y=",0)</f>
        <v>#REF!</v>
      </c>
      <c r="DP224" t="e">
        <f>AND('Reporting '!#REF!,"AAAAAGslr3c=")</f>
        <v>#REF!</v>
      </c>
      <c r="DQ224" t="e">
        <f>AND('Reporting '!#REF!,"AAAAAGslr3g=")</f>
        <v>#REF!</v>
      </c>
      <c r="DR224" t="e">
        <f>AND('Reporting '!#REF!,"AAAAAGslr3k=")</f>
        <v>#REF!</v>
      </c>
      <c r="DS224" t="e">
        <f>AND('Reporting '!#REF!,"AAAAAGslr3o=")</f>
        <v>#REF!</v>
      </c>
      <c r="DT224" t="e">
        <f>AND('Reporting '!#REF!,"AAAAAGslr3s=")</f>
        <v>#REF!</v>
      </c>
      <c r="DU224" t="e">
        <f>AND('Reporting '!#REF!,"AAAAAGslr3w=")</f>
        <v>#REF!</v>
      </c>
      <c r="DV224" t="e">
        <f>AND('Reporting '!#REF!,"AAAAAGslr30=")</f>
        <v>#REF!</v>
      </c>
      <c r="DW224" t="e">
        <f>AND('Reporting '!#REF!,"AAAAAGslr34=")</f>
        <v>#REF!</v>
      </c>
      <c r="DX224" t="e">
        <f>AND('Reporting '!#REF!,"AAAAAGslr38=")</f>
        <v>#REF!</v>
      </c>
      <c r="DY224" t="e">
        <f>AND('Reporting '!#REF!,"AAAAAGslr4A=")</f>
        <v>#REF!</v>
      </c>
      <c r="DZ224" t="e">
        <f>AND('Reporting '!#REF!,"AAAAAGslr4E=")</f>
        <v>#REF!</v>
      </c>
      <c r="EA224" t="e">
        <f>AND('Reporting '!#REF!,"AAAAAGslr4I=")</f>
        <v>#REF!</v>
      </c>
      <c r="EB224" t="e">
        <f>AND('Reporting '!#REF!,"AAAAAGslr4M=")</f>
        <v>#REF!</v>
      </c>
      <c r="EC224" t="e">
        <f>AND('Reporting '!#REF!,"AAAAAGslr4Q=")</f>
        <v>#REF!</v>
      </c>
      <c r="ED224" t="e">
        <f>IF('Reporting '!#REF!,"AAAAAGslr4U=",0)</f>
        <v>#REF!</v>
      </c>
      <c r="EE224" t="e">
        <f>AND('Reporting '!#REF!,"AAAAAGslr4Y=")</f>
        <v>#REF!</v>
      </c>
      <c r="EF224" t="e">
        <f>AND('Reporting '!#REF!,"AAAAAGslr4c=")</f>
        <v>#REF!</v>
      </c>
      <c r="EG224" t="e">
        <f>AND('Reporting '!#REF!,"AAAAAGslr4g=")</f>
        <v>#REF!</v>
      </c>
      <c r="EH224" t="e">
        <f>AND('Reporting '!#REF!,"AAAAAGslr4k=")</f>
        <v>#REF!</v>
      </c>
      <c r="EI224" t="e">
        <f>AND('Reporting '!#REF!,"AAAAAGslr4o=")</f>
        <v>#REF!</v>
      </c>
      <c r="EJ224" t="e">
        <f>AND('Reporting '!#REF!,"AAAAAGslr4s=")</f>
        <v>#REF!</v>
      </c>
      <c r="EK224" t="e">
        <f>AND('Reporting '!#REF!,"AAAAAGslr4w=")</f>
        <v>#REF!</v>
      </c>
      <c r="EL224" t="e">
        <f>AND('Reporting '!#REF!,"AAAAAGslr40=")</f>
        <v>#REF!</v>
      </c>
      <c r="EM224" t="e">
        <f>AND('Reporting '!#REF!,"AAAAAGslr44=")</f>
        <v>#REF!</v>
      </c>
      <c r="EN224" t="e">
        <f>AND('Reporting '!#REF!,"AAAAAGslr48=")</f>
        <v>#REF!</v>
      </c>
      <c r="EO224" t="e">
        <f>AND('Reporting '!#REF!,"AAAAAGslr5A=")</f>
        <v>#REF!</v>
      </c>
      <c r="EP224" t="e">
        <f>AND('Reporting '!#REF!,"AAAAAGslr5E=")</f>
        <v>#REF!</v>
      </c>
      <c r="EQ224" t="e">
        <f>AND('Reporting '!#REF!,"AAAAAGslr5I=")</f>
        <v>#REF!</v>
      </c>
      <c r="ER224" t="e">
        <f>AND('Reporting '!#REF!,"AAAAAGslr5M=")</f>
        <v>#REF!</v>
      </c>
      <c r="ES224" t="e">
        <f>IF('Reporting '!#REF!,"AAAAAGslr5Q=",0)</f>
        <v>#REF!</v>
      </c>
      <c r="ET224" t="e">
        <f>AND('Reporting '!#REF!,"AAAAAGslr5U=")</f>
        <v>#REF!</v>
      </c>
      <c r="EU224" t="e">
        <f>AND('Reporting '!#REF!,"AAAAAGslr5Y=")</f>
        <v>#REF!</v>
      </c>
      <c r="EV224" t="e">
        <f>AND('Reporting '!#REF!,"AAAAAGslr5c=")</f>
        <v>#REF!</v>
      </c>
      <c r="EW224" t="e">
        <f>AND('Reporting '!#REF!,"AAAAAGslr5g=")</f>
        <v>#REF!</v>
      </c>
      <c r="EX224" t="e">
        <f>AND('Reporting '!#REF!,"AAAAAGslr5k=")</f>
        <v>#REF!</v>
      </c>
      <c r="EY224" t="e">
        <f>AND('Reporting '!#REF!,"AAAAAGslr5o=")</f>
        <v>#REF!</v>
      </c>
      <c r="EZ224" t="e">
        <f>AND('Reporting '!#REF!,"AAAAAGslr5s=")</f>
        <v>#REF!</v>
      </c>
      <c r="FA224" t="e">
        <f>AND('Reporting '!#REF!,"AAAAAGslr5w=")</f>
        <v>#REF!</v>
      </c>
      <c r="FB224" t="e">
        <f>AND('Reporting '!#REF!,"AAAAAGslr50=")</f>
        <v>#REF!</v>
      </c>
      <c r="FC224" t="e">
        <f>AND('Reporting '!#REF!,"AAAAAGslr54=")</f>
        <v>#REF!</v>
      </c>
      <c r="FD224" t="e">
        <f>AND('Reporting '!#REF!,"AAAAAGslr58=")</f>
        <v>#REF!</v>
      </c>
      <c r="FE224" t="e">
        <f>AND('Reporting '!#REF!,"AAAAAGslr6A=")</f>
        <v>#REF!</v>
      </c>
      <c r="FF224" t="e">
        <f>AND('Reporting '!#REF!,"AAAAAGslr6E=")</f>
        <v>#REF!</v>
      </c>
      <c r="FG224" t="e">
        <f>AND('Reporting '!#REF!,"AAAAAGslr6I=")</f>
        <v>#REF!</v>
      </c>
      <c r="FH224" t="e">
        <f>IF('Reporting '!#REF!,"AAAAAGslr6M=",0)</f>
        <v>#REF!</v>
      </c>
      <c r="FI224" t="e">
        <f>AND('Reporting '!#REF!,"AAAAAGslr6Q=")</f>
        <v>#REF!</v>
      </c>
      <c r="FJ224" t="e">
        <f>AND('Reporting '!#REF!,"AAAAAGslr6U=")</f>
        <v>#REF!</v>
      </c>
      <c r="FK224" t="e">
        <f>AND('Reporting '!#REF!,"AAAAAGslr6Y=")</f>
        <v>#REF!</v>
      </c>
      <c r="FL224" t="e">
        <f>AND('Reporting '!#REF!,"AAAAAGslr6c=")</f>
        <v>#REF!</v>
      </c>
      <c r="FM224" t="e">
        <f>AND('Reporting '!#REF!,"AAAAAGslr6g=")</f>
        <v>#REF!</v>
      </c>
      <c r="FN224" t="e">
        <f>AND('Reporting '!#REF!,"AAAAAGslr6k=")</f>
        <v>#REF!</v>
      </c>
      <c r="FO224" t="e">
        <f>AND('Reporting '!#REF!,"AAAAAGslr6o=")</f>
        <v>#REF!</v>
      </c>
      <c r="FP224" t="e">
        <f>AND('Reporting '!#REF!,"AAAAAGslr6s=")</f>
        <v>#REF!</v>
      </c>
      <c r="FQ224" t="e">
        <f>AND('Reporting '!#REF!,"AAAAAGslr6w=")</f>
        <v>#REF!</v>
      </c>
      <c r="FR224" t="e">
        <f>AND('Reporting '!#REF!,"AAAAAGslr60=")</f>
        <v>#REF!</v>
      </c>
      <c r="FS224" t="e">
        <f>AND('Reporting '!#REF!,"AAAAAGslr64=")</f>
        <v>#REF!</v>
      </c>
      <c r="FT224" t="e">
        <f>AND('Reporting '!#REF!,"AAAAAGslr68=")</f>
        <v>#REF!</v>
      </c>
      <c r="FU224" t="e">
        <f>AND('Reporting '!#REF!,"AAAAAGslr7A=")</f>
        <v>#REF!</v>
      </c>
      <c r="FV224" t="e">
        <f>AND('Reporting '!#REF!,"AAAAAGslr7E=")</f>
        <v>#REF!</v>
      </c>
      <c r="FW224" t="e">
        <f>IF('Reporting '!#REF!,"AAAAAGslr7I=",0)</f>
        <v>#REF!</v>
      </c>
      <c r="FX224" t="e">
        <f>AND('Reporting '!#REF!,"AAAAAGslr7M=")</f>
        <v>#REF!</v>
      </c>
      <c r="FY224" t="e">
        <f>AND('Reporting '!#REF!,"AAAAAGslr7Q=")</f>
        <v>#REF!</v>
      </c>
      <c r="FZ224" t="e">
        <f>AND('Reporting '!#REF!,"AAAAAGslr7U=")</f>
        <v>#REF!</v>
      </c>
      <c r="GA224" t="e">
        <f>AND('Reporting '!#REF!,"AAAAAGslr7Y=")</f>
        <v>#REF!</v>
      </c>
      <c r="GB224" t="e">
        <f>AND('Reporting '!#REF!,"AAAAAGslr7c=")</f>
        <v>#REF!</v>
      </c>
      <c r="GC224" t="e">
        <f>AND('Reporting '!#REF!,"AAAAAGslr7g=")</f>
        <v>#REF!</v>
      </c>
      <c r="GD224" t="e">
        <f>AND('Reporting '!#REF!,"AAAAAGslr7k=")</f>
        <v>#REF!</v>
      </c>
      <c r="GE224" t="e">
        <f>AND('Reporting '!#REF!,"AAAAAGslr7o=")</f>
        <v>#REF!</v>
      </c>
      <c r="GF224" t="e">
        <f>AND('Reporting '!#REF!,"AAAAAGslr7s=")</f>
        <v>#REF!</v>
      </c>
      <c r="GG224" t="e">
        <f>AND('Reporting '!#REF!,"AAAAAGslr7w=")</f>
        <v>#REF!</v>
      </c>
      <c r="GH224" t="e">
        <f>AND('Reporting '!#REF!,"AAAAAGslr70=")</f>
        <v>#REF!</v>
      </c>
      <c r="GI224" t="e">
        <f>AND('Reporting '!#REF!,"AAAAAGslr74=")</f>
        <v>#REF!</v>
      </c>
      <c r="GJ224" t="e">
        <f>AND('Reporting '!#REF!,"AAAAAGslr78=")</f>
        <v>#REF!</v>
      </c>
      <c r="GK224" t="e">
        <f>AND('Reporting '!#REF!,"AAAAAGslr8A=")</f>
        <v>#REF!</v>
      </c>
      <c r="GL224" t="e">
        <f>IF('Reporting '!#REF!,"AAAAAGslr8E=",0)</f>
        <v>#REF!</v>
      </c>
      <c r="GM224" t="e">
        <f>AND('Reporting '!#REF!,"AAAAAGslr8I=")</f>
        <v>#REF!</v>
      </c>
      <c r="GN224" t="e">
        <f>AND('Reporting '!#REF!,"AAAAAGslr8M=")</f>
        <v>#REF!</v>
      </c>
      <c r="GO224" t="e">
        <f>AND('Reporting '!#REF!,"AAAAAGslr8Q=")</f>
        <v>#REF!</v>
      </c>
      <c r="GP224" t="e">
        <f>AND('Reporting '!#REF!,"AAAAAGslr8U=")</f>
        <v>#REF!</v>
      </c>
      <c r="GQ224" t="e">
        <f>AND('Reporting '!#REF!,"AAAAAGslr8Y=")</f>
        <v>#REF!</v>
      </c>
      <c r="GR224" t="e">
        <f>AND('Reporting '!#REF!,"AAAAAGslr8c=")</f>
        <v>#REF!</v>
      </c>
      <c r="GS224" t="e">
        <f>AND('Reporting '!#REF!,"AAAAAGslr8g=")</f>
        <v>#REF!</v>
      </c>
      <c r="GT224" t="e">
        <f>AND('Reporting '!#REF!,"AAAAAGslr8k=")</f>
        <v>#REF!</v>
      </c>
      <c r="GU224" t="e">
        <f>AND('Reporting '!#REF!,"AAAAAGslr8o=")</f>
        <v>#REF!</v>
      </c>
      <c r="GV224" t="e">
        <f>AND('Reporting '!#REF!,"AAAAAGslr8s=")</f>
        <v>#REF!</v>
      </c>
      <c r="GW224" t="e">
        <f>AND('Reporting '!#REF!,"AAAAAGslr8w=")</f>
        <v>#REF!</v>
      </c>
      <c r="GX224" t="e">
        <f>AND('Reporting '!#REF!,"AAAAAGslr80=")</f>
        <v>#REF!</v>
      </c>
      <c r="GY224" t="e">
        <f>AND('Reporting '!#REF!,"AAAAAGslr84=")</f>
        <v>#REF!</v>
      </c>
      <c r="GZ224" t="e">
        <f>AND('Reporting '!#REF!,"AAAAAGslr88=")</f>
        <v>#REF!</v>
      </c>
      <c r="HA224" t="e">
        <f>IF('Reporting '!#REF!,"AAAAAGslr9A=",0)</f>
        <v>#REF!</v>
      </c>
      <c r="HB224" t="e">
        <f>AND('Reporting '!#REF!,"AAAAAGslr9E=")</f>
        <v>#REF!</v>
      </c>
      <c r="HC224" t="e">
        <f>AND('Reporting '!#REF!,"AAAAAGslr9I=")</f>
        <v>#REF!</v>
      </c>
      <c r="HD224" t="e">
        <f>AND('Reporting '!#REF!,"AAAAAGslr9M=")</f>
        <v>#REF!</v>
      </c>
      <c r="HE224" t="e">
        <f>AND('Reporting '!#REF!,"AAAAAGslr9Q=")</f>
        <v>#REF!</v>
      </c>
      <c r="HF224" t="e">
        <f>AND('Reporting '!#REF!,"AAAAAGslr9U=")</f>
        <v>#REF!</v>
      </c>
      <c r="HG224" t="e">
        <f>AND('Reporting '!#REF!,"AAAAAGslr9Y=")</f>
        <v>#REF!</v>
      </c>
      <c r="HH224" t="e">
        <f>AND('Reporting '!#REF!,"AAAAAGslr9c=")</f>
        <v>#REF!</v>
      </c>
      <c r="HI224" t="e">
        <f>AND('Reporting '!#REF!,"AAAAAGslr9g=")</f>
        <v>#REF!</v>
      </c>
      <c r="HJ224" t="e">
        <f>AND('Reporting '!#REF!,"AAAAAGslr9k=")</f>
        <v>#REF!</v>
      </c>
      <c r="HK224" t="e">
        <f>AND('Reporting '!#REF!,"AAAAAGslr9o=")</f>
        <v>#REF!</v>
      </c>
      <c r="HL224" t="e">
        <f>AND('Reporting '!#REF!,"AAAAAGslr9s=")</f>
        <v>#REF!</v>
      </c>
      <c r="HM224" t="e">
        <f>AND('Reporting '!#REF!,"AAAAAGslr9w=")</f>
        <v>#REF!</v>
      </c>
      <c r="HN224" t="e">
        <f>AND('Reporting '!#REF!,"AAAAAGslr90=")</f>
        <v>#REF!</v>
      </c>
      <c r="HO224" t="e">
        <f>AND('Reporting '!#REF!,"AAAAAGslr94=")</f>
        <v>#REF!</v>
      </c>
      <c r="HP224" t="e">
        <f>IF('Reporting '!#REF!,"AAAAAGslr98=",0)</f>
        <v>#REF!</v>
      </c>
      <c r="HQ224" t="e">
        <f>AND('Reporting '!#REF!,"AAAAAGslr+A=")</f>
        <v>#REF!</v>
      </c>
      <c r="HR224" t="e">
        <f>AND('Reporting '!#REF!,"AAAAAGslr+E=")</f>
        <v>#REF!</v>
      </c>
      <c r="HS224" t="e">
        <f>AND('Reporting '!#REF!,"AAAAAGslr+I=")</f>
        <v>#REF!</v>
      </c>
      <c r="HT224" t="e">
        <f>AND('Reporting '!#REF!,"AAAAAGslr+M=")</f>
        <v>#REF!</v>
      </c>
      <c r="HU224" t="e">
        <f>AND('Reporting '!#REF!,"AAAAAGslr+Q=")</f>
        <v>#REF!</v>
      </c>
      <c r="HV224" t="e">
        <f>AND('Reporting '!#REF!,"AAAAAGslr+U=")</f>
        <v>#REF!</v>
      </c>
      <c r="HW224" t="e">
        <f>AND('Reporting '!#REF!,"AAAAAGslr+Y=")</f>
        <v>#REF!</v>
      </c>
      <c r="HX224" t="e">
        <f>AND('Reporting '!#REF!,"AAAAAGslr+c=")</f>
        <v>#REF!</v>
      </c>
      <c r="HY224" t="e">
        <f>AND('Reporting '!#REF!,"AAAAAGslr+g=")</f>
        <v>#REF!</v>
      </c>
      <c r="HZ224" t="e">
        <f>AND('Reporting '!#REF!,"AAAAAGslr+k=")</f>
        <v>#REF!</v>
      </c>
      <c r="IA224" t="e">
        <f>AND('Reporting '!#REF!,"AAAAAGslr+o=")</f>
        <v>#REF!</v>
      </c>
      <c r="IB224" t="e">
        <f>AND('Reporting '!#REF!,"AAAAAGslr+s=")</f>
        <v>#REF!</v>
      </c>
      <c r="IC224" t="e">
        <f>AND('Reporting '!#REF!,"AAAAAGslr+w=")</f>
        <v>#REF!</v>
      </c>
      <c r="ID224" t="e">
        <f>AND('Reporting '!#REF!,"AAAAAGslr+0=")</f>
        <v>#REF!</v>
      </c>
      <c r="IE224" t="e">
        <f>IF('Reporting '!#REF!,"AAAAAGslr+4=",0)</f>
        <v>#REF!</v>
      </c>
      <c r="IF224" t="e">
        <f>AND('Reporting '!#REF!,"AAAAAGslr+8=")</f>
        <v>#REF!</v>
      </c>
      <c r="IG224" t="e">
        <f>AND('Reporting '!#REF!,"AAAAAGslr/A=")</f>
        <v>#REF!</v>
      </c>
      <c r="IH224" t="e">
        <f>AND('Reporting '!#REF!,"AAAAAGslr/E=")</f>
        <v>#REF!</v>
      </c>
      <c r="II224" t="e">
        <f>AND('Reporting '!#REF!,"AAAAAGslr/I=")</f>
        <v>#REF!</v>
      </c>
      <c r="IJ224" t="e">
        <f>AND('Reporting '!#REF!,"AAAAAGslr/M=")</f>
        <v>#REF!</v>
      </c>
      <c r="IK224" t="e">
        <f>AND('Reporting '!#REF!,"AAAAAGslr/Q=")</f>
        <v>#REF!</v>
      </c>
      <c r="IL224" t="e">
        <f>AND('Reporting '!#REF!,"AAAAAGslr/U=")</f>
        <v>#REF!</v>
      </c>
      <c r="IM224" t="e">
        <f>AND('Reporting '!#REF!,"AAAAAGslr/Y=")</f>
        <v>#REF!</v>
      </c>
      <c r="IN224" t="e">
        <f>AND('Reporting '!#REF!,"AAAAAGslr/c=")</f>
        <v>#REF!</v>
      </c>
      <c r="IO224" t="e">
        <f>AND('Reporting '!#REF!,"AAAAAGslr/g=")</f>
        <v>#REF!</v>
      </c>
      <c r="IP224" t="e">
        <f>AND('Reporting '!#REF!,"AAAAAGslr/k=")</f>
        <v>#REF!</v>
      </c>
      <c r="IQ224" t="e">
        <f>AND('Reporting '!#REF!,"AAAAAGslr/o=")</f>
        <v>#REF!</v>
      </c>
      <c r="IR224" t="e">
        <f>AND('Reporting '!#REF!,"AAAAAGslr/s=")</f>
        <v>#REF!</v>
      </c>
      <c r="IS224" t="e">
        <f>AND('Reporting '!#REF!,"AAAAAGslr/w=")</f>
        <v>#REF!</v>
      </c>
      <c r="IT224" t="e">
        <f>IF('Reporting '!#REF!,"AAAAAGslr/0=",0)</f>
        <v>#REF!</v>
      </c>
      <c r="IU224" t="e">
        <f>AND('Reporting '!#REF!,"AAAAAGslr/4=")</f>
        <v>#REF!</v>
      </c>
      <c r="IV224" t="e">
        <f>AND('Reporting '!#REF!,"AAAAAGslr/8=")</f>
        <v>#REF!</v>
      </c>
    </row>
    <row r="225" spans="1:256" x14ac:dyDescent="0.2">
      <c r="A225" t="e">
        <f>AND('Reporting '!#REF!,"AAAAAAKJ3QA=")</f>
        <v>#REF!</v>
      </c>
      <c r="B225" t="e">
        <f>AND('Reporting '!#REF!,"AAAAAAKJ3QE=")</f>
        <v>#REF!</v>
      </c>
      <c r="C225" t="e">
        <f>AND('Reporting '!#REF!,"AAAAAAKJ3QI=")</f>
        <v>#REF!</v>
      </c>
      <c r="D225" t="e">
        <f>AND('Reporting '!#REF!,"AAAAAAKJ3QM=")</f>
        <v>#REF!</v>
      </c>
      <c r="E225" t="e">
        <f>AND('Reporting '!#REF!,"AAAAAAKJ3QQ=")</f>
        <v>#REF!</v>
      </c>
      <c r="F225" t="e">
        <f>AND('Reporting '!#REF!,"AAAAAAKJ3QU=")</f>
        <v>#REF!</v>
      </c>
      <c r="G225" t="e">
        <f>AND('Reporting '!#REF!,"AAAAAAKJ3QY=")</f>
        <v>#REF!</v>
      </c>
      <c r="H225" t="e">
        <f>AND('Reporting '!#REF!,"AAAAAAKJ3Qc=")</f>
        <v>#REF!</v>
      </c>
      <c r="I225" t="e">
        <f>AND('Reporting '!#REF!,"AAAAAAKJ3Qg=")</f>
        <v>#REF!</v>
      </c>
      <c r="J225" t="e">
        <f>AND('Reporting '!#REF!,"AAAAAAKJ3Qk=")</f>
        <v>#REF!</v>
      </c>
      <c r="K225" t="e">
        <f>AND('Reporting '!#REF!,"AAAAAAKJ3Qo=")</f>
        <v>#REF!</v>
      </c>
      <c r="L225" t="e">
        <f>AND('Reporting '!#REF!,"AAAAAAKJ3Qs=")</f>
        <v>#REF!</v>
      </c>
      <c r="M225" t="e">
        <f>IF('Reporting '!#REF!,"AAAAAAKJ3Qw=",0)</f>
        <v>#REF!</v>
      </c>
      <c r="N225" t="e">
        <f>AND('Reporting '!#REF!,"AAAAAAKJ3Q0=")</f>
        <v>#REF!</v>
      </c>
      <c r="O225" t="e">
        <f>AND('Reporting '!#REF!,"AAAAAAKJ3Q4=")</f>
        <v>#REF!</v>
      </c>
      <c r="P225" t="e">
        <f>AND('Reporting '!#REF!,"AAAAAAKJ3Q8=")</f>
        <v>#REF!</v>
      </c>
      <c r="Q225" t="e">
        <f>AND('Reporting '!#REF!,"AAAAAAKJ3RA=")</f>
        <v>#REF!</v>
      </c>
      <c r="R225" t="e">
        <f>AND('Reporting '!#REF!,"AAAAAAKJ3RE=")</f>
        <v>#REF!</v>
      </c>
      <c r="S225" t="e">
        <f>AND('Reporting '!#REF!,"AAAAAAKJ3RI=")</f>
        <v>#REF!</v>
      </c>
      <c r="T225" t="e">
        <f>AND('Reporting '!#REF!,"AAAAAAKJ3RM=")</f>
        <v>#REF!</v>
      </c>
      <c r="U225" t="e">
        <f>AND('Reporting '!#REF!,"AAAAAAKJ3RQ=")</f>
        <v>#REF!</v>
      </c>
      <c r="V225" t="e">
        <f>AND('Reporting '!#REF!,"AAAAAAKJ3RU=")</f>
        <v>#REF!</v>
      </c>
      <c r="W225" t="e">
        <f>AND('Reporting '!#REF!,"AAAAAAKJ3RY=")</f>
        <v>#REF!</v>
      </c>
      <c r="X225" t="e">
        <f>AND('Reporting '!#REF!,"AAAAAAKJ3Rc=")</f>
        <v>#REF!</v>
      </c>
      <c r="Y225" t="e">
        <f>AND('Reporting '!#REF!,"AAAAAAKJ3Rg=")</f>
        <v>#REF!</v>
      </c>
      <c r="Z225" t="e">
        <f>AND('Reporting '!#REF!,"AAAAAAKJ3Rk=")</f>
        <v>#REF!</v>
      </c>
      <c r="AA225" t="e">
        <f>AND('Reporting '!#REF!,"AAAAAAKJ3Ro=")</f>
        <v>#REF!</v>
      </c>
      <c r="AB225" t="e">
        <f>IF('Reporting '!#REF!,"AAAAAAKJ3Rs=",0)</f>
        <v>#REF!</v>
      </c>
      <c r="AC225" t="e">
        <f>AND('Reporting '!#REF!,"AAAAAAKJ3Rw=")</f>
        <v>#REF!</v>
      </c>
      <c r="AD225" t="e">
        <f>AND('Reporting '!#REF!,"AAAAAAKJ3R0=")</f>
        <v>#REF!</v>
      </c>
      <c r="AE225" t="e">
        <f>AND('Reporting '!#REF!,"AAAAAAKJ3R4=")</f>
        <v>#REF!</v>
      </c>
      <c r="AF225" t="e">
        <f>AND('Reporting '!#REF!,"AAAAAAKJ3R8=")</f>
        <v>#REF!</v>
      </c>
      <c r="AG225" t="e">
        <f>AND('Reporting '!#REF!,"AAAAAAKJ3SA=")</f>
        <v>#REF!</v>
      </c>
      <c r="AH225" t="e">
        <f>AND('Reporting '!#REF!,"AAAAAAKJ3SE=")</f>
        <v>#REF!</v>
      </c>
      <c r="AI225" t="e">
        <f>AND('Reporting '!#REF!,"AAAAAAKJ3SI=")</f>
        <v>#REF!</v>
      </c>
      <c r="AJ225" t="e">
        <f>AND('Reporting '!#REF!,"AAAAAAKJ3SM=")</f>
        <v>#REF!</v>
      </c>
      <c r="AK225" t="e">
        <f>AND('Reporting '!#REF!,"AAAAAAKJ3SQ=")</f>
        <v>#REF!</v>
      </c>
      <c r="AL225" t="e">
        <f>AND('Reporting '!#REF!,"AAAAAAKJ3SU=")</f>
        <v>#REF!</v>
      </c>
      <c r="AM225" t="e">
        <f>AND('Reporting '!#REF!,"AAAAAAKJ3SY=")</f>
        <v>#REF!</v>
      </c>
      <c r="AN225" t="e">
        <f>AND('Reporting '!#REF!,"AAAAAAKJ3Sc=")</f>
        <v>#REF!</v>
      </c>
      <c r="AO225" t="e">
        <f>AND('Reporting '!#REF!,"AAAAAAKJ3Sg=")</f>
        <v>#REF!</v>
      </c>
      <c r="AP225" t="e">
        <f>AND('Reporting '!#REF!,"AAAAAAKJ3Sk=")</f>
        <v>#REF!</v>
      </c>
      <c r="AQ225" t="e">
        <f>IF('Reporting '!#REF!,"AAAAAAKJ3So=",0)</f>
        <v>#REF!</v>
      </c>
      <c r="AR225" t="e">
        <f>AND('Reporting '!#REF!,"AAAAAAKJ3Ss=")</f>
        <v>#REF!</v>
      </c>
      <c r="AS225" t="e">
        <f>AND('Reporting '!#REF!,"AAAAAAKJ3Sw=")</f>
        <v>#REF!</v>
      </c>
      <c r="AT225" t="e">
        <f>AND('Reporting '!#REF!,"AAAAAAKJ3S0=")</f>
        <v>#REF!</v>
      </c>
      <c r="AU225" t="e">
        <f>AND('Reporting '!#REF!,"AAAAAAKJ3S4=")</f>
        <v>#REF!</v>
      </c>
      <c r="AV225" t="e">
        <f>AND('Reporting '!#REF!,"AAAAAAKJ3S8=")</f>
        <v>#REF!</v>
      </c>
      <c r="AW225" t="e">
        <f>AND('Reporting '!#REF!,"AAAAAAKJ3TA=")</f>
        <v>#REF!</v>
      </c>
      <c r="AX225" t="e">
        <f>AND('Reporting '!#REF!,"AAAAAAKJ3TE=")</f>
        <v>#REF!</v>
      </c>
      <c r="AY225" t="e">
        <f>AND('Reporting '!#REF!,"AAAAAAKJ3TI=")</f>
        <v>#REF!</v>
      </c>
      <c r="AZ225" t="e">
        <f>AND('Reporting '!#REF!,"AAAAAAKJ3TM=")</f>
        <v>#REF!</v>
      </c>
      <c r="BA225" t="e">
        <f>AND('Reporting '!#REF!,"AAAAAAKJ3TQ=")</f>
        <v>#REF!</v>
      </c>
      <c r="BB225" t="e">
        <f>AND('Reporting '!#REF!,"AAAAAAKJ3TU=")</f>
        <v>#REF!</v>
      </c>
      <c r="BC225" t="e">
        <f>AND('Reporting '!#REF!,"AAAAAAKJ3TY=")</f>
        <v>#REF!</v>
      </c>
      <c r="BD225" t="e">
        <f>AND('Reporting '!#REF!,"AAAAAAKJ3Tc=")</f>
        <v>#REF!</v>
      </c>
      <c r="BE225" t="e">
        <f>AND('Reporting '!#REF!,"AAAAAAKJ3Tg=")</f>
        <v>#REF!</v>
      </c>
      <c r="BF225" t="e">
        <f>IF('Reporting '!#REF!,"AAAAAAKJ3Tk=",0)</f>
        <v>#REF!</v>
      </c>
      <c r="BG225" t="e">
        <f>AND('Reporting '!#REF!,"AAAAAAKJ3To=")</f>
        <v>#REF!</v>
      </c>
      <c r="BH225" t="e">
        <f>AND('Reporting '!#REF!,"AAAAAAKJ3Ts=")</f>
        <v>#REF!</v>
      </c>
      <c r="BI225" t="e">
        <f>AND('Reporting '!#REF!,"AAAAAAKJ3Tw=")</f>
        <v>#REF!</v>
      </c>
      <c r="BJ225" t="e">
        <f>AND('Reporting '!#REF!,"AAAAAAKJ3T0=")</f>
        <v>#REF!</v>
      </c>
      <c r="BK225" t="e">
        <f>AND('Reporting '!#REF!,"AAAAAAKJ3T4=")</f>
        <v>#REF!</v>
      </c>
      <c r="BL225" t="e">
        <f>AND('Reporting '!#REF!,"AAAAAAKJ3T8=")</f>
        <v>#REF!</v>
      </c>
      <c r="BM225" t="e">
        <f>AND('Reporting '!#REF!,"AAAAAAKJ3UA=")</f>
        <v>#REF!</v>
      </c>
      <c r="BN225" t="e">
        <f>AND('Reporting '!#REF!,"AAAAAAKJ3UE=")</f>
        <v>#REF!</v>
      </c>
      <c r="BO225" t="e">
        <f>AND('Reporting '!#REF!,"AAAAAAKJ3UI=")</f>
        <v>#REF!</v>
      </c>
      <c r="BP225" t="e">
        <f>AND('Reporting '!#REF!,"AAAAAAKJ3UM=")</f>
        <v>#REF!</v>
      </c>
      <c r="BQ225" t="e">
        <f>AND('Reporting '!#REF!,"AAAAAAKJ3UQ=")</f>
        <v>#REF!</v>
      </c>
      <c r="BR225" t="e">
        <f>AND('Reporting '!#REF!,"AAAAAAKJ3UU=")</f>
        <v>#REF!</v>
      </c>
      <c r="BS225" t="e">
        <f>AND('Reporting '!#REF!,"AAAAAAKJ3UY=")</f>
        <v>#REF!</v>
      </c>
      <c r="BT225" t="e">
        <f>AND('Reporting '!#REF!,"AAAAAAKJ3Uc=")</f>
        <v>#REF!</v>
      </c>
      <c r="BU225" t="e">
        <f>IF('Reporting '!#REF!,"AAAAAAKJ3Ug=",0)</f>
        <v>#REF!</v>
      </c>
      <c r="BV225" t="e">
        <f>AND('Reporting '!#REF!,"AAAAAAKJ3Uk=")</f>
        <v>#REF!</v>
      </c>
      <c r="BW225" t="e">
        <f>AND('Reporting '!#REF!,"AAAAAAKJ3Uo=")</f>
        <v>#REF!</v>
      </c>
      <c r="BX225" t="e">
        <f>AND('Reporting '!#REF!,"AAAAAAKJ3Us=")</f>
        <v>#REF!</v>
      </c>
      <c r="BY225" t="e">
        <f>AND('Reporting '!#REF!,"AAAAAAKJ3Uw=")</f>
        <v>#REF!</v>
      </c>
      <c r="BZ225" t="e">
        <f>AND('Reporting '!#REF!,"AAAAAAKJ3U0=")</f>
        <v>#REF!</v>
      </c>
      <c r="CA225" t="e">
        <f>AND('Reporting '!#REF!,"AAAAAAKJ3U4=")</f>
        <v>#REF!</v>
      </c>
      <c r="CB225" t="e">
        <f>AND('Reporting '!#REF!,"AAAAAAKJ3U8=")</f>
        <v>#REF!</v>
      </c>
      <c r="CC225" t="e">
        <f>AND('Reporting '!#REF!,"AAAAAAKJ3VA=")</f>
        <v>#REF!</v>
      </c>
      <c r="CD225" t="e">
        <f>AND('Reporting '!#REF!,"AAAAAAKJ3VE=")</f>
        <v>#REF!</v>
      </c>
      <c r="CE225" t="e">
        <f>AND('Reporting '!#REF!,"AAAAAAKJ3VI=")</f>
        <v>#REF!</v>
      </c>
      <c r="CF225" t="e">
        <f>AND('Reporting '!#REF!,"AAAAAAKJ3VM=")</f>
        <v>#REF!</v>
      </c>
      <c r="CG225" t="e">
        <f>AND('Reporting '!#REF!,"AAAAAAKJ3VQ=")</f>
        <v>#REF!</v>
      </c>
      <c r="CH225" t="e">
        <f>AND('Reporting '!#REF!,"AAAAAAKJ3VU=")</f>
        <v>#REF!</v>
      </c>
      <c r="CI225" t="e">
        <f>AND('Reporting '!#REF!,"AAAAAAKJ3VY=")</f>
        <v>#REF!</v>
      </c>
      <c r="CJ225" t="e">
        <f>IF('Reporting '!#REF!,"AAAAAAKJ3Vc=",0)</f>
        <v>#REF!</v>
      </c>
      <c r="CK225" t="e">
        <f>AND('Reporting '!#REF!,"AAAAAAKJ3Vg=")</f>
        <v>#REF!</v>
      </c>
      <c r="CL225" t="e">
        <f>AND('Reporting '!#REF!,"AAAAAAKJ3Vk=")</f>
        <v>#REF!</v>
      </c>
      <c r="CM225" t="e">
        <f>AND('Reporting '!#REF!,"AAAAAAKJ3Vo=")</f>
        <v>#REF!</v>
      </c>
      <c r="CN225" t="e">
        <f>AND('Reporting '!#REF!,"AAAAAAKJ3Vs=")</f>
        <v>#REF!</v>
      </c>
      <c r="CO225" t="e">
        <f>AND('Reporting '!#REF!,"AAAAAAKJ3Vw=")</f>
        <v>#REF!</v>
      </c>
      <c r="CP225" t="e">
        <f>AND('Reporting '!#REF!,"AAAAAAKJ3V0=")</f>
        <v>#REF!</v>
      </c>
      <c r="CQ225" t="e">
        <f>AND('Reporting '!#REF!,"AAAAAAKJ3V4=")</f>
        <v>#REF!</v>
      </c>
      <c r="CR225" t="e">
        <f>AND('Reporting '!#REF!,"AAAAAAKJ3V8=")</f>
        <v>#REF!</v>
      </c>
      <c r="CS225" t="e">
        <f>AND('Reporting '!#REF!,"AAAAAAKJ3WA=")</f>
        <v>#REF!</v>
      </c>
      <c r="CT225" t="e">
        <f>AND('Reporting '!#REF!,"AAAAAAKJ3WE=")</f>
        <v>#REF!</v>
      </c>
      <c r="CU225" t="e">
        <f>AND('Reporting '!#REF!,"AAAAAAKJ3WI=")</f>
        <v>#REF!</v>
      </c>
      <c r="CV225" t="e">
        <f>AND('Reporting '!#REF!,"AAAAAAKJ3WM=")</f>
        <v>#REF!</v>
      </c>
      <c r="CW225" t="e">
        <f>AND('Reporting '!#REF!,"AAAAAAKJ3WQ=")</f>
        <v>#REF!</v>
      </c>
      <c r="CX225" t="e">
        <f>AND('Reporting '!#REF!,"AAAAAAKJ3WU=")</f>
        <v>#REF!</v>
      </c>
      <c r="CY225" t="e">
        <f>IF('Reporting '!#REF!,"AAAAAAKJ3WY=",0)</f>
        <v>#REF!</v>
      </c>
      <c r="CZ225" t="e">
        <f>AND('Reporting '!#REF!,"AAAAAAKJ3Wc=")</f>
        <v>#REF!</v>
      </c>
      <c r="DA225" t="e">
        <f>AND('Reporting '!#REF!,"AAAAAAKJ3Wg=")</f>
        <v>#REF!</v>
      </c>
      <c r="DB225" t="e">
        <f>AND('Reporting '!#REF!,"AAAAAAKJ3Wk=")</f>
        <v>#REF!</v>
      </c>
      <c r="DC225" t="e">
        <f>AND('Reporting '!#REF!,"AAAAAAKJ3Wo=")</f>
        <v>#REF!</v>
      </c>
      <c r="DD225" t="e">
        <f>AND('Reporting '!#REF!,"AAAAAAKJ3Ws=")</f>
        <v>#REF!</v>
      </c>
      <c r="DE225" t="e">
        <f>AND('Reporting '!#REF!,"AAAAAAKJ3Ww=")</f>
        <v>#REF!</v>
      </c>
      <c r="DF225" t="e">
        <f>AND('Reporting '!#REF!,"AAAAAAKJ3W0=")</f>
        <v>#REF!</v>
      </c>
      <c r="DG225" t="e">
        <f>AND('Reporting '!#REF!,"AAAAAAKJ3W4=")</f>
        <v>#REF!</v>
      </c>
      <c r="DH225" t="e">
        <f>AND('Reporting '!#REF!,"AAAAAAKJ3W8=")</f>
        <v>#REF!</v>
      </c>
      <c r="DI225" t="e">
        <f>AND('Reporting '!#REF!,"AAAAAAKJ3XA=")</f>
        <v>#REF!</v>
      </c>
      <c r="DJ225" t="e">
        <f>AND('Reporting '!#REF!,"AAAAAAKJ3XE=")</f>
        <v>#REF!</v>
      </c>
      <c r="DK225" t="e">
        <f>AND('Reporting '!#REF!,"AAAAAAKJ3XI=")</f>
        <v>#REF!</v>
      </c>
      <c r="DL225" t="e">
        <f>AND('Reporting '!#REF!,"AAAAAAKJ3XM=")</f>
        <v>#REF!</v>
      </c>
      <c r="DM225" t="e">
        <f>AND('Reporting '!#REF!,"AAAAAAKJ3XQ=")</f>
        <v>#REF!</v>
      </c>
      <c r="DN225" t="e">
        <f>IF('Reporting '!#REF!,"AAAAAAKJ3XU=",0)</f>
        <v>#REF!</v>
      </c>
      <c r="DO225" t="e">
        <f>AND('Reporting '!#REF!,"AAAAAAKJ3XY=")</f>
        <v>#REF!</v>
      </c>
      <c r="DP225" t="e">
        <f>AND('Reporting '!#REF!,"AAAAAAKJ3Xc=")</f>
        <v>#REF!</v>
      </c>
      <c r="DQ225" t="e">
        <f>AND('Reporting '!#REF!,"AAAAAAKJ3Xg=")</f>
        <v>#REF!</v>
      </c>
      <c r="DR225" t="e">
        <f>AND('Reporting '!#REF!,"AAAAAAKJ3Xk=")</f>
        <v>#REF!</v>
      </c>
      <c r="DS225" t="e">
        <f>AND('Reporting '!#REF!,"AAAAAAKJ3Xo=")</f>
        <v>#REF!</v>
      </c>
      <c r="DT225" t="e">
        <f>AND('Reporting '!#REF!,"AAAAAAKJ3Xs=")</f>
        <v>#REF!</v>
      </c>
      <c r="DU225" t="e">
        <f>AND('Reporting '!#REF!,"AAAAAAKJ3Xw=")</f>
        <v>#REF!</v>
      </c>
      <c r="DV225" t="e">
        <f>AND('Reporting '!#REF!,"AAAAAAKJ3X0=")</f>
        <v>#REF!</v>
      </c>
      <c r="DW225" t="e">
        <f>AND('Reporting '!#REF!,"AAAAAAKJ3X4=")</f>
        <v>#REF!</v>
      </c>
      <c r="DX225" t="e">
        <f>AND('Reporting '!#REF!,"AAAAAAKJ3X8=")</f>
        <v>#REF!</v>
      </c>
      <c r="DY225" t="e">
        <f>AND('Reporting '!#REF!,"AAAAAAKJ3YA=")</f>
        <v>#REF!</v>
      </c>
      <c r="DZ225" t="e">
        <f>AND('Reporting '!#REF!,"AAAAAAKJ3YE=")</f>
        <v>#REF!</v>
      </c>
      <c r="EA225" t="e">
        <f>AND('Reporting '!#REF!,"AAAAAAKJ3YI=")</f>
        <v>#REF!</v>
      </c>
      <c r="EB225" t="e">
        <f>AND('Reporting '!#REF!,"AAAAAAKJ3YM=")</f>
        <v>#REF!</v>
      </c>
      <c r="EC225" t="e">
        <f>IF('Reporting '!#REF!,"AAAAAAKJ3YQ=",0)</f>
        <v>#REF!</v>
      </c>
      <c r="ED225" t="e">
        <f>AND('Reporting '!#REF!,"AAAAAAKJ3YU=")</f>
        <v>#REF!</v>
      </c>
      <c r="EE225" t="e">
        <f>AND('Reporting '!#REF!,"AAAAAAKJ3YY=")</f>
        <v>#REF!</v>
      </c>
      <c r="EF225" t="e">
        <f>AND('Reporting '!#REF!,"AAAAAAKJ3Yc=")</f>
        <v>#REF!</v>
      </c>
      <c r="EG225" t="e">
        <f>AND('Reporting '!#REF!,"AAAAAAKJ3Yg=")</f>
        <v>#REF!</v>
      </c>
      <c r="EH225" t="e">
        <f>AND('Reporting '!#REF!,"AAAAAAKJ3Yk=")</f>
        <v>#REF!</v>
      </c>
      <c r="EI225" t="e">
        <f>AND('Reporting '!#REF!,"AAAAAAKJ3Yo=")</f>
        <v>#REF!</v>
      </c>
      <c r="EJ225" t="e">
        <f>AND('Reporting '!#REF!,"AAAAAAKJ3Ys=")</f>
        <v>#REF!</v>
      </c>
      <c r="EK225" t="e">
        <f>AND('Reporting '!#REF!,"AAAAAAKJ3Yw=")</f>
        <v>#REF!</v>
      </c>
      <c r="EL225" t="e">
        <f>AND('Reporting '!#REF!,"AAAAAAKJ3Y0=")</f>
        <v>#REF!</v>
      </c>
      <c r="EM225" t="e">
        <f>AND('Reporting '!#REF!,"AAAAAAKJ3Y4=")</f>
        <v>#REF!</v>
      </c>
      <c r="EN225" t="e">
        <f>AND('Reporting '!#REF!,"AAAAAAKJ3Y8=")</f>
        <v>#REF!</v>
      </c>
      <c r="EO225" t="e">
        <f>AND('Reporting '!#REF!,"AAAAAAKJ3ZA=")</f>
        <v>#REF!</v>
      </c>
      <c r="EP225" t="e">
        <f>AND('Reporting '!#REF!,"AAAAAAKJ3ZE=")</f>
        <v>#REF!</v>
      </c>
      <c r="EQ225" t="e">
        <f>AND('Reporting '!#REF!,"AAAAAAKJ3ZI=")</f>
        <v>#REF!</v>
      </c>
      <c r="ER225" t="e">
        <f>IF('Reporting '!#REF!,"AAAAAAKJ3ZM=",0)</f>
        <v>#REF!</v>
      </c>
      <c r="ES225" t="e">
        <f>AND('Reporting '!#REF!,"AAAAAAKJ3ZQ=")</f>
        <v>#REF!</v>
      </c>
      <c r="ET225" t="e">
        <f>AND('Reporting '!#REF!,"AAAAAAKJ3ZU=")</f>
        <v>#REF!</v>
      </c>
      <c r="EU225" t="e">
        <f>AND('Reporting '!#REF!,"AAAAAAKJ3ZY=")</f>
        <v>#REF!</v>
      </c>
      <c r="EV225" t="e">
        <f>AND('Reporting '!#REF!,"AAAAAAKJ3Zc=")</f>
        <v>#REF!</v>
      </c>
      <c r="EW225" t="e">
        <f>AND('Reporting '!#REF!,"AAAAAAKJ3Zg=")</f>
        <v>#REF!</v>
      </c>
      <c r="EX225" t="e">
        <f>AND('Reporting '!#REF!,"AAAAAAKJ3Zk=")</f>
        <v>#REF!</v>
      </c>
      <c r="EY225" t="e">
        <f>AND('Reporting '!#REF!,"AAAAAAKJ3Zo=")</f>
        <v>#REF!</v>
      </c>
      <c r="EZ225" t="e">
        <f>AND('Reporting '!#REF!,"AAAAAAKJ3Zs=")</f>
        <v>#REF!</v>
      </c>
      <c r="FA225" t="e">
        <f>AND('Reporting '!#REF!,"AAAAAAKJ3Zw=")</f>
        <v>#REF!</v>
      </c>
      <c r="FB225" t="e">
        <f>AND('Reporting '!#REF!,"AAAAAAKJ3Z0=")</f>
        <v>#REF!</v>
      </c>
      <c r="FC225" t="e">
        <f>AND('Reporting '!#REF!,"AAAAAAKJ3Z4=")</f>
        <v>#REF!</v>
      </c>
      <c r="FD225" t="e">
        <f>AND('Reporting '!#REF!,"AAAAAAKJ3Z8=")</f>
        <v>#REF!</v>
      </c>
      <c r="FE225" t="e">
        <f>AND('Reporting '!#REF!,"AAAAAAKJ3aA=")</f>
        <v>#REF!</v>
      </c>
      <c r="FF225" t="e">
        <f>AND('Reporting '!#REF!,"AAAAAAKJ3aE=")</f>
        <v>#REF!</v>
      </c>
      <c r="FG225" t="e">
        <f>IF('Reporting '!#REF!,"AAAAAAKJ3aI=",0)</f>
        <v>#REF!</v>
      </c>
      <c r="FH225" t="e">
        <f>AND('Reporting '!#REF!,"AAAAAAKJ3aM=")</f>
        <v>#REF!</v>
      </c>
      <c r="FI225" t="e">
        <f>AND('Reporting '!#REF!,"AAAAAAKJ3aQ=")</f>
        <v>#REF!</v>
      </c>
      <c r="FJ225" t="e">
        <f>AND('Reporting '!#REF!,"AAAAAAKJ3aU=")</f>
        <v>#REF!</v>
      </c>
      <c r="FK225" t="e">
        <f>AND('Reporting '!#REF!,"AAAAAAKJ3aY=")</f>
        <v>#REF!</v>
      </c>
      <c r="FL225" t="e">
        <f>AND('Reporting '!#REF!,"AAAAAAKJ3ac=")</f>
        <v>#REF!</v>
      </c>
      <c r="FM225" t="e">
        <f>AND('Reporting '!#REF!,"AAAAAAKJ3ag=")</f>
        <v>#REF!</v>
      </c>
      <c r="FN225" t="e">
        <f>AND('Reporting '!#REF!,"AAAAAAKJ3ak=")</f>
        <v>#REF!</v>
      </c>
      <c r="FO225" t="e">
        <f>AND('Reporting '!#REF!,"AAAAAAKJ3ao=")</f>
        <v>#REF!</v>
      </c>
      <c r="FP225" t="e">
        <f>AND('Reporting '!#REF!,"AAAAAAKJ3as=")</f>
        <v>#REF!</v>
      </c>
      <c r="FQ225" t="e">
        <f>AND('Reporting '!#REF!,"AAAAAAKJ3aw=")</f>
        <v>#REF!</v>
      </c>
      <c r="FR225" t="e">
        <f>AND('Reporting '!#REF!,"AAAAAAKJ3a0=")</f>
        <v>#REF!</v>
      </c>
      <c r="FS225" t="e">
        <f>AND('Reporting '!#REF!,"AAAAAAKJ3a4=")</f>
        <v>#REF!</v>
      </c>
      <c r="FT225" t="e">
        <f>AND('Reporting '!#REF!,"AAAAAAKJ3a8=")</f>
        <v>#REF!</v>
      </c>
      <c r="FU225" t="e">
        <f>AND('Reporting '!#REF!,"AAAAAAKJ3bA=")</f>
        <v>#REF!</v>
      </c>
      <c r="FV225" t="e">
        <f>IF('Reporting '!#REF!,"AAAAAAKJ3bE=",0)</f>
        <v>#REF!</v>
      </c>
      <c r="FW225" t="e">
        <f>AND('Reporting '!#REF!,"AAAAAAKJ3bI=")</f>
        <v>#REF!</v>
      </c>
      <c r="FX225" t="e">
        <f>AND('Reporting '!#REF!,"AAAAAAKJ3bM=")</f>
        <v>#REF!</v>
      </c>
      <c r="FY225" t="e">
        <f>AND('Reporting '!#REF!,"AAAAAAKJ3bQ=")</f>
        <v>#REF!</v>
      </c>
      <c r="FZ225" t="e">
        <f>AND('Reporting '!#REF!,"AAAAAAKJ3bU=")</f>
        <v>#REF!</v>
      </c>
      <c r="GA225" t="e">
        <f>AND('Reporting '!#REF!,"AAAAAAKJ3bY=")</f>
        <v>#REF!</v>
      </c>
      <c r="GB225" t="e">
        <f>AND('Reporting '!#REF!,"AAAAAAKJ3bc=")</f>
        <v>#REF!</v>
      </c>
      <c r="GC225" t="e">
        <f>AND('Reporting '!#REF!,"AAAAAAKJ3bg=")</f>
        <v>#REF!</v>
      </c>
      <c r="GD225" t="e">
        <f>AND('Reporting '!#REF!,"AAAAAAKJ3bk=")</f>
        <v>#REF!</v>
      </c>
      <c r="GE225" t="e">
        <f>AND('Reporting '!#REF!,"AAAAAAKJ3bo=")</f>
        <v>#REF!</v>
      </c>
      <c r="GF225" t="e">
        <f>AND('Reporting '!#REF!,"AAAAAAKJ3bs=")</f>
        <v>#REF!</v>
      </c>
      <c r="GG225" t="e">
        <f>AND('Reporting '!#REF!,"AAAAAAKJ3bw=")</f>
        <v>#REF!</v>
      </c>
      <c r="GH225" t="e">
        <f>AND('Reporting '!#REF!,"AAAAAAKJ3b0=")</f>
        <v>#REF!</v>
      </c>
      <c r="GI225" t="e">
        <f>AND('Reporting '!#REF!,"AAAAAAKJ3b4=")</f>
        <v>#REF!</v>
      </c>
      <c r="GJ225" t="e">
        <f>AND('Reporting '!#REF!,"AAAAAAKJ3b8=")</f>
        <v>#REF!</v>
      </c>
      <c r="GK225" t="e">
        <f>IF('Reporting '!#REF!,"AAAAAAKJ3cA=",0)</f>
        <v>#REF!</v>
      </c>
      <c r="GL225" t="e">
        <f>AND('Reporting '!#REF!,"AAAAAAKJ3cE=")</f>
        <v>#REF!</v>
      </c>
      <c r="GM225" t="e">
        <f>AND('Reporting '!#REF!,"AAAAAAKJ3cI=")</f>
        <v>#REF!</v>
      </c>
      <c r="GN225" t="e">
        <f>AND('Reporting '!#REF!,"AAAAAAKJ3cM=")</f>
        <v>#REF!</v>
      </c>
      <c r="GO225" t="e">
        <f>AND('Reporting '!#REF!,"AAAAAAKJ3cQ=")</f>
        <v>#REF!</v>
      </c>
      <c r="GP225" t="e">
        <f>AND('Reporting '!#REF!,"AAAAAAKJ3cU=")</f>
        <v>#REF!</v>
      </c>
      <c r="GQ225" t="e">
        <f>AND('Reporting '!#REF!,"AAAAAAKJ3cY=")</f>
        <v>#REF!</v>
      </c>
      <c r="GR225" t="e">
        <f>AND('Reporting '!#REF!,"AAAAAAKJ3cc=")</f>
        <v>#REF!</v>
      </c>
      <c r="GS225" t="e">
        <f>AND('Reporting '!#REF!,"AAAAAAKJ3cg=")</f>
        <v>#REF!</v>
      </c>
      <c r="GT225" t="e">
        <f>AND('Reporting '!#REF!,"AAAAAAKJ3ck=")</f>
        <v>#REF!</v>
      </c>
      <c r="GU225" t="e">
        <f>AND('Reporting '!#REF!,"AAAAAAKJ3co=")</f>
        <v>#REF!</v>
      </c>
      <c r="GV225" t="e">
        <f>AND('Reporting '!#REF!,"AAAAAAKJ3cs=")</f>
        <v>#REF!</v>
      </c>
      <c r="GW225" t="e">
        <f>AND('Reporting '!#REF!,"AAAAAAKJ3cw=")</f>
        <v>#REF!</v>
      </c>
      <c r="GX225" t="e">
        <f>AND('Reporting '!#REF!,"AAAAAAKJ3c0=")</f>
        <v>#REF!</v>
      </c>
      <c r="GY225" t="e">
        <f>AND('Reporting '!#REF!,"AAAAAAKJ3c4=")</f>
        <v>#REF!</v>
      </c>
      <c r="GZ225" t="e">
        <f>IF('Reporting '!#REF!,"AAAAAAKJ3c8=",0)</f>
        <v>#REF!</v>
      </c>
      <c r="HA225" t="e">
        <f>AND('Reporting '!#REF!,"AAAAAAKJ3dA=")</f>
        <v>#REF!</v>
      </c>
      <c r="HB225" t="e">
        <f>AND('Reporting '!#REF!,"AAAAAAKJ3dE=")</f>
        <v>#REF!</v>
      </c>
      <c r="HC225" t="e">
        <f>AND('Reporting '!#REF!,"AAAAAAKJ3dI=")</f>
        <v>#REF!</v>
      </c>
      <c r="HD225" t="e">
        <f>AND('Reporting '!#REF!,"AAAAAAKJ3dM=")</f>
        <v>#REF!</v>
      </c>
      <c r="HE225" t="e">
        <f>AND('Reporting '!#REF!,"AAAAAAKJ3dQ=")</f>
        <v>#REF!</v>
      </c>
      <c r="HF225" t="e">
        <f>AND('Reporting '!#REF!,"AAAAAAKJ3dU=")</f>
        <v>#REF!</v>
      </c>
      <c r="HG225" t="e">
        <f>AND('Reporting '!#REF!,"AAAAAAKJ3dY=")</f>
        <v>#REF!</v>
      </c>
      <c r="HH225" t="e">
        <f>AND('Reporting '!#REF!,"AAAAAAKJ3dc=")</f>
        <v>#REF!</v>
      </c>
      <c r="HI225" t="e">
        <f>AND('Reporting '!#REF!,"AAAAAAKJ3dg=")</f>
        <v>#REF!</v>
      </c>
      <c r="HJ225" t="e">
        <f>AND('Reporting '!#REF!,"AAAAAAKJ3dk=")</f>
        <v>#REF!</v>
      </c>
      <c r="HK225" t="e">
        <f>AND('Reporting '!#REF!,"AAAAAAKJ3do=")</f>
        <v>#REF!</v>
      </c>
      <c r="HL225" t="e">
        <f>AND('Reporting '!#REF!,"AAAAAAKJ3ds=")</f>
        <v>#REF!</v>
      </c>
      <c r="HM225" t="e">
        <f>AND('Reporting '!#REF!,"AAAAAAKJ3dw=")</f>
        <v>#REF!</v>
      </c>
      <c r="HN225" t="e">
        <f>AND('Reporting '!#REF!,"AAAAAAKJ3d0=")</f>
        <v>#REF!</v>
      </c>
      <c r="HO225" t="e">
        <f>IF('Reporting '!#REF!,"AAAAAAKJ3d4=",0)</f>
        <v>#REF!</v>
      </c>
      <c r="HP225" t="e">
        <f>AND('Reporting '!#REF!,"AAAAAAKJ3d8=")</f>
        <v>#REF!</v>
      </c>
      <c r="HQ225" t="e">
        <f>AND('Reporting '!#REF!,"AAAAAAKJ3eA=")</f>
        <v>#REF!</v>
      </c>
      <c r="HR225" t="e">
        <f>AND('Reporting '!#REF!,"AAAAAAKJ3eE=")</f>
        <v>#REF!</v>
      </c>
      <c r="HS225" t="e">
        <f>AND('Reporting '!#REF!,"AAAAAAKJ3eI=")</f>
        <v>#REF!</v>
      </c>
      <c r="HT225" t="e">
        <f>AND('Reporting '!#REF!,"AAAAAAKJ3eM=")</f>
        <v>#REF!</v>
      </c>
      <c r="HU225" t="e">
        <f>AND('Reporting '!#REF!,"AAAAAAKJ3eQ=")</f>
        <v>#REF!</v>
      </c>
      <c r="HV225" t="e">
        <f>AND('Reporting '!#REF!,"AAAAAAKJ3eU=")</f>
        <v>#REF!</v>
      </c>
      <c r="HW225" t="e">
        <f>AND('Reporting '!#REF!,"AAAAAAKJ3eY=")</f>
        <v>#REF!</v>
      </c>
      <c r="HX225" t="e">
        <f>AND('Reporting '!#REF!,"AAAAAAKJ3ec=")</f>
        <v>#REF!</v>
      </c>
      <c r="HY225" t="e">
        <f>AND('Reporting '!#REF!,"AAAAAAKJ3eg=")</f>
        <v>#REF!</v>
      </c>
      <c r="HZ225" t="e">
        <f>AND('Reporting '!#REF!,"AAAAAAKJ3ek=")</f>
        <v>#REF!</v>
      </c>
      <c r="IA225" t="e">
        <f>AND('Reporting '!#REF!,"AAAAAAKJ3eo=")</f>
        <v>#REF!</v>
      </c>
      <c r="IB225" t="e">
        <f>AND('Reporting '!#REF!,"AAAAAAKJ3es=")</f>
        <v>#REF!</v>
      </c>
      <c r="IC225" t="e">
        <f>AND('Reporting '!#REF!,"AAAAAAKJ3ew=")</f>
        <v>#REF!</v>
      </c>
      <c r="ID225" t="e">
        <f>IF('Reporting '!#REF!,"AAAAAAKJ3e0=",0)</f>
        <v>#REF!</v>
      </c>
      <c r="IE225" t="e">
        <f>AND('Reporting '!#REF!,"AAAAAAKJ3e4=")</f>
        <v>#REF!</v>
      </c>
      <c r="IF225" t="e">
        <f>AND('Reporting '!#REF!,"AAAAAAKJ3e8=")</f>
        <v>#REF!</v>
      </c>
      <c r="IG225" t="e">
        <f>AND('Reporting '!#REF!,"AAAAAAKJ3fA=")</f>
        <v>#REF!</v>
      </c>
      <c r="IH225" t="e">
        <f>AND('Reporting '!#REF!,"AAAAAAKJ3fE=")</f>
        <v>#REF!</v>
      </c>
      <c r="II225" t="e">
        <f>AND('Reporting '!#REF!,"AAAAAAKJ3fI=")</f>
        <v>#REF!</v>
      </c>
      <c r="IJ225" t="e">
        <f>AND('Reporting '!#REF!,"AAAAAAKJ3fM=")</f>
        <v>#REF!</v>
      </c>
      <c r="IK225" t="e">
        <f>AND('Reporting '!#REF!,"AAAAAAKJ3fQ=")</f>
        <v>#REF!</v>
      </c>
      <c r="IL225" t="e">
        <f>AND('Reporting '!#REF!,"AAAAAAKJ3fU=")</f>
        <v>#REF!</v>
      </c>
      <c r="IM225" t="e">
        <f>AND('Reporting '!#REF!,"AAAAAAKJ3fY=")</f>
        <v>#REF!</v>
      </c>
      <c r="IN225" t="e">
        <f>AND('Reporting '!#REF!,"AAAAAAKJ3fc=")</f>
        <v>#REF!</v>
      </c>
      <c r="IO225" t="e">
        <f>AND('Reporting '!#REF!,"AAAAAAKJ3fg=")</f>
        <v>#REF!</v>
      </c>
      <c r="IP225" t="e">
        <f>AND('Reporting '!#REF!,"AAAAAAKJ3fk=")</f>
        <v>#REF!</v>
      </c>
      <c r="IQ225" t="e">
        <f>AND('Reporting '!#REF!,"AAAAAAKJ3fo=")</f>
        <v>#REF!</v>
      </c>
      <c r="IR225" t="e">
        <f>AND('Reporting '!#REF!,"AAAAAAKJ3fs=")</f>
        <v>#REF!</v>
      </c>
      <c r="IS225" t="e">
        <f>IF('Reporting '!#REF!,"AAAAAAKJ3fw=",0)</f>
        <v>#REF!</v>
      </c>
      <c r="IT225" t="e">
        <f>AND('Reporting '!#REF!,"AAAAAAKJ3f0=")</f>
        <v>#REF!</v>
      </c>
      <c r="IU225" t="e">
        <f>AND('Reporting '!#REF!,"AAAAAAKJ3f4=")</f>
        <v>#REF!</v>
      </c>
      <c r="IV225" t="e">
        <f>AND('Reporting '!#REF!,"AAAAAAKJ3f8=")</f>
        <v>#REF!</v>
      </c>
    </row>
    <row r="226" spans="1:256" x14ac:dyDescent="0.2">
      <c r="A226" t="e">
        <f>AND('Reporting '!#REF!,"AAAAADf9/wA=")</f>
        <v>#REF!</v>
      </c>
      <c r="B226" t="e">
        <f>AND('Reporting '!#REF!,"AAAAADf9/wE=")</f>
        <v>#REF!</v>
      </c>
      <c r="C226" t="e">
        <f>AND('Reporting '!#REF!,"AAAAADf9/wI=")</f>
        <v>#REF!</v>
      </c>
      <c r="D226" t="e">
        <f>AND('Reporting '!#REF!,"AAAAADf9/wM=")</f>
        <v>#REF!</v>
      </c>
      <c r="E226" t="e">
        <f>AND('Reporting '!#REF!,"AAAAADf9/wQ=")</f>
        <v>#REF!</v>
      </c>
      <c r="F226" t="e">
        <f>AND('Reporting '!#REF!,"AAAAADf9/wU=")</f>
        <v>#REF!</v>
      </c>
      <c r="G226" t="e">
        <f>AND('Reporting '!#REF!,"AAAAADf9/wY=")</f>
        <v>#REF!</v>
      </c>
      <c r="H226" t="e">
        <f>AND('Reporting '!#REF!,"AAAAADf9/wc=")</f>
        <v>#REF!</v>
      </c>
      <c r="I226" t="e">
        <f>AND('Reporting '!#REF!,"AAAAADf9/wg=")</f>
        <v>#REF!</v>
      </c>
      <c r="J226" t="e">
        <f>AND('Reporting '!#REF!,"AAAAADf9/wk=")</f>
        <v>#REF!</v>
      </c>
      <c r="K226" t="e">
        <f>AND('Reporting '!#REF!,"AAAAADf9/wo=")</f>
        <v>#REF!</v>
      </c>
      <c r="L226" t="e">
        <f>IF('Reporting '!#REF!,"AAAAADf9/ws=",0)</f>
        <v>#REF!</v>
      </c>
      <c r="M226" t="e">
        <f>AND('Reporting '!#REF!,"AAAAADf9/ww=")</f>
        <v>#REF!</v>
      </c>
      <c r="N226" t="e">
        <f>AND('Reporting '!#REF!,"AAAAADf9/w0=")</f>
        <v>#REF!</v>
      </c>
      <c r="O226" t="e">
        <f>AND('Reporting '!#REF!,"AAAAADf9/w4=")</f>
        <v>#REF!</v>
      </c>
      <c r="P226" t="e">
        <f>AND('Reporting '!#REF!,"AAAAADf9/w8=")</f>
        <v>#REF!</v>
      </c>
      <c r="Q226" t="e">
        <f>AND('Reporting '!#REF!,"AAAAADf9/xA=")</f>
        <v>#REF!</v>
      </c>
      <c r="R226" t="e">
        <f>AND('Reporting '!#REF!,"AAAAADf9/xE=")</f>
        <v>#REF!</v>
      </c>
      <c r="S226" t="e">
        <f>AND('Reporting '!#REF!,"AAAAADf9/xI=")</f>
        <v>#REF!</v>
      </c>
      <c r="T226" t="e">
        <f>AND('Reporting '!#REF!,"AAAAADf9/xM=")</f>
        <v>#REF!</v>
      </c>
      <c r="U226" t="e">
        <f>AND('Reporting '!#REF!,"AAAAADf9/xQ=")</f>
        <v>#REF!</v>
      </c>
      <c r="V226" t="e">
        <f>AND('Reporting '!#REF!,"AAAAADf9/xU=")</f>
        <v>#REF!</v>
      </c>
      <c r="W226" t="e">
        <f>AND('Reporting '!#REF!,"AAAAADf9/xY=")</f>
        <v>#REF!</v>
      </c>
      <c r="X226" t="e">
        <f>AND('Reporting '!#REF!,"AAAAADf9/xc=")</f>
        <v>#REF!</v>
      </c>
      <c r="Y226" t="e">
        <f>AND('Reporting '!#REF!,"AAAAADf9/xg=")</f>
        <v>#REF!</v>
      </c>
      <c r="Z226" t="e">
        <f>AND('Reporting '!#REF!,"AAAAADf9/xk=")</f>
        <v>#REF!</v>
      </c>
      <c r="AA226" t="e">
        <f>IF('Reporting '!#REF!,"AAAAADf9/xo=",0)</f>
        <v>#REF!</v>
      </c>
      <c r="AB226" t="e">
        <f>AND('Reporting '!#REF!,"AAAAADf9/xs=")</f>
        <v>#REF!</v>
      </c>
      <c r="AC226" t="e">
        <f>AND('Reporting '!#REF!,"AAAAADf9/xw=")</f>
        <v>#REF!</v>
      </c>
      <c r="AD226" t="e">
        <f>AND('Reporting '!#REF!,"AAAAADf9/x0=")</f>
        <v>#REF!</v>
      </c>
      <c r="AE226" t="e">
        <f>AND('Reporting '!#REF!,"AAAAADf9/x4=")</f>
        <v>#REF!</v>
      </c>
      <c r="AF226" t="e">
        <f>AND('Reporting '!#REF!,"AAAAADf9/x8=")</f>
        <v>#REF!</v>
      </c>
      <c r="AG226" t="e">
        <f>AND('Reporting '!#REF!,"AAAAADf9/yA=")</f>
        <v>#REF!</v>
      </c>
      <c r="AH226" t="e">
        <f>AND('Reporting '!#REF!,"AAAAADf9/yE=")</f>
        <v>#REF!</v>
      </c>
      <c r="AI226" t="e">
        <f>AND('Reporting '!#REF!,"AAAAADf9/yI=")</f>
        <v>#REF!</v>
      </c>
      <c r="AJ226" t="e">
        <f>AND('Reporting '!#REF!,"AAAAADf9/yM=")</f>
        <v>#REF!</v>
      </c>
      <c r="AK226" t="e">
        <f>AND('Reporting '!#REF!,"AAAAADf9/yQ=")</f>
        <v>#REF!</v>
      </c>
      <c r="AL226" t="e">
        <f>AND('Reporting '!#REF!,"AAAAADf9/yU=")</f>
        <v>#REF!</v>
      </c>
      <c r="AM226" t="e">
        <f>AND('Reporting '!#REF!,"AAAAADf9/yY=")</f>
        <v>#REF!</v>
      </c>
      <c r="AN226" t="e">
        <f>AND('Reporting '!#REF!,"AAAAADf9/yc=")</f>
        <v>#REF!</v>
      </c>
      <c r="AO226" t="e">
        <f>AND('Reporting '!#REF!,"AAAAADf9/yg=")</f>
        <v>#REF!</v>
      </c>
      <c r="AP226" t="e">
        <f>IF('Reporting '!#REF!,"AAAAADf9/yk=",0)</f>
        <v>#REF!</v>
      </c>
      <c r="AQ226" t="e">
        <f>AND('Reporting '!#REF!,"AAAAADf9/yo=")</f>
        <v>#REF!</v>
      </c>
      <c r="AR226" t="e">
        <f>AND('Reporting '!#REF!,"AAAAADf9/ys=")</f>
        <v>#REF!</v>
      </c>
      <c r="AS226" t="e">
        <f>AND('Reporting '!#REF!,"AAAAADf9/yw=")</f>
        <v>#REF!</v>
      </c>
      <c r="AT226" t="e">
        <f>AND('Reporting '!#REF!,"AAAAADf9/y0=")</f>
        <v>#REF!</v>
      </c>
      <c r="AU226" t="e">
        <f>AND('Reporting '!#REF!,"AAAAADf9/y4=")</f>
        <v>#REF!</v>
      </c>
      <c r="AV226" t="e">
        <f>AND('Reporting '!#REF!,"AAAAADf9/y8=")</f>
        <v>#REF!</v>
      </c>
      <c r="AW226" t="e">
        <f>AND('Reporting '!#REF!,"AAAAADf9/zA=")</f>
        <v>#REF!</v>
      </c>
      <c r="AX226" t="e">
        <f>AND('Reporting '!#REF!,"AAAAADf9/zE=")</f>
        <v>#REF!</v>
      </c>
      <c r="AY226" t="e">
        <f>AND('Reporting '!#REF!,"AAAAADf9/zI=")</f>
        <v>#REF!</v>
      </c>
      <c r="AZ226" t="e">
        <f>AND('Reporting '!#REF!,"AAAAADf9/zM=")</f>
        <v>#REF!</v>
      </c>
      <c r="BA226" t="e">
        <f>AND('Reporting '!#REF!,"AAAAADf9/zQ=")</f>
        <v>#REF!</v>
      </c>
      <c r="BB226" t="e">
        <f>AND('Reporting '!#REF!,"AAAAADf9/zU=")</f>
        <v>#REF!</v>
      </c>
      <c r="BC226" t="e">
        <f>AND('Reporting '!#REF!,"AAAAADf9/zY=")</f>
        <v>#REF!</v>
      </c>
      <c r="BD226" t="e">
        <f>AND('Reporting '!#REF!,"AAAAADf9/zc=")</f>
        <v>#REF!</v>
      </c>
      <c r="BE226" t="e">
        <f>IF('Reporting '!#REF!,"AAAAADf9/zg=",0)</f>
        <v>#REF!</v>
      </c>
      <c r="BF226" t="e">
        <f>AND('Reporting '!#REF!,"AAAAADf9/zk=")</f>
        <v>#REF!</v>
      </c>
      <c r="BG226" t="e">
        <f>AND('Reporting '!#REF!,"AAAAADf9/zo=")</f>
        <v>#REF!</v>
      </c>
      <c r="BH226" t="e">
        <f>AND('Reporting '!#REF!,"AAAAADf9/zs=")</f>
        <v>#REF!</v>
      </c>
      <c r="BI226" t="e">
        <f>AND('Reporting '!#REF!,"AAAAADf9/zw=")</f>
        <v>#REF!</v>
      </c>
      <c r="BJ226" t="e">
        <f>AND('Reporting '!#REF!,"AAAAADf9/z0=")</f>
        <v>#REF!</v>
      </c>
      <c r="BK226" t="e">
        <f>AND('Reporting '!#REF!,"AAAAADf9/z4=")</f>
        <v>#REF!</v>
      </c>
      <c r="BL226" t="e">
        <f>AND('Reporting '!#REF!,"AAAAADf9/z8=")</f>
        <v>#REF!</v>
      </c>
      <c r="BM226" t="e">
        <f>AND('Reporting '!#REF!,"AAAAADf9/0A=")</f>
        <v>#REF!</v>
      </c>
      <c r="BN226" t="e">
        <f>AND('Reporting '!#REF!,"AAAAADf9/0E=")</f>
        <v>#REF!</v>
      </c>
      <c r="BO226" t="e">
        <f>AND('Reporting '!#REF!,"AAAAADf9/0I=")</f>
        <v>#REF!</v>
      </c>
      <c r="BP226" t="e">
        <f>AND('Reporting '!#REF!,"AAAAADf9/0M=")</f>
        <v>#REF!</v>
      </c>
      <c r="BQ226" t="e">
        <f>AND('Reporting '!#REF!,"AAAAADf9/0Q=")</f>
        <v>#REF!</v>
      </c>
      <c r="BR226" t="e">
        <f>AND('Reporting '!#REF!,"AAAAADf9/0U=")</f>
        <v>#REF!</v>
      </c>
      <c r="BS226" t="e">
        <f>AND('Reporting '!#REF!,"AAAAADf9/0Y=")</f>
        <v>#REF!</v>
      </c>
      <c r="BT226" t="e">
        <f>IF('Reporting '!#REF!,"AAAAADf9/0c=",0)</f>
        <v>#REF!</v>
      </c>
      <c r="BU226" t="e">
        <f>AND('Reporting '!#REF!,"AAAAADf9/0g=")</f>
        <v>#REF!</v>
      </c>
      <c r="BV226" t="e">
        <f>AND('Reporting '!#REF!,"AAAAADf9/0k=")</f>
        <v>#REF!</v>
      </c>
      <c r="BW226" t="e">
        <f>AND('Reporting '!#REF!,"AAAAADf9/0o=")</f>
        <v>#REF!</v>
      </c>
      <c r="BX226" t="e">
        <f>AND('Reporting '!#REF!,"AAAAADf9/0s=")</f>
        <v>#REF!</v>
      </c>
      <c r="BY226" t="e">
        <f>AND('Reporting '!#REF!,"AAAAADf9/0w=")</f>
        <v>#REF!</v>
      </c>
      <c r="BZ226" t="e">
        <f>AND('Reporting '!#REF!,"AAAAADf9/00=")</f>
        <v>#REF!</v>
      </c>
      <c r="CA226" t="e">
        <f>AND('Reporting '!#REF!,"AAAAADf9/04=")</f>
        <v>#REF!</v>
      </c>
      <c r="CB226" t="e">
        <f>AND('Reporting '!#REF!,"AAAAADf9/08=")</f>
        <v>#REF!</v>
      </c>
      <c r="CC226" t="e">
        <f>AND('Reporting '!#REF!,"AAAAADf9/1A=")</f>
        <v>#REF!</v>
      </c>
      <c r="CD226" t="e">
        <f>AND('Reporting '!#REF!,"AAAAADf9/1E=")</f>
        <v>#REF!</v>
      </c>
      <c r="CE226" t="e">
        <f>AND('Reporting '!#REF!,"AAAAADf9/1I=")</f>
        <v>#REF!</v>
      </c>
      <c r="CF226" t="e">
        <f>AND('Reporting '!#REF!,"AAAAADf9/1M=")</f>
        <v>#REF!</v>
      </c>
      <c r="CG226" t="e">
        <f>AND('Reporting '!#REF!,"AAAAADf9/1Q=")</f>
        <v>#REF!</v>
      </c>
      <c r="CH226" t="e">
        <f>AND('Reporting '!#REF!,"AAAAADf9/1U=")</f>
        <v>#REF!</v>
      </c>
      <c r="CI226" t="e">
        <f>IF('Reporting '!#REF!,"AAAAADf9/1Y=",0)</f>
        <v>#REF!</v>
      </c>
      <c r="CJ226" t="e">
        <f>AND('Reporting '!#REF!,"AAAAADf9/1c=")</f>
        <v>#REF!</v>
      </c>
      <c r="CK226" t="e">
        <f>AND('Reporting '!#REF!,"AAAAADf9/1g=")</f>
        <v>#REF!</v>
      </c>
      <c r="CL226" t="e">
        <f>AND('Reporting '!#REF!,"AAAAADf9/1k=")</f>
        <v>#REF!</v>
      </c>
      <c r="CM226" t="e">
        <f>AND('Reporting '!#REF!,"AAAAADf9/1o=")</f>
        <v>#REF!</v>
      </c>
      <c r="CN226" t="e">
        <f>AND('Reporting '!#REF!,"AAAAADf9/1s=")</f>
        <v>#REF!</v>
      </c>
      <c r="CO226" t="e">
        <f>AND('Reporting '!#REF!,"AAAAADf9/1w=")</f>
        <v>#REF!</v>
      </c>
      <c r="CP226" t="e">
        <f>AND('Reporting '!#REF!,"AAAAADf9/10=")</f>
        <v>#REF!</v>
      </c>
      <c r="CQ226" t="e">
        <f>AND('Reporting '!#REF!,"AAAAADf9/14=")</f>
        <v>#REF!</v>
      </c>
      <c r="CR226" t="e">
        <f>AND('Reporting '!#REF!,"AAAAADf9/18=")</f>
        <v>#REF!</v>
      </c>
      <c r="CS226" t="e">
        <f>AND('Reporting '!#REF!,"AAAAADf9/2A=")</f>
        <v>#REF!</v>
      </c>
      <c r="CT226" t="e">
        <f>AND('Reporting '!#REF!,"AAAAADf9/2E=")</f>
        <v>#REF!</v>
      </c>
      <c r="CU226" t="e">
        <f>AND('Reporting '!#REF!,"AAAAADf9/2I=")</f>
        <v>#REF!</v>
      </c>
      <c r="CV226" t="e">
        <f>AND('Reporting '!#REF!,"AAAAADf9/2M=")</f>
        <v>#REF!</v>
      </c>
      <c r="CW226" t="e">
        <f>AND('Reporting '!#REF!,"AAAAADf9/2Q=")</f>
        <v>#REF!</v>
      </c>
      <c r="CX226" t="e">
        <f>IF('Reporting '!#REF!,"AAAAADf9/2U=",0)</f>
        <v>#REF!</v>
      </c>
      <c r="CY226" t="e">
        <f>AND('Reporting '!#REF!,"AAAAADf9/2Y=")</f>
        <v>#REF!</v>
      </c>
      <c r="CZ226" t="e">
        <f>AND('Reporting '!#REF!,"AAAAADf9/2c=")</f>
        <v>#REF!</v>
      </c>
      <c r="DA226" t="e">
        <f>AND('Reporting '!#REF!,"AAAAADf9/2g=")</f>
        <v>#REF!</v>
      </c>
      <c r="DB226" t="e">
        <f>AND('Reporting '!#REF!,"AAAAADf9/2k=")</f>
        <v>#REF!</v>
      </c>
      <c r="DC226" t="e">
        <f>AND('Reporting '!#REF!,"AAAAADf9/2o=")</f>
        <v>#REF!</v>
      </c>
      <c r="DD226" t="e">
        <f>AND('Reporting '!#REF!,"AAAAADf9/2s=")</f>
        <v>#REF!</v>
      </c>
      <c r="DE226" t="e">
        <f>AND('Reporting '!#REF!,"AAAAADf9/2w=")</f>
        <v>#REF!</v>
      </c>
      <c r="DF226" t="e">
        <f>AND('Reporting '!#REF!,"AAAAADf9/20=")</f>
        <v>#REF!</v>
      </c>
      <c r="DG226" t="e">
        <f>AND('Reporting '!#REF!,"AAAAADf9/24=")</f>
        <v>#REF!</v>
      </c>
      <c r="DH226" t="e">
        <f>AND('Reporting '!#REF!,"AAAAADf9/28=")</f>
        <v>#REF!</v>
      </c>
      <c r="DI226" t="e">
        <f>AND('Reporting '!#REF!,"AAAAADf9/3A=")</f>
        <v>#REF!</v>
      </c>
      <c r="DJ226" t="e">
        <f>AND('Reporting '!#REF!,"AAAAADf9/3E=")</f>
        <v>#REF!</v>
      </c>
      <c r="DK226" t="e">
        <f>AND('Reporting '!#REF!,"AAAAADf9/3I=")</f>
        <v>#REF!</v>
      </c>
      <c r="DL226" t="e">
        <f>AND('Reporting '!#REF!,"AAAAADf9/3M=")</f>
        <v>#REF!</v>
      </c>
      <c r="DM226" t="e">
        <f>IF('Reporting '!#REF!,"AAAAADf9/3Q=",0)</f>
        <v>#REF!</v>
      </c>
      <c r="DN226" t="e">
        <f>AND('Reporting '!#REF!,"AAAAADf9/3U=")</f>
        <v>#REF!</v>
      </c>
      <c r="DO226" t="e">
        <f>AND('Reporting '!#REF!,"AAAAADf9/3Y=")</f>
        <v>#REF!</v>
      </c>
      <c r="DP226" t="e">
        <f>AND('Reporting '!#REF!,"AAAAADf9/3c=")</f>
        <v>#REF!</v>
      </c>
      <c r="DQ226" t="e">
        <f>AND('Reporting '!#REF!,"AAAAADf9/3g=")</f>
        <v>#REF!</v>
      </c>
      <c r="DR226" t="e">
        <f>AND('Reporting '!#REF!,"AAAAADf9/3k=")</f>
        <v>#REF!</v>
      </c>
      <c r="DS226" t="e">
        <f>AND('Reporting '!#REF!,"AAAAADf9/3o=")</f>
        <v>#REF!</v>
      </c>
      <c r="DT226" t="e">
        <f>AND('Reporting '!#REF!,"AAAAADf9/3s=")</f>
        <v>#REF!</v>
      </c>
      <c r="DU226" t="e">
        <f>AND('Reporting '!#REF!,"AAAAADf9/3w=")</f>
        <v>#REF!</v>
      </c>
      <c r="DV226" t="e">
        <f>AND('Reporting '!#REF!,"AAAAADf9/30=")</f>
        <v>#REF!</v>
      </c>
      <c r="DW226" t="e">
        <f>AND('Reporting '!#REF!,"AAAAADf9/34=")</f>
        <v>#REF!</v>
      </c>
      <c r="DX226" t="e">
        <f>AND('Reporting '!#REF!,"AAAAADf9/38=")</f>
        <v>#REF!</v>
      </c>
      <c r="DY226" t="e">
        <f>AND('Reporting '!#REF!,"AAAAADf9/4A=")</f>
        <v>#REF!</v>
      </c>
      <c r="DZ226" t="e">
        <f>AND('Reporting '!#REF!,"AAAAADf9/4E=")</f>
        <v>#REF!</v>
      </c>
      <c r="EA226" t="e">
        <f>AND('Reporting '!#REF!,"AAAAADf9/4I=")</f>
        <v>#REF!</v>
      </c>
      <c r="EB226" t="e">
        <f>IF('Reporting '!#REF!,"AAAAADf9/4M=",0)</f>
        <v>#REF!</v>
      </c>
      <c r="EC226" t="e">
        <f>AND('Reporting '!#REF!,"AAAAADf9/4Q=")</f>
        <v>#REF!</v>
      </c>
      <c r="ED226" t="e">
        <f>AND('Reporting '!#REF!,"AAAAADf9/4U=")</f>
        <v>#REF!</v>
      </c>
      <c r="EE226" t="e">
        <f>AND('Reporting '!#REF!,"AAAAADf9/4Y=")</f>
        <v>#REF!</v>
      </c>
      <c r="EF226" t="e">
        <f>AND('Reporting '!#REF!,"AAAAADf9/4c=")</f>
        <v>#REF!</v>
      </c>
      <c r="EG226" t="e">
        <f>AND('Reporting '!#REF!,"AAAAADf9/4g=")</f>
        <v>#REF!</v>
      </c>
      <c r="EH226" t="e">
        <f>AND('Reporting '!#REF!,"AAAAADf9/4k=")</f>
        <v>#REF!</v>
      </c>
      <c r="EI226" t="e">
        <f>AND('Reporting '!#REF!,"AAAAADf9/4o=")</f>
        <v>#REF!</v>
      </c>
      <c r="EJ226" t="e">
        <f>AND('Reporting '!#REF!,"AAAAADf9/4s=")</f>
        <v>#REF!</v>
      </c>
      <c r="EK226" t="e">
        <f>AND('Reporting '!#REF!,"AAAAADf9/4w=")</f>
        <v>#REF!</v>
      </c>
      <c r="EL226" t="e">
        <f>AND('Reporting '!#REF!,"AAAAADf9/40=")</f>
        <v>#REF!</v>
      </c>
      <c r="EM226" t="e">
        <f>AND('Reporting '!#REF!,"AAAAADf9/44=")</f>
        <v>#REF!</v>
      </c>
      <c r="EN226" t="e">
        <f>AND('Reporting '!#REF!,"AAAAADf9/48=")</f>
        <v>#REF!</v>
      </c>
      <c r="EO226" t="e">
        <f>AND('Reporting '!#REF!,"AAAAADf9/5A=")</f>
        <v>#REF!</v>
      </c>
      <c r="EP226" t="e">
        <f>AND('Reporting '!#REF!,"AAAAADf9/5E=")</f>
        <v>#REF!</v>
      </c>
      <c r="EQ226" t="e">
        <f>IF('Reporting '!#REF!,"AAAAADf9/5I=",0)</f>
        <v>#REF!</v>
      </c>
      <c r="ER226" t="e">
        <f>AND('Reporting '!#REF!,"AAAAADf9/5M=")</f>
        <v>#REF!</v>
      </c>
      <c r="ES226" t="e">
        <f>AND('Reporting '!#REF!,"AAAAADf9/5Q=")</f>
        <v>#REF!</v>
      </c>
      <c r="ET226" t="e">
        <f>AND('Reporting '!#REF!,"AAAAADf9/5U=")</f>
        <v>#REF!</v>
      </c>
      <c r="EU226" t="e">
        <f>AND('Reporting '!#REF!,"AAAAADf9/5Y=")</f>
        <v>#REF!</v>
      </c>
      <c r="EV226" t="e">
        <f>AND('Reporting '!#REF!,"AAAAADf9/5c=")</f>
        <v>#REF!</v>
      </c>
      <c r="EW226" t="e">
        <f>AND('Reporting '!#REF!,"AAAAADf9/5g=")</f>
        <v>#REF!</v>
      </c>
      <c r="EX226" t="e">
        <f>AND('Reporting '!#REF!,"AAAAADf9/5k=")</f>
        <v>#REF!</v>
      </c>
      <c r="EY226" t="e">
        <f>AND('Reporting '!#REF!,"AAAAADf9/5o=")</f>
        <v>#REF!</v>
      </c>
      <c r="EZ226" t="e">
        <f>AND('Reporting '!#REF!,"AAAAADf9/5s=")</f>
        <v>#REF!</v>
      </c>
      <c r="FA226" t="e">
        <f>AND('Reporting '!#REF!,"AAAAADf9/5w=")</f>
        <v>#REF!</v>
      </c>
      <c r="FB226" t="e">
        <f>AND('Reporting '!#REF!,"AAAAADf9/50=")</f>
        <v>#REF!</v>
      </c>
      <c r="FC226" t="e">
        <f>AND('Reporting '!#REF!,"AAAAADf9/54=")</f>
        <v>#REF!</v>
      </c>
      <c r="FD226" t="e">
        <f>AND('Reporting '!#REF!,"AAAAADf9/58=")</f>
        <v>#REF!</v>
      </c>
      <c r="FE226" t="e">
        <f>AND('Reporting '!#REF!,"AAAAADf9/6A=")</f>
        <v>#REF!</v>
      </c>
      <c r="FF226" t="e">
        <f>IF('Reporting '!#REF!,"AAAAADf9/6E=",0)</f>
        <v>#REF!</v>
      </c>
      <c r="FG226" t="e">
        <f>AND('Reporting '!#REF!,"AAAAADf9/6I=")</f>
        <v>#REF!</v>
      </c>
      <c r="FH226" t="e">
        <f>AND('Reporting '!#REF!,"AAAAADf9/6M=")</f>
        <v>#REF!</v>
      </c>
      <c r="FI226" t="e">
        <f>AND('Reporting '!#REF!,"AAAAADf9/6Q=")</f>
        <v>#REF!</v>
      </c>
      <c r="FJ226" t="e">
        <f>AND('Reporting '!#REF!,"AAAAADf9/6U=")</f>
        <v>#REF!</v>
      </c>
      <c r="FK226" t="e">
        <f>AND('Reporting '!#REF!,"AAAAADf9/6Y=")</f>
        <v>#REF!</v>
      </c>
      <c r="FL226" t="e">
        <f>AND('Reporting '!#REF!,"AAAAADf9/6c=")</f>
        <v>#REF!</v>
      </c>
      <c r="FM226" t="e">
        <f>AND('Reporting '!#REF!,"AAAAADf9/6g=")</f>
        <v>#REF!</v>
      </c>
      <c r="FN226" t="e">
        <f>AND('Reporting '!#REF!,"AAAAADf9/6k=")</f>
        <v>#REF!</v>
      </c>
      <c r="FO226" t="e">
        <f>AND('Reporting '!#REF!,"AAAAADf9/6o=")</f>
        <v>#REF!</v>
      </c>
      <c r="FP226" t="e">
        <f>AND('Reporting '!#REF!,"AAAAADf9/6s=")</f>
        <v>#REF!</v>
      </c>
      <c r="FQ226" t="e">
        <f>AND('Reporting '!#REF!,"AAAAADf9/6w=")</f>
        <v>#REF!</v>
      </c>
      <c r="FR226" t="e">
        <f>AND('Reporting '!#REF!,"AAAAADf9/60=")</f>
        <v>#REF!</v>
      </c>
      <c r="FS226" t="e">
        <f>AND('Reporting '!#REF!,"AAAAADf9/64=")</f>
        <v>#REF!</v>
      </c>
      <c r="FT226" t="e">
        <f>AND('Reporting '!#REF!,"AAAAADf9/68=")</f>
        <v>#REF!</v>
      </c>
      <c r="FU226" t="e">
        <f>IF('Reporting '!#REF!,"AAAAADf9/7A=",0)</f>
        <v>#REF!</v>
      </c>
      <c r="FV226" t="e">
        <f>AND('Reporting '!#REF!,"AAAAADf9/7E=")</f>
        <v>#REF!</v>
      </c>
      <c r="FW226" t="e">
        <f>AND('Reporting '!#REF!,"AAAAADf9/7I=")</f>
        <v>#REF!</v>
      </c>
      <c r="FX226" t="e">
        <f>AND('Reporting '!#REF!,"AAAAADf9/7M=")</f>
        <v>#REF!</v>
      </c>
      <c r="FY226" t="e">
        <f>AND('Reporting '!#REF!,"AAAAADf9/7Q=")</f>
        <v>#REF!</v>
      </c>
      <c r="FZ226" t="e">
        <f>AND('Reporting '!#REF!,"AAAAADf9/7U=")</f>
        <v>#REF!</v>
      </c>
      <c r="GA226" t="e">
        <f>AND('Reporting '!#REF!,"AAAAADf9/7Y=")</f>
        <v>#REF!</v>
      </c>
      <c r="GB226" t="e">
        <f>AND('Reporting '!#REF!,"AAAAADf9/7c=")</f>
        <v>#REF!</v>
      </c>
      <c r="GC226" t="e">
        <f>AND('Reporting '!#REF!,"AAAAADf9/7g=")</f>
        <v>#REF!</v>
      </c>
      <c r="GD226" t="e">
        <f>AND('Reporting '!#REF!,"AAAAADf9/7k=")</f>
        <v>#REF!</v>
      </c>
      <c r="GE226" t="e">
        <f>AND('Reporting '!#REF!,"AAAAADf9/7o=")</f>
        <v>#REF!</v>
      </c>
      <c r="GF226" t="e">
        <f>AND('Reporting '!#REF!,"AAAAADf9/7s=")</f>
        <v>#REF!</v>
      </c>
      <c r="GG226" t="e">
        <f>AND('Reporting '!#REF!,"AAAAADf9/7w=")</f>
        <v>#REF!</v>
      </c>
      <c r="GH226" t="e">
        <f>AND('Reporting '!#REF!,"AAAAADf9/70=")</f>
        <v>#REF!</v>
      </c>
      <c r="GI226" t="e">
        <f>AND('Reporting '!#REF!,"AAAAADf9/74=")</f>
        <v>#REF!</v>
      </c>
      <c r="GJ226" t="e">
        <f>IF('Reporting '!#REF!,"AAAAADf9/78=",0)</f>
        <v>#REF!</v>
      </c>
      <c r="GK226" t="e">
        <f>AND('Reporting '!#REF!,"AAAAADf9/8A=")</f>
        <v>#REF!</v>
      </c>
      <c r="GL226" t="e">
        <f>AND('Reporting '!#REF!,"AAAAADf9/8E=")</f>
        <v>#REF!</v>
      </c>
      <c r="GM226" t="e">
        <f>AND('Reporting '!#REF!,"AAAAADf9/8I=")</f>
        <v>#REF!</v>
      </c>
      <c r="GN226" t="e">
        <f>AND('Reporting '!#REF!,"AAAAADf9/8M=")</f>
        <v>#REF!</v>
      </c>
      <c r="GO226" t="e">
        <f>AND('Reporting '!#REF!,"AAAAADf9/8Q=")</f>
        <v>#REF!</v>
      </c>
      <c r="GP226" t="e">
        <f>AND('Reporting '!#REF!,"AAAAADf9/8U=")</f>
        <v>#REF!</v>
      </c>
      <c r="GQ226" t="e">
        <f>AND('Reporting '!#REF!,"AAAAADf9/8Y=")</f>
        <v>#REF!</v>
      </c>
      <c r="GR226" t="e">
        <f>AND('Reporting '!#REF!,"AAAAADf9/8c=")</f>
        <v>#REF!</v>
      </c>
      <c r="GS226" t="e">
        <f>AND('Reporting '!#REF!,"AAAAADf9/8g=")</f>
        <v>#REF!</v>
      </c>
      <c r="GT226" t="e">
        <f>AND('Reporting '!#REF!,"AAAAADf9/8k=")</f>
        <v>#REF!</v>
      </c>
      <c r="GU226" t="e">
        <f>AND('Reporting '!#REF!,"AAAAADf9/8o=")</f>
        <v>#REF!</v>
      </c>
      <c r="GV226" t="e">
        <f>AND('Reporting '!#REF!,"AAAAADf9/8s=")</f>
        <v>#REF!</v>
      </c>
      <c r="GW226" t="e">
        <f>AND('Reporting '!#REF!,"AAAAADf9/8w=")</f>
        <v>#REF!</v>
      </c>
      <c r="GX226" t="e">
        <f>AND('Reporting '!#REF!,"AAAAADf9/80=")</f>
        <v>#REF!</v>
      </c>
      <c r="GY226" t="e">
        <f>IF('Reporting '!#REF!,"AAAAADf9/84=",0)</f>
        <v>#REF!</v>
      </c>
      <c r="GZ226" t="e">
        <f>AND('Reporting '!#REF!,"AAAAADf9/88=")</f>
        <v>#REF!</v>
      </c>
      <c r="HA226" t="e">
        <f>AND('Reporting '!#REF!,"AAAAADf9/9A=")</f>
        <v>#REF!</v>
      </c>
      <c r="HB226" t="e">
        <f>AND('Reporting '!#REF!,"AAAAADf9/9E=")</f>
        <v>#REF!</v>
      </c>
      <c r="HC226" t="e">
        <f>AND('Reporting '!#REF!,"AAAAADf9/9I=")</f>
        <v>#REF!</v>
      </c>
      <c r="HD226" t="e">
        <f>AND('Reporting '!#REF!,"AAAAADf9/9M=")</f>
        <v>#REF!</v>
      </c>
      <c r="HE226" t="e">
        <f>AND('Reporting '!#REF!,"AAAAADf9/9Q=")</f>
        <v>#REF!</v>
      </c>
      <c r="HF226" t="e">
        <f>AND('Reporting '!#REF!,"AAAAADf9/9U=")</f>
        <v>#REF!</v>
      </c>
      <c r="HG226" t="e">
        <f>AND('Reporting '!#REF!,"AAAAADf9/9Y=")</f>
        <v>#REF!</v>
      </c>
      <c r="HH226" t="e">
        <f>AND('Reporting '!#REF!,"AAAAADf9/9c=")</f>
        <v>#REF!</v>
      </c>
      <c r="HI226" t="e">
        <f>AND('Reporting '!#REF!,"AAAAADf9/9g=")</f>
        <v>#REF!</v>
      </c>
      <c r="HJ226" t="e">
        <f>AND('Reporting '!#REF!,"AAAAADf9/9k=")</f>
        <v>#REF!</v>
      </c>
      <c r="HK226" t="e">
        <f>AND('Reporting '!#REF!,"AAAAADf9/9o=")</f>
        <v>#REF!</v>
      </c>
      <c r="HL226" t="e">
        <f>AND('Reporting '!#REF!,"AAAAADf9/9s=")</f>
        <v>#REF!</v>
      </c>
      <c r="HM226" t="e">
        <f>AND('Reporting '!#REF!,"AAAAADf9/9w=")</f>
        <v>#REF!</v>
      </c>
      <c r="HN226" t="e">
        <f>IF('Reporting '!#REF!,"AAAAADf9/90=",0)</f>
        <v>#REF!</v>
      </c>
      <c r="HO226" t="e">
        <f>AND('Reporting '!#REF!,"AAAAADf9/94=")</f>
        <v>#REF!</v>
      </c>
      <c r="HP226" t="e">
        <f>AND('Reporting '!#REF!,"AAAAADf9/98=")</f>
        <v>#REF!</v>
      </c>
      <c r="HQ226" t="e">
        <f>AND('Reporting '!#REF!,"AAAAADf9/+A=")</f>
        <v>#REF!</v>
      </c>
      <c r="HR226" t="e">
        <f>AND('Reporting '!#REF!,"AAAAADf9/+E=")</f>
        <v>#REF!</v>
      </c>
      <c r="HS226" t="e">
        <f>AND('Reporting '!#REF!,"AAAAADf9/+I=")</f>
        <v>#REF!</v>
      </c>
      <c r="HT226" t="e">
        <f>AND('Reporting '!#REF!,"AAAAADf9/+M=")</f>
        <v>#REF!</v>
      </c>
      <c r="HU226" t="e">
        <f>AND('Reporting '!#REF!,"AAAAADf9/+Q=")</f>
        <v>#REF!</v>
      </c>
      <c r="HV226" t="e">
        <f>AND('Reporting '!#REF!,"AAAAADf9/+U=")</f>
        <v>#REF!</v>
      </c>
      <c r="HW226" t="e">
        <f>AND('Reporting '!#REF!,"AAAAADf9/+Y=")</f>
        <v>#REF!</v>
      </c>
      <c r="HX226" t="e">
        <f>AND('Reporting '!#REF!,"AAAAADf9/+c=")</f>
        <v>#REF!</v>
      </c>
      <c r="HY226" t="e">
        <f>AND('Reporting '!#REF!,"AAAAADf9/+g=")</f>
        <v>#REF!</v>
      </c>
      <c r="HZ226" t="e">
        <f>AND('Reporting '!#REF!,"AAAAADf9/+k=")</f>
        <v>#REF!</v>
      </c>
      <c r="IA226" t="e">
        <f>AND('Reporting '!#REF!,"AAAAADf9/+o=")</f>
        <v>#REF!</v>
      </c>
      <c r="IB226" t="e">
        <f>AND('Reporting '!#REF!,"AAAAADf9/+s=")</f>
        <v>#REF!</v>
      </c>
      <c r="IC226" t="e">
        <f>IF('Reporting '!#REF!,"AAAAADf9/+w=",0)</f>
        <v>#REF!</v>
      </c>
      <c r="ID226" t="e">
        <f>AND('Reporting '!#REF!,"AAAAADf9/+0=")</f>
        <v>#REF!</v>
      </c>
      <c r="IE226" t="e">
        <f>AND('Reporting '!#REF!,"AAAAADf9/+4=")</f>
        <v>#REF!</v>
      </c>
      <c r="IF226" t="e">
        <f>AND('Reporting '!#REF!,"AAAAADf9/+8=")</f>
        <v>#REF!</v>
      </c>
      <c r="IG226" t="e">
        <f>AND('Reporting '!#REF!,"AAAAADf9//A=")</f>
        <v>#REF!</v>
      </c>
      <c r="IH226" t="e">
        <f>AND('Reporting '!#REF!,"AAAAADf9//E=")</f>
        <v>#REF!</v>
      </c>
      <c r="II226" t="e">
        <f>AND('Reporting '!#REF!,"AAAAADf9//I=")</f>
        <v>#REF!</v>
      </c>
      <c r="IJ226" t="e">
        <f>AND('Reporting '!#REF!,"AAAAADf9//M=")</f>
        <v>#REF!</v>
      </c>
      <c r="IK226" t="e">
        <f>AND('Reporting '!#REF!,"AAAAADf9//Q=")</f>
        <v>#REF!</v>
      </c>
      <c r="IL226" t="e">
        <f>AND('Reporting '!#REF!,"AAAAADf9//U=")</f>
        <v>#REF!</v>
      </c>
      <c r="IM226" t="e">
        <f>AND('Reporting '!#REF!,"AAAAADf9//Y=")</f>
        <v>#REF!</v>
      </c>
      <c r="IN226" t="e">
        <f>AND('Reporting '!#REF!,"AAAAADf9//c=")</f>
        <v>#REF!</v>
      </c>
      <c r="IO226" t="e">
        <f>AND('Reporting '!#REF!,"AAAAADf9//g=")</f>
        <v>#REF!</v>
      </c>
      <c r="IP226" t="e">
        <f>AND('Reporting '!#REF!,"AAAAADf9//k=")</f>
        <v>#REF!</v>
      </c>
      <c r="IQ226" t="e">
        <f>AND('Reporting '!#REF!,"AAAAADf9//o=")</f>
        <v>#REF!</v>
      </c>
      <c r="IR226" t="e">
        <f>IF('Reporting '!#REF!,"AAAAADf9//s=",0)</f>
        <v>#REF!</v>
      </c>
      <c r="IS226" t="e">
        <f>AND('Reporting '!#REF!,"AAAAADf9//w=")</f>
        <v>#REF!</v>
      </c>
      <c r="IT226" t="e">
        <f>AND('Reporting '!#REF!,"AAAAADf9//0=")</f>
        <v>#REF!</v>
      </c>
      <c r="IU226" t="e">
        <f>AND('Reporting '!#REF!,"AAAAADf9//4=")</f>
        <v>#REF!</v>
      </c>
      <c r="IV226" t="e">
        <f>AND('Reporting '!#REF!,"AAAAADf9//8=")</f>
        <v>#REF!</v>
      </c>
    </row>
    <row r="227" spans="1:256" x14ac:dyDescent="0.2">
      <c r="A227" t="e">
        <f>AND('Reporting '!#REF!,"AAAAAF7y/wA=")</f>
        <v>#REF!</v>
      </c>
      <c r="B227" t="e">
        <f>AND('Reporting '!#REF!,"AAAAAF7y/wE=")</f>
        <v>#REF!</v>
      </c>
      <c r="C227" t="e">
        <f>AND('Reporting '!#REF!,"AAAAAF7y/wI=")</f>
        <v>#REF!</v>
      </c>
      <c r="D227" t="e">
        <f>AND('Reporting '!#REF!,"AAAAAF7y/wM=")</f>
        <v>#REF!</v>
      </c>
      <c r="E227" t="e">
        <f>AND('Reporting '!#REF!,"AAAAAF7y/wQ=")</f>
        <v>#REF!</v>
      </c>
      <c r="F227" t="e">
        <f>AND('Reporting '!#REF!,"AAAAAF7y/wU=")</f>
        <v>#REF!</v>
      </c>
      <c r="G227" t="e">
        <f>AND('Reporting '!#REF!,"AAAAAF7y/wY=")</f>
        <v>#REF!</v>
      </c>
      <c r="H227" t="e">
        <f>AND('Reporting '!#REF!,"AAAAAF7y/wc=")</f>
        <v>#REF!</v>
      </c>
      <c r="I227" t="e">
        <f>AND('Reporting '!#REF!,"AAAAAF7y/wg=")</f>
        <v>#REF!</v>
      </c>
      <c r="J227" t="e">
        <f>AND('Reporting '!#REF!,"AAAAAF7y/wk=")</f>
        <v>#REF!</v>
      </c>
      <c r="K227" t="e">
        <f>IF('Reporting '!#REF!,"AAAAAF7y/wo=",0)</f>
        <v>#REF!</v>
      </c>
      <c r="L227" t="e">
        <f>AND('Reporting '!#REF!,"AAAAAF7y/ws=")</f>
        <v>#REF!</v>
      </c>
      <c r="M227" t="e">
        <f>AND('Reporting '!#REF!,"AAAAAF7y/ww=")</f>
        <v>#REF!</v>
      </c>
      <c r="N227" t="e">
        <f>AND('Reporting '!#REF!,"AAAAAF7y/w0=")</f>
        <v>#REF!</v>
      </c>
      <c r="O227" t="e">
        <f>AND('Reporting '!#REF!,"AAAAAF7y/w4=")</f>
        <v>#REF!</v>
      </c>
      <c r="P227" t="e">
        <f>AND('Reporting '!#REF!,"AAAAAF7y/w8=")</f>
        <v>#REF!</v>
      </c>
      <c r="Q227" t="e">
        <f>AND('Reporting '!#REF!,"AAAAAF7y/xA=")</f>
        <v>#REF!</v>
      </c>
      <c r="R227" t="e">
        <f>AND('Reporting '!#REF!,"AAAAAF7y/xE=")</f>
        <v>#REF!</v>
      </c>
      <c r="S227" t="e">
        <f>AND('Reporting '!#REF!,"AAAAAF7y/xI=")</f>
        <v>#REF!</v>
      </c>
      <c r="T227" t="e">
        <f>AND('Reporting '!#REF!,"AAAAAF7y/xM=")</f>
        <v>#REF!</v>
      </c>
      <c r="U227" t="e">
        <f>AND('Reporting '!#REF!,"AAAAAF7y/xQ=")</f>
        <v>#REF!</v>
      </c>
      <c r="V227" t="e">
        <f>AND('Reporting '!#REF!,"AAAAAF7y/xU=")</f>
        <v>#REF!</v>
      </c>
      <c r="W227" t="e">
        <f>AND('Reporting '!#REF!,"AAAAAF7y/xY=")</f>
        <v>#REF!</v>
      </c>
      <c r="X227" t="e">
        <f>AND('Reporting '!#REF!,"AAAAAF7y/xc=")</f>
        <v>#REF!</v>
      </c>
      <c r="Y227" t="e">
        <f>AND('Reporting '!#REF!,"AAAAAF7y/xg=")</f>
        <v>#REF!</v>
      </c>
      <c r="Z227" t="e">
        <f>IF('Reporting '!#REF!,"AAAAAF7y/xk=",0)</f>
        <v>#REF!</v>
      </c>
      <c r="AA227" t="e">
        <f>AND('Reporting '!#REF!,"AAAAAF7y/xo=")</f>
        <v>#REF!</v>
      </c>
      <c r="AB227" t="e">
        <f>AND('Reporting '!#REF!,"AAAAAF7y/xs=")</f>
        <v>#REF!</v>
      </c>
      <c r="AC227" t="e">
        <f>AND('Reporting '!#REF!,"AAAAAF7y/xw=")</f>
        <v>#REF!</v>
      </c>
      <c r="AD227" t="e">
        <f>AND('Reporting '!#REF!,"AAAAAF7y/x0=")</f>
        <v>#REF!</v>
      </c>
      <c r="AE227" t="e">
        <f>AND('Reporting '!#REF!,"AAAAAF7y/x4=")</f>
        <v>#REF!</v>
      </c>
      <c r="AF227" t="e">
        <f>AND('Reporting '!#REF!,"AAAAAF7y/x8=")</f>
        <v>#REF!</v>
      </c>
      <c r="AG227" t="e">
        <f>AND('Reporting '!#REF!,"AAAAAF7y/yA=")</f>
        <v>#REF!</v>
      </c>
      <c r="AH227" t="e">
        <f>AND('Reporting '!#REF!,"AAAAAF7y/yE=")</f>
        <v>#REF!</v>
      </c>
      <c r="AI227" t="e">
        <f>AND('Reporting '!#REF!,"AAAAAF7y/yI=")</f>
        <v>#REF!</v>
      </c>
      <c r="AJ227" t="e">
        <f>AND('Reporting '!#REF!,"AAAAAF7y/yM=")</f>
        <v>#REF!</v>
      </c>
      <c r="AK227" t="e">
        <f>AND('Reporting '!#REF!,"AAAAAF7y/yQ=")</f>
        <v>#REF!</v>
      </c>
      <c r="AL227" t="e">
        <f>AND('Reporting '!#REF!,"AAAAAF7y/yU=")</f>
        <v>#REF!</v>
      </c>
      <c r="AM227" t="e">
        <f>AND('Reporting '!#REF!,"AAAAAF7y/yY=")</f>
        <v>#REF!</v>
      </c>
      <c r="AN227" t="e">
        <f>AND('Reporting '!#REF!,"AAAAAF7y/yc=")</f>
        <v>#REF!</v>
      </c>
      <c r="AO227" t="e">
        <f>IF('Reporting '!#REF!,"AAAAAF7y/yg=",0)</f>
        <v>#REF!</v>
      </c>
      <c r="AP227" t="e">
        <f>AND('Reporting '!#REF!,"AAAAAF7y/yk=")</f>
        <v>#REF!</v>
      </c>
      <c r="AQ227" t="e">
        <f>AND('Reporting '!#REF!,"AAAAAF7y/yo=")</f>
        <v>#REF!</v>
      </c>
      <c r="AR227" t="e">
        <f>AND('Reporting '!#REF!,"AAAAAF7y/ys=")</f>
        <v>#REF!</v>
      </c>
      <c r="AS227" t="e">
        <f>AND('Reporting '!#REF!,"AAAAAF7y/yw=")</f>
        <v>#REF!</v>
      </c>
      <c r="AT227" t="e">
        <f>AND('Reporting '!#REF!,"AAAAAF7y/y0=")</f>
        <v>#REF!</v>
      </c>
      <c r="AU227" t="e">
        <f>AND('Reporting '!#REF!,"AAAAAF7y/y4=")</f>
        <v>#REF!</v>
      </c>
      <c r="AV227" t="e">
        <f>AND('Reporting '!#REF!,"AAAAAF7y/y8=")</f>
        <v>#REF!</v>
      </c>
      <c r="AW227" t="e">
        <f>AND('Reporting '!#REF!,"AAAAAF7y/zA=")</f>
        <v>#REF!</v>
      </c>
      <c r="AX227" t="e">
        <f>AND('Reporting '!#REF!,"AAAAAF7y/zE=")</f>
        <v>#REF!</v>
      </c>
      <c r="AY227" t="e">
        <f>AND('Reporting '!#REF!,"AAAAAF7y/zI=")</f>
        <v>#REF!</v>
      </c>
      <c r="AZ227" t="e">
        <f>AND('Reporting '!#REF!,"AAAAAF7y/zM=")</f>
        <v>#REF!</v>
      </c>
      <c r="BA227" t="e">
        <f>AND('Reporting '!#REF!,"AAAAAF7y/zQ=")</f>
        <v>#REF!</v>
      </c>
      <c r="BB227" t="e">
        <f>AND('Reporting '!#REF!,"AAAAAF7y/zU=")</f>
        <v>#REF!</v>
      </c>
      <c r="BC227" t="e">
        <f>AND('Reporting '!#REF!,"AAAAAF7y/zY=")</f>
        <v>#REF!</v>
      </c>
      <c r="BD227" t="e">
        <f>IF('Reporting '!#REF!,"AAAAAF7y/zc=",0)</f>
        <v>#REF!</v>
      </c>
      <c r="BE227" t="e">
        <f>AND('Reporting '!#REF!,"AAAAAF7y/zg=")</f>
        <v>#REF!</v>
      </c>
      <c r="BF227" t="e">
        <f>AND('Reporting '!#REF!,"AAAAAF7y/zk=")</f>
        <v>#REF!</v>
      </c>
      <c r="BG227" t="e">
        <f>AND('Reporting '!#REF!,"AAAAAF7y/zo=")</f>
        <v>#REF!</v>
      </c>
      <c r="BH227" t="e">
        <f>AND('Reporting '!#REF!,"AAAAAF7y/zs=")</f>
        <v>#REF!</v>
      </c>
      <c r="BI227" t="e">
        <f>AND('Reporting '!#REF!,"AAAAAF7y/zw=")</f>
        <v>#REF!</v>
      </c>
      <c r="BJ227" t="e">
        <f>AND('Reporting '!#REF!,"AAAAAF7y/z0=")</f>
        <v>#REF!</v>
      </c>
      <c r="BK227" t="e">
        <f>AND('Reporting '!#REF!,"AAAAAF7y/z4=")</f>
        <v>#REF!</v>
      </c>
      <c r="BL227" t="e">
        <f>AND('Reporting '!#REF!,"AAAAAF7y/z8=")</f>
        <v>#REF!</v>
      </c>
      <c r="BM227" t="e">
        <f>AND('Reporting '!#REF!,"AAAAAF7y/0A=")</f>
        <v>#REF!</v>
      </c>
      <c r="BN227" t="e">
        <f>AND('Reporting '!#REF!,"AAAAAF7y/0E=")</f>
        <v>#REF!</v>
      </c>
      <c r="BO227" t="e">
        <f>AND('Reporting '!#REF!,"AAAAAF7y/0I=")</f>
        <v>#REF!</v>
      </c>
      <c r="BP227" t="e">
        <f>AND('Reporting '!#REF!,"AAAAAF7y/0M=")</f>
        <v>#REF!</v>
      </c>
      <c r="BQ227" t="e">
        <f>AND('Reporting '!#REF!,"AAAAAF7y/0Q=")</f>
        <v>#REF!</v>
      </c>
      <c r="BR227" t="e">
        <f>AND('Reporting '!#REF!,"AAAAAF7y/0U=")</f>
        <v>#REF!</v>
      </c>
      <c r="BS227" t="e">
        <f>IF('Reporting '!#REF!,"AAAAAF7y/0Y=",0)</f>
        <v>#REF!</v>
      </c>
      <c r="BT227" t="e">
        <f>AND('Reporting '!#REF!,"AAAAAF7y/0c=")</f>
        <v>#REF!</v>
      </c>
      <c r="BU227" t="e">
        <f>AND('Reporting '!#REF!,"AAAAAF7y/0g=")</f>
        <v>#REF!</v>
      </c>
      <c r="BV227" t="e">
        <f>AND('Reporting '!#REF!,"AAAAAF7y/0k=")</f>
        <v>#REF!</v>
      </c>
      <c r="BW227" t="e">
        <f>AND('Reporting '!#REF!,"AAAAAF7y/0o=")</f>
        <v>#REF!</v>
      </c>
      <c r="BX227" t="e">
        <f>AND('Reporting '!#REF!,"AAAAAF7y/0s=")</f>
        <v>#REF!</v>
      </c>
      <c r="BY227" t="e">
        <f>AND('Reporting '!#REF!,"AAAAAF7y/0w=")</f>
        <v>#REF!</v>
      </c>
      <c r="BZ227" t="e">
        <f>AND('Reporting '!#REF!,"AAAAAF7y/00=")</f>
        <v>#REF!</v>
      </c>
      <c r="CA227" t="e">
        <f>AND('Reporting '!#REF!,"AAAAAF7y/04=")</f>
        <v>#REF!</v>
      </c>
      <c r="CB227" t="e">
        <f>AND('Reporting '!#REF!,"AAAAAF7y/08=")</f>
        <v>#REF!</v>
      </c>
      <c r="CC227" t="e">
        <f>AND('Reporting '!#REF!,"AAAAAF7y/1A=")</f>
        <v>#REF!</v>
      </c>
      <c r="CD227" t="e">
        <f>AND('Reporting '!#REF!,"AAAAAF7y/1E=")</f>
        <v>#REF!</v>
      </c>
      <c r="CE227" t="e">
        <f>AND('Reporting '!#REF!,"AAAAAF7y/1I=")</f>
        <v>#REF!</v>
      </c>
      <c r="CF227" t="e">
        <f>AND('Reporting '!#REF!,"AAAAAF7y/1M=")</f>
        <v>#REF!</v>
      </c>
      <c r="CG227" t="e">
        <f>AND('Reporting '!#REF!,"AAAAAF7y/1Q=")</f>
        <v>#REF!</v>
      </c>
      <c r="CH227" t="e">
        <f>IF('Reporting '!#REF!,"AAAAAF7y/1U=",0)</f>
        <v>#REF!</v>
      </c>
      <c r="CI227" t="e">
        <f>AND('Reporting '!#REF!,"AAAAAF7y/1Y=")</f>
        <v>#REF!</v>
      </c>
      <c r="CJ227" t="e">
        <f>AND('Reporting '!#REF!,"AAAAAF7y/1c=")</f>
        <v>#REF!</v>
      </c>
      <c r="CK227" t="e">
        <f>AND('Reporting '!#REF!,"AAAAAF7y/1g=")</f>
        <v>#REF!</v>
      </c>
      <c r="CL227" t="e">
        <f>AND('Reporting '!#REF!,"AAAAAF7y/1k=")</f>
        <v>#REF!</v>
      </c>
      <c r="CM227" t="e">
        <f>AND('Reporting '!#REF!,"AAAAAF7y/1o=")</f>
        <v>#REF!</v>
      </c>
      <c r="CN227" t="e">
        <f>AND('Reporting '!#REF!,"AAAAAF7y/1s=")</f>
        <v>#REF!</v>
      </c>
      <c r="CO227" t="e">
        <f>AND('Reporting '!#REF!,"AAAAAF7y/1w=")</f>
        <v>#REF!</v>
      </c>
      <c r="CP227" t="e">
        <f>AND('Reporting '!#REF!,"AAAAAF7y/10=")</f>
        <v>#REF!</v>
      </c>
      <c r="CQ227" t="e">
        <f>AND('Reporting '!#REF!,"AAAAAF7y/14=")</f>
        <v>#REF!</v>
      </c>
      <c r="CR227" t="e">
        <f>AND('Reporting '!#REF!,"AAAAAF7y/18=")</f>
        <v>#REF!</v>
      </c>
      <c r="CS227" t="e">
        <f>AND('Reporting '!#REF!,"AAAAAF7y/2A=")</f>
        <v>#REF!</v>
      </c>
      <c r="CT227" t="e">
        <f>AND('Reporting '!#REF!,"AAAAAF7y/2E=")</f>
        <v>#REF!</v>
      </c>
      <c r="CU227" t="e">
        <f>AND('Reporting '!#REF!,"AAAAAF7y/2I=")</f>
        <v>#REF!</v>
      </c>
      <c r="CV227" t="e">
        <f>AND('Reporting '!#REF!,"AAAAAF7y/2M=")</f>
        <v>#REF!</v>
      </c>
      <c r="CW227" t="e">
        <f>IF('Reporting '!#REF!,"AAAAAF7y/2Q=",0)</f>
        <v>#REF!</v>
      </c>
      <c r="CX227" t="e">
        <f>AND('Reporting '!#REF!,"AAAAAF7y/2U=")</f>
        <v>#REF!</v>
      </c>
      <c r="CY227" t="e">
        <f>AND('Reporting '!#REF!,"AAAAAF7y/2Y=")</f>
        <v>#REF!</v>
      </c>
      <c r="CZ227" t="e">
        <f>AND('Reporting '!#REF!,"AAAAAF7y/2c=")</f>
        <v>#REF!</v>
      </c>
      <c r="DA227" t="e">
        <f>AND('Reporting '!#REF!,"AAAAAF7y/2g=")</f>
        <v>#REF!</v>
      </c>
      <c r="DB227" t="e">
        <f>AND('Reporting '!#REF!,"AAAAAF7y/2k=")</f>
        <v>#REF!</v>
      </c>
      <c r="DC227" t="e">
        <f>AND('Reporting '!#REF!,"AAAAAF7y/2o=")</f>
        <v>#REF!</v>
      </c>
      <c r="DD227" t="e">
        <f>AND('Reporting '!#REF!,"AAAAAF7y/2s=")</f>
        <v>#REF!</v>
      </c>
      <c r="DE227" t="e">
        <f>AND('Reporting '!#REF!,"AAAAAF7y/2w=")</f>
        <v>#REF!</v>
      </c>
      <c r="DF227" t="e">
        <f>AND('Reporting '!#REF!,"AAAAAF7y/20=")</f>
        <v>#REF!</v>
      </c>
      <c r="DG227" t="e">
        <f>AND('Reporting '!#REF!,"AAAAAF7y/24=")</f>
        <v>#REF!</v>
      </c>
      <c r="DH227" t="e">
        <f>AND('Reporting '!#REF!,"AAAAAF7y/28=")</f>
        <v>#REF!</v>
      </c>
      <c r="DI227" t="e">
        <f>AND('Reporting '!#REF!,"AAAAAF7y/3A=")</f>
        <v>#REF!</v>
      </c>
      <c r="DJ227" t="e">
        <f>AND('Reporting '!#REF!,"AAAAAF7y/3E=")</f>
        <v>#REF!</v>
      </c>
      <c r="DK227" t="e">
        <f>AND('Reporting '!#REF!,"AAAAAF7y/3I=")</f>
        <v>#REF!</v>
      </c>
      <c r="DL227" t="e">
        <f>IF('Reporting '!#REF!,"AAAAAF7y/3M=",0)</f>
        <v>#REF!</v>
      </c>
      <c r="DM227" t="e">
        <f>AND('Reporting '!#REF!,"AAAAAF7y/3Q=")</f>
        <v>#REF!</v>
      </c>
      <c r="DN227" t="e">
        <f>AND('Reporting '!#REF!,"AAAAAF7y/3U=")</f>
        <v>#REF!</v>
      </c>
      <c r="DO227" t="e">
        <f>AND('Reporting '!#REF!,"AAAAAF7y/3Y=")</f>
        <v>#REF!</v>
      </c>
      <c r="DP227" t="e">
        <f>AND('Reporting '!#REF!,"AAAAAF7y/3c=")</f>
        <v>#REF!</v>
      </c>
      <c r="DQ227" t="e">
        <f>AND('Reporting '!#REF!,"AAAAAF7y/3g=")</f>
        <v>#REF!</v>
      </c>
      <c r="DR227" t="e">
        <f>AND('Reporting '!#REF!,"AAAAAF7y/3k=")</f>
        <v>#REF!</v>
      </c>
      <c r="DS227" t="e">
        <f>AND('Reporting '!#REF!,"AAAAAF7y/3o=")</f>
        <v>#REF!</v>
      </c>
      <c r="DT227" t="e">
        <f>AND('Reporting '!#REF!,"AAAAAF7y/3s=")</f>
        <v>#REF!</v>
      </c>
      <c r="DU227" t="e">
        <f>AND('Reporting '!#REF!,"AAAAAF7y/3w=")</f>
        <v>#REF!</v>
      </c>
      <c r="DV227" t="e">
        <f>AND('Reporting '!#REF!,"AAAAAF7y/30=")</f>
        <v>#REF!</v>
      </c>
      <c r="DW227" t="e">
        <f>AND('Reporting '!#REF!,"AAAAAF7y/34=")</f>
        <v>#REF!</v>
      </c>
      <c r="DX227" t="e">
        <f>AND('Reporting '!#REF!,"AAAAAF7y/38=")</f>
        <v>#REF!</v>
      </c>
      <c r="DY227" t="e">
        <f>AND('Reporting '!#REF!,"AAAAAF7y/4A=")</f>
        <v>#REF!</v>
      </c>
      <c r="DZ227" t="e">
        <f>AND('Reporting '!#REF!,"AAAAAF7y/4E=")</f>
        <v>#REF!</v>
      </c>
      <c r="EA227" t="e">
        <f>IF('Reporting '!#REF!,"AAAAAF7y/4I=",0)</f>
        <v>#REF!</v>
      </c>
      <c r="EB227" t="e">
        <f>AND('Reporting '!#REF!,"AAAAAF7y/4M=")</f>
        <v>#REF!</v>
      </c>
      <c r="EC227" t="e">
        <f>AND('Reporting '!#REF!,"AAAAAF7y/4Q=")</f>
        <v>#REF!</v>
      </c>
      <c r="ED227" t="e">
        <f>AND('Reporting '!#REF!,"AAAAAF7y/4U=")</f>
        <v>#REF!</v>
      </c>
      <c r="EE227" t="e">
        <f>AND('Reporting '!#REF!,"AAAAAF7y/4Y=")</f>
        <v>#REF!</v>
      </c>
      <c r="EF227" t="e">
        <f>AND('Reporting '!#REF!,"AAAAAF7y/4c=")</f>
        <v>#REF!</v>
      </c>
      <c r="EG227" t="e">
        <f>AND('Reporting '!#REF!,"AAAAAF7y/4g=")</f>
        <v>#REF!</v>
      </c>
      <c r="EH227" t="e">
        <f>AND('Reporting '!#REF!,"AAAAAF7y/4k=")</f>
        <v>#REF!</v>
      </c>
      <c r="EI227" t="e">
        <f>AND('Reporting '!#REF!,"AAAAAF7y/4o=")</f>
        <v>#REF!</v>
      </c>
      <c r="EJ227" t="e">
        <f>AND('Reporting '!#REF!,"AAAAAF7y/4s=")</f>
        <v>#REF!</v>
      </c>
      <c r="EK227" t="e">
        <f>AND('Reporting '!#REF!,"AAAAAF7y/4w=")</f>
        <v>#REF!</v>
      </c>
      <c r="EL227" t="e">
        <f>AND('Reporting '!#REF!,"AAAAAF7y/40=")</f>
        <v>#REF!</v>
      </c>
      <c r="EM227" t="e">
        <f>AND('Reporting '!#REF!,"AAAAAF7y/44=")</f>
        <v>#REF!</v>
      </c>
      <c r="EN227" t="e">
        <f>AND('Reporting '!#REF!,"AAAAAF7y/48=")</f>
        <v>#REF!</v>
      </c>
      <c r="EO227" t="e">
        <f>AND('Reporting '!#REF!,"AAAAAF7y/5A=")</f>
        <v>#REF!</v>
      </c>
      <c r="EP227" t="e">
        <f>IF('Reporting '!#REF!,"AAAAAF7y/5E=",0)</f>
        <v>#REF!</v>
      </c>
      <c r="EQ227" t="e">
        <f>AND('Reporting '!#REF!,"AAAAAF7y/5I=")</f>
        <v>#REF!</v>
      </c>
      <c r="ER227" t="e">
        <f>AND('Reporting '!#REF!,"AAAAAF7y/5M=")</f>
        <v>#REF!</v>
      </c>
      <c r="ES227" t="e">
        <f>AND('Reporting '!#REF!,"AAAAAF7y/5Q=")</f>
        <v>#REF!</v>
      </c>
      <c r="ET227" t="e">
        <f>AND('Reporting '!#REF!,"AAAAAF7y/5U=")</f>
        <v>#REF!</v>
      </c>
      <c r="EU227" t="e">
        <f>AND('Reporting '!#REF!,"AAAAAF7y/5Y=")</f>
        <v>#REF!</v>
      </c>
      <c r="EV227" t="e">
        <f>AND('Reporting '!#REF!,"AAAAAF7y/5c=")</f>
        <v>#REF!</v>
      </c>
      <c r="EW227" t="e">
        <f>AND('Reporting '!#REF!,"AAAAAF7y/5g=")</f>
        <v>#REF!</v>
      </c>
      <c r="EX227" t="e">
        <f>AND('Reporting '!#REF!,"AAAAAF7y/5k=")</f>
        <v>#REF!</v>
      </c>
      <c r="EY227" t="e">
        <f>AND('Reporting '!#REF!,"AAAAAF7y/5o=")</f>
        <v>#REF!</v>
      </c>
      <c r="EZ227" t="e">
        <f>AND('Reporting '!#REF!,"AAAAAF7y/5s=")</f>
        <v>#REF!</v>
      </c>
      <c r="FA227" t="e">
        <f>AND('Reporting '!#REF!,"AAAAAF7y/5w=")</f>
        <v>#REF!</v>
      </c>
      <c r="FB227" t="e">
        <f>AND('Reporting '!#REF!,"AAAAAF7y/50=")</f>
        <v>#REF!</v>
      </c>
      <c r="FC227" t="e">
        <f>AND('Reporting '!#REF!,"AAAAAF7y/54=")</f>
        <v>#REF!</v>
      </c>
      <c r="FD227" t="e">
        <f>AND('Reporting '!#REF!,"AAAAAF7y/58=")</f>
        <v>#REF!</v>
      </c>
      <c r="FE227" t="e">
        <f>IF('Reporting '!#REF!,"AAAAAF7y/6A=",0)</f>
        <v>#REF!</v>
      </c>
      <c r="FF227" t="e">
        <f>AND('Reporting '!#REF!,"AAAAAF7y/6E=")</f>
        <v>#REF!</v>
      </c>
      <c r="FG227" t="e">
        <f>AND('Reporting '!#REF!,"AAAAAF7y/6I=")</f>
        <v>#REF!</v>
      </c>
      <c r="FH227" t="e">
        <f>AND('Reporting '!#REF!,"AAAAAF7y/6M=")</f>
        <v>#REF!</v>
      </c>
      <c r="FI227" t="e">
        <f>AND('Reporting '!#REF!,"AAAAAF7y/6Q=")</f>
        <v>#REF!</v>
      </c>
      <c r="FJ227" t="e">
        <f>AND('Reporting '!#REF!,"AAAAAF7y/6U=")</f>
        <v>#REF!</v>
      </c>
      <c r="FK227" t="e">
        <f>AND('Reporting '!#REF!,"AAAAAF7y/6Y=")</f>
        <v>#REF!</v>
      </c>
      <c r="FL227" t="e">
        <f>AND('Reporting '!#REF!,"AAAAAF7y/6c=")</f>
        <v>#REF!</v>
      </c>
      <c r="FM227" t="e">
        <f>AND('Reporting '!#REF!,"AAAAAF7y/6g=")</f>
        <v>#REF!</v>
      </c>
      <c r="FN227" t="e">
        <f>AND('Reporting '!#REF!,"AAAAAF7y/6k=")</f>
        <v>#REF!</v>
      </c>
      <c r="FO227" t="e">
        <f>AND('Reporting '!#REF!,"AAAAAF7y/6o=")</f>
        <v>#REF!</v>
      </c>
      <c r="FP227" t="e">
        <f>AND('Reporting '!#REF!,"AAAAAF7y/6s=")</f>
        <v>#REF!</v>
      </c>
      <c r="FQ227" t="e">
        <f>AND('Reporting '!#REF!,"AAAAAF7y/6w=")</f>
        <v>#REF!</v>
      </c>
      <c r="FR227" t="e">
        <f>AND('Reporting '!#REF!,"AAAAAF7y/60=")</f>
        <v>#REF!</v>
      </c>
      <c r="FS227" t="e">
        <f>AND('Reporting '!#REF!,"AAAAAF7y/64=")</f>
        <v>#REF!</v>
      </c>
      <c r="FT227" t="e">
        <f>IF('Reporting '!#REF!,"AAAAAF7y/68=",0)</f>
        <v>#REF!</v>
      </c>
      <c r="FU227" t="e">
        <f>AND('Reporting '!#REF!,"AAAAAF7y/7A=")</f>
        <v>#REF!</v>
      </c>
      <c r="FV227" t="e">
        <f>AND('Reporting '!#REF!,"AAAAAF7y/7E=")</f>
        <v>#REF!</v>
      </c>
      <c r="FW227" t="e">
        <f>AND('Reporting '!#REF!,"AAAAAF7y/7I=")</f>
        <v>#REF!</v>
      </c>
      <c r="FX227" t="e">
        <f>AND('Reporting '!#REF!,"AAAAAF7y/7M=")</f>
        <v>#REF!</v>
      </c>
      <c r="FY227" t="e">
        <f>AND('Reporting '!#REF!,"AAAAAF7y/7Q=")</f>
        <v>#REF!</v>
      </c>
      <c r="FZ227" t="e">
        <f>AND('Reporting '!#REF!,"AAAAAF7y/7U=")</f>
        <v>#REF!</v>
      </c>
      <c r="GA227" t="e">
        <f>AND('Reporting '!#REF!,"AAAAAF7y/7Y=")</f>
        <v>#REF!</v>
      </c>
      <c r="GB227" t="e">
        <f>AND('Reporting '!#REF!,"AAAAAF7y/7c=")</f>
        <v>#REF!</v>
      </c>
      <c r="GC227" t="e">
        <f>AND('Reporting '!#REF!,"AAAAAF7y/7g=")</f>
        <v>#REF!</v>
      </c>
      <c r="GD227" t="e">
        <f>AND('Reporting '!#REF!,"AAAAAF7y/7k=")</f>
        <v>#REF!</v>
      </c>
      <c r="GE227" t="e">
        <f>AND('Reporting '!#REF!,"AAAAAF7y/7o=")</f>
        <v>#REF!</v>
      </c>
      <c r="GF227" t="e">
        <f>AND('Reporting '!#REF!,"AAAAAF7y/7s=")</f>
        <v>#REF!</v>
      </c>
      <c r="GG227" t="e">
        <f>AND('Reporting '!#REF!,"AAAAAF7y/7w=")</f>
        <v>#REF!</v>
      </c>
      <c r="GH227" t="e">
        <f>AND('Reporting '!#REF!,"AAAAAF7y/70=")</f>
        <v>#REF!</v>
      </c>
      <c r="GI227" t="e">
        <f>IF('Reporting '!#REF!,"AAAAAF7y/74=",0)</f>
        <v>#REF!</v>
      </c>
      <c r="GJ227" t="e">
        <f>AND('Reporting '!#REF!,"AAAAAF7y/78=")</f>
        <v>#REF!</v>
      </c>
      <c r="GK227" t="e">
        <f>AND('Reporting '!#REF!,"AAAAAF7y/8A=")</f>
        <v>#REF!</v>
      </c>
      <c r="GL227" t="e">
        <f>AND('Reporting '!#REF!,"AAAAAF7y/8E=")</f>
        <v>#REF!</v>
      </c>
      <c r="GM227" t="e">
        <f>AND('Reporting '!#REF!,"AAAAAF7y/8I=")</f>
        <v>#REF!</v>
      </c>
      <c r="GN227" t="e">
        <f>AND('Reporting '!#REF!,"AAAAAF7y/8M=")</f>
        <v>#REF!</v>
      </c>
      <c r="GO227" t="e">
        <f>AND('Reporting '!#REF!,"AAAAAF7y/8Q=")</f>
        <v>#REF!</v>
      </c>
      <c r="GP227" t="e">
        <f>AND('Reporting '!#REF!,"AAAAAF7y/8U=")</f>
        <v>#REF!</v>
      </c>
      <c r="GQ227" t="e">
        <f>AND('Reporting '!#REF!,"AAAAAF7y/8Y=")</f>
        <v>#REF!</v>
      </c>
      <c r="GR227" t="e">
        <f>AND('Reporting '!#REF!,"AAAAAF7y/8c=")</f>
        <v>#REF!</v>
      </c>
      <c r="GS227" t="e">
        <f>AND('Reporting '!#REF!,"AAAAAF7y/8g=")</f>
        <v>#REF!</v>
      </c>
      <c r="GT227" t="e">
        <f>AND('Reporting '!#REF!,"AAAAAF7y/8k=")</f>
        <v>#REF!</v>
      </c>
      <c r="GU227" t="e">
        <f>AND('Reporting '!#REF!,"AAAAAF7y/8o=")</f>
        <v>#REF!</v>
      </c>
      <c r="GV227" t="e">
        <f>AND('Reporting '!#REF!,"AAAAAF7y/8s=")</f>
        <v>#REF!</v>
      </c>
      <c r="GW227" t="e">
        <f>AND('Reporting '!#REF!,"AAAAAF7y/8w=")</f>
        <v>#REF!</v>
      </c>
      <c r="GX227" t="e">
        <f>IF('Reporting '!#REF!,"AAAAAF7y/80=",0)</f>
        <v>#REF!</v>
      </c>
      <c r="GY227" t="e">
        <f>AND('Reporting '!#REF!,"AAAAAF7y/84=")</f>
        <v>#REF!</v>
      </c>
      <c r="GZ227" t="e">
        <f>AND('Reporting '!#REF!,"AAAAAF7y/88=")</f>
        <v>#REF!</v>
      </c>
      <c r="HA227" t="e">
        <f>AND('Reporting '!#REF!,"AAAAAF7y/9A=")</f>
        <v>#REF!</v>
      </c>
      <c r="HB227" t="e">
        <f>AND('Reporting '!#REF!,"AAAAAF7y/9E=")</f>
        <v>#REF!</v>
      </c>
      <c r="HC227" t="e">
        <f>AND('Reporting '!#REF!,"AAAAAF7y/9I=")</f>
        <v>#REF!</v>
      </c>
      <c r="HD227" t="e">
        <f>AND('Reporting '!#REF!,"AAAAAF7y/9M=")</f>
        <v>#REF!</v>
      </c>
      <c r="HE227" t="e">
        <f>AND('Reporting '!#REF!,"AAAAAF7y/9Q=")</f>
        <v>#REF!</v>
      </c>
      <c r="HF227" t="e">
        <f>AND('Reporting '!#REF!,"AAAAAF7y/9U=")</f>
        <v>#REF!</v>
      </c>
      <c r="HG227" t="e">
        <f>AND('Reporting '!#REF!,"AAAAAF7y/9Y=")</f>
        <v>#REF!</v>
      </c>
      <c r="HH227" t="e">
        <f>AND('Reporting '!#REF!,"AAAAAF7y/9c=")</f>
        <v>#REF!</v>
      </c>
      <c r="HI227" t="e">
        <f>AND('Reporting '!#REF!,"AAAAAF7y/9g=")</f>
        <v>#REF!</v>
      </c>
      <c r="HJ227" t="e">
        <f>AND('Reporting '!#REF!,"AAAAAF7y/9k=")</f>
        <v>#REF!</v>
      </c>
      <c r="HK227" t="e">
        <f>AND('Reporting '!#REF!,"AAAAAF7y/9o=")</f>
        <v>#REF!</v>
      </c>
      <c r="HL227" t="e">
        <f>AND('Reporting '!#REF!,"AAAAAF7y/9s=")</f>
        <v>#REF!</v>
      </c>
      <c r="HM227" t="e">
        <f>IF('Reporting '!#REF!,"AAAAAF7y/9w=",0)</f>
        <v>#REF!</v>
      </c>
      <c r="HN227" t="e">
        <f>AND('Reporting '!#REF!,"AAAAAF7y/90=")</f>
        <v>#REF!</v>
      </c>
      <c r="HO227" t="e">
        <f>AND('Reporting '!#REF!,"AAAAAF7y/94=")</f>
        <v>#REF!</v>
      </c>
      <c r="HP227" t="e">
        <f>AND('Reporting '!#REF!,"AAAAAF7y/98=")</f>
        <v>#REF!</v>
      </c>
      <c r="HQ227" t="e">
        <f>AND('Reporting '!#REF!,"AAAAAF7y/+A=")</f>
        <v>#REF!</v>
      </c>
      <c r="HR227" t="e">
        <f>AND('Reporting '!#REF!,"AAAAAF7y/+E=")</f>
        <v>#REF!</v>
      </c>
      <c r="HS227" t="e">
        <f>AND('Reporting '!#REF!,"AAAAAF7y/+I=")</f>
        <v>#REF!</v>
      </c>
      <c r="HT227" t="e">
        <f>AND('Reporting '!#REF!,"AAAAAF7y/+M=")</f>
        <v>#REF!</v>
      </c>
      <c r="HU227" t="e">
        <f>AND('Reporting '!#REF!,"AAAAAF7y/+Q=")</f>
        <v>#REF!</v>
      </c>
      <c r="HV227" t="e">
        <f>AND('Reporting '!#REF!,"AAAAAF7y/+U=")</f>
        <v>#REF!</v>
      </c>
      <c r="HW227" t="e">
        <f>AND('Reporting '!#REF!,"AAAAAF7y/+Y=")</f>
        <v>#REF!</v>
      </c>
      <c r="HX227" t="e">
        <f>AND('Reporting '!#REF!,"AAAAAF7y/+c=")</f>
        <v>#REF!</v>
      </c>
      <c r="HY227" t="e">
        <f>AND('Reporting '!#REF!,"AAAAAF7y/+g=")</f>
        <v>#REF!</v>
      </c>
      <c r="HZ227" t="e">
        <f>AND('Reporting '!#REF!,"AAAAAF7y/+k=")</f>
        <v>#REF!</v>
      </c>
      <c r="IA227" t="e">
        <f>AND('Reporting '!#REF!,"AAAAAF7y/+o=")</f>
        <v>#REF!</v>
      </c>
      <c r="IB227" t="e">
        <f>IF('Reporting '!#REF!,"AAAAAF7y/+s=",0)</f>
        <v>#REF!</v>
      </c>
      <c r="IC227" t="e">
        <f>AND('Reporting '!#REF!,"AAAAAF7y/+w=")</f>
        <v>#REF!</v>
      </c>
      <c r="ID227" t="e">
        <f>AND('Reporting '!#REF!,"AAAAAF7y/+0=")</f>
        <v>#REF!</v>
      </c>
      <c r="IE227" t="e">
        <f>AND('Reporting '!#REF!,"AAAAAF7y/+4=")</f>
        <v>#REF!</v>
      </c>
      <c r="IF227" t="e">
        <f>AND('Reporting '!#REF!,"AAAAAF7y/+8=")</f>
        <v>#REF!</v>
      </c>
      <c r="IG227" t="e">
        <f>AND('Reporting '!#REF!,"AAAAAF7y//A=")</f>
        <v>#REF!</v>
      </c>
      <c r="IH227" t="e">
        <f>AND('Reporting '!#REF!,"AAAAAF7y//E=")</f>
        <v>#REF!</v>
      </c>
      <c r="II227" t="e">
        <f>AND('Reporting '!#REF!,"AAAAAF7y//I=")</f>
        <v>#REF!</v>
      </c>
      <c r="IJ227" t="e">
        <f>AND('Reporting '!#REF!,"AAAAAF7y//M=")</f>
        <v>#REF!</v>
      </c>
      <c r="IK227" t="e">
        <f>AND('Reporting '!#REF!,"AAAAAF7y//Q=")</f>
        <v>#REF!</v>
      </c>
      <c r="IL227" t="e">
        <f>AND('Reporting '!#REF!,"AAAAAF7y//U=")</f>
        <v>#REF!</v>
      </c>
      <c r="IM227" t="e">
        <f>AND('Reporting '!#REF!,"AAAAAF7y//Y=")</f>
        <v>#REF!</v>
      </c>
      <c r="IN227" t="e">
        <f>AND('Reporting '!#REF!,"AAAAAF7y//c=")</f>
        <v>#REF!</v>
      </c>
      <c r="IO227" t="e">
        <f>AND('Reporting '!#REF!,"AAAAAF7y//g=")</f>
        <v>#REF!</v>
      </c>
      <c r="IP227" t="e">
        <f>AND('Reporting '!#REF!,"AAAAAF7y//k=")</f>
        <v>#REF!</v>
      </c>
      <c r="IQ227" t="e">
        <f>IF('Reporting '!#REF!,"AAAAAF7y//o=",0)</f>
        <v>#REF!</v>
      </c>
      <c r="IR227" t="e">
        <f>AND('Reporting '!#REF!,"AAAAAF7y//s=")</f>
        <v>#REF!</v>
      </c>
      <c r="IS227" t="e">
        <f>AND('Reporting '!#REF!,"AAAAAF7y//w=")</f>
        <v>#REF!</v>
      </c>
      <c r="IT227" t="e">
        <f>AND('Reporting '!#REF!,"AAAAAF7y//0=")</f>
        <v>#REF!</v>
      </c>
      <c r="IU227" t="e">
        <f>AND('Reporting '!#REF!,"AAAAAF7y//4=")</f>
        <v>#REF!</v>
      </c>
      <c r="IV227" t="e">
        <f>AND('Reporting '!#REF!,"AAAAAF7y//8=")</f>
        <v>#REF!</v>
      </c>
    </row>
    <row r="228" spans="1:256" x14ac:dyDescent="0.2">
      <c r="A228" t="e">
        <f>AND('Reporting '!#REF!,"AAAAAE/V3wA=")</f>
        <v>#REF!</v>
      </c>
      <c r="B228" t="e">
        <f>AND('Reporting '!#REF!,"AAAAAE/V3wE=")</f>
        <v>#REF!</v>
      </c>
      <c r="C228" t="e">
        <f>AND('Reporting '!#REF!,"AAAAAE/V3wI=")</f>
        <v>#REF!</v>
      </c>
      <c r="D228" t="e">
        <f>AND('Reporting '!#REF!,"AAAAAE/V3wM=")</f>
        <v>#REF!</v>
      </c>
      <c r="E228" t="e">
        <f>AND('Reporting '!#REF!,"AAAAAE/V3wQ=")</f>
        <v>#REF!</v>
      </c>
      <c r="F228" t="e">
        <f>AND('Reporting '!#REF!,"AAAAAE/V3wU=")</f>
        <v>#REF!</v>
      </c>
      <c r="G228" t="e">
        <f>AND('Reporting '!#REF!,"AAAAAE/V3wY=")</f>
        <v>#REF!</v>
      </c>
      <c r="H228" t="e">
        <f>AND('Reporting '!#REF!,"AAAAAE/V3wc=")</f>
        <v>#REF!</v>
      </c>
      <c r="I228" t="e">
        <f>AND('Reporting '!#REF!,"AAAAAE/V3wg=")</f>
        <v>#REF!</v>
      </c>
      <c r="J228" t="e">
        <f>IF('Reporting '!#REF!,"AAAAAE/V3wk=",0)</f>
        <v>#REF!</v>
      </c>
      <c r="K228" t="e">
        <f>AND('Reporting '!#REF!,"AAAAAE/V3wo=")</f>
        <v>#REF!</v>
      </c>
      <c r="L228" t="e">
        <f>AND('Reporting '!#REF!,"AAAAAE/V3ws=")</f>
        <v>#REF!</v>
      </c>
      <c r="M228" t="e">
        <f>AND('Reporting '!#REF!,"AAAAAE/V3ww=")</f>
        <v>#REF!</v>
      </c>
      <c r="N228" t="e">
        <f>AND('Reporting '!#REF!,"AAAAAE/V3w0=")</f>
        <v>#REF!</v>
      </c>
      <c r="O228" t="e">
        <f>AND('Reporting '!#REF!,"AAAAAE/V3w4=")</f>
        <v>#REF!</v>
      </c>
      <c r="P228" t="e">
        <f>AND('Reporting '!#REF!,"AAAAAE/V3w8=")</f>
        <v>#REF!</v>
      </c>
      <c r="Q228" t="e">
        <f>AND('Reporting '!#REF!,"AAAAAE/V3xA=")</f>
        <v>#REF!</v>
      </c>
      <c r="R228" t="e">
        <f>AND('Reporting '!#REF!,"AAAAAE/V3xE=")</f>
        <v>#REF!</v>
      </c>
      <c r="S228" t="e">
        <f>AND('Reporting '!#REF!,"AAAAAE/V3xI=")</f>
        <v>#REF!</v>
      </c>
      <c r="T228" t="e">
        <f>AND('Reporting '!#REF!,"AAAAAE/V3xM=")</f>
        <v>#REF!</v>
      </c>
      <c r="U228" t="e">
        <f>AND('Reporting '!#REF!,"AAAAAE/V3xQ=")</f>
        <v>#REF!</v>
      </c>
      <c r="V228" t="e">
        <f>AND('Reporting '!#REF!,"AAAAAE/V3xU=")</f>
        <v>#REF!</v>
      </c>
      <c r="W228" t="e">
        <f>AND('Reporting '!#REF!,"AAAAAE/V3xY=")</f>
        <v>#REF!</v>
      </c>
      <c r="X228" t="e">
        <f>AND('Reporting '!#REF!,"AAAAAE/V3xc=")</f>
        <v>#REF!</v>
      </c>
      <c r="Y228" t="e">
        <f>IF('Reporting '!#REF!,"AAAAAE/V3xg=",0)</f>
        <v>#REF!</v>
      </c>
      <c r="Z228" t="e">
        <f>AND('Reporting '!#REF!,"AAAAAE/V3xk=")</f>
        <v>#REF!</v>
      </c>
      <c r="AA228" t="e">
        <f>AND('Reporting '!#REF!,"AAAAAE/V3xo=")</f>
        <v>#REF!</v>
      </c>
      <c r="AB228" t="e">
        <f>AND('Reporting '!#REF!,"AAAAAE/V3xs=")</f>
        <v>#REF!</v>
      </c>
      <c r="AC228" t="e">
        <f>AND('Reporting '!#REF!,"AAAAAE/V3xw=")</f>
        <v>#REF!</v>
      </c>
      <c r="AD228" t="e">
        <f>AND('Reporting '!#REF!,"AAAAAE/V3x0=")</f>
        <v>#REF!</v>
      </c>
      <c r="AE228" t="e">
        <f>AND('Reporting '!#REF!,"AAAAAE/V3x4=")</f>
        <v>#REF!</v>
      </c>
      <c r="AF228" t="e">
        <f>AND('Reporting '!#REF!,"AAAAAE/V3x8=")</f>
        <v>#REF!</v>
      </c>
      <c r="AG228" t="e">
        <f>AND('Reporting '!#REF!,"AAAAAE/V3yA=")</f>
        <v>#REF!</v>
      </c>
      <c r="AH228" t="e">
        <f>AND('Reporting '!#REF!,"AAAAAE/V3yE=")</f>
        <v>#REF!</v>
      </c>
      <c r="AI228" t="e">
        <f>AND('Reporting '!#REF!,"AAAAAE/V3yI=")</f>
        <v>#REF!</v>
      </c>
      <c r="AJ228" t="e">
        <f>AND('Reporting '!#REF!,"AAAAAE/V3yM=")</f>
        <v>#REF!</v>
      </c>
      <c r="AK228" t="e">
        <f>AND('Reporting '!#REF!,"AAAAAE/V3yQ=")</f>
        <v>#REF!</v>
      </c>
      <c r="AL228" t="e">
        <f>AND('Reporting '!#REF!,"AAAAAE/V3yU=")</f>
        <v>#REF!</v>
      </c>
      <c r="AM228" t="e">
        <f>AND('Reporting '!#REF!,"AAAAAE/V3yY=")</f>
        <v>#REF!</v>
      </c>
      <c r="AN228" t="e">
        <f>IF('Reporting '!#REF!,"AAAAAE/V3yc=",0)</f>
        <v>#REF!</v>
      </c>
      <c r="AO228" t="e">
        <f>AND('Reporting '!#REF!,"AAAAAE/V3yg=")</f>
        <v>#REF!</v>
      </c>
      <c r="AP228" t="e">
        <f>AND('Reporting '!#REF!,"AAAAAE/V3yk=")</f>
        <v>#REF!</v>
      </c>
      <c r="AQ228" t="e">
        <f>AND('Reporting '!#REF!,"AAAAAE/V3yo=")</f>
        <v>#REF!</v>
      </c>
      <c r="AR228" t="e">
        <f>AND('Reporting '!#REF!,"AAAAAE/V3ys=")</f>
        <v>#REF!</v>
      </c>
      <c r="AS228" t="e">
        <f>AND('Reporting '!#REF!,"AAAAAE/V3yw=")</f>
        <v>#REF!</v>
      </c>
      <c r="AT228" t="e">
        <f>AND('Reporting '!#REF!,"AAAAAE/V3y0=")</f>
        <v>#REF!</v>
      </c>
      <c r="AU228" t="e">
        <f>AND('Reporting '!#REF!,"AAAAAE/V3y4=")</f>
        <v>#REF!</v>
      </c>
      <c r="AV228" t="e">
        <f>AND('Reporting '!#REF!,"AAAAAE/V3y8=")</f>
        <v>#REF!</v>
      </c>
      <c r="AW228" t="e">
        <f>AND('Reporting '!#REF!,"AAAAAE/V3zA=")</f>
        <v>#REF!</v>
      </c>
      <c r="AX228" t="e">
        <f>AND('Reporting '!#REF!,"AAAAAE/V3zE=")</f>
        <v>#REF!</v>
      </c>
      <c r="AY228" t="e">
        <f>AND('Reporting '!#REF!,"AAAAAE/V3zI=")</f>
        <v>#REF!</v>
      </c>
      <c r="AZ228" t="e">
        <f>AND('Reporting '!#REF!,"AAAAAE/V3zM=")</f>
        <v>#REF!</v>
      </c>
      <c r="BA228" t="e">
        <f>AND('Reporting '!#REF!,"AAAAAE/V3zQ=")</f>
        <v>#REF!</v>
      </c>
      <c r="BB228" t="e">
        <f>AND('Reporting '!#REF!,"AAAAAE/V3zU=")</f>
        <v>#REF!</v>
      </c>
      <c r="BC228" t="e">
        <f>IF('Reporting '!#REF!,"AAAAAE/V3zY=",0)</f>
        <v>#REF!</v>
      </c>
      <c r="BD228" t="e">
        <f>AND('Reporting '!#REF!,"AAAAAE/V3zc=")</f>
        <v>#REF!</v>
      </c>
      <c r="BE228" t="e">
        <f>AND('Reporting '!#REF!,"AAAAAE/V3zg=")</f>
        <v>#REF!</v>
      </c>
      <c r="BF228" t="e">
        <f>AND('Reporting '!#REF!,"AAAAAE/V3zk=")</f>
        <v>#REF!</v>
      </c>
      <c r="BG228" t="e">
        <f>AND('Reporting '!#REF!,"AAAAAE/V3zo=")</f>
        <v>#REF!</v>
      </c>
      <c r="BH228" t="e">
        <f>AND('Reporting '!#REF!,"AAAAAE/V3zs=")</f>
        <v>#REF!</v>
      </c>
      <c r="BI228" t="e">
        <f>AND('Reporting '!#REF!,"AAAAAE/V3zw=")</f>
        <v>#REF!</v>
      </c>
      <c r="BJ228" t="e">
        <f>AND('Reporting '!#REF!,"AAAAAE/V3z0=")</f>
        <v>#REF!</v>
      </c>
      <c r="BK228" t="e">
        <f>AND('Reporting '!#REF!,"AAAAAE/V3z4=")</f>
        <v>#REF!</v>
      </c>
      <c r="BL228" t="e">
        <f>AND('Reporting '!#REF!,"AAAAAE/V3z8=")</f>
        <v>#REF!</v>
      </c>
      <c r="BM228" t="e">
        <f>AND('Reporting '!#REF!,"AAAAAE/V30A=")</f>
        <v>#REF!</v>
      </c>
      <c r="BN228" t="e">
        <f>AND('Reporting '!#REF!,"AAAAAE/V30E=")</f>
        <v>#REF!</v>
      </c>
      <c r="BO228" t="e">
        <f>AND('Reporting '!#REF!,"AAAAAE/V30I=")</f>
        <v>#REF!</v>
      </c>
      <c r="BP228" t="e">
        <f>AND('Reporting '!#REF!,"AAAAAE/V30M=")</f>
        <v>#REF!</v>
      </c>
      <c r="BQ228" t="e">
        <f>AND('Reporting '!#REF!,"AAAAAE/V30Q=")</f>
        <v>#REF!</v>
      </c>
      <c r="BR228" t="e">
        <f>IF('Reporting '!#REF!,"AAAAAE/V30U=",0)</f>
        <v>#REF!</v>
      </c>
      <c r="BS228" t="e">
        <f>AND('Reporting '!#REF!,"AAAAAE/V30Y=")</f>
        <v>#REF!</v>
      </c>
      <c r="BT228" t="e">
        <f>AND('Reporting '!#REF!,"AAAAAE/V30c=")</f>
        <v>#REF!</v>
      </c>
      <c r="BU228" t="e">
        <f>AND('Reporting '!#REF!,"AAAAAE/V30g=")</f>
        <v>#REF!</v>
      </c>
      <c r="BV228" t="e">
        <f>AND('Reporting '!#REF!,"AAAAAE/V30k=")</f>
        <v>#REF!</v>
      </c>
      <c r="BW228" t="e">
        <f>AND('Reporting '!#REF!,"AAAAAE/V30o=")</f>
        <v>#REF!</v>
      </c>
      <c r="BX228" t="e">
        <f>AND('Reporting '!#REF!,"AAAAAE/V30s=")</f>
        <v>#REF!</v>
      </c>
      <c r="BY228" t="e">
        <f>AND('Reporting '!#REF!,"AAAAAE/V30w=")</f>
        <v>#REF!</v>
      </c>
      <c r="BZ228" t="e">
        <f>AND('Reporting '!#REF!,"AAAAAE/V300=")</f>
        <v>#REF!</v>
      </c>
      <c r="CA228" t="e">
        <f>AND('Reporting '!#REF!,"AAAAAE/V304=")</f>
        <v>#REF!</v>
      </c>
      <c r="CB228" t="e">
        <f>AND('Reporting '!#REF!,"AAAAAE/V308=")</f>
        <v>#REF!</v>
      </c>
      <c r="CC228" t="e">
        <f>AND('Reporting '!#REF!,"AAAAAE/V31A=")</f>
        <v>#REF!</v>
      </c>
      <c r="CD228" t="e">
        <f>AND('Reporting '!#REF!,"AAAAAE/V31E=")</f>
        <v>#REF!</v>
      </c>
      <c r="CE228" t="e">
        <f>AND('Reporting '!#REF!,"AAAAAE/V31I=")</f>
        <v>#REF!</v>
      </c>
      <c r="CF228" t="e">
        <f>AND('Reporting '!#REF!,"AAAAAE/V31M=")</f>
        <v>#REF!</v>
      </c>
      <c r="CG228" t="e">
        <f>IF('Reporting '!#REF!,"AAAAAE/V31Q=",0)</f>
        <v>#REF!</v>
      </c>
      <c r="CH228" t="e">
        <f>AND('Reporting '!#REF!,"AAAAAE/V31U=")</f>
        <v>#REF!</v>
      </c>
      <c r="CI228" t="e">
        <f>AND('Reporting '!#REF!,"AAAAAE/V31Y=")</f>
        <v>#REF!</v>
      </c>
      <c r="CJ228" t="e">
        <f>AND('Reporting '!#REF!,"AAAAAE/V31c=")</f>
        <v>#REF!</v>
      </c>
      <c r="CK228" t="e">
        <f>AND('Reporting '!#REF!,"AAAAAE/V31g=")</f>
        <v>#REF!</v>
      </c>
      <c r="CL228" t="e">
        <f>AND('Reporting '!#REF!,"AAAAAE/V31k=")</f>
        <v>#REF!</v>
      </c>
      <c r="CM228" t="e">
        <f>AND('Reporting '!#REF!,"AAAAAE/V31o=")</f>
        <v>#REF!</v>
      </c>
      <c r="CN228" t="e">
        <f>AND('Reporting '!#REF!,"AAAAAE/V31s=")</f>
        <v>#REF!</v>
      </c>
      <c r="CO228" t="e">
        <f>AND('Reporting '!#REF!,"AAAAAE/V31w=")</f>
        <v>#REF!</v>
      </c>
      <c r="CP228" t="e">
        <f>AND('Reporting '!#REF!,"AAAAAE/V310=")</f>
        <v>#REF!</v>
      </c>
      <c r="CQ228" t="e">
        <f>AND('Reporting '!#REF!,"AAAAAE/V314=")</f>
        <v>#REF!</v>
      </c>
      <c r="CR228" t="e">
        <f>AND('Reporting '!#REF!,"AAAAAE/V318=")</f>
        <v>#REF!</v>
      </c>
      <c r="CS228" t="e">
        <f>AND('Reporting '!#REF!,"AAAAAE/V32A=")</f>
        <v>#REF!</v>
      </c>
      <c r="CT228" t="e">
        <f>AND('Reporting '!#REF!,"AAAAAE/V32E=")</f>
        <v>#REF!</v>
      </c>
      <c r="CU228" t="e">
        <f>AND('Reporting '!#REF!,"AAAAAE/V32I=")</f>
        <v>#REF!</v>
      </c>
      <c r="CV228" t="e">
        <f>IF('Reporting '!#REF!,"AAAAAE/V32M=",0)</f>
        <v>#REF!</v>
      </c>
      <c r="CW228" t="e">
        <f>AND('Reporting '!#REF!,"AAAAAE/V32Q=")</f>
        <v>#REF!</v>
      </c>
      <c r="CX228" t="e">
        <f>AND('Reporting '!#REF!,"AAAAAE/V32U=")</f>
        <v>#REF!</v>
      </c>
      <c r="CY228" t="e">
        <f>AND('Reporting '!#REF!,"AAAAAE/V32Y=")</f>
        <v>#REF!</v>
      </c>
      <c r="CZ228" t="e">
        <f>AND('Reporting '!#REF!,"AAAAAE/V32c=")</f>
        <v>#REF!</v>
      </c>
      <c r="DA228" t="e">
        <f>AND('Reporting '!#REF!,"AAAAAE/V32g=")</f>
        <v>#REF!</v>
      </c>
      <c r="DB228" t="e">
        <f>AND('Reporting '!#REF!,"AAAAAE/V32k=")</f>
        <v>#REF!</v>
      </c>
      <c r="DC228" t="e">
        <f>AND('Reporting '!#REF!,"AAAAAE/V32o=")</f>
        <v>#REF!</v>
      </c>
      <c r="DD228" t="e">
        <f>AND('Reporting '!#REF!,"AAAAAE/V32s=")</f>
        <v>#REF!</v>
      </c>
      <c r="DE228" t="e">
        <f>AND('Reporting '!#REF!,"AAAAAE/V32w=")</f>
        <v>#REF!</v>
      </c>
      <c r="DF228" t="e">
        <f>AND('Reporting '!#REF!,"AAAAAE/V320=")</f>
        <v>#REF!</v>
      </c>
      <c r="DG228" t="e">
        <f>AND('Reporting '!#REF!,"AAAAAE/V324=")</f>
        <v>#REF!</v>
      </c>
      <c r="DH228" t="e">
        <f>AND('Reporting '!#REF!,"AAAAAE/V328=")</f>
        <v>#REF!</v>
      </c>
      <c r="DI228" t="e">
        <f>AND('Reporting '!#REF!,"AAAAAE/V33A=")</f>
        <v>#REF!</v>
      </c>
      <c r="DJ228" t="e">
        <f>AND('Reporting '!#REF!,"AAAAAE/V33E=")</f>
        <v>#REF!</v>
      </c>
      <c r="DK228" t="e">
        <f>IF('Reporting '!#REF!,"AAAAAE/V33I=",0)</f>
        <v>#REF!</v>
      </c>
      <c r="DL228" t="e">
        <f>AND('Reporting '!#REF!,"AAAAAE/V33M=")</f>
        <v>#REF!</v>
      </c>
      <c r="DM228" t="e">
        <f>AND('Reporting '!#REF!,"AAAAAE/V33Q=")</f>
        <v>#REF!</v>
      </c>
      <c r="DN228" t="e">
        <f>AND('Reporting '!#REF!,"AAAAAE/V33U=")</f>
        <v>#REF!</v>
      </c>
      <c r="DO228" t="e">
        <f>AND('Reporting '!#REF!,"AAAAAE/V33Y=")</f>
        <v>#REF!</v>
      </c>
      <c r="DP228" t="e">
        <f>AND('Reporting '!#REF!,"AAAAAE/V33c=")</f>
        <v>#REF!</v>
      </c>
      <c r="DQ228" t="e">
        <f>AND('Reporting '!#REF!,"AAAAAE/V33g=")</f>
        <v>#REF!</v>
      </c>
      <c r="DR228" t="e">
        <f>AND('Reporting '!#REF!,"AAAAAE/V33k=")</f>
        <v>#REF!</v>
      </c>
      <c r="DS228" t="e">
        <f>AND('Reporting '!#REF!,"AAAAAE/V33o=")</f>
        <v>#REF!</v>
      </c>
      <c r="DT228" t="e">
        <f>AND('Reporting '!#REF!,"AAAAAE/V33s=")</f>
        <v>#REF!</v>
      </c>
      <c r="DU228" t="e">
        <f>AND('Reporting '!#REF!,"AAAAAE/V33w=")</f>
        <v>#REF!</v>
      </c>
      <c r="DV228" t="e">
        <f>AND('Reporting '!#REF!,"AAAAAE/V330=")</f>
        <v>#REF!</v>
      </c>
      <c r="DW228" t="e">
        <f>AND('Reporting '!#REF!,"AAAAAE/V334=")</f>
        <v>#REF!</v>
      </c>
      <c r="DX228" t="e">
        <f>AND('Reporting '!#REF!,"AAAAAE/V338=")</f>
        <v>#REF!</v>
      </c>
      <c r="DY228" t="e">
        <f>AND('Reporting '!#REF!,"AAAAAE/V34A=")</f>
        <v>#REF!</v>
      </c>
      <c r="DZ228" t="e">
        <f>IF('Reporting '!#REF!,"AAAAAE/V34E=",0)</f>
        <v>#REF!</v>
      </c>
      <c r="EA228" t="e">
        <f>AND('Reporting '!#REF!,"AAAAAE/V34I=")</f>
        <v>#REF!</v>
      </c>
      <c r="EB228" t="e">
        <f>AND('Reporting '!#REF!,"AAAAAE/V34M=")</f>
        <v>#REF!</v>
      </c>
      <c r="EC228" t="e">
        <f>AND('Reporting '!#REF!,"AAAAAE/V34Q=")</f>
        <v>#REF!</v>
      </c>
      <c r="ED228" t="e">
        <f>AND('Reporting '!#REF!,"AAAAAE/V34U=")</f>
        <v>#REF!</v>
      </c>
      <c r="EE228" t="e">
        <f>AND('Reporting '!#REF!,"AAAAAE/V34Y=")</f>
        <v>#REF!</v>
      </c>
      <c r="EF228" t="e">
        <f>AND('Reporting '!#REF!,"AAAAAE/V34c=")</f>
        <v>#REF!</v>
      </c>
      <c r="EG228" t="e">
        <f>AND('Reporting '!#REF!,"AAAAAE/V34g=")</f>
        <v>#REF!</v>
      </c>
      <c r="EH228" t="e">
        <f>AND('Reporting '!#REF!,"AAAAAE/V34k=")</f>
        <v>#REF!</v>
      </c>
      <c r="EI228" t="e">
        <f>AND('Reporting '!#REF!,"AAAAAE/V34o=")</f>
        <v>#REF!</v>
      </c>
      <c r="EJ228" t="e">
        <f>AND('Reporting '!#REF!,"AAAAAE/V34s=")</f>
        <v>#REF!</v>
      </c>
      <c r="EK228" t="e">
        <f>AND('Reporting '!#REF!,"AAAAAE/V34w=")</f>
        <v>#REF!</v>
      </c>
      <c r="EL228" t="e">
        <f>AND('Reporting '!#REF!,"AAAAAE/V340=")</f>
        <v>#REF!</v>
      </c>
      <c r="EM228" t="e">
        <f>AND('Reporting '!#REF!,"AAAAAE/V344=")</f>
        <v>#REF!</v>
      </c>
      <c r="EN228" t="e">
        <f>AND('Reporting '!#REF!,"AAAAAE/V348=")</f>
        <v>#REF!</v>
      </c>
      <c r="EO228" t="e">
        <f>IF('Reporting '!#REF!,"AAAAAE/V35A=",0)</f>
        <v>#REF!</v>
      </c>
      <c r="EP228" t="e">
        <f>AND('Reporting '!#REF!,"AAAAAE/V35E=")</f>
        <v>#REF!</v>
      </c>
      <c r="EQ228" t="e">
        <f>AND('Reporting '!#REF!,"AAAAAE/V35I=")</f>
        <v>#REF!</v>
      </c>
      <c r="ER228" t="e">
        <f>AND('Reporting '!#REF!,"AAAAAE/V35M=")</f>
        <v>#REF!</v>
      </c>
      <c r="ES228" t="e">
        <f>AND('Reporting '!#REF!,"AAAAAE/V35Q=")</f>
        <v>#REF!</v>
      </c>
      <c r="ET228" t="e">
        <f>AND('Reporting '!#REF!,"AAAAAE/V35U=")</f>
        <v>#REF!</v>
      </c>
      <c r="EU228" t="e">
        <f>AND('Reporting '!#REF!,"AAAAAE/V35Y=")</f>
        <v>#REF!</v>
      </c>
      <c r="EV228" t="e">
        <f>AND('Reporting '!#REF!,"AAAAAE/V35c=")</f>
        <v>#REF!</v>
      </c>
      <c r="EW228" t="e">
        <f>AND('Reporting '!#REF!,"AAAAAE/V35g=")</f>
        <v>#REF!</v>
      </c>
      <c r="EX228" t="e">
        <f>AND('Reporting '!#REF!,"AAAAAE/V35k=")</f>
        <v>#REF!</v>
      </c>
      <c r="EY228" t="e">
        <f>AND('Reporting '!#REF!,"AAAAAE/V35o=")</f>
        <v>#REF!</v>
      </c>
      <c r="EZ228" t="e">
        <f>AND('Reporting '!#REF!,"AAAAAE/V35s=")</f>
        <v>#REF!</v>
      </c>
      <c r="FA228" t="e">
        <f>AND('Reporting '!#REF!,"AAAAAE/V35w=")</f>
        <v>#REF!</v>
      </c>
      <c r="FB228" t="e">
        <f>AND('Reporting '!#REF!,"AAAAAE/V350=")</f>
        <v>#REF!</v>
      </c>
      <c r="FC228" t="e">
        <f>AND('Reporting '!#REF!,"AAAAAE/V354=")</f>
        <v>#REF!</v>
      </c>
      <c r="FD228" t="e">
        <f>IF('Reporting '!#REF!,"AAAAAE/V358=",0)</f>
        <v>#REF!</v>
      </c>
      <c r="FE228" t="e">
        <f>AND('Reporting '!#REF!,"AAAAAE/V36A=")</f>
        <v>#REF!</v>
      </c>
      <c r="FF228" t="e">
        <f>AND('Reporting '!#REF!,"AAAAAE/V36E=")</f>
        <v>#REF!</v>
      </c>
      <c r="FG228" t="e">
        <f>AND('Reporting '!#REF!,"AAAAAE/V36I=")</f>
        <v>#REF!</v>
      </c>
      <c r="FH228" t="e">
        <f>AND('Reporting '!#REF!,"AAAAAE/V36M=")</f>
        <v>#REF!</v>
      </c>
      <c r="FI228" t="e">
        <f>AND('Reporting '!#REF!,"AAAAAE/V36Q=")</f>
        <v>#REF!</v>
      </c>
      <c r="FJ228" t="e">
        <f>AND('Reporting '!#REF!,"AAAAAE/V36U=")</f>
        <v>#REF!</v>
      </c>
      <c r="FK228" t="e">
        <f>AND('Reporting '!#REF!,"AAAAAE/V36Y=")</f>
        <v>#REF!</v>
      </c>
      <c r="FL228" t="e">
        <f>AND('Reporting '!#REF!,"AAAAAE/V36c=")</f>
        <v>#REF!</v>
      </c>
      <c r="FM228" t="e">
        <f>AND('Reporting '!#REF!,"AAAAAE/V36g=")</f>
        <v>#REF!</v>
      </c>
      <c r="FN228" t="e">
        <f>AND('Reporting '!#REF!,"AAAAAE/V36k=")</f>
        <v>#REF!</v>
      </c>
      <c r="FO228" t="e">
        <f>AND('Reporting '!#REF!,"AAAAAE/V36o=")</f>
        <v>#REF!</v>
      </c>
      <c r="FP228" t="e">
        <f>AND('Reporting '!#REF!,"AAAAAE/V36s=")</f>
        <v>#REF!</v>
      </c>
      <c r="FQ228" t="e">
        <f>AND('Reporting '!#REF!,"AAAAAE/V36w=")</f>
        <v>#REF!</v>
      </c>
      <c r="FR228" t="e">
        <f>AND('Reporting '!#REF!,"AAAAAE/V360=")</f>
        <v>#REF!</v>
      </c>
      <c r="FS228" t="e">
        <f>IF('Reporting '!#REF!,"AAAAAE/V364=",0)</f>
        <v>#REF!</v>
      </c>
      <c r="FT228" t="e">
        <f>AND('Reporting '!#REF!,"AAAAAE/V368=")</f>
        <v>#REF!</v>
      </c>
      <c r="FU228" t="e">
        <f>AND('Reporting '!#REF!,"AAAAAE/V37A=")</f>
        <v>#REF!</v>
      </c>
      <c r="FV228" t="e">
        <f>AND('Reporting '!#REF!,"AAAAAE/V37E=")</f>
        <v>#REF!</v>
      </c>
      <c r="FW228" t="e">
        <f>AND('Reporting '!#REF!,"AAAAAE/V37I=")</f>
        <v>#REF!</v>
      </c>
      <c r="FX228" t="e">
        <f>AND('Reporting '!#REF!,"AAAAAE/V37M=")</f>
        <v>#REF!</v>
      </c>
      <c r="FY228" t="e">
        <f>AND('Reporting '!#REF!,"AAAAAE/V37Q=")</f>
        <v>#REF!</v>
      </c>
      <c r="FZ228" t="e">
        <f>AND('Reporting '!#REF!,"AAAAAE/V37U=")</f>
        <v>#REF!</v>
      </c>
      <c r="GA228" t="e">
        <f>AND('Reporting '!#REF!,"AAAAAE/V37Y=")</f>
        <v>#REF!</v>
      </c>
      <c r="GB228" t="e">
        <f>AND('Reporting '!#REF!,"AAAAAE/V37c=")</f>
        <v>#REF!</v>
      </c>
      <c r="GC228" t="e">
        <f>AND('Reporting '!#REF!,"AAAAAE/V37g=")</f>
        <v>#REF!</v>
      </c>
      <c r="GD228" t="e">
        <f>AND('Reporting '!#REF!,"AAAAAE/V37k=")</f>
        <v>#REF!</v>
      </c>
      <c r="GE228" t="e">
        <f>AND('Reporting '!#REF!,"AAAAAE/V37o=")</f>
        <v>#REF!</v>
      </c>
      <c r="GF228" t="e">
        <f>AND('Reporting '!#REF!,"AAAAAE/V37s=")</f>
        <v>#REF!</v>
      </c>
      <c r="GG228" t="e">
        <f>AND('Reporting '!#REF!,"AAAAAE/V37w=")</f>
        <v>#REF!</v>
      </c>
      <c r="GH228" t="e">
        <f>IF('Reporting '!#REF!,"AAAAAE/V370=",0)</f>
        <v>#REF!</v>
      </c>
      <c r="GI228" t="e">
        <f>AND('Reporting '!#REF!,"AAAAAE/V374=")</f>
        <v>#REF!</v>
      </c>
      <c r="GJ228" t="e">
        <f>AND('Reporting '!#REF!,"AAAAAE/V378=")</f>
        <v>#REF!</v>
      </c>
      <c r="GK228" t="e">
        <f>AND('Reporting '!#REF!,"AAAAAE/V38A=")</f>
        <v>#REF!</v>
      </c>
      <c r="GL228" t="e">
        <f>AND('Reporting '!#REF!,"AAAAAE/V38E=")</f>
        <v>#REF!</v>
      </c>
      <c r="GM228" t="e">
        <f>AND('Reporting '!#REF!,"AAAAAE/V38I=")</f>
        <v>#REF!</v>
      </c>
      <c r="GN228" t="e">
        <f>AND('Reporting '!#REF!,"AAAAAE/V38M=")</f>
        <v>#REF!</v>
      </c>
      <c r="GO228" t="e">
        <f>AND('Reporting '!#REF!,"AAAAAE/V38Q=")</f>
        <v>#REF!</v>
      </c>
      <c r="GP228" t="e">
        <f>AND('Reporting '!#REF!,"AAAAAE/V38U=")</f>
        <v>#REF!</v>
      </c>
      <c r="GQ228" t="e">
        <f>AND('Reporting '!#REF!,"AAAAAE/V38Y=")</f>
        <v>#REF!</v>
      </c>
      <c r="GR228" t="e">
        <f>AND('Reporting '!#REF!,"AAAAAE/V38c=")</f>
        <v>#REF!</v>
      </c>
      <c r="GS228" t="e">
        <f>AND('Reporting '!#REF!,"AAAAAE/V38g=")</f>
        <v>#REF!</v>
      </c>
      <c r="GT228" t="e">
        <f>AND('Reporting '!#REF!,"AAAAAE/V38k=")</f>
        <v>#REF!</v>
      </c>
      <c r="GU228" t="e">
        <f>AND('Reporting '!#REF!,"AAAAAE/V38o=")</f>
        <v>#REF!</v>
      </c>
      <c r="GV228" t="e">
        <f>AND('Reporting '!#REF!,"AAAAAE/V38s=")</f>
        <v>#REF!</v>
      </c>
      <c r="GW228" t="e">
        <f>IF('Reporting '!#REF!,"AAAAAE/V38w=",0)</f>
        <v>#REF!</v>
      </c>
      <c r="GX228" t="e">
        <f>AND('Reporting '!#REF!,"AAAAAE/V380=")</f>
        <v>#REF!</v>
      </c>
      <c r="GY228" t="e">
        <f>AND('Reporting '!#REF!,"AAAAAE/V384=")</f>
        <v>#REF!</v>
      </c>
      <c r="GZ228" t="e">
        <f>AND('Reporting '!#REF!,"AAAAAE/V388=")</f>
        <v>#REF!</v>
      </c>
      <c r="HA228" t="e">
        <f>AND('Reporting '!#REF!,"AAAAAE/V39A=")</f>
        <v>#REF!</v>
      </c>
      <c r="HB228" t="e">
        <f>AND('Reporting '!#REF!,"AAAAAE/V39E=")</f>
        <v>#REF!</v>
      </c>
      <c r="HC228" t="e">
        <f>AND('Reporting '!#REF!,"AAAAAE/V39I=")</f>
        <v>#REF!</v>
      </c>
      <c r="HD228" t="e">
        <f>AND('Reporting '!#REF!,"AAAAAE/V39M=")</f>
        <v>#REF!</v>
      </c>
      <c r="HE228" t="e">
        <f>AND('Reporting '!#REF!,"AAAAAE/V39Q=")</f>
        <v>#REF!</v>
      </c>
      <c r="HF228" t="e">
        <f>AND('Reporting '!#REF!,"AAAAAE/V39U=")</f>
        <v>#REF!</v>
      </c>
      <c r="HG228" t="e">
        <f>AND('Reporting '!#REF!,"AAAAAE/V39Y=")</f>
        <v>#REF!</v>
      </c>
      <c r="HH228" t="e">
        <f>AND('Reporting '!#REF!,"AAAAAE/V39c=")</f>
        <v>#REF!</v>
      </c>
      <c r="HI228" t="e">
        <f>AND('Reporting '!#REF!,"AAAAAE/V39g=")</f>
        <v>#REF!</v>
      </c>
      <c r="HJ228" t="e">
        <f>AND('Reporting '!#REF!,"AAAAAE/V39k=")</f>
        <v>#REF!</v>
      </c>
      <c r="HK228" t="e">
        <f>AND('Reporting '!#REF!,"AAAAAE/V39o=")</f>
        <v>#REF!</v>
      </c>
      <c r="HL228" t="e">
        <f>IF('Reporting '!#REF!,"AAAAAE/V39s=",0)</f>
        <v>#REF!</v>
      </c>
      <c r="HM228" t="e">
        <f>AND('Reporting '!#REF!,"AAAAAE/V39w=")</f>
        <v>#REF!</v>
      </c>
      <c r="HN228" t="e">
        <f>AND('Reporting '!#REF!,"AAAAAE/V390=")</f>
        <v>#REF!</v>
      </c>
      <c r="HO228" t="e">
        <f>AND('Reporting '!#REF!,"AAAAAE/V394=")</f>
        <v>#REF!</v>
      </c>
      <c r="HP228" t="e">
        <f>AND('Reporting '!#REF!,"AAAAAE/V398=")</f>
        <v>#REF!</v>
      </c>
      <c r="HQ228" t="e">
        <f>AND('Reporting '!#REF!,"AAAAAE/V3+A=")</f>
        <v>#REF!</v>
      </c>
      <c r="HR228" t="e">
        <f>AND('Reporting '!#REF!,"AAAAAE/V3+E=")</f>
        <v>#REF!</v>
      </c>
      <c r="HS228" t="e">
        <f>AND('Reporting '!#REF!,"AAAAAE/V3+I=")</f>
        <v>#REF!</v>
      </c>
      <c r="HT228" t="e">
        <f>AND('Reporting '!#REF!,"AAAAAE/V3+M=")</f>
        <v>#REF!</v>
      </c>
      <c r="HU228" t="e">
        <f>AND('Reporting '!#REF!,"AAAAAE/V3+Q=")</f>
        <v>#REF!</v>
      </c>
      <c r="HV228" t="e">
        <f>AND('Reporting '!#REF!,"AAAAAE/V3+U=")</f>
        <v>#REF!</v>
      </c>
      <c r="HW228" t="e">
        <f>AND('Reporting '!#REF!,"AAAAAE/V3+Y=")</f>
        <v>#REF!</v>
      </c>
      <c r="HX228" t="e">
        <f>AND('Reporting '!#REF!,"AAAAAE/V3+c=")</f>
        <v>#REF!</v>
      </c>
      <c r="HY228" t="e">
        <f>AND('Reporting '!#REF!,"AAAAAE/V3+g=")</f>
        <v>#REF!</v>
      </c>
      <c r="HZ228" t="e">
        <f>AND('Reporting '!#REF!,"AAAAAE/V3+k=")</f>
        <v>#REF!</v>
      </c>
      <c r="IA228" t="e">
        <f>IF('Reporting '!#REF!,"AAAAAE/V3+o=",0)</f>
        <v>#REF!</v>
      </c>
      <c r="IB228" t="e">
        <f>AND('Reporting '!#REF!,"AAAAAE/V3+s=")</f>
        <v>#REF!</v>
      </c>
      <c r="IC228" t="e">
        <f>AND('Reporting '!#REF!,"AAAAAE/V3+w=")</f>
        <v>#REF!</v>
      </c>
      <c r="ID228" t="e">
        <f>AND('Reporting '!#REF!,"AAAAAE/V3+0=")</f>
        <v>#REF!</v>
      </c>
      <c r="IE228" t="e">
        <f>AND('Reporting '!#REF!,"AAAAAE/V3+4=")</f>
        <v>#REF!</v>
      </c>
      <c r="IF228" t="e">
        <f>AND('Reporting '!#REF!,"AAAAAE/V3+8=")</f>
        <v>#REF!</v>
      </c>
      <c r="IG228" t="e">
        <f>AND('Reporting '!#REF!,"AAAAAE/V3/A=")</f>
        <v>#REF!</v>
      </c>
      <c r="IH228" t="e">
        <f>AND('Reporting '!#REF!,"AAAAAE/V3/E=")</f>
        <v>#REF!</v>
      </c>
      <c r="II228" t="e">
        <f>AND('Reporting '!#REF!,"AAAAAE/V3/I=")</f>
        <v>#REF!</v>
      </c>
      <c r="IJ228" t="e">
        <f>AND('Reporting '!#REF!,"AAAAAE/V3/M=")</f>
        <v>#REF!</v>
      </c>
      <c r="IK228" t="e">
        <f>AND('Reporting '!#REF!,"AAAAAE/V3/Q=")</f>
        <v>#REF!</v>
      </c>
      <c r="IL228" t="e">
        <f>AND('Reporting '!#REF!,"AAAAAE/V3/U=")</f>
        <v>#REF!</v>
      </c>
      <c r="IM228" t="e">
        <f>AND('Reporting '!#REF!,"AAAAAE/V3/Y=")</f>
        <v>#REF!</v>
      </c>
      <c r="IN228" t="e">
        <f>AND('Reporting '!#REF!,"AAAAAE/V3/c=")</f>
        <v>#REF!</v>
      </c>
      <c r="IO228" t="e">
        <f>AND('Reporting '!#REF!,"AAAAAE/V3/g=")</f>
        <v>#REF!</v>
      </c>
      <c r="IP228" t="e">
        <f>IF('Reporting '!#REF!,"AAAAAE/V3/k=",0)</f>
        <v>#REF!</v>
      </c>
      <c r="IQ228" t="e">
        <f>AND('Reporting '!#REF!,"AAAAAE/V3/o=")</f>
        <v>#REF!</v>
      </c>
      <c r="IR228" t="e">
        <f>AND('Reporting '!#REF!,"AAAAAE/V3/s=")</f>
        <v>#REF!</v>
      </c>
      <c r="IS228" t="e">
        <f>AND('Reporting '!#REF!,"AAAAAE/V3/w=")</f>
        <v>#REF!</v>
      </c>
      <c r="IT228" t="e">
        <f>AND('Reporting '!#REF!,"AAAAAE/V3/0=")</f>
        <v>#REF!</v>
      </c>
      <c r="IU228" t="e">
        <f>AND('Reporting '!#REF!,"AAAAAE/V3/4=")</f>
        <v>#REF!</v>
      </c>
      <c r="IV228" t="e">
        <f>AND('Reporting '!#REF!,"AAAAAE/V3/8=")</f>
        <v>#REF!</v>
      </c>
    </row>
    <row r="229" spans="1:256" x14ac:dyDescent="0.2">
      <c r="A229" t="e">
        <f>AND('Reporting '!#REF!,"AAAAAHXd5wA=")</f>
        <v>#REF!</v>
      </c>
      <c r="B229" t="e">
        <f>AND('Reporting '!#REF!,"AAAAAHXd5wE=")</f>
        <v>#REF!</v>
      </c>
      <c r="C229" t="e">
        <f>AND('Reporting '!#REF!,"AAAAAHXd5wI=")</f>
        <v>#REF!</v>
      </c>
      <c r="D229" t="e">
        <f>AND('Reporting '!#REF!,"AAAAAHXd5wM=")</f>
        <v>#REF!</v>
      </c>
      <c r="E229" t="e">
        <f>AND('Reporting '!#REF!,"AAAAAHXd5wQ=")</f>
        <v>#REF!</v>
      </c>
      <c r="F229" t="e">
        <f>AND('Reporting '!#REF!,"AAAAAHXd5wU=")</f>
        <v>#REF!</v>
      </c>
      <c r="G229" t="e">
        <f>AND('Reporting '!#REF!,"AAAAAHXd5wY=")</f>
        <v>#REF!</v>
      </c>
      <c r="H229" t="e">
        <f>AND('Reporting '!#REF!,"AAAAAHXd5wc=")</f>
        <v>#REF!</v>
      </c>
      <c r="I229" t="e">
        <f>IF('Reporting '!#REF!,"AAAAAHXd5wg=",0)</f>
        <v>#REF!</v>
      </c>
      <c r="J229" t="e">
        <f>AND('Reporting '!#REF!,"AAAAAHXd5wk=")</f>
        <v>#REF!</v>
      </c>
      <c r="K229" t="e">
        <f>AND('Reporting '!#REF!,"AAAAAHXd5wo=")</f>
        <v>#REF!</v>
      </c>
      <c r="L229" t="e">
        <f>AND('Reporting '!#REF!,"AAAAAHXd5ws=")</f>
        <v>#REF!</v>
      </c>
      <c r="M229" t="e">
        <f>AND('Reporting '!#REF!,"AAAAAHXd5ww=")</f>
        <v>#REF!</v>
      </c>
      <c r="N229" t="e">
        <f>AND('Reporting '!#REF!,"AAAAAHXd5w0=")</f>
        <v>#REF!</v>
      </c>
      <c r="O229" t="e">
        <f>AND('Reporting '!#REF!,"AAAAAHXd5w4=")</f>
        <v>#REF!</v>
      </c>
      <c r="P229" t="e">
        <f>AND('Reporting '!#REF!,"AAAAAHXd5w8=")</f>
        <v>#REF!</v>
      </c>
      <c r="Q229" t="e">
        <f>AND('Reporting '!#REF!,"AAAAAHXd5xA=")</f>
        <v>#REF!</v>
      </c>
      <c r="R229" t="e">
        <f>AND('Reporting '!#REF!,"AAAAAHXd5xE=")</f>
        <v>#REF!</v>
      </c>
      <c r="S229" t="e">
        <f>AND('Reporting '!#REF!,"AAAAAHXd5xI=")</f>
        <v>#REF!</v>
      </c>
      <c r="T229" t="e">
        <f>AND('Reporting '!#REF!,"AAAAAHXd5xM=")</f>
        <v>#REF!</v>
      </c>
      <c r="U229" t="e">
        <f>AND('Reporting '!#REF!,"AAAAAHXd5xQ=")</f>
        <v>#REF!</v>
      </c>
      <c r="V229" t="e">
        <f>AND('Reporting '!#REF!,"AAAAAHXd5xU=")</f>
        <v>#REF!</v>
      </c>
      <c r="W229" t="e">
        <f>AND('Reporting '!#REF!,"AAAAAHXd5xY=")</f>
        <v>#REF!</v>
      </c>
      <c r="X229" t="e">
        <f>IF('Reporting '!#REF!,"AAAAAHXd5xc=",0)</f>
        <v>#REF!</v>
      </c>
      <c r="Y229" t="e">
        <f>AND('Reporting '!#REF!,"AAAAAHXd5xg=")</f>
        <v>#REF!</v>
      </c>
      <c r="Z229" t="e">
        <f>AND('Reporting '!#REF!,"AAAAAHXd5xk=")</f>
        <v>#REF!</v>
      </c>
      <c r="AA229" t="e">
        <f>AND('Reporting '!#REF!,"AAAAAHXd5xo=")</f>
        <v>#REF!</v>
      </c>
      <c r="AB229" t="e">
        <f>AND('Reporting '!#REF!,"AAAAAHXd5xs=")</f>
        <v>#REF!</v>
      </c>
      <c r="AC229" t="e">
        <f>AND('Reporting '!#REF!,"AAAAAHXd5xw=")</f>
        <v>#REF!</v>
      </c>
      <c r="AD229" t="e">
        <f>AND('Reporting '!#REF!,"AAAAAHXd5x0=")</f>
        <v>#REF!</v>
      </c>
      <c r="AE229" t="e">
        <f>AND('Reporting '!#REF!,"AAAAAHXd5x4=")</f>
        <v>#REF!</v>
      </c>
      <c r="AF229" t="e">
        <f>AND('Reporting '!#REF!,"AAAAAHXd5x8=")</f>
        <v>#REF!</v>
      </c>
      <c r="AG229" t="e">
        <f>AND('Reporting '!#REF!,"AAAAAHXd5yA=")</f>
        <v>#REF!</v>
      </c>
      <c r="AH229" t="e">
        <f>AND('Reporting '!#REF!,"AAAAAHXd5yE=")</f>
        <v>#REF!</v>
      </c>
      <c r="AI229" t="e">
        <f>AND('Reporting '!#REF!,"AAAAAHXd5yI=")</f>
        <v>#REF!</v>
      </c>
      <c r="AJ229" t="e">
        <f>AND('Reporting '!#REF!,"AAAAAHXd5yM=")</f>
        <v>#REF!</v>
      </c>
      <c r="AK229" t="e">
        <f>AND('Reporting '!#REF!,"AAAAAHXd5yQ=")</f>
        <v>#REF!</v>
      </c>
      <c r="AL229" t="e">
        <f>AND('Reporting '!#REF!,"AAAAAHXd5yU=")</f>
        <v>#REF!</v>
      </c>
      <c r="AM229" t="e">
        <f>IF('Reporting '!#REF!,"AAAAAHXd5yY=",0)</f>
        <v>#REF!</v>
      </c>
      <c r="AN229" t="e">
        <f>AND('Reporting '!#REF!,"AAAAAHXd5yc=")</f>
        <v>#REF!</v>
      </c>
      <c r="AO229" t="e">
        <f>AND('Reporting '!#REF!,"AAAAAHXd5yg=")</f>
        <v>#REF!</v>
      </c>
      <c r="AP229" t="e">
        <f>AND('Reporting '!#REF!,"AAAAAHXd5yk=")</f>
        <v>#REF!</v>
      </c>
      <c r="AQ229" t="e">
        <f>AND('Reporting '!#REF!,"AAAAAHXd5yo=")</f>
        <v>#REF!</v>
      </c>
      <c r="AR229" t="e">
        <f>AND('Reporting '!#REF!,"AAAAAHXd5ys=")</f>
        <v>#REF!</v>
      </c>
      <c r="AS229" t="e">
        <f>AND('Reporting '!#REF!,"AAAAAHXd5yw=")</f>
        <v>#REF!</v>
      </c>
      <c r="AT229" t="e">
        <f>AND('Reporting '!#REF!,"AAAAAHXd5y0=")</f>
        <v>#REF!</v>
      </c>
      <c r="AU229" t="e">
        <f>AND('Reporting '!#REF!,"AAAAAHXd5y4=")</f>
        <v>#REF!</v>
      </c>
      <c r="AV229" t="e">
        <f>AND('Reporting '!#REF!,"AAAAAHXd5y8=")</f>
        <v>#REF!</v>
      </c>
      <c r="AW229" t="e">
        <f>AND('Reporting '!#REF!,"AAAAAHXd5zA=")</f>
        <v>#REF!</v>
      </c>
      <c r="AX229" t="e">
        <f>AND('Reporting '!#REF!,"AAAAAHXd5zE=")</f>
        <v>#REF!</v>
      </c>
      <c r="AY229" t="e">
        <f>AND('Reporting '!#REF!,"AAAAAHXd5zI=")</f>
        <v>#REF!</v>
      </c>
      <c r="AZ229" t="e">
        <f>AND('Reporting '!#REF!,"AAAAAHXd5zM=")</f>
        <v>#REF!</v>
      </c>
      <c r="BA229" t="e">
        <f>AND('Reporting '!#REF!,"AAAAAHXd5zQ=")</f>
        <v>#REF!</v>
      </c>
      <c r="BB229" t="e">
        <f>IF('Reporting '!#REF!,"AAAAAHXd5zU=",0)</f>
        <v>#REF!</v>
      </c>
      <c r="BC229" t="e">
        <f>AND('Reporting '!#REF!,"AAAAAHXd5zY=")</f>
        <v>#REF!</v>
      </c>
      <c r="BD229" t="e">
        <f>AND('Reporting '!#REF!,"AAAAAHXd5zc=")</f>
        <v>#REF!</v>
      </c>
      <c r="BE229" t="e">
        <f>AND('Reporting '!#REF!,"AAAAAHXd5zg=")</f>
        <v>#REF!</v>
      </c>
      <c r="BF229" t="e">
        <f>AND('Reporting '!#REF!,"AAAAAHXd5zk=")</f>
        <v>#REF!</v>
      </c>
      <c r="BG229" t="e">
        <f>AND('Reporting '!#REF!,"AAAAAHXd5zo=")</f>
        <v>#REF!</v>
      </c>
      <c r="BH229" t="e">
        <f>AND('Reporting '!#REF!,"AAAAAHXd5zs=")</f>
        <v>#REF!</v>
      </c>
      <c r="BI229" t="e">
        <f>AND('Reporting '!#REF!,"AAAAAHXd5zw=")</f>
        <v>#REF!</v>
      </c>
      <c r="BJ229" t="e">
        <f>AND('Reporting '!#REF!,"AAAAAHXd5z0=")</f>
        <v>#REF!</v>
      </c>
      <c r="BK229" t="e">
        <f>AND('Reporting '!#REF!,"AAAAAHXd5z4=")</f>
        <v>#REF!</v>
      </c>
      <c r="BL229" t="e">
        <f>AND('Reporting '!#REF!,"AAAAAHXd5z8=")</f>
        <v>#REF!</v>
      </c>
      <c r="BM229" t="e">
        <f>AND('Reporting '!#REF!,"AAAAAHXd50A=")</f>
        <v>#REF!</v>
      </c>
      <c r="BN229" t="e">
        <f>AND('Reporting '!#REF!,"AAAAAHXd50E=")</f>
        <v>#REF!</v>
      </c>
      <c r="BO229" t="e">
        <f>AND('Reporting '!#REF!,"AAAAAHXd50I=")</f>
        <v>#REF!</v>
      </c>
      <c r="BP229" t="e">
        <f>AND('Reporting '!#REF!,"AAAAAHXd50M=")</f>
        <v>#REF!</v>
      </c>
      <c r="BQ229" t="e">
        <f>IF('Reporting '!#REF!,"AAAAAHXd50Q=",0)</f>
        <v>#REF!</v>
      </c>
      <c r="BR229" t="e">
        <f>AND('Reporting '!#REF!,"AAAAAHXd50U=")</f>
        <v>#REF!</v>
      </c>
      <c r="BS229" t="e">
        <f>AND('Reporting '!#REF!,"AAAAAHXd50Y=")</f>
        <v>#REF!</v>
      </c>
      <c r="BT229" t="e">
        <f>AND('Reporting '!#REF!,"AAAAAHXd50c=")</f>
        <v>#REF!</v>
      </c>
      <c r="BU229" t="e">
        <f>AND('Reporting '!#REF!,"AAAAAHXd50g=")</f>
        <v>#REF!</v>
      </c>
      <c r="BV229" t="e">
        <f>AND('Reporting '!#REF!,"AAAAAHXd50k=")</f>
        <v>#REF!</v>
      </c>
      <c r="BW229" t="e">
        <f>AND('Reporting '!#REF!,"AAAAAHXd50o=")</f>
        <v>#REF!</v>
      </c>
      <c r="BX229" t="e">
        <f>AND('Reporting '!#REF!,"AAAAAHXd50s=")</f>
        <v>#REF!</v>
      </c>
      <c r="BY229" t="e">
        <f>AND('Reporting '!#REF!,"AAAAAHXd50w=")</f>
        <v>#REF!</v>
      </c>
      <c r="BZ229" t="e">
        <f>AND('Reporting '!#REF!,"AAAAAHXd500=")</f>
        <v>#REF!</v>
      </c>
      <c r="CA229" t="e">
        <f>AND('Reporting '!#REF!,"AAAAAHXd504=")</f>
        <v>#REF!</v>
      </c>
      <c r="CB229" t="e">
        <f>AND('Reporting '!#REF!,"AAAAAHXd508=")</f>
        <v>#REF!</v>
      </c>
      <c r="CC229" t="e">
        <f>AND('Reporting '!#REF!,"AAAAAHXd51A=")</f>
        <v>#REF!</v>
      </c>
      <c r="CD229" t="e">
        <f>AND('Reporting '!#REF!,"AAAAAHXd51E=")</f>
        <v>#REF!</v>
      </c>
      <c r="CE229" t="e">
        <f>AND('Reporting '!#REF!,"AAAAAHXd51I=")</f>
        <v>#REF!</v>
      </c>
      <c r="CF229" t="e">
        <f>IF('Reporting '!#REF!,"AAAAAHXd51M=",0)</f>
        <v>#REF!</v>
      </c>
      <c r="CG229" t="e">
        <f>AND('Reporting '!#REF!,"AAAAAHXd51Q=")</f>
        <v>#REF!</v>
      </c>
      <c r="CH229" t="e">
        <f>AND('Reporting '!#REF!,"AAAAAHXd51U=")</f>
        <v>#REF!</v>
      </c>
      <c r="CI229" t="e">
        <f>AND('Reporting '!#REF!,"AAAAAHXd51Y=")</f>
        <v>#REF!</v>
      </c>
      <c r="CJ229" t="e">
        <f>AND('Reporting '!#REF!,"AAAAAHXd51c=")</f>
        <v>#REF!</v>
      </c>
      <c r="CK229" t="e">
        <f>AND('Reporting '!#REF!,"AAAAAHXd51g=")</f>
        <v>#REF!</v>
      </c>
      <c r="CL229" t="e">
        <f>AND('Reporting '!#REF!,"AAAAAHXd51k=")</f>
        <v>#REF!</v>
      </c>
      <c r="CM229" t="e">
        <f>AND('Reporting '!#REF!,"AAAAAHXd51o=")</f>
        <v>#REF!</v>
      </c>
      <c r="CN229" t="e">
        <f>AND('Reporting '!#REF!,"AAAAAHXd51s=")</f>
        <v>#REF!</v>
      </c>
      <c r="CO229" t="e">
        <f>AND('Reporting '!#REF!,"AAAAAHXd51w=")</f>
        <v>#REF!</v>
      </c>
      <c r="CP229" t="e">
        <f>AND('Reporting '!#REF!,"AAAAAHXd510=")</f>
        <v>#REF!</v>
      </c>
      <c r="CQ229" t="e">
        <f>AND('Reporting '!#REF!,"AAAAAHXd514=")</f>
        <v>#REF!</v>
      </c>
      <c r="CR229" t="e">
        <f>AND('Reporting '!#REF!,"AAAAAHXd518=")</f>
        <v>#REF!</v>
      </c>
      <c r="CS229" t="e">
        <f>AND('Reporting '!#REF!,"AAAAAHXd52A=")</f>
        <v>#REF!</v>
      </c>
      <c r="CT229" t="e">
        <f>AND('Reporting '!#REF!,"AAAAAHXd52E=")</f>
        <v>#REF!</v>
      </c>
      <c r="CU229" t="e">
        <f>IF('Reporting '!#REF!,"AAAAAHXd52I=",0)</f>
        <v>#REF!</v>
      </c>
      <c r="CV229" t="e">
        <f>AND('Reporting '!#REF!,"AAAAAHXd52M=")</f>
        <v>#REF!</v>
      </c>
      <c r="CW229" t="e">
        <f>AND('Reporting '!#REF!,"AAAAAHXd52Q=")</f>
        <v>#REF!</v>
      </c>
      <c r="CX229" t="e">
        <f>AND('Reporting '!#REF!,"AAAAAHXd52U=")</f>
        <v>#REF!</v>
      </c>
      <c r="CY229" t="e">
        <f>AND('Reporting '!#REF!,"AAAAAHXd52Y=")</f>
        <v>#REF!</v>
      </c>
      <c r="CZ229" t="e">
        <f>AND('Reporting '!#REF!,"AAAAAHXd52c=")</f>
        <v>#REF!</v>
      </c>
      <c r="DA229" t="e">
        <f>AND('Reporting '!#REF!,"AAAAAHXd52g=")</f>
        <v>#REF!</v>
      </c>
      <c r="DB229" t="e">
        <f>AND('Reporting '!#REF!,"AAAAAHXd52k=")</f>
        <v>#REF!</v>
      </c>
      <c r="DC229" t="e">
        <f>AND('Reporting '!#REF!,"AAAAAHXd52o=")</f>
        <v>#REF!</v>
      </c>
      <c r="DD229" t="e">
        <f>AND('Reporting '!#REF!,"AAAAAHXd52s=")</f>
        <v>#REF!</v>
      </c>
      <c r="DE229" t="e">
        <f>AND('Reporting '!#REF!,"AAAAAHXd52w=")</f>
        <v>#REF!</v>
      </c>
      <c r="DF229" t="e">
        <f>AND('Reporting '!#REF!,"AAAAAHXd520=")</f>
        <v>#REF!</v>
      </c>
      <c r="DG229" t="e">
        <f>AND('Reporting '!#REF!,"AAAAAHXd524=")</f>
        <v>#REF!</v>
      </c>
      <c r="DH229" t="e">
        <f>AND('Reporting '!#REF!,"AAAAAHXd528=")</f>
        <v>#REF!</v>
      </c>
      <c r="DI229" t="e">
        <f>AND('Reporting '!#REF!,"AAAAAHXd53A=")</f>
        <v>#REF!</v>
      </c>
      <c r="DJ229" t="e">
        <f>IF('Reporting '!#REF!,"AAAAAHXd53E=",0)</f>
        <v>#REF!</v>
      </c>
      <c r="DK229" t="e">
        <f>AND('Reporting '!#REF!,"AAAAAHXd53I=")</f>
        <v>#REF!</v>
      </c>
      <c r="DL229" t="e">
        <f>AND('Reporting '!#REF!,"AAAAAHXd53M=")</f>
        <v>#REF!</v>
      </c>
      <c r="DM229" t="e">
        <f>AND('Reporting '!#REF!,"AAAAAHXd53Q=")</f>
        <v>#REF!</v>
      </c>
      <c r="DN229" t="e">
        <f>AND('Reporting '!#REF!,"AAAAAHXd53U=")</f>
        <v>#REF!</v>
      </c>
      <c r="DO229" t="e">
        <f>AND('Reporting '!#REF!,"AAAAAHXd53Y=")</f>
        <v>#REF!</v>
      </c>
      <c r="DP229" t="e">
        <f>AND('Reporting '!#REF!,"AAAAAHXd53c=")</f>
        <v>#REF!</v>
      </c>
      <c r="DQ229" t="e">
        <f>AND('Reporting '!#REF!,"AAAAAHXd53g=")</f>
        <v>#REF!</v>
      </c>
      <c r="DR229" t="e">
        <f>AND('Reporting '!#REF!,"AAAAAHXd53k=")</f>
        <v>#REF!</v>
      </c>
      <c r="DS229" t="e">
        <f>AND('Reporting '!#REF!,"AAAAAHXd53o=")</f>
        <v>#REF!</v>
      </c>
      <c r="DT229" t="e">
        <f>AND('Reporting '!#REF!,"AAAAAHXd53s=")</f>
        <v>#REF!</v>
      </c>
      <c r="DU229" t="e">
        <f>AND('Reporting '!#REF!,"AAAAAHXd53w=")</f>
        <v>#REF!</v>
      </c>
      <c r="DV229" t="e">
        <f>AND('Reporting '!#REF!,"AAAAAHXd530=")</f>
        <v>#REF!</v>
      </c>
      <c r="DW229" t="e">
        <f>AND('Reporting '!#REF!,"AAAAAHXd534=")</f>
        <v>#REF!</v>
      </c>
      <c r="DX229" t="e">
        <f>AND('Reporting '!#REF!,"AAAAAHXd538=")</f>
        <v>#REF!</v>
      </c>
      <c r="DY229" t="e">
        <f>IF('Reporting '!#REF!,"AAAAAHXd54A=",0)</f>
        <v>#REF!</v>
      </c>
      <c r="DZ229" t="e">
        <f>AND('Reporting '!#REF!,"AAAAAHXd54E=")</f>
        <v>#REF!</v>
      </c>
      <c r="EA229" t="e">
        <f>AND('Reporting '!#REF!,"AAAAAHXd54I=")</f>
        <v>#REF!</v>
      </c>
      <c r="EB229" t="e">
        <f>AND('Reporting '!#REF!,"AAAAAHXd54M=")</f>
        <v>#REF!</v>
      </c>
      <c r="EC229" t="e">
        <f>AND('Reporting '!#REF!,"AAAAAHXd54Q=")</f>
        <v>#REF!</v>
      </c>
      <c r="ED229" t="e">
        <f>AND('Reporting '!#REF!,"AAAAAHXd54U=")</f>
        <v>#REF!</v>
      </c>
      <c r="EE229" t="e">
        <f>AND('Reporting '!#REF!,"AAAAAHXd54Y=")</f>
        <v>#REF!</v>
      </c>
      <c r="EF229" t="e">
        <f>AND('Reporting '!#REF!,"AAAAAHXd54c=")</f>
        <v>#REF!</v>
      </c>
      <c r="EG229" t="e">
        <f>AND('Reporting '!#REF!,"AAAAAHXd54g=")</f>
        <v>#REF!</v>
      </c>
      <c r="EH229" t="e">
        <f>AND('Reporting '!#REF!,"AAAAAHXd54k=")</f>
        <v>#REF!</v>
      </c>
      <c r="EI229" t="e">
        <f>AND('Reporting '!#REF!,"AAAAAHXd54o=")</f>
        <v>#REF!</v>
      </c>
      <c r="EJ229" t="e">
        <f>AND('Reporting '!#REF!,"AAAAAHXd54s=")</f>
        <v>#REF!</v>
      </c>
      <c r="EK229" t="e">
        <f>AND('Reporting '!#REF!,"AAAAAHXd54w=")</f>
        <v>#REF!</v>
      </c>
      <c r="EL229" t="e">
        <f>AND('Reporting '!#REF!,"AAAAAHXd540=")</f>
        <v>#REF!</v>
      </c>
      <c r="EM229" t="e">
        <f>AND('Reporting '!#REF!,"AAAAAHXd544=")</f>
        <v>#REF!</v>
      </c>
      <c r="EN229" t="e">
        <f>IF('Reporting '!#REF!,"AAAAAHXd548=",0)</f>
        <v>#REF!</v>
      </c>
      <c r="EO229" t="e">
        <f>AND('Reporting '!#REF!,"AAAAAHXd55A=")</f>
        <v>#REF!</v>
      </c>
      <c r="EP229" t="e">
        <f>AND('Reporting '!#REF!,"AAAAAHXd55E=")</f>
        <v>#REF!</v>
      </c>
      <c r="EQ229" t="e">
        <f>AND('Reporting '!#REF!,"AAAAAHXd55I=")</f>
        <v>#REF!</v>
      </c>
      <c r="ER229" t="e">
        <f>AND('Reporting '!#REF!,"AAAAAHXd55M=")</f>
        <v>#REF!</v>
      </c>
      <c r="ES229" t="e">
        <f>AND('Reporting '!#REF!,"AAAAAHXd55Q=")</f>
        <v>#REF!</v>
      </c>
      <c r="ET229" t="e">
        <f>AND('Reporting '!#REF!,"AAAAAHXd55U=")</f>
        <v>#REF!</v>
      </c>
      <c r="EU229" t="e">
        <f>AND('Reporting '!#REF!,"AAAAAHXd55Y=")</f>
        <v>#REF!</v>
      </c>
      <c r="EV229" t="e">
        <f>AND('Reporting '!#REF!,"AAAAAHXd55c=")</f>
        <v>#REF!</v>
      </c>
      <c r="EW229" t="e">
        <f>AND('Reporting '!#REF!,"AAAAAHXd55g=")</f>
        <v>#REF!</v>
      </c>
      <c r="EX229" t="e">
        <f>AND('Reporting '!#REF!,"AAAAAHXd55k=")</f>
        <v>#REF!</v>
      </c>
      <c r="EY229" t="e">
        <f>AND('Reporting '!#REF!,"AAAAAHXd55o=")</f>
        <v>#REF!</v>
      </c>
      <c r="EZ229" t="e">
        <f>AND('Reporting '!#REF!,"AAAAAHXd55s=")</f>
        <v>#REF!</v>
      </c>
      <c r="FA229" t="e">
        <f>AND('Reporting '!#REF!,"AAAAAHXd55w=")</f>
        <v>#REF!</v>
      </c>
      <c r="FB229" t="e">
        <f>AND('Reporting '!#REF!,"AAAAAHXd550=")</f>
        <v>#REF!</v>
      </c>
      <c r="FC229" t="e">
        <f>IF('Reporting '!#REF!,"AAAAAHXd554=",0)</f>
        <v>#REF!</v>
      </c>
      <c r="FD229" t="e">
        <f>AND('Reporting '!#REF!,"AAAAAHXd558=")</f>
        <v>#REF!</v>
      </c>
      <c r="FE229" t="e">
        <f>AND('Reporting '!#REF!,"AAAAAHXd56A=")</f>
        <v>#REF!</v>
      </c>
      <c r="FF229" t="e">
        <f>AND('Reporting '!#REF!,"AAAAAHXd56E=")</f>
        <v>#REF!</v>
      </c>
      <c r="FG229" t="e">
        <f>AND('Reporting '!#REF!,"AAAAAHXd56I=")</f>
        <v>#REF!</v>
      </c>
      <c r="FH229" t="e">
        <f>AND('Reporting '!#REF!,"AAAAAHXd56M=")</f>
        <v>#REF!</v>
      </c>
      <c r="FI229" t="e">
        <f>AND('Reporting '!#REF!,"AAAAAHXd56Q=")</f>
        <v>#REF!</v>
      </c>
      <c r="FJ229" t="e">
        <f>AND('Reporting '!#REF!,"AAAAAHXd56U=")</f>
        <v>#REF!</v>
      </c>
      <c r="FK229" t="e">
        <f>AND('Reporting '!#REF!,"AAAAAHXd56Y=")</f>
        <v>#REF!</v>
      </c>
      <c r="FL229" t="e">
        <f>AND('Reporting '!#REF!,"AAAAAHXd56c=")</f>
        <v>#REF!</v>
      </c>
      <c r="FM229" t="e">
        <f>AND('Reporting '!#REF!,"AAAAAHXd56g=")</f>
        <v>#REF!</v>
      </c>
      <c r="FN229" t="e">
        <f>AND('Reporting '!#REF!,"AAAAAHXd56k=")</f>
        <v>#REF!</v>
      </c>
      <c r="FO229" t="e">
        <f>AND('Reporting '!#REF!,"AAAAAHXd56o=")</f>
        <v>#REF!</v>
      </c>
      <c r="FP229" t="e">
        <f>AND('Reporting '!#REF!,"AAAAAHXd56s=")</f>
        <v>#REF!</v>
      </c>
      <c r="FQ229" t="e">
        <f>AND('Reporting '!#REF!,"AAAAAHXd56w=")</f>
        <v>#REF!</v>
      </c>
      <c r="FR229" t="e">
        <f>IF('Reporting '!#REF!,"AAAAAHXd560=",0)</f>
        <v>#REF!</v>
      </c>
      <c r="FS229" t="e">
        <f>AND('Reporting '!#REF!,"AAAAAHXd564=")</f>
        <v>#REF!</v>
      </c>
      <c r="FT229" t="e">
        <f>AND('Reporting '!#REF!,"AAAAAHXd568=")</f>
        <v>#REF!</v>
      </c>
      <c r="FU229" t="e">
        <f>AND('Reporting '!#REF!,"AAAAAHXd57A=")</f>
        <v>#REF!</v>
      </c>
      <c r="FV229" t="e">
        <f>AND('Reporting '!#REF!,"AAAAAHXd57E=")</f>
        <v>#REF!</v>
      </c>
      <c r="FW229" t="e">
        <f>AND('Reporting '!#REF!,"AAAAAHXd57I=")</f>
        <v>#REF!</v>
      </c>
      <c r="FX229" t="e">
        <f>AND('Reporting '!#REF!,"AAAAAHXd57M=")</f>
        <v>#REF!</v>
      </c>
      <c r="FY229" t="e">
        <f>AND('Reporting '!#REF!,"AAAAAHXd57Q=")</f>
        <v>#REF!</v>
      </c>
      <c r="FZ229" t="e">
        <f>AND('Reporting '!#REF!,"AAAAAHXd57U=")</f>
        <v>#REF!</v>
      </c>
      <c r="GA229" t="e">
        <f>AND('Reporting '!#REF!,"AAAAAHXd57Y=")</f>
        <v>#REF!</v>
      </c>
      <c r="GB229" t="e">
        <f>AND('Reporting '!#REF!,"AAAAAHXd57c=")</f>
        <v>#REF!</v>
      </c>
      <c r="GC229" t="e">
        <f>AND('Reporting '!#REF!,"AAAAAHXd57g=")</f>
        <v>#REF!</v>
      </c>
      <c r="GD229" t="e">
        <f>AND('Reporting '!#REF!,"AAAAAHXd57k=")</f>
        <v>#REF!</v>
      </c>
      <c r="GE229" t="e">
        <f>AND('Reporting '!#REF!,"AAAAAHXd57o=")</f>
        <v>#REF!</v>
      </c>
      <c r="GF229" t="e">
        <f>AND('Reporting '!#REF!,"AAAAAHXd57s=")</f>
        <v>#REF!</v>
      </c>
      <c r="GG229" t="e">
        <f>IF('Reporting '!#REF!,"AAAAAHXd57w=",0)</f>
        <v>#REF!</v>
      </c>
      <c r="GH229" t="e">
        <f>AND('Reporting '!#REF!,"AAAAAHXd570=")</f>
        <v>#REF!</v>
      </c>
      <c r="GI229" t="e">
        <f>AND('Reporting '!#REF!,"AAAAAHXd574=")</f>
        <v>#REF!</v>
      </c>
      <c r="GJ229" t="e">
        <f>AND('Reporting '!#REF!,"AAAAAHXd578=")</f>
        <v>#REF!</v>
      </c>
      <c r="GK229" t="e">
        <f>AND('Reporting '!#REF!,"AAAAAHXd58A=")</f>
        <v>#REF!</v>
      </c>
      <c r="GL229" t="e">
        <f>AND('Reporting '!#REF!,"AAAAAHXd58E=")</f>
        <v>#REF!</v>
      </c>
      <c r="GM229" t="e">
        <f>AND('Reporting '!#REF!,"AAAAAHXd58I=")</f>
        <v>#REF!</v>
      </c>
      <c r="GN229" t="e">
        <f>AND('Reporting '!#REF!,"AAAAAHXd58M=")</f>
        <v>#REF!</v>
      </c>
      <c r="GO229" t="e">
        <f>AND('Reporting '!#REF!,"AAAAAHXd58Q=")</f>
        <v>#REF!</v>
      </c>
      <c r="GP229" t="e">
        <f>AND('Reporting '!#REF!,"AAAAAHXd58U=")</f>
        <v>#REF!</v>
      </c>
      <c r="GQ229" t="e">
        <f>AND('Reporting '!#REF!,"AAAAAHXd58Y=")</f>
        <v>#REF!</v>
      </c>
      <c r="GR229" t="e">
        <f>AND('Reporting '!#REF!,"AAAAAHXd58c=")</f>
        <v>#REF!</v>
      </c>
      <c r="GS229" t="e">
        <f>AND('Reporting '!#REF!,"AAAAAHXd58g=")</f>
        <v>#REF!</v>
      </c>
      <c r="GT229" t="e">
        <f>AND('Reporting '!#REF!,"AAAAAHXd58k=")</f>
        <v>#REF!</v>
      </c>
      <c r="GU229" t="e">
        <f>AND('Reporting '!#REF!,"AAAAAHXd58o=")</f>
        <v>#REF!</v>
      </c>
      <c r="GV229" t="e">
        <f>IF('Reporting '!#REF!,"AAAAAHXd58s=",0)</f>
        <v>#REF!</v>
      </c>
      <c r="GW229" t="e">
        <f>AND('Reporting '!#REF!,"AAAAAHXd58w=")</f>
        <v>#REF!</v>
      </c>
      <c r="GX229" t="e">
        <f>AND('Reporting '!#REF!,"AAAAAHXd580=")</f>
        <v>#REF!</v>
      </c>
      <c r="GY229" t="e">
        <f>AND('Reporting '!#REF!,"AAAAAHXd584=")</f>
        <v>#REF!</v>
      </c>
      <c r="GZ229" t="e">
        <f>AND('Reporting '!#REF!,"AAAAAHXd588=")</f>
        <v>#REF!</v>
      </c>
      <c r="HA229" t="e">
        <f>AND('Reporting '!#REF!,"AAAAAHXd59A=")</f>
        <v>#REF!</v>
      </c>
      <c r="HB229" t="e">
        <f>AND('Reporting '!#REF!,"AAAAAHXd59E=")</f>
        <v>#REF!</v>
      </c>
      <c r="HC229" t="e">
        <f>AND('Reporting '!#REF!,"AAAAAHXd59I=")</f>
        <v>#REF!</v>
      </c>
      <c r="HD229" t="e">
        <f>AND('Reporting '!#REF!,"AAAAAHXd59M=")</f>
        <v>#REF!</v>
      </c>
      <c r="HE229" t="e">
        <f>AND('Reporting '!#REF!,"AAAAAHXd59Q=")</f>
        <v>#REF!</v>
      </c>
      <c r="HF229" t="e">
        <f>AND('Reporting '!#REF!,"AAAAAHXd59U=")</f>
        <v>#REF!</v>
      </c>
      <c r="HG229" t="e">
        <f>AND('Reporting '!#REF!,"AAAAAHXd59Y=")</f>
        <v>#REF!</v>
      </c>
      <c r="HH229" t="e">
        <f>AND('Reporting '!#REF!,"AAAAAHXd59c=")</f>
        <v>#REF!</v>
      </c>
      <c r="HI229" t="e">
        <f>AND('Reporting '!#REF!,"AAAAAHXd59g=")</f>
        <v>#REF!</v>
      </c>
      <c r="HJ229" t="e">
        <f>AND('Reporting '!#REF!,"AAAAAHXd59k=")</f>
        <v>#REF!</v>
      </c>
      <c r="HK229" t="e">
        <f>IF('Reporting '!#REF!,"AAAAAHXd59o=",0)</f>
        <v>#REF!</v>
      </c>
      <c r="HL229" t="e">
        <f>AND('Reporting '!#REF!,"AAAAAHXd59s=")</f>
        <v>#REF!</v>
      </c>
      <c r="HM229" t="e">
        <f>AND('Reporting '!#REF!,"AAAAAHXd59w=")</f>
        <v>#REF!</v>
      </c>
      <c r="HN229" t="e">
        <f>AND('Reporting '!#REF!,"AAAAAHXd590=")</f>
        <v>#REF!</v>
      </c>
      <c r="HO229" t="e">
        <f>AND('Reporting '!#REF!,"AAAAAHXd594=")</f>
        <v>#REF!</v>
      </c>
      <c r="HP229" t="e">
        <f>AND('Reporting '!#REF!,"AAAAAHXd598=")</f>
        <v>#REF!</v>
      </c>
      <c r="HQ229" t="e">
        <f>AND('Reporting '!#REF!,"AAAAAHXd5+A=")</f>
        <v>#REF!</v>
      </c>
      <c r="HR229" t="e">
        <f>AND('Reporting '!#REF!,"AAAAAHXd5+E=")</f>
        <v>#REF!</v>
      </c>
      <c r="HS229" t="e">
        <f>AND('Reporting '!#REF!,"AAAAAHXd5+I=")</f>
        <v>#REF!</v>
      </c>
      <c r="HT229" t="e">
        <f>AND('Reporting '!#REF!,"AAAAAHXd5+M=")</f>
        <v>#REF!</v>
      </c>
      <c r="HU229" t="e">
        <f>AND('Reporting '!#REF!,"AAAAAHXd5+Q=")</f>
        <v>#REF!</v>
      </c>
      <c r="HV229" t="e">
        <f>AND('Reporting '!#REF!,"AAAAAHXd5+U=")</f>
        <v>#REF!</v>
      </c>
      <c r="HW229" t="e">
        <f>AND('Reporting '!#REF!,"AAAAAHXd5+Y=")</f>
        <v>#REF!</v>
      </c>
      <c r="HX229" t="e">
        <f>AND('Reporting '!#REF!,"AAAAAHXd5+c=")</f>
        <v>#REF!</v>
      </c>
      <c r="HY229" t="e">
        <f>AND('Reporting '!#REF!,"AAAAAHXd5+g=")</f>
        <v>#REF!</v>
      </c>
      <c r="HZ229" t="e">
        <f>IF('Reporting '!#REF!,"AAAAAHXd5+k=",0)</f>
        <v>#REF!</v>
      </c>
      <c r="IA229" t="e">
        <f>AND('Reporting '!#REF!,"AAAAAHXd5+o=")</f>
        <v>#REF!</v>
      </c>
      <c r="IB229" t="e">
        <f>AND('Reporting '!#REF!,"AAAAAHXd5+s=")</f>
        <v>#REF!</v>
      </c>
      <c r="IC229" t="e">
        <f>AND('Reporting '!#REF!,"AAAAAHXd5+w=")</f>
        <v>#REF!</v>
      </c>
      <c r="ID229" t="e">
        <f>AND('Reporting '!#REF!,"AAAAAHXd5+0=")</f>
        <v>#REF!</v>
      </c>
      <c r="IE229" t="e">
        <f>AND('Reporting '!#REF!,"AAAAAHXd5+4=")</f>
        <v>#REF!</v>
      </c>
      <c r="IF229" t="e">
        <f>AND('Reporting '!#REF!,"AAAAAHXd5+8=")</f>
        <v>#REF!</v>
      </c>
      <c r="IG229" t="e">
        <f>AND('Reporting '!#REF!,"AAAAAHXd5/A=")</f>
        <v>#REF!</v>
      </c>
      <c r="IH229" t="e">
        <f>AND('Reporting '!#REF!,"AAAAAHXd5/E=")</f>
        <v>#REF!</v>
      </c>
      <c r="II229" t="e">
        <f>AND('Reporting '!#REF!,"AAAAAHXd5/I=")</f>
        <v>#REF!</v>
      </c>
      <c r="IJ229" t="e">
        <f>AND('Reporting '!#REF!,"AAAAAHXd5/M=")</f>
        <v>#REF!</v>
      </c>
      <c r="IK229" t="e">
        <f>AND('Reporting '!#REF!,"AAAAAHXd5/Q=")</f>
        <v>#REF!</v>
      </c>
      <c r="IL229" t="e">
        <f>AND('Reporting '!#REF!,"AAAAAHXd5/U=")</f>
        <v>#REF!</v>
      </c>
      <c r="IM229" t="e">
        <f>AND('Reporting '!#REF!,"AAAAAHXd5/Y=")</f>
        <v>#REF!</v>
      </c>
      <c r="IN229" t="e">
        <f>AND('Reporting '!#REF!,"AAAAAHXd5/c=")</f>
        <v>#REF!</v>
      </c>
      <c r="IO229" t="e">
        <f>IF('Reporting '!#REF!,"AAAAAHXd5/g=",0)</f>
        <v>#REF!</v>
      </c>
      <c r="IP229" t="e">
        <f>AND('Reporting '!#REF!,"AAAAAHXd5/k=")</f>
        <v>#REF!</v>
      </c>
      <c r="IQ229" t="e">
        <f>AND('Reporting '!#REF!,"AAAAAHXd5/o=")</f>
        <v>#REF!</v>
      </c>
      <c r="IR229" t="e">
        <f>AND('Reporting '!#REF!,"AAAAAHXd5/s=")</f>
        <v>#REF!</v>
      </c>
      <c r="IS229" t="e">
        <f>AND('Reporting '!#REF!,"AAAAAHXd5/w=")</f>
        <v>#REF!</v>
      </c>
      <c r="IT229" t="e">
        <f>AND('Reporting '!#REF!,"AAAAAHXd5/0=")</f>
        <v>#REF!</v>
      </c>
      <c r="IU229" t="e">
        <f>AND('Reporting '!#REF!,"AAAAAHXd5/4=")</f>
        <v>#REF!</v>
      </c>
      <c r="IV229" t="e">
        <f>AND('Reporting '!#REF!,"AAAAAHXd5/8=")</f>
        <v>#REF!</v>
      </c>
    </row>
    <row r="230" spans="1:256" x14ac:dyDescent="0.2">
      <c r="A230" t="e">
        <f>AND('Reporting '!#REF!,"AAAAAHjcxwA=")</f>
        <v>#REF!</v>
      </c>
      <c r="B230" t="e">
        <f>AND('Reporting '!#REF!,"AAAAAHjcxwE=")</f>
        <v>#REF!</v>
      </c>
      <c r="C230" t="e">
        <f>AND('Reporting '!#REF!,"AAAAAHjcxwI=")</f>
        <v>#REF!</v>
      </c>
      <c r="D230" t="e">
        <f>AND('Reporting '!#REF!,"AAAAAHjcxwM=")</f>
        <v>#REF!</v>
      </c>
      <c r="E230" t="e">
        <f>AND('Reporting '!#REF!,"AAAAAHjcxwQ=")</f>
        <v>#REF!</v>
      </c>
      <c r="F230" t="e">
        <f>AND('Reporting '!#REF!,"AAAAAHjcxwU=")</f>
        <v>#REF!</v>
      </c>
      <c r="G230" t="e">
        <f>AND('Reporting '!#REF!,"AAAAAHjcxwY=")</f>
        <v>#REF!</v>
      </c>
      <c r="H230" t="e">
        <f>IF('Reporting '!#REF!,"AAAAAHjcxwc=",0)</f>
        <v>#REF!</v>
      </c>
      <c r="I230" t="e">
        <f>AND('Reporting '!#REF!,"AAAAAHjcxwg=")</f>
        <v>#REF!</v>
      </c>
      <c r="J230" t="e">
        <f>AND('Reporting '!#REF!,"AAAAAHjcxwk=")</f>
        <v>#REF!</v>
      </c>
      <c r="K230" t="e">
        <f>AND('Reporting '!#REF!,"AAAAAHjcxwo=")</f>
        <v>#REF!</v>
      </c>
      <c r="L230" t="e">
        <f>AND('Reporting '!#REF!,"AAAAAHjcxws=")</f>
        <v>#REF!</v>
      </c>
      <c r="M230" t="e">
        <f>AND('Reporting '!#REF!,"AAAAAHjcxww=")</f>
        <v>#REF!</v>
      </c>
      <c r="N230" t="e">
        <f>AND('Reporting '!#REF!,"AAAAAHjcxw0=")</f>
        <v>#REF!</v>
      </c>
      <c r="O230" t="e">
        <f>AND('Reporting '!#REF!,"AAAAAHjcxw4=")</f>
        <v>#REF!</v>
      </c>
      <c r="P230" t="e">
        <f>AND('Reporting '!#REF!,"AAAAAHjcxw8=")</f>
        <v>#REF!</v>
      </c>
      <c r="Q230" t="e">
        <f>AND('Reporting '!#REF!,"AAAAAHjcxxA=")</f>
        <v>#REF!</v>
      </c>
      <c r="R230" t="e">
        <f>AND('Reporting '!#REF!,"AAAAAHjcxxE=")</f>
        <v>#REF!</v>
      </c>
      <c r="S230" t="e">
        <f>AND('Reporting '!#REF!,"AAAAAHjcxxI=")</f>
        <v>#REF!</v>
      </c>
      <c r="T230" t="e">
        <f>AND('Reporting '!#REF!,"AAAAAHjcxxM=")</f>
        <v>#REF!</v>
      </c>
      <c r="U230" t="e">
        <f>AND('Reporting '!#REF!,"AAAAAHjcxxQ=")</f>
        <v>#REF!</v>
      </c>
      <c r="V230" t="e">
        <f>AND('Reporting '!#REF!,"AAAAAHjcxxU=")</f>
        <v>#REF!</v>
      </c>
      <c r="W230" t="e">
        <f>IF('Reporting '!#REF!,"AAAAAHjcxxY=",0)</f>
        <v>#REF!</v>
      </c>
      <c r="X230" t="e">
        <f>AND('Reporting '!#REF!,"AAAAAHjcxxc=")</f>
        <v>#REF!</v>
      </c>
      <c r="Y230" t="e">
        <f>AND('Reporting '!#REF!,"AAAAAHjcxxg=")</f>
        <v>#REF!</v>
      </c>
      <c r="Z230" t="e">
        <f>AND('Reporting '!#REF!,"AAAAAHjcxxk=")</f>
        <v>#REF!</v>
      </c>
      <c r="AA230" t="e">
        <f>AND('Reporting '!#REF!,"AAAAAHjcxxo=")</f>
        <v>#REF!</v>
      </c>
      <c r="AB230" t="e">
        <f>AND('Reporting '!#REF!,"AAAAAHjcxxs=")</f>
        <v>#REF!</v>
      </c>
      <c r="AC230" t="e">
        <f>AND('Reporting '!#REF!,"AAAAAHjcxxw=")</f>
        <v>#REF!</v>
      </c>
      <c r="AD230" t="e">
        <f>AND('Reporting '!#REF!,"AAAAAHjcxx0=")</f>
        <v>#REF!</v>
      </c>
      <c r="AE230" t="e">
        <f>AND('Reporting '!#REF!,"AAAAAHjcxx4=")</f>
        <v>#REF!</v>
      </c>
      <c r="AF230" t="e">
        <f>AND('Reporting '!#REF!,"AAAAAHjcxx8=")</f>
        <v>#REF!</v>
      </c>
      <c r="AG230" t="e">
        <f>AND('Reporting '!#REF!,"AAAAAHjcxyA=")</f>
        <v>#REF!</v>
      </c>
      <c r="AH230" t="e">
        <f>AND('Reporting '!#REF!,"AAAAAHjcxyE=")</f>
        <v>#REF!</v>
      </c>
      <c r="AI230" t="e">
        <f>AND('Reporting '!#REF!,"AAAAAHjcxyI=")</f>
        <v>#REF!</v>
      </c>
      <c r="AJ230" t="e">
        <f>AND('Reporting '!#REF!,"AAAAAHjcxyM=")</f>
        <v>#REF!</v>
      </c>
      <c r="AK230" t="e">
        <f>AND('Reporting '!#REF!,"AAAAAHjcxyQ=")</f>
        <v>#REF!</v>
      </c>
      <c r="AL230" t="e">
        <f>IF('Reporting '!#REF!,"AAAAAHjcxyU=",0)</f>
        <v>#REF!</v>
      </c>
      <c r="AM230" t="e">
        <f>AND('Reporting '!#REF!,"AAAAAHjcxyY=")</f>
        <v>#REF!</v>
      </c>
      <c r="AN230" t="e">
        <f>AND('Reporting '!#REF!,"AAAAAHjcxyc=")</f>
        <v>#REF!</v>
      </c>
      <c r="AO230" t="e">
        <f>AND('Reporting '!#REF!,"AAAAAHjcxyg=")</f>
        <v>#REF!</v>
      </c>
      <c r="AP230" t="e">
        <f>AND('Reporting '!#REF!,"AAAAAHjcxyk=")</f>
        <v>#REF!</v>
      </c>
      <c r="AQ230" t="e">
        <f>AND('Reporting '!#REF!,"AAAAAHjcxyo=")</f>
        <v>#REF!</v>
      </c>
      <c r="AR230" t="e">
        <f>AND('Reporting '!#REF!,"AAAAAHjcxys=")</f>
        <v>#REF!</v>
      </c>
      <c r="AS230" t="e">
        <f>AND('Reporting '!#REF!,"AAAAAHjcxyw=")</f>
        <v>#REF!</v>
      </c>
      <c r="AT230" t="e">
        <f>AND('Reporting '!#REF!,"AAAAAHjcxy0=")</f>
        <v>#REF!</v>
      </c>
      <c r="AU230" t="e">
        <f>AND('Reporting '!#REF!,"AAAAAHjcxy4=")</f>
        <v>#REF!</v>
      </c>
      <c r="AV230" t="e">
        <f>AND('Reporting '!#REF!,"AAAAAHjcxy8=")</f>
        <v>#REF!</v>
      </c>
      <c r="AW230" t="e">
        <f>AND('Reporting '!#REF!,"AAAAAHjcxzA=")</f>
        <v>#REF!</v>
      </c>
      <c r="AX230" t="e">
        <f>AND('Reporting '!#REF!,"AAAAAHjcxzE=")</f>
        <v>#REF!</v>
      </c>
      <c r="AY230" t="e">
        <f>AND('Reporting '!#REF!,"AAAAAHjcxzI=")</f>
        <v>#REF!</v>
      </c>
      <c r="AZ230" t="e">
        <f>AND('Reporting '!#REF!,"AAAAAHjcxzM=")</f>
        <v>#REF!</v>
      </c>
      <c r="BA230" t="e">
        <f>IF('Reporting '!#REF!,"AAAAAHjcxzQ=",0)</f>
        <v>#REF!</v>
      </c>
      <c r="BB230" t="e">
        <f>AND('Reporting '!#REF!,"AAAAAHjcxzU=")</f>
        <v>#REF!</v>
      </c>
      <c r="BC230" t="e">
        <f>AND('Reporting '!#REF!,"AAAAAHjcxzY=")</f>
        <v>#REF!</v>
      </c>
      <c r="BD230" t="e">
        <f>AND('Reporting '!#REF!,"AAAAAHjcxzc=")</f>
        <v>#REF!</v>
      </c>
      <c r="BE230" t="e">
        <f>AND('Reporting '!#REF!,"AAAAAHjcxzg=")</f>
        <v>#REF!</v>
      </c>
      <c r="BF230" t="e">
        <f>AND('Reporting '!#REF!,"AAAAAHjcxzk=")</f>
        <v>#REF!</v>
      </c>
      <c r="BG230" t="e">
        <f>AND('Reporting '!#REF!,"AAAAAHjcxzo=")</f>
        <v>#REF!</v>
      </c>
      <c r="BH230" t="e">
        <f>AND('Reporting '!#REF!,"AAAAAHjcxzs=")</f>
        <v>#REF!</v>
      </c>
      <c r="BI230" t="e">
        <f>AND('Reporting '!#REF!,"AAAAAHjcxzw=")</f>
        <v>#REF!</v>
      </c>
      <c r="BJ230" t="e">
        <f>AND('Reporting '!#REF!,"AAAAAHjcxz0=")</f>
        <v>#REF!</v>
      </c>
      <c r="BK230" t="e">
        <f>AND('Reporting '!#REF!,"AAAAAHjcxz4=")</f>
        <v>#REF!</v>
      </c>
      <c r="BL230" t="e">
        <f>AND('Reporting '!#REF!,"AAAAAHjcxz8=")</f>
        <v>#REF!</v>
      </c>
      <c r="BM230" t="e">
        <f>AND('Reporting '!#REF!,"AAAAAHjcx0A=")</f>
        <v>#REF!</v>
      </c>
      <c r="BN230" t="e">
        <f>AND('Reporting '!#REF!,"AAAAAHjcx0E=")</f>
        <v>#REF!</v>
      </c>
      <c r="BO230" t="e">
        <f>AND('Reporting '!#REF!,"AAAAAHjcx0I=")</f>
        <v>#REF!</v>
      </c>
      <c r="BP230" t="e">
        <f>IF('Reporting '!#REF!,"AAAAAHjcx0M=",0)</f>
        <v>#REF!</v>
      </c>
      <c r="BQ230" t="e">
        <f>AND('Reporting '!#REF!,"AAAAAHjcx0Q=")</f>
        <v>#REF!</v>
      </c>
      <c r="BR230" t="e">
        <f>AND('Reporting '!#REF!,"AAAAAHjcx0U=")</f>
        <v>#REF!</v>
      </c>
      <c r="BS230" t="e">
        <f>AND('Reporting '!#REF!,"AAAAAHjcx0Y=")</f>
        <v>#REF!</v>
      </c>
      <c r="BT230" t="e">
        <f>AND('Reporting '!#REF!,"AAAAAHjcx0c=")</f>
        <v>#REF!</v>
      </c>
      <c r="BU230" t="e">
        <f>AND('Reporting '!#REF!,"AAAAAHjcx0g=")</f>
        <v>#REF!</v>
      </c>
      <c r="BV230" t="e">
        <f>AND('Reporting '!#REF!,"AAAAAHjcx0k=")</f>
        <v>#REF!</v>
      </c>
      <c r="BW230" t="e">
        <f>AND('Reporting '!#REF!,"AAAAAHjcx0o=")</f>
        <v>#REF!</v>
      </c>
      <c r="BX230" t="e">
        <f>AND('Reporting '!#REF!,"AAAAAHjcx0s=")</f>
        <v>#REF!</v>
      </c>
      <c r="BY230" t="e">
        <f>AND('Reporting '!#REF!,"AAAAAHjcx0w=")</f>
        <v>#REF!</v>
      </c>
      <c r="BZ230" t="e">
        <f>AND('Reporting '!#REF!,"AAAAAHjcx00=")</f>
        <v>#REF!</v>
      </c>
      <c r="CA230" t="e">
        <f>AND('Reporting '!#REF!,"AAAAAHjcx04=")</f>
        <v>#REF!</v>
      </c>
      <c r="CB230" t="e">
        <f>AND('Reporting '!#REF!,"AAAAAHjcx08=")</f>
        <v>#REF!</v>
      </c>
      <c r="CC230" t="e">
        <f>AND('Reporting '!#REF!,"AAAAAHjcx1A=")</f>
        <v>#REF!</v>
      </c>
      <c r="CD230" t="e">
        <f>AND('Reporting '!#REF!,"AAAAAHjcx1E=")</f>
        <v>#REF!</v>
      </c>
      <c r="CE230" t="e">
        <f>IF('Reporting '!#REF!,"AAAAAHjcx1I=",0)</f>
        <v>#REF!</v>
      </c>
      <c r="CF230" t="e">
        <f>AND('Reporting '!#REF!,"AAAAAHjcx1M=")</f>
        <v>#REF!</v>
      </c>
      <c r="CG230" t="e">
        <f>AND('Reporting '!#REF!,"AAAAAHjcx1Q=")</f>
        <v>#REF!</v>
      </c>
      <c r="CH230" t="e">
        <f>AND('Reporting '!#REF!,"AAAAAHjcx1U=")</f>
        <v>#REF!</v>
      </c>
      <c r="CI230" t="e">
        <f>AND('Reporting '!#REF!,"AAAAAHjcx1Y=")</f>
        <v>#REF!</v>
      </c>
      <c r="CJ230" t="e">
        <f>AND('Reporting '!#REF!,"AAAAAHjcx1c=")</f>
        <v>#REF!</v>
      </c>
      <c r="CK230" t="e">
        <f>AND('Reporting '!#REF!,"AAAAAHjcx1g=")</f>
        <v>#REF!</v>
      </c>
      <c r="CL230" t="e">
        <f>AND('Reporting '!#REF!,"AAAAAHjcx1k=")</f>
        <v>#REF!</v>
      </c>
      <c r="CM230" t="e">
        <f>AND('Reporting '!#REF!,"AAAAAHjcx1o=")</f>
        <v>#REF!</v>
      </c>
      <c r="CN230" t="e">
        <f>AND('Reporting '!#REF!,"AAAAAHjcx1s=")</f>
        <v>#REF!</v>
      </c>
      <c r="CO230" t="e">
        <f>AND('Reporting '!#REF!,"AAAAAHjcx1w=")</f>
        <v>#REF!</v>
      </c>
      <c r="CP230" t="e">
        <f>AND('Reporting '!#REF!,"AAAAAHjcx10=")</f>
        <v>#REF!</v>
      </c>
      <c r="CQ230" t="e">
        <f>AND('Reporting '!#REF!,"AAAAAHjcx14=")</f>
        <v>#REF!</v>
      </c>
      <c r="CR230" t="e">
        <f>AND('Reporting '!#REF!,"AAAAAHjcx18=")</f>
        <v>#REF!</v>
      </c>
      <c r="CS230" t="e">
        <f>AND('Reporting '!#REF!,"AAAAAHjcx2A=")</f>
        <v>#REF!</v>
      </c>
      <c r="CT230" t="e">
        <f>IF('Reporting '!#REF!,"AAAAAHjcx2E=",0)</f>
        <v>#REF!</v>
      </c>
      <c r="CU230" t="e">
        <f>AND('Reporting '!#REF!,"AAAAAHjcx2I=")</f>
        <v>#REF!</v>
      </c>
      <c r="CV230" t="e">
        <f>AND('Reporting '!#REF!,"AAAAAHjcx2M=")</f>
        <v>#REF!</v>
      </c>
      <c r="CW230" t="e">
        <f>AND('Reporting '!#REF!,"AAAAAHjcx2Q=")</f>
        <v>#REF!</v>
      </c>
      <c r="CX230" t="e">
        <f>AND('Reporting '!#REF!,"AAAAAHjcx2U=")</f>
        <v>#REF!</v>
      </c>
      <c r="CY230" t="e">
        <f>AND('Reporting '!#REF!,"AAAAAHjcx2Y=")</f>
        <v>#REF!</v>
      </c>
      <c r="CZ230" t="e">
        <f>AND('Reporting '!#REF!,"AAAAAHjcx2c=")</f>
        <v>#REF!</v>
      </c>
      <c r="DA230" t="e">
        <f>AND('Reporting '!#REF!,"AAAAAHjcx2g=")</f>
        <v>#REF!</v>
      </c>
      <c r="DB230" t="e">
        <f>AND('Reporting '!#REF!,"AAAAAHjcx2k=")</f>
        <v>#REF!</v>
      </c>
      <c r="DC230" t="e">
        <f>AND('Reporting '!#REF!,"AAAAAHjcx2o=")</f>
        <v>#REF!</v>
      </c>
      <c r="DD230" t="e">
        <f>AND('Reporting '!#REF!,"AAAAAHjcx2s=")</f>
        <v>#REF!</v>
      </c>
      <c r="DE230" t="e">
        <f>AND('Reporting '!#REF!,"AAAAAHjcx2w=")</f>
        <v>#REF!</v>
      </c>
      <c r="DF230" t="e">
        <f>AND('Reporting '!#REF!,"AAAAAHjcx20=")</f>
        <v>#REF!</v>
      </c>
      <c r="DG230" t="e">
        <f>AND('Reporting '!#REF!,"AAAAAHjcx24=")</f>
        <v>#REF!</v>
      </c>
      <c r="DH230" t="e">
        <f>AND('Reporting '!#REF!,"AAAAAHjcx28=")</f>
        <v>#REF!</v>
      </c>
      <c r="DI230" t="e">
        <f>IF('Reporting '!#REF!,"AAAAAHjcx3A=",0)</f>
        <v>#REF!</v>
      </c>
      <c r="DJ230" t="e">
        <f>AND('Reporting '!#REF!,"AAAAAHjcx3E=")</f>
        <v>#REF!</v>
      </c>
      <c r="DK230" t="e">
        <f>AND('Reporting '!#REF!,"AAAAAHjcx3I=")</f>
        <v>#REF!</v>
      </c>
      <c r="DL230" t="e">
        <f>AND('Reporting '!#REF!,"AAAAAHjcx3M=")</f>
        <v>#REF!</v>
      </c>
      <c r="DM230" t="e">
        <f>AND('Reporting '!#REF!,"AAAAAHjcx3Q=")</f>
        <v>#REF!</v>
      </c>
      <c r="DN230" t="e">
        <f>AND('Reporting '!#REF!,"AAAAAHjcx3U=")</f>
        <v>#REF!</v>
      </c>
      <c r="DO230" t="e">
        <f>AND('Reporting '!#REF!,"AAAAAHjcx3Y=")</f>
        <v>#REF!</v>
      </c>
      <c r="DP230" t="e">
        <f>AND('Reporting '!#REF!,"AAAAAHjcx3c=")</f>
        <v>#REF!</v>
      </c>
      <c r="DQ230" t="e">
        <f>AND('Reporting '!#REF!,"AAAAAHjcx3g=")</f>
        <v>#REF!</v>
      </c>
      <c r="DR230" t="e">
        <f>AND('Reporting '!#REF!,"AAAAAHjcx3k=")</f>
        <v>#REF!</v>
      </c>
      <c r="DS230" t="e">
        <f>AND('Reporting '!#REF!,"AAAAAHjcx3o=")</f>
        <v>#REF!</v>
      </c>
      <c r="DT230" t="e">
        <f>AND('Reporting '!#REF!,"AAAAAHjcx3s=")</f>
        <v>#REF!</v>
      </c>
      <c r="DU230" t="e">
        <f>AND('Reporting '!#REF!,"AAAAAHjcx3w=")</f>
        <v>#REF!</v>
      </c>
      <c r="DV230" t="e">
        <f>AND('Reporting '!#REF!,"AAAAAHjcx30=")</f>
        <v>#REF!</v>
      </c>
      <c r="DW230" t="e">
        <f>AND('Reporting '!#REF!,"AAAAAHjcx34=")</f>
        <v>#REF!</v>
      </c>
      <c r="DX230" t="e">
        <f>IF('Reporting '!#REF!,"AAAAAHjcx38=",0)</f>
        <v>#REF!</v>
      </c>
      <c r="DY230" t="e">
        <f>AND('Reporting '!#REF!,"AAAAAHjcx4A=")</f>
        <v>#REF!</v>
      </c>
      <c r="DZ230" t="e">
        <f>AND('Reporting '!#REF!,"AAAAAHjcx4E=")</f>
        <v>#REF!</v>
      </c>
      <c r="EA230" t="e">
        <f>AND('Reporting '!#REF!,"AAAAAHjcx4I=")</f>
        <v>#REF!</v>
      </c>
      <c r="EB230" t="e">
        <f>AND('Reporting '!#REF!,"AAAAAHjcx4M=")</f>
        <v>#REF!</v>
      </c>
      <c r="EC230" t="e">
        <f>AND('Reporting '!#REF!,"AAAAAHjcx4Q=")</f>
        <v>#REF!</v>
      </c>
      <c r="ED230" t="e">
        <f>AND('Reporting '!#REF!,"AAAAAHjcx4U=")</f>
        <v>#REF!</v>
      </c>
      <c r="EE230" t="e">
        <f>AND('Reporting '!#REF!,"AAAAAHjcx4Y=")</f>
        <v>#REF!</v>
      </c>
      <c r="EF230" t="e">
        <f>AND('Reporting '!#REF!,"AAAAAHjcx4c=")</f>
        <v>#REF!</v>
      </c>
      <c r="EG230" t="e">
        <f>AND('Reporting '!#REF!,"AAAAAHjcx4g=")</f>
        <v>#REF!</v>
      </c>
      <c r="EH230" t="e">
        <f>AND('Reporting '!#REF!,"AAAAAHjcx4k=")</f>
        <v>#REF!</v>
      </c>
      <c r="EI230" t="e">
        <f>AND('Reporting '!#REF!,"AAAAAHjcx4o=")</f>
        <v>#REF!</v>
      </c>
      <c r="EJ230" t="e">
        <f>AND('Reporting '!#REF!,"AAAAAHjcx4s=")</f>
        <v>#REF!</v>
      </c>
      <c r="EK230" t="e">
        <f>AND('Reporting '!#REF!,"AAAAAHjcx4w=")</f>
        <v>#REF!</v>
      </c>
      <c r="EL230" t="e">
        <f>AND('Reporting '!#REF!,"AAAAAHjcx40=")</f>
        <v>#REF!</v>
      </c>
      <c r="EM230" t="e">
        <f>IF('Reporting '!#REF!,"AAAAAHjcx44=",0)</f>
        <v>#REF!</v>
      </c>
      <c r="EN230" t="e">
        <f>AND('Reporting '!#REF!,"AAAAAHjcx48=")</f>
        <v>#REF!</v>
      </c>
      <c r="EO230" t="e">
        <f>AND('Reporting '!#REF!,"AAAAAHjcx5A=")</f>
        <v>#REF!</v>
      </c>
      <c r="EP230" t="e">
        <f>AND('Reporting '!#REF!,"AAAAAHjcx5E=")</f>
        <v>#REF!</v>
      </c>
      <c r="EQ230" t="e">
        <f>AND('Reporting '!#REF!,"AAAAAHjcx5I=")</f>
        <v>#REF!</v>
      </c>
      <c r="ER230" t="e">
        <f>AND('Reporting '!#REF!,"AAAAAHjcx5M=")</f>
        <v>#REF!</v>
      </c>
      <c r="ES230" t="e">
        <f>AND('Reporting '!#REF!,"AAAAAHjcx5Q=")</f>
        <v>#REF!</v>
      </c>
      <c r="ET230" t="e">
        <f>AND('Reporting '!#REF!,"AAAAAHjcx5U=")</f>
        <v>#REF!</v>
      </c>
      <c r="EU230" t="e">
        <f>AND('Reporting '!#REF!,"AAAAAHjcx5Y=")</f>
        <v>#REF!</v>
      </c>
      <c r="EV230" t="e">
        <f>AND('Reporting '!#REF!,"AAAAAHjcx5c=")</f>
        <v>#REF!</v>
      </c>
      <c r="EW230" t="e">
        <f>AND('Reporting '!#REF!,"AAAAAHjcx5g=")</f>
        <v>#REF!</v>
      </c>
      <c r="EX230" t="e">
        <f>AND('Reporting '!#REF!,"AAAAAHjcx5k=")</f>
        <v>#REF!</v>
      </c>
      <c r="EY230" t="e">
        <f>AND('Reporting '!#REF!,"AAAAAHjcx5o=")</f>
        <v>#REF!</v>
      </c>
      <c r="EZ230" t="e">
        <f>AND('Reporting '!#REF!,"AAAAAHjcx5s=")</f>
        <v>#REF!</v>
      </c>
      <c r="FA230" t="e">
        <f>AND('Reporting '!#REF!,"AAAAAHjcx5w=")</f>
        <v>#REF!</v>
      </c>
      <c r="FB230" t="e">
        <f>IF('Reporting '!#REF!,"AAAAAHjcx50=",0)</f>
        <v>#REF!</v>
      </c>
      <c r="FC230" t="e">
        <f>AND('Reporting '!#REF!,"AAAAAHjcx54=")</f>
        <v>#REF!</v>
      </c>
      <c r="FD230" t="e">
        <f>AND('Reporting '!#REF!,"AAAAAHjcx58=")</f>
        <v>#REF!</v>
      </c>
      <c r="FE230" t="e">
        <f>AND('Reporting '!#REF!,"AAAAAHjcx6A=")</f>
        <v>#REF!</v>
      </c>
      <c r="FF230" t="e">
        <f>AND('Reporting '!#REF!,"AAAAAHjcx6E=")</f>
        <v>#REF!</v>
      </c>
      <c r="FG230" t="e">
        <f>AND('Reporting '!#REF!,"AAAAAHjcx6I=")</f>
        <v>#REF!</v>
      </c>
      <c r="FH230" t="e">
        <f>AND('Reporting '!#REF!,"AAAAAHjcx6M=")</f>
        <v>#REF!</v>
      </c>
      <c r="FI230" t="e">
        <f>AND('Reporting '!#REF!,"AAAAAHjcx6Q=")</f>
        <v>#REF!</v>
      </c>
      <c r="FJ230" t="e">
        <f>AND('Reporting '!#REF!,"AAAAAHjcx6U=")</f>
        <v>#REF!</v>
      </c>
      <c r="FK230" t="e">
        <f>AND('Reporting '!#REF!,"AAAAAHjcx6Y=")</f>
        <v>#REF!</v>
      </c>
      <c r="FL230" t="e">
        <f>AND('Reporting '!#REF!,"AAAAAHjcx6c=")</f>
        <v>#REF!</v>
      </c>
      <c r="FM230" t="e">
        <f>AND('Reporting '!#REF!,"AAAAAHjcx6g=")</f>
        <v>#REF!</v>
      </c>
      <c r="FN230" t="e">
        <f>AND('Reporting '!#REF!,"AAAAAHjcx6k=")</f>
        <v>#REF!</v>
      </c>
      <c r="FO230" t="e">
        <f>AND('Reporting '!#REF!,"AAAAAHjcx6o=")</f>
        <v>#REF!</v>
      </c>
      <c r="FP230" t="e">
        <f>AND('Reporting '!#REF!,"AAAAAHjcx6s=")</f>
        <v>#REF!</v>
      </c>
      <c r="FQ230" t="e">
        <f>IF('Reporting '!#REF!,"AAAAAHjcx6w=",0)</f>
        <v>#REF!</v>
      </c>
      <c r="FR230" t="e">
        <f>AND('Reporting '!#REF!,"AAAAAHjcx60=")</f>
        <v>#REF!</v>
      </c>
      <c r="FS230" t="e">
        <f>AND('Reporting '!#REF!,"AAAAAHjcx64=")</f>
        <v>#REF!</v>
      </c>
      <c r="FT230" t="e">
        <f>AND('Reporting '!#REF!,"AAAAAHjcx68=")</f>
        <v>#REF!</v>
      </c>
      <c r="FU230" t="e">
        <f>AND('Reporting '!#REF!,"AAAAAHjcx7A=")</f>
        <v>#REF!</v>
      </c>
      <c r="FV230" t="e">
        <f>AND('Reporting '!#REF!,"AAAAAHjcx7E=")</f>
        <v>#REF!</v>
      </c>
      <c r="FW230" t="e">
        <f>AND('Reporting '!#REF!,"AAAAAHjcx7I=")</f>
        <v>#REF!</v>
      </c>
      <c r="FX230" t="e">
        <f>AND('Reporting '!#REF!,"AAAAAHjcx7M=")</f>
        <v>#REF!</v>
      </c>
      <c r="FY230" t="e">
        <f>AND('Reporting '!#REF!,"AAAAAHjcx7Q=")</f>
        <v>#REF!</v>
      </c>
      <c r="FZ230" t="e">
        <f>AND('Reporting '!#REF!,"AAAAAHjcx7U=")</f>
        <v>#REF!</v>
      </c>
      <c r="GA230" t="e">
        <f>AND('Reporting '!#REF!,"AAAAAHjcx7Y=")</f>
        <v>#REF!</v>
      </c>
      <c r="GB230" t="e">
        <f>AND('Reporting '!#REF!,"AAAAAHjcx7c=")</f>
        <v>#REF!</v>
      </c>
      <c r="GC230" t="e">
        <f>AND('Reporting '!#REF!,"AAAAAHjcx7g=")</f>
        <v>#REF!</v>
      </c>
      <c r="GD230" t="e">
        <f>AND('Reporting '!#REF!,"AAAAAHjcx7k=")</f>
        <v>#REF!</v>
      </c>
      <c r="GE230" t="e">
        <f>AND('Reporting '!#REF!,"AAAAAHjcx7o=")</f>
        <v>#REF!</v>
      </c>
      <c r="GF230" t="e">
        <f>IF('Reporting '!#REF!,"AAAAAHjcx7s=",0)</f>
        <v>#REF!</v>
      </c>
      <c r="GG230" t="e">
        <f>AND('Reporting '!#REF!,"AAAAAHjcx7w=")</f>
        <v>#REF!</v>
      </c>
      <c r="GH230" t="e">
        <f>AND('Reporting '!#REF!,"AAAAAHjcx70=")</f>
        <v>#REF!</v>
      </c>
      <c r="GI230" t="e">
        <f>AND('Reporting '!#REF!,"AAAAAHjcx74=")</f>
        <v>#REF!</v>
      </c>
      <c r="GJ230" t="e">
        <f>AND('Reporting '!#REF!,"AAAAAHjcx78=")</f>
        <v>#REF!</v>
      </c>
      <c r="GK230" t="e">
        <f>AND('Reporting '!#REF!,"AAAAAHjcx8A=")</f>
        <v>#REF!</v>
      </c>
      <c r="GL230" t="e">
        <f>AND('Reporting '!#REF!,"AAAAAHjcx8E=")</f>
        <v>#REF!</v>
      </c>
      <c r="GM230" t="e">
        <f>AND('Reporting '!#REF!,"AAAAAHjcx8I=")</f>
        <v>#REF!</v>
      </c>
      <c r="GN230" t="e">
        <f>AND('Reporting '!#REF!,"AAAAAHjcx8M=")</f>
        <v>#REF!</v>
      </c>
      <c r="GO230" t="e">
        <f>AND('Reporting '!#REF!,"AAAAAHjcx8Q=")</f>
        <v>#REF!</v>
      </c>
      <c r="GP230" t="e">
        <f>AND('Reporting '!#REF!,"AAAAAHjcx8U=")</f>
        <v>#REF!</v>
      </c>
      <c r="GQ230" t="e">
        <f>AND('Reporting '!#REF!,"AAAAAHjcx8Y=")</f>
        <v>#REF!</v>
      </c>
      <c r="GR230" t="e">
        <f>AND('Reporting '!#REF!,"AAAAAHjcx8c=")</f>
        <v>#REF!</v>
      </c>
      <c r="GS230" t="e">
        <f>AND('Reporting '!#REF!,"AAAAAHjcx8g=")</f>
        <v>#REF!</v>
      </c>
      <c r="GT230" t="e">
        <f>AND('Reporting '!#REF!,"AAAAAHjcx8k=")</f>
        <v>#REF!</v>
      </c>
      <c r="GU230" t="e">
        <f>IF('Reporting '!#REF!,"AAAAAHjcx8o=",0)</f>
        <v>#REF!</v>
      </c>
      <c r="GV230" t="e">
        <f>AND('Reporting '!#REF!,"AAAAAHjcx8s=")</f>
        <v>#REF!</v>
      </c>
      <c r="GW230" t="e">
        <f>AND('Reporting '!#REF!,"AAAAAHjcx8w=")</f>
        <v>#REF!</v>
      </c>
      <c r="GX230" t="e">
        <f>AND('Reporting '!#REF!,"AAAAAHjcx80=")</f>
        <v>#REF!</v>
      </c>
      <c r="GY230" t="e">
        <f>AND('Reporting '!#REF!,"AAAAAHjcx84=")</f>
        <v>#REF!</v>
      </c>
      <c r="GZ230" t="e">
        <f>AND('Reporting '!#REF!,"AAAAAHjcx88=")</f>
        <v>#REF!</v>
      </c>
      <c r="HA230" t="e">
        <f>AND('Reporting '!#REF!,"AAAAAHjcx9A=")</f>
        <v>#REF!</v>
      </c>
      <c r="HB230" t="e">
        <f>AND('Reporting '!#REF!,"AAAAAHjcx9E=")</f>
        <v>#REF!</v>
      </c>
      <c r="HC230" t="e">
        <f>AND('Reporting '!#REF!,"AAAAAHjcx9I=")</f>
        <v>#REF!</v>
      </c>
      <c r="HD230" t="e">
        <f>AND('Reporting '!#REF!,"AAAAAHjcx9M=")</f>
        <v>#REF!</v>
      </c>
      <c r="HE230" t="e">
        <f>AND('Reporting '!#REF!,"AAAAAHjcx9Q=")</f>
        <v>#REF!</v>
      </c>
      <c r="HF230" t="e">
        <f>AND('Reporting '!#REF!,"AAAAAHjcx9U=")</f>
        <v>#REF!</v>
      </c>
      <c r="HG230" t="e">
        <f>AND('Reporting '!#REF!,"AAAAAHjcx9Y=")</f>
        <v>#REF!</v>
      </c>
      <c r="HH230" t="e">
        <f>AND('Reporting '!#REF!,"AAAAAHjcx9c=")</f>
        <v>#REF!</v>
      </c>
      <c r="HI230" t="e">
        <f>AND('Reporting '!#REF!,"AAAAAHjcx9g=")</f>
        <v>#REF!</v>
      </c>
      <c r="HJ230" t="e">
        <f>IF('Reporting '!#REF!,"AAAAAHjcx9k=",0)</f>
        <v>#REF!</v>
      </c>
      <c r="HK230" t="e">
        <f>AND('Reporting '!#REF!,"AAAAAHjcx9o=")</f>
        <v>#REF!</v>
      </c>
      <c r="HL230" t="e">
        <f>AND('Reporting '!#REF!,"AAAAAHjcx9s=")</f>
        <v>#REF!</v>
      </c>
      <c r="HM230" t="e">
        <f>AND('Reporting '!#REF!,"AAAAAHjcx9w=")</f>
        <v>#REF!</v>
      </c>
      <c r="HN230" t="e">
        <f>AND('Reporting '!#REF!,"AAAAAHjcx90=")</f>
        <v>#REF!</v>
      </c>
      <c r="HO230" t="e">
        <f>AND('Reporting '!#REF!,"AAAAAHjcx94=")</f>
        <v>#REF!</v>
      </c>
      <c r="HP230" t="e">
        <f>AND('Reporting '!#REF!,"AAAAAHjcx98=")</f>
        <v>#REF!</v>
      </c>
      <c r="HQ230" t="e">
        <f>AND('Reporting '!#REF!,"AAAAAHjcx+A=")</f>
        <v>#REF!</v>
      </c>
      <c r="HR230" t="e">
        <f>AND('Reporting '!#REF!,"AAAAAHjcx+E=")</f>
        <v>#REF!</v>
      </c>
      <c r="HS230" t="e">
        <f>AND('Reporting '!#REF!,"AAAAAHjcx+I=")</f>
        <v>#REF!</v>
      </c>
      <c r="HT230" t="e">
        <f>AND('Reporting '!#REF!,"AAAAAHjcx+M=")</f>
        <v>#REF!</v>
      </c>
      <c r="HU230" t="e">
        <f>AND('Reporting '!#REF!,"AAAAAHjcx+Q=")</f>
        <v>#REF!</v>
      </c>
      <c r="HV230" t="e">
        <f>AND('Reporting '!#REF!,"AAAAAHjcx+U=")</f>
        <v>#REF!</v>
      </c>
      <c r="HW230" t="e">
        <f>AND('Reporting '!#REF!,"AAAAAHjcx+Y=")</f>
        <v>#REF!</v>
      </c>
      <c r="HX230" t="e">
        <f>AND('Reporting '!#REF!,"AAAAAHjcx+c=")</f>
        <v>#REF!</v>
      </c>
      <c r="HY230" t="e">
        <f>IF('Reporting '!#REF!,"AAAAAHjcx+g=",0)</f>
        <v>#REF!</v>
      </c>
      <c r="HZ230" t="e">
        <f>AND('Reporting '!#REF!,"AAAAAHjcx+k=")</f>
        <v>#REF!</v>
      </c>
      <c r="IA230" t="e">
        <f>AND('Reporting '!#REF!,"AAAAAHjcx+o=")</f>
        <v>#REF!</v>
      </c>
      <c r="IB230" t="e">
        <f>AND('Reporting '!#REF!,"AAAAAHjcx+s=")</f>
        <v>#REF!</v>
      </c>
      <c r="IC230" t="e">
        <f>AND('Reporting '!#REF!,"AAAAAHjcx+w=")</f>
        <v>#REF!</v>
      </c>
      <c r="ID230" t="e">
        <f>AND('Reporting '!#REF!,"AAAAAHjcx+0=")</f>
        <v>#REF!</v>
      </c>
      <c r="IE230" t="e">
        <f>AND('Reporting '!#REF!,"AAAAAHjcx+4=")</f>
        <v>#REF!</v>
      </c>
      <c r="IF230" t="e">
        <f>AND('Reporting '!#REF!,"AAAAAHjcx+8=")</f>
        <v>#REF!</v>
      </c>
      <c r="IG230" t="e">
        <f>AND('Reporting '!#REF!,"AAAAAHjcx/A=")</f>
        <v>#REF!</v>
      </c>
      <c r="IH230" t="e">
        <f>AND('Reporting '!#REF!,"AAAAAHjcx/E=")</f>
        <v>#REF!</v>
      </c>
      <c r="II230" t="e">
        <f>AND('Reporting '!#REF!,"AAAAAHjcx/I=")</f>
        <v>#REF!</v>
      </c>
      <c r="IJ230" t="e">
        <f>AND('Reporting '!#REF!,"AAAAAHjcx/M=")</f>
        <v>#REF!</v>
      </c>
      <c r="IK230" t="e">
        <f>AND('Reporting '!#REF!,"AAAAAHjcx/Q=")</f>
        <v>#REF!</v>
      </c>
      <c r="IL230" t="e">
        <f>AND('Reporting '!#REF!,"AAAAAHjcx/U=")</f>
        <v>#REF!</v>
      </c>
      <c r="IM230" t="e">
        <f>AND('Reporting '!#REF!,"AAAAAHjcx/Y=")</f>
        <v>#REF!</v>
      </c>
      <c r="IN230" t="e">
        <f>IF('Reporting '!#REF!,"AAAAAHjcx/c=",0)</f>
        <v>#REF!</v>
      </c>
      <c r="IO230" t="e">
        <f>AND('Reporting '!#REF!,"AAAAAHjcx/g=")</f>
        <v>#REF!</v>
      </c>
      <c r="IP230" t="e">
        <f>AND('Reporting '!#REF!,"AAAAAHjcx/k=")</f>
        <v>#REF!</v>
      </c>
      <c r="IQ230" t="e">
        <f>AND('Reporting '!#REF!,"AAAAAHjcx/o=")</f>
        <v>#REF!</v>
      </c>
      <c r="IR230" t="e">
        <f>AND('Reporting '!#REF!,"AAAAAHjcx/s=")</f>
        <v>#REF!</v>
      </c>
      <c r="IS230" t="e">
        <f>AND('Reporting '!#REF!,"AAAAAHjcx/w=")</f>
        <v>#REF!</v>
      </c>
      <c r="IT230" t="e">
        <f>AND('Reporting '!#REF!,"AAAAAHjcx/0=")</f>
        <v>#REF!</v>
      </c>
      <c r="IU230" t="e">
        <f>AND('Reporting '!#REF!,"AAAAAHjcx/4=")</f>
        <v>#REF!</v>
      </c>
      <c r="IV230" t="e">
        <f>AND('Reporting '!#REF!,"AAAAAHjcx/8=")</f>
        <v>#REF!</v>
      </c>
    </row>
    <row r="231" spans="1:256" x14ac:dyDescent="0.2">
      <c r="A231" t="e">
        <f>AND('Reporting '!#REF!,"AAAAAH+wvwA=")</f>
        <v>#REF!</v>
      </c>
      <c r="B231" t="e">
        <f>AND('Reporting '!#REF!,"AAAAAH+wvwE=")</f>
        <v>#REF!</v>
      </c>
      <c r="C231" t="e">
        <f>AND('Reporting '!#REF!,"AAAAAH+wvwI=")</f>
        <v>#REF!</v>
      </c>
      <c r="D231" t="e">
        <f>AND('Reporting '!#REF!,"AAAAAH+wvwM=")</f>
        <v>#REF!</v>
      </c>
      <c r="E231" t="e">
        <f>AND('Reporting '!#REF!,"AAAAAH+wvwQ=")</f>
        <v>#REF!</v>
      </c>
      <c r="F231" t="e">
        <f>AND('Reporting '!#REF!,"AAAAAH+wvwU=")</f>
        <v>#REF!</v>
      </c>
      <c r="G231" t="e">
        <f>IF('Reporting '!#REF!,"AAAAAH+wvwY=",0)</f>
        <v>#REF!</v>
      </c>
      <c r="H231" t="e">
        <f>AND('Reporting '!#REF!,"AAAAAH+wvwc=")</f>
        <v>#REF!</v>
      </c>
      <c r="I231" t="e">
        <f>AND('Reporting '!#REF!,"AAAAAH+wvwg=")</f>
        <v>#REF!</v>
      </c>
      <c r="J231" t="e">
        <f>AND('Reporting '!#REF!,"AAAAAH+wvwk=")</f>
        <v>#REF!</v>
      </c>
      <c r="K231" t="e">
        <f>AND('Reporting '!#REF!,"AAAAAH+wvwo=")</f>
        <v>#REF!</v>
      </c>
      <c r="L231" t="e">
        <f>AND('Reporting '!#REF!,"AAAAAH+wvws=")</f>
        <v>#REF!</v>
      </c>
      <c r="M231" t="e">
        <f>AND('Reporting '!#REF!,"AAAAAH+wvww=")</f>
        <v>#REF!</v>
      </c>
      <c r="N231" t="e">
        <f>AND('Reporting '!#REF!,"AAAAAH+wvw0=")</f>
        <v>#REF!</v>
      </c>
      <c r="O231" t="e">
        <f>AND('Reporting '!#REF!,"AAAAAH+wvw4=")</f>
        <v>#REF!</v>
      </c>
      <c r="P231" t="e">
        <f>AND('Reporting '!#REF!,"AAAAAH+wvw8=")</f>
        <v>#REF!</v>
      </c>
      <c r="Q231" t="e">
        <f>AND('Reporting '!#REF!,"AAAAAH+wvxA=")</f>
        <v>#REF!</v>
      </c>
      <c r="R231" t="e">
        <f>AND('Reporting '!#REF!,"AAAAAH+wvxE=")</f>
        <v>#REF!</v>
      </c>
      <c r="S231" t="e">
        <f>AND('Reporting '!#REF!,"AAAAAH+wvxI=")</f>
        <v>#REF!</v>
      </c>
      <c r="T231" t="e">
        <f>AND('Reporting '!#REF!,"AAAAAH+wvxM=")</f>
        <v>#REF!</v>
      </c>
      <c r="U231" t="e">
        <f>AND('Reporting '!#REF!,"AAAAAH+wvxQ=")</f>
        <v>#REF!</v>
      </c>
      <c r="V231" t="e">
        <f>IF('Reporting '!#REF!,"AAAAAH+wvxU=",0)</f>
        <v>#REF!</v>
      </c>
      <c r="W231" t="e">
        <f>AND('Reporting '!#REF!,"AAAAAH+wvxY=")</f>
        <v>#REF!</v>
      </c>
      <c r="X231" t="e">
        <f>AND('Reporting '!#REF!,"AAAAAH+wvxc=")</f>
        <v>#REF!</v>
      </c>
      <c r="Y231" t="e">
        <f>AND('Reporting '!#REF!,"AAAAAH+wvxg=")</f>
        <v>#REF!</v>
      </c>
      <c r="Z231" t="e">
        <f>AND('Reporting '!#REF!,"AAAAAH+wvxk=")</f>
        <v>#REF!</v>
      </c>
      <c r="AA231" t="e">
        <f>AND('Reporting '!#REF!,"AAAAAH+wvxo=")</f>
        <v>#REF!</v>
      </c>
      <c r="AB231" t="e">
        <f>AND('Reporting '!#REF!,"AAAAAH+wvxs=")</f>
        <v>#REF!</v>
      </c>
      <c r="AC231" t="e">
        <f>AND('Reporting '!#REF!,"AAAAAH+wvxw=")</f>
        <v>#REF!</v>
      </c>
      <c r="AD231" t="e">
        <f>AND('Reporting '!#REF!,"AAAAAH+wvx0=")</f>
        <v>#REF!</v>
      </c>
      <c r="AE231" t="e">
        <f>AND('Reporting '!#REF!,"AAAAAH+wvx4=")</f>
        <v>#REF!</v>
      </c>
      <c r="AF231" t="e">
        <f>AND('Reporting '!#REF!,"AAAAAH+wvx8=")</f>
        <v>#REF!</v>
      </c>
      <c r="AG231" t="e">
        <f>AND('Reporting '!#REF!,"AAAAAH+wvyA=")</f>
        <v>#REF!</v>
      </c>
      <c r="AH231" t="e">
        <f>AND('Reporting '!#REF!,"AAAAAH+wvyE=")</f>
        <v>#REF!</v>
      </c>
      <c r="AI231" t="e">
        <f>AND('Reporting '!#REF!,"AAAAAH+wvyI=")</f>
        <v>#REF!</v>
      </c>
      <c r="AJ231" t="e">
        <f>AND('Reporting '!#REF!,"AAAAAH+wvyM=")</f>
        <v>#REF!</v>
      </c>
      <c r="AK231" t="e">
        <f>IF('Reporting '!#REF!,"AAAAAH+wvyQ=",0)</f>
        <v>#REF!</v>
      </c>
      <c r="AL231" t="e">
        <f>AND('Reporting '!#REF!,"AAAAAH+wvyU=")</f>
        <v>#REF!</v>
      </c>
      <c r="AM231" t="e">
        <f>AND('Reporting '!#REF!,"AAAAAH+wvyY=")</f>
        <v>#REF!</v>
      </c>
      <c r="AN231" t="e">
        <f>AND('Reporting '!#REF!,"AAAAAH+wvyc=")</f>
        <v>#REF!</v>
      </c>
      <c r="AO231" t="e">
        <f>AND('Reporting '!#REF!,"AAAAAH+wvyg=")</f>
        <v>#REF!</v>
      </c>
      <c r="AP231" t="e">
        <f>AND('Reporting '!#REF!,"AAAAAH+wvyk=")</f>
        <v>#REF!</v>
      </c>
      <c r="AQ231" t="e">
        <f>AND('Reporting '!#REF!,"AAAAAH+wvyo=")</f>
        <v>#REF!</v>
      </c>
      <c r="AR231" t="e">
        <f>AND('Reporting '!#REF!,"AAAAAH+wvys=")</f>
        <v>#REF!</v>
      </c>
      <c r="AS231" t="e">
        <f>AND('Reporting '!#REF!,"AAAAAH+wvyw=")</f>
        <v>#REF!</v>
      </c>
      <c r="AT231" t="e">
        <f>AND('Reporting '!#REF!,"AAAAAH+wvy0=")</f>
        <v>#REF!</v>
      </c>
      <c r="AU231" t="e">
        <f>AND('Reporting '!#REF!,"AAAAAH+wvy4=")</f>
        <v>#REF!</v>
      </c>
      <c r="AV231" t="e">
        <f>AND('Reporting '!#REF!,"AAAAAH+wvy8=")</f>
        <v>#REF!</v>
      </c>
      <c r="AW231" t="e">
        <f>AND('Reporting '!#REF!,"AAAAAH+wvzA=")</f>
        <v>#REF!</v>
      </c>
      <c r="AX231" t="e">
        <f>AND('Reporting '!#REF!,"AAAAAH+wvzE=")</f>
        <v>#REF!</v>
      </c>
      <c r="AY231" t="e">
        <f>AND('Reporting '!#REF!,"AAAAAH+wvzI=")</f>
        <v>#REF!</v>
      </c>
      <c r="AZ231" t="e">
        <f>IF('Reporting '!#REF!,"AAAAAH+wvzM=",0)</f>
        <v>#REF!</v>
      </c>
      <c r="BA231" t="e">
        <f>AND('Reporting '!#REF!,"AAAAAH+wvzQ=")</f>
        <v>#REF!</v>
      </c>
      <c r="BB231" t="e">
        <f>AND('Reporting '!#REF!,"AAAAAH+wvzU=")</f>
        <v>#REF!</v>
      </c>
      <c r="BC231" t="e">
        <f>AND('Reporting '!#REF!,"AAAAAH+wvzY=")</f>
        <v>#REF!</v>
      </c>
      <c r="BD231" t="e">
        <f>AND('Reporting '!#REF!,"AAAAAH+wvzc=")</f>
        <v>#REF!</v>
      </c>
      <c r="BE231" t="e">
        <f>AND('Reporting '!#REF!,"AAAAAH+wvzg=")</f>
        <v>#REF!</v>
      </c>
      <c r="BF231" t="e">
        <f>AND('Reporting '!#REF!,"AAAAAH+wvzk=")</f>
        <v>#REF!</v>
      </c>
      <c r="BG231" t="e">
        <f>AND('Reporting '!#REF!,"AAAAAH+wvzo=")</f>
        <v>#REF!</v>
      </c>
      <c r="BH231" t="e">
        <f>AND('Reporting '!#REF!,"AAAAAH+wvzs=")</f>
        <v>#REF!</v>
      </c>
      <c r="BI231" t="e">
        <f>AND('Reporting '!#REF!,"AAAAAH+wvzw=")</f>
        <v>#REF!</v>
      </c>
      <c r="BJ231" t="e">
        <f>AND('Reporting '!#REF!,"AAAAAH+wvz0=")</f>
        <v>#REF!</v>
      </c>
      <c r="BK231" t="e">
        <f>AND('Reporting '!#REF!,"AAAAAH+wvz4=")</f>
        <v>#REF!</v>
      </c>
      <c r="BL231" t="e">
        <f>AND('Reporting '!#REF!,"AAAAAH+wvz8=")</f>
        <v>#REF!</v>
      </c>
      <c r="BM231" t="e">
        <f>AND('Reporting '!#REF!,"AAAAAH+wv0A=")</f>
        <v>#REF!</v>
      </c>
      <c r="BN231" t="e">
        <f>AND('Reporting '!#REF!,"AAAAAH+wv0E=")</f>
        <v>#REF!</v>
      </c>
      <c r="BO231" t="e">
        <f>IF('Reporting '!#REF!,"AAAAAH+wv0I=",0)</f>
        <v>#REF!</v>
      </c>
      <c r="BP231" t="e">
        <f>AND('Reporting '!#REF!,"AAAAAH+wv0M=")</f>
        <v>#REF!</v>
      </c>
      <c r="BQ231" t="e">
        <f>AND('Reporting '!#REF!,"AAAAAH+wv0Q=")</f>
        <v>#REF!</v>
      </c>
      <c r="BR231" t="e">
        <f>AND('Reporting '!#REF!,"AAAAAH+wv0U=")</f>
        <v>#REF!</v>
      </c>
      <c r="BS231" t="e">
        <f>AND('Reporting '!#REF!,"AAAAAH+wv0Y=")</f>
        <v>#REF!</v>
      </c>
      <c r="BT231" t="e">
        <f>AND('Reporting '!#REF!,"AAAAAH+wv0c=")</f>
        <v>#REF!</v>
      </c>
      <c r="BU231" t="e">
        <f>AND('Reporting '!#REF!,"AAAAAH+wv0g=")</f>
        <v>#REF!</v>
      </c>
      <c r="BV231" t="e">
        <f>AND('Reporting '!#REF!,"AAAAAH+wv0k=")</f>
        <v>#REF!</v>
      </c>
      <c r="BW231" t="e">
        <f>AND('Reporting '!#REF!,"AAAAAH+wv0o=")</f>
        <v>#REF!</v>
      </c>
      <c r="BX231" t="e">
        <f>AND('Reporting '!#REF!,"AAAAAH+wv0s=")</f>
        <v>#REF!</v>
      </c>
      <c r="BY231" t="e">
        <f>AND('Reporting '!#REF!,"AAAAAH+wv0w=")</f>
        <v>#REF!</v>
      </c>
      <c r="BZ231" t="e">
        <f>AND('Reporting '!#REF!,"AAAAAH+wv00=")</f>
        <v>#REF!</v>
      </c>
      <c r="CA231" t="e">
        <f>AND('Reporting '!#REF!,"AAAAAH+wv04=")</f>
        <v>#REF!</v>
      </c>
      <c r="CB231" t="e">
        <f>AND('Reporting '!#REF!,"AAAAAH+wv08=")</f>
        <v>#REF!</v>
      </c>
      <c r="CC231" t="e">
        <f>AND('Reporting '!#REF!,"AAAAAH+wv1A=")</f>
        <v>#REF!</v>
      </c>
      <c r="CD231" t="e">
        <f>IF('Reporting '!#REF!,"AAAAAH+wv1E=",0)</f>
        <v>#REF!</v>
      </c>
      <c r="CE231" t="e">
        <f>AND('Reporting '!#REF!,"AAAAAH+wv1I=")</f>
        <v>#REF!</v>
      </c>
      <c r="CF231" t="e">
        <f>AND('Reporting '!#REF!,"AAAAAH+wv1M=")</f>
        <v>#REF!</v>
      </c>
      <c r="CG231" t="e">
        <f>AND('Reporting '!#REF!,"AAAAAH+wv1Q=")</f>
        <v>#REF!</v>
      </c>
      <c r="CH231" t="e">
        <f>AND('Reporting '!#REF!,"AAAAAH+wv1U=")</f>
        <v>#REF!</v>
      </c>
      <c r="CI231" t="e">
        <f>AND('Reporting '!#REF!,"AAAAAH+wv1Y=")</f>
        <v>#REF!</v>
      </c>
      <c r="CJ231" t="e">
        <f>AND('Reporting '!#REF!,"AAAAAH+wv1c=")</f>
        <v>#REF!</v>
      </c>
      <c r="CK231" t="e">
        <f>AND('Reporting '!#REF!,"AAAAAH+wv1g=")</f>
        <v>#REF!</v>
      </c>
      <c r="CL231" t="e">
        <f>AND('Reporting '!#REF!,"AAAAAH+wv1k=")</f>
        <v>#REF!</v>
      </c>
      <c r="CM231" t="e">
        <f>AND('Reporting '!#REF!,"AAAAAH+wv1o=")</f>
        <v>#REF!</v>
      </c>
      <c r="CN231" t="e">
        <f>AND('Reporting '!#REF!,"AAAAAH+wv1s=")</f>
        <v>#REF!</v>
      </c>
      <c r="CO231" t="e">
        <f>AND('Reporting '!#REF!,"AAAAAH+wv1w=")</f>
        <v>#REF!</v>
      </c>
      <c r="CP231" t="e">
        <f>AND('Reporting '!#REF!,"AAAAAH+wv10=")</f>
        <v>#REF!</v>
      </c>
      <c r="CQ231" t="e">
        <f>AND('Reporting '!#REF!,"AAAAAH+wv14=")</f>
        <v>#REF!</v>
      </c>
      <c r="CR231" t="e">
        <f>AND('Reporting '!#REF!,"AAAAAH+wv18=")</f>
        <v>#REF!</v>
      </c>
      <c r="CS231" t="e">
        <f>IF('Reporting '!#REF!,"AAAAAH+wv2A=",0)</f>
        <v>#REF!</v>
      </c>
      <c r="CT231" t="e">
        <f>AND('Reporting '!#REF!,"AAAAAH+wv2E=")</f>
        <v>#REF!</v>
      </c>
      <c r="CU231" t="e">
        <f>AND('Reporting '!#REF!,"AAAAAH+wv2I=")</f>
        <v>#REF!</v>
      </c>
      <c r="CV231" t="e">
        <f>AND('Reporting '!#REF!,"AAAAAH+wv2M=")</f>
        <v>#REF!</v>
      </c>
      <c r="CW231" t="e">
        <f>AND('Reporting '!#REF!,"AAAAAH+wv2Q=")</f>
        <v>#REF!</v>
      </c>
      <c r="CX231" t="e">
        <f>AND('Reporting '!#REF!,"AAAAAH+wv2U=")</f>
        <v>#REF!</v>
      </c>
      <c r="CY231" t="e">
        <f>AND('Reporting '!#REF!,"AAAAAH+wv2Y=")</f>
        <v>#REF!</v>
      </c>
      <c r="CZ231" t="e">
        <f>AND('Reporting '!#REF!,"AAAAAH+wv2c=")</f>
        <v>#REF!</v>
      </c>
      <c r="DA231" t="e">
        <f>AND('Reporting '!#REF!,"AAAAAH+wv2g=")</f>
        <v>#REF!</v>
      </c>
      <c r="DB231" t="e">
        <f>AND('Reporting '!#REF!,"AAAAAH+wv2k=")</f>
        <v>#REF!</v>
      </c>
      <c r="DC231" t="e">
        <f>AND('Reporting '!#REF!,"AAAAAH+wv2o=")</f>
        <v>#REF!</v>
      </c>
      <c r="DD231" t="e">
        <f>AND('Reporting '!#REF!,"AAAAAH+wv2s=")</f>
        <v>#REF!</v>
      </c>
      <c r="DE231" t="e">
        <f>AND('Reporting '!#REF!,"AAAAAH+wv2w=")</f>
        <v>#REF!</v>
      </c>
      <c r="DF231" t="e">
        <f>AND('Reporting '!#REF!,"AAAAAH+wv20=")</f>
        <v>#REF!</v>
      </c>
      <c r="DG231" t="e">
        <f>AND('Reporting '!#REF!,"AAAAAH+wv24=")</f>
        <v>#REF!</v>
      </c>
      <c r="DH231" t="e">
        <f>IF('Reporting '!#REF!,"AAAAAH+wv28=",0)</f>
        <v>#REF!</v>
      </c>
      <c r="DI231" t="e">
        <f>AND('Reporting '!#REF!,"AAAAAH+wv3A=")</f>
        <v>#REF!</v>
      </c>
      <c r="DJ231" t="e">
        <f>AND('Reporting '!#REF!,"AAAAAH+wv3E=")</f>
        <v>#REF!</v>
      </c>
      <c r="DK231" t="e">
        <f>AND('Reporting '!#REF!,"AAAAAH+wv3I=")</f>
        <v>#REF!</v>
      </c>
      <c r="DL231" t="e">
        <f>AND('Reporting '!#REF!,"AAAAAH+wv3M=")</f>
        <v>#REF!</v>
      </c>
      <c r="DM231" t="e">
        <f>AND('Reporting '!#REF!,"AAAAAH+wv3Q=")</f>
        <v>#REF!</v>
      </c>
      <c r="DN231" t="e">
        <f>AND('Reporting '!#REF!,"AAAAAH+wv3U=")</f>
        <v>#REF!</v>
      </c>
      <c r="DO231" t="e">
        <f>AND('Reporting '!#REF!,"AAAAAH+wv3Y=")</f>
        <v>#REF!</v>
      </c>
      <c r="DP231" t="e">
        <f>AND('Reporting '!#REF!,"AAAAAH+wv3c=")</f>
        <v>#REF!</v>
      </c>
      <c r="DQ231" t="e">
        <f>AND('Reporting '!#REF!,"AAAAAH+wv3g=")</f>
        <v>#REF!</v>
      </c>
      <c r="DR231" t="e">
        <f>AND('Reporting '!#REF!,"AAAAAH+wv3k=")</f>
        <v>#REF!</v>
      </c>
      <c r="DS231" t="e">
        <f>AND('Reporting '!#REF!,"AAAAAH+wv3o=")</f>
        <v>#REF!</v>
      </c>
      <c r="DT231" t="e">
        <f>AND('Reporting '!#REF!,"AAAAAH+wv3s=")</f>
        <v>#REF!</v>
      </c>
      <c r="DU231" t="e">
        <f>AND('Reporting '!#REF!,"AAAAAH+wv3w=")</f>
        <v>#REF!</v>
      </c>
      <c r="DV231" t="e">
        <f>AND('Reporting '!#REF!,"AAAAAH+wv30=")</f>
        <v>#REF!</v>
      </c>
      <c r="DW231" t="e">
        <f>IF('Reporting '!#REF!,"AAAAAH+wv34=",0)</f>
        <v>#REF!</v>
      </c>
      <c r="DX231" t="e">
        <f>AND('Reporting '!#REF!,"AAAAAH+wv38=")</f>
        <v>#REF!</v>
      </c>
      <c r="DY231" t="e">
        <f>AND('Reporting '!#REF!,"AAAAAH+wv4A=")</f>
        <v>#REF!</v>
      </c>
      <c r="DZ231" t="e">
        <f>AND('Reporting '!#REF!,"AAAAAH+wv4E=")</f>
        <v>#REF!</v>
      </c>
      <c r="EA231" t="e">
        <f>AND('Reporting '!#REF!,"AAAAAH+wv4I=")</f>
        <v>#REF!</v>
      </c>
      <c r="EB231" t="e">
        <f>AND('Reporting '!#REF!,"AAAAAH+wv4M=")</f>
        <v>#REF!</v>
      </c>
      <c r="EC231" t="e">
        <f>AND('Reporting '!#REF!,"AAAAAH+wv4Q=")</f>
        <v>#REF!</v>
      </c>
      <c r="ED231" t="e">
        <f>AND('Reporting '!#REF!,"AAAAAH+wv4U=")</f>
        <v>#REF!</v>
      </c>
      <c r="EE231" t="e">
        <f>AND('Reporting '!#REF!,"AAAAAH+wv4Y=")</f>
        <v>#REF!</v>
      </c>
      <c r="EF231" t="e">
        <f>AND('Reporting '!#REF!,"AAAAAH+wv4c=")</f>
        <v>#REF!</v>
      </c>
      <c r="EG231" t="e">
        <f>AND('Reporting '!#REF!,"AAAAAH+wv4g=")</f>
        <v>#REF!</v>
      </c>
      <c r="EH231" t="e">
        <f>AND('Reporting '!#REF!,"AAAAAH+wv4k=")</f>
        <v>#REF!</v>
      </c>
      <c r="EI231" t="e">
        <f>AND('Reporting '!#REF!,"AAAAAH+wv4o=")</f>
        <v>#REF!</v>
      </c>
      <c r="EJ231" t="e">
        <f>AND('Reporting '!#REF!,"AAAAAH+wv4s=")</f>
        <v>#REF!</v>
      </c>
      <c r="EK231" t="e">
        <f>AND('Reporting '!#REF!,"AAAAAH+wv4w=")</f>
        <v>#REF!</v>
      </c>
      <c r="EL231" t="e">
        <f>IF('Reporting '!#REF!,"AAAAAH+wv40=",0)</f>
        <v>#REF!</v>
      </c>
      <c r="EM231" t="e">
        <f>AND('Reporting '!#REF!,"AAAAAH+wv44=")</f>
        <v>#REF!</v>
      </c>
      <c r="EN231" t="e">
        <f>AND('Reporting '!#REF!,"AAAAAH+wv48=")</f>
        <v>#REF!</v>
      </c>
      <c r="EO231" t="e">
        <f>AND('Reporting '!#REF!,"AAAAAH+wv5A=")</f>
        <v>#REF!</v>
      </c>
      <c r="EP231" t="e">
        <f>AND('Reporting '!#REF!,"AAAAAH+wv5E=")</f>
        <v>#REF!</v>
      </c>
      <c r="EQ231" t="e">
        <f>AND('Reporting '!#REF!,"AAAAAH+wv5I=")</f>
        <v>#REF!</v>
      </c>
      <c r="ER231" t="e">
        <f>AND('Reporting '!#REF!,"AAAAAH+wv5M=")</f>
        <v>#REF!</v>
      </c>
      <c r="ES231" t="e">
        <f>AND('Reporting '!#REF!,"AAAAAH+wv5Q=")</f>
        <v>#REF!</v>
      </c>
      <c r="ET231" t="e">
        <f>AND('Reporting '!#REF!,"AAAAAH+wv5U=")</f>
        <v>#REF!</v>
      </c>
      <c r="EU231" t="e">
        <f>AND('Reporting '!#REF!,"AAAAAH+wv5Y=")</f>
        <v>#REF!</v>
      </c>
      <c r="EV231" t="e">
        <f>AND('Reporting '!#REF!,"AAAAAH+wv5c=")</f>
        <v>#REF!</v>
      </c>
      <c r="EW231" t="e">
        <f>AND('Reporting '!#REF!,"AAAAAH+wv5g=")</f>
        <v>#REF!</v>
      </c>
      <c r="EX231" t="e">
        <f>AND('Reporting '!#REF!,"AAAAAH+wv5k=")</f>
        <v>#REF!</v>
      </c>
      <c r="EY231" t="e">
        <f>AND('Reporting '!#REF!,"AAAAAH+wv5o=")</f>
        <v>#REF!</v>
      </c>
      <c r="EZ231" t="e">
        <f>AND('Reporting '!#REF!,"AAAAAH+wv5s=")</f>
        <v>#REF!</v>
      </c>
      <c r="FA231" t="e">
        <f>IF('Reporting '!#REF!,"AAAAAH+wv5w=",0)</f>
        <v>#REF!</v>
      </c>
      <c r="FB231" t="e">
        <f>AND('Reporting '!#REF!,"AAAAAH+wv50=")</f>
        <v>#REF!</v>
      </c>
      <c r="FC231" t="e">
        <f>AND('Reporting '!#REF!,"AAAAAH+wv54=")</f>
        <v>#REF!</v>
      </c>
      <c r="FD231" t="e">
        <f>AND('Reporting '!#REF!,"AAAAAH+wv58=")</f>
        <v>#REF!</v>
      </c>
      <c r="FE231" t="e">
        <f>AND('Reporting '!#REF!,"AAAAAH+wv6A=")</f>
        <v>#REF!</v>
      </c>
      <c r="FF231" t="e">
        <f>AND('Reporting '!#REF!,"AAAAAH+wv6E=")</f>
        <v>#REF!</v>
      </c>
      <c r="FG231" t="e">
        <f>AND('Reporting '!#REF!,"AAAAAH+wv6I=")</f>
        <v>#REF!</v>
      </c>
      <c r="FH231" t="e">
        <f>AND('Reporting '!#REF!,"AAAAAH+wv6M=")</f>
        <v>#REF!</v>
      </c>
      <c r="FI231" t="e">
        <f>AND('Reporting '!#REF!,"AAAAAH+wv6Q=")</f>
        <v>#REF!</v>
      </c>
      <c r="FJ231" t="e">
        <f>AND('Reporting '!#REF!,"AAAAAH+wv6U=")</f>
        <v>#REF!</v>
      </c>
      <c r="FK231" t="e">
        <f>AND('Reporting '!#REF!,"AAAAAH+wv6Y=")</f>
        <v>#REF!</v>
      </c>
      <c r="FL231" t="e">
        <f>AND('Reporting '!#REF!,"AAAAAH+wv6c=")</f>
        <v>#REF!</v>
      </c>
      <c r="FM231" t="e">
        <f>AND('Reporting '!#REF!,"AAAAAH+wv6g=")</f>
        <v>#REF!</v>
      </c>
      <c r="FN231" t="e">
        <f>AND('Reporting '!#REF!,"AAAAAH+wv6k=")</f>
        <v>#REF!</v>
      </c>
      <c r="FO231" t="e">
        <f>AND('Reporting '!#REF!,"AAAAAH+wv6o=")</f>
        <v>#REF!</v>
      </c>
      <c r="FP231" t="e">
        <f>IF('Reporting '!#REF!,"AAAAAH+wv6s=",0)</f>
        <v>#REF!</v>
      </c>
      <c r="FQ231" t="e">
        <f>AND('Reporting '!#REF!,"AAAAAH+wv6w=")</f>
        <v>#REF!</v>
      </c>
      <c r="FR231" t="e">
        <f>AND('Reporting '!#REF!,"AAAAAH+wv60=")</f>
        <v>#REF!</v>
      </c>
      <c r="FS231" t="e">
        <f>AND('Reporting '!#REF!,"AAAAAH+wv64=")</f>
        <v>#REF!</v>
      </c>
      <c r="FT231" t="e">
        <f>AND('Reporting '!#REF!,"AAAAAH+wv68=")</f>
        <v>#REF!</v>
      </c>
      <c r="FU231" t="e">
        <f>AND('Reporting '!#REF!,"AAAAAH+wv7A=")</f>
        <v>#REF!</v>
      </c>
      <c r="FV231" t="e">
        <f>AND('Reporting '!#REF!,"AAAAAH+wv7E=")</f>
        <v>#REF!</v>
      </c>
      <c r="FW231" t="e">
        <f>AND('Reporting '!#REF!,"AAAAAH+wv7I=")</f>
        <v>#REF!</v>
      </c>
      <c r="FX231" t="e">
        <f>AND('Reporting '!#REF!,"AAAAAH+wv7M=")</f>
        <v>#REF!</v>
      </c>
      <c r="FY231" t="e">
        <f>AND('Reporting '!#REF!,"AAAAAH+wv7Q=")</f>
        <v>#REF!</v>
      </c>
      <c r="FZ231" t="e">
        <f>AND('Reporting '!#REF!,"AAAAAH+wv7U=")</f>
        <v>#REF!</v>
      </c>
      <c r="GA231" t="e">
        <f>AND('Reporting '!#REF!,"AAAAAH+wv7Y=")</f>
        <v>#REF!</v>
      </c>
      <c r="GB231" t="e">
        <f>AND('Reporting '!#REF!,"AAAAAH+wv7c=")</f>
        <v>#REF!</v>
      </c>
      <c r="GC231" t="e">
        <f>AND('Reporting '!#REF!,"AAAAAH+wv7g=")</f>
        <v>#REF!</v>
      </c>
      <c r="GD231" t="e">
        <f>AND('Reporting '!#REF!,"AAAAAH+wv7k=")</f>
        <v>#REF!</v>
      </c>
      <c r="GE231" t="e">
        <f>IF('Reporting '!#REF!,"AAAAAH+wv7o=",0)</f>
        <v>#REF!</v>
      </c>
      <c r="GF231" t="e">
        <f>AND('Reporting '!#REF!,"AAAAAH+wv7s=")</f>
        <v>#REF!</v>
      </c>
      <c r="GG231" t="e">
        <f>AND('Reporting '!#REF!,"AAAAAH+wv7w=")</f>
        <v>#REF!</v>
      </c>
      <c r="GH231" t="e">
        <f>AND('Reporting '!#REF!,"AAAAAH+wv70=")</f>
        <v>#REF!</v>
      </c>
      <c r="GI231" t="e">
        <f>AND('Reporting '!#REF!,"AAAAAH+wv74=")</f>
        <v>#REF!</v>
      </c>
      <c r="GJ231" t="e">
        <f>AND('Reporting '!#REF!,"AAAAAH+wv78=")</f>
        <v>#REF!</v>
      </c>
      <c r="GK231" t="e">
        <f>AND('Reporting '!#REF!,"AAAAAH+wv8A=")</f>
        <v>#REF!</v>
      </c>
      <c r="GL231" t="e">
        <f>AND('Reporting '!#REF!,"AAAAAH+wv8E=")</f>
        <v>#REF!</v>
      </c>
      <c r="GM231" t="e">
        <f>AND('Reporting '!#REF!,"AAAAAH+wv8I=")</f>
        <v>#REF!</v>
      </c>
      <c r="GN231" t="e">
        <f>AND('Reporting '!#REF!,"AAAAAH+wv8M=")</f>
        <v>#REF!</v>
      </c>
      <c r="GO231" t="e">
        <f>AND('Reporting '!#REF!,"AAAAAH+wv8Q=")</f>
        <v>#REF!</v>
      </c>
      <c r="GP231" t="e">
        <f>AND('Reporting '!#REF!,"AAAAAH+wv8U=")</f>
        <v>#REF!</v>
      </c>
      <c r="GQ231" t="e">
        <f>AND('Reporting '!#REF!,"AAAAAH+wv8Y=")</f>
        <v>#REF!</v>
      </c>
      <c r="GR231" t="e">
        <f>AND('Reporting '!#REF!,"AAAAAH+wv8c=")</f>
        <v>#REF!</v>
      </c>
      <c r="GS231" t="e">
        <f>AND('Reporting '!#REF!,"AAAAAH+wv8g=")</f>
        <v>#REF!</v>
      </c>
      <c r="GT231" t="e">
        <f>IF('Reporting '!#REF!,"AAAAAH+wv8k=",0)</f>
        <v>#REF!</v>
      </c>
      <c r="GU231" t="e">
        <f>AND('Reporting '!#REF!,"AAAAAH+wv8o=")</f>
        <v>#REF!</v>
      </c>
      <c r="GV231" t="e">
        <f>AND('Reporting '!#REF!,"AAAAAH+wv8s=")</f>
        <v>#REF!</v>
      </c>
      <c r="GW231" t="e">
        <f>AND('Reporting '!#REF!,"AAAAAH+wv8w=")</f>
        <v>#REF!</v>
      </c>
      <c r="GX231" t="e">
        <f>AND('Reporting '!#REF!,"AAAAAH+wv80=")</f>
        <v>#REF!</v>
      </c>
      <c r="GY231" t="e">
        <f>AND('Reporting '!#REF!,"AAAAAH+wv84=")</f>
        <v>#REF!</v>
      </c>
      <c r="GZ231" t="e">
        <f>AND('Reporting '!#REF!,"AAAAAH+wv88=")</f>
        <v>#REF!</v>
      </c>
      <c r="HA231" t="e">
        <f>AND('Reporting '!#REF!,"AAAAAH+wv9A=")</f>
        <v>#REF!</v>
      </c>
      <c r="HB231" t="e">
        <f>AND('Reporting '!#REF!,"AAAAAH+wv9E=")</f>
        <v>#REF!</v>
      </c>
      <c r="HC231" t="e">
        <f>AND('Reporting '!#REF!,"AAAAAH+wv9I=")</f>
        <v>#REF!</v>
      </c>
      <c r="HD231" t="e">
        <f>AND('Reporting '!#REF!,"AAAAAH+wv9M=")</f>
        <v>#REF!</v>
      </c>
      <c r="HE231" t="e">
        <f>AND('Reporting '!#REF!,"AAAAAH+wv9Q=")</f>
        <v>#REF!</v>
      </c>
      <c r="HF231" t="e">
        <f>AND('Reporting '!#REF!,"AAAAAH+wv9U=")</f>
        <v>#REF!</v>
      </c>
      <c r="HG231" t="e">
        <f>AND('Reporting '!#REF!,"AAAAAH+wv9Y=")</f>
        <v>#REF!</v>
      </c>
      <c r="HH231" t="e">
        <f>AND('Reporting '!#REF!,"AAAAAH+wv9c=")</f>
        <v>#REF!</v>
      </c>
      <c r="HI231" t="e">
        <f>IF('Reporting '!#REF!,"AAAAAH+wv9g=",0)</f>
        <v>#REF!</v>
      </c>
      <c r="HJ231" t="e">
        <f>AND('Reporting '!#REF!,"AAAAAH+wv9k=")</f>
        <v>#REF!</v>
      </c>
      <c r="HK231" t="e">
        <f>AND('Reporting '!#REF!,"AAAAAH+wv9o=")</f>
        <v>#REF!</v>
      </c>
      <c r="HL231" t="e">
        <f>AND('Reporting '!#REF!,"AAAAAH+wv9s=")</f>
        <v>#REF!</v>
      </c>
      <c r="HM231" t="e">
        <f>AND('Reporting '!#REF!,"AAAAAH+wv9w=")</f>
        <v>#REF!</v>
      </c>
      <c r="HN231" t="e">
        <f>AND('Reporting '!#REF!,"AAAAAH+wv90=")</f>
        <v>#REF!</v>
      </c>
      <c r="HO231" t="e">
        <f>AND('Reporting '!#REF!,"AAAAAH+wv94=")</f>
        <v>#REF!</v>
      </c>
      <c r="HP231" t="e">
        <f>AND('Reporting '!#REF!,"AAAAAH+wv98=")</f>
        <v>#REF!</v>
      </c>
      <c r="HQ231" t="e">
        <f>AND('Reporting '!#REF!,"AAAAAH+wv+A=")</f>
        <v>#REF!</v>
      </c>
      <c r="HR231" t="e">
        <f>AND('Reporting '!#REF!,"AAAAAH+wv+E=")</f>
        <v>#REF!</v>
      </c>
      <c r="HS231" t="e">
        <f>AND('Reporting '!#REF!,"AAAAAH+wv+I=")</f>
        <v>#REF!</v>
      </c>
      <c r="HT231" t="e">
        <f>AND('Reporting '!#REF!,"AAAAAH+wv+M=")</f>
        <v>#REF!</v>
      </c>
      <c r="HU231" t="e">
        <f>AND('Reporting '!#REF!,"AAAAAH+wv+Q=")</f>
        <v>#REF!</v>
      </c>
      <c r="HV231" t="e">
        <f>AND('Reporting '!#REF!,"AAAAAH+wv+U=")</f>
        <v>#REF!</v>
      </c>
      <c r="HW231" t="e">
        <f>AND('Reporting '!#REF!,"AAAAAH+wv+Y=")</f>
        <v>#REF!</v>
      </c>
      <c r="HX231" t="e">
        <f>IF('Reporting '!#REF!,"AAAAAH+wv+c=",0)</f>
        <v>#REF!</v>
      </c>
      <c r="HY231" t="e">
        <f>AND('Reporting '!#REF!,"AAAAAH+wv+g=")</f>
        <v>#REF!</v>
      </c>
      <c r="HZ231" t="e">
        <f>AND('Reporting '!#REF!,"AAAAAH+wv+k=")</f>
        <v>#REF!</v>
      </c>
      <c r="IA231" t="e">
        <f>AND('Reporting '!#REF!,"AAAAAH+wv+o=")</f>
        <v>#REF!</v>
      </c>
      <c r="IB231" t="e">
        <f>AND('Reporting '!#REF!,"AAAAAH+wv+s=")</f>
        <v>#REF!</v>
      </c>
      <c r="IC231" t="e">
        <f>AND('Reporting '!#REF!,"AAAAAH+wv+w=")</f>
        <v>#REF!</v>
      </c>
      <c r="ID231" t="e">
        <f>AND('Reporting '!#REF!,"AAAAAH+wv+0=")</f>
        <v>#REF!</v>
      </c>
      <c r="IE231" t="e">
        <f>AND('Reporting '!#REF!,"AAAAAH+wv+4=")</f>
        <v>#REF!</v>
      </c>
      <c r="IF231" t="e">
        <f>AND('Reporting '!#REF!,"AAAAAH+wv+8=")</f>
        <v>#REF!</v>
      </c>
      <c r="IG231" t="e">
        <f>AND('Reporting '!#REF!,"AAAAAH+wv/A=")</f>
        <v>#REF!</v>
      </c>
      <c r="IH231" t="e">
        <f>AND('Reporting '!#REF!,"AAAAAH+wv/E=")</f>
        <v>#REF!</v>
      </c>
      <c r="II231" t="e">
        <f>AND('Reporting '!#REF!,"AAAAAH+wv/I=")</f>
        <v>#REF!</v>
      </c>
      <c r="IJ231" t="e">
        <f>AND('Reporting '!#REF!,"AAAAAH+wv/M=")</f>
        <v>#REF!</v>
      </c>
      <c r="IK231" t="e">
        <f>AND('Reporting '!#REF!,"AAAAAH+wv/Q=")</f>
        <v>#REF!</v>
      </c>
      <c r="IL231" t="e">
        <f>AND('Reporting '!#REF!,"AAAAAH+wv/U=")</f>
        <v>#REF!</v>
      </c>
      <c r="IM231" t="e">
        <f>IF('Reporting '!#REF!,"AAAAAH+wv/Y=",0)</f>
        <v>#REF!</v>
      </c>
      <c r="IN231" t="e">
        <f>AND('Reporting '!#REF!,"AAAAAH+wv/c=")</f>
        <v>#REF!</v>
      </c>
      <c r="IO231" t="e">
        <f>AND('Reporting '!#REF!,"AAAAAH+wv/g=")</f>
        <v>#REF!</v>
      </c>
      <c r="IP231" t="e">
        <f>AND('Reporting '!#REF!,"AAAAAH+wv/k=")</f>
        <v>#REF!</v>
      </c>
      <c r="IQ231" t="e">
        <f>AND('Reporting '!#REF!,"AAAAAH+wv/o=")</f>
        <v>#REF!</v>
      </c>
      <c r="IR231" t="e">
        <f>AND('Reporting '!#REF!,"AAAAAH+wv/s=")</f>
        <v>#REF!</v>
      </c>
      <c r="IS231" t="e">
        <f>AND('Reporting '!#REF!,"AAAAAH+wv/w=")</f>
        <v>#REF!</v>
      </c>
      <c r="IT231" t="e">
        <f>AND('Reporting '!#REF!,"AAAAAH+wv/0=")</f>
        <v>#REF!</v>
      </c>
      <c r="IU231" t="e">
        <f>AND('Reporting '!#REF!,"AAAAAH+wv/4=")</f>
        <v>#REF!</v>
      </c>
      <c r="IV231" t="e">
        <f>AND('Reporting '!#REF!,"AAAAAH+wv/8=")</f>
        <v>#REF!</v>
      </c>
    </row>
    <row r="232" spans="1:256" x14ac:dyDescent="0.2">
      <c r="A232" t="e">
        <f>AND('Reporting '!#REF!,"AAAAAG///gA=")</f>
        <v>#REF!</v>
      </c>
      <c r="B232" t="e">
        <f>AND('Reporting '!#REF!,"AAAAAG///gE=")</f>
        <v>#REF!</v>
      </c>
      <c r="C232" t="e">
        <f>AND('Reporting '!#REF!,"AAAAAG///gI=")</f>
        <v>#REF!</v>
      </c>
      <c r="D232" t="e">
        <f>AND('Reporting '!#REF!,"AAAAAG///gM=")</f>
        <v>#REF!</v>
      </c>
      <c r="E232" t="e">
        <f>AND('Reporting '!#REF!,"AAAAAG///gQ=")</f>
        <v>#REF!</v>
      </c>
      <c r="F232" t="e">
        <f>IF('Reporting '!#REF!,"AAAAAG///gU=",0)</f>
        <v>#REF!</v>
      </c>
      <c r="G232" t="e">
        <f>AND('Reporting '!#REF!,"AAAAAG///gY=")</f>
        <v>#REF!</v>
      </c>
      <c r="H232" t="e">
        <f>AND('Reporting '!#REF!,"AAAAAG///gc=")</f>
        <v>#REF!</v>
      </c>
      <c r="I232" t="e">
        <f>AND('Reporting '!#REF!,"AAAAAG///gg=")</f>
        <v>#REF!</v>
      </c>
      <c r="J232" t="e">
        <f>AND('Reporting '!#REF!,"AAAAAG///gk=")</f>
        <v>#REF!</v>
      </c>
      <c r="K232" t="e">
        <f>AND('Reporting '!#REF!,"AAAAAG///go=")</f>
        <v>#REF!</v>
      </c>
      <c r="L232" t="e">
        <f>AND('Reporting '!#REF!,"AAAAAG///gs=")</f>
        <v>#REF!</v>
      </c>
      <c r="M232" t="e">
        <f>AND('Reporting '!#REF!,"AAAAAG///gw=")</f>
        <v>#REF!</v>
      </c>
      <c r="N232" t="e">
        <f>AND('Reporting '!#REF!,"AAAAAG///g0=")</f>
        <v>#REF!</v>
      </c>
      <c r="O232" t="e">
        <f>AND('Reporting '!#REF!,"AAAAAG///g4=")</f>
        <v>#REF!</v>
      </c>
      <c r="P232" t="e">
        <f>AND('Reporting '!#REF!,"AAAAAG///g8=")</f>
        <v>#REF!</v>
      </c>
      <c r="Q232" t="e">
        <f>AND('Reporting '!#REF!,"AAAAAG///hA=")</f>
        <v>#REF!</v>
      </c>
      <c r="R232" t="e">
        <f>AND('Reporting '!#REF!,"AAAAAG///hE=")</f>
        <v>#REF!</v>
      </c>
      <c r="S232" t="e">
        <f>AND('Reporting '!#REF!,"AAAAAG///hI=")</f>
        <v>#REF!</v>
      </c>
      <c r="T232" t="e">
        <f>AND('Reporting '!#REF!,"AAAAAG///hM=")</f>
        <v>#REF!</v>
      </c>
      <c r="U232" t="e">
        <f>IF('Reporting '!#REF!,"AAAAAG///hQ=",0)</f>
        <v>#REF!</v>
      </c>
      <c r="V232" t="e">
        <f>AND('Reporting '!#REF!,"AAAAAG///hU=")</f>
        <v>#REF!</v>
      </c>
      <c r="W232" t="e">
        <f>AND('Reporting '!#REF!,"AAAAAG///hY=")</f>
        <v>#REF!</v>
      </c>
      <c r="X232" t="e">
        <f>AND('Reporting '!#REF!,"AAAAAG///hc=")</f>
        <v>#REF!</v>
      </c>
      <c r="Y232" t="e">
        <f>AND('Reporting '!#REF!,"AAAAAG///hg=")</f>
        <v>#REF!</v>
      </c>
      <c r="Z232" t="e">
        <f>AND('Reporting '!#REF!,"AAAAAG///hk=")</f>
        <v>#REF!</v>
      </c>
      <c r="AA232" t="e">
        <f>AND('Reporting '!#REF!,"AAAAAG///ho=")</f>
        <v>#REF!</v>
      </c>
      <c r="AB232" t="e">
        <f>AND('Reporting '!#REF!,"AAAAAG///hs=")</f>
        <v>#REF!</v>
      </c>
      <c r="AC232" t="e">
        <f>AND('Reporting '!#REF!,"AAAAAG///hw=")</f>
        <v>#REF!</v>
      </c>
      <c r="AD232" t="e">
        <f>AND('Reporting '!#REF!,"AAAAAG///h0=")</f>
        <v>#REF!</v>
      </c>
      <c r="AE232" t="e">
        <f>AND('Reporting '!#REF!,"AAAAAG///h4=")</f>
        <v>#REF!</v>
      </c>
      <c r="AF232" t="e">
        <f>AND('Reporting '!#REF!,"AAAAAG///h8=")</f>
        <v>#REF!</v>
      </c>
      <c r="AG232" t="e">
        <f>AND('Reporting '!#REF!,"AAAAAG///iA=")</f>
        <v>#REF!</v>
      </c>
      <c r="AH232" t="e">
        <f>AND('Reporting '!#REF!,"AAAAAG///iE=")</f>
        <v>#REF!</v>
      </c>
      <c r="AI232" t="e">
        <f>AND('Reporting '!#REF!,"AAAAAG///iI=")</f>
        <v>#REF!</v>
      </c>
      <c r="AJ232" t="e">
        <f>IF('Reporting '!#REF!,"AAAAAG///iM=",0)</f>
        <v>#REF!</v>
      </c>
      <c r="AK232" t="e">
        <f>AND('Reporting '!#REF!,"AAAAAG///iQ=")</f>
        <v>#REF!</v>
      </c>
      <c r="AL232" t="e">
        <f>AND('Reporting '!#REF!,"AAAAAG///iU=")</f>
        <v>#REF!</v>
      </c>
      <c r="AM232" t="e">
        <f>AND('Reporting '!#REF!,"AAAAAG///iY=")</f>
        <v>#REF!</v>
      </c>
      <c r="AN232" t="e">
        <f>AND('Reporting '!#REF!,"AAAAAG///ic=")</f>
        <v>#REF!</v>
      </c>
      <c r="AO232" t="e">
        <f>AND('Reporting '!#REF!,"AAAAAG///ig=")</f>
        <v>#REF!</v>
      </c>
      <c r="AP232" t="e">
        <f>AND('Reporting '!#REF!,"AAAAAG///ik=")</f>
        <v>#REF!</v>
      </c>
      <c r="AQ232" t="e">
        <f>AND('Reporting '!#REF!,"AAAAAG///io=")</f>
        <v>#REF!</v>
      </c>
      <c r="AR232" t="e">
        <f>AND('Reporting '!#REF!,"AAAAAG///is=")</f>
        <v>#REF!</v>
      </c>
      <c r="AS232" t="e">
        <f>AND('Reporting '!#REF!,"AAAAAG///iw=")</f>
        <v>#REF!</v>
      </c>
      <c r="AT232" t="e">
        <f>AND('Reporting '!#REF!,"AAAAAG///i0=")</f>
        <v>#REF!</v>
      </c>
      <c r="AU232" t="e">
        <f>AND('Reporting '!#REF!,"AAAAAG///i4=")</f>
        <v>#REF!</v>
      </c>
      <c r="AV232" t="e">
        <f>AND('Reporting '!#REF!,"AAAAAG///i8=")</f>
        <v>#REF!</v>
      </c>
      <c r="AW232" t="e">
        <f>AND('Reporting '!#REF!,"AAAAAG///jA=")</f>
        <v>#REF!</v>
      </c>
      <c r="AX232" t="e">
        <f>AND('Reporting '!#REF!,"AAAAAG///jE=")</f>
        <v>#REF!</v>
      </c>
      <c r="AY232" t="e">
        <f>IF('Reporting '!#REF!,"AAAAAG///jI=",0)</f>
        <v>#REF!</v>
      </c>
      <c r="AZ232" t="e">
        <f>AND('Reporting '!#REF!,"AAAAAG///jM=")</f>
        <v>#REF!</v>
      </c>
      <c r="BA232" t="e">
        <f>AND('Reporting '!#REF!,"AAAAAG///jQ=")</f>
        <v>#REF!</v>
      </c>
      <c r="BB232" t="e">
        <f>AND('Reporting '!#REF!,"AAAAAG///jU=")</f>
        <v>#REF!</v>
      </c>
      <c r="BC232" t="e">
        <f>AND('Reporting '!#REF!,"AAAAAG///jY=")</f>
        <v>#REF!</v>
      </c>
      <c r="BD232" t="e">
        <f>AND('Reporting '!#REF!,"AAAAAG///jc=")</f>
        <v>#REF!</v>
      </c>
      <c r="BE232" t="e">
        <f>AND('Reporting '!#REF!,"AAAAAG///jg=")</f>
        <v>#REF!</v>
      </c>
      <c r="BF232" t="e">
        <f>AND('Reporting '!#REF!,"AAAAAG///jk=")</f>
        <v>#REF!</v>
      </c>
      <c r="BG232" t="e">
        <f>AND('Reporting '!#REF!,"AAAAAG///jo=")</f>
        <v>#REF!</v>
      </c>
      <c r="BH232" t="e">
        <f>AND('Reporting '!#REF!,"AAAAAG///js=")</f>
        <v>#REF!</v>
      </c>
      <c r="BI232" t="e">
        <f>AND('Reporting '!#REF!,"AAAAAG///jw=")</f>
        <v>#REF!</v>
      </c>
      <c r="BJ232" t="e">
        <f>AND('Reporting '!#REF!,"AAAAAG///j0=")</f>
        <v>#REF!</v>
      </c>
      <c r="BK232" t="e">
        <f>AND('Reporting '!#REF!,"AAAAAG///j4=")</f>
        <v>#REF!</v>
      </c>
      <c r="BL232" t="e">
        <f>AND('Reporting '!#REF!,"AAAAAG///j8=")</f>
        <v>#REF!</v>
      </c>
      <c r="BM232" t="e">
        <f>AND('Reporting '!#REF!,"AAAAAG///kA=")</f>
        <v>#REF!</v>
      </c>
      <c r="BN232" t="e">
        <f>IF('Reporting '!#REF!,"AAAAAG///kE=",0)</f>
        <v>#REF!</v>
      </c>
      <c r="BO232" t="e">
        <f>AND('Reporting '!#REF!,"AAAAAG///kI=")</f>
        <v>#REF!</v>
      </c>
      <c r="BP232" t="e">
        <f>AND('Reporting '!#REF!,"AAAAAG///kM=")</f>
        <v>#REF!</v>
      </c>
      <c r="BQ232" t="e">
        <f>AND('Reporting '!#REF!,"AAAAAG///kQ=")</f>
        <v>#REF!</v>
      </c>
      <c r="BR232" t="e">
        <f>AND('Reporting '!#REF!,"AAAAAG///kU=")</f>
        <v>#REF!</v>
      </c>
      <c r="BS232" t="e">
        <f>AND('Reporting '!#REF!,"AAAAAG///kY=")</f>
        <v>#REF!</v>
      </c>
      <c r="BT232" t="e">
        <f>AND('Reporting '!#REF!,"AAAAAG///kc=")</f>
        <v>#REF!</v>
      </c>
      <c r="BU232" t="e">
        <f>AND('Reporting '!#REF!,"AAAAAG///kg=")</f>
        <v>#REF!</v>
      </c>
      <c r="BV232" t="e">
        <f>AND('Reporting '!#REF!,"AAAAAG///kk=")</f>
        <v>#REF!</v>
      </c>
      <c r="BW232" t="e">
        <f>AND('Reporting '!#REF!,"AAAAAG///ko=")</f>
        <v>#REF!</v>
      </c>
      <c r="BX232" t="e">
        <f>AND('Reporting '!#REF!,"AAAAAG///ks=")</f>
        <v>#REF!</v>
      </c>
      <c r="BY232" t="e">
        <f>AND('Reporting '!#REF!,"AAAAAG///kw=")</f>
        <v>#REF!</v>
      </c>
      <c r="BZ232" t="e">
        <f>AND('Reporting '!#REF!,"AAAAAG///k0=")</f>
        <v>#REF!</v>
      </c>
      <c r="CA232" t="e">
        <f>AND('Reporting '!#REF!,"AAAAAG///k4=")</f>
        <v>#REF!</v>
      </c>
      <c r="CB232" t="e">
        <f>AND('Reporting '!#REF!,"AAAAAG///k8=")</f>
        <v>#REF!</v>
      </c>
      <c r="CC232" t="e">
        <f>IF('Reporting '!#REF!,"AAAAAG///lA=",0)</f>
        <v>#REF!</v>
      </c>
      <c r="CD232" t="e">
        <f>AND('Reporting '!#REF!,"AAAAAG///lE=")</f>
        <v>#REF!</v>
      </c>
      <c r="CE232" t="e">
        <f>AND('Reporting '!#REF!,"AAAAAG///lI=")</f>
        <v>#REF!</v>
      </c>
      <c r="CF232" t="e">
        <f>AND('Reporting '!#REF!,"AAAAAG///lM=")</f>
        <v>#REF!</v>
      </c>
      <c r="CG232" t="e">
        <f>AND('Reporting '!#REF!,"AAAAAG///lQ=")</f>
        <v>#REF!</v>
      </c>
      <c r="CH232" t="e">
        <f>AND('Reporting '!#REF!,"AAAAAG///lU=")</f>
        <v>#REF!</v>
      </c>
      <c r="CI232" t="e">
        <f>AND('Reporting '!#REF!,"AAAAAG///lY=")</f>
        <v>#REF!</v>
      </c>
      <c r="CJ232" t="e">
        <f>AND('Reporting '!#REF!,"AAAAAG///lc=")</f>
        <v>#REF!</v>
      </c>
      <c r="CK232" t="e">
        <f>AND('Reporting '!#REF!,"AAAAAG///lg=")</f>
        <v>#REF!</v>
      </c>
      <c r="CL232" t="e">
        <f>AND('Reporting '!#REF!,"AAAAAG///lk=")</f>
        <v>#REF!</v>
      </c>
      <c r="CM232" t="e">
        <f>AND('Reporting '!#REF!,"AAAAAG///lo=")</f>
        <v>#REF!</v>
      </c>
      <c r="CN232" t="e">
        <f>AND('Reporting '!#REF!,"AAAAAG///ls=")</f>
        <v>#REF!</v>
      </c>
      <c r="CO232" t="e">
        <f>AND('Reporting '!#REF!,"AAAAAG///lw=")</f>
        <v>#REF!</v>
      </c>
      <c r="CP232" t="e">
        <f>AND('Reporting '!#REF!,"AAAAAG///l0=")</f>
        <v>#REF!</v>
      </c>
      <c r="CQ232" t="e">
        <f>AND('Reporting '!#REF!,"AAAAAG///l4=")</f>
        <v>#REF!</v>
      </c>
      <c r="CR232" t="e">
        <f>IF('Reporting '!#REF!,"AAAAAG///l8=",0)</f>
        <v>#REF!</v>
      </c>
      <c r="CS232" t="e">
        <f>AND('Reporting '!#REF!,"AAAAAG///mA=")</f>
        <v>#REF!</v>
      </c>
      <c r="CT232" t="e">
        <f>AND('Reporting '!#REF!,"AAAAAG///mE=")</f>
        <v>#REF!</v>
      </c>
      <c r="CU232" t="e">
        <f>AND('Reporting '!#REF!,"AAAAAG///mI=")</f>
        <v>#REF!</v>
      </c>
      <c r="CV232" t="e">
        <f>AND('Reporting '!#REF!,"AAAAAG///mM=")</f>
        <v>#REF!</v>
      </c>
      <c r="CW232" t="e">
        <f>AND('Reporting '!#REF!,"AAAAAG///mQ=")</f>
        <v>#REF!</v>
      </c>
      <c r="CX232" t="e">
        <f>AND('Reporting '!#REF!,"AAAAAG///mU=")</f>
        <v>#REF!</v>
      </c>
      <c r="CY232" t="e">
        <f>AND('Reporting '!#REF!,"AAAAAG///mY=")</f>
        <v>#REF!</v>
      </c>
      <c r="CZ232" t="e">
        <f>AND('Reporting '!#REF!,"AAAAAG///mc=")</f>
        <v>#REF!</v>
      </c>
      <c r="DA232" t="e">
        <f>AND('Reporting '!#REF!,"AAAAAG///mg=")</f>
        <v>#REF!</v>
      </c>
      <c r="DB232" t="e">
        <f>AND('Reporting '!#REF!,"AAAAAG///mk=")</f>
        <v>#REF!</v>
      </c>
      <c r="DC232" t="e">
        <f>AND('Reporting '!#REF!,"AAAAAG///mo=")</f>
        <v>#REF!</v>
      </c>
      <c r="DD232" t="e">
        <f>AND('Reporting '!#REF!,"AAAAAG///ms=")</f>
        <v>#REF!</v>
      </c>
      <c r="DE232" t="e">
        <f>AND('Reporting '!#REF!,"AAAAAG///mw=")</f>
        <v>#REF!</v>
      </c>
      <c r="DF232" t="e">
        <f>AND('Reporting '!#REF!,"AAAAAG///m0=")</f>
        <v>#REF!</v>
      </c>
      <c r="DG232" t="e">
        <f>IF('Reporting '!#REF!,"AAAAAG///m4=",0)</f>
        <v>#REF!</v>
      </c>
      <c r="DH232" t="e">
        <f>AND('Reporting '!#REF!,"AAAAAG///m8=")</f>
        <v>#REF!</v>
      </c>
      <c r="DI232" t="e">
        <f>AND('Reporting '!#REF!,"AAAAAG///nA=")</f>
        <v>#REF!</v>
      </c>
      <c r="DJ232" t="e">
        <f>AND('Reporting '!#REF!,"AAAAAG///nE=")</f>
        <v>#REF!</v>
      </c>
      <c r="DK232" t="e">
        <f>AND('Reporting '!#REF!,"AAAAAG///nI=")</f>
        <v>#REF!</v>
      </c>
      <c r="DL232" t="e">
        <f>AND('Reporting '!#REF!,"AAAAAG///nM=")</f>
        <v>#REF!</v>
      </c>
      <c r="DM232" t="e">
        <f>AND('Reporting '!#REF!,"AAAAAG///nQ=")</f>
        <v>#REF!</v>
      </c>
      <c r="DN232" t="e">
        <f>AND('Reporting '!#REF!,"AAAAAG///nU=")</f>
        <v>#REF!</v>
      </c>
      <c r="DO232" t="e">
        <f>AND('Reporting '!#REF!,"AAAAAG///nY=")</f>
        <v>#REF!</v>
      </c>
      <c r="DP232" t="e">
        <f>AND('Reporting '!#REF!,"AAAAAG///nc=")</f>
        <v>#REF!</v>
      </c>
      <c r="DQ232" t="e">
        <f>AND('Reporting '!#REF!,"AAAAAG///ng=")</f>
        <v>#REF!</v>
      </c>
      <c r="DR232" t="e">
        <f>AND('Reporting '!#REF!,"AAAAAG///nk=")</f>
        <v>#REF!</v>
      </c>
      <c r="DS232" t="e">
        <f>AND('Reporting '!#REF!,"AAAAAG///no=")</f>
        <v>#REF!</v>
      </c>
      <c r="DT232" t="e">
        <f>AND('Reporting '!#REF!,"AAAAAG///ns=")</f>
        <v>#REF!</v>
      </c>
      <c r="DU232" t="e">
        <f>AND('Reporting '!#REF!,"AAAAAG///nw=")</f>
        <v>#REF!</v>
      </c>
      <c r="DV232" t="e">
        <f>IF('Reporting '!#REF!,"AAAAAG///n0=",0)</f>
        <v>#REF!</v>
      </c>
      <c r="DW232" t="e">
        <f>AND('Reporting '!#REF!,"AAAAAG///n4=")</f>
        <v>#REF!</v>
      </c>
      <c r="DX232" t="e">
        <f>AND('Reporting '!#REF!,"AAAAAG///n8=")</f>
        <v>#REF!</v>
      </c>
      <c r="DY232" t="e">
        <f>AND('Reporting '!#REF!,"AAAAAG///oA=")</f>
        <v>#REF!</v>
      </c>
      <c r="DZ232" t="e">
        <f>AND('Reporting '!#REF!,"AAAAAG///oE=")</f>
        <v>#REF!</v>
      </c>
      <c r="EA232" t="e">
        <f>AND('Reporting '!#REF!,"AAAAAG///oI=")</f>
        <v>#REF!</v>
      </c>
      <c r="EB232" t="e">
        <f>AND('Reporting '!#REF!,"AAAAAG///oM=")</f>
        <v>#REF!</v>
      </c>
      <c r="EC232" t="e">
        <f>AND('Reporting '!#REF!,"AAAAAG///oQ=")</f>
        <v>#REF!</v>
      </c>
      <c r="ED232" t="e">
        <f>AND('Reporting '!#REF!,"AAAAAG///oU=")</f>
        <v>#REF!</v>
      </c>
      <c r="EE232" t="e">
        <f>AND('Reporting '!#REF!,"AAAAAG///oY=")</f>
        <v>#REF!</v>
      </c>
      <c r="EF232" t="e">
        <f>AND('Reporting '!#REF!,"AAAAAG///oc=")</f>
        <v>#REF!</v>
      </c>
      <c r="EG232" t="e">
        <f>AND('Reporting '!#REF!,"AAAAAG///og=")</f>
        <v>#REF!</v>
      </c>
      <c r="EH232" t="e">
        <f>AND('Reporting '!#REF!,"AAAAAG///ok=")</f>
        <v>#REF!</v>
      </c>
      <c r="EI232" t="e">
        <f>AND('Reporting '!#REF!,"AAAAAG///oo=")</f>
        <v>#REF!</v>
      </c>
      <c r="EJ232" t="e">
        <f>AND('Reporting '!#REF!,"AAAAAG///os=")</f>
        <v>#REF!</v>
      </c>
      <c r="EK232" t="e">
        <f>IF('Reporting '!#REF!,"AAAAAG///ow=",0)</f>
        <v>#REF!</v>
      </c>
      <c r="EL232" t="e">
        <f>AND('Reporting '!#REF!,"AAAAAG///o0=")</f>
        <v>#REF!</v>
      </c>
      <c r="EM232" t="e">
        <f>AND('Reporting '!#REF!,"AAAAAG///o4=")</f>
        <v>#REF!</v>
      </c>
      <c r="EN232" t="e">
        <f>AND('Reporting '!#REF!,"AAAAAG///o8=")</f>
        <v>#REF!</v>
      </c>
      <c r="EO232" t="e">
        <f>AND('Reporting '!#REF!,"AAAAAG///pA=")</f>
        <v>#REF!</v>
      </c>
      <c r="EP232" t="e">
        <f>AND('Reporting '!#REF!,"AAAAAG///pE=")</f>
        <v>#REF!</v>
      </c>
      <c r="EQ232" t="e">
        <f>AND('Reporting '!#REF!,"AAAAAG///pI=")</f>
        <v>#REF!</v>
      </c>
      <c r="ER232" t="e">
        <f>AND('Reporting '!#REF!,"AAAAAG///pM=")</f>
        <v>#REF!</v>
      </c>
      <c r="ES232" t="e">
        <f>AND('Reporting '!#REF!,"AAAAAG///pQ=")</f>
        <v>#REF!</v>
      </c>
      <c r="ET232" t="e">
        <f>AND('Reporting '!#REF!,"AAAAAG///pU=")</f>
        <v>#REF!</v>
      </c>
      <c r="EU232" t="e">
        <f>AND('Reporting '!#REF!,"AAAAAG///pY=")</f>
        <v>#REF!</v>
      </c>
      <c r="EV232" t="e">
        <f>AND('Reporting '!#REF!,"AAAAAG///pc=")</f>
        <v>#REF!</v>
      </c>
      <c r="EW232" t="e">
        <f>AND('Reporting '!#REF!,"AAAAAG///pg=")</f>
        <v>#REF!</v>
      </c>
      <c r="EX232" t="e">
        <f>AND('Reporting '!#REF!,"AAAAAG///pk=")</f>
        <v>#REF!</v>
      </c>
      <c r="EY232" t="e">
        <f>AND('Reporting '!#REF!,"AAAAAG///po=")</f>
        <v>#REF!</v>
      </c>
      <c r="EZ232" t="e">
        <f>IF('Reporting '!#REF!,"AAAAAG///ps=",0)</f>
        <v>#REF!</v>
      </c>
      <c r="FA232" t="e">
        <f>AND('Reporting '!#REF!,"AAAAAG///pw=")</f>
        <v>#REF!</v>
      </c>
      <c r="FB232" t="e">
        <f>AND('Reporting '!#REF!,"AAAAAG///p0=")</f>
        <v>#REF!</v>
      </c>
      <c r="FC232" t="e">
        <f>AND('Reporting '!#REF!,"AAAAAG///p4=")</f>
        <v>#REF!</v>
      </c>
      <c r="FD232" t="e">
        <f>AND('Reporting '!#REF!,"AAAAAG///p8=")</f>
        <v>#REF!</v>
      </c>
      <c r="FE232" t="e">
        <f>AND('Reporting '!#REF!,"AAAAAG///qA=")</f>
        <v>#REF!</v>
      </c>
      <c r="FF232" t="e">
        <f>AND('Reporting '!#REF!,"AAAAAG///qE=")</f>
        <v>#REF!</v>
      </c>
      <c r="FG232" t="e">
        <f>AND('Reporting '!#REF!,"AAAAAG///qI=")</f>
        <v>#REF!</v>
      </c>
      <c r="FH232" t="e">
        <f>AND('Reporting '!#REF!,"AAAAAG///qM=")</f>
        <v>#REF!</v>
      </c>
      <c r="FI232" t="e">
        <f>AND('Reporting '!#REF!,"AAAAAG///qQ=")</f>
        <v>#REF!</v>
      </c>
      <c r="FJ232" t="e">
        <f>AND('Reporting '!#REF!,"AAAAAG///qU=")</f>
        <v>#REF!</v>
      </c>
      <c r="FK232" t="e">
        <f>AND('Reporting '!#REF!,"AAAAAG///qY=")</f>
        <v>#REF!</v>
      </c>
      <c r="FL232" t="e">
        <f>AND('Reporting '!#REF!,"AAAAAG///qc=")</f>
        <v>#REF!</v>
      </c>
      <c r="FM232" t="e">
        <f>AND('Reporting '!#REF!,"AAAAAG///qg=")</f>
        <v>#REF!</v>
      </c>
      <c r="FN232" t="e">
        <f>AND('Reporting '!#REF!,"AAAAAG///qk=")</f>
        <v>#REF!</v>
      </c>
      <c r="FO232" t="e">
        <f>IF('Reporting '!#REF!,"AAAAAG///qo=",0)</f>
        <v>#REF!</v>
      </c>
      <c r="FP232" t="e">
        <f>AND('Reporting '!#REF!,"AAAAAG///qs=")</f>
        <v>#REF!</v>
      </c>
      <c r="FQ232" t="e">
        <f>AND('Reporting '!#REF!,"AAAAAG///qw=")</f>
        <v>#REF!</v>
      </c>
      <c r="FR232" t="e">
        <f>AND('Reporting '!#REF!,"AAAAAG///q0=")</f>
        <v>#REF!</v>
      </c>
      <c r="FS232" t="e">
        <f>AND('Reporting '!#REF!,"AAAAAG///q4=")</f>
        <v>#REF!</v>
      </c>
      <c r="FT232" t="e">
        <f>AND('Reporting '!#REF!,"AAAAAG///q8=")</f>
        <v>#REF!</v>
      </c>
      <c r="FU232" t="e">
        <f>AND('Reporting '!#REF!,"AAAAAG///rA=")</f>
        <v>#REF!</v>
      </c>
      <c r="FV232" t="e">
        <f>AND('Reporting '!#REF!,"AAAAAG///rE=")</f>
        <v>#REF!</v>
      </c>
      <c r="FW232" t="e">
        <f>AND('Reporting '!#REF!,"AAAAAG///rI=")</f>
        <v>#REF!</v>
      </c>
      <c r="FX232" t="e">
        <f>AND('Reporting '!#REF!,"AAAAAG///rM=")</f>
        <v>#REF!</v>
      </c>
      <c r="FY232" t="e">
        <f>AND('Reporting '!#REF!,"AAAAAG///rQ=")</f>
        <v>#REF!</v>
      </c>
      <c r="FZ232" t="e">
        <f>AND('Reporting '!#REF!,"AAAAAG///rU=")</f>
        <v>#REF!</v>
      </c>
      <c r="GA232" t="e">
        <f>AND('Reporting '!#REF!,"AAAAAG///rY=")</f>
        <v>#REF!</v>
      </c>
      <c r="GB232" t="e">
        <f>AND('Reporting '!#REF!,"AAAAAG///rc=")</f>
        <v>#REF!</v>
      </c>
      <c r="GC232" t="e">
        <f>AND('Reporting '!#REF!,"AAAAAG///rg=")</f>
        <v>#REF!</v>
      </c>
      <c r="GD232" t="e">
        <f>IF('Reporting '!#REF!,"AAAAAG///rk=",0)</f>
        <v>#REF!</v>
      </c>
      <c r="GE232" t="e">
        <f>AND('Reporting '!#REF!,"AAAAAG///ro=")</f>
        <v>#REF!</v>
      </c>
      <c r="GF232" t="e">
        <f>AND('Reporting '!#REF!,"AAAAAG///rs=")</f>
        <v>#REF!</v>
      </c>
      <c r="GG232" t="e">
        <f>AND('Reporting '!#REF!,"AAAAAG///rw=")</f>
        <v>#REF!</v>
      </c>
      <c r="GH232" t="e">
        <f>AND('Reporting '!#REF!,"AAAAAG///r0=")</f>
        <v>#REF!</v>
      </c>
      <c r="GI232" t="e">
        <f>AND('Reporting '!#REF!,"AAAAAG///r4=")</f>
        <v>#REF!</v>
      </c>
      <c r="GJ232" t="e">
        <f>AND('Reporting '!#REF!,"AAAAAG///r8=")</f>
        <v>#REF!</v>
      </c>
      <c r="GK232" t="e">
        <f>AND('Reporting '!#REF!,"AAAAAG///sA=")</f>
        <v>#REF!</v>
      </c>
      <c r="GL232" t="e">
        <f>AND('Reporting '!#REF!,"AAAAAG///sE=")</f>
        <v>#REF!</v>
      </c>
      <c r="GM232" t="e">
        <f>AND('Reporting '!#REF!,"AAAAAG///sI=")</f>
        <v>#REF!</v>
      </c>
      <c r="GN232" t="e">
        <f>AND('Reporting '!#REF!,"AAAAAG///sM=")</f>
        <v>#REF!</v>
      </c>
      <c r="GO232" t="e">
        <f>AND('Reporting '!#REF!,"AAAAAG///sQ=")</f>
        <v>#REF!</v>
      </c>
      <c r="GP232" t="e">
        <f>AND('Reporting '!#REF!,"AAAAAG///sU=")</f>
        <v>#REF!</v>
      </c>
      <c r="GQ232" t="e">
        <f>AND('Reporting '!#REF!,"AAAAAG///sY=")</f>
        <v>#REF!</v>
      </c>
      <c r="GR232" t="e">
        <f>AND('Reporting '!#REF!,"AAAAAG///sc=")</f>
        <v>#REF!</v>
      </c>
      <c r="GS232" t="e">
        <f>IF('Reporting '!#REF!,"AAAAAG///sg=",0)</f>
        <v>#REF!</v>
      </c>
      <c r="GT232" t="e">
        <f>AND('Reporting '!#REF!,"AAAAAG///sk=")</f>
        <v>#REF!</v>
      </c>
      <c r="GU232" t="e">
        <f>AND('Reporting '!#REF!,"AAAAAG///so=")</f>
        <v>#REF!</v>
      </c>
      <c r="GV232" t="e">
        <f>AND('Reporting '!#REF!,"AAAAAG///ss=")</f>
        <v>#REF!</v>
      </c>
      <c r="GW232" t="e">
        <f>AND('Reporting '!#REF!,"AAAAAG///sw=")</f>
        <v>#REF!</v>
      </c>
      <c r="GX232" t="e">
        <f>AND('Reporting '!#REF!,"AAAAAG///s0=")</f>
        <v>#REF!</v>
      </c>
      <c r="GY232" t="e">
        <f>AND('Reporting '!#REF!,"AAAAAG///s4=")</f>
        <v>#REF!</v>
      </c>
      <c r="GZ232" t="e">
        <f>AND('Reporting '!#REF!,"AAAAAG///s8=")</f>
        <v>#REF!</v>
      </c>
      <c r="HA232" t="e">
        <f>AND('Reporting '!#REF!,"AAAAAG///tA=")</f>
        <v>#REF!</v>
      </c>
      <c r="HB232" t="e">
        <f>AND('Reporting '!#REF!,"AAAAAG///tE=")</f>
        <v>#REF!</v>
      </c>
      <c r="HC232" t="e">
        <f>AND('Reporting '!#REF!,"AAAAAG///tI=")</f>
        <v>#REF!</v>
      </c>
      <c r="HD232" t="e">
        <f>AND('Reporting '!#REF!,"AAAAAG///tM=")</f>
        <v>#REF!</v>
      </c>
      <c r="HE232" t="e">
        <f>AND('Reporting '!#REF!,"AAAAAG///tQ=")</f>
        <v>#REF!</v>
      </c>
      <c r="HF232" t="e">
        <f>AND('Reporting '!#REF!,"AAAAAG///tU=")</f>
        <v>#REF!</v>
      </c>
      <c r="HG232" t="e">
        <f>AND('Reporting '!#REF!,"AAAAAG///tY=")</f>
        <v>#REF!</v>
      </c>
      <c r="HH232" t="e">
        <f>IF('Reporting '!#REF!,"AAAAAG///tc=",0)</f>
        <v>#REF!</v>
      </c>
      <c r="HI232" t="e">
        <f>AND('Reporting '!#REF!,"AAAAAG///tg=")</f>
        <v>#REF!</v>
      </c>
      <c r="HJ232" t="e">
        <f>AND('Reporting '!#REF!,"AAAAAG///tk=")</f>
        <v>#REF!</v>
      </c>
      <c r="HK232" t="e">
        <f>AND('Reporting '!#REF!,"AAAAAG///to=")</f>
        <v>#REF!</v>
      </c>
      <c r="HL232" t="e">
        <f>AND('Reporting '!#REF!,"AAAAAG///ts=")</f>
        <v>#REF!</v>
      </c>
      <c r="HM232" t="e">
        <f>AND('Reporting '!#REF!,"AAAAAG///tw=")</f>
        <v>#REF!</v>
      </c>
      <c r="HN232" t="e">
        <f>AND('Reporting '!#REF!,"AAAAAG///t0=")</f>
        <v>#REF!</v>
      </c>
      <c r="HO232" t="e">
        <f>AND('Reporting '!#REF!,"AAAAAG///t4=")</f>
        <v>#REF!</v>
      </c>
      <c r="HP232" t="e">
        <f>AND('Reporting '!#REF!,"AAAAAG///t8=")</f>
        <v>#REF!</v>
      </c>
      <c r="HQ232" t="e">
        <f>AND('Reporting '!#REF!,"AAAAAG///uA=")</f>
        <v>#REF!</v>
      </c>
      <c r="HR232" t="e">
        <f>AND('Reporting '!#REF!,"AAAAAG///uE=")</f>
        <v>#REF!</v>
      </c>
      <c r="HS232" t="e">
        <f>AND('Reporting '!#REF!,"AAAAAG///uI=")</f>
        <v>#REF!</v>
      </c>
      <c r="HT232" t="e">
        <f>AND('Reporting '!#REF!,"AAAAAG///uM=")</f>
        <v>#REF!</v>
      </c>
      <c r="HU232" t="e">
        <f>AND('Reporting '!#REF!,"AAAAAG///uQ=")</f>
        <v>#REF!</v>
      </c>
      <c r="HV232" t="e">
        <f>AND('Reporting '!#REF!,"AAAAAG///uU=")</f>
        <v>#REF!</v>
      </c>
      <c r="HW232" t="e">
        <f>IF('Reporting '!#REF!,"AAAAAG///uY=",0)</f>
        <v>#REF!</v>
      </c>
      <c r="HX232" t="e">
        <f>AND('Reporting '!#REF!,"AAAAAG///uc=")</f>
        <v>#REF!</v>
      </c>
      <c r="HY232" t="e">
        <f>AND('Reporting '!#REF!,"AAAAAG///ug=")</f>
        <v>#REF!</v>
      </c>
      <c r="HZ232" t="e">
        <f>AND('Reporting '!#REF!,"AAAAAG///uk=")</f>
        <v>#REF!</v>
      </c>
      <c r="IA232" t="e">
        <f>AND('Reporting '!#REF!,"AAAAAG///uo=")</f>
        <v>#REF!</v>
      </c>
      <c r="IB232" t="e">
        <f>AND('Reporting '!#REF!,"AAAAAG///us=")</f>
        <v>#REF!</v>
      </c>
      <c r="IC232" t="e">
        <f>AND('Reporting '!#REF!,"AAAAAG///uw=")</f>
        <v>#REF!</v>
      </c>
      <c r="ID232" t="e">
        <f>AND('Reporting '!#REF!,"AAAAAG///u0=")</f>
        <v>#REF!</v>
      </c>
      <c r="IE232" t="e">
        <f>AND('Reporting '!#REF!,"AAAAAG///u4=")</f>
        <v>#REF!</v>
      </c>
      <c r="IF232" t="e">
        <f>AND('Reporting '!#REF!,"AAAAAG///u8=")</f>
        <v>#REF!</v>
      </c>
      <c r="IG232" t="e">
        <f>AND('Reporting '!#REF!,"AAAAAG///vA=")</f>
        <v>#REF!</v>
      </c>
      <c r="IH232" t="e">
        <f>AND('Reporting '!#REF!,"AAAAAG///vE=")</f>
        <v>#REF!</v>
      </c>
      <c r="II232" t="e">
        <f>AND('Reporting '!#REF!,"AAAAAG///vI=")</f>
        <v>#REF!</v>
      </c>
      <c r="IJ232" t="e">
        <f>AND('Reporting '!#REF!,"AAAAAG///vM=")</f>
        <v>#REF!</v>
      </c>
      <c r="IK232" t="e">
        <f>AND('Reporting '!#REF!,"AAAAAG///vQ=")</f>
        <v>#REF!</v>
      </c>
      <c r="IL232" t="e">
        <f>IF('Reporting '!#REF!,"AAAAAG///vU=",0)</f>
        <v>#REF!</v>
      </c>
      <c r="IM232" t="e">
        <f>AND('Reporting '!#REF!,"AAAAAG///vY=")</f>
        <v>#REF!</v>
      </c>
      <c r="IN232" t="e">
        <f>AND('Reporting '!#REF!,"AAAAAG///vc=")</f>
        <v>#REF!</v>
      </c>
      <c r="IO232" t="e">
        <f>AND('Reporting '!#REF!,"AAAAAG///vg=")</f>
        <v>#REF!</v>
      </c>
      <c r="IP232" t="e">
        <f>AND('Reporting '!#REF!,"AAAAAG///vk=")</f>
        <v>#REF!</v>
      </c>
      <c r="IQ232" t="e">
        <f>AND('Reporting '!#REF!,"AAAAAG///vo=")</f>
        <v>#REF!</v>
      </c>
      <c r="IR232" t="e">
        <f>AND('Reporting '!#REF!,"AAAAAG///vs=")</f>
        <v>#REF!</v>
      </c>
      <c r="IS232" t="e">
        <f>AND('Reporting '!#REF!,"AAAAAG///vw=")</f>
        <v>#REF!</v>
      </c>
      <c r="IT232" t="e">
        <f>AND('Reporting '!#REF!,"AAAAAG///v0=")</f>
        <v>#REF!</v>
      </c>
      <c r="IU232" t="e">
        <f>AND('Reporting '!#REF!,"AAAAAG///v4=")</f>
        <v>#REF!</v>
      </c>
      <c r="IV232" t="e">
        <f>AND('Reporting '!#REF!,"AAAAAG///v8=")</f>
        <v>#REF!</v>
      </c>
    </row>
    <row r="233" spans="1:256" x14ac:dyDescent="0.2">
      <c r="A233" t="e">
        <f>AND('Reporting '!#REF!,"AAAAAHt7wgA=")</f>
        <v>#REF!</v>
      </c>
      <c r="B233" t="e">
        <f>AND('Reporting '!#REF!,"AAAAAHt7wgE=")</f>
        <v>#REF!</v>
      </c>
      <c r="C233" t="e">
        <f>AND('Reporting '!#REF!,"AAAAAHt7wgI=")</f>
        <v>#REF!</v>
      </c>
      <c r="D233" t="e">
        <f>AND('Reporting '!#REF!,"AAAAAHt7wgM=")</f>
        <v>#REF!</v>
      </c>
      <c r="E233" t="e">
        <f>IF('Reporting '!#REF!,"AAAAAHt7wgQ=",0)</f>
        <v>#REF!</v>
      </c>
      <c r="F233" t="e">
        <f>AND('Reporting '!#REF!,"AAAAAHt7wgU=")</f>
        <v>#REF!</v>
      </c>
      <c r="G233" t="e">
        <f>AND('Reporting '!#REF!,"AAAAAHt7wgY=")</f>
        <v>#REF!</v>
      </c>
      <c r="H233" t="e">
        <f>AND('Reporting '!#REF!,"AAAAAHt7wgc=")</f>
        <v>#REF!</v>
      </c>
      <c r="I233" t="e">
        <f>AND('Reporting '!#REF!,"AAAAAHt7wgg=")</f>
        <v>#REF!</v>
      </c>
      <c r="J233" t="e">
        <f>AND('Reporting '!#REF!,"AAAAAHt7wgk=")</f>
        <v>#REF!</v>
      </c>
      <c r="K233" t="e">
        <f>AND('Reporting '!#REF!,"AAAAAHt7wgo=")</f>
        <v>#REF!</v>
      </c>
      <c r="L233" t="e">
        <f>AND('Reporting '!#REF!,"AAAAAHt7wgs=")</f>
        <v>#REF!</v>
      </c>
      <c r="M233" t="e">
        <f>AND('Reporting '!#REF!,"AAAAAHt7wgw=")</f>
        <v>#REF!</v>
      </c>
      <c r="N233" t="e">
        <f>AND('Reporting '!#REF!,"AAAAAHt7wg0=")</f>
        <v>#REF!</v>
      </c>
      <c r="O233" t="e">
        <f>AND('Reporting '!#REF!,"AAAAAHt7wg4=")</f>
        <v>#REF!</v>
      </c>
      <c r="P233" t="e">
        <f>AND('Reporting '!#REF!,"AAAAAHt7wg8=")</f>
        <v>#REF!</v>
      </c>
      <c r="Q233" t="e">
        <f>AND('Reporting '!#REF!,"AAAAAHt7whA=")</f>
        <v>#REF!</v>
      </c>
      <c r="R233" t="e">
        <f>AND('Reporting '!#REF!,"AAAAAHt7whE=")</f>
        <v>#REF!</v>
      </c>
      <c r="S233" t="e">
        <f>AND('Reporting '!#REF!,"AAAAAHt7whI=")</f>
        <v>#REF!</v>
      </c>
      <c r="T233" t="e">
        <f>IF('Reporting '!#REF!,"AAAAAHt7whM=",0)</f>
        <v>#REF!</v>
      </c>
      <c r="U233" t="e">
        <f>AND('Reporting '!#REF!,"AAAAAHt7whQ=")</f>
        <v>#REF!</v>
      </c>
      <c r="V233" t="e">
        <f>AND('Reporting '!#REF!,"AAAAAHt7whU=")</f>
        <v>#REF!</v>
      </c>
      <c r="W233" t="e">
        <f>AND('Reporting '!#REF!,"AAAAAHt7whY=")</f>
        <v>#REF!</v>
      </c>
      <c r="X233" t="e">
        <f>AND('Reporting '!#REF!,"AAAAAHt7whc=")</f>
        <v>#REF!</v>
      </c>
      <c r="Y233" t="e">
        <f>AND('Reporting '!#REF!,"AAAAAHt7whg=")</f>
        <v>#REF!</v>
      </c>
      <c r="Z233" t="e">
        <f>AND('Reporting '!#REF!,"AAAAAHt7whk=")</f>
        <v>#REF!</v>
      </c>
      <c r="AA233" t="e">
        <f>AND('Reporting '!#REF!,"AAAAAHt7who=")</f>
        <v>#REF!</v>
      </c>
      <c r="AB233" t="e">
        <f>AND('Reporting '!#REF!,"AAAAAHt7whs=")</f>
        <v>#REF!</v>
      </c>
      <c r="AC233" t="e">
        <f>AND('Reporting '!#REF!,"AAAAAHt7whw=")</f>
        <v>#REF!</v>
      </c>
      <c r="AD233" t="e">
        <f>AND('Reporting '!#REF!,"AAAAAHt7wh0=")</f>
        <v>#REF!</v>
      </c>
      <c r="AE233" t="e">
        <f>AND('Reporting '!#REF!,"AAAAAHt7wh4=")</f>
        <v>#REF!</v>
      </c>
      <c r="AF233" t="e">
        <f>AND('Reporting '!#REF!,"AAAAAHt7wh8=")</f>
        <v>#REF!</v>
      </c>
      <c r="AG233" t="e">
        <f>AND('Reporting '!#REF!,"AAAAAHt7wiA=")</f>
        <v>#REF!</v>
      </c>
      <c r="AH233" t="e">
        <f>AND('Reporting '!#REF!,"AAAAAHt7wiE=")</f>
        <v>#REF!</v>
      </c>
      <c r="AI233" t="e">
        <f>IF('Reporting '!#REF!,"AAAAAHt7wiI=",0)</f>
        <v>#REF!</v>
      </c>
      <c r="AJ233" t="e">
        <f>AND('Reporting '!#REF!,"AAAAAHt7wiM=")</f>
        <v>#REF!</v>
      </c>
      <c r="AK233" t="e">
        <f>AND('Reporting '!#REF!,"AAAAAHt7wiQ=")</f>
        <v>#REF!</v>
      </c>
      <c r="AL233" t="e">
        <f>AND('Reporting '!#REF!,"AAAAAHt7wiU=")</f>
        <v>#REF!</v>
      </c>
      <c r="AM233" t="e">
        <f>AND('Reporting '!#REF!,"AAAAAHt7wiY=")</f>
        <v>#REF!</v>
      </c>
      <c r="AN233" t="e">
        <f>AND('Reporting '!#REF!,"AAAAAHt7wic=")</f>
        <v>#REF!</v>
      </c>
      <c r="AO233" t="e">
        <f>AND('Reporting '!#REF!,"AAAAAHt7wig=")</f>
        <v>#REF!</v>
      </c>
      <c r="AP233" t="e">
        <f>AND('Reporting '!#REF!,"AAAAAHt7wik=")</f>
        <v>#REF!</v>
      </c>
      <c r="AQ233" t="e">
        <f>AND('Reporting '!#REF!,"AAAAAHt7wio=")</f>
        <v>#REF!</v>
      </c>
      <c r="AR233" t="e">
        <f>AND('Reporting '!#REF!,"AAAAAHt7wis=")</f>
        <v>#REF!</v>
      </c>
      <c r="AS233" t="e">
        <f>AND('Reporting '!#REF!,"AAAAAHt7wiw=")</f>
        <v>#REF!</v>
      </c>
      <c r="AT233" t="e">
        <f>AND('Reporting '!#REF!,"AAAAAHt7wi0=")</f>
        <v>#REF!</v>
      </c>
      <c r="AU233" t="e">
        <f>AND('Reporting '!#REF!,"AAAAAHt7wi4=")</f>
        <v>#REF!</v>
      </c>
      <c r="AV233" t="e">
        <f>AND('Reporting '!#REF!,"AAAAAHt7wi8=")</f>
        <v>#REF!</v>
      </c>
      <c r="AW233" t="e">
        <f>AND('Reporting '!#REF!,"AAAAAHt7wjA=")</f>
        <v>#REF!</v>
      </c>
      <c r="AX233" t="e">
        <f>IF('Reporting '!#REF!,"AAAAAHt7wjE=",0)</f>
        <v>#REF!</v>
      </c>
      <c r="AY233" t="e">
        <f>AND('Reporting '!#REF!,"AAAAAHt7wjI=")</f>
        <v>#REF!</v>
      </c>
      <c r="AZ233" t="e">
        <f>AND('Reporting '!#REF!,"AAAAAHt7wjM=")</f>
        <v>#REF!</v>
      </c>
      <c r="BA233" t="e">
        <f>AND('Reporting '!#REF!,"AAAAAHt7wjQ=")</f>
        <v>#REF!</v>
      </c>
      <c r="BB233" t="e">
        <f>AND('Reporting '!#REF!,"AAAAAHt7wjU=")</f>
        <v>#REF!</v>
      </c>
      <c r="BC233" t="e">
        <f>AND('Reporting '!#REF!,"AAAAAHt7wjY=")</f>
        <v>#REF!</v>
      </c>
      <c r="BD233" t="e">
        <f>AND('Reporting '!#REF!,"AAAAAHt7wjc=")</f>
        <v>#REF!</v>
      </c>
      <c r="BE233" t="e">
        <f>AND('Reporting '!#REF!,"AAAAAHt7wjg=")</f>
        <v>#REF!</v>
      </c>
      <c r="BF233" t="e">
        <f>AND('Reporting '!#REF!,"AAAAAHt7wjk=")</f>
        <v>#REF!</v>
      </c>
      <c r="BG233" t="e">
        <f>AND('Reporting '!#REF!,"AAAAAHt7wjo=")</f>
        <v>#REF!</v>
      </c>
      <c r="BH233" t="e">
        <f>AND('Reporting '!#REF!,"AAAAAHt7wjs=")</f>
        <v>#REF!</v>
      </c>
      <c r="BI233" t="e">
        <f>AND('Reporting '!#REF!,"AAAAAHt7wjw=")</f>
        <v>#REF!</v>
      </c>
      <c r="BJ233" t="e">
        <f>AND('Reporting '!#REF!,"AAAAAHt7wj0=")</f>
        <v>#REF!</v>
      </c>
      <c r="BK233" t="e">
        <f>AND('Reporting '!#REF!,"AAAAAHt7wj4=")</f>
        <v>#REF!</v>
      </c>
      <c r="BL233" t="e">
        <f>AND('Reporting '!#REF!,"AAAAAHt7wj8=")</f>
        <v>#REF!</v>
      </c>
      <c r="BM233" t="e">
        <f>IF('Reporting '!#REF!,"AAAAAHt7wkA=",0)</f>
        <v>#REF!</v>
      </c>
      <c r="BN233" t="e">
        <f>AND('Reporting '!#REF!,"AAAAAHt7wkE=")</f>
        <v>#REF!</v>
      </c>
      <c r="BO233" t="e">
        <f>AND('Reporting '!#REF!,"AAAAAHt7wkI=")</f>
        <v>#REF!</v>
      </c>
      <c r="BP233" t="e">
        <f>AND('Reporting '!#REF!,"AAAAAHt7wkM=")</f>
        <v>#REF!</v>
      </c>
      <c r="BQ233" t="e">
        <f>AND('Reporting '!#REF!,"AAAAAHt7wkQ=")</f>
        <v>#REF!</v>
      </c>
      <c r="BR233" t="e">
        <f>AND('Reporting '!#REF!,"AAAAAHt7wkU=")</f>
        <v>#REF!</v>
      </c>
      <c r="BS233" t="e">
        <f>AND('Reporting '!#REF!,"AAAAAHt7wkY=")</f>
        <v>#REF!</v>
      </c>
      <c r="BT233" t="e">
        <f>AND('Reporting '!#REF!,"AAAAAHt7wkc=")</f>
        <v>#REF!</v>
      </c>
      <c r="BU233" t="e">
        <f>AND('Reporting '!#REF!,"AAAAAHt7wkg=")</f>
        <v>#REF!</v>
      </c>
      <c r="BV233" t="e">
        <f>AND('Reporting '!#REF!,"AAAAAHt7wkk=")</f>
        <v>#REF!</v>
      </c>
      <c r="BW233" t="e">
        <f>AND('Reporting '!#REF!,"AAAAAHt7wko=")</f>
        <v>#REF!</v>
      </c>
      <c r="BX233" t="e">
        <f>AND('Reporting '!#REF!,"AAAAAHt7wks=")</f>
        <v>#REF!</v>
      </c>
      <c r="BY233" t="e">
        <f>AND('Reporting '!#REF!,"AAAAAHt7wkw=")</f>
        <v>#REF!</v>
      </c>
      <c r="BZ233" t="e">
        <f>AND('Reporting '!#REF!,"AAAAAHt7wk0=")</f>
        <v>#REF!</v>
      </c>
      <c r="CA233" t="e">
        <f>AND('Reporting '!#REF!,"AAAAAHt7wk4=")</f>
        <v>#REF!</v>
      </c>
      <c r="CB233" t="e">
        <f>IF('Reporting '!#REF!,"AAAAAHt7wk8=",0)</f>
        <v>#REF!</v>
      </c>
      <c r="CC233" t="e">
        <f>AND('Reporting '!#REF!,"AAAAAHt7wlA=")</f>
        <v>#REF!</v>
      </c>
      <c r="CD233" t="e">
        <f>AND('Reporting '!#REF!,"AAAAAHt7wlE=")</f>
        <v>#REF!</v>
      </c>
      <c r="CE233" t="e">
        <f>AND('Reporting '!#REF!,"AAAAAHt7wlI=")</f>
        <v>#REF!</v>
      </c>
      <c r="CF233" t="e">
        <f>AND('Reporting '!#REF!,"AAAAAHt7wlM=")</f>
        <v>#REF!</v>
      </c>
      <c r="CG233" t="e">
        <f>AND('Reporting '!#REF!,"AAAAAHt7wlQ=")</f>
        <v>#REF!</v>
      </c>
      <c r="CH233" t="e">
        <f>AND('Reporting '!#REF!,"AAAAAHt7wlU=")</f>
        <v>#REF!</v>
      </c>
      <c r="CI233" t="e">
        <f>AND('Reporting '!#REF!,"AAAAAHt7wlY=")</f>
        <v>#REF!</v>
      </c>
      <c r="CJ233" t="e">
        <f>AND('Reporting '!#REF!,"AAAAAHt7wlc=")</f>
        <v>#REF!</v>
      </c>
      <c r="CK233" t="e">
        <f>AND('Reporting '!#REF!,"AAAAAHt7wlg=")</f>
        <v>#REF!</v>
      </c>
      <c r="CL233" t="e">
        <f>AND('Reporting '!#REF!,"AAAAAHt7wlk=")</f>
        <v>#REF!</v>
      </c>
      <c r="CM233" t="e">
        <f>AND('Reporting '!#REF!,"AAAAAHt7wlo=")</f>
        <v>#REF!</v>
      </c>
      <c r="CN233" t="e">
        <f>AND('Reporting '!#REF!,"AAAAAHt7wls=")</f>
        <v>#REF!</v>
      </c>
      <c r="CO233" t="e">
        <f>AND('Reporting '!#REF!,"AAAAAHt7wlw=")</f>
        <v>#REF!</v>
      </c>
      <c r="CP233" t="e">
        <f>AND('Reporting '!#REF!,"AAAAAHt7wl0=")</f>
        <v>#REF!</v>
      </c>
      <c r="CQ233" t="e">
        <f>IF('Reporting '!#REF!,"AAAAAHt7wl4=",0)</f>
        <v>#REF!</v>
      </c>
      <c r="CR233" t="e">
        <f>AND('Reporting '!#REF!,"AAAAAHt7wl8=")</f>
        <v>#REF!</v>
      </c>
      <c r="CS233" t="e">
        <f>AND('Reporting '!#REF!,"AAAAAHt7wmA=")</f>
        <v>#REF!</v>
      </c>
      <c r="CT233" t="e">
        <f>AND('Reporting '!#REF!,"AAAAAHt7wmE=")</f>
        <v>#REF!</v>
      </c>
      <c r="CU233" t="e">
        <f>AND('Reporting '!#REF!,"AAAAAHt7wmI=")</f>
        <v>#REF!</v>
      </c>
      <c r="CV233" t="e">
        <f>AND('Reporting '!#REF!,"AAAAAHt7wmM=")</f>
        <v>#REF!</v>
      </c>
      <c r="CW233" t="e">
        <f>AND('Reporting '!#REF!,"AAAAAHt7wmQ=")</f>
        <v>#REF!</v>
      </c>
      <c r="CX233" t="e">
        <f>AND('Reporting '!#REF!,"AAAAAHt7wmU=")</f>
        <v>#REF!</v>
      </c>
      <c r="CY233" t="e">
        <f>AND('Reporting '!#REF!,"AAAAAHt7wmY=")</f>
        <v>#REF!</v>
      </c>
      <c r="CZ233" t="e">
        <f>AND('Reporting '!#REF!,"AAAAAHt7wmc=")</f>
        <v>#REF!</v>
      </c>
      <c r="DA233" t="e">
        <f>AND('Reporting '!#REF!,"AAAAAHt7wmg=")</f>
        <v>#REF!</v>
      </c>
      <c r="DB233" t="e">
        <f>AND('Reporting '!#REF!,"AAAAAHt7wmk=")</f>
        <v>#REF!</v>
      </c>
      <c r="DC233" t="e">
        <f>AND('Reporting '!#REF!,"AAAAAHt7wmo=")</f>
        <v>#REF!</v>
      </c>
      <c r="DD233" t="e">
        <f>AND('Reporting '!#REF!,"AAAAAHt7wms=")</f>
        <v>#REF!</v>
      </c>
      <c r="DE233" t="e">
        <f>AND('Reporting '!#REF!,"AAAAAHt7wmw=")</f>
        <v>#REF!</v>
      </c>
      <c r="DF233" t="e">
        <f>IF('Reporting '!#REF!,"AAAAAHt7wm0=",0)</f>
        <v>#REF!</v>
      </c>
      <c r="DG233" t="e">
        <f>AND('Reporting '!#REF!,"AAAAAHt7wm4=")</f>
        <v>#REF!</v>
      </c>
      <c r="DH233" t="e">
        <f>AND('Reporting '!#REF!,"AAAAAHt7wm8=")</f>
        <v>#REF!</v>
      </c>
      <c r="DI233" t="e">
        <f>AND('Reporting '!#REF!,"AAAAAHt7wnA=")</f>
        <v>#REF!</v>
      </c>
      <c r="DJ233" t="e">
        <f>AND('Reporting '!#REF!,"AAAAAHt7wnE=")</f>
        <v>#REF!</v>
      </c>
      <c r="DK233" t="e">
        <f>AND('Reporting '!#REF!,"AAAAAHt7wnI=")</f>
        <v>#REF!</v>
      </c>
      <c r="DL233" t="e">
        <f>AND('Reporting '!#REF!,"AAAAAHt7wnM=")</f>
        <v>#REF!</v>
      </c>
      <c r="DM233" t="e">
        <f>AND('Reporting '!#REF!,"AAAAAHt7wnQ=")</f>
        <v>#REF!</v>
      </c>
      <c r="DN233" t="e">
        <f>AND('Reporting '!#REF!,"AAAAAHt7wnU=")</f>
        <v>#REF!</v>
      </c>
      <c r="DO233" t="e">
        <f>AND('Reporting '!#REF!,"AAAAAHt7wnY=")</f>
        <v>#REF!</v>
      </c>
      <c r="DP233" t="e">
        <f>AND('Reporting '!#REF!,"AAAAAHt7wnc=")</f>
        <v>#REF!</v>
      </c>
      <c r="DQ233" t="e">
        <f>AND('Reporting '!#REF!,"AAAAAHt7wng=")</f>
        <v>#REF!</v>
      </c>
      <c r="DR233" t="e">
        <f>AND('Reporting '!#REF!,"AAAAAHt7wnk=")</f>
        <v>#REF!</v>
      </c>
      <c r="DS233" t="e">
        <f>AND('Reporting '!#REF!,"AAAAAHt7wno=")</f>
        <v>#REF!</v>
      </c>
      <c r="DT233" t="e">
        <f>AND('Reporting '!#REF!,"AAAAAHt7wns=")</f>
        <v>#REF!</v>
      </c>
      <c r="DU233" t="e">
        <f>IF('Reporting '!#REF!,"AAAAAHt7wnw=",0)</f>
        <v>#REF!</v>
      </c>
      <c r="DV233" t="e">
        <f>AND('Reporting '!#REF!,"AAAAAHt7wn0=")</f>
        <v>#REF!</v>
      </c>
      <c r="DW233" t="e">
        <f>AND('Reporting '!#REF!,"AAAAAHt7wn4=")</f>
        <v>#REF!</v>
      </c>
      <c r="DX233" t="e">
        <f>AND('Reporting '!#REF!,"AAAAAHt7wn8=")</f>
        <v>#REF!</v>
      </c>
      <c r="DY233" t="e">
        <f>AND('Reporting '!#REF!,"AAAAAHt7woA=")</f>
        <v>#REF!</v>
      </c>
      <c r="DZ233" t="e">
        <f>AND('Reporting '!#REF!,"AAAAAHt7woE=")</f>
        <v>#REF!</v>
      </c>
      <c r="EA233" t="e">
        <f>AND('Reporting '!#REF!,"AAAAAHt7woI=")</f>
        <v>#REF!</v>
      </c>
      <c r="EB233" t="e">
        <f>AND('Reporting '!#REF!,"AAAAAHt7woM=")</f>
        <v>#REF!</v>
      </c>
      <c r="EC233" t="e">
        <f>AND('Reporting '!#REF!,"AAAAAHt7woQ=")</f>
        <v>#REF!</v>
      </c>
      <c r="ED233" t="e">
        <f>AND('Reporting '!#REF!,"AAAAAHt7woU=")</f>
        <v>#REF!</v>
      </c>
      <c r="EE233" t="e">
        <f>AND('Reporting '!#REF!,"AAAAAHt7woY=")</f>
        <v>#REF!</v>
      </c>
      <c r="EF233" t="e">
        <f>AND('Reporting '!#REF!,"AAAAAHt7woc=")</f>
        <v>#REF!</v>
      </c>
      <c r="EG233" t="e">
        <f>AND('Reporting '!#REF!,"AAAAAHt7wog=")</f>
        <v>#REF!</v>
      </c>
      <c r="EH233" t="e">
        <f>AND('Reporting '!#REF!,"AAAAAHt7wok=")</f>
        <v>#REF!</v>
      </c>
      <c r="EI233" t="e">
        <f>AND('Reporting '!#REF!,"AAAAAHt7woo=")</f>
        <v>#REF!</v>
      </c>
      <c r="EJ233" t="e">
        <f>IF('Reporting '!#REF!,"AAAAAHt7wos=",0)</f>
        <v>#REF!</v>
      </c>
      <c r="EK233" t="e">
        <f>AND('Reporting '!#REF!,"AAAAAHt7wow=")</f>
        <v>#REF!</v>
      </c>
      <c r="EL233" t="e">
        <f>AND('Reporting '!#REF!,"AAAAAHt7wo0=")</f>
        <v>#REF!</v>
      </c>
      <c r="EM233" t="e">
        <f>AND('Reporting '!#REF!,"AAAAAHt7wo4=")</f>
        <v>#REF!</v>
      </c>
      <c r="EN233" t="e">
        <f>AND('Reporting '!#REF!,"AAAAAHt7wo8=")</f>
        <v>#REF!</v>
      </c>
      <c r="EO233" t="e">
        <f>AND('Reporting '!#REF!,"AAAAAHt7wpA=")</f>
        <v>#REF!</v>
      </c>
      <c r="EP233" t="e">
        <f>AND('Reporting '!#REF!,"AAAAAHt7wpE=")</f>
        <v>#REF!</v>
      </c>
      <c r="EQ233" t="e">
        <f>AND('Reporting '!#REF!,"AAAAAHt7wpI=")</f>
        <v>#REF!</v>
      </c>
      <c r="ER233" t="e">
        <f>AND('Reporting '!#REF!,"AAAAAHt7wpM=")</f>
        <v>#REF!</v>
      </c>
      <c r="ES233" t="e">
        <f>AND('Reporting '!#REF!,"AAAAAHt7wpQ=")</f>
        <v>#REF!</v>
      </c>
      <c r="ET233" t="e">
        <f>AND('Reporting '!#REF!,"AAAAAHt7wpU=")</f>
        <v>#REF!</v>
      </c>
      <c r="EU233" t="e">
        <f>AND('Reporting '!#REF!,"AAAAAHt7wpY=")</f>
        <v>#REF!</v>
      </c>
      <c r="EV233" t="e">
        <f>AND('Reporting '!#REF!,"AAAAAHt7wpc=")</f>
        <v>#REF!</v>
      </c>
      <c r="EW233" t="e">
        <f>AND('Reporting '!#REF!,"AAAAAHt7wpg=")</f>
        <v>#REF!</v>
      </c>
      <c r="EX233" t="e">
        <f>AND('Reporting '!#REF!,"AAAAAHt7wpk=")</f>
        <v>#REF!</v>
      </c>
      <c r="EY233" t="e">
        <f>IF('Reporting '!#REF!,"AAAAAHt7wpo=",0)</f>
        <v>#REF!</v>
      </c>
      <c r="EZ233" t="e">
        <f>AND('Reporting '!#REF!,"AAAAAHt7wps=")</f>
        <v>#REF!</v>
      </c>
      <c r="FA233" t="e">
        <f>AND('Reporting '!#REF!,"AAAAAHt7wpw=")</f>
        <v>#REF!</v>
      </c>
      <c r="FB233" t="e">
        <f>AND('Reporting '!#REF!,"AAAAAHt7wp0=")</f>
        <v>#REF!</v>
      </c>
      <c r="FC233" t="e">
        <f>AND('Reporting '!#REF!,"AAAAAHt7wp4=")</f>
        <v>#REF!</v>
      </c>
      <c r="FD233" t="e">
        <f>AND('Reporting '!#REF!,"AAAAAHt7wp8=")</f>
        <v>#REF!</v>
      </c>
      <c r="FE233" t="e">
        <f>AND('Reporting '!#REF!,"AAAAAHt7wqA=")</f>
        <v>#REF!</v>
      </c>
      <c r="FF233" t="e">
        <f>AND('Reporting '!#REF!,"AAAAAHt7wqE=")</f>
        <v>#REF!</v>
      </c>
      <c r="FG233" t="e">
        <f>AND('Reporting '!#REF!,"AAAAAHt7wqI=")</f>
        <v>#REF!</v>
      </c>
      <c r="FH233" t="e">
        <f>AND('Reporting '!#REF!,"AAAAAHt7wqM=")</f>
        <v>#REF!</v>
      </c>
      <c r="FI233" t="e">
        <f>AND('Reporting '!#REF!,"AAAAAHt7wqQ=")</f>
        <v>#REF!</v>
      </c>
      <c r="FJ233" t="e">
        <f>AND('Reporting '!#REF!,"AAAAAHt7wqU=")</f>
        <v>#REF!</v>
      </c>
      <c r="FK233" t="e">
        <f>AND('Reporting '!#REF!,"AAAAAHt7wqY=")</f>
        <v>#REF!</v>
      </c>
      <c r="FL233" t="e">
        <f>AND('Reporting '!#REF!,"AAAAAHt7wqc=")</f>
        <v>#REF!</v>
      </c>
      <c r="FM233" t="e">
        <f>AND('Reporting '!#REF!,"AAAAAHt7wqg=")</f>
        <v>#REF!</v>
      </c>
      <c r="FN233" t="e">
        <f>IF('Reporting '!#REF!,"AAAAAHt7wqk=",0)</f>
        <v>#REF!</v>
      </c>
      <c r="FO233" t="e">
        <f>AND('Reporting '!#REF!,"AAAAAHt7wqo=")</f>
        <v>#REF!</v>
      </c>
      <c r="FP233" t="e">
        <f>AND('Reporting '!#REF!,"AAAAAHt7wqs=")</f>
        <v>#REF!</v>
      </c>
      <c r="FQ233" t="e">
        <f>AND('Reporting '!#REF!,"AAAAAHt7wqw=")</f>
        <v>#REF!</v>
      </c>
      <c r="FR233" t="e">
        <f>AND('Reporting '!#REF!,"AAAAAHt7wq0=")</f>
        <v>#REF!</v>
      </c>
      <c r="FS233" t="e">
        <f>AND('Reporting '!#REF!,"AAAAAHt7wq4=")</f>
        <v>#REF!</v>
      </c>
      <c r="FT233" t="e">
        <f>AND('Reporting '!#REF!,"AAAAAHt7wq8=")</f>
        <v>#REF!</v>
      </c>
      <c r="FU233" t="e">
        <f>AND('Reporting '!#REF!,"AAAAAHt7wrA=")</f>
        <v>#REF!</v>
      </c>
      <c r="FV233" t="e">
        <f>AND('Reporting '!#REF!,"AAAAAHt7wrE=")</f>
        <v>#REF!</v>
      </c>
      <c r="FW233" t="e">
        <f>AND('Reporting '!#REF!,"AAAAAHt7wrI=")</f>
        <v>#REF!</v>
      </c>
      <c r="FX233" t="e">
        <f>AND('Reporting '!#REF!,"AAAAAHt7wrM=")</f>
        <v>#REF!</v>
      </c>
      <c r="FY233" t="e">
        <f>AND('Reporting '!#REF!,"AAAAAHt7wrQ=")</f>
        <v>#REF!</v>
      </c>
      <c r="FZ233" t="e">
        <f>AND('Reporting '!#REF!,"AAAAAHt7wrU=")</f>
        <v>#REF!</v>
      </c>
      <c r="GA233" t="e">
        <f>AND('Reporting '!#REF!,"AAAAAHt7wrY=")</f>
        <v>#REF!</v>
      </c>
      <c r="GB233" t="e">
        <f>AND('Reporting '!#REF!,"AAAAAHt7wrc=")</f>
        <v>#REF!</v>
      </c>
      <c r="GC233" t="e">
        <f>IF('Reporting '!#REF!,"AAAAAHt7wrg=",0)</f>
        <v>#REF!</v>
      </c>
      <c r="GD233" t="e">
        <f>AND('Reporting '!#REF!,"AAAAAHt7wrk=")</f>
        <v>#REF!</v>
      </c>
      <c r="GE233" t="e">
        <f>AND('Reporting '!#REF!,"AAAAAHt7wro=")</f>
        <v>#REF!</v>
      </c>
      <c r="GF233" t="e">
        <f>AND('Reporting '!#REF!,"AAAAAHt7wrs=")</f>
        <v>#REF!</v>
      </c>
      <c r="GG233" t="e">
        <f>AND('Reporting '!#REF!,"AAAAAHt7wrw=")</f>
        <v>#REF!</v>
      </c>
      <c r="GH233" t="e">
        <f>AND('Reporting '!#REF!,"AAAAAHt7wr0=")</f>
        <v>#REF!</v>
      </c>
      <c r="GI233" t="e">
        <f>AND('Reporting '!#REF!,"AAAAAHt7wr4=")</f>
        <v>#REF!</v>
      </c>
      <c r="GJ233" t="e">
        <f>AND('Reporting '!#REF!,"AAAAAHt7wr8=")</f>
        <v>#REF!</v>
      </c>
      <c r="GK233" t="e">
        <f>AND('Reporting '!#REF!,"AAAAAHt7wsA=")</f>
        <v>#REF!</v>
      </c>
      <c r="GL233" t="e">
        <f>AND('Reporting '!#REF!,"AAAAAHt7wsE=")</f>
        <v>#REF!</v>
      </c>
      <c r="GM233" t="e">
        <f>AND('Reporting '!#REF!,"AAAAAHt7wsI=")</f>
        <v>#REF!</v>
      </c>
      <c r="GN233" t="e">
        <f>AND('Reporting '!#REF!,"AAAAAHt7wsM=")</f>
        <v>#REF!</v>
      </c>
      <c r="GO233" t="e">
        <f>AND('Reporting '!#REF!,"AAAAAHt7wsQ=")</f>
        <v>#REF!</v>
      </c>
      <c r="GP233" t="e">
        <f>AND('Reporting '!#REF!,"AAAAAHt7wsU=")</f>
        <v>#REF!</v>
      </c>
      <c r="GQ233" t="e">
        <f>AND('Reporting '!#REF!,"AAAAAHt7wsY=")</f>
        <v>#REF!</v>
      </c>
      <c r="GR233" t="e">
        <f>IF('Reporting '!#REF!,"AAAAAHt7wsc=",0)</f>
        <v>#REF!</v>
      </c>
      <c r="GS233" t="e">
        <f>AND('Reporting '!#REF!,"AAAAAHt7wsg=")</f>
        <v>#REF!</v>
      </c>
      <c r="GT233" t="e">
        <f>AND('Reporting '!#REF!,"AAAAAHt7wsk=")</f>
        <v>#REF!</v>
      </c>
      <c r="GU233" t="e">
        <f>AND('Reporting '!#REF!,"AAAAAHt7wso=")</f>
        <v>#REF!</v>
      </c>
      <c r="GV233" t="e">
        <f>AND('Reporting '!#REF!,"AAAAAHt7wss=")</f>
        <v>#REF!</v>
      </c>
      <c r="GW233" t="e">
        <f>AND('Reporting '!#REF!,"AAAAAHt7wsw=")</f>
        <v>#REF!</v>
      </c>
      <c r="GX233" t="e">
        <f>AND('Reporting '!#REF!,"AAAAAHt7ws0=")</f>
        <v>#REF!</v>
      </c>
      <c r="GY233" t="e">
        <f>AND('Reporting '!#REF!,"AAAAAHt7ws4=")</f>
        <v>#REF!</v>
      </c>
      <c r="GZ233" t="e">
        <f>AND('Reporting '!#REF!,"AAAAAHt7ws8=")</f>
        <v>#REF!</v>
      </c>
      <c r="HA233" t="e">
        <f>AND('Reporting '!#REF!,"AAAAAHt7wtA=")</f>
        <v>#REF!</v>
      </c>
      <c r="HB233" t="e">
        <f>AND('Reporting '!#REF!,"AAAAAHt7wtE=")</f>
        <v>#REF!</v>
      </c>
      <c r="HC233" t="e">
        <f>AND('Reporting '!#REF!,"AAAAAHt7wtI=")</f>
        <v>#REF!</v>
      </c>
      <c r="HD233" t="e">
        <f>AND('Reporting '!#REF!,"AAAAAHt7wtM=")</f>
        <v>#REF!</v>
      </c>
      <c r="HE233" t="e">
        <f>AND('Reporting '!#REF!,"AAAAAHt7wtQ=")</f>
        <v>#REF!</v>
      </c>
      <c r="HF233" t="e">
        <f>AND('Reporting '!#REF!,"AAAAAHt7wtU=")</f>
        <v>#REF!</v>
      </c>
      <c r="HG233" t="e">
        <f>IF('Reporting '!#REF!,"AAAAAHt7wtY=",0)</f>
        <v>#REF!</v>
      </c>
      <c r="HH233" t="e">
        <f>AND('Reporting '!#REF!,"AAAAAHt7wtc=")</f>
        <v>#REF!</v>
      </c>
      <c r="HI233" t="e">
        <f>AND('Reporting '!#REF!,"AAAAAHt7wtg=")</f>
        <v>#REF!</v>
      </c>
      <c r="HJ233" t="e">
        <f>AND('Reporting '!#REF!,"AAAAAHt7wtk=")</f>
        <v>#REF!</v>
      </c>
      <c r="HK233" t="e">
        <f>AND('Reporting '!#REF!,"AAAAAHt7wto=")</f>
        <v>#REF!</v>
      </c>
      <c r="HL233" t="e">
        <f>AND('Reporting '!#REF!,"AAAAAHt7wts=")</f>
        <v>#REF!</v>
      </c>
      <c r="HM233" t="e">
        <f>AND('Reporting '!#REF!,"AAAAAHt7wtw=")</f>
        <v>#REF!</v>
      </c>
      <c r="HN233" t="e">
        <f>AND('Reporting '!#REF!,"AAAAAHt7wt0=")</f>
        <v>#REF!</v>
      </c>
      <c r="HO233" t="e">
        <f>AND('Reporting '!#REF!,"AAAAAHt7wt4=")</f>
        <v>#REF!</v>
      </c>
      <c r="HP233" t="e">
        <f>AND('Reporting '!#REF!,"AAAAAHt7wt8=")</f>
        <v>#REF!</v>
      </c>
      <c r="HQ233" t="e">
        <f>AND('Reporting '!#REF!,"AAAAAHt7wuA=")</f>
        <v>#REF!</v>
      </c>
      <c r="HR233" t="e">
        <f>AND('Reporting '!#REF!,"AAAAAHt7wuE=")</f>
        <v>#REF!</v>
      </c>
      <c r="HS233" t="e">
        <f>AND('Reporting '!#REF!,"AAAAAHt7wuI=")</f>
        <v>#REF!</v>
      </c>
      <c r="HT233" t="e">
        <f>AND('Reporting '!#REF!,"AAAAAHt7wuM=")</f>
        <v>#REF!</v>
      </c>
      <c r="HU233" t="e">
        <f>AND('Reporting '!#REF!,"AAAAAHt7wuQ=")</f>
        <v>#REF!</v>
      </c>
      <c r="HV233" t="e">
        <f>IF('Reporting '!#REF!,"AAAAAHt7wuU=",0)</f>
        <v>#REF!</v>
      </c>
      <c r="HW233" t="e">
        <f>AND('Reporting '!#REF!,"AAAAAHt7wuY=")</f>
        <v>#REF!</v>
      </c>
      <c r="HX233" t="e">
        <f>AND('Reporting '!#REF!,"AAAAAHt7wuc=")</f>
        <v>#REF!</v>
      </c>
      <c r="HY233" t="e">
        <f>AND('Reporting '!#REF!,"AAAAAHt7wug=")</f>
        <v>#REF!</v>
      </c>
      <c r="HZ233" t="e">
        <f>AND('Reporting '!#REF!,"AAAAAHt7wuk=")</f>
        <v>#REF!</v>
      </c>
      <c r="IA233" t="e">
        <f>AND('Reporting '!#REF!,"AAAAAHt7wuo=")</f>
        <v>#REF!</v>
      </c>
      <c r="IB233" t="e">
        <f>AND('Reporting '!#REF!,"AAAAAHt7wus=")</f>
        <v>#REF!</v>
      </c>
      <c r="IC233" t="e">
        <f>AND('Reporting '!#REF!,"AAAAAHt7wuw=")</f>
        <v>#REF!</v>
      </c>
      <c r="ID233" t="e">
        <f>AND('Reporting '!#REF!,"AAAAAHt7wu0=")</f>
        <v>#REF!</v>
      </c>
      <c r="IE233" t="e">
        <f>AND('Reporting '!#REF!,"AAAAAHt7wu4=")</f>
        <v>#REF!</v>
      </c>
      <c r="IF233" t="e">
        <f>AND('Reporting '!#REF!,"AAAAAHt7wu8=")</f>
        <v>#REF!</v>
      </c>
      <c r="IG233" t="e">
        <f>AND('Reporting '!#REF!,"AAAAAHt7wvA=")</f>
        <v>#REF!</v>
      </c>
      <c r="IH233" t="e">
        <f>AND('Reporting '!#REF!,"AAAAAHt7wvE=")</f>
        <v>#REF!</v>
      </c>
      <c r="II233" t="e">
        <f>AND('Reporting '!#REF!,"AAAAAHt7wvI=")</f>
        <v>#REF!</v>
      </c>
      <c r="IJ233" t="e">
        <f>AND('Reporting '!#REF!,"AAAAAHt7wvM=")</f>
        <v>#REF!</v>
      </c>
      <c r="IK233" t="e">
        <f>IF('Reporting '!#REF!,"AAAAAHt7wvQ=",0)</f>
        <v>#REF!</v>
      </c>
      <c r="IL233" t="e">
        <f>AND('Reporting '!#REF!,"AAAAAHt7wvU=")</f>
        <v>#REF!</v>
      </c>
      <c r="IM233" t="e">
        <f>AND('Reporting '!#REF!,"AAAAAHt7wvY=")</f>
        <v>#REF!</v>
      </c>
      <c r="IN233" t="e">
        <f>AND('Reporting '!#REF!,"AAAAAHt7wvc=")</f>
        <v>#REF!</v>
      </c>
      <c r="IO233" t="e">
        <f>AND('Reporting '!#REF!,"AAAAAHt7wvg=")</f>
        <v>#REF!</v>
      </c>
      <c r="IP233" t="e">
        <f>AND('Reporting '!#REF!,"AAAAAHt7wvk=")</f>
        <v>#REF!</v>
      </c>
      <c r="IQ233" t="e">
        <f>AND('Reporting '!#REF!,"AAAAAHt7wvo=")</f>
        <v>#REF!</v>
      </c>
      <c r="IR233" t="e">
        <f>AND('Reporting '!#REF!,"AAAAAHt7wvs=")</f>
        <v>#REF!</v>
      </c>
      <c r="IS233" t="e">
        <f>AND('Reporting '!#REF!,"AAAAAHt7wvw=")</f>
        <v>#REF!</v>
      </c>
      <c r="IT233" t="e">
        <f>AND('Reporting '!#REF!,"AAAAAHt7wv0=")</f>
        <v>#REF!</v>
      </c>
      <c r="IU233" t="e">
        <f>AND('Reporting '!#REF!,"AAAAAHt7wv4=")</f>
        <v>#REF!</v>
      </c>
      <c r="IV233" t="e">
        <f>AND('Reporting '!#REF!,"AAAAAHt7wv8=")</f>
        <v>#REF!</v>
      </c>
    </row>
    <row r="234" spans="1:256" x14ac:dyDescent="0.2">
      <c r="A234" t="e">
        <f>AND('Reporting '!#REF!,"AAAAAH113wA=")</f>
        <v>#REF!</v>
      </c>
      <c r="B234" t="e">
        <f>AND('Reporting '!#REF!,"AAAAAH113wE=")</f>
        <v>#REF!</v>
      </c>
      <c r="C234" t="e">
        <f>AND('Reporting '!#REF!,"AAAAAH113wI=")</f>
        <v>#REF!</v>
      </c>
      <c r="D234" t="e">
        <f>IF('Reporting '!#REF!,"AAAAAH113wM=",0)</f>
        <v>#REF!</v>
      </c>
      <c r="E234" t="e">
        <f>AND('Reporting '!#REF!,"AAAAAH113wQ=")</f>
        <v>#REF!</v>
      </c>
      <c r="F234" t="e">
        <f>AND('Reporting '!#REF!,"AAAAAH113wU=")</f>
        <v>#REF!</v>
      </c>
      <c r="G234" t="e">
        <f>AND('Reporting '!#REF!,"AAAAAH113wY=")</f>
        <v>#REF!</v>
      </c>
      <c r="H234" t="e">
        <f>AND('Reporting '!#REF!,"AAAAAH113wc=")</f>
        <v>#REF!</v>
      </c>
      <c r="I234" t="e">
        <f>AND('Reporting '!#REF!,"AAAAAH113wg=")</f>
        <v>#REF!</v>
      </c>
      <c r="J234" t="e">
        <f>AND('Reporting '!#REF!,"AAAAAH113wk=")</f>
        <v>#REF!</v>
      </c>
      <c r="K234" t="e">
        <f>AND('Reporting '!#REF!,"AAAAAH113wo=")</f>
        <v>#REF!</v>
      </c>
      <c r="L234" t="e">
        <f>AND('Reporting '!#REF!,"AAAAAH113ws=")</f>
        <v>#REF!</v>
      </c>
      <c r="M234" t="e">
        <f>AND('Reporting '!#REF!,"AAAAAH113ww=")</f>
        <v>#REF!</v>
      </c>
      <c r="N234" t="e">
        <f>AND('Reporting '!#REF!,"AAAAAH113w0=")</f>
        <v>#REF!</v>
      </c>
      <c r="O234" t="e">
        <f>AND('Reporting '!#REF!,"AAAAAH113w4=")</f>
        <v>#REF!</v>
      </c>
      <c r="P234" t="e">
        <f>AND('Reporting '!#REF!,"AAAAAH113w8=")</f>
        <v>#REF!</v>
      </c>
      <c r="Q234" t="e">
        <f>AND('Reporting '!#REF!,"AAAAAH113xA=")</f>
        <v>#REF!</v>
      </c>
      <c r="R234" t="e">
        <f>AND('Reporting '!#REF!,"AAAAAH113xE=")</f>
        <v>#REF!</v>
      </c>
      <c r="S234" t="e">
        <f>IF('Reporting '!#REF!,"AAAAAH113xI=",0)</f>
        <v>#REF!</v>
      </c>
      <c r="T234" t="e">
        <f>AND('Reporting '!#REF!,"AAAAAH113xM=")</f>
        <v>#REF!</v>
      </c>
      <c r="U234" t="e">
        <f>AND('Reporting '!#REF!,"AAAAAH113xQ=")</f>
        <v>#REF!</v>
      </c>
      <c r="V234" t="e">
        <f>AND('Reporting '!#REF!,"AAAAAH113xU=")</f>
        <v>#REF!</v>
      </c>
      <c r="W234" t="e">
        <f>AND('Reporting '!#REF!,"AAAAAH113xY=")</f>
        <v>#REF!</v>
      </c>
      <c r="X234" t="e">
        <f>AND('Reporting '!#REF!,"AAAAAH113xc=")</f>
        <v>#REF!</v>
      </c>
      <c r="Y234" t="e">
        <f>AND('Reporting '!#REF!,"AAAAAH113xg=")</f>
        <v>#REF!</v>
      </c>
      <c r="Z234" t="e">
        <f>AND('Reporting '!#REF!,"AAAAAH113xk=")</f>
        <v>#REF!</v>
      </c>
      <c r="AA234" t="e">
        <f>AND('Reporting '!#REF!,"AAAAAH113xo=")</f>
        <v>#REF!</v>
      </c>
      <c r="AB234" t="e">
        <f>AND('Reporting '!#REF!,"AAAAAH113xs=")</f>
        <v>#REF!</v>
      </c>
      <c r="AC234" t="e">
        <f>AND('Reporting '!#REF!,"AAAAAH113xw=")</f>
        <v>#REF!</v>
      </c>
      <c r="AD234" t="e">
        <f>AND('Reporting '!#REF!,"AAAAAH113x0=")</f>
        <v>#REF!</v>
      </c>
      <c r="AE234" t="e">
        <f>AND('Reporting '!#REF!,"AAAAAH113x4=")</f>
        <v>#REF!</v>
      </c>
      <c r="AF234" t="e">
        <f>AND('Reporting '!#REF!,"AAAAAH113x8=")</f>
        <v>#REF!</v>
      </c>
      <c r="AG234" t="e">
        <f>AND('Reporting '!#REF!,"AAAAAH113yA=")</f>
        <v>#REF!</v>
      </c>
      <c r="AH234" t="e">
        <f>IF('Reporting '!#REF!,"AAAAAH113yE=",0)</f>
        <v>#REF!</v>
      </c>
      <c r="AI234" t="e">
        <f>AND('Reporting '!#REF!,"AAAAAH113yI=")</f>
        <v>#REF!</v>
      </c>
      <c r="AJ234" t="e">
        <f>AND('Reporting '!#REF!,"AAAAAH113yM=")</f>
        <v>#REF!</v>
      </c>
      <c r="AK234" t="e">
        <f>AND('Reporting '!#REF!,"AAAAAH113yQ=")</f>
        <v>#REF!</v>
      </c>
      <c r="AL234" t="e">
        <f>AND('Reporting '!#REF!,"AAAAAH113yU=")</f>
        <v>#REF!</v>
      </c>
      <c r="AM234" t="e">
        <f>AND('Reporting '!#REF!,"AAAAAH113yY=")</f>
        <v>#REF!</v>
      </c>
      <c r="AN234" t="e">
        <f>AND('Reporting '!#REF!,"AAAAAH113yc=")</f>
        <v>#REF!</v>
      </c>
      <c r="AO234" t="e">
        <f>AND('Reporting '!#REF!,"AAAAAH113yg=")</f>
        <v>#REF!</v>
      </c>
      <c r="AP234" t="e">
        <f>AND('Reporting '!#REF!,"AAAAAH113yk=")</f>
        <v>#REF!</v>
      </c>
      <c r="AQ234" t="e">
        <f>AND('Reporting '!#REF!,"AAAAAH113yo=")</f>
        <v>#REF!</v>
      </c>
      <c r="AR234" t="e">
        <f>AND('Reporting '!#REF!,"AAAAAH113ys=")</f>
        <v>#REF!</v>
      </c>
      <c r="AS234" t="e">
        <f>AND('Reporting '!#REF!,"AAAAAH113yw=")</f>
        <v>#REF!</v>
      </c>
      <c r="AT234" t="e">
        <f>AND('Reporting '!#REF!,"AAAAAH113y0=")</f>
        <v>#REF!</v>
      </c>
      <c r="AU234" t="e">
        <f>AND('Reporting '!#REF!,"AAAAAH113y4=")</f>
        <v>#REF!</v>
      </c>
      <c r="AV234" t="e">
        <f>AND('Reporting '!#REF!,"AAAAAH113y8=")</f>
        <v>#REF!</v>
      </c>
      <c r="AW234" t="e">
        <f>IF('Reporting '!#REF!,"AAAAAH113zA=",0)</f>
        <v>#REF!</v>
      </c>
      <c r="AX234" t="e">
        <f>AND('Reporting '!#REF!,"AAAAAH113zE=")</f>
        <v>#REF!</v>
      </c>
      <c r="AY234" t="e">
        <f>AND('Reporting '!#REF!,"AAAAAH113zI=")</f>
        <v>#REF!</v>
      </c>
      <c r="AZ234" t="e">
        <f>AND('Reporting '!#REF!,"AAAAAH113zM=")</f>
        <v>#REF!</v>
      </c>
      <c r="BA234" t="e">
        <f>AND('Reporting '!#REF!,"AAAAAH113zQ=")</f>
        <v>#REF!</v>
      </c>
      <c r="BB234" t="e">
        <f>AND('Reporting '!#REF!,"AAAAAH113zU=")</f>
        <v>#REF!</v>
      </c>
      <c r="BC234" t="e">
        <f>AND('Reporting '!#REF!,"AAAAAH113zY=")</f>
        <v>#REF!</v>
      </c>
      <c r="BD234" t="e">
        <f>AND('Reporting '!#REF!,"AAAAAH113zc=")</f>
        <v>#REF!</v>
      </c>
      <c r="BE234" t="e">
        <f>AND('Reporting '!#REF!,"AAAAAH113zg=")</f>
        <v>#REF!</v>
      </c>
      <c r="BF234" t="e">
        <f>AND('Reporting '!#REF!,"AAAAAH113zk=")</f>
        <v>#REF!</v>
      </c>
      <c r="BG234" t="e">
        <f>AND('Reporting '!#REF!,"AAAAAH113zo=")</f>
        <v>#REF!</v>
      </c>
      <c r="BH234" t="e">
        <f>AND('Reporting '!#REF!,"AAAAAH113zs=")</f>
        <v>#REF!</v>
      </c>
      <c r="BI234" t="e">
        <f>AND('Reporting '!#REF!,"AAAAAH113zw=")</f>
        <v>#REF!</v>
      </c>
      <c r="BJ234" t="e">
        <f>AND('Reporting '!#REF!,"AAAAAH113z0=")</f>
        <v>#REF!</v>
      </c>
      <c r="BK234" t="e">
        <f>AND('Reporting '!#REF!,"AAAAAH113z4=")</f>
        <v>#REF!</v>
      </c>
      <c r="BL234" t="e">
        <f>IF('Reporting '!#REF!,"AAAAAH113z8=",0)</f>
        <v>#REF!</v>
      </c>
      <c r="BM234" t="e">
        <f>AND('Reporting '!#REF!,"AAAAAH1130A=")</f>
        <v>#REF!</v>
      </c>
      <c r="BN234" t="e">
        <f>AND('Reporting '!#REF!,"AAAAAH1130E=")</f>
        <v>#REF!</v>
      </c>
      <c r="BO234" t="e">
        <f>AND('Reporting '!#REF!,"AAAAAH1130I=")</f>
        <v>#REF!</v>
      </c>
      <c r="BP234" t="e">
        <f>AND('Reporting '!#REF!,"AAAAAH1130M=")</f>
        <v>#REF!</v>
      </c>
      <c r="BQ234" t="e">
        <f>AND('Reporting '!#REF!,"AAAAAH1130Q=")</f>
        <v>#REF!</v>
      </c>
      <c r="BR234" t="e">
        <f>AND('Reporting '!#REF!,"AAAAAH1130U=")</f>
        <v>#REF!</v>
      </c>
      <c r="BS234" t="e">
        <f>AND('Reporting '!#REF!,"AAAAAH1130Y=")</f>
        <v>#REF!</v>
      </c>
      <c r="BT234" t="e">
        <f>AND('Reporting '!#REF!,"AAAAAH1130c=")</f>
        <v>#REF!</v>
      </c>
      <c r="BU234" t="e">
        <f>AND('Reporting '!#REF!,"AAAAAH1130g=")</f>
        <v>#REF!</v>
      </c>
      <c r="BV234" t="e">
        <f>AND('Reporting '!#REF!,"AAAAAH1130k=")</f>
        <v>#REF!</v>
      </c>
      <c r="BW234" t="e">
        <f>AND('Reporting '!#REF!,"AAAAAH1130o=")</f>
        <v>#REF!</v>
      </c>
      <c r="BX234" t="e">
        <f>AND('Reporting '!#REF!,"AAAAAH1130s=")</f>
        <v>#REF!</v>
      </c>
      <c r="BY234" t="e">
        <f>AND('Reporting '!#REF!,"AAAAAH1130w=")</f>
        <v>#REF!</v>
      </c>
      <c r="BZ234" t="e">
        <f>AND('Reporting '!#REF!,"AAAAAH11300=")</f>
        <v>#REF!</v>
      </c>
      <c r="CA234" t="e">
        <f>IF('Reporting '!#REF!,"AAAAAH11304=",0)</f>
        <v>#REF!</v>
      </c>
      <c r="CB234" t="e">
        <f>AND('Reporting '!#REF!,"AAAAAH11308=")</f>
        <v>#REF!</v>
      </c>
      <c r="CC234" t="e">
        <f>AND('Reporting '!#REF!,"AAAAAH1131A=")</f>
        <v>#REF!</v>
      </c>
      <c r="CD234" t="e">
        <f>AND('Reporting '!#REF!,"AAAAAH1131E=")</f>
        <v>#REF!</v>
      </c>
      <c r="CE234" t="e">
        <f>AND('Reporting '!#REF!,"AAAAAH1131I=")</f>
        <v>#REF!</v>
      </c>
      <c r="CF234" t="e">
        <f>AND('Reporting '!#REF!,"AAAAAH1131M=")</f>
        <v>#REF!</v>
      </c>
      <c r="CG234" t="e">
        <f>AND('Reporting '!#REF!,"AAAAAH1131Q=")</f>
        <v>#REF!</v>
      </c>
      <c r="CH234" t="e">
        <f>AND('Reporting '!#REF!,"AAAAAH1131U=")</f>
        <v>#REF!</v>
      </c>
      <c r="CI234" t="e">
        <f>AND('Reporting '!#REF!,"AAAAAH1131Y=")</f>
        <v>#REF!</v>
      </c>
      <c r="CJ234" t="e">
        <f>AND('Reporting '!#REF!,"AAAAAH1131c=")</f>
        <v>#REF!</v>
      </c>
      <c r="CK234" t="e">
        <f>AND('Reporting '!#REF!,"AAAAAH1131g=")</f>
        <v>#REF!</v>
      </c>
      <c r="CL234" t="e">
        <f>AND('Reporting '!#REF!,"AAAAAH1131k=")</f>
        <v>#REF!</v>
      </c>
      <c r="CM234" t="e">
        <f>AND('Reporting '!#REF!,"AAAAAH1131o=")</f>
        <v>#REF!</v>
      </c>
      <c r="CN234" t="e">
        <f>AND('Reporting '!#REF!,"AAAAAH1131s=")</f>
        <v>#REF!</v>
      </c>
      <c r="CO234" t="e">
        <f>AND('Reporting '!#REF!,"AAAAAH1131w=")</f>
        <v>#REF!</v>
      </c>
      <c r="CP234" t="e">
        <f>IF('Reporting '!#REF!,"AAAAAH11310=",0)</f>
        <v>#REF!</v>
      </c>
      <c r="CQ234" t="e">
        <f>AND('Reporting '!#REF!,"AAAAAH11314=")</f>
        <v>#REF!</v>
      </c>
      <c r="CR234" t="e">
        <f>AND('Reporting '!#REF!,"AAAAAH11318=")</f>
        <v>#REF!</v>
      </c>
      <c r="CS234" t="e">
        <f>AND('Reporting '!#REF!,"AAAAAH1132A=")</f>
        <v>#REF!</v>
      </c>
      <c r="CT234" t="e">
        <f>AND('Reporting '!#REF!,"AAAAAH1132E=")</f>
        <v>#REF!</v>
      </c>
      <c r="CU234" t="e">
        <f>AND('Reporting '!#REF!,"AAAAAH1132I=")</f>
        <v>#REF!</v>
      </c>
      <c r="CV234" t="e">
        <f>AND('Reporting '!#REF!,"AAAAAH1132M=")</f>
        <v>#REF!</v>
      </c>
      <c r="CW234" t="e">
        <f>AND('Reporting '!#REF!,"AAAAAH1132Q=")</f>
        <v>#REF!</v>
      </c>
      <c r="CX234" t="e">
        <f>AND('Reporting '!#REF!,"AAAAAH1132U=")</f>
        <v>#REF!</v>
      </c>
      <c r="CY234" t="e">
        <f>AND('Reporting '!#REF!,"AAAAAH1132Y=")</f>
        <v>#REF!</v>
      </c>
      <c r="CZ234" t="e">
        <f>AND('Reporting '!#REF!,"AAAAAH1132c=")</f>
        <v>#REF!</v>
      </c>
      <c r="DA234" t="e">
        <f>AND('Reporting '!#REF!,"AAAAAH1132g=")</f>
        <v>#REF!</v>
      </c>
      <c r="DB234" t="e">
        <f>AND('Reporting '!#REF!,"AAAAAH1132k=")</f>
        <v>#REF!</v>
      </c>
      <c r="DC234" t="e">
        <f>AND('Reporting '!#REF!,"AAAAAH1132o=")</f>
        <v>#REF!</v>
      </c>
      <c r="DD234" t="e">
        <f>AND('Reporting '!#REF!,"AAAAAH1132s=")</f>
        <v>#REF!</v>
      </c>
      <c r="DE234" t="e">
        <f>IF('Reporting '!#REF!,"AAAAAH1132w=",0)</f>
        <v>#REF!</v>
      </c>
      <c r="DF234" t="e">
        <f>AND('Reporting '!#REF!,"AAAAAH11320=")</f>
        <v>#REF!</v>
      </c>
      <c r="DG234" t="e">
        <f>AND('Reporting '!#REF!,"AAAAAH11324=")</f>
        <v>#REF!</v>
      </c>
      <c r="DH234" t="e">
        <f>AND('Reporting '!#REF!,"AAAAAH11328=")</f>
        <v>#REF!</v>
      </c>
      <c r="DI234" t="e">
        <f>AND('Reporting '!#REF!,"AAAAAH1133A=")</f>
        <v>#REF!</v>
      </c>
      <c r="DJ234" t="e">
        <f>AND('Reporting '!#REF!,"AAAAAH1133E=")</f>
        <v>#REF!</v>
      </c>
      <c r="DK234" t="e">
        <f>AND('Reporting '!#REF!,"AAAAAH1133I=")</f>
        <v>#REF!</v>
      </c>
      <c r="DL234" t="e">
        <f>AND('Reporting '!#REF!,"AAAAAH1133M=")</f>
        <v>#REF!</v>
      </c>
      <c r="DM234" t="e">
        <f>AND('Reporting '!#REF!,"AAAAAH1133Q=")</f>
        <v>#REF!</v>
      </c>
      <c r="DN234" t="e">
        <f>AND('Reporting '!#REF!,"AAAAAH1133U=")</f>
        <v>#REF!</v>
      </c>
      <c r="DO234" t="e">
        <f>AND('Reporting '!#REF!,"AAAAAH1133Y=")</f>
        <v>#REF!</v>
      </c>
      <c r="DP234" t="e">
        <f>AND('Reporting '!#REF!,"AAAAAH1133c=")</f>
        <v>#REF!</v>
      </c>
      <c r="DQ234" t="e">
        <f>AND('Reporting '!#REF!,"AAAAAH1133g=")</f>
        <v>#REF!</v>
      </c>
      <c r="DR234" t="e">
        <f>AND('Reporting '!#REF!,"AAAAAH1133k=")</f>
        <v>#REF!</v>
      </c>
      <c r="DS234" t="e">
        <f>AND('Reporting '!#REF!,"AAAAAH1133o=")</f>
        <v>#REF!</v>
      </c>
      <c r="DT234" t="e">
        <f>IF('Reporting '!#REF!,"AAAAAH1133s=",0)</f>
        <v>#REF!</v>
      </c>
      <c r="DU234" t="e">
        <f>AND('Reporting '!#REF!,"AAAAAH1133w=")</f>
        <v>#REF!</v>
      </c>
      <c r="DV234" t="e">
        <f>AND('Reporting '!#REF!,"AAAAAH11330=")</f>
        <v>#REF!</v>
      </c>
      <c r="DW234" t="e">
        <f>AND('Reporting '!#REF!,"AAAAAH11334=")</f>
        <v>#REF!</v>
      </c>
      <c r="DX234" t="e">
        <f>AND('Reporting '!#REF!,"AAAAAH11338=")</f>
        <v>#REF!</v>
      </c>
      <c r="DY234" t="e">
        <f>AND('Reporting '!#REF!,"AAAAAH1134A=")</f>
        <v>#REF!</v>
      </c>
      <c r="DZ234" t="e">
        <f>AND('Reporting '!#REF!,"AAAAAH1134E=")</f>
        <v>#REF!</v>
      </c>
      <c r="EA234" t="e">
        <f>AND('Reporting '!#REF!,"AAAAAH1134I=")</f>
        <v>#REF!</v>
      </c>
      <c r="EB234" t="e">
        <f>AND('Reporting '!#REF!,"AAAAAH1134M=")</f>
        <v>#REF!</v>
      </c>
      <c r="EC234" t="e">
        <f>AND('Reporting '!#REF!,"AAAAAH1134Q=")</f>
        <v>#REF!</v>
      </c>
      <c r="ED234" t="e">
        <f>AND('Reporting '!#REF!,"AAAAAH1134U=")</f>
        <v>#REF!</v>
      </c>
      <c r="EE234" t="e">
        <f>AND('Reporting '!#REF!,"AAAAAH1134Y=")</f>
        <v>#REF!</v>
      </c>
      <c r="EF234" t="e">
        <f>AND('Reporting '!#REF!,"AAAAAH1134c=")</f>
        <v>#REF!</v>
      </c>
      <c r="EG234" t="e">
        <f>AND('Reporting '!#REF!,"AAAAAH1134g=")</f>
        <v>#REF!</v>
      </c>
      <c r="EH234" t="e">
        <f>AND('Reporting '!#REF!,"AAAAAH1134k=")</f>
        <v>#REF!</v>
      </c>
      <c r="EI234" t="e">
        <f>IF('Reporting '!#REF!,"AAAAAH1134o=",0)</f>
        <v>#REF!</v>
      </c>
      <c r="EJ234" t="e">
        <f>AND('Reporting '!#REF!,"AAAAAH1134s=")</f>
        <v>#REF!</v>
      </c>
      <c r="EK234" t="e">
        <f>AND('Reporting '!#REF!,"AAAAAH1134w=")</f>
        <v>#REF!</v>
      </c>
      <c r="EL234" t="e">
        <f>AND('Reporting '!#REF!,"AAAAAH11340=")</f>
        <v>#REF!</v>
      </c>
      <c r="EM234" t="e">
        <f>AND('Reporting '!#REF!,"AAAAAH11344=")</f>
        <v>#REF!</v>
      </c>
      <c r="EN234" t="e">
        <f>AND('Reporting '!#REF!,"AAAAAH11348=")</f>
        <v>#REF!</v>
      </c>
      <c r="EO234" t="e">
        <f>AND('Reporting '!#REF!,"AAAAAH1135A=")</f>
        <v>#REF!</v>
      </c>
      <c r="EP234" t="e">
        <f>AND('Reporting '!#REF!,"AAAAAH1135E=")</f>
        <v>#REF!</v>
      </c>
      <c r="EQ234" t="e">
        <f>AND('Reporting '!#REF!,"AAAAAH1135I=")</f>
        <v>#REF!</v>
      </c>
      <c r="ER234" t="e">
        <f>AND('Reporting '!#REF!,"AAAAAH1135M=")</f>
        <v>#REF!</v>
      </c>
      <c r="ES234" t="e">
        <f>AND('Reporting '!#REF!,"AAAAAH1135Q=")</f>
        <v>#REF!</v>
      </c>
      <c r="ET234" t="e">
        <f>AND('Reporting '!#REF!,"AAAAAH1135U=")</f>
        <v>#REF!</v>
      </c>
      <c r="EU234" t="e">
        <f>AND('Reporting '!#REF!,"AAAAAH1135Y=")</f>
        <v>#REF!</v>
      </c>
      <c r="EV234" t="e">
        <f>AND('Reporting '!#REF!,"AAAAAH1135c=")</f>
        <v>#REF!</v>
      </c>
      <c r="EW234" t="e">
        <f>AND('Reporting '!#REF!,"AAAAAH1135g=")</f>
        <v>#REF!</v>
      </c>
      <c r="EX234" t="e">
        <f>IF('Reporting '!#REF!,"AAAAAH1135k=",0)</f>
        <v>#REF!</v>
      </c>
      <c r="EY234" t="e">
        <f>AND('Reporting '!#REF!,"AAAAAH1135o=")</f>
        <v>#REF!</v>
      </c>
      <c r="EZ234" t="e">
        <f>AND('Reporting '!#REF!,"AAAAAH1135s=")</f>
        <v>#REF!</v>
      </c>
      <c r="FA234" t="e">
        <f>AND('Reporting '!#REF!,"AAAAAH1135w=")</f>
        <v>#REF!</v>
      </c>
      <c r="FB234" t="e">
        <f>AND('Reporting '!#REF!,"AAAAAH11350=")</f>
        <v>#REF!</v>
      </c>
      <c r="FC234" t="e">
        <f>AND('Reporting '!#REF!,"AAAAAH11354=")</f>
        <v>#REF!</v>
      </c>
      <c r="FD234" t="e">
        <f>AND('Reporting '!#REF!,"AAAAAH11358=")</f>
        <v>#REF!</v>
      </c>
      <c r="FE234" t="e">
        <f>AND('Reporting '!#REF!,"AAAAAH1136A=")</f>
        <v>#REF!</v>
      </c>
      <c r="FF234" t="e">
        <f>AND('Reporting '!#REF!,"AAAAAH1136E=")</f>
        <v>#REF!</v>
      </c>
      <c r="FG234" t="e">
        <f>AND('Reporting '!#REF!,"AAAAAH1136I=")</f>
        <v>#REF!</v>
      </c>
      <c r="FH234" t="e">
        <f>AND('Reporting '!#REF!,"AAAAAH1136M=")</f>
        <v>#REF!</v>
      </c>
      <c r="FI234" t="e">
        <f>AND('Reporting '!#REF!,"AAAAAH1136Q=")</f>
        <v>#REF!</v>
      </c>
      <c r="FJ234" t="e">
        <f>AND('Reporting '!#REF!,"AAAAAH1136U=")</f>
        <v>#REF!</v>
      </c>
      <c r="FK234" t="e">
        <f>AND('Reporting '!#REF!,"AAAAAH1136Y=")</f>
        <v>#REF!</v>
      </c>
      <c r="FL234" t="e">
        <f>AND('Reporting '!#REF!,"AAAAAH1136c=")</f>
        <v>#REF!</v>
      </c>
      <c r="FM234" t="e">
        <f>IF('Reporting '!#REF!,"AAAAAH1136g=",0)</f>
        <v>#REF!</v>
      </c>
      <c r="FN234" t="e">
        <f>AND('Reporting '!#REF!,"AAAAAH1136k=")</f>
        <v>#REF!</v>
      </c>
      <c r="FO234" t="e">
        <f>AND('Reporting '!#REF!,"AAAAAH1136o=")</f>
        <v>#REF!</v>
      </c>
      <c r="FP234" t="e">
        <f>AND('Reporting '!#REF!,"AAAAAH1136s=")</f>
        <v>#REF!</v>
      </c>
      <c r="FQ234" t="e">
        <f>AND('Reporting '!#REF!,"AAAAAH1136w=")</f>
        <v>#REF!</v>
      </c>
      <c r="FR234" t="e">
        <f>AND('Reporting '!#REF!,"AAAAAH11360=")</f>
        <v>#REF!</v>
      </c>
      <c r="FS234" t="e">
        <f>AND('Reporting '!#REF!,"AAAAAH11364=")</f>
        <v>#REF!</v>
      </c>
      <c r="FT234" t="e">
        <f>AND('Reporting '!#REF!,"AAAAAH11368=")</f>
        <v>#REF!</v>
      </c>
      <c r="FU234" t="e">
        <f>AND('Reporting '!#REF!,"AAAAAH1137A=")</f>
        <v>#REF!</v>
      </c>
      <c r="FV234" t="e">
        <f>AND('Reporting '!#REF!,"AAAAAH1137E=")</f>
        <v>#REF!</v>
      </c>
      <c r="FW234" t="e">
        <f>AND('Reporting '!#REF!,"AAAAAH1137I=")</f>
        <v>#REF!</v>
      </c>
      <c r="FX234" t="e">
        <f>AND('Reporting '!#REF!,"AAAAAH1137M=")</f>
        <v>#REF!</v>
      </c>
      <c r="FY234" t="e">
        <f>AND('Reporting '!#REF!,"AAAAAH1137Q=")</f>
        <v>#REF!</v>
      </c>
      <c r="FZ234" t="e">
        <f>AND('Reporting '!#REF!,"AAAAAH1137U=")</f>
        <v>#REF!</v>
      </c>
      <c r="GA234" t="e">
        <f>AND('Reporting '!#REF!,"AAAAAH1137Y=")</f>
        <v>#REF!</v>
      </c>
      <c r="GB234" t="e">
        <f>IF('Reporting '!#REF!,"AAAAAH1137c=",0)</f>
        <v>#REF!</v>
      </c>
      <c r="GC234" t="e">
        <f>AND('Reporting '!#REF!,"AAAAAH1137g=")</f>
        <v>#REF!</v>
      </c>
      <c r="GD234" t="e">
        <f>AND('Reporting '!#REF!,"AAAAAH1137k=")</f>
        <v>#REF!</v>
      </c>
      <c r="GE234" t="e">
        <f>AND('Reporting '!#REF!,"AAAAAH1137o=")</f>
        <v>#REF!</v>
      </c>
      <c r="GF234" t="e">
        <f>AND('Reporting '!#REF!,"AAAAAH1137s=")</f>
        <v>#REF!</v>
      </c>
      <c r="GG234" t="e">
        <f>AND('Reporting '!#REF!,"AAAAAH1137w=")</f>
        <v>#REF!</v>
      </c>
      <c r="GH234" t="e">
        <f>AND('Reporting '!#REF!,"AAAAAH11370=")</f>
        <v>#REF!</v>
      </c>
      <c r="GI234" t="e">
        <f>AND('Reporting '!#REF!,"AAAAAH11374=")</f>
        <v>#REF!</v>
      </c>
      <c r="GJ234" t="e">
        <f>AND('Reporting '!#REF!,"AAAAAH11378=")</f>
        <v>#REF!</v>
      </c>
      <c r="GK234" t="e">
        <f>AND('Reporting '!#REF!,"AAAAAH1138A=")</f>
        <v>#REF!</v>
      </c>
      <c r="GL234" t="e">
        <f>AND('Reporting '!#REF!,"AAAAAH1138E=")</f>
        <v>#REF!</v>
      </c>
      <c r="GM234" t="e">
        <f>AND('Reporting '!#REF!,"AAAAAH1138I=")</f>
        <v>#REF!</v>
      </c>
      <c r="GN234" t="e">
        <f>AND('Reporting '!#REF!,"AAAAAH1138M=")</f>
        <v>#REF!</v>
      </c>
      <c r="GO234" t="e">
        <f>AND('Reporting '!#REF!,"AAAAAH1138Q=")</f>
        <v>#REF!</v>
      </c>
      <c r="GP234" t="e">
        <f>AND('Reporting '!#REF!,"AAAAAH1138U=")</f>
        <v>#REF!</v>
      </c>
      <c r="GQ234" t="e">
        <f>IF('Reporting '!#REF!,"AAAAAH1138Y=",0)</f>
        <v>#REF!</v>
      </c>
      <c r="GR234" t="e">
        <f>AND('Reporting '!#REF!,"AAAAAH1138c=")</f>
        <v>#REF!</v>
      </c>
      <c r="GS234" t="e">
        <f>AND('Reporting '!#REF!,"AAAAAH1138g=")</f>
        <v>#REF!</v>
      </c>
      <c r="GT234" t="e">
        <f>AND('Reporting '!#REF!,"AAAAAH1138k=")</f>
        <v>#REF!</v>
      </c>
      <c r="GU234" t="e">
        <f>AND('Reporting '!#REF!,"AAAAAH1138o=")</f>
        <v>#REF!</v>
      </c>
      <c r="GV234" t="e">
        <f>AND('Reporting '!#REF!,"AAAAAH1138s=")</f>
        <v>#REF!</v>
      </c>
      <c r="GW234" t="e">
        <f>AND('Reporting '!#REF!,"AAAAAH1138w=")</f>
        <v>#REF!</v>
      </c>
      <c r="GX234" t="e">
        <f>AND('Reporting '!#REF!,"AAAAAH11380=")</f>
        <v>#REF!</v>
      </c>
      <c r="GY234" t="e">
        <f>AND('Reporting '!#REF!,"AAAAAH11384=")</f>
        <v>#REF!</v>
      </c>
      <c r="GZ234" t="e">
        <f>AND('Reporting '!#REF!,"AAAAAH11388=")</f>
        <v>#REF!</v>
      </c>
      <c r="HA234" t="e">
        <f>AND('Reporting '!#REF!,"AAAAAH1139A=")</f>
        <v>#REF!</v>
      </c>
      <c r="HB234" t="e">
        <f>AND('Reporting '!#REF!,"AAAAAH1139E=")</f>
        <v>#REF!</v>
      </c>
      <c r="HC234" t="e">
        <f>AND('Reporting '!#REF!,"AAAAAH1139I=")</f>
        <v>#REF!</v>
      </c>
      <c r="HD234" t="e">
        <f>AND('Reporting '!#REF!,"AAAAAH1139M=")</f>
        <v>#REF!</v>
      </c>
      <c r="HE234" t="e">
        <f>AND('Reporting '!#REF!,"AAAAAH1139Q=")</f>
        <v>#REF!</v>
      </c>
      <c r="HF234" t="e">
        <f>IF('Reporting '!#REF!,"AAAAAH1139U=",0)</f>
        <v>#REF!</v>
      </c>
      <c r="HG234" t="e">
        <f>AND('Reporting '!#REF!,"AAAAAH1139Y=")</f>
        <v>#REF!</v>
      </c>
      <c r="HH234" t="e">
        <f>AND('Reporting '!#REF!,"AAAAAH1139c=")</f>
        <v>#REF!</v>
      </c>
      <c r="HI234" t="e">
        <f>AND('Reporting '!#REF!,"AAAAAH1139g=")</f>
        <v>#REF!</v>
      </c>
      <c r="HJ234" t="e">
        <f>AND('Reporting '!#REF!,"AAAAAH1139k=")</f>
        <v>#REF!</v>
      </c>
      <c r="HK234" t="e">
        <f>AND('Reporting '!#REF!,"AAAAAH1139o=")</f>
        <v>#REF!</v>
      </c>
      <c r="HL234" t="e">
        <f>AND('Reporting '!#REF!,"AAAAAH1139s=")</f>
        <v>#REF!</v>
      </c>
      <c r="HM234" t="e">
        <f>AND('Reporting '!#REF!,"AAAAAH1139w=")</f>
        <v>#REF!</v>
      </c>
      <c r="HN234" t="e">
        <f>AND('Reporting '!#REF!,"AAAAAH11390=")</f>
        <v>#REF!</v>
      </c>
      <c r="HO234" t="e">
        <f>AND('Reporting '!#REF!,"AAAAAH11394=")</f>
        <v>#REF!</v>
      </c>
      <c r="HP234" t="e">
        <f>AND('Reporting '!#REF!,"AAAAAH11398=")</f>
        <v>#REF!</v>
      </c>
      <c r="HQ234" t="e">
        <f>AND('Reporting '!#REF!,"AAAAAH113+A=")</f>
        <v>#REF!</v>
      </c>
      <c r="HR234" t="e">
        <f>AND('Reporting '!#REF!,"AAAAAH113+E=")</f>
        <v>#REF!</v>
      </c>
      <c r="HS234" t="e">
        <f>AND('Reporting '!#REF!,"AAAAAH113+I=")</f>
        <v>#REF!</v>
      </c>
      <c r="HT234" t="e">
        <f>AND('Reporting '!#REF!,"AAAAAH113+M=")</f>
        <v>#REF!</v>
      </c>
      <c r="HU234" t="e">
        <f>IF('Reporting '!#REF!,"AAAAAH113+Q=",0)</f>
        <v>#REF!</v>
      </c>
      <c r="HV234" t="e">
        <f>AND('Reporting '!#REF!,"AAAAAH113+U=")</f>
        <v>#REF!</v>
      </c>
      <c r="HW234" t="e">
        <f>AND('Reporting '!#REF!,"AAAAAH113+Y=")</f>
        <v>#REF!</v>
      </c>
      <c r="HX234" t="e">
        <f>AND('Reporting '!#REF!,"AAAAAH113+c=")</f>
        <v>#REF!</v>
      </c>
      <c r="HY234" t="e">
        <f>AND('Reporting '!#REF!,"AAAAAH113+g=")</f>
        <v>#REF!</v>
      </c>
      <c r="HZ234" t="e">
        <f>AND('Reporting '!#REF!,"AAAAAH113+k=")</f>
        <v>#REF!</v>
      </c>
      <c r="IA234" t="e">
        <f>AND('Reporting '!#REF!,"AAAAAH113+o=")</f>
        <v>#REF!</v>
      </c>
      <c r="IB234" t="e">
        <f>AND('Reporting '!#REF!,"AAAAAH113+s=")</f>
        <v>#REF!</v>
      </c>
      <c r="IC234" t="e">
        <f>AND('Reporting '!#REF!,"AAAAAH113+w=")</f>
        <v>#REF!</v>
      </c>
      <c r="ID234" t="e">
        <f>AND('Reporting '!#REF!,"AAAAAH113+0=")</f>
        <v>#REF!</v>
      </c>
      <c r="IE234" t="e">
        <f>AND('Reporting '!#REF!,"AAAAAH113+4=")</f>
        <v>#REF!</v>
      </c>
      <c r="IF234" t="e">
        <f>AND('Reporting '!#REF!,"AAAAAH113+8=")</f>
        <v>#REF!</v>
      </c>
      <c r="IG234" t="e">
        <f>AND('Reporting '!#REF!,"AAAAAH113/A=")</f>
        <v>#REF!</v>
      </c>
      <c r="IH234" t="e">
        <f>AND('Reporting '!#REF!,"AAAAAH113/E=")</f>
        <v>#REF!</v>
      </c>
      <c r="II234" t="e">
        <f>AND('Reporting '!#REF!,"AAAAAH113/I=")</f>
        <v>#REF!</v>
      </c>
      <c r="IJ234" t="e">
        <f>IF('Reporting '!#REF!,"AAAAAH113/M=",0)</f>
        <v>#REF!</v>
      </c>
      <c r="IK234" t="e">
        <f>AND('Reporting '!#REF!,"AAAAAH113/Q=")</f>
        <v>#REF!</v>
      </c>
      <c r="IL234" t="e">
        <f>AND('Reporting '!#REF!,"AAAAAH113/U=")</f>
        <v>#REF!</v>
      </c>
      <c r="IM234" t="e">
        <f>AND('Reporting '!#REF!,"AAAAAH113/Y=")</f>
        <v>#REF!</v>
      </c>
      <c r="IN234" t="e">
        <f>AND('Reporting '!#REF!,"AAAAAH113/c=")</f>
        <v>#REF!</v>
      </c>
      <c r="IO234" t="e">
        <f>AND('Reporting '!#REF!,"AAAAAH113/g=")</f>
        <v>#REF!</v>
      </c>
      <c r="IP234" t="e">
        <f>AND('Reporting '!#REF!,"AAAAAH113/k=")</f>
        <v>#REF!</v>
      </c>
      <c r="IQ234" t="e">
        <f>AND('Reporting '!#REF!,"AAAAAH113/o=")</f>
        <v>#REF!</v>
      </c>
      <c r="IR234" t="e">
        <f>AND('Reporting '!#REF!,"AAAAAH113/s=")</f>
        <v>#REF!</v>
      </c>
      <c r="IS234" t="e">
        <f>AND('Reporting '!#REF!,"AAAAAH113/w=")</f>
        <v>#REF!</v>
      </c>
      <c r="IT234" t="e">
        <f>AND('Reporting '!#REF!,"AAAAAH113/0=")</f>
        <v>#REF!</v>
      </c>
      <c r="IU234" t="e">
        <f>AND('Reporting '!#REF!,"AAAAAH113/4=")</f>
        <v>#REF!</v>
      </c>
      <c r="IV234" t="e">
        <f>AND('Reporting '!#REF!,"AAAAAH113/8=")</f>
        <v>#REF!</v>
      </c>
    </row>
    <row r="235" spans="1:256" x14ac:dyDescent="0.2">
      <c r="A235" t="e">
        <f>AND('Reporting '!#REF!,"AAAAAH//zwA=")</f>
        <v>#REF!</v>
      </c>
      <c r="B235" t="e">
        <f>AND('Reporting '!#REF!,"AAAAAH//zwE=")</f>
        <v>#REF!</v>
      </c>
      <c r="C235" t="e">
        <f>IF('Reporting '!#REF!,"AAAAAH//zwI=",0)</f>
        <v>#REF!</v>
      </c>
      <c r="D235" t="e">
        <f>AND('Reporting '!#REF!,"AAAAAH//zwM=")</f>
        <v>#REF!</v>
      </c>
      <c r="E235" t="e">
        <f>AND('Reporting '!#REF!,"AAAAAH//zwQ=")</f>
        <v>#REF!</v>
      </c>
      <c r="F235" t="e">
        <f>AND('Reporting '!#REF!,"AAAAAH//zwU=")</f>
        <v>#REF!</v>
      </c>
      <c r="G235" t="e">
        <f>AND('Reporting '!#REF!,"AAAAAH//zwY=")</f>
        <v>#REF!</v>
      </c>
      <c r="H235" t="e">
        <f>AND('Reporting '!#REF!,"AAAAAH//zwc=")</f>
        <v>#REF!</v>
      </c>
      <c r="I235" t="e">
        <f>AND('Reporting '!#REF!,"AAAAAH//zwg=")</f>
        <v>#REF!</v>
      </c>
      <c r="J235" t="e">
        <f>AND('Reporting '!#REF!,"AAAAAH//zwk=")</f>
        <v>#REF!</v>
      </c>
      <c r="K235" t="e">
        <f>AND('Reporting '!#REF!,"AAAAAH//zwo=")</f>
        <v>#REF!</v>
      </c>
      <c r="L235" t="e">
        <f>AND('Reporting '!#REF!,"AAAAAH//zws=")</f>
        <v>#REF!</v>
      </c>
      <c r="M235" t="e">
        <f>AND('Reporting '!#REF!,"AAAAAH//zww=")</f>
        <v>#REF!</v>
      </c>
      <c r="N235" t="e">
        <f>AND('Reporting '!#REF!,"AAAAAH//zw0=")</f>
        <v>#REF!</v>
      </c>
      <c r="O235" t="e">
        <f>AND('Reporting '!#REF!,"AAAAAH//zw4=")</f>
        <v>#REF!</v>
      </c>
      <c r="P235" t="e">
        <f>AND('Reporting '!#REF!,"AAAAAH//zw8=")</f>
        <v>#REF!</v>
      </c>
      <c r="Q235" t="e">
        <f>AND('Reporting '!#REF!,"AAAAAH//zxA=")</f>
        <v>#REF!</v>
      </c>
      <c r="R235" t="e">
        <f>IF('Reporting '!#REF!,"AAAAAH//zxE=",0)</f>
        <v>#REF!</v>
      </c>
      <c r="S235" t="e">
        <f>AND('Reporting '!#REF!,"AAAAAH//zxI=")</f>
        <v>#REF!</v>
      </c>
      <c r="T235" t="e">
        <f>AND('Reporting '!#REF!,"AAAAAH//zxM=")</f>
        <v>#REF!</v>
      </c>
      <c r="U235" t="e">
        <f>AND('Reporting '!#REF!,"AAAAAH//zxQ=")</f>
        <v>#REF!</v>
      </c>
      <c r="V235" t="e">
        <f>AND('Reporting '!#REF!,"AAAAAH//zxU=")</f>
        <v>#REF!</v>
      </c>
      <c r="W235" t="e">
        <f>AND('Reporting '!#REF!,"AAAAAH//zxY=")</f>
        <v>#REF!</v>
      </c>
      <c r="X235" t="e">
        <f>AND('Reporting '!#REF!,"AAAAAH//zxc=")</f>
        <v>#REF!</v>
      </c>
      <c r="Y235" t="e">
        <f>AND('Reporting '!#REF!,"AAAAAH//zxg=")</f>
        <v>#REF!</v>
      </c>
      <c r="Z235" t="e">
        <f>AND('Reporting '!#REF!,"AAAAAH//zxk=")</f>
        <v>#REF!</v>
      </c>
      <c r="AA235" t="e">
        <f>AND('Reporting '!#REF!,"AAAAAH//zxo=")</f>
        <v>#REF!</v>
      </c>
      <c r="AB235" t="e">
        <f>AND('Reporting '!#REF!,"AAAAAH//zxs=")</f>
        <v>#REF!</v>
      </c>
      <c r="AC235" t="e">
        <f>AND('Reporting '!#REF!,"AAAAAH//zxw=")</f>
        <v>#REF!</v>
      </c>
      <c r="AD235" t="e">
        <f>AND('Reporting '!#REF!,"AAAAAH//zx0=")</f>
        <v>#REF!</v>
      </c>
      <c r="AE235" t="e">
        <f>AND('Reporting '!#REF!,"AAAAAH//zx4=")</f>
        <v>#REF!</v>
      </c>
      <c r="AF235" t="e">
        <f>AND('Reporting '!#REF!,"AAAAAH//zx8=")</f>
        <v>#REF!</v>
      </c>
      <c r="AG235" t="e">
        <f>IF('Reporting '!#REF!,"AAAAAH//zyA=",0)</f>
        <v>#REF!</v>
      </c>
      <c r="AH235" t="e">
        <f>AND('Reporting '!#REF!,"AAAAAH//zyE=")</f>
        <v>#REF!</v>
      </c>
      <c r="AI235" t="e">
        <f>AND('Reporting '!#REF!,"AAAAAH//zyI=")</f>
        <v>#REF!</v>
      </c>
      <c r="AJ235" t="e">
        <f>AND('Reporting '!#REF!,"AAAAAH//zyM=")</f>
        <v>#REF!</v>
      </c>
      <c r="AK235" t="e">
        <f>AND('Reporting '!#REF!,"AAAAAH//zyQ=")</f>
        <v>#REF!</v>
      </c>
      <c r="AL235" t="e">
        <f>AND('Reporting '!#REF!,"AAAAAH//zyU=")</f>
        <v>#REF!</v>
      </c>
      <c r="AM235" t="e">
        <f>AND('Reporting '!#REF!,"AAAAAH//zyY=")</f>
        <v>#REF!</v>
      </c>
      <c r="AN235" t="e">
        <f>AND('Reporting '!#REF!,"AAAAAH//zyc=")</f>
        <v>#REF!</v>
      </c>
      <c r="AO235" t="e">
        <f>AND('Reporting '!#REF!,"AAAAAH//zyg=")</f>
        <v>#REF!</v>
      </c>
      <c r="AP235" t="e">
        <f>AND('Reporting '!#REF!,"AAAAAH//zyk=")</f>
        <v>#REF!</v>
      </c>
      <c r="AQ235" t="e">
        <f>AND('Reporting '!#REF!,"AAAAAH//zyo=")</f>
        <v>#REF!</v>
      </c>
      <c r="AR235" t="e">
        <f>AND('Reporting '!#REF!,"AAAAAH//zys=")</f>
        <v>#REF!</v>
      </c>
      <c r="AS235" t="e">
        <f>AND('Reporting '!#REF!,"AAAAAH//zyw=")</f>
        <v>#REF!</v>
      </c>
      <c r="AT235" t="e">
        <f>AND('Reporting '!#REF!,"AAAAAH//zy0=")</f>
        <v>#REF!</v>
      </c>
      <c r="AU235" t="e">
        <f>AND('Reporting '!#REF!,"AAAAAH//zy4=")</f>
        <v>#REF!</v>
      </c>
      <c r="AV235" t="e">
        <f>IF('Reporting '!#REF!,"AAAAAH//zy8=",0)</f>
        <v>#REF!</v>
      </c>
      <c r="AW235" t="e">
        <f>AND('Reporting '!#REF!,"AAAAAH//zzA=")</f>
        <v>#REF!</v>
      </c>
      <c r="AX235" t="e">
        <f>AND('Reporting '!#REF!,"AAAAAH//zzE=")</f>
        <v>#REF!</v>
      </c>
      <c r="AY235" t="e">
        <f>AND('Reporting '!#REF!,"AAAAAH//zzI=")</f>
        <v>#REF!</v>
      </c>
      <c r="AZ235" t="e">
        <f>AND('Reporting '!#REF!,"AAAAAH//zzM=")</f>
        <v>#REF!</v>
      </c>
      <c r="BA235" t="e">
        <f>AND('Reporting '!#REF!,"AAAAAH//zzQ=")</f>
        <v>#REF!</v>
      </c>
      <c r="BB235" t="e">
        <f>AND('Reporting '!#REF!,"AAAAAH//zzU=")</f>
        <v>#REF!</v>
      </c>
      <c r="BC235" t="e">
        <f>AND('Reporting '!#REF!,"AAAAAH//zzY=")</f>
        <v>#REF!</v>
      </c>
      <c r="BD235" t="e">
        <f>AND('Reporting '!#REF!,"AAAAAH//zzc=")</f>
        <v>#REF!</v>
      </c>
      <c r="BE235" t="e">
        <f>AND('Reporting '!#REF!,"AAAAAH//zzg=")</f>
        <v>#REF!</v>
      </c>
      <c r="BF235" t="e">
        <f>AND('Reporting '!#REF!,"AAAAAH//zzk=")</f>
        <v>#REF!</v>
      </c>
      <c r="BG235" t="e">
        <f>AND('Reporting '!#REF!,"AAAAAH//zzo=")</f>
        <v>#REF!</v>
      </c>
      <c r="BH235" t="e">
        <f>AND('Reporting '!#REF!,"AAAAAH//zzs=")</f>
        <v>#REF!</v>
      </c>
      <c r="BI235" t="e">
        <f>AND('Reporting '!#REF!,"AAAAAH//zzw=")</f>
        <v>#REF!</v>
      </c>
      <c r="BJ235" t="e">
        <f>AND('Reporting '!#REF!,"AAAAAH//zz0=")</f>
        <v>#REF!</v>
      </c>
      <c r="BK235" t="e">
        <f>IF('Reporting '!#REF!,"AAAAAH//zz4=",0)</f>
        <v>#REF!</v>
      </c>
      <c r="BL235" t="e">
        <f>AND('Reporting '!#REF!,"AAAAAH//zz8=")</f>
        <v>#REF!</v>
      </c>
      <c r="BM235" t="e">
        <f>AND('Reporting '!#REF!,"AAAAAH//z0A=")</f>
        <v>#REF!</v>
      </c>
      <c r="BN235" t="e">
        <f>AND('Reporting '!#REF!,"AAAAAH//z0E=")</f>
        <v>#REF!</v>
      </c>
      <c r="BO235" t="e">
        <f>AND('Reporting '!#REF!,"AAAAAH//z0I=")</f>
        <v>#REF!</v>
      </c>
      <c r="BP235" t="e">
        <f>AND('Reporting '!#REF!,"AAAAAH//z0M=")</f>
        <v>#REF!</v>
      </c>
      <c r="BQ235" t="e">
        <f>AND('Reporting '!#REF!,"AAAAAH//z0Q=")</f>
        <v>#REF!</v>
      </c>
      <c r="BR235" t="e">
        <f>AND('Reporting '!#REF!,"AAAAAH//z0U=")</f>
        <v>#REF!</v>
      </c>
      <c r="BS235" t="e">
        <f>AND('Reporting '!#REF!,"AAAAAH//z0Y=")</f>
        <v>#REF!</v>
      </c>
      <c r="BT235" t="e">
        <f>AND('Reporting '!#REF!,"AAAAAH//z0c=")</f>
        <v>#REF!</v>
      </c>
      <c r="BU235" t="e">
        <f>AND('Reporting '!#REF!,"AAAAAH//z0g=")</f>
        <v>#REF!</v>
      </c>
      <c r="BV235" t="e">
        <f>AND('Reporting '!#REF!,"AAAAAH//z0k=")</f>
        <v>#REF!</v>
      </c>
      <c r="BW235" t="e">
        <f>AND('Reporting '!#REF!,"AAAAAH//z0o=")</f>
        <v>#REF!</v>
      </c>
      <c r="BX235" t="e">
        <f>AND('Reporting '!#REF!,"AAAAAH//z0s=")</f>
        <v>#REF!</v>
      </c>
      <c r="BY235" t="e">
        <f>AND('Reporting '!#REF!,"AAAAAH//z0w=")</f>
        <v>#REF!</v>
      </c>
      <c r="BZ235" t="e">
        <f>IF('Reporting '!#REF!,"AAAAAH//z00=",0)</f>
        <v>#REF!</v>
      </c>
      <c r="CA235" t="e">
        <f>AND('Reporting '!#REF!,"AAAAAH//z04=")</f>
        <v>#REF!</v>
      </c>
      <c r="CB235" t="e">
        <f>AND('Reporting '!#REF!,"AAAAAH//z08=")</f>
        <v>#REF!</v>
      </c>
      <c r="CC235" t="e">
        <f>AND('Reporting '!#REF!,"AAAAAH//z1A=")</f>
        <v>#REF!</v>
      </c>
      <c r="CD235" t="e">
        <f>AND('Reporting '!#REF!,"AAAAAH//z1E=")</f>
        <v>#REF!</v>
      </c>
      <c r="CE235" t="e">
        <f>AND('Reporting '!#REF!,"AAAAAH//z1I=")</f>
        <v>#REF!</v>
      </c>
      <c r="CF235" t="e">
        <f>AND('Reporting '!#REF!,"AAAAAH//z1M=")</f>
        <v>#REF!</v>
      </c>
      <c r="CG235" t="e">
        <f>AND('Reporting '!#REF!,"AAAAAH//z1Q=")</f>
        <v>#REF!</v>
      </c>
      <c r="CH235" t="e">
        <f>AND('Reporting '!#REF!,"AAAAAH//z1U=")</f>
        <v>#REF!</v>
      </c>
      <c r="CI235" t="e">
        <f>AND('Reporting '!#REF!,"AAAAAH//z1Y=")</f>
        <v>#REF!</v>
      </c>
      <c r="CJ235" t="e">
        <f>AND('Reporting '!#REF!,"AAAAAH//z1c=")</f>
        <v>#REF!</v>
      </c>
      <c r="CK235" t="e">
        <f>AND('Reporting '!#REF!,"AAAAAH//z1g=")</f>
        <v>#REF!</v>
      </c>
      <c r="CL235" t="e">
        <f>AND('Reporting '!#REF!,"AAAAAH//z1k=")</f>
        <v>#REF!</v>
      </c>
      <c r="CM235" t="e">
        <f>AND('Reporting '!#REF!,"AAAAAH//z1o=")</f>
        <v>#REF!</v>
      </c>
      <c r="CN235" t="e">
        <f>AND('Reporting '!#REF!,"AAAAAH//z1s=")</f>
        <v>#REF!</v>
      </c>
      <c r="CO235" t="e">
        <f>IF('Reporting '!#REF!,"AAAAAH//z1w=",0)</f>
        <v>#REF!</v>
      </c>
      <c r="CP235" t="e">
        <f>AND('Reporting '!#REF!,"AAAAAH//z10=")</f>
        <v>#REF!</v>
      </c>
      <c r="CQ235" t="e">
        <f>AND('Reporting '!#REF!,"AAAAAH//z14=")</f>
        <v>#REF!</v>
      </c>
      <c r="CR235" t="e">
        <f>AND('Reporting '!#REF!,"AAAAAH//z18=")</f>
        <v>#REF!</v>
      </c>
      <c r="CS235" t="e">
        <f>AND('Reporting '!#REF!,"AAAAAH//z2A=")</f>
        <v>#REF!</v>
      </c>
      <c r="CT235" t="e">
        <f>AND('Reporting '!#REF!,"AAAAAH//z2E=")</f>
        <v>#REF!</v>
      </c>
      <c r="CU235" t="e">
        <f>AND('Reporting '!#REF!,"AAAAAH//z2I=")</f>
        <v>#REF!</v>
      </c>
      <c r="CV235" t="e">
        <f>AND('Reporting '!#REF!,"AAAAAH//z2M=")</f>
        <v>#REF!</v>
      </c>
      <c r="CW235" t="e">
        <f>AND('Reporting '!#REF!,"AAAAAH//z2Q=")</f>
        <v>#REF!</v>
      </c>
      <c r="CX235" t="e">
        <f>AND('Reporting '!#REF!,"AAAAAH//z2U=")</f>
        <v>#REF!</v>
      </c>
      <c r="CY235" t="e">
        <f>AND('Reporting '!#REF!,"AAAAAH//z2Y=")</f>
        <v>#REF!</v>
      </c>
      <c r="CZ235" t="e">
        <f>AND('Reporting '!#REF!,"AAAAAH//z2c=")</f>
        <v>#REF!</v>
      </c>
      <c r="DA235" t="e">
        <f>AND('Reporting '!#REF!,"AAAAAH//z2g=")</f>
        <v>#REF!</v>
      </c>
      <c r="DB235" t="e">
        <f>AND('Reporting '!#REF!,"AAAAAH//z2k=")</f>
        <v>#REF!</v>
      </c>
      <c r="DC235" t="e">
        <f>AND('Reporting '!#REF!,"AAAAAH//z2o=")</f>
        <v>#REF!</v>
      </c>
      <c r="DD235" t="e">
        <f>IF('Reporting '!#REF!,"AAAAAH//z2s=",0)</f>
        <v>#REF!</v>
      </c>
      <c r="DE235" t="e">
        <f>AND('Reporting '!#REF!,"AAAAAH//z2w=")</f>
        <v>#REF!</v>
      </c>
      <c r="DF235" t="e">
        <f>AND('Reporting '!#REF!,"AAAAAH//z20=")</f>
        <v>#REF!</v>
      </c>
      <c r="DG235" t="e">
        <f>AND('Reporting '!#REF!,"AAAAAH//z24=")</f>
        <v>#REF!</v>
      </c>
      <c r="DH235" t="e">
        <f>AND('Reporting '!#REF!,"AAAAAH//z28=")</f>
        <v>#REF!</v>
      </c>
      <c r="DI235" t="e">
        <f>AND('Reporting '!#REF!,"AAAAAH//z3A=")</f>
        <v>#REF!</v>
      </c>
      <c r="DJ235" t="e">
        <f>AND('Reporting '!#REF!,"AAAAAH//z3E=")</f>
        <v>#REF!</v>
      </c>
      <c r="DK235" t="e">
        <f>AND('Reporting '!#REF!,"AAAAAH//z3I=")</f>
        <v>#REF!</v>
      </c>
      <c r="DL235" t="e">
        <f>AND('Reporting '!#REF!,"AAAAAH//z3M=")</f>
        <v>#REF!</v>
      </c>
      <c r="DM235" t="e">
        <f>AND('Reporting '!#REF!,"AAAAAH//z3Q=")</f>
        <v>#REF!</v>
      </c>
      <c r="DN235" t="e">
        <f>AND('Reporting '!#REF!,"AAAAAH//z3U=")</f>
        <v>#REF!</v>
      </c>
      <c r="DO235" t="e">
        <f>AND('Reporting '!#REF!,"AAAAAH//z3Y=")</f>
        <v>#REF!</v>
      </c>
      <c r="DP235" t="e">
        <f>AND('Reporting '!#REF!,"AAAAAH//z3c=")</f>
        <v>#REF!</v>
      </c>
      <c r="DQ235" t="e">
        <f>AND('Reporting '!#REF!,"AAAAAH//z3g=")</f>
        <v>#REF!</v>
      </c>
      <c r="DR235" t="e">
        <f>AND('Reporting '!#REF!,"AAAAAH//z3k=")</f>
        <v>#REF!</v>
      </c>
      <c r="DS235" t="e">
        <f>IF('Reporting '!#REF!,"AAAAAH//z3o=",0)</f>
        <v>#REF!</v>
      </c>
      <c r="DT235" t="e">
        <f>AND('Reporting '!#REF!,"AAAAAH//z3s=")</f>
        <v>#REF!</v>
      </c>
      <c r="DU235" t="e">
        <f>AND('Reporting '!#REF!,"AAAAAH//z3w=")</f>
        <v>#REF!</v>
      </c>
      <c r="DV235" t="e">
        <f>AND('Reporting '!#REF!,"AAAAAH//z30=")</f>
        <v>#REF!</v>
      </c>
      <c r="DW235" t="e">
        <f>AND('Reporting '!#REF!,"AAAAAH//z34=")</f>
        <v>#REF!</v>
      </c>
      <c r="DX235" t="e">
        <f>AND('Reporting '!#REF!,"AAAAAH//z38=")</f>
        <v>#REF!</v>
      </c>
      <c r="DY235" t="e">
        <f>AND('Reporting '!#REF!,"AAAAAH//z4A=")</f>
        <v>#REF!</v>
      </c>
      <c r="DZ235" t="e">
        <f>AND('Reporting '!#REF!,"AAAAAH//z4E=")</f>
        <v>#REF!</v>
      </c>
      <c r="EA235" t="e">
        <f>AND('Reporting '!#REF!,"AAAAAH//z4I=")</f>
        <v>#REF!</v>
      </c>
      <c r="EB235" t="e">
        <f>AND('Reporting '!#REF!,"AAAAAH//z4M=")</f>
        <v>#REF!</v>
      </c>
      <c r="EC235" t="e">
        <f>AND('Reporting '!#REF!,"AAAAAH//z4Q=")</f>
        <v>#REF!</v>
      </c>
      <c r="ED235" t="e">
        <f>AND('Reporting '!#REF!,"AAAAAH//z4U=")</f>
        <v>#REF!</v>
      </c>
      <c r="EE235" t="e">
        <f>AND('Reporting '!#REF!,"AAAAAH//z4Y=")</f>
        <v>#REF!</v>
      </c>
      <c r="EF235" t="e">
        <f>AND('Reporting '!#REF!,"AAAAAH//z4c=")</f>
        <v>#REF!</v>
      </c>
      <c r="EG235" t="e">
        <f>AND('Reporting '!#REF!,"AAAAAH//z4g=")</f>
        <v>#REF!</v>
      </c>
      <c r="EH235" t="e">
        <f>IF('Reporting '!#REF!,"AAAAAH//z4k=",0)</f>
        <v>#REF!</v>
      </c>
      <c r="EI235" t="e">
        <f>AND('Reporting '!#REF!,"AAAAAH//z4o=")</f>
        <v>#REF!</v>
      </c>
      <c r="EJ235" t="e">
        <f>AND('Reporting '!#REF!,"AAAAAH//z4s=")</f>
        <v>#REF!</v>
      </c>
      <c r="EK235" t="e">
        <f>AND('Reporting '!#REF!,"AAAAAH//z4w=")</f>
        <v>#REF!</v>
      </c>
      <c r="EL235" t="e">
        <f>AND('Reporting '!#REF!,"AAAAAH//z40=")</f>
        <v>#REF!</v>
      </c>
      <c r="EM235" t="e">
        <f>AND('Reporting '!#REF!,"AAAAAH//z44=")</f>
        <v>#REF!</v>
      </c>
      <c r="EN235" t="e">
        <f>AND('Reporting '!#REF!,"AAAAAH//z48=")</f>
        <v>#REF!</v>
      </c>
      <c r="EO235" t="e">
        <f>AND('Reporting '!#REF!,"AAAAAH//z5A=")</f>
        <v>#REF!</v>
      </c>
      <c r="EP235" t="e">
        <f>AND('Reporting '!#REF!,"AAAAAH//z5E=")</f>
        <v>#REF!</v>
      </c>
      <c r="EQ235" t="e">
        <f>AND('Reporting '!#REF!,"AAAAAH//z5I=")</f>
        <v>#REF!</v>
      </c>
      <c r="ER235" t="e">
        <f>AND('Reporting '!#REF!,"AAAAAH//z5M=")</f>
        <v>#REF!</v>
      </c>
      <c r="ES235" t="e">
        <f>AND('Reporting '!#REF!,"AAAAAH//z5Q=")</f>
        <v>#REF!</v>
      </c>
      <c r="ET235" t="e">
        <f>AND('Reporting '!#REF!,"AAAAAH//z5U=")</f>
        <v>#REF!</v>
      </c>
      <c r="EU235" t="e">
        <f>AND('Reporting '!#REF!,"AAAAAH//z5Y=")</f>
        <v>#REF!</v>
      </c>
      <c r="EV235" t="e">
        <f>AND('Reporting '!#REF!,"AAAAAH//z5c=")</f>
        <v>#REF!</v>
      </c>
      <c r="EW235" t="e">
        <f>IF('Reporting '!#REF!,"AAAAAH//z5g=",0)</f>
        <v>#REF!</v>
      </c>
      <c r="EX235" t="e">
        <f>AND('Reporting '!#REF!,"AAAAAH//z5k=")</f>
        <v>#REF!</v>
      </c>
      <c r="EY235" t="e">
        <f>AND('Reporting '!#REF!,"AAAAAH//z5o=")</f>
        <v>#REF!</v>
      </c>
      <c r="EZ235" t="e">
        <f>AND('Reporting '!#REF!,"AAAAAH//z5s=")</f>
        <v>#REF!</v>
      </c>
      <c r="FA235" t="e">
        <f>AND('Reporting '!#REF!,"AAAAAH//z5w=")</f>
        <v>#REF!</v>
      </c>
      <c r="FB235" t="e">
        <f>AND('Reporting '!#REF!,"AAAAAH//z50=")</f>
        <v>#REF!</v>
      </c>
      <c r="FC235" t="e">
        <f>AND('Reporting '!#REF!,"AAAAAH//z54=")</f>
        <v>#REF!</v>
      </c>
      <c r="FD235" t="e">
        <f>AND('Reporting '!#REF!,"AAAAAH//z58=")</f>
        <v>#REF!</v>
      </c>
      <c r="FE235" t="e">
        <f>AND('Reporting '!#REF!,"AAAAAH//z6A=")</f>
        <v>#REF!</v>
      </c>
      <c r="FF235" t="e">
        <f>AND('Reporting '!#REF!,"AAAAAH//z6E=")</f>
        <v>#REF!</v>
      </c>
      <c r="FG235" t="e">
        <f>AND('Reporting '!#REF!,"AAAAAH//z6I=")</f>
        <v>#REF!</v>
      </c>
      <c r="FH235" t="e">
        <f>AND('Reporting '!#REF!,"AAAAAH//z6M=")</f>
        <v>#REF!</v>
      </c>
      <c r="FI235" t="e">
        <f>AND('Reporting '!#REF!,"AAAAAH//z6Q=")</f>
        <v>#REF!</v>
      </c>
      <c r="FJ235" t="e">
        <f>AND('Reporting '!#REF!,"AAAAAH//z6U=")</f>
        <v>#REF!</v>
      </c>
      <c r="FK235" t="e">
        <f>AND('Reporting '!#REF!,"AAAAAH//z6Y=")</f>
        <v>#REF!</v>
      </c>
      <c r="FL235" t="e">
        <f>IF('Reporting '!#REF!,"AAAAAH//z6c=",0)</f>
        <v>#REF!</v>
      </c>
      <c r="FM235" t="e">
        <f>AND('Reporting '!#REF!,"AAAAAH//z6g=")</f>
        <v>#REF!</v>
      </c>
      <c r="FN235" t="e">
        <f>AND('Reporting '!#REF!,"AAAAAH//z6k=")</f>
        <v>#REF!</v>
      </c>
      <c r="FO235" t="e">
        <f>AND('Reporting '!#REF!,"AAAAAH//z6o=")</f>
        <v>#REF!</v>
      </c>
      <c r="FP235" t="e">
        <f>AND('Reporting '!#REF!,"AAAAAH//z6s=")</f>
        <v>#REF!</v>
      </c>
      <c r="FQ235" t="e">
        <f>AND('Reporting '!#REF!,"AAAAAH//z6w=")</f>
        <v>#REF!</v>
      </c>
      <c r="FR235" t="e">
        <f>AND('Reporting '!#REF!,"AAAAAH//z60=")</f>
        <v>#REF!</v>
      </c>
      <c r="FS235" t="e">
        <f>AND('Reporting '!#REF!,"AAAAAH//z64=")</f>
        <v>#REF!</v>
      </c>
      <c r="FT235" t="e">
        <f>AND('Reporting '!#REF!,"AAAAAH//z68=")</f>
        <v>#REF!</v>
      </c>
      <c r="FU235" t="e">
        <f>AND('Reporting '!#REF!,"AAAAAH//z7A=")</f>
        <v>#REF!</v>
      </c>
      <c r="FV235" t="e">
        <f>AND('Reporting '!#REF!,"AAAAAH//z7E=")</f>
        <v>#REF!</v>
      </c>
      <c r="FW235" t="e">
        <f>AND('Reporting '!#REF!,"AAAAAH//z7I=")</f>
        <v>#REF!</v>
      </c>
      <c r="FX235" t="e">
        <f>AND('Reporting '!#REF!,"AAAAAH//z7M=")</f>
        <v>#REF!</v>
      </c>
      <c r="FY235" t="e">
        <f>AND('Reporting '!#REF!,"AAAAAH//z7Q=")</f>
        <v>#REF!</v>
      </c>
      <c r="FZ235" t="e">
        <f>AND('Reporting '!#REF!,"AAAAAH//z7U=")</f>
        <v>#REF!</v>
      </c>
      <c r="GA235" t="e">
        <f>IF('Reporting '!#REF!,"AAAAAH//z7Y=",0)</f>
        <v>#REF!</v>
      </c>
      <c r="GB235" t="e">
        <f>AND('Reporting '!#REF!,"AAAAAH//z7c=")</f>
        <v>#REF!</v>
      </c>
      <c r="GC235" t="e">
        <f>AND('Reporting '!#REF!,"AAAAAH//z7g=")</f>
        <v>#REF!</v>
      </c>
      <c r="GD235" t="e">
        <f>AND('Reporting '!#REF!,"AAAAAH//z7k=")</f>
        <v>#REF!</v>
      </c>
      <c r="GE235" t="e">
        <f>AND('Reporting '!#REF!,"AAAAAH//z7o=")</f>
        <v>#REF!</v>
      </c>
      <c r="GF235" t="e">
        <f>AND('Reporting '!#REF!,"AAAAAH//z7s=")</f>
        <v>#REF!</v>
      </c>
      <c r="GG235" t="e">
        <f>AND('Reporting '!#REF!,"AAAAAH//z7w=")</f>
        <v>#REF!</v>
      </c>
      <c r="GH235" t="e">
        <f>AND('Reporting '!#REF!,"AAAAAH//z70=")</f>
        <v>#REF!</v>
      </c>
      <c r="GI235" t="e">
        <f>AND('Reporting '!#REF!,"AAAAAH//z74=")</f>
        <v>#REF!</v>
      </c>
      <c r="GJ235" t="e">
        <f>AND('Reporting '!#REF!,"AAAAAH//z78=")</f>
        <v>#REF!</v>
      </c>
      <c r="GK235" t="e">
        <f>AND('Reporting '!#REF!,"AAAAAH//z8A=")</f>
        <v>#REF!</v>
      </c>
      <c r="GL235" t="e">
        <f>AND('Reporting '!#REF!,"AAAAAH//z8E=")</f>
        <v>#REF!</v>
      </c>
      <c r="GM235" t="e">
        <f>AND('Reporting '!#REF!,"AAAAAH//z8I=")</f>
        <v>#REF!</v>
      </c>
      <c r="GN235" t="e">
        <f>AND('Reporting '!#REF!,"AAAAAH//z8M=")</f>
        <v>#REF!</v>
      </c>
      <c r="GO235" t="e">
        <f>AND('Reporting '!#REF!,"AAAAAH//z8Q=")</f>
        <v>#REF!</v>
      </c>
      <c r="GP235" t="e">
        <f>IF('Reporting '!#REF!,"AAAAAH//z8U=",0)</f>
        <v>#REF!</v>
      </c>
      <c r="GQ235" t="e">
        <f>AND('Reporting '!#REF!,"AAAAAH//z8Y=")</f>
        <v>#REF!</v>
      </c>
      <c r="GR235" t="e">
        <f>AND('Reporting '!#REF!,"AAAAAH//z8c=")</f>
        <v>#REF!</v>
      </c>
      <c r="GS235" t="e">
        <f>AND('Reporting '!#REF!,"AAAAAH//z8g=")</f>
        <v>#REF!</v>
      </c>
      <c r="GT235" t="e">
        <f>AND('Reporting '!#REF!,"AAAAAH//z8k=")</f>
        <v>#REF!</v>
      </c>
      <c r="GU235" t="e">
        <f>AND('Reporting '!#REF!,"AAAAAH//z8o=")</f>
        <v>#REF!</v>
      </c>
      <c r="GV235" t="e">
        <f>AND('Reporting '!#REF!,"AAAAAH//z8s=")</f>
        <v>#REF!</v>
      </c>
      <c r="GW235" t="e">
        <f>AND('Reporting '!#REF!,"AAAAAH//z8w=")</f>
        <v>#REF!</v>
      </c>
      <c r="GX235" t="e">
        <f>AND('Reporting '!#REF!,"AAAAAH//z80=")</f>
        <v>#REF!</v>
      </c>
      <c r="GY235" t="e">
        <f>AND('Reporting '!#REF!,"AAAAAH//z84=")</f>
        <v>#REF!</v>
      </c>
      <c r="GZ235" t="e">
        <f>AND('Reporting '!#REF!,"AAAAAH//z88=")</f>
        <v>#REF!</v>
      </c>
      <c r="HA235" t="e">
        <f>AND('Reporting '!#REF!,"AAAAAH//z9A=")</f>
        <v>#REF!</v>
      </c>
      <c r="HB235" t="e">
        <f>AND('Reporting '!#REF!,"AAAAAH//z9E=")</f>
        <v>#REF!</v>
      </c>
      <c r="HC235" t="e">
        <f>AND('Reporting '!#REF!,"AAAAAH//z9I=")</f>
        <v>#REF!</v>
      </c>
      <c r="HD235" t="e">
        <f>AND('Reporting '!#REF!,"AAAAAH//z9M=")</f>
        <v>#REF!</v>
      </c>
      <c r="HE235" t="e">
        <f>IF('Reporting '!#REF!,"AAAAAH//z9Q=",0)</f>
        <v>#REF!</v>
      </c>
      <c r="HF235" t="e">
        <f>AND('Reporting '!#REF!,"AAAAAH//z9U=")</f>
        <v>#REF!</v>
      </c>
      <c r="HG235" t="e">
        <f>AND('Reporting '!#REF!,"AAAAAH//z9Y=")</f>
        <v>#REF!</v>
      </c>
      <c r="HH235" t="e">
        <f>AND('Reporting '!#REF!,"AAAAAH//z9c=")</f>
        <v>#REF!</v>
      </c>
      <c r="HI235" t="e">
        <f>AND('Reporting '!#REF!,"AAAAAH//z9g=")</f>
        <v>#REF!</v>
      </c>
      <c r="HJ235" t="e">
        <f>AND('Reporting '!#REF!,"AAAAAH//z9k=")</f>
        <v>#REF!</v>
      </c>
      <c r="HK235" t="e">
        <f>AND('Reporting '!#REF!,"AAAAAH//z9o=")</f>
        <v>#REF!</v>
      </c>
      <c r="HL235" t="e">
        <f>AND('Reporting '!#REF!,"AAAAAH//z9s=")</f>
        <v>#REF!</v>
      </c>
      <c r="HM235" t="e">
        <f>AND('Reporting '!#REF!,"AAAAAH//z9w=")</f>
        <v>#REF!</v>
      </c>
      <c r="HN235" t="e">
        <f>AND('Reporting '!#REF!,"AAAAAH//z90=")</f>
        <v>#REF!</v>
      </c>
      <c r="HO235" t="e">
        <f>AND('Reporting '!#REF!,"AAAAAH//z94=")</f>
        <v>#REF!</v>
      </c>
      <c r="HP235" t="e">
        <f>AND('Reporting '!#REF!,"AAAAAH//z98=")</f>
        <v>#REF!</v>
      </c>
      <c r="HQ235" t="e">
        <f>AND('Reporting '!#REF!,"AAAAAH//z+A=")</f>
        <v>#REF!</v>
      </c>
      <c r="HR235" t="e">
        <f>AND('Reporting '!#REF!,"AAAAAH//z+E=")</f>
        <v>#REF!</v>
      </c>
      <c r="HS235" t="e">
        <f>AND('Reporting '!#REF!,"AAAAAH//z+I=")</f>
        <v>#REF!</v>
      </c>
      <c r="HT235" t="e">
        <f>IF('Reporting '!#REF!,"AAAAAH//z+M=",0)</f>
        <v>#REF!</v>
      </c>
      <c r="HU235" t="e">
        <f>AND('Reporting '!#REF!,"AAAAAH//z+Q=")</f>
        <v>#REF!</v>
      </c>
      <c r="HV235" t="e">
        <f>AND('Reporting '!#REF!,"AAAAAH//z+U=")</f>
        <v>#REF!</v>
      </c>
      <c r="HW235" t="e">
        <f>AND('Reporting '!#REF!,"AAAAAH//z+Y=")</f>
        <v>#REF!</v>
      </c>
      <c r="HX235" t="e">
        <f>AND('Reporting '!#REF!,"AAAAAH//z+c=")</f>
        <v>#REF!</v>
      </c>
      <c r="HY235" t="e">
        <f>AND('Reporting '!#REF!,"AAAAAH//z+g=")</f>
        <v>#REF!</v>
      </c>
      <c r="HZ235" t="e">
        <f>AND('Reporting '!#REF!,"AAAAAH//z+k=")</f>
        <v>#REF!</v>
      </c>
      <c r="IA235" t="e">
        <f>AND('Reporting '!#REF!,"AAAAAH//z+o=")</f>
        <v>#REF!</v>
      </c>
      <c r="IB235" t="e">
        <f>AND('Reporting '!#REF!,"AAAAAH//z+s=")</f>
        <v>#REF!</v>
      </c>
      <c r="IC235" t="e">
        <f>AND('Reporting '!#REF!,"AAAAAH//z+w=")</f>
        <v>#REF!</v>
      </c>
      <c r="ID235" t="e">
        <f>AND('Reporting '!#REF!,"AAAAAH//z+0=")</f>
        <v>#REF!</v>
      </c>
      <c r="IE235" t="e">
        <f>AND('Reporting '!#REF!,"AAAAAH//z+4=")</f>
        <v>#REF!</v>
      </c>
      <c r="IF235" t="e">
        <f>AND('Reporting '!#REF!,"AAAAAH//z+8=")</f>
        <v>#REF!</v>
      </c>
      <c r="IG235" t="e">
        <f>AND('Reporting '!#REF!,"AAAAAH//z/A=")</f>
        <v>#REF!</v>
      </c>
      <c r="IH235" t="e">
        <f>AND('Reporting '!#REF!,"AAAAAH//z/E=")</f>
        <v>#REF!</v>
      </c>
      <c r="II235" t="e">
        <f>IF('Reporting '!#REF!,"AAAAAH//z/I=",0)</f>
        <v>#REF!</v>
      </c>
      <c r="IJ235" t="e">
        <f>AND('Reporting '!#REF!,"AAAAAH//z/M=")</f>
        <v>#REF!</v>
      </c>
      <c r="IK235" t="e">
        <f>AND('Reporting '!#REF!,"AAAAAH//z/Q=")</f>
        <v>#REF!</v>
      </c>
      <c r="IL235" t="e">
        <f>AND('Reporting '!#REF!,"AAAAAH//z/U=")</f>
        <v>#REF!</v>
      </c>
      <c r="IM235" t="e">
        <f>AND('Reporting '!#REF!,"AAAAAH//z/Y=")</f>
        <v>#REF!</v>
      </c>
      <c r="IN235" t="e">
        <f>AND('Reporting '!#REF!,"AAAAAH//z/c=")</f>
        <v>#REF!</v>
      </c>
      <c r="IO235" t="e">
        <f>AND('Reporting '!#REF!,"AAAAAH//z/g=")</f>
        <v>#REF!</v>
      </c>
      <c r="IP235" t="e">
        <f>AND('Reporting '!#REF!,"AAAAAH//z/k=")</f>
        <v>#REF!</v>
      </c>
      <c r="IQ235" t="e">
        <f>AND('Reporting '!#REF!,"AAAAAH//z/o=")</f>
        <v>#REF!</v>
      </c>
      <c r="IR235" t="e">
        <f>AND('Reporting '!#REF!,"AAAAAH//z/s=")</f>
        <v>#REF!</v>
      </c>
      <c r="IS235" t="e">
        <f>AND('Reporting '!#REF!,"AAAAAH//z/w=")</f>
        <v>#REF!</v>
      </c>
      <c r="IT235" t="e">
        <f>AND('Reporting '!#REF!,"AAAAAH//z/0=")</f>
        <v>#REF!</v>
      </c>
      <c r="IU235" t="e">
        <f>AND('Reporting '!#REF!,"AAAAAH//z/4=")</f>
        <v>#REF!</v>
      </c>
      <c r="IV235" t="e">
        <f>AND('Reporting '!#REF!,"AAAAAH//z/8=")</f>
        <v>#REF!</v>
      </c>
    </row>
    <row r="236" spans="1:256" x14ac:dyDescent="0.2">
      <c r="A236" t="e">
        <f>AND('Reporting '!#REF!,"AAAAAH69uwA=")</f>
        <v>#REF!</v>
      </c>
      <c r="B236" t="e">
        <f>IF('Reporting '!#REF!,"AAAAAH69uwE=",0)</f>
        <v>#REF!</v>
      </c>
      <c r="C236" t="e">
        <f>AND('Reporting '!#REF!,"AAAAAH69uwI=")</f>
        <v>#REF!</v>
      </c>
      <c r="D236" t="e">
        <f>AND('Reporting '!#REF!,"AAAAAH69uwM=")</f>
        <v>#REF!</v>
      </c>
      <c r="E236" t="e">
        <f>AND('Reporting '!#REF!,"AAAAAH69uwQ=")</f>
        <v>#REF!</v>
      </c>
      <c r="F236" t="e">
        <f>AND('Reporting '!#REF!,"AAAAAH69uwU=")</f>
        <v>#REF!</v>
      </c>
      <c r="G236" t="e">
        <f>AND('Reporting '!#REF!,"AAAAAH69uwY=")</f>
        <v>#REF!</v>
      </c>
      <c r="H236" t="e">
        <f>AND('Reporting '!#REF!,"AAAAAH69uwc=")</f>
        <v>#REF!</v>
      </c>
      <c r="I236" t="e">
        <f>AND('Reporting '!#REF!,"AAAAAH69uwg=")</f>
        <v>#REF!</v>
      </c>
      <c r="J236" t="e">
        <f>AND('Reporting '!#REF!,"AAAAAH69uwk=")</f>
        <v>#REF!</v>
      </c>
      <c r="K236" t="e">
        <f>AND('Reporting '!#REF!,"AAAAAH69uwo=")</f>
        <v>#REF!</v>
      </c>
      <c r="L236" t="e">
        <f>AND('Reporting '!#REF!,"AAAAAH69uws=")</f>
        <v>#REF!</v>
      </c>
      <c r="M236" t="e">
        <f>AND('Reporting '!#REF!,"AAAAAH69uww=")</f>
        <v>#REF!</v>
      </c>
      <c r="N236" t="e">
        <f>AND('Reporting '!#REF!,"AAAAAH69uw0=")</f>
        <v>#REF!</v>
      </c>
      <c r="O236" t="e">
        <f>AND('Reporting '!#REF!,"AAAAAH69uw4=")</f>
        <v>#REF!</v>
      </c>
      <c r="P236" t="e">
        <f>AND('Reporting '!#REF!,"AAAAAH69uw8=")</f>
        <v>#REF!</v>
      </c>
      <c r="Q236" t="e">
        <f>IF('Reporting '!#REF!,"AAAAAH69uxA=",0)</f>
        <v>#REF!</v>
      </c>
      <c r="R236" t="e">
        <f>AND('Reporting '!#REF!,"AAAAAH69uxE=")</f>
        <v>#REF!</v>
      </c>
      <c r="S236" t="e">
        <f>AND('Reporting '!#REF!,"AAAAAH69uxI=")</f>
        <v>#REF!</v>
      </c>
      <c r="T236" t="e">
        <f>AND('Reporting '!#REF!,"AAAAAH69uxM=")</f>
        <v>#REF!</v>
      </c>
      <c r="U236" t="e">
        <f>AND('Reporting '!#REF!,"AAAAAH69uxQ=")</f>
        <v>#REF!</v>
      </c>
      <c r="V236" t="e">
        <f>AND('Reporting '!#REF!,"AAAAAH69uxU=")</f>
        <v>#REF!</v>
      </c>
      <c r="W236" t="e">
        <f>AND('Reporting '!#REF!,"AAAAAH69uxY=")</f>
        <v>#REF!</v>
      </c>
      <c r="X236" t="e">
        <f>AND('Reporting '!#REF!,"AAAAAH69uxc=")</f>
        <v>#REF!</v>
      </c>
      <c r="Y236" t="e">
        <f>AND('Reporting '!#REF!,"AAAAAH69uxg=")</f>
        <v>#REF!</v>
      </c>
      <c r="Z236" t="e">
        <f>AND('Reporting '!#REF!,"AAAAAH69uxk=")</f>
        <v>#REF!</v>
      </c>
      <c r="AA236" t="e">
        <f>AND('Reporting '!#REF!,"AAAAAH69uxo=")</f>
        <v>#REF!</v>
      </c>
      <c r="AB236" t="e">
        <f>AND('Reporting '!#REF!,"AAAAAH69uxs=")</f>
        <v>#REF!</v>
      </c>
      <c r="AC236" t="e">
        <f>AND('Reporting '!#REF!,"AAAAAH69uxw=")</f>
        <v>#REF!</v>
      </c>
      <c r="AD236" t="e">
        <f>AND('Reporting '!#REF!,"AAAAAH69ux0=")</f>
        <v>#REF!</v>
      </c>
      <c r="AE236" t="e">
        <f>AND('Reporting '!#REF!,"AAAAAH69ux4=")</f>
        <v>#REF!</v>
      </c>
      <c r="AF236" t="e">
        <f>IF('Reporting '!#REF!,"AAAAAH69ux8=",0)</f>
        <v>#REF!</v>
      </c>
      <c r="AG236" t="e">
        <f>AND('Reporting '!#REF!,"AAAAAH69uyA=")</f>
        <v>#REF!</v>
      </c>
      <c r="AH236" t="e">
        <f>AND('Reporting '!#REF!,"AAAAAH69uyE=")</f>
        <v>#REF!</v>
      </c>
      <c r="AI236" t="e">
        <f>AND('Reporting '!#REF!,"AAAAAH69uyI=")</f>
        <v>#REF!</v>
      </c>
      <c r="AJ236" t="e">
        <f>AND('Reporting '!#REF!,"AAAAAH69uyM=")</f>
        <v>#REF!</v>
      </c>
      <c r="AK236" t="e">
        <f>AND('Reporting '!#REF!,"AAAAAH69uyQ=")</f>
        <v>#REF!</v>
      </c>
      <c r="AL236" t="e">
        <f>AND('Reporting '!#REF!,"AAAAAH69uyU=")</f>
        <v>#REF!</v>
      </c>
      <c r="AM236" t="e">
        <f>AND('Reporting '!#REF!,"AAAAAH69uyY=")</f>
        <v>#REF!</v>
      </c>
      <c r="AN236" t="e">
        <f>AND('Reporting '!#REF!,"AAAAAH69uyc=")</f>
        <v>#REF!</v>
      </c>
      <c r="AO236" t="e">
        <f>AND('Reporting '!#REF!,"AAAAAH69uyg=")</f>
        <v>#REF!</v>
      </c>
      <c r="AP236" t="e">
        <f>AND('Reporting '!#REF!,"AAAAAH69uyk=")</f>
        <v>#REF!</v>
      </c>
      <c r="AQ236" t="e">
        <f>AND('Reporting '!#REF!,"AAAAAH69uyo=")</f>
        <v>#REF!</v>
      </c>
      <c r="AR236" t="e">
        <f>AND('Reporting '!#REF!,"AAAAAH69uys=")</f>
        <v>#REF!</v>
      </c>
      <c r="AS236" t="e">
        <f>AND('Reporting '!#REF!,"AAAAAH69uyw=")</f>
        <v>#REF!</v>
      </c>
      <c r="AT236" t="e">
        <f>AND('Reporting '!#REF!,"AAAAAH69uy0=")</f>
        <v>#REF!</v>
      </c>
      <c r="AU236" t="e">
        <f>IF('Reporting '!#REF!,"AAAAAH69uy4=",0)</f>
        <v>#REF!</v>
      </c>
      <c r="AV236" t="e">
        <f>AND('Reporting '!#REF!,"AAAAAH69uy8=")</f>
        <v>#REF!</v>
      </c>
      <c r="AW236" t="e">
        <f>AND('Reporting '!#REF!,"AAAAAH69uzA=")</f>
        <v>#REF!</v>
      </c>
      <c r="AX236" t="e">
        <f>AND('Reporting '!#REF!,"AAAAAH69uzE=")</f>
        <v>#REF!</v>
      </c>
      <c r="AY236" t="e">
        <f>AND('Reporting '!#REF!,"AAAAAH69uzI=")</f>
        <v>#REF!</v>
      </c>
      <c r="AZ236" t="e">
        <f>AND('Reporting '!#REF!,"AAAAAH69uzM=")</f>
        <v>#REF!</v>
      </c>
      <c r="BA236" t="e">
        <f>AND('Reporting '!#REF!,"AAAAAH69uzQ=")</f>
        <v>#REF!</v>
      </c>
      <c r="BB236" t="e">
        <f>AND('Reporting '!#REF!,"AAAAAH69uzU=")</f>
        <v>#REF!</v>
      </c>
      <c r="BC236" t="e">
        <f>AND('Reporting '!#REF!,"AAAAAH69uzY=")</f>
        <v>#REF!</v>
      </c>
      <c r="BD236" t="e">
        <f>AND('Reporting '!#REF!,"AAAAAH69uzc=")</f>
        <v>#REF!</v>
      </c>
      <c r="BE236" t="e">
        <f>AND('Reporting '!#REF!,"AAAAAH69uzg=")</f>
        <v>#REF!</v>
      </c>
      <c r="BF236" t="e">
        <f>AND('Reporting '!#REF!,"AAAAAH69uzk=")</f>
        <v>#REF!</v>
      </c>
      <c r="BG236" t="e">
        <f>AND('Reporting '!#REF!,"AAAAAH69uzo=")</f>
        <v>#REF!</v>
      </c>
      <c r="BH236" t="e">
        <f>AND('Reporting '!#REF!,"AAAAAH69uzs=")</f>
        <v>#REF!</v>
      </c>
      <c r="BI236" t="e">
        <f>AND('Reporting '!#REF!,"AAAAAH69uzw=")</f>
        <v>#REF!</v>
      </c>
      <c r="BJ236" t="e">
        <f>IF('Reporting '!#REF!,"AAAAAH69uz0=",0)</f>
        <v>#REF!</v>
      </c>
      <c r="BK236" t="e">
        <f>AND('Reporting '!#REF!,"AAAAAH69uz4=")</f>
        <v>#REF!</v>
      </c>
      <c r="BL236" t="e">
        <f>AND('Reporting '!#REF!,"AAAAAH69uz8=")</f>
        <v>#REF!</v>
      </c>
      <c r="BM236" t="e">
        <f>AND('Reporting '!#REF!,"AAAAAH69u0A=")</f>
        <v>#REF!</v>
      </c>
      <c r="BN236" t="e">
        <f>AND('Reporting '!#REF!,"AAAAAH69u0E=")</f>
        <v>#REF!</v>
      </c>
      <c r="BO236" t="e">
        <f>AND('Reporting '!#REF!,"AAAAAH69u0I=")</f>
        <v>#REF!</v>
      </c>
      <c r="BP236" t="e">
        <f>AND('Reporting '!#REF!,"AAAAAH69u0M=")</f>
        <v>#REF!</v>
      </c>
      <c r="BQ236" t="e">
        <f>AND('Reporting '!#REF!,"AAAAAH69u0Q=")</f>
        <v>#REF!</v>
      </c>
      <c r="BR236" t="e">
        <f>AND('Reporting '!#REF!,"AAAAAH69u0U=")</f>
        <v>#REF!</v>
      </c>
      <c r="BS236" t="e">
        <f>AND('Reporting '!#REF!,"AAAAAH69u0Y=")</f>
        <v>#REF!</v>
      </c>
      <c r="BT236" t="e">
        <f>AND('Reporting '!#REF!,"AAAAAH69u0c=")</f>
        <v>#REF!</v>
      </c>
      <c r="BU236" t="e">
        <f>AND('Reporting '!#REF!,"AAAAAH69u0g=")</f>
        <v>#REF!</v>
      </c>
      <c r="BV236" t="e">
        <f>AND('Reporting '!#REF!,"AAAAAH69u0k=")</f>
        <v>#REF!</v>
      </c>
      <c r="BW236" t="e">
        <f>AND('Reporting '!#REF!,"AAAAAH69u0o=")</f>
        <v>#REF!</v>
      </c>
      <c r="BX236" t="e">
        <f>AND('Reporting '!#REF!,"AAAAAH69u0s=")</f>
        <v>#REF!</v>
      </c>
      <c r="BY236" t="e">
        <f>IF('Reporting '!#REF!,"AAAAAH69u0w=",0)</f>
        <v>#REF!</v>
      </c>
      <c r="BZ236" t="e">
        <f>AND('Reporting '!#REF!,"AAAAAH69u00=")</f>
        <v>#REF!</v>
      </c>
      <c r="CA236" t="e">
        <f>AND('Reporting '!#REF!,"AAAAAH69u04=")</f>
        <v>#REF!</v>
      </c>
      <c r="CB236" t="e">
        <f>AND('Reporting '!#REF!,"AAAAAH69u08=")</f>
        <v>#REF!</v>
      </c>
      <c r="CC236" t="e">
        <f>AND('Reporting '!#REF!,"AAAAAH69u1A=")</f>
        <v>#REF!</v>
      </c>
      <c r="CD236" t="e">
        <f>AND('Reporting '!#REF!,"AAAAAH69u1E=")</f>
        <v>#REF!</v>
      </c>
      <c r="CE236" t="e">
        <f>AND('Reporting '!#REF!,"AAAAAH69u1I=")</f>
        <v>#REF!</v>
      </c>
      <c r="CF236" t="e">
        <f>AND('Reporting '!#REF!,"AAAAAH69u1M=")</f>
        <v>#REF!</v>
      </c>
      <c r="CG236" t="e">
        <f>AND('Reporting '!#REF!,"AAAAAH69u1Q=")</f>
        <v>#REF!</v>
      </c>
      <c r="CH236" t="e">
        <f>AND('Reporting '!#REF!,"AAAAAH69u1U=")</f>
        <v>#REF!</v>
      </c>
      <c r="CI236" t="e">
        <f>AND('Reporting '!#REF!,"AAAAAH69u1Y=")</f>
        <v>#REF!</v>
      </c>
      <c r="CJ236" t="e">
        <f>AND('Reporting '!#REF!,"AAAAAH69u1c=")</f>
        <v>#REF!</v>
      </c>
      <c r="CK236" t="e">
        <f>AND('Reporting '!#REF!,"AAAAAH69u1g=")</f>
        <v>#REF!</v>
      </c>
      <c r="CL236" t="e">
        <f>AND('Reporting '!#REF!,"AAAAAH69u1k=")</f>
        <v>#REF!</v>
      </c>
      <c r="CM236" t="e">
        <f>AND('Reporting '!#REF!,"AAAAAH69u1o=")</f>
        <v>#REF!</v>
      </c>
      <c r="CN236" t="e">
        <f>IF('Reporting '!#REF!,"AAAAAH69u1s=",0)</f>
        <v>#REF!</v>
      </c>
      <c r="CO236" t="e">
        <f>AND('Reporting '!#REF!,"AAAAAH69u1w=")</f>
        <v>#REF!</v>
      </c>
      <c r="CP236" t="e">
        <f>AND('Reporting '!#REF!,"AAAAAH69u10=")</f>
        <v>#REF!</v>
      </c>
      <c r="CQ236" t="e">
        <f>AND('Reporting '!#REF!,"AAAAAH69u14=")</f>
        <v>#REF!</v>
      </c>
      <c r="CR236" t="e">
        <f>AND('Reporting '!#REF!,"AAAAAH69u18=")</f>
        <v>#REF!</v>
      </c>
      <c r="CS236" t="e">
        <f>AND('Reporting '!#REF!,"AAAAAH69u2A=")</f>
        <v>#REF!</v>
      </c>
      <c r="CT236" t="e">
        <f>AND('Reporting '!#REF!,"AAAAAH69u2E=")</f>
        <v>#REF!</v>
      </c>
      <c r="CU236" t="e">
        <f>AND('Reporting '!#REF!,"AAAAAH69u2I=")</f>
        <v>#REF!</v>
      </c>
      <c r="CV236" t="e">
        <f>AND('Reporting '!#REF!,"AAAAAH69u2M=")</f>
        <v>#REF!</v>
      </c>
      <c r="CW236" t="e">
        <f>AND('Reporting '!#REF!,"AAAAAH69u2Q=")</f>
        <v>#REF!</v>
      </c>
      <c r="CX236" t="e">
        <f>AND('Reporting '!#REF!,"AAAAAH69u2U=")</f>
        <v>#REF!</v>
      </c>
      <c r="CY236" t="e">
        <f>AND('Reporting '!#REF!,"AAAAAH69u2Y=")</f>
        <v>#REF!</v>
      </c>
      <c r="CZ236" t="e">
        <f>AND('Reporting '!#REF!,"AAAAAH69u2c=")</f>
        <v>#REF!</v>
      </c>
      <c r="DA236" t="e">
        <f>AND('Reporting '!#REF!,"AAAAAH69u2g=")</f>
        <v>#REF!</v>
      </c>
      <c r="DB236" t="e">
        <f>AND('Reporting '!#REF!,"AAAAAH69u2k=")</f>
        <v>#REF!</v>
      </c>
      <c r="DC236" t="e">
        <f>IF('Reporting '!#REF!,"AAAAAH69u2o=",0)</f>
        <v>#REF!</v>
      </c>
      <c r="DD236" t="e">
        <f>AND('Reporting '!#REF!,"AAAAAH69u2s=")</f>
        <v>#REF!</v>
      </c>
      <c r="DE236" t="e">
        <f>AND('Reporting '!#REF!,"AAAAAH69u2w=")</f>
        <v>#REF!</v>
      </c>
      <c r="DF236" t="e">
        <f>AND('Reporting '!#REF!,"AAAAAH69u20=")</f>
        <v>#REF!</v>
      </c>
      <c r="DG236" t="e">
        <f>AND('Reporting '!#REF!,"AAAAAH69u24=")</f>
        <v>#REF!</v>
      </c>
      <c r="DH236" t="e">
        <f>AND('Reporting '!#REF!,"AAAAAH69u28=")</f>
        <v>#REF!</v>
      </c>
      <c r="DI236" t="e">
        <f>AND('Reporting '!#REF!,"AAAAAH69u3A=")</f>
        <v>#REF!</v>
      </c>
      <c r="DJ236" t="e">
        <f>AND('Reporting '!#REF!,"AAAAAH69u3E=")</f>
        <v>#REF!</v>
      </c>
      <c r="DK236" t="e">
        <f>AND('Reporting '!#REF!,"AAAAAH69u3I=")</f>
        <v>#REF!</v>
      </c>
      <c r="DL236" t="e">
        <f>AND('Reporting '!#REF!,"AAAAAH69u3M=")</f>
        <v>#REF!</v>
      </c>
      <c r="DM236" t="e">
        <f>AND('Reporting '!#REF!,"AAAAAH69u3Q=")</f>
        <v>#REF!</v>
      </c>
      <c r="DN236" t="e">
        <f>AND('Reporting '!#REF!,"AAAAAH69u3U=")</f>
        <v>#REF!</v>
      </c>
      <c r="DO236" t="e">
        <f>AND('Reporting '!#REF!,"AAAAAH69u3Y=")</f>
        <v>#REF!</v>
      </c>
      <c r="DP236" t="e">
        <f>AND('Reporting '!#REF!,"AAAAAH69u3c=")</f>
        <v>#REF!</v>
      </c>
      <c r="DQ236" t="e">
        <f>AND('Reporting '!#REF!,"AAAAAH69u3g=")</f>
        <v>#REF!</v>
      </c>
      <c r="DR236" t="e">
        <f>IF('Reporting '!#REF!,"AAAAAH69u3k=",0)</f>
        <v>#REF!</v>
      </c>
      <c r="DS236" t="e">
        <f>AND('Reporting '!#REF!,"AAAAAH69u3o=")</f>
        <v>#REF!</v>
      </c>
      <c r="DT236" t="e">
        <f>AND('Reporting '!#REF!,"AAAAAH69u3s=")</f>
        <v>#REF!</v>
      </c>
      <c r="DU236" t="e">
        <f>AND('Reporting '!#REF!,"AAAAAH69u3w=")</f>
        <v>#REF!</v>
      </c>
      <c r="DV236" t="e">
        <f>AND('Reporting '!#REF!,"AAAAAH69u30=")</f>
        <v>#REF!</v>
      </c>
      <c r="DW236" t="e">
        <f>AND('Reporting '!#REF!,"AAAAAH69u34=")</f>
        <v>#REF!</v>
      </c>
      <c r="DX236" t="e">
        <f>AND('Reporting '!#REF!,"AAAAAH69u38=")</f>
        <v>#REF!</v>
      </c>
      <c r="DY236" t="e">
        <f>AND('Reporting '!#REF!,"AAAAAH69u4A=")</f>
        <v>#REF!</v>
      </c>
      <c r="DZ236" t="e">
        <f>AND('Reporting '!#REF!,"AAAAAH69u4E=")</f>
        <v>#REF!</v>
      </c>
      <c r="EA236" t="e">
        <f>AND('Reporting '!#REF!,"AAAAAH69u4I=")</f>
        <v>#REF!</v>
      </c>
      <c r="EB236" t="e">
        <f>AND('Reporting '!#REF!,"AAAAAH69u4M=")</f>
        <v>#REF!</v>
      </c>
      <c r="EC236" t="e">
        <f>AND('Reporting '!#REF!,"AAAAAH69u4Q=")</f>
        <v>#REF!</v>
      </c>
      <c r="ED236" t="e">
        <f>AND('Reporting '!#REF!,"AAAAAH69u4U=")</f>
        <v>#REF!</v>
      </c>
      <c r="EE236" t="e">
        <f>AND('Reporting '!#REF!,"AAAAAH69u4Y=")</f>
        <v>#REF!</v>
      </c>
      <c r="EF236" t="e">
        <f>AND('Reporting '!#REF!,"AAAAAH69u4c=")</f>
        <v>#REF!</v>
      </c>
      <c r="EG236" t="e">
        <f>IF('Reporting '!#REF!,"AAAAAH69u4g=",0)</f>
        <v>#REF!</v>
      </c>
      <c r="EH236" t="e">
        <f>AND('Reporting '!#REF!,"AAAAAH69u4k=")</f>
        <v>#REF!</v>
      </c>
      <c r="EI236" t="e">
        <f>AND('Reporting '!#REF!,"AAAAAH69u4o=")</f>
        <v>#REF!</v>
      </c>
      <c r="EJ236" t="e">
        <f>AND('Reporting '!#REF!,"AAAAAH69u4s=")</f>
        <v>#REF!</v>
      </c>
      <c r="EK236" t="e">
        <f>AND('Reporting '!#REF!,"AAAAAH69u4w=")</f>
        <v>#REF!</v>
      </c>
      <c r="EL236" t="e">
        <f>AND('Reporting '!#REF!,"AAAAAH69u40=")</f>
        <v>#REF!</v>
      </c>
      <c r="EM236" t="e">
        <f>AND('Reporting '!#REF!,"AAAAAH69u44=")</f>
        <v>#REF!</v>
      </c>
      <c r="EN236" t="e">
        <f>AND('Reporting '!#REF!,"AAAAAH69u48=")</f>
        <v>#REF!</v>
      </c>
      <c r="EO236" t="e">
        <f>AND('Reporting '!#REF!,"AAAAAH69u5A=")</f>
        <v>#REF!</v>
      </c>
      <c r="EP236" t="e">
        <f>AND('Reporting '!#REF!,"AAAAAH69u5E=")</f>
        <v>#REF!</v>
      </c>
      <c r="EQ236" t="e">
        <f>AND('Reporting '!#REF!,"AAAAAH69u5I=")</f>
        <v>#REF!</v>
      </c>
      <c r="ER236" t="e">
        <f>AND('Reporting '!#REF!,"AAAAAH69u5M=")</f>
        <v>#REF!</v>
      </c>
      <c r="ES236" t="e">
        <f>AND('Reporting '!#REF!,"AAAAAH69u5Q=")</f>
        <v>#REF!</v>
      </c>
      <c r="ET236" t="e">
        <f>AND('Reporting '!#REF!,"AAAAAH69u5U=")</f>
        <v>#REF!</v>
      </c>
      <c r="EU236" t="e">
        <f>AND('Reporting '!#REF!,"AAAAAH69u5Y=")</f>
        <v>#REF!</v>
      </c>
      <c r="EV236" t="e">
        <f>IF('Reporting '!#REF!,"AAAAAH69u5c=",0)</f>
        <v>#REF!</v>
      </c>
      <c r="EW236" t="e">
        <f>AND('Reporting '!#REF!,"AAAAAH69u5g=")</f>
        <v>#REF!</v>
      </c>
      <c r="EX236" t="e">
        <f>AND('Reporting '!#REF!,"AAAAAH69u5k=")</f>
        <v>#REF!</v>
      </c>
      <c r="EY236" t="e">
        <f>AND('Reporting '!#REF!,"AAAAAH69u5o=")</f>
        <v>#REF!</v>
      </c>
      <c r="EZ236" t="e">
        <f>AND('Reporting '!#REF!,"AAAAAH69u5s=")</f>
        <v>#REF!</v>
      </c>
      <c r="FA236" t="e">
        <f>AND('Reporting '!#REF!,"AAAAAH69u5w=")</f>
        <v>#REF!</v>
      </c>
      <c r="FB236" t="e">
        <f>AND('Reporting '!#REF!,"AAAAAH69u50=")</f>
        <v>#REF!</v>
      </c>
      <c r="FC236" t="e">
        <f>AND('Reporting '!#REF!,"AAAAAH69u54=")</f>
        <v>#REF!</v>
      </c>
      <c r="FD236" t="e">
        <f>AND('Reporting '!#REF!,"AAAAAH69u58=")</f>
        <v>#REF!</v>
      </c>
      <c r="FE236" t="e">
        <f>AND('Reporting '!#REF!,"AAAAAH69u6A=")</f>
        <v>#REF!</v>
      </c>
      <c r="FF236" t="e">
        <f>AND('Reporting '!#REF!,"AAAAAH69u6E=")</f>
        <v>#REF!</v>
      </c>
      <c r="FG236" t="e">
        <f>AND('Reporting '!#REF!,"AAAAAH69u6I=")</f>
        <v>#REF!</v>
      </c>
      <c r="FH236" t="e">
        <f>AND('Reporting '!#REF!,"AAAAAH69u6M=")</f>
        <v>#REF!</v>
      </c>
      <c r="FI236" t="e">
        <f>AND('Reporting '!#REF!,"AAAAAH69u6Q=")</f>
        <v>#REF!</v>
      </c>
      <c r="FJ236" t="e">
        <f>AND('Reporting '!#REF!,"AAAAAH69u6U=")</f>
        <v>#REF!</v>
      </c>
      <c r="FK236" t="e">
        <f>IF('Reporting '!#REF!,"AAAAAH69u6Y=",0)</f>
        <v>#REF!</v>
      </c>
      <c r="FL236" t="e">
        <f>AND('Reporting '!#REF!,"AAAAAH69u6c=")</f>
        <v>#REF!</v>
      </c>
      <c r="FM236" t="e">
        <f>AND('Reporting '!#REF!,"AAAAAH69u6g=")</f>
        <v>#REF!</v>
      </c>
      <c r="FN236" t="e">
        <f>AND('Reporting '!#REF!,"AAAAAH69u6k=")</f>
        <v>#REF!</v>
      </c>
      <c r="FO236" t="e">
        <f>AND('Reporting '!#REF!,"AAAAAH69u6o=")</f>
        <v>#REF!</v>
      </c>
      <c r="FP236" t="e">
        <f>AND('Reporting '!#REF!,"AAAAAH69u6s=")</f>
        <v>#REF!</v>
      </c>
      <c r="FQ236" t="e">
        <f>AND('Reporting '!#REF!,"AAAAAH69u6w=")</f>
        <v>#REF!</v>
      </c>
      <c r="FR236" t="e">
        <f>AND('Reporting '!#REF!,"AAAAAH69u60=")</f>
        <v>#REF!</v>
      </c>
      <c r="FS236" t="e">
        <f>AND('Reporting '!#REF!,"AAAAAH69u64=")</f>
        <v>#REF!</v>
      </c>
      <c r="FT236" t="e">
        <f>AND('Reporting '!#REF!,"AAAAAH69u68=")</f>
        <v>#REF!</v>
      </c>
      <c r="FU236" t="e">
        <f>AND('Reporting '!#REF!,"AAAAAH69u7A=")</f>
        <v>#REF!</v>
      </c>
      <c r="FV236" t="e">
        <f>AND('Reporting '!#REF!,"AAAAAH69u7E=")</f>
        <v>#REF!</v>
      </c>
      <c r="FW236" t="e">
        <f>AND('Reporting '!#REF!,"AAAAAH69u7I=")</f>
        <v>#REF!</v>
      </c>
      <c r="FX236" t="e">
        <f>AND('Reporting '!#REF!,"AAAAAH69u7M=")</f>
        <v>#REF!</v>
      </c>
      <c r="FY236" t="e">
        <f>AND('Reporting '!#REF!,"AAAAAH69u7Q=")</f>
        <v>#REF!</v>
      </c>
      <c r="FZ236" t="e">
        <f>IF('Reporting '!#REF!,"AAAAAH69u7U=",0)</f>
        <v>#REF!</v>
      </c>
      <c r="GA236" t="e">
        <f>AND('Reporting '!#REF!,"AAAAAH69u7Y=")</f>
        <v>#REF!</v>
      </c>
      <c r="GB236" t="e">
        <f>AND('Reporting '!#REF!,"AAAAAH69u7c=")</f>
        <v>#REF!</v>
      </c>
      <c r="GC236" t="e">
        <f>AND('Reporting '!#REF!,"AAAAAH69u7g=")</f>
        <v>#REF!</v>
      </c>
      <c r="GD236" t="e">
        <f>AND('Reporting '!#REF!,"AAAAAH69u7k=")</f>
        <v>#REF!</v>
      </c>
      <c r="GE236" t="e">
        <f>AND('Reporting '!#REF!,"AAAAAH69u7o=")</f>
        <v>#REF!</v>
      </c>
      <c r="GF236" t="e">
        <f>AND('Reporting '!#REF!,"AAAAAH69u7s=")</f>
        <v>#REF!</v>
      </c>
      <c r="GG236" t="e">
        <f>AND('Reporting '!#REF!,"AAAAAH69u7w=")</f>
        <v>#REF!</v>
      </c>
      <c r="GH236" t="e">
        <f>AND('Reporting '!#REF!,"AAAAAH69u70=")</f>
        <v>#REF!</v>
      </c>
      <c r="GI236" t="e">
        <f>AND('Reporting '!#REF!,"AAAAAH69u74=")</f>
        <v>#REF!</v>
      </c>
      <c r="GJ236" t="e">
        <f>AND('Reporting '!#REF!,"AAAAAH69u78=")</f>
        <v>#REF!</v>
      </c>
      <c r="GK236" t="e">
        <f>AND('Reporting '!#REF!,"AAAAAH69u8A=")</f>
        <v>#REF!</v>
      </c>
      <c r="GL236" t="e">
        <f>AND('Reporting '!#REF!,"AAAAAH69u8E=")</f>
        <v>#REF!</v>
      </c>
      <c r="GM236" t="e">
        <f>AND('Reporting '!#REF!,"AAAAAH69u8I=")</f>
        <v>#REF!</v>
      </c>
      <c r="GN236" t="e">
        <f>AND('Reporting '!#REF!,"AAAAAH69u8M=")</f>
        <v>#REF!</v>
      </c>
      <c r="GO236" t="e">
        <f>IF('Reporting '!#REF!,"AAAAAH69u8Q=",0)</f>
        <v>#REF!</v>
      </c>
      <c r="GP236" t="e">
        <f>AND('Reporting '!#REF!,"AAAAAH69u8U=")</f>
        <v>#REF!</v>
      </c>
      <c r="GQ236" t="e">
        <f>AND('Reporting '!#REF!,"AAAAAH69u8Y=")</f>
        <v>#REF!</v>
      </c>
      <c r="GR236" t="e">
        <f>AND('Reporting '!#REF!,"AAAAAH69u8c=")</f>
        <v>#REF!</v>
      </c>
      <c r="GS236" t="e">
        <f>AND('Reporting '!#REF!,"AAAAAH69u8g=")</f>
        <v>#REF!</v>
      </c>
      <c r="GT236" t="e">
        <f>AND('Reporting '!#REF!,"AAAAAH69u8k=")</f>
        <v>#REF!</v>
      </c>
      <c r="GU236" t="e">
        <f>AND('Reporting '!#REF!,"AAAAAH69u8o=")</f>
        <v>#REF!</v>
      </c>
      <c r="GV236" t="e">
        <f>AND('Reporting '!#REF!,"AAAAAH69u8s=")</f>
        <v>#REF!</v>
      </c>
      <c r="GW236" t="e">
        <f>AND('Reporting '!#REF!,"AAAAAH69u8w=")</f>
        <v>#REF!</v>
      </c>
      <c r="GX236" t="e">
        <f>AND('Reporting '!#REF!,"AAAAAH69u80=")</f>
        <v>#REF!</v>
      </c>
      <c r="GY236" t="e">
        <f>AND('Reporting '!#REF!,"AAAAAH69u84=")</f>
        <v>#REF!</v>
      </c>
      <c r="GZ236" t="e">
        <f>AND('Reporting '!#REF!,"AAAAAH69u88=")</f>
        <v>#REF!</v>
      </c>
      <c r="HA236" t="e">
        <f>AND('Reporting '!#REF!,"AAAAAH69u9A=")</f>
        <v>#REF!</v>
      </c>
      <c r="HB236" t="e">
        <f>AND('Reporting '!#REF!,"AAAAAH69u9E=")</f>
        <v>#REF!</v>
      </c>
      <c r="HC236" t="e">
        <f>AND('Reporting '!#REF!,"AAAAAH69u9I=")</f>
        <v>#REF!</v>
      </c>
      <c r="HD236" t="e">
        <f>IF('Reporting '!#REF!,"AAAAAH69u9M=",0)</f>
        <v>#REF!</v>
      </c>
      <c r="HE236" t="e">
        <f>AND('Reporting '!#REF!,"AAAAAH69u9Q=")</f>
        <v>#REF!</v>
      </c>
      <c r="HF236" t="e">
        <f>AND('Reporting '!#REF!,"AAAAAH69u9U=")</f>
        <v>#REF!</v>
      </c>
      <c r="HG236" t="e">
        <f>AND('Reporting '!#REF!,"AAAAAH69u9Y=")</f>
        <v>#REF!</v>
      </c>
      <c r="HH236" t="e">
        <f>AND('Reporting '!#REF!,"AAAAAH69u9c=")</f>
        <v>#REF!</v>
      </c>
      <c r="HI236" t="e">
        <f>AND('Reporting '!#REF!,"AAAAAH69u9g=")</f>
        <v>#REF!</v>
      </c>
      <c r="HJ236" t="e">
        <f>AND('Reporting '!#REF!,"AAAAAH69u9k=")</f>
        <v>#REF!</v>
      </c>
      <c r="HK236" t="e">
        <f>AND('Reporting '!#REF!,"AAAAAH69u9o=")</f>
        <v>#REF!</v>
      </c>
      <c r="HL236" t="e">
        <f>AND('Reporting '!#REF!,"AAAAAH69u9s=")</f>
        <v>#REF!</v>
      </c>
      <c r="HM236" t="e">
        <f>AND('Reporting '!#REF!,"AAAAAH69u9w=")</f>
        <v>#REF!</v>
      </c>
      <c r="HN236" t="e">
        <f>AND('Reporting '!#REF!,"AAAAAH69u90=")</f>
        <v>#REF!</v>
      </c>
      <c r="HO236" t="e">
        <f>AND('Reporting '!#REF!,"AAAAAH69u94=")</f>
        <v>#REF!</v>
      </c>
      <c r="HP236" t="e">
        <f>AND('Reporting '!#REF!,"AAAAAH69u98=")</f>
        <v>#REF!</v>
      </c>
      <c r="HQ236" t="e">
        <f>AND('Reporting '!#REF!,"AAAAAH69u+A=")</f>
        <v>#REF!</v>
      </c>
      <c r="HR236" t="e">
        <f>AND('Reporting '!#REF!,"AAAAAH69u+E=")</f>
        <v>#REF!</v>
      </c>
      <c r="HS236" t="e">
        <f>IF('Reporting '!#REF!,"AAAAAH69u+I=",0)</f>
        <v>#REF!</v>
      </c>
      <c r="HT236" t="e">
        <f>AND('Reporting '!#REF!,"AAAAAH69u+M=")</f>
        <v>#REF!</v>
      </c>
      <c r="HU236" t="e">
        <f>AND('Reporting '!#REF!,"AAAAAH69u+Q=")</f>
        <v>#REF!</v>
      </c>
      <c r="HV236" t="e">
        <f>AND('Reporting '!#REF!,"AAAAAH69u+U=")</f>
        <v>#REF!</v>
      </c>
      <c r="HW236" t="e">
        <f>AND('Reporting '!#REF!,"AAAAAH69u+Y=")</f>
        <v>#REF!</v>
      </c>
      <c r="HX236" t="e">
        <f>AND('Reporting '!#REF!,"AAAAAH69u+c=")</f>
        <v>#REF!</v>
      </c>
      <c r="HY236" t="e">
        <f>AND('Reporting '!#REF!,"AAAAAH69u+g=")</f>
        <v>#REF!</v>
      </c>
      <c r="HZ236" t="e">
        <f>AND('Reporting '!#REF!,"AAAAAH69u+k=")</f>
        <v>#REF!</v>
      </c>
      <c r="IA236" t="e">
        <f>AND('Reporting '!#REF!,"AAAAAH69u+o=")</f>
        <v>#REF!</v>
      </c>
      <c r="IB236" t="e">
        <f>AND('Reporting '!#REF!,"AAAAAH69u+s=")</f>
        <v>#REF!</v>
      </c>
      <c r="IC236" t="e">
        <f>AND('Reporting '!#REF!,"AAAAAH69u+w=")</f>
        <v>#REF!</v>
      </c>
      <c r="ID236" t="e">
        <f>AND('Reporting '!#REF!,"AAAAAH69u+0=")</f>
        <v>#REF!</v>
      </c>
      <c r="IE236" t="e">
        <f>AND('Reporting '!#REF!,"AAAAAH69u+4=")</f>
        <v>#REF!</v>
      </c>
      <c r="IF236" t="e">
        <f>AND('Reporting '!#REF!,"AAAAAH69u+8=")</f>
        <v>#REF!</v>
      </c>
      <c r="IG236" t="e">
        <f>AND('Reporting '!#REF!,"AAAAAH69u/A=")</f>
        <v>#REF!</v>
      </c>
      <c r="IH236" t="e">
        <f>IF('Reporting '!#REF!,"AAAAAH69u/E=",0)</f>
        <v>#REF!</v>
      </c>
      <c r="II236" t="e">
        <f>AND('Reporting '!#REF!,"AAAAAH69u/I=")</f>
        <v>#REF!</v>
      </c>
      <c r="IJ236" t="e">
        <f>AND('Reporting '!#REF!,"AAAAAH69u/M=")</f>
        <v>#REF!</v>
      </c>
      <c r="IK236" t="e">
        <f>AND('Reporting '!#REF!,"AAAAAH69u/Q=")</f>
        <v>#REF!</v>
      </c>
      <c r="IL236" t="e">
        <f>AND('Reporting '!#REF!,"AAAAAH69u/U=")</f>
        <v>#REF!</v>
      </c>
      <c r="IM236" t="e">
        <f>AND('Reporting '!#REF!,"AAAAAH69u/Y=")</f>
        <v>#REF!</v>
      </c>
      <c r="IN236" t="e">
        <f>AND('Reporting '!#REF!,"AAAAAH69u/c=")</f>
        <v>#REF!</v>
      </c>
      <c r="IO236" t="e">
        <f>AND('Reporting '!#REF!,"AAAAAH69u/g=")</f>
        <v>#REF!</v>
      </c>
      <c r="IP236" t="e">
        <f>AND('Reporting '!#REF!,"AAAAAH69u/k=")</f>
        <v>#REF!</v>
      </c>
      <c r="IQ236" t="e">
        <f>AND('Reporting '!#REF!,"AAAAAH69u/o=")</f>
        <v>#REF!</v>
      </c>
      <c r="IR236" t="e">
        <f>AND('Reporting '!#REF!,"AAAAAH69u/s=")</f>
        <v>#REF!</v>
      </c>
      <c r="IS236" t="e">
        <f>AND('Reporting '!#REF!,"AAAAAH69u/w=")</f>
        <v>#REF!</v>
      </c>
      <c r="IT236" t="e">
        <f>AND('Reporting '!#REF!,"AAAAAH69u/0=")</f>
        <v>#REF!</v>
      </c>
      <c r="IU236" t="e">
        <f>AND('Reporting '!#REF!,"AAAAAH69u/4=")</f>
        <v>#REF!</v>
      </c>
      <c r="IV236" t="e">
        <f>AND('Reporting '!#REF!,"AAAAAH69u/8=")</f>
        <v>#REF!</v>
      </c>
    </row>
    <row r="237" spans="1:256" x14ac:dyDescent="0.2">
      <c r="A237" t="e">
        <f>IF('Reporting '!#REF!,"AAAAAFQ3jwA=",0)</f>
        <v>#REF!</v>
      </c>
      <c r="B237" t="e">
        <f>AND('Reporting '!#REF!,"AAAAAFQ3jwE=")</f>
        <v>#REF!</v>
      </c>
      <c r="C237" t="e">
        <f>AND('Reporting '!#REF!,"AAAAAFQ3jwI=")</f>
        <v>#REF!</v>
      </c>
      <c r="D237" t="e">
        <f>AND('Reporting '!#REF!,"AAAAAFQ3jwM=")</f>
        <v>#REF!</v>
      </c>
      <c r="E237" t="e">
        <f>AND('Reporting '!#REF!,"AAAAAFQ3jwQ=")</f>
        <v>#REF!</v>
      </c>
      <c r="F237" t="e">
        <f>AND('Reporting '!#REF!,"AAAAAFQ3jwU=")</f>
        <v>#REF!</v>
      </c>
      <c r="G237" t="e">
        <f>AND('Reporting '!#REF!,"AAAAAFQ3jwY=")</f>
        <v>#REF!</v>
      </c>
      <c r="H237" t="e">
        <f>AND('Reporting '!#REF!,"AAAAAFQ3jwc=")</f>
        <v>#REF!</v>
      </c>
      <c r="I237" t="e">
        <f>AND('Reporting '!#REF!,"AAAAAFQ3jwg=")</f>
        <v>#REF!</v>
      </c>
      <c r="J237" t="e">
        <f>AND('Reporting '!#REF!,"AAAAAFQ3jwk=")</f>
        <v>#REF!</v>
      </c>
      <c r="K237" t="e">
        <f>AND('Reporting '!#REF!,"AAAAAFQ3jwo=")</f>
        <v>#REF!</v>
      </c>
      <c r="L237" t="e">
        <f>AND('Reporting '!#REF!,"AAAAAFQ3jws=")</f>
        <v>#REF!</v>
      </c>
      <c r="M237" t="e">
        <f>AND('Reporting '!#REF!,"AAAAAFQ3jww=")</f>
        <v>#REF!</v>
      </c>
      <c r="N237" t="e">
        <f>AND('Reporting '!#REF!,"AAAAAFQ3jw0=")</f>
        <v>#REF!</v>
      </c>
      <c r="O237" t="e">
        <f>AND('Reporting '!#REF!,"AAAAAFQ3jw4=")</f>
        <v>#REF!</v>
      </c>
      <c r="P237" t="e">
        <f>IF('Reporting '!#REF!,"AAAAAFQ3jw8=",0)</f>
        <v>#REF!</v>
      </c>
      <c r="Q237" t="e">
        <f>AND('Reporting '!#REF!,"AAAAAFQ3jxA=")</f>
        <v>#REF!</v>
      </c>
      <c r="R237" t="e">
        <f>AND('Reporting '!#REF!,"AAAAAFQ3jxE=")</f>
        <v>#REF!</v>
      </c>
      <c r="S237" t="e">
        <f>AND('Reporting '!#REF!,"AAAAAFQ3jxI=")</f>
        <v>#REF!</v>
      </c>
      <c r="T237" t="e">
        <f>AND('Reporting '!#REF!,"AAAAAFQ3jxM=")</f>
        <v>#REF!</v>
      </c>
      <c r="U237" t="e">
        <f>AND('Reporting '!#REF!,"AAAAAFQ3jxQ=")</f>
        <v>#REF!</v>
      </c>
      <c r="V237" t="e">
        <f>AND('Reporting '!#REF!,"AAAAAFQ3jxU=")</f>
        <v>#REF!</v>
      </c>
      <c r="W237" t="e">
        <f>AND('Reporting '!#REF!,"AAAAAFQ3jxY=")</f>
        <v>#REF!</v>
      </c>
      <c r="X237" t="e">
        <f>AND('Reporting '!#REF!,"AAAAAFQ3jxc=")</f>
        <v>#REF!</v>
      </c>
      <c r="Y237" t="e">
        <f>AND('Reporting '!#REF!,"AAAAAFQ3jxg=")</f>
        <v>#REF!</v>
      </c>
      <c r="Z237" t="e">
        <f>AND('Reporting '!#REF!,"AAAAAFQ3jxk=")</f>
        <v>#REF!</v>
      </c>
      <c r="AA237" t="e">
        <f>AND('Reporting '!#REF!,"AAAAAFQ3jxo=")</f>
        <v>#REF!</v>
      </c>
      <c r="AB237" t="e">
        <f>AND('Reporting '!#REF!,"AAAAAFQ3jxs=")</f>
        <v>#REF!</v>
      </c>
      <c r="AC237" t="e">
        <f>AND('Reporting '!#REF!,"AAAAAFQ3jxw=")</f>
        <v>#REF!</v>
      </c>
      <c r="AD237" t="e">
        <f>AND('Reporting '!#REF!,"AAAAAFQ3jx0=")</f>
        <v>#REF!</v>
      </c>
      <c r="AE237" t="e">
        <f>IF('Reporting '!#REF!,"AAAAAFQ3jx4=",0)</f>
        <v>#REF!</v>
      </c>
      <c r="AF237" t="e">
        <f>AND('Reporting '!#REF!,"AAAAAFQ3jx8=")</f>
        <v>#REF!</v>
      </c>
      <c r="AG237" t="e">
        <f>AND('Reporting '!#REF!,"AAAAAFQ3jyA=")</f>
        <v>#REF!</v>
      </c>
      <c r="AH237" t="e">
        <f>AND('Reporting '!#REF!,"AAAAAFQ3jyE=")</f>
        <v>#REF!</v>
      </c>
      <c r="AI237" t="e">
        <f>AND('Reporting '!#REF!,"AAAAAFQ3jyI=")</f>
        <v>#REF!</v>
      </c>
      <c r="AJ237" t="e">
        <f>AND('Reporting '!#REF!,"AAAAAFQ3jyM=")</f>
        <v>#REF!</v>
      </c>
      <c r="AK237" t="e">
        <f>AND('Reporting '!#REF!,"AAAAAFQ3jyQ=")</f>
        <v>#REF!</v>
      </c>
      <c r="AL237" t="e">
        <f>AND('Reporting '!#REF!,"AAAAAFQ3jyU=")</f>
        <v>#REF!</v>
      </c>
      <c r="AM237" t="e">
        <f>AND('Reporting '!#REF!,"AAAAAFQ3jyY=")</f>
        <v>#REF!</v>
      </c>
      <c r="AN237" t="e">
        <f>AND('Reporting '!#REF!,"AAAAAFQ3jyc=")</f>
        <v>#REF!</v>
      </c>
      <c r="AO237" t="e">
        <f>AND('Reporting '!#REF!,"AAAAAFQ3jyg=")</f>
        <v>#REF!</v>
      </c>
      <c r="AP237" t="e">
        <f>AND('Reporting '!#REF!,"AAAAAFQ3jyk=")</f>
        <v>#REF!</v>
      </c>
      <c r="AQ237" t="e">
        <f>AND('Reporting '!#REF!,"AAAAAFQ3jyo=")</f>
        <v>#REF!</v>
      </c>
      <c r="AR237" t="e">
        <f>AND('Reporting '!#REF!,"AAAAAFQ3jys=")</f>
        <v>#REF!</v>
      </c>
      <c r="AS237" t="e">
        <f>AND('Reporting '!#REF!,"AAAAAFQ3jyw=")</f>
        <v>#REF!</v>
      </c>
      <c r="AT237" t="e">
        <f>IF('Reporting '!#REF!,"AAAAAFQ3jy0=",0)</f>
        <v>#REF!</v>
      </c>
      <c r="AU237" t="e">
        <f>AND('Reporting '!#REF!,"AAAAAFQ3jy4=")</f>
        <v>#REF!</v>
      </c>
      <c r="AV237" t="e">
        <f>AND('Reporting '!#REF!,"AAAAAFQ3jy8=")</f>
        <v>#REF!</v>
      </c>
      <c r="AW237" t="e">
        <f>AND('Reporting '!#REF!,"AAAAAFQ3jzA=")</f>
        <v>#REF!</v>
      </c>
      <c r="AX237" t="e">
        <f>AND('Reporting '!#REF!,"AAAAAFQ3jzE=")</f>
        <v>#REF!</v>
      </c>
      <c r="AY237" t="e">
        <f>AND('Reporting '!#REF!,"AAAAAFQ3jzI=")</f>
        <v>#REF!</v>
      </c>
      <c r="AZ237" t="e">
        <f>AND('Reporting '!#REF!,"AAAAAFQ3jzM=")</f>
        <v>#REF!</v>
      </c>
      <c r="BA237" t="e">
        <f>AND('Reporting '!#REF!,"AAAAAFQ3jzQ=")</f>
        <v>#REF!</v>
      </c>
      <c r="BB237" t="e">
        <f>AND('Reporting '!#REF!,"AAAAAFQ3jzU=")</f>
        <v>#REF!</v>
      </c>
      <c r="BC237" t="e">
        <f>AND('Reporting '!#REF!,"AAAAAFQ3jzY=")</f>
        <v>#REF!</v>
      </c>
      <c r="BD237" t="e">
        <f>AND('Reporting '!#REF!,"AAAAAFQ3jzc=")</f>
        <v>#REF!</v>
      </c>
      <c r="BE237" t="e">
        <f>AND('Reporting '!#REF!,"AAAAAFQ3jzg=")</f>
        <v>#REF!</v>
      </c>
      <c r="BF237" t="e">
        <f>AND('Reporting '!#REF!,"AAAAAFQ3jzk=")</f>
        <v>#REF!</v>
      </c>
      <c r="BG237" t="e">
        <f>AND('Reporting '!#REF!,"AAAAAFQ3jzo=")</f>
        <v>#REF!</v>
      </c>
      <c r="BH237" t="e">
        <f>AND('Reporting '!#REF!,"AAAAAFQ3jzs=")</f>
        <v>#REF!</v>
      </c>
      <c r="BI237" t="e">
        <f>IF('Reporting '!#REF!,"AAAAAFQ3jzw=",0)</f>
        <v>#REF!</v>
      </c>
      <c r="BJ237" t="e">
        <f>AND('Reporting '!#REF!,"AAAAAFQ3jz0=")</f>
        <v>#REF!</v>
      </c>
      <c r="BK237" t="e">
        <f>AND('Reporting '!#REF!,"AAAAAFQ3jz4=")</f>
        <v>#REF!</v>
      </c>
      <c r="BL237" t="e">
        <f>AND('Reporting '!#REF!,"AAAAAFQ3jz8=")</f>
        <v>#REF!</v>
      </c>
      <c r="BM237" t="e">
        <f>AND('Reporting '!#REF!,"AAAAAFQ3j0A=")</f>
        <v>#REF!</v>
      </c>
      <c r="BN237" t="e">
        <f>AND('Reporting '!#REF!,"AAAAAFQ3j0E=")</f>
        <v>#REF!</v>
      </c>
      <c r="BO237" t="e">
        <f>AND('Reporting '!#REF!,"AAAAAFQ3j0I=")</f>
        <v>#REF!</v>
      </c>
      <c r="BP237" t="e">
        <f>AND('Reporting '!#REF!,"AAAAAFQ3j0M=")</f>
        <v>#REF!</v>
      </c>
      <c r="BQ237" t="e">
        <f>AND('Reporting '!#REF!,"AAAAAFQ3j0Q=")</f>
        <v>#REF!</v>
      </c>
      <c r="BR237" t="e">
        <f>AND('Reporting '!#REF!,"AAAAAFQ3j0U=")</f>
        <v>#REF!</v>
      </c>
      <c r="BS237" t="e">
        <f>AND('Reporting '!#REF!,"AAAAAFQ3j0Y=")</f>
        <v>#REF!</v>
      </c>
      <c r="BT237" t="e">
        <f>AND('Reporting '!#REF!,"AAAAAFQ3j0c=")</f>
        <v>#REF!</v>
      </c>
      <c r="BU237" t="e">
        <f>AND('Reporting '!#REF!,"AAAAAFQ3j0g=")</f>
        <v>#REF!</v>
      </c>
      <c r="BV237" t="e">
        <f>AND('Reporting '!#REF!,"AAAAAFQ3j0k=")</f>
        <v>#REF!</v>
      </c>
      <c r="BW237" t="e">
        <f>AND('Reporting '!#REF!,"AAAAAFQ3j0o=")</f>
        <v>#REF!</v>
      </c>
      <c r="BX237" t="e">
        <f>IF('Reporting '!#REF!,"AAAAAFQ3j0s=",0)</f>
        <v>#REF!</v>
      </c>
      <c r="BY237" t="e">
        <f>AND('Reporting '!#REF!,"AAAAAFQ3j0w=")</f>
        <v>#REF!</v>
      </c>
      <c r="BZ237" t="e">
        <f>AND('Reporting '!#REF!,"AAAAAFQ3j00=")</f>
        <v>#REF!</v>
      </c>
      <c r="CA237" t="e">
        <f>AND('Reporting '!#REF!,"AAAAAFQ3j04=")</f>
        <v>#REF!</v>
      </c>
      <c r="CB237" t="e">
        <f>AND('Reporting '!#REF!,"AAAAAFQ3j08=")</f>
        <v>#REF!</v>
      </c>
      <c r="CC237" t="e">
        <f>AND('Reporting '!#REF!,"AAAAAFQ3j1A=")</f>
        <v>#REF!</v>
      </c>
      <c r="CD237" t="e">
        <f>AND('Reporting '!#REF!,"AAAAAFQ3j1E=")</f>
        <v>#REF!</v>
      </c>
      <c r="CE237" t="e">
        <f>AND('Reporting '!#REF!,"AAAAAFQ3j1I=")</f>
        <v>#REF!</v>
      </c>
      <c r="CF237" t="e">
        <f>AND('Reporting '!#REF!,"AAAAAFQ3j1M=")</f>
        <v>#REF!</v>
      </c>
      <c r="CG237" t="e">
        <f>AND('Reporting '!#REF!,"AAAAAFQ3j1Q=")</f>
        <v>#REF!</v>
      </c>
      <c r="CH237" t="e">
        <f>AND('Reporting '!#REF!,"AAAAAFQ3j1U=")</f>
        <v>#REF!</v>
      </c>
      <c r="CI237" t="e">
        <f>AND('Reporting '!#REF!,"AAAAAFQ3j1Y=")</f>
        <v>#REF!</v>
      </c>
      <c r="CJ237" t="e">
        <f>AND('Reporting '!#REF!,"AAAAAFQ3j1c=")</f>
        <v>#REF!</v>
      </c>
      <c r="CK237" t="e">
        <f>AND('Reporting '!#REF!,"AAAAAFQ3j1g=")</f>
        <v>#REF!</v>
      </c>
      <c r="CL237" t="e">
        <f>AND('Reporting '!#REF!,"AAAAAFQ3j1k=")</f>
        <v>#REF!</v>
      </c>
      <c r="CM237" t="e">
        <f>IF('Reporting '!#REF!,"AAAAAFQ3j1o=",0)</f>
        <v>#REF!</v>
      </c>
      <c r="CN237" t="e">
        <f>AND('Reporting '!#REF!,"AAAAAFQ3j1s=")</f>
        <v>#REF!</v>
      </c>
      <c r="CO237" t="e">
        <f>AND('Reporting '!#REF!,"AAAAAFQ3j1w=")</f>
        <v>#REF!</v>
      </c>
      <c r="CP237" t="e">
        <f>AND('Reporting '!#REF!,"AAAAAFQ3j10=")</f>
        <v>#REF!</v>
      </c>
      <c r="CQ237" t="e">
        <f>AND('Reporting '!#REF!,"AAAAAFQ3j14=")</f>
        <v>#REF!</v>
      </c>
      <c r="CR237" t="e">
        <f>AND('Reporting '!#REF!,"AAAAAFQ3j18=")</f>
        <v>#REF!</v>
      </c>
      <c r="CS237" t="e">
        <f>AND('Reporting '!#REF!,"AAAAAFQ3j2A=")</f>
        <v>#REF!</v>
      </c>
      <c r="CT237" t="e">
        <f>AND('Reporting '!#REF!,"AAAAAFQ3j2E=")</f>
        <v>#REF!</v>
      </c>
      <c r="CU237" t="e">
        <f>AND('Reporting '!#REF!,"AAAAAFQ3j2I=")</f>
        <v>#REF!</v>
      </c>
      <c r="CV237" t="e">
        <f>AND('Reporting '!#REF!,"AAAAAFQ3j2M=")</f>
        <v>#REF!</v>
      </c>
      <c r="CW237" t="e">
        <f>AND('Reporting '!#REF!,"AAAAAFQ3j2Q=")</f>
        <v>#REF!</v>
      </c>
      <c r="CX237" t="e">
        <f>AND('Reporting '!#REF!,"AAAAAFQ3j2U=")</f>
        <v>#REF!</v>
      </c>
      <c r="CY237" t="e">
        <f>AND('Reporting '!#REF!,"AAAAAFQ3j2Y=")</f>
        <v>#REF!</v>
      </c>
      <c r="CZ237" t="e">
        <f>AND('Reporting '!#REF!,"AAAAAFQ3j2c=")</f>
        <v>#REF!</v>
      </c>
      <c r="DA237" t="e">
        <f>AND('Reporting '!#REF!,"AAAAAFQ3j2g=")</f>
        <v>#REF!</v>
      </c>
      <c r="DB237" t="e">
        <f>IF('Reporting '!#REF!,"AAAAAFQ3j2k=",0)</f>
        <v>#REF!</v>
      </c>
      <c r="DC237" t="e">
        <f>AND('Reporting '!#REF!,"AAAAAFQ3j2o=")</f>
        <v>#REF!</v>
      </c>
      <c r="DD237" t="e">
        <f>AND('Reporting '!#REF!,"AAAAAFQ3j2s=")</f>
        <v>#REF!</v>
      </c>
      <c r="DE237" t="e">
        <f>AND('Reporting '!#REF!,"AAAAAFQ3j2w=")</f>
        <v>#REF!</v>
      </c>
      <c r="DF237" t="e">
        <f>AND('Reporting '!#REF!,"AAAAAFQ3j20=")</f>
        <v>#REF!</v>
      </c>
      <c r="DG237" t="e">
        <f>AND('Reporting '!#REF!,"AAAAAFQ3j24=")</f>
        <v>#REF!</v>
      </c>
      <c r="DH237" t="e">
        <f>AND('Reporting '!#REF!,"AAAAAFQ3j28=")</f>
        <v>#REF!</v>
      </c>
      <c r="DI237" t="e">
        <f>AND('Reporting '!#REF!,"AAAAAFQ3j3A=")</f>
        <v>#REF!</v>
      </c>
      <c r="DJ237" t="e">
        <f>AND('Reporting '!#REF!,"AAAAAFQ3j3E=")</f>
        <v>#REF!</v>
      </c>
      <c r="DK237" t="e">
        <f>AND('Reporting '!#REF!,"AAAAAFQ3j3I=")</f>
        <v>#REF!</v>
      </c>
      <c r="DL237" t="e">
        <f>AND('Reporting '!#REF!,"AAAAAFQ3j3M=")</f>
        <v>#REF!</v>
      </c>
      <c r="DM237" t="e">
        <f>AND('Reporting '!#REF!,"AAAAAFQ3j3Q=")</f>
        <v>#REF!</v>
      </c>
      <c r="DN237" t="e">
        <f>AND('Reporting '!#REF!,"AAAAAFQ3j3U=")</f>
        <v>#REF!</v>
      </c>
      <c r="DO237" t="e">
        <f>AND('Reporting '!#REF!,"AAAAAFQ3j3Y=")</f>
        <v>#REF!</v>
      </c>
      <c r="DP237" t="e">
        <f>AND('Reporting '!#REF!,"AAAAAFQ3j3c=")</f>
        <v>#REF!</v>
      </c>
      <c r="DQ237" t="e">
        <f>IF('Reporting '!#REF!,"AAAAAFQ3j3g=",0)</f>
        <v>#REF!</v>
      </c>
      <c r="DR237" t="e">
        <f>AND('Reporting '!#REF!,"AAAAAFQ3j3k=")</f>
        <v>#REF!</v>
      </c>
      <c r="DS237" t="e">
        <f>AND('Reporting '!#REF!,"AAAAAFQ3j3o=")</f>
        <v>#REF!</v>
      </c>
      <c r="DT237" t="e">
        <f>AND('Reporting '!#REF!,"AAAAAFQ3j3s=")</f>
        <v>#REF!</v>
      </c>
      <c r="DU237" t="e">
        <f>AND('Reporting '!#REF!,"AAAAAFQ3j3w=")</f>
        <v>#REF!</v>
      </c>
      <c r="DV237" t="e">
        <f>AND('Reporting '!#REF!,"AAAAAFQ3j30=")</f>
        <v>#REF!</v>
      </c>
      <c r="DW237" t="e">
        <f>AND('Reporting '!#REF!,"AAAAAFQ3j34=")</f>
        <v>#REF!</v>
      </c>
      <c r="DX237" t="e">
        <f>AND('Reporting '!#REF!,"AAAAAFQ3j38=")</f>
        <v>#REF!</v>
      </c>
      <c r="DY237" t="e">
        <f>AND('Reporting '!#REF!,"AAAAAFQ3j4A=")</f>
        <v>#REF!</v>
      </c>
      <c r="DZ237" t="e">
        <f>AND('Reporting '!#REF!,"AAAAAFQ3j4E=")</f>
        <v>#REF!</v>
      </c>
      <c r="EA237" t="e">
        <f>AND('Reporting '!#REF!,"AAAAAFQ3j4I=")</f>
        <v>#REF!</v>
      </c>
      <c r="EB237" t="e">
        <f>AND('Reporting '!#REF!,"AAAAAFQ3j4M=")</f>
        <v>#REF!</v>
      </c>
      <c r="EC237" t="e">
        <f>AND('Reporting '!#REF!,"AAAAAFQ3j4Q=")</f>
        <v>#REF!</v>
      </c>
      <c r="ED237" t="e">
        <f>AND('Reporting '!#REF!,"AAAAAFQ3j4U=")</f>
        <v>#REF!</v>
      </c>
      <c r="EE237" t="e">
        <f>AND('Reporting '!#REF!,"AAAAAFQ3j4Y=")</f>
        <v>#REF!</v>
      </c>
      <c r="EF237" t="e">
        <f>IF('Reporting '!#REF!,"AAAAAFQ3j4c=",0)</f>
        <v>#REF!</v>
      </c>
      <c r="EG237" t="e">
        <f>AND('Reporting '!#REF!,"AAAAAFQ3j4g=")</f>
        <v>#REF!</v>
      </c>
      <c r="EH237" t="e">
        <f>AND('Reporting '!#REF!,"AAAAAFQ3j4k=")</f>
        <v>#REF!</v>
      </c>
      <c r="EI237" t="e">
        <f>AND('Reporting '!#REF!,"AAAAAFQ3j4o=")</f>
        <v>#REF!</v>
      </c>
      <c r="EJ237" t="e">
        <f>AND('Reporting '!#REF!,"AAAAAFQ3j4s=")</f>
        <v>#REF!</v>
      </c>
      <c r="EK237" t="e">
        <f>AND('Reporting '!#REF!,"AAAAAFQ3j4w=")</f>
        <v>#REF!</v>
      </c>
      <c r="EL237" t="e">
        <f>AND('Reporting '!#REF!,"AAAAAFQ3j40=")</f>
        <v>#REF!</v>
      </c>
      <c r="EM237" t="e">
        <f>AND('Reporting '!#REF!,"AAAAAFQ3j44=")</f>
        <v>#REF!</v>
      </c>
      <c r="EN237" t="e">
        <f>AND('Reporting '!#REF!,"AAAAAFQ3j48=")</f>
        <v>#REF!</v>
      </c>
      <c r="EO237" t="e">
        <f>AND('Reporting '!#REF!,"AAAAAFQ3j5A=")</f>
        <v>#REF!</v>
      </c>
      <c r="EP237" t="e">
        <f>AND('Reporting '!#REF!,"AAAAAFQ3j5E=")</f>
        <v>#REF!</v>
      </c>
      <c r="EQ237" t="e">
        <f>AND('Reporting '!#REF!,"AAAAAFQ3j5I=")</f>
        <v>#REF!</v>
      </c>
      <c r="ER237" t="e">
        <f>AND('Reporting '!#REF!,"AAAAAFQ3j5M=")</f>
        <v>#REF!</v>
      </c>
      <c r="ES237" t="e">
        <f>AND('Reporting '!#REF!,"AAAAAFQ3j5Q=")</f>
        <v>#REF!</v>
      </c>
      <c r="ET237" t="e">
        <f>AND('Reporting '!#REF!,"AAAAAFQ3j5U=")</f>
        <v>#REF!</v>
      </c>
      <c r="EU237" t="e">
        <f>IF('Reporting '!#REF!,"AAAAAFQ3j5Y=",0)</f>
        <v>#REF!</v>
      </c>
      <c r="EV237" t="e">
        <f>AND('Reporting '!#REF!,"AAAAAFQ3j5c=")</f>
        <v>#REF!</v>
      </c>
      <c r="EW237" t="e">
        <f>AND('Reporting '!#REF!,"AAAAAFQ3j5g=")</f>
        <v>#REF!</v>
      </c>
      <c r="EX237" t="e">
        <f>AND('Reporting '!#REF!,"AAAAAFQ3j5k=")</f>
        <v>#REF!</v>
      </c>
      <c r="EY237" t="e">
        <f>AND('Reporting '!#REF!,"AAAAAFQ3j5o=")</f>
        <v>#REF!</v>
      </c>
      <c r="EZ237" t="e">
        <f>AND('Reporting '!#REF!,"AAAAAFQ3j5s=")</f>
        <v>#REF!</v>
      </c>
      <c r="FA237" t="e">
        <f>AND('Reporting '!#REF!,"AAAAAFQ3j5w=")</f>
        <v>#REF!</v>
      </c>
      <c r="FB237" t="e">
        <f>AND('Reporting '!#REF!,"AAAAAFQ3j50=")</f>
        <v>#REF!</v>
      </c>
      <c r="FC237" t="e">
        <f>AND('Reporting '!#REF!,"AAAAAFQ3j54=")</f>
        <v>#REF!</v>
      </c>
      <c r="FD237" t="e">
        <f>AND('Reporting '!#REF!,"AAAAAFQ3j58=")</f>
        <v>#REF!</v>
      </c>
      <c r="FE237" t="e">
        <f>AND('Reporting '!#REF!,"AAAAAFQ3j6A=")</f>
        <v>#REF!</v>
      </c>
      <c r="FF237" t="e">
        <f>AND('Reporting '!#REF!,"AAAAAFQ3j6E=")</f>
        <v>#REF!</v>
      </c>
      <c r="FG237" t="e">
        <f>AND('Reporting '!#REF!,"AAAAAFQ3j6I=")</f>
        <v>#REF!</v>
      </c>
      <c r="FH237" t="e">
        <f>AND('Reporting '!#REF!,"AAAAAFQ3j6M=")</f>
        <v>#REF!</v>
      </c>
      <c r="FI237" t="e">
        <f>AND('Reporting '!#REF!,"AAAAAFQ3j6Q=")</f>
        <v>#REF!</v>
      </c>
      <c r="FJ237" t="e">
        <f>IF('Reporting '!#REF!,"AAAAAFQ3j6U=",0)</f>
        <v>#REF!</v>
      </c>
      <c r="FK237" t="e">
        <f>AND('Reporting '!#REF!,"AAAAAFQ3j6Y=")</f>
        <v>#REF!</v>
      </c>
      <c r="FL237" t="e">
        <f>AND('Reporting '!#REF!,"AAAAAFQ3j6c=")</f>
        <v>#REF!</v>
      </c>
      <c r="FM237" t="e">
        <f>AND('Reporting '!#REF!,"AAAAAFQ3j6g=")</f>
        <v>#REF!</v>
      </c>
      <c r="FN237" t="e">
        <f>AND('Reporting '!#REF!,"AAAAAFQ3j6k=")</f>
        <v>#REF!</v>
      </c>
      <c r="FO237" t="e">
        <f>AND('Reporting '!#REF!,"AAAAAFQ3j6o=")</f>
        <v>#REF!</v>
      </c>
      <c r="FP237" t="e">
        <f>AND('Reporting '!#REF!,"AAAAAFQ3j6s=")</f>
        <v>#REF!</v>
      </c>
      <c r="FQ237" t="e">
        <f>AND('Reporting '!#REF!,"AAAAAFQ3j6w=")</f>
        <v>#REF!</v>
      </c>
      <c r="FR237" t="e">
        <f>AND('Reporting '!#REF!,"AAAAAFQ3j60=")</f>
        <v>#REF!</v>
      </c>
      <c r="FS237" t="e">
        <f>AND('Reporting '!#REF!,"AAAAAFQ3j64=")</f>
        <v>#REF!</v>
      </c>
      <c r="FT237" t="e">
        <f>AND('Reporting '!#REF!,"AAAAAFQ3j68=")</f>
        <v>#REF!</v>
      </c>
      <c r="FU237" t="e">
        <f>AND('Reporting '!#REF!,"AAAAAFQ3j7A=")</f>
        <v>#REF!</v>
      </c>
      <c r="FV237" t="e">
        <f>AND('Reporting '!#REF!,"AAAAAFQ3j7E=")</f>
        <v>#REF!</v>
      </c>
      <c r="FW237" t="e">
        <f>AND('Reporting '!#REF!,"AAAAAFQ3j7I=")</f>
        <v>#REF!</v>
      </c>
      <c r="FX237" t="e">
        <f>AND('Reporting '!#REF!,"AAAAAFQ3j7M=")</f>
        <v>#REF!</v>
      </c>
      <c r="FY237" t="e">
        <f>IF('Reporting '!#REF!,"AAAAAFQ3j7Q=",0)</f>
        <v>#REF!</v>
      </c>
      <c r="FZ237" t="e">
        <f>AND('Reporting '!#REF!,"AAAAAFQ3j7U=")</f>
        <v>#REF!</v>
      </c>
      <c r="GA237" t="e">
        <f>AND('Reporting '!#REF!,"AAAAAFQ3j7Y=")</f>
        <v>#REF!</v>
      </c>
      <c r="GB237" t="e">
        <f>AND('Reporting '!#REF!,"AAAAAFQ3j7c=")</f>
        <v>#REF!</v>
      </c>
      <c r="GC237" t="e">
        <f>AND('Reporting '!#REF!,"AAAAAFQ3j7g=")</f>
        <v>#REF!</v>
      </c>
      <c r="GD237" t="e">
        <f>AND('Reporting '!#REF!,"AAAAAFQ3j7k=")</f>
        <v>#REF!</v>
      </c>
      <c r="GE237" t="e">
        <f>AND('Reporting '!#REF!,"AAAAAFQ3j7o=")</f>
        <v>#REF!</v>
      </c>
      <c r="GF237" t="e">
        <f>AND('Reporting '!#REF!,"AAAAAFQ3j7s=")</f>
        <v>#REF!</v>
      </c>
      <c r="GG237" t="e">
        <f>AND('Reporting '!#REF!,"AAAAAFQ3j7w=")</f>
        <v>#REF!</v>
      </c>
      <c r="GH237" t="e">
        <f>AND('Reporting '!#REF!,"AAAAAFQ3j70=")</f>
        <v>#REF!</v>
      </c>
      <c r="GI237" t="e">
        <f>AND('Reporting '!#REF!,"AAAAAFQ3j74=")</f>
        <v>#REF!</v>
      </c>
      <c r="GJ237" t="e">
        <f>AND('Reporting '!#REF!,"AAAAAFQ3j78=")</f>
        <v>#REF!</v>
      </c>
      <c r="GK237" t="e">
        <f>AND('Reporting '!#REF!,"AAAAAFQ3j8A=")</f>
        <v>#REF!</v>
      </c>
      <c r="GL237" t="e">
        <f>AND('Reporting '!#REF!,"AAAAAFQ3j8E=")</f>
        <v>#REF!</v>
      </c>
      <c r="GM237" t="e">
        <f>AND('Reporting '!#REF!,"AAAAAFQ3j8I=")</f>
        <v>#REF!</v>
      </c>
      <c r="GN237" t="e">
        <f>IF('Reporting '!#REF!,"AAAAAFQ3j8M=",0)</f>
        <v>#REF!</v>
      </c>
      <c r="GO237" t="e">
        <f>AND('Reporting '!#REF!,"AAAAAFQ3j8Q=")</f>
        <v>#REF!</v>
      </c>
      <c r="GP237" t="e">
        <f>AND('Reporting '!#REF!,"AAAAAFQ3j8U=")</f>
        <v>#REF!</v>
      </c>
      <c r="GQ237" t="e">
        <f>AND('Reporting '!#REF!,"AAAAAFQ3j8Y=")</f>
        <v>#REF!</v>
      </c>
      <c r="GR237" t="e">
        <f>AND('Reporting '!#REF!,"AAAAAFQ3j8c=")</f>
        <v>#REF!</v>
      </c>
      <c r="GS237" t="e">
        <f>AND('Reporting '!#REF!,"AAAAAFQ3j8g=")</f>
        <v>#REF!</v>
      </c>
      <c r="GT237" t="e">
        <f>AND('Reporting '!#REF!,"AAAAAFQ3j8k=")</f>
        <v>#REF!</v>
      </c>
      <c r="GU237" t="e">
        <f>AND('Reporting '!#REF!,"AAAAAFQ3j8o=")</f>
        <v>#REF!</v>
      </c>
      <c r="GV237" t="e">
        <f>AND('Reporting '!#REF!,"AAAAAFQ3j8s=")</f>
        <v>#REF!</v>
      </c>
      <c r="GW237" t="e">
        <f>AND('Reporting '!#REF!,"AAAAAFQ3j8w=")</f>
        <v>#REF!</v>
      </c>
      <c r="GX237" t="e">
        <f>AND('Reporting '!#REF!,"AAAAAFQ3j80=")</f>
        <v>#REF!</v>
      </c>
      <c r="GY237" t="e">
        <f>AND('Reporting '!#REF!,"AAAAAFQ3j84=")</f>
        <v>#REF!</v>
      </c>
      <c r="GZ237" t="e">
        <f>AND('Reporting '!#REF!,"AAAAAFQ3j88=")</f>
        <v>#REF!</v>
      </c>
      <c r="HA237" t="e">
        <f>AND('Reporting '!#REF!,"AAAAAFQ3j9A=")</f>
        <v>#REF!</v>
      </c>
      <c r="HB237" t="e">
        <f>AND('Reporting '!#REF!,"AAAAAFQ3j9E=")</f>
        <v>#REF!</v>
      </c>
      <c r="HC237" t="e">
        <f>IF('Reporting '!#REF!,"AAAAAFQ3j9I=",0)</f>
        <v>#REF!</v>
      </c>
      <c r="HD237" t="e">
        <f>AND('Reporting '!#REF!,"AAAAAFQ3j9M=")</f>
        <v>#REF!</v>
      </c>
      <c r="HE237" t="e">
        <f>AND('Reporting '!#REF!,"AAAAAFQ3j9Q=")</f>
        <v>#REF!</v>
      </c>
      <c r="HF237" t="e">
        <f>AND('Reporting '!#REF!,"AAAAAFQ3j9U=")</f>
        <v>#REF!</v>
      </c>
      <c r="HG237" t="e">
        <f>AND('Reporting '!#REF!,"AAAAAFQ3j9Y=")</f>
        <v>#REF!</v>
      </c>
      <c r="HH237" t="e">
        <f>AND('Reporting '!#REF!,"AAAAAFQ3j9c=")</f>
        <v>#REF!</v>
      </c>
      <c r="HI237" t="e">
        <f>AND('Reporting '!#REF!,"AAAAAFQ3j9g=")</f>
        <v>#REF!</v>
      </c>
      <c r="HJ237" t="e">
        <f>AND('Reporting '!#REF!,"AAAAAFQ3j9k=")</f>
        <v>#REF!</v>
      </c>
      <c r="HK237" t="e">
        <f>AND('Reporting '!#REF!,"AAAAAFQ3j9o=")</f>
        <v>#REF!</v>
      </c>
      <c r="HL237" t="e">
        <f>AND('Reporting '!#REF!,"AAAAAFQ3j9s=")</f>
        <v>#REF!</v>
      </c>
      <c r="HM237" t="e">
        <f>AND('Reporting '!#REF!,"AAAAAFQ3j9w=")</f>
        <v>#REF!</v>
      </c>
      <c r="HN237" t="e">
        <f>AND('Reporting '!#REF!,"AAAAAFQ3j90=")</f>
        <v>#REF!</v>
      </c>
      <c r="HO237" t="e">
        <f>AND('Reporting '!#REF!,"AAAAAFQ3j94=")</f>
        <v>#REF!</v>
      </c>
      <c r="HP237" t="e">
        <f>AND('Reporting '!#REF!,"AAAAAFQ3j98=")</f>
        <v>#REF!</v>
      </c>
      <c r="HQ237" t="e">
        <f>AND('Reporting '!#REF!,"AAAAAFQ3j+A=")</f>
        <v>#REF!</v>
      </c>
      <c r="HR237" t="e">
        <f>IF('Reporting '!#REF!,"AAAAAFQ3j+E=",0)</f>
        <v>#REF!</v>
      </c>
      <c r="HS237" t="e">
        <f>AND('Reporting '!#REF!,"AAAAAFQ3j+I=")</f>
        <v>#REF!</v>
      </c>
      <c r="HT237" t="e">
        <f>AND('Reporting '!#REF!,"AAAAAFQ3j+M=")</f>
        <v>#REF!</v>
      </c>
      <c r="HU237" t="e">
        <f>AND('Reporting '!#REF!,"AAAAAFQ3j+Q=")</f>
        <v>#REF!</v>
      </c>
      <c r="HV237" t="e">
        <f>AND('Reporting '!#REF!,"AAAAAFQ3j+U=")</f>
        <v>#REF!</v>
      </c>
      <c r="HW237" t="e">
        <f>AND('Reporting '!#REF!,"AAAAAFQ3j+Y=")</f>
        <v>#REF!</v>
      </c>
      <c r="HX237" t="e">
        <f>AND('Reporting '!#REF!,"AAAAAFQ3j+c=")</f>
        <v>#REF!</v>
      </c>
      <c r="HY237" t="e">
        <f>AND('Reporting '!#REF!,"AAAAAFQ3j+g=")</f>
        <v>#REF!</v>
      </c>
      <c r="HZ237" t="e">
        <f>AND('Reporting '!#REF!,"AAAAAFQ3j+k=")</f>
        <v>#REF!</v>
      </c>
      <c r="IA237" t="e">
        <f>AND('Reporting '!#REF!,"AAAAAFQ3j+o=")</f>
        <v>#REF!</v>
      </c>
      <c r="IB237" t="e">
        <f>AND('Reporting '!#REF!,"AAAAAFQ3j+s=")</f>
        <v>#REF!</v>
      </c>
      <c r="IC237" t="e">
        <f>AND('Reporting '!#REF!,"AAAAAFQ3j+w=")</f>
        <v>#REF!</v>
      </c>
      <c r="ID237" t="e">
        <f>AND('Reporting '!#REF!,"AAAAAFQ3j+0=")</f>
        <v>#REF!</v>
      </c>
      <c r="IE237" t="e">
        <f>AND('Reporting '!#REF!,"AAAAAFQ3j+4=")</f>
        <v>#REF!</v>
      </c>
      <c r="IF237" t="e">
        <f>AND('Reporting '!#REF!,"AAAAAFQ3j+8=")</f>
        <v>#REF!</v>
      </c>
      <c r="IG237" t="e">
        <f>IF('Reporting '!#REF!,"AAAAAFQ3j/A=",0)</f>
        <v>#REF!</v>
      </c>
      <c r="IH237" t="e">
        <f>AND('Reporting '!#REF!,"AAAAAFQ3j/E=")</f>
        <v>#REF!</v>
      </c>
      <c r="II237" t="e">
        <f>AND('Reporting '!#REF!,"AAAAAFQ3j/I=")</f>
        <v>#REF!</v>
      </c>
      <c r="IJ237" t="e">
        <f>AND('Reporting '!#REF!,"AAAAAFQ3j/M=")</f>
        <v>#REF!</v>
      </c>
      <c r="IK237" t="e">
        <f>AND('Reporting '!#REF!,"AAAAAFQ3j/Q=")</f>
        <v>#REF!</v>
      </c>
      <c r="IL237" t="e">
        <f>AND('Reporting '!#REF!,"AAAAAFQ3j/U=")</f>
        <v>#REF!</v>
      </c>
      <c r="IM237" t="e">
        <f>AND('Reporting '!#REF!,"AAAAAFQ3j/Y=")</f>
        <v>#REF!</v>
      </c>
      <c r="IN237" t="e">
        <f>AND('Reporting '!#REF!,"AAAAAFQ3j/c=")</f>
        <v>#REF!</v>
      </c>
      <c r="IO237" t="e">
        <f>AND('Reporting '!#REF!,"AAAAAFQ3j/g=")</f>
        <v>#REF!</v>
      </c>
      <c r="IP237" t="e">
        <f>AND('Reporting '!#REF!,"AAAAAFQ3j/k=")</f>
        <v>#REF!</v>
      </c>
      <c r="IQ237" t="e">
        <f>AND('Reporting '!#REF!,"AAAAAFQ3j/o=")</f>
        <v>#REF!</v>
      </c>
      <c r="IR237" t="e">
        <f>AND('Reporting '!#REF!,"AAAAAFQ3j/s=")</f>
        <v>#REF!</v>
      </c>
      <c r="IS237" t="e">
        <f>AND('Reporting '!#REF!,"AAAAAFQ3j/w=")</f>
        <v>#REF!</v>
      </c>
      <c r="IT237" t="e">
        <f>AND('Reporting '!#REF!,"AAAAAFQ3j/0=")</f>
        <v>#REF!</v>
      </c>
      <c r="IU237" t="e">
        <f>AND('Reporting '!#REF!,"AAAAAFQ3j/4=")</f>
        <v>#REF!</v>
      </c>
      <c r="IV237" t="e">
        <f>IF('Reporting '!#REF!,"AAAAAFQ3j/8=",0)</f>
        <v>#REF!</v>
      </c>
    </row>
    <row r="238" spans="1:256" x14ac:dyDescent="0.2">
      <c r="A238" t="e">
        <f>AND('Reporting '!#REF!,"AAAAAG/fLwA=")</f>
        <v>#REF!</v>
      </c>
      <c r="B238" t="e">
        <f>AND('Reporting '!#REF!,"AAAAAG/fLwE=")</f>
        <v>#REF!</v>
      </c>
      <c r="C238" t="e">
        <f>AND('Reporting '!#REF!,"AAAAAG/fLwI=")</f>
        <v>#REF!</v>
      </c>
      <c r="D238" t="e">
        <f>AND('Reporting '!#REF!,"AAAAAG/fLwM=")</f>
        <v>#REF!</v>
      </c>
      <c r="E238" t="e">
        <f>AND('Reporting '!#REF!,"AAAAAG/fLwQ=")</f>
        <v>#REF!</v>
      </c>
      <c r="F238" t="e">
        <f>AND('Reporting '!#REF!,"AAAAAG/fLwU=")</f>
        <v>#REF!</v>
      </c>
      <c r="G238" t="e">
        <f>AND('Reporting '!#REF!,"AAAAAG/fLwY=")</f>
        <v>#REF!</v>
      </c>
      <c r="H238" t="e">
        <f>AND('Reporting '!#REF!,"AAAAAG/fLwc=")</f>
        <v>#REF!</v>
      </c>
      <c r="I238" t="e">
        <f>AND('Reporting '!#REF!,"AAAAAG/fLwg=")</f>
        <v>#REF!</v>
      </c>
      <c r="J238" t="e">
        <f>AND('Reporting '!#REF!,"AAAAAG/fLwk=")</f>
        <v>#REF!</v>
      </c>
      <c r="K238" t="e">
        <f>AND('Reporting '!#REF!,"AAAAAG/fLwo=")</f>
        <v>#REF!</v>
      </c>
      <c r="L238" t="e">
        <f>AND('Reporting '!#REF!,"AAAAAG/fLws=")</f>
        <v>#REF!</v>
      </c>
      <c r="M238" t="e">
        <f>AND('Reporting '!#REF!,"AAAAAG/fLww=")</f>
        <v>#REF!</v>
      </c>
      <c r="N238" t="e">
        <f>AND('Reporting '!#REF!,"AAAAAG/fLw0=")</f>
        <v>#REF!</v>
      </c>
      <c r="O238" t="e">
        <f>IF('Reporting '!#REF!,"AAAAAG/fLw4=",0)</f>
        <v>#REF!</v>
      </c>
      <c r="P238" t="e">
        <f>AND('Reporting '!#REF!,"AAAAAG/fLw8=")</f>
        <v>#REF!</v>
      </c>
      <c r="Q238" t="e">
        <f>AND('Reporting '!#REF!,"AAAAAG/fLxA=")</f>
        <v>#REF!</v>
      </c>
      <c r="R238" t="e">
        <f>AND('Reporting '!#REF!,"AAAAAG/fLxE=")</f>
        <v>#REF!</v>
      </c>
      <c r="S238" t="e">
        <f>AND('Reporting '!#REF!,"AAAAAG/fLxI=")</f>
        <v>#REF!</v>
      </c>
      <c r="T238" t="e">
        <f>AND('Reporting '!#REF!,"AAAAAG/fLxM=")</f>
        <v>#REF!</v>
      </c>
      <c r="U238" t="e">
        <f>AND('Reporting '!#REF!,"AAAAAG/fLxQ=")</f>
        <v>#REF!</v>
      </c>
      <c r="V238" t="e">
        <f>AND('Reporting '!#REF!,"AAAAAG/fLxU=")</f>
        <v>#REF!</v>
      </c>
      <c r="W238" t="e">
        <f>AND('Reporting '!#REF!,"AAAAAG/fLxY=")</f>
        <v>#REF!</v>
      </c>
      <c r="X238" t="e">
        <f>AND('Reporting '!#REF!,"AAAAAG/fLxc=")</f>
        <v>#REF!</v>
      </c>
      <c r="Y238" t="e">
        <f>AND('Reporting '!#REF!,"AAAAAG/fLxg=")</f>
        <v>#REF!</v>
      </c>
      <c r="Z238" t="e">
        <f>AND('Reporting '!#REF!,"AAAAAG/fLxk=")</f>
        <v>#REF!</v>
      </c>
      <c r="AA238" t="e">
        <f>AND('Reporting '!#REF!,"AAAAAG/fLxo=")</f>
        <v>#REF!</v>
      </c>
      <c r="AB238" t="e">
        <f>AND('Reporting '!#REF!,"AAAAAG/fLxs=")</f>
        <v>#REF!</v>
      </c>
      <c r="AC238" t="e">
        <f>AND('Reporting '!#REF!,"AAAAAG/fLxw=")</f>
        <v>#REF!</v>
      </c>
      <c r="AD238" t="e">
        <f>IF('Reporting '!#REF!,"AAAAAG/fLx0=",0)</f>
        <v>#REF!</v>
      </c>
      <c r="AE238" t="e">
        <f>AND('Reporting '!#REF!,"AAAAAG/fLx4=")</f>
        <v>#REF!</v>
      </c>
      <c r="AF238" t="e">
        <f>AND('Reporting '!#REF!,"AAAAAG/fLx8=")</f>
        <v>#REF!</v>
      </c>
      <c r="AG238" t="e">
        <f>AND('Reporting '!#REF!,"AAAAAG/fLyA=")</f>
        <v>#REF!</v>
      </c>
      <c r="AH238" t="e">
        <f>AND('Reporting '!#REF!,"AAAAAG/fLyE=")</f>
        <v>#REF!</v>
      </c>
      <c r="AI238" t="e">
        <f>AND('Reporting '!#REF!,"AAAAAG/fLyI=")</f>
        <v>#REF!</v>
      </c>
      <c r="AJ238" t="e">
        <f>AND('Reporting '!#REF!,"AAAAAG/fLyM=")</f>
        <v>#REF!</v>
      </c>
      <c r="AK238" t="e">
        <f>AND('Reporting '!#REF!,"AAAAAG/fLyQ=")</f>
        <v>#REF!</v>
      </c>
      <c r="AL238" t="e">
        <f>AND('Reporting '!#REF!,"AAAAAG/fLyU=")</f>
        <v>#REF!</v>
      </c>
      <c r="AM238" t="e">
        <f>AND('Reporting '!#REF!,"AAAAAG/fLyY=")</f>
        <v>#REF!</v>
      </c>
      <c r="AN238" t="e">
        <f>AND('Reporting '!#REF!,"AAAAAG/fLyc=")</f>
        <v>#REF!</v>
      </c>
      <c r="AO238" t="e">
        <f>AND('Reporting '!#REF!,"AAAAAG/fLyg=")</f>
        <v>#REF!</v>
      </c>
      <c r="AP238" t="e">
        <f>AND('Reporting '!#REF!,"AAAAAG/fLyk=")</f>
        <v>#REF!</v>
      </c>
      <c r="AQ238" t="e">
        <f>AND('Reporting '!#REF!,"AAAAAG/fLyo=")</f>
        <v>#REF!</v>
      </c>
      <c r="AR238" t="e">
        <f>AND('Reporting '!#REF!,"AAAAAG/fLys=")</f>
        <v>#REF!</v>
      </c>
      <c r="AS238" t="e">
        <f>IF('Reporting '!#REF!,"AAAAAG/fLyw=",0)</f>
        <v>#REF!</v>
      </c>
      <c r="AT238" t="e">
        <f>AND('Reporting '!#REF!,"AAAAAG/fLy0=")</f>
        <v>#REF!</v>
      </c>
      <c r="AU238" t="e">
        <f>AND('Reporting '!#REF!,"AAAAAG/fLy4=")</f>
        <v>#REF!</v>
      </c>
      <c r="AV238" t="e">
        <f>AND('Reporting '!#REF!,"AAAAAG/fLy8=")</f>
        <v>#REF!</v>
      </c>
      <c r="AW238" t="e">
        <f>AND('Reporting '!#REF!,"AAAAAG/fLzA=")</f>
        <v>#REF!</v>
      </c>
      <c r="AX238" t="e">
        <f>AND('Reporting '!#REF!,"AAAAAG/fLzE=")</f>
        <v>#REF!</v>
      </c>
      <c r="AY238" t="e">
        <f>AND('Reporting '!#REF!,"AAAAAG/fLzI=")</f>
        <v>#REF!</v>
      </c>
      <c r="AZ238" t="e">
        <f>AND('Reporting '!#REF!,"AAAAAG/fLzM=")</f>
        <v>#REF!</v>
      </c>
      <c r="BA238" t="e">
        <f>AND('Reporting '!#REF!,"AAAAAG/fLzQ=")</f>
        <v>#REF!</v>
      </c>
      <c r="BB238" t="e">
        <f>AND('Reporting '!#REF!,"AAAAAG/fLzU=")</f>
        <v>#REF!</v>
      </c>
      <c r="BC238" t="e">
        <f>AND('Reporting '!#REF!,"AAAAAG/fLzY=")</f>
        <v>#REF!</v>
      </c>
      <c r="BD238" t="e">
        <f>AND('Reporting '!#REF!,"AAAAAG/fLzc=")</f>
        <v>#REF!</v>
      </c>
      <c r="BE238" t="e">
        <f>AND('Reporting '!#REF!,"AAAAAG/fLzg=")</f>
        <v>#REF!</v>
      </c>
      <c r="BF238" t="e">
        <f>AND('Reporting '!#REF!,"AAAAAG/fLzk=")</f>
        <v>#REF!</v>
      </c>
      <c r="BG238" t="e">
        <f>AND('Reporting '!#REF!,"AAAAAG/fLzo=")</f>
        <v>#REF!</v>
      </c>
      <c r="BH238" t="e">
        <f>IF('Reporting '!#REF!,"AAAAAG/fLzs=",0)</f>
        <v>#REF!</v>
      </c>
      <c r="BI238" t="e">
        <f>AND('Reporting '!#REF!,"AAAAAG/fLzw=")</f>
        <v>#REF!</v>
      </c>
      <c r="BJ238" t="e">
        <f>AND('Reporting '!#REF!,"AAAAAG/fLz0=")</f>
        <v>#REF!</v>
      </c>
      <c r="BK238" t="e">
        <f>AND('Reporting '!#REF!,"AAAAAG/fLz4=")</f>
        <v>#REF!</v>
      </c>
      <c r="BL238" t="e">
        <f>AND('Reporting '!#REF!,"AAAAAG/fLz8=")</f>
        <v>#REF!</v>
      </c>
      <c r="BM238" t="e">
        <f>AND('Reporting '!#REF!,"AAAAAG/fL0A=")</f>
        <v>#REF!</v>
      </c>
      <c r="BN238" t="e">
        <f>AND('Reporting '!#REF!,"AAAAAG/fL0E=")</f>
        <v>#REF!</v>
      </c>
      <c r="BO238" t="e">
        <f>AND('Reporting '!#REF!,"AAAAAG/fL0I=")</f>
        <v>#REF!</v>
      </c>
      <c r="BP238" t="e">
        <f>AND('Reporting '!#REF!,"AAAAAG/fL0M=")</f>
        <v>#REF!</v>
      </c>
      <c r="BQ238" t="e">
        <f>AND('Reporting '!#REF!,"AAAAAG/fL0Q=")</f>
        <v>#REF!</v>
      </c>
      <c r="BR238" t="e">
        <f>AND('Reporting '!#REF!,"AAAAAG/fL0U=")</f>
        <v>#REF!</v>
      </c>
      <c r="BS238" t="e">
        <f>AND('Reporting '!#REF!,"AAAAAG/fL0Y=")</f>
        <v>#REF!</v>
      </c>
      <c r="BT238" t="e">
        <f>AND('Reporting '!#REF!,"AAAAAG/fL0c=")</f>
        <v>#REF!</v>
      </c>
      <c r="BU238" t="e">
        <f>AND('Reporting '!#REF!,"AAAAAG/fL0g=")</f>
        <v>#REF!</v>
      </c>
      <c r="BV238" t="e">
        <f>AND('Reporting '!#REF!,"AAAAAG/fL0k=")</f>
        <v>#REF!</v>
      </c>
      <c r="BW238" t="e">
        <f>IF('Reporting '!#REF!,"AAAAAG/fL0o=",0)</f>
        <v>#REF!</v>
      </c>
      <c r="BX238" t="e">
        <f>AND('Reporting '!#REF!,"AAAAAG/fL0s=")</f>
        <v>#REF!</v>
      </c>
      <c r="BY238" t="e">
        <f>AND('Reporting '!#REF!,"AAAAAG/fL0w=")</f>
        <v>#REF!</v>
      </c>
      <c r="BZ238" t="e">
        <f>AND('Reporting '!#REF!,"AAAAAG/fL00=")</f>
        <v>#REF!</v>
      </c>
      <c r="CA238" t="e">
        <f>AND('Reporting '!#REF!,"AAAAAG/fL04=")</f>
        <v>#REF!</v>
      </c>
      <c r="CB238" t="e">
        <f>AND('Reporting '!#REF!,"AAAAAG/fL08=")</f>
        <v>#REF!</v>
      </c>
      <c r="CC238" t="e">
        <f>AND('Reporting '!#REF!,"AAAAAG/fL1A=")</f>
        <v>#REF!</v>
      </c>
      <c r="CD238" t="e">
        <f>AND('Reporting '!#REF!,"AAAAAG/fL1E=")</f>
        <v>#REF!</v>
      </c>
      <c r="CE238" t="e">
        <f>AND('Reporting '!#REF!,"AAAAAG/fL1I=")</f>
        <v>#REF!</v>
      </c>
      <c r="CF238" t="e">
        <f>AND('Reporting '!#REF!,"AAAAAG/fL1M=")</f>
        <v>#REF!</v>
      </c>
      <c r="CG238" t="e">
        <f>AND('Reporting '!#REF!,"AAAAAG/fL1Q=")</f>
        <v>#REF!</v>
      </c>
      <c r="CH238" t="e">
        <f>AND('Reporting '!#REF!,"AAAAAG/fL1U=")</f>
        <v>#REF!</v>
      </c>
      <c r="CI238" t="e">
        <f>AND('Reporting '!#REF!,"AAAAAG/fL1Y=")</f>
        <v>#REF!</v>
      </c>
      <c r="CJ238" t="e">
        <f>AND('Reporting '!#REF!,"AAAAAG/fL1c=")</f>
        <v>#REF!</v>
      </c>
      <c r="CK238" t="e">
        <f>AND('Reporting '!#REF!,"AAAAAG/fL1g=")</f>
        <v>#REF!</v>
      </c>
      <c r="CL238" t="e">
        <f>IF('Reporting '!#REF!,"AAAAAG/fL1k=",0)</f>
        <v>#REF!</v>
      </c>
      <c r="CM238" t="e">
        <f>AND('Reporting '!#REF!,"AAAAAG/fL1o=")</f>
        <v>#REF!</v>
      </c>
      <c r="CN238" t="e">
        <f>AND('Reporting '!#REF!,"AAAAAG/fL1s=")</f>
        <v>#REF!</v>
      </c>
      <c r="CO238" t="e">
        <f>AND('Reporting '!#REF!,"AAAAAG/fL1w=")</f>
        <v>#REF!</v>
      </c>
      <c r="CP238" t="e">
        <f>AND('Reporting '!#REF!,"AAAAAG/fL10=")</f>
        <v>#REF!</v>
      </c>
      <c r="CQ238" t="e">
        <f>AND('Reporting '!#REF!,"AAAAAG/fL14=")</f>
        <v>#REF!</v>
      </c>
      <c r="CR238" t="e">
        <f>AND('Reporting '!#REF!,"AAAAAG/fL18=")</f>
        <v>#REF!</v>
      </c>
      <c r="CS238" t="e">
        <f>AND('Reporting '!#REF!,"AAAAAG/fL2A=")</f>
        <v>#REF!</v>
      </c>
      <c r="CT238" t="e">
        <f>AND('Reporting '!#REF!,"AAAAAG/fL2E=")</f>
        <v>#REF!</v>
      </c>
      <c r="CU238" t="e">
        <f>AND('Reporting '!#REF!,"AAAAAG/fL2I=")</f>
        <v>#REF!</v>
      </c>
      <c r="CV238" t="e">
        <f>AND('Reporting '!#REF!,"AAAAAG/fL2M=")</f>
        <v>#REF!</v>
      </c>
      <c r="CW238" t="e">
        <f>AND('Reporting '!#REF!,"AAAAAG/fL2Q=")</f>
        <v>#REF!</v>
      </c>
      <c r="CX238" t="e">
        <f>AND('Reporting '!#REF!,"AAAAAG/fL2U=")</f>
        <v>#REF!</v>
      </c>
      <c r="CY238" t="e">
        <f>AND('Reporting '!#REF!,"AAAAAG/fL2Y=")</f>
        <v>#REF!</v>
      </c>
      <c r="CZ238" t="e">
        <f>AND('Reporting '!#REF!,"AAAAAG/fL2c=")</f>
        <v>#REF!</v>
      </c>
      <c r="DA238" t="e">
        <f>IF('Reporting '!#REF!,"AAAAAG/fL2g=",0)</f>
        <v>#REF!</v>
      </c>
      <c r="DB238" t="e">
        <f>AND('Reporting '!#REF!,"AAAAAG/fL2k=")</f>
        <v>#REF!</v>
      </c>
      <c r="DC238" t="e">
        <f>AND('Reporting '!#REF!,"AAAAAG/fL2o=")</f>
        <v>#REF!</v>
      </c>
      <c r="DD238" t="e">
        <f>AND('Reporting '!#REF!,"AAAAAG/fL2s=")</f>
        <v>#REF!</v>
      </c>
      <c r="DE238" t="e">
        <f>AND('Reporting '!#REF!,"AAAAAG/fL2w=")</f>
        <v>#REF!</v>
      </c>
      <c r="DF238" t="e">
        <f>AND('Reporting '!#REF!,"AAAAAG/fL20=")</f>
        <v>#REF!</v>
      </c>
      <c r="DG238" t="e">
        <f>AND('Reporting '!#REF!,"AAAAAG/fL24=")</f>
        <v>#REF!</v>
      </c>
      <c r="DH238" t="e">
        <f>AND('Reporting '!#REF!,"AAAAAG/fL28=")</f>
        <v>#REF!</v>
      </c>
      <c r="DI238" t="e">
        <f>AND('Reporting '!#REF!,"AAAAAG/fL3A=")</f>
        <v>#REF!</v>
      </c>
      <c r="DJ238" t="e">
        <f>AND('Reporting '!#REF!,"AAAAAG/fL3E=")</f>
        <v>#REF!</v>
      </c>
      <c r="DK238" t="e">
        <f>AND('Reporting '!#REF!,"AAAAAG/fL3I=")</f>
        <v>#REF!</v>
      </c>
      <c r="DL238" t="e">
        <f>AND('Reporting '!#REF!,"AAAAAG/fL3M=")</f>
        <v>#REF!</v>
      </c>
      <c r="DM238" t="e">
        <f>AND('Reporting '!#REF!,"AAAAAG/fL3Q=")</f>
        <v>#REF!</v>
      </c>
      <c r="DN238" t="e">
        <f>AND('Reporting '!#REF!,"AAAAAG/fL3U=")</f>
        <v>#REF!</v>
      </c>
      <c r="DO238" t="e">
        <f>AND('Reporting '!#REF!,"AAAAAG/fL3Y=")</f>
        <v>#REF!</v>
      </c>
      <c r="DP238" t="e">
        <f>IF('Reporting '!#REF!,"AAAAAG/fL3c=",0)</f>
        <v>#REF!</v>
      </c>
      <c r="DQ238" t="e">
        <f>AND('Reporting '!#REF!,"AAAAAG/fL3g=")</f>
        <v>#REF!</v>
      </c>
      <c r="DR238" t="e">
        <f>AND('Reporting '!#REF!,"AAAAAG/fL3k=")</f>
        <v>#REF!</v>
      </c>
      <c r="DS238" t="e">
        <f>AND('Reporting '!#REF!,"AAAAAG/fL3o=")</f>
        <v>#REF!</v>
      </c>
      <c r="DT238" t="e">
        <f>AND('Reporting '!#REF!,"AAAAAG/fL3s=")</f>
        <v>#REF!</v>
      </c>
      <c r="DU238" t="e">
        <f>AND('Reporting '!#REF!,"AAAAAG/fL3w=")</f>
        <v>#REF!</v>
      </c>
      <c r="DV238" t="e">
        <f>AND('Reporting '!#REF!,"AAAAAG/fL30=")</f>
        <v>#REF!</v>
      </c>
      <c r="DW238" t="e">
        <f>AND('Reporting '!#REF!,"AAAAAG/fL34=")</f>
        <v>#REF!</v>
      </c>
      <c r="DX238" t="e">
        <f>AND('Reporting '!#REF!,"AAAAAG/fL38=")</f>
        <v>#REF!</v>
      </c>
      <c r="DY238" t="e">
        <f>AND('Reporting '!#REF!,"AAAAAG/fL4A=")</f>
        <v>#REF!</v>
      </c>
      <c r="DZ238" t="e">
        <f>AND('Reporting '!#REF!,"AAAAAG/fL4E=")</f>
        <v>#REF!</v>
      </c>
      <c r="EA238" t="e">
        <f>AND('Reporting '!#REF!,"AAAAAG/fL4I=")</f>
        <v>#REF!</v>
      </c>
      <c r="EB238" t="e">
        <f>AND('Reporting '!#REF!,"AAAAAG/fL4M=")</f>
        <v>#REF!</v>
      </c>
      <c r="EC238" t="e">
        <f>AND('Reporting '!#REF!,"AAAAAG/fL4Q=")</f>
        <v>#REF!</v>
      </c>
      <c r="ED238" t="e">
        <f>AND('Reporting '!#REF!,"AAAAAG/fL4U=")</f>
        <v>#REF!</v>
      </c>
      <c r="EE238" t="e">
        <f>IF('Reporting '!#REF!,"AAAAAG/fL4Y=",0)</f>
        <v>#REF!</v>
      </c>
      <c r="EF238" t="e">
        <f>AND('Reporting '!#REF!,"AAAAAG/fL4c=")</f>
        <v>#REF!</v>
      </c>
      <c r="EG238" t="e">
        <f>AND('Reporting '!#REF!,"AAAAAG/fL4g=")</f>
        <v>#REF!</v>
      </c>
      <c r="EH238" t="e">
        <f>AND('Reporting '!#REF!,"AAAAAG/fL4k=")</f>
        <v>#REF!</v>
      </c>
      <c r="EI238" t="e">
        <f>AND('Reporting '!#REF!,"AAAAAG/fL4o=")</f>
        <v>#REF!</v>
      </c>
      <c r="EJ238" t="e">
        <f>AND('Reporting '!#REF!,"AAAAAG/fL4s=")</f>
        <v>#REF!</v>
      </c>
      <c r="EK238" t="e">
        <f>AND('Reporting '!#REF!,"AAAAAG/fL4w=")</f>
        <v>#REF!</v>
      </c>
      <c r="EL238" t="e">
        <f>AND('Reporting '!#REF!,"AAAAAG/fL40=")</f>
        <v>#REF!</v>
      </c>
      <c r="EM238" t="e">
        <f>AND('Reporting '!#REF!,"AAAAAG/fL44=")</f>
        <v>#REF!</v>
      </c>
      <c r="EN238" t="e">
        <f>AND('Reporting '!#REF!,"AAAAAG/fL48=")</f>
        <v>#REF!</v>
      </c>
      <c r="EO238" t="e">
        <f>AND('Reporting '!#REF!,"AAAAAG/fL5A=")</f>
        <v>#REF!</v>
      </c>
      <c r="EP238" t="e">
        <f>AND('Reporting '!#REF!,"AAAAAG/fL5E=")</f>
        <v>#REF!</v>
      </c>
      <c r="EQ238" t="e">
        <f>AND('Reporting '!#REF!,"AAAAAG/fL5I=")</f>
        <v>#REF!</v>
      </c>
      <c r="ER238" t="e">
        <f>AND('Reporting '!#REF!,"AAAAAG/fL5M=")</f>
        <v>#REF!</v>
      </c>
      <c r="ES238" t="e">
        <f>AND('Reporting '!#REF!,"AAAAAG/fL5Q=")</f>
        <v>#REF!</v>
      </c>
      <c r="ET238" t="e">
        <f>IF('Reporting '!#REF!,"AAAAAG/fL5U=",0)</f>
        <v>#REF!</v>
      </c>
      <c r="EU238" t="e">
        <f>AND('Reporting '!#REF!,"AAAAAG/fL5Y=")</f>
        <v>#REF!</v>
      </c>
      <c r="EV238" t="e">
        <f>AND('Reporting '!#REF!,"AAAAAG/fL5c=")</f>
        <v>#REF!</v>
      </c>
      <c r="EW238" t="e">
        <f>AND('Reporting '!#REF!,"AAAAAG/fL5g=")</f>
        <v>#REF!</v>
      </c>
      <c r="EX238" t="e">
        <f>AND('Reporting '!#REF!,"AAAAAG/fL5k=")</f>
        <v>#REF!</v>
      </c>
      <c r="EY238" t="e">
        <f>AND('Reporting '!#REF!,"AAAAAG/fL5o=")</f>
        <v>#REF!</v>
      </c>
      <c r="EZ238" t="e">
        <f>AND('Reporting '!#REF!,"AAAAAG/fL5s=")</f>
        <v>#REF!</v>
      </c>
      <c r="FA238" t="e">
        <f>AND('Reporting '!#REF!,"AAAAAG/fL5w=")</f>
        <v>#REF!</v>
      </c>
      <c r="FB238" t="e">
        <f>AND('Reporting '!#REF!,"AAAAAG/fL50=")</f>
        <v>#REF!</v>
      </c>
      <c r="FC238" t="e">
        <f>AND('Reporting '!#REF!,"AAAAAG/fL54=")</f>
        <v>#REF!</v>
      </c>
      <c r="FD238" t="e">
        <f>AND('Reporting '!#REF!,"AAAAAG/fL58=")</f>
        <v>#REF!</v>
      </c>
      <c r="FE238" t="e">
        <f>AND('Reporting '!#REF!,"AAAAAG/fL6A=")</f>
        <v>#REF!</v>
      </c>
      <c r="FF238" t="e">
        <f>AND('Reporting '!#REF!,"AAAAAG/fL6E=")</f>
        <v>#REF!</v>
      </c>
      <c r="FG238" t="e">
        <f>AND('Reporting '!#REF!,"AAAAAG/fL6I=")</f>
        <v>#REF!</v>
      </c>
      <c r="FH238" t="e">
        <f>AND('Reporting '!#REF!,"AAAAAG/fL6M=")</f>
        <v>#REF!</v>
      </c>
      <c r="FI238" t="e">
        <f>IF('Reporting '!#REF!,"AAAAAG/fL6Q=",0)</f>
        <v>#REF!</v>
      </c>
      <c r="FJ238" t="e">
        <f>AND('Reporting '!#REF!,"AAAAAG/fL6U=")</f>
        <v>#REF!</v>
      </c>
      <c r="FK238" t="e">
        <f>AND('Reporting '!#REF!,"AAAAAG/fL6Y=")</f>
        <v>#REF!</v>
      </c>
      <c r="FL238" t="e">
        <f>AND('Reporting '!#REF!,"AAAAAG/fL6c=")</f>
        <v>#REF!</v>
      </c>
      <c r="FM238" t="e">
        <f>AND('Reporting '!#REF!,"AAAAAG/fL6g=")</f>
        <v>#REF!</v>
      </c>
      <c r="FN238" t="e">
        <f>AND('Reporting '!#REF!,"AAAAAG/fL6k=")</f>
        <v>#REF!</v>
      </c>
      <c r="FO238" t="e">
        <f>AND('Reporting '!#REF!,"AAAAAG/fL6o=")</f>
        <v>#REF!</v>
      </c>
      <c r="FP238" t="e">
        <f>AND('Reporting '!#REF!,"AAAAAG/fL6s=")</f>
        <v>#REF!</v>
      </c>
      <c r="FQ238" t="e">
        <f>AND('Reporting '!#REF!,"AAAAAG/fL6w=")</f>
        <v>#REF!</v>
      </c>
      <c r="FR238" t="e">
        <f>AND('Reporting '!#REF!,"AAAAAG/fL60=")</f>
        <v>#REF!</v>
      </c>
      <c r="FS238" t="e">
        <f>AND('Reporting '!#REF!,"AAAAAG/fL64=")</f>
        <v>#REF!</v>
      </c>
      <c r="FT238" t="e">
        <f>AND('Reporting '!#REF!,"AAAAAG/fL68=")</f>
        <v>#REF!</v>
      </c>
      <c r="FU238" t="e">
        <f>AND('Reporting '!#REF!,"AAAAAG/fL7A=")</f>
        <v>#REF!</v>
      </c>
      <c r="FV238" t="e">
        <f>AND('Reporting '!#REF!,"AAAAAG/fL7E=")</f>
        <v>#REF!</v>
      </c>
      <c r="FW238" t="e">
        <f>AND('Reporting '!#REF!,"AAAAAG/fL7I=")</f>
        <v>#REF!</v>
      </c>
      <c r="FX238" t="e">
        <f>IF('Reporting '!#REF!,"AAAAAG/fL7M=",0)</f>
        <v>#REF!</v>
      </c>
      <c r="FY238" t="e">
        <f>AND('Reporting '!#REF!,"AAAAAG/fL7Q=")</f>
        <v>#REF!</v>
      </c>
      <c r="FZ238" t="e">
        <f>AND('Reporting '!#REF!,"AAAAAG/fL7U=")</f>
        <v>#REF!</v>
      </c>
      <c r="GA238" t="e">
        <f>AND('Reporting '!#REF!,"AAAAAG/fL7Y=")</f>
        <v>#REF!</v>
      </c>
      <c r="GB238" t="e">
        <f>AND('Reporting '!#REF!,"AAAAAG/fL7c=")</f>
        <v>#REF!</v>
      </c>
      <c r="GC238" t="e">
        <f>AND('Reporting '!#REF!,"AAAAAG/fL7g=")</f>
        <v>#REF!</v>
      </c>
      <c r="GD238" t="e">
        <f>AND('Reporting '!#REF!,"AAAAAG/fL7k=")</f>
        <v>#REF!</v>
      </c>
      <c r="GE238" t="e">
        <f>AND('Reporting '!#REF!,"AAAAAG/fL7o=")</f>
        <v>#REF!</v>
      </c>
      <c r="GF238" t="e">
        <f>AND('Reporting '!#REF!,"AAAAAG/fL7s=")</f>
        <v>#REF!</v>
      </c>
      <c r="GG238" t="e">
        <f>AND('Reporting '!#REF!,"AAAAAG/fL7w=")</f>
        <v>#REF!</v>
      </c>
      <c r="GH238" t="e">
        <f>AND('Reporting '!#REF!,"AAAAAG/fL70=")</f>
        <v>#REF!</v>
      </c>
      <c r="GI238" t="e">
        <f>AND('Reporting '!#REF!,"AAAAAG/fL74=")</f>
        <v>#REF!</v>
      </c>
      <c r="GJ238" t="e">
        <f>AND('Reporting '!#REF!,"AAAAAG/fL78=")</f>
        <v>#REF!</v>
      </c>
      <c r="GK238" t="e">
        <f>AND('Reporting '!#REF!,"AAAAAG/fL8A=")</f>
        <v>#REF!</v>
      </c>
      <c r="GL238" t="e">
        <f>AND('Reporting '!#REF!,"AAAAAG/fL8E=")</f>
        <v>#REF!</v>
      </c>
      <c r="GM238" t="e">
        <f>IF('Reporting '!#REF!,"AAAAAG/fL8I=",0)</f>
        <v>#REF!</v>
      </c>
      <c r="GN238" t="e">
        <f>AND('Reporting '!#REF!,"AAAAAG/fL8M=")</f>
        <v>#REF!</v>
      </c>
      <c r="GO238" t="e">
        <f>AND('Reporting '!#REF!,"AAAAAG/fL8Q=")</f>
        <v>#REF!</v>
      </c>
      <c r="GP238" t="e">
        <f>AND('Reporting '!#REF!,"AAAAAG/fL8U=")</f>
        <v>#REF!</v>
      </c>
      <c r="GQ238" t="e">
        <f>AND('Reporting '!#REF!,"AAAAAG/fL8Y=")</f>
        <v>#REF!</v>
      </c>
      <c r="GR238" t="e">
        <f>AND('Reporting '!#REF!,"AAAAAG/fL8c=")</f>
        <v>#REF!</v>
      </c>
      <c r="GS238" t="e">
        <f>AND('Reporting '!#REF!,"AAAAAG/fL8g=")</f>
        <v>#REF!</v>
      </c>
      <c r="GT238" t="e">
        <f>AND('Reporting '!#REF!,"AAAAAG/fL8k=")</f>
        <v>#REF!</v>
      </c>
      <c r="GU238" t="e">
        <f>AND('Reporting '!#REF!,"AAAAAG/fL8o=")</f>
        <v>#REF!</v>
      </c>
      <c r="GV238" t="e">
        <f>AND('Reporting '!#REF!,"AAAAAG/fL8s=")</f>
        <v>#REF!</v>
      </c>
      <c r="GW238" t="e">
        <f>AND('Reporting '!#REF!,"AAAAAG/fL8w=")</f>
        <v>#REF!</v>
      </c>
      <c r="GX238" t="e">
        <f>AND('Reporting '!#REF!,"AAAAAG/fL80=")</f>
        <v>#REF!</v>
      </c>
      <c r="GY238" t="e">
        <f>AND('Reporting '!#REF!,"AAAAAG/fL84=")</f>
        <v>#REF!</v>
      </c>
      <c r="GZ238" t="e">
        <f>AND('Reporting '!#REF!,"AAAAAG/fL88=")</f>
        <v>#REF!</v>
      </c>
      <c r="HA238" t="e">
        <f>AND('Reporting '!#REF!,"AAAAAG/fL9A=")</f>
        <v>#REF!</v>
      </c>
      <c r="HB238" t="e">
        <f>IF('Reporting '!#REF!,"AAAAAG/fL9E=",0)</f>
        <v>#REF!</v>
      </c>
      <c r="HC238" t="e">
        <f>AND('Reporting '!#REF!,"AAAAAG/fL9I=")</f>
        <v>#REF!</v>
      </c>
      <c r="HD238" t="e">
        <f>AND('Reporting '!#REF!,"AAAAAG/fL9M=")</f>
        <v>#REF!</v>
      </c>
      <c r="HE238" t="e">
        <f>AND('Reporting '!#REF!,"AAAAAG/fL9Q=")</f>
        <v>#REF!</v>
      </c>
      <c r="HF238" t="e">
        <f>AND('Reporting '!#REF!,"AAAAAG/fL9U=")</f>
        <v>#REF!</v>
      </c>
      <c r="HG238" t="e">
        <f>AND('Reporting '!#REF!,"AAAAAG/fL9Y=")</f>
        <v>#REF!</v>
      </c>
      <c r="HH238" t="e">
        <f>AND('Reporting '!#REF!,"AAAAAG/fL9c=")</f>
        <v>#REF!</v>
      </c>
      <c r="HI238" t="e">
        <f>AND('Reporting '!#REF!,"AAAAAG/fL9g=")</f>
        <v>#REF!</v>
      </c>
      <c r="HJ238" t="e">
        <f>AND('Reporting '!#REF!,"AAAAAG/fL9k=")</f>
        <v>#REF!</v>
      </c>
      <c r="HK238" t="e">
        <f>AND('Reporting '!#REF!,"AAAAAG/fL9o=")</f>
        <v>#REF!</v>
      </c>
      <c r="HL238" t="e">
        <f>AND('Reporting '!#REF!,"AAAAAG/fL9s=")</f>
        <v>#REF!</v>
      </c>
      <c r="HM238" t="e">
        <f>AND('Reporting '!#REF!,"AAAAAG/fL9w=")</f>
        <v>#REF!</v>
      </c>
      <c r="HN238" t="e">
        <f>AND('Reporting '!#REF!,"AAAAAG/fL90=")</f>
        <v>#REF!</v>
      </c>
      <c r="HO238" t="e">
        <f>AND('Reporting '!#REF!,"AAAAAG/fL94=")</f>
        <v>#REF!</v>
      </c>
      <c r="HP238" t="e">
        <f>AND('Reporting '!#REF!,"AAAAAG/fL98=")</f>
        <v>#REF!</v>
      </c>
      <c r="HQ238" t="e">
        <f>IF('Reporting '!#REF!,"AAAAAG/fL+A=",0)</f>
        <v>#REF!</v>
      </c>
      <c r="HR238" t="e">
        <f>AND('Reporting '!#REF!,"AAAAAG/fL+E=")</f>
        <v>#REF!</v>
      </c>
      <c r="HS238" t="e">
        <f>AND('Reporting '!#REF!,"AAAAAG/fL+I=")</f>
        <v>#REF!</v>
      </c>
      <c r="HT238" t="e">
        <f>AND('Reporting '!#REF!,"AAAAAG/fL+M=")</f>
        <v>#REF!</v>
      </c>
      <c r="HU238" t="e">
        <f>AND('Reporting '!#REF!,"AAAAAG/fL+Q=")</f>
        <v>#REF!</v>
      </c>
      <c r="HV238" t="e">
        <f>AND('Reporting '!#REF!,"AAAAAG/fL+U=")</f>
        <v>#REF!</v>
      </c>
      <c r="HW238" t="e">
        <f>AND('Reporting '!#REF!,"AAAAAG/fL+Y=")</f>
        <v>#REF!</v>
      </c>
      <c r="HX238" t="e">
        <f>AND('Reporting '!#REF!,"AAAAAG/fL+c=")</f>
        <v>#REF!</v>
      </c>
      <c r="HY238" t="e">
        <f>AND('Reporting '!#REF!,"AAAAAG/fL+g=")</f>
        <v>#REF!</v>
      </c>
      <c r="HZ238" t="e">
        <f>AND('Reporting '!#REF!,"AAAAAG/fL+k=")</f>
        <v>#REF!</v>
      </c>
      <c r="IA238" t="e">
        <f>AND('Reporting '!#REF!,"AAAAAG/fL+o=")</f>
        <v>#REF!</v>
      </c>
      <c r="IB238" t="e">
        <f>AND('Reporting '!#REF!,"AAAAAG/fL+s=")</f>
        <v>#REF!</v>
      </c>
      <c r="IC238" t="e">
        <f>AND('Reporting '!#REF!,"AAAAAG/fL+w=")</f>
        <v>#REF!</v>
      </c>
      <c r="ID238" t="e">
        <f>AND('Reporting '!#REF!,"AAAAAG/fL+0=")</f>
        <v>#REF!</v>
      </c>
      <c r="IE238" t="e">
        <f>AND('Reporting '!#REF!,"AAAAAG/fL+4=")</f>
        <v>#REF!</v>
      </c>
      <c r="IF238" t="e">
        <f>IF('Reporting '!#REF!,"AAAAAG/fL+8=",0)</f>
        <v>#REF!</v>
      </c>
      <c r="IG238" t="e">
        <f>AND('Reporting '!#REF!,"AAAAAG/fL/A=")</f>
        <v>#REF!</v>
      </c>
      <c r="IH238" t="e">
        <f>AND('Reporting '!#REF!,"AAAAAG/fL/E=")</f>
        <v>#REF!</v>
      </c>
      <c r="II238" t="e">
        <f>AND('Reporting '!#REF!,"AAAAAG/fL/I=")</f>
        <v>#REF!</v>
      </c>
      <c r="IJ238" t="e">
        <f>AND('Reporting '!#REF!,"AAAAAG/fL/M=")</f>
        <v>#REF!</v>
      </c>
      <c r="IK238" t="e">
        <f>AND('Reporting '!#REF!,"AAAAAG/fL/Q=")</f>
        <v>#REF!</v>
      </c>
      <c r="IL238" t="e">
        <f>AND('Reporting '!#REF!,"AAAAAG/fL/U=")</f>
        <v>#REF!</v>
      </c>
      <c r="IM238" t="e">
        <f>AND('Reporting '!#REF!,"AAAAAG/fL/Y=")</f>
        <v>#REF!</v>
      </c>
      <c r="IN238" t="e">
        <f>AND('Reporting '!#REF!,"AAAAAG/fL/c=")</f>
        <v>#REF!</v>
      </c>
      <c r="IO238" t="e">
        <f>AND('Reporting '!#REF!,"AAAAAG/fL/g=")</f>
        <v>#REF!</v>
      </c>
      <c r="IP238" t="e">
        <f>AND('Reporting '!#REF!,"AAAAAG/fL/k=")</f>
        <v>#REF!</v>
      </c>
      <c r="IQ238" t="e">
        <f>AND('Reporting '!#REF!,"AAAAAG/fL/o=")</f>
        <v>#REF!</v>
      </c>
      <c r="IR238" t="e">
        <f>AND('Reporting '!#REF!,"AAAAAG/fL/s=")</f>
        <v>#REF!</v>
      </c>
      <c r="IS238" t="e">
        <f>AND('Reporting '!#REF!,"AAAAAG/fL/w=")</f>
        <v>#REF!</v>
      </c>
      <c r="IT238" t="e">
        <f>AND('Reporting '!#REF!,"AAAAAG/fL/0=")</f>
        <v>#REF!</v>
      </c>
      <c r="IU238" t="e">
        <f>IF('Reporting '!#REF!,"AAAAAG/fL/4=",0)</f>
        <v>#REF!</v>
      </c>
      <c r="IV238" t="e">
        <f>AND('Reporting '!#REF!,"AAAAAG/fL/8=")</f>
        <v>#REF!</v>
      </c>
    </row>
    <row r="239" spans="1:256" x14ac:dyDescent="0.2">
      <c r="A239" t="e">
        <f>AND('Reporting '!#REF!,"AAAAAH9/vgA=")</f>
        <v>#REF!</v>
      </c>
      <c r="B239" t="e">
        <f>AND('Reporting '!#REF!,"AAAAAH9/vgE=")</f>
        <v>#REF!</v>
      </c>
      <c r="C239" t="e">
        <f>AND('Reporting '!#REF!,"AAAAAH9/vgI=")</f>
        <v>#REF!</v>
      </c>
      <c r="D239" t="e">
        <f>AND('Reporting '!#REF!,"AAAAAH9/vgM=")</f>
        <v>#REF!</v>
      </c>
      <c r="E239" t="e">
        <f>AND('Reporting '!#REF!,"AAAAAH9/vgQ=")</f>
        <v>#REF!</v>
      </c>
      <c r="F239" t="e">
        <f>AND('Reporting '!#REF!,"AAAAAH9/vgU=")</f>
        <v>#REF!</v>
      </c>
      <c r="G239" t="e">
        <f>AND('Reporting '!#REF!,"AAAAAH9/vgY=")</f>
        <v>#REF!</v>
      </c>
      <c r="H239" t="e">
        <f>AND('Reporting '!#REF!,"AAAAAH9/vgc=")</f>
        <v>#REF!</v>
      </c>
      <c r="I239" t="e">
        <f>AND('Reporting '!#REF!,"AAAAAH9/vgg=")</f>
        <v>#REF!</v>
      </c>
      <c r="J239" t="e">
        <f>AND('Reporting '!#REF!,"AAAAAH9/vgk=")</f>
        <v>#REF!</v>
      </c>
      <c r="K239" t="e">
        <f>AND('Reporting '!#REF!,"AAAAAH9/vgo=")</f>
        <v>#REF!</v>
      </c>
      <c r="L239" t="e">
        <f>AND('Reporting '!#REF!,"AAAAAH9/vgs=")</f>
        <v>#REF!</v>
      </c>
      <c r="M239" t="e">
        <f>AND('Reporting '!#REF!,"AAAAAH9/vgw=")</f>
        <v>#REF!</v>
      </c>
      <c r="N239" t="e">
        <f>IF('Reporting '!#REF!,"AAAAAH9/vg0=",0)</f>
        <v>#REF!</v>
      </c>
      <c r="O239" t="e">
        <f>AND('Reporting '!#REF!,"AAAAAH9/vg4=")</f>
        <v>#REF!</v>
      </c>
      <c r="P239" t="e">
        <f>AND('Reporting '!#REF!,"AAAAAH9/vg8=")</f>
        <v>#REF!</v>
      </c>
      <c r="Q239" t="e">
        <f>AND('Reporting '!#REF!,"AAAAAH9/vhA=")</f>
        <v>#REF!</v>
      </c>
      <c r="R239" t="e">
        <f>AND('Reporting '!#REF!,"AAAAAH9/vhE=")</f>
        <v>#REF!</v>
      </c>
      <c r="S239" t="e">
        <f>AND('Reporting '!#REF!,"AAAAAH9/vhI=")</f>
        <v>#REF!</v>
      </c>
      <c r="T239" t="e">
        <f>AND('Reporting '!#REF!,"AAAAAH9/vhM=")</f>
        <v>#REF!</v>
      </c>
      <c r="U239" t="e">
        <f>AND('Reporting '!#REF!,"AAAAAH9/vhQ=")</f>
        <v>#REF!</v>
      </c>
      <c r="V239" t="e">
        <f>AND('Reporting '!#REF!,"AAAAAH9/vhU=")</f>
        <v>#REF!</v>
      </c>
      <c r="W239" t="e">
        <f>AND('Reporting '!#REF!,"AAAAAH9/vhY=")</f>
        <v>#REF!</v>
      </c>
      <c r="X239" t="e">
        <f>AND('Reporting '!#REF!,"AAAAAH9/vhc=")</f>
        <v>#REF!</v>
      </c>
      <c r="Y239" t="e">
        <f>AND('Reporting '!#REF!,"AAAAAH9/vhg=")</f>
        <v>#REF!</v>
      </c>
      <c r="Z239" t="e">
        <f>AND('Reporting '!#REF!,"AAAAAH9/vhk=")</f>
        <v>#REF!</v>
      </c>
      <c r="AA239" t="e">
        <f>AND('Reporting '!#REF!,"AAAAAH9/vho=")</f>
        <v>#REF!</v>
      </c>
      <c r="AB239" t="e">
        <f>AND('Reporting '!#REF!,"AAAAAH9/vhs=")</f>
        <v>#REF!</v>
      </c>
      <c r="AC239" t="e">
        <f>IF('Reporting '!#REF!,"AAAAAH9/vhw=",0)</f>
        <v>#REF!</v>
      </c>
      <c r="AD239" t="e">
        <f>AND('Reporting '!#REF!,"AAAAAH9/vh0=")</f>
        <v>#REF!</v>
      </c>
      <c r="AE239" t="e">
        <f>AND('Reporting '!#REF!,"AAAAAH9/vh4=")</f>
        <v>#REF!</v>
      </c>
      <c r="AF239" t="e">
        <f>AND('Reporting '!#REF!,"AAAAAH9/vh8=")</f>
        <v>#REF!</v>
      </c>
      <c r="AG239" t="e">
        <f>AND('Reporting '!#REF!,"AAAAAH9/viA=")</f>
        <v>#REF!</v>
      </c>
      <c r="AH239" t="e">
        <f>AND('Reporting '!#REF!,"AAAAAH9/viE=")</f>
        <v>#REF!</v>
      </c>
      <c r="AI239" t="e">
        <f>AND('Reporting '!#REF!,"AAAAAH9/viI=")</f>
        <v>#REF!</v>
      </c>
      <c r="AJ239" t="e">
        <f>AND('Reporting '!#REF!,"AAAAAH9/viM=")</f>
        <v>#REF!</v>
      </c>
      <c r="AK239" t="e">
        <f>AND('Reporting '!#REF!,"AAAAAH9/viQ=")</f>
        <v>#REF!</v>
      </c>
      <c r="AL239" t="e">
        <f>AND('Reporting '!#REF!,"AAAAAH9/viU=")</f>
        <v>#REF!</v>
      </c>
      <c r="AM239" t="e">
        <f>AND('Reporting '!#REF!,"AAAAAH9/viY=")</f>
        <v>#REF!</v>
      </c>
      <c r="AN239" t="e">
        <f>AND('Reporting '!#REF!,"AAAAAH9/vic=")</f>
        <v>#REF!</v>
      </c>
      <c r="AO239" t="e">
        <f>AND('Reporting '!#REF!,"AAAAAH9/vig=")</f>
        <v>#REF!</v>
      </c>
      <c r="AP239" t="e">
        <f>AND('Reporting '!#REF!,"AAAAAH9/vik=")</f>
        <v>#REF!</v>
      </c>
      <c r="AQ239" t="e">
        <f>AND('Reporting '!#REF!,"AAAAAH9/vio=")</f>
        <v>#REF!</v>
      </c>
      <c r="AR239" t="e">
        <f>IF('Reporting '!#REF!,"AAAAAH9/vis=",0)</f>
        <v>#REF!</v>
      </c>
      <c r="AS239" t="e">
        <f>AND('Reporting '!#REF!,"AAAAAH9/viw=")</f>
        <v>#REF!</v>
      </c>
      <c r="AT239" t="e">
        <f>AND('Reporting '!#REF!,"AAAAAH9/vi0=")</f>
        <v>#REF!</v>
      </c>
      <c r="AU239" t="e">
        <f>AND('Reporting '!#REF!,"AAAAAH9/vi4=")</f>
        <v>#REF!</v>
      </c>
      <c r="AV239" t="e">
        <f>AND('Reporting '!#REF!,"AAAAAH9/vi8=")</f>
        <v>#REF!</v>
      </c>
      <c r="AW239" t="e">
        <f>AND('Reporting '!#REF!,"AAAAAH9/vjA=")</f>
        <v>#REF!</v>
      </c>
      <c r="AX239" t="e">
        <f>AND('Reporting '!#REF!,"AAAAAH9/vjE=")</f>
        <v>#REF!</v>
      </c>
      <c r="AY239" t="e">
        <f>AND('Reporting '!#REF!,"AAAAAH9/vjI=")</f>
        <v>#REF!</v>
      </c>
      <c r="AZ239" t="e">
        <f>AND('Reporting '!#REF!,"AAAAAH9/vjM=")</f>
        <v>#REF!</v>
      </c>
      <c r="BA239" t="e">
        <f>AND('Reporting '!#REF!,"AAAAAH9/vjQ=")</f>
        <v>#REF!</v>
      </c>
      <c r="BB239" t="e">
        <f>AND('Reporting '!#REF!,"AAAAAH9/vjU=")</f>
        <v>#REF!</v>
      </c>
      <c r="BC239" t="e">
        <f>AND('Reporting '!#REF!,"AAAAAH9/vjY=")</f>
        <v>#REF!</v>
      </c>
      <c r="BD239" t="e">
        <f>AND('Reporting '!#REF!,"AAAAAH9/vjc=")</f>
        <v>#REF!</v>
      </c>
      <c r="BE239" t="e">
        <f>AND('Reporting '!#REF!,"AAAAAH9/vjg=")</f>
        <v>#REF!</v>
      </c>
      <c r="BF239" t="e">
        <f>AND('Reporting '!#REF!,"AAAAAH9/vjk=")</f>
        <v>#REF!</v>
      </c>
      <c r="BG239" t="e">
        <f>IF('Reporting '!#REF!,"AAAAAH9/vjo=",0)</f>
        <v>#REF!</v>
      </c>
      <c r="BH239" t="e">
        <f>AND('Reporting '!#REF!,"AAAAAH9/vjs=")</f>
        <v>#REF!</v>
      </c>
      <c r="BI239" t="e">
        <f>AND('Reporting '!#REF!,"AAAAAH9/vjw=")</f>
        <v>#REF!</v>
      </c>
      <c r="BJ239" t="e">
        <f>AND('Reporting '!#REF!,"AAAAAH9/vj0=")</f>
        <v>#REF!</v>
      </c>
      <c r="BK239" t="e">
        <f>AND('Reporting '!#REF!,"AAAAAH9/vj4=")</f>
        <v>#REF!</v>
      </c>
      <c r="BL239" t="e">
        <f>AND('Reporting '!#REF!,"AAAAAH9/vj8=")</f>
        <v>#REF!</v>
      </c>
      <c r="BM239" t="e">
        <f>AND('Reporting '!#REF!,"AAAAAH9/vkA=")</f>
        <v>#REF!</v>
      </c>
      <c r="BN239" t="e">
        <f>AND('Reporting '!#REF!,"AAAAAH9/vkE=")</f>
        <v>#REF!</v>
      </c>
      <c r="BO239" t="e">
        <f>AND('Reporting '!#REF!,"AAAAAH9/vkI=")</f>
        <v>#REF!</v>
      </c>
      <c r="BP239" t="e">
        <f>AND('Reporting '!#REF!,"AAAAAH9/vkM=")</f>
        <v>#REF!</v>
      </c>
      <c r="BQ239" t="e">
        <f>AND('Reporting '!#REF!,"AAAAAH9/vkQ=")</f>
        <v>#REF!</v>
      </c>
      <c r="BR239" t="e">
        <f>AND('Reporting '!#REF!,"AAAAAH9/vkU=")</f>
        <v>#REF!</v>
      </c>
      <c r="BS239" t="e">
        <f>AND('Reporting '!#REF!,"AAAAAH9/vkY=")</f>
        <v>#REF!</v>
      </c>
      <c r="BT239" t="e">
        <f>AND('Reporting '!#REF!,"AAAAAH9/vkc=")</f>
        <v>#REF!</v>
      </c>
      <c r="BU239" t="e">
        <f>AND('Reporting '!#REF!,"AAAAAH9/vkg=")</f>
        <v>#REF!</v>
      </c>
      <c r="BV239" t="e">
        <f>IF('Reporting '!#REF!,"AAAAAH9/vkk=",0)</f>
        <v>#REF!</v>
      </c>
      <c r="BW239" t="e">
        <f>AND('Reporting '!#REF!,"AAAAAH9/vko=")</f>
        <v>#REF!</v>
      </c>
      <c r="BX239" t="e">
        <f>AND('Reporting '!#REF!,"AAAAAH9/vks=")</f>
        <v>#REF!</v>
      </c>
      <c r="BY239" t="e">
        <f>AND('Reporting '!#REF!,"AAAAAH9/vkw=")</f>
        <v>#REF!</v>
      </c>
      <c r="BZ239" t="e">
        <f>AND('Reporting '!#REF!,"AAAAAH9/vk0=")</f>
        <v>#REF!</v>
      </c>
      <c r="CA239" t="e">
        <f>AND('Reporting '!#REF!,"AAAAAH9/vk4=")</f>
        <v>#REF!</v>
      </c>
      <c r="CB239" t="e">
        <f>AND('Reporting '!#REF!,"AAAAAH9/vk8=")</f>
        <v>#REF!</v>
      </c>
      <c r="CC239" t="e">
        <f>AND('Reporting '!#REF!,"AAAAAH9/vlA=")</f>
        <v>#REF!</v>
      </c>
      <c r="CD239" t="e">
        <f>AND('Reporting '!#REF!,"AAAAAH9/vlE=")</f>
        <v>#REF!</v>
      </c>
      <c r="CE239" t="e">
        <f>AND('Reporting '!#REF!,"AAAAAH9/vlI=")</f>
        <v>#REF!</v>
      </c>
      <c r="CF239" t="e">
        <f>AND('Reporting '!#REF!,"AAAAAH9/vlM=")</f>
        <v>#REF!</v>
      </c>
      <c r="CG239" t="e">
        <f>AND('Reporting '!#REF!,"AAAAAH9/vlQ=")</f>
        <v>#REF!</v>
      </c>
      <c r="CH239" t="e">
        <f>AND('Reporting '!#REF!,"AAAAAH9/vlU=")</f>
        <v>#REF!</v>
      </c>
      <c r="CI239" t="e">
        <f>AND('Reporting '!#REF!,"AAAAAH9/vlY=")</f>
        <v>#REF!</v>
      </c>
      <c r="CJ239" t="e">
        <f>AND('Reporting '!#REF!,"AAAAAH9/vlc=")</f>
        <v>#REF!</v>
      </c>
      <c r="CK239" t="e">
        <f>IF('Reporting '!#REF!,"AAAAAH9/vlg=",0)</f>
        <v>#REF!</v>
      </c>
      <c r="CL239" t="e">
        <f>AND('Reporting '!#REF!,"AAAAAH9/vlk=")</f>
        <v>#REF!</v>
      </c>
      <c r="CM239" t="e">
        <f>AND('Reporting '!#REF!,"AAAAAH9/vlo=")</f>
        <v>#REF!</v>
      </c>
      <c r="CN239" t="e">
        <f>AND('Reporting '!#REF!,"AAAAAH9/vls=")</f>
        <v>#REF!</v>
      </c>
      <c r="CO239" t="e">
        <f>AND('Reporting '!#REF!,"AAAAAH9/vlw=")</f>
        <v>#REF!</v>
      </c>
      <c r="CP239" t="e">
        <f>AND('Reporting '!#REF!,"AAAAAH9/vl0=")</f>
        <v>#REF!</v>
      </c>
      <c r="CQ239" t="e">
        <f>AND('Reporting '!#REF!,"AAAAAH9/vl4=")</f>
        <v>#REF!</v>
      </c>
      <c r="CR239" t="e">
        <f>AND('Reporting '!#REF!,"AAAAAH9/vl8=")</f>
        <v>#REF!</v>
      </c>
      <c r="CS239" t="e">
        <f>AND('Reporting '!#REF!,"AAAAAH9/vmA=")</f>
        <v>#REF!</v>
      </c>
      <c r="CT239" t="e">
        <f>AND('Reporting '!#REF!,"AAAAAH9/vmE=")</f>
        <v>#REF!</v>
      </c>
      <c r="CU239" t="e">
        <f>AND('Reporting '!#REF!,"AAAAAH9/vmI=")</f>
        <v>#REF!</v>
      </c>
      <c r="CV239" t="e">
        <f>AND('Reporting '!#REF!,"AAAAAH9/vmM=")</f>
        <v>#REF!</v>
      </c>
      <c r="CW239" t="e">
        <f>AND('Reporting '!#REF!,"AAAAAH9/vmQ=")</f>
        <v>#REF!</v>
      </c>
      <c r="CX239" t="e">
        <f>AND('Reporting '!#REF!,"AAAAAH9/vmU=")</f>
        <v>#REF!</v>
      </c>
      <c r="CY239" t="e">
        <f>AND('Reporting '!#REF!,"AAAAAH9/vmY=")</f>
        <v>#REF!</v>
      </c>
      <c r="CZ239" t="e">
        <f>IF('Reporting '!#REF!,"AAAAAH9/vmc=",0)</f>
        <v>#REF!</v>
      </c>
      <c r="DA239" t="e">
        <f>AND('Reporting '!#REF!,"AAAAAH9/vmg=")</f>
        <v>#REF!</v>
      </c>
      <c r="DB239" t="e">
        <f>AND('Reporting '!#REF!,"AAAAAH9/vmk=")</f>
        <v>#REF!</v>
      </c>
      <c r="DC239" t="e">
        <f>AND('Reporting '!#REF!,"AAAAAH9/vmo=")</f>
        <v>#REF!</v>
      </c>
      <c r="DD239" t="e">
        <f>AND('Reporting '!#REF!,"AAAAAH9/vms=")</f>
        <v>#REF!</v>
      </c>
      <c r="DE239" t="e">
        <f>AND('Reporting '!#REF!,"AAAAAH9/vmw=")</f>
        <v>#REF!</v>
      </c>
      <c r="DF239" t="e">
        <f>AND('Reporting '!#REF!,"AAAAAH9/vm0=")</f>
        <v>#REF!</v>
      </c>
      <c r="DG239" t="e">
        <f>AND('Reporting '!#REF!,"AAAAAH9/vm4=")</f>
        <v>#REF!</v>
      </c>
      <c r="DH239" t="e">
        <f>AND('Reporting '!#REF!,"AAAAAH9/vm8=")</f>
        <v>#REF!</v>
      </c>
      <c r="DI239" t="e">
        <f>AND('Reporting '!#REF!,"AAAAAH9/vnA=")</f>
        <v>#REF!</v>
      </c>
      <c r="DJ239" t="e">
        <f>AND('Reporting '!#REF!,"AAAAAH9/vnE=")</f>
        <v>#REF!</v>
      </c>
      <c r="DK239" t="e">
        <f>AND('Reporting '!#REF!,"AAAAAH9/vnI=")</f>
        <v>#REF!</v>
      </c>
      <c r="DL239" t="e">
        <f>AND('Reporting '!#REF!,"AAAAAH9/vnM=")</f>
        <v>#REF!</v>
      </c>
      <c r="DM239" t="e">
        <f>AND('Reporting '!#REF!,"AAAAAH9/vnQ=")</f>
        <v>#REF!</v>
      </c>
      <c r="DN239" t="e">
        <f>AND('Reporting '!#REF!,"AAAAAH9/vnU=")</f>
        <v>#REF!</v>
      </c>
      <c r="DO239" t="e">
        <f>IF('Reporting '!#REF!,"AAAAAH9/vnY=",0)</f>
        <v>#REF!</v>
      </c>
      <c r="DP239" t="e">
        <f>AND('Reporting '!#REF!,"AAAAAH9/vnc=")</f>
        <v>#REF!</v>
      </c>
      <c r="DQ239" t="e">
        <f>AND('Reporting '!#REF!,"AAAAAH9/vng=")</f>
        <v>#REF!</v>
      </c>
      <c r="DR239" t="e">
        <f>AND('Reporting '!#REF!,"AAAAAH9/vnk=")</f>
        <v>#REF!</v>
      </c>
      <c r="DS239" t="e">
        <f>AND('Reporting '!#REF!,"AAAAAH9/vno=")</f>
        <v>#REF!</v>
      </c>
      <c r="DT239" t="e">
        <f>AND('Reporting '!#REF!,"AAAAAH9/vns=")</f>
        <v>#REF!</v>
      </c>
      <c r="DU239" t="e">
        <f>AND('Reporting '!#REF!,"AAAAAH9/vnw=")</f>
        <v>#REF!</v>
      </c>
      <c r="DV239" t="e">
        <f>AND('Reporting '!#REF!,"AAAAAH9/vn0=")</f>
        <v>#REF!</v>
      </c>
      <c r="DW239" t="e">
        <f>AND('Reporting '!#REF!,"AAAAAH9/vn4=")</f>
        <v>#REF!</v>
      </c>
      <c r="DX239" t="e">
        <f>AND('Reporting '!#REF!,"AAAAAH9/vn8=")</f>
        <v>#REF!</v>
      </c>
      <c r="DY239" t="e">
        <f>AND('Reporting '!#REF!,"AAAAAH9/voA=")</f>
        <v>#REF!</v>
      </c>
      <c r="DZ239" t="e">
        <f>AND('Reporting '!#REF!,"AAAAAH9/voE=")</f>
        <v>#REF!</v>
      </c>
      <c r="EA239" t="e">
        <f>AND('Reporting '!#REF!,"AAAAAH9/voI=")</f>
        <v>#REF!</v>
      </c>
      <c r="EB239" t="e">
        <f>AND('Reporting '!#REF!,"AAAAAH9/voM=")</f>
        <v>#REF!</v>
      </c>
      <c r="EC239" t="e">
        <f>AND('Reporting '!#REF!,"AAAAAH9/voQ=")</f>
        <v>#REF!</v>
      </c>
      <c r="ED239" t="e">
        <f>IF('Reporting '!#REF!,"AAAAAH9/voU=",0)</f>
        <v>#REF!</v>
      </c>
      <c r="EE239" t="e">
        <f>AND('Reporting '!#REF!,"AAAAAH9/voY=")</f>
        <v>#REF!</v>
      </c>
      <c r="EF239" t="e">
        <f>AND('Reporting '!#REF!,"AAAAAH9/voc=")</f>
        <v>#REF!</v>
      </c>
      <c r="EG239" t="e">
        <f>AND('Reporting '!#REF!,"AAAAAH9/vog=")</f>
        <v>#REF!</v>
      </c>
      <c r="EH239" t="e">
        <f>AND('Reporting '!#REF!,"AAAAAH9/vok=")</f>
        <v>#REF!</v>
      </c>
      <c r="EI239" t="e">
        <f>AND('Reporting '!#REF!,"AAAAAH9/voo=")</f>
        <v>#REF!</v>
      </c>
      <c r="EJ239" t="e">
        <f>AND('Reporting '!#REF!,"AAAAAH9/vos=")</f>
        <v>#REF!</v>
      </c>
      <c r="EK239" t="e">
        <f>AND('Reporting '!#REF!,"AAAAAH9/vow=")</f>
        <v>#REF!</v>
      </c>
      <c r="EL239" t="e">
        <f>AND('Reporting '!#REF!,"AAAAAH9/vo0=")</f>
        <v>#REF!</v>
      </c>
      <c r="EM239" t="e">
        <f>AND('Reporting '!#REF!,"AAAAAH9/vo4=")</f>
        <v>#REF!</v>
      </c>
      <c r="EN239" t="e">
        <f>AND('Reporting '!#REF!,"AAAAAH9/vo8=")</f>
        <v>#REF!</v>
      </c>
      <c r="EO239" t="e">
        <f>AND('Reporting '!#REF!,"AAAAAH9/vpA=")</f>
        <v>#REF!</v>
      </c>
      <c r="EP239" t="e">
        <f>AND('Reporting '!#REF!,"AAAAAH9/vpE=")</f>
        <v>#REF!</v>
      </c>
      <c r="EQ239" t="e">
        <f>AND('Reporting '!#REF!,"AAAAAH9/vpI=")</f>
        <v>#REF!</v>
      </c>
      <c r="ER239" t="e">
        <f>AND('Reporting '!#REF!,"AAAAAH9/vpM=")</f>
        <v>#REF!</v>
      </c>
      <c r="ES239" t="e">
        <f>IF('Reporting '!#REF!,"AAAAAH9/vpQ=",0)</f>
        <v>#REF!</v>
      </c>
      <c r="ET239" t="e">
        <f>AND('Reporting '!#REF!,"AAAAAH9/vpU=")</f>
        <v>#REF!</v>
      </c>
      <c r="EU239" t="e">
        <f>AND('Reporting '!#REF!,"AAAAAH9/vpY=")</f>
        <v>#REF!</v>
      </c>
      <c r="EV239" t="e">
        <f>AND('Reporting '!#REF!,"AAAAAH9/vpc=")</f>
        <v>#REF!</v>
      </c>
      <c r="EW239" t="e">
        <f>AND('Reporting '!#REF!,"AAAAAH9/vpg=")</f>
        <v>#REF!</v>
      </c>
      <c r="EX239" t="e">
        <f>AND('Reporting '!#REF!,"AAAAAH9/vpk=")</f>
        <v>#REF!</v>
      </c>
      <c r="EY239" t="e">
        <f>AND('Reporting '!#REF!,"AAAAAH9/vpo=")</f>
        <v>#REF!</v>
      </c>
      <c r="EZ239" t="e">
        <f>AND('Reporting '!#REF!,"AAAAAH9/vps=")</f>
        <v>#REF!</v>
      </c>
      <c r="FA239" t="e">
        <f>AND('Reporting '!#REF!,"AAAAAH9/vpw=")</f>
        <v>#REF!</v>
      </c>
      <c r="FB239" t="e">
        <f>AND('Reporting '!#REF!,"AAAAAH9/vp0=")</f>
        <v>#REF!</v>
      </c>
      <c r="FC239" t="e">
        <f>AND('Reporting '!#REF!,"AAAAAH9/vp4=")</f>
        <v>#REF!</v>
      </c>
      <c r="FD239" t="e">
        <f>AND('Reporting '!#REF!,"AAAAAH9/vp8=")</f>
        <v>#REF!</v>
      </c>
      <c r="FE239" t="e">
        <f>AND('Reporting '!#REF!,"AAAAAH9/vqA=")</f>
        <v>#REF!</v>
      </c>
      <c r="FF239" t="e">
        <f>AND('Reporting '!#REF!,"AAAAAH9/vqE=")</f>
        <v>#REF!</v>
      </c>
      <c r="FG239" t="e">
        <f>AND('Reporting '!#REF!,"AAAAAH9/vqI=")</f>
        <v>#REF!</v>
      </c>
      <c r="FH239" t="e">
        <f>IF('Reporting '!#REF!,"AAAAAH9/vqM=",0)</f>
        <v>#REF!</v>
      </c>
      <c r="FI239" t="e">
        <f>AND('Reporting '!#REF!,"AAAAAH9/vqQ=")</f>
        <v>#REF!</v>
      </c>
      <c r="FJ239" t="e">
        <f>AND('Reporting '!#REF!,"AAAAAH9/vqU=")</f>
        <v>#REF!</v>
      </c>
      <c r="FK239" t="e">
        <f>AND('Reporting '!#REF!,"AAAAAH9/vqY=")</f>
        <v>#REF!</v>
      </c>
      <c r="FL239" t="e">
        <f>AND('Reporting '!#REF!,"AAAAAH9/vqc=")</f>
        <v>#REF!</v>
      </c>
      <c r="FM239" t="e">
        <f>AND('Reporting '!#REF!,"AAAAAH9/vqg=")</f>
        <v>#REF!</v>
      </c>
      <c r="FN239" t="e">
        <f>AND('Reporting '!#REF!,"AAAAAH9/vqk=")</f>
        <v>#REF!</v>
      </c>
      <c r="FO239" t="e">
        <f>AND('Reporting '!#REF!,"AAAAAH9/vqo=")</f>
        <v>#REF!</v>
      </c>
      <c r="FP239" t="e">
        <f>AND('Reporting '!#REF!,"AAAAAH9/vqs=")</f>
        <v>#REF!</v>
      </c>
      <c r="FQ239" t="e">
        <f>AND('Reporting '!#REF!,"AAAAAH9/vqw=")</f>
        <v>#REF!</v>
      </c>
      <c r="FR239" t="e">
        <f>AND('Reporting '!#REF!,"AAAAAH9/vq0=")</f>
        <v>#REF!</v>
      </c>
      <c r="FS239" t="e">
        <f>AND('Reporting '!#REF!,"AAAAAH9/vq4=")</f>
        <v>#REF!</v>
      </c>
      <c r="FT239" t="e">
        <f>AND('Reporting '!#REF!,"AAAAAH9/vq8=")</f>
        <v>#REF!</v>
      </c>
      <c r="FU239" t="e">
        <f>AND('Reporting '!#REF!,"AAAAAH9/vrA=")</f>
        <v>#REF!</v>
      </c>
      <c r="FV239" t="e">
        <f>AND('Reporting '!#REF!,"AAAAAH9/vrE=")</f>
        <v>#REF!</v>
      </c>
      <c r="FW239" t="e">
        <f>IF('Reporting '!#REF!,"AAAAAH9/vrI=",0)</f>
        <v>#REF!</v>
      </c>
      <c r="FX239" t="e">
        <f>AND('Reporting '!#REF!,"AAAAAH9/vrM=")</f>
        <v>#REF!</v>
      </c>
      <c r="FY239" t="e">
        <f>AND('Reporting '!#REF!,"AAAAAH9/vrQ=")</f>
        <v>#REF!</v>
      </c>
      <c r="FZ239" t="e">
        <f>AND('Reporting '!#REF!,"AAAAAH9/vrU=")</f>
        <v>#REF!</v>
      </c>
      <c r="GA239" t="e">
        <f>AND('Reporting '!#REF!,"AAAAAH9/vrY=")</f>
        <v>#REF!</v>
      </c>
      <c r="GB239" t="e">
        <f>AND('Reporting '!#REF!,"AAAAAH9/vrc=")</f>
        <v>#REF!</v>
      </c>
      <c r="GC239" t="e">
        <f>AND('Reporting '!#REF!,"AAAAAH9/vrg=")</f>
        <v>#REF!</v>
      </c>
      <c r="GD239" t="e">
        <f>AND('Reporting '!#REF!,"AAAAAH9/vrk=")</f>
        <v>#REF!</v>
      </c>
      <c r="GE239" t="e">
        <f>AND('Reporting '!#REF!,"AAAAAH9/vro=")</f>
        <v>#REF!</v>
      </c>
      <c r="GF239" t="e">
        <f>AND('Reporting '!#REF!,"AAAAAH9/vrs=")</f>
        <v>#REF!</v>
      </c>
      <c r="GG239" t="e">
        <f>AND('Reporting '!#REF!,"AAAAAH9/vrw=")</f>
        <v>#REF!</v>
      </c>
      <c r="GH239" t="e">
        <f>AND('Reporting '!#REF!,"AAAAAH9/vr0=")</f>
        <v>#REF!</v>
      </c>
      <c r="GI239" t="e">
        <f>AND('Reporting '!#REF!,"AAAAAH9/vr4=")</f>
        <v>#REF!</v>
      </c>
      <c r="GJ239" t="e">
        <f>AND('Reporting '!#REF!,"AAAAAH9/vr8=")</f>
        <v>#REF!</v>
      </c>
      <c r="GK239" t="e">
        <f>AND('Reporting '!#REF!,"AAAAAH9/vsA=")</f>
        <v>#REF!</v>
      </c>
      <c r="GL239" t="e">
        <f>IF('Reporting '!#REF!,"AAAAAH9/vsE=",0)</f>
        <v>#REF!</v>
      </c>
      <c r="GM239" t="e">
        <f>AND('Reporting '!#REF!,"AAAAAH9/vsI=")</f>
        <v>#REF!</v>
      </c>
      <c r="GN239" t="e">
        <f>AND('Reporting '!#REF!,"AAAAAH9/vsM=")</f>
        <v>#REF!</v>
      </c>
      <c r="GO239" t="e">
        <f>AND('Reporting '!#REF!,"AAAAAH9/vsQ=")</f>
        <v>#REF!</v>
      </c>
      <c r="GP239" t="e">
        <f>AND('Reporting '!#REF!,"AAAAAH9/vsU=")</f>
        <v>#REF!</v>
      </c>
      <c r="GQ239" t="e">
        <f>AND('Reporting '!#REF!,"AAAAAH9/vsY=")</f>
        <v>#REF!</v>
      </c>
      <c r="GR239" t="e">
        <f>AND('Reporting '!#REF!,"AAAAAH9/vsc=")</f>
        <v>#REF!</v>
      </c>
      <c r="GS239" t="e">
        <f>AND('Reporting '!#REF!,"AAAAAH9/vsg=")</f>
        <v>#REF!</v>
      </c>
      <c r="GT239" t="e">
        <f>AND('Reporting '!#REF!,"AAAAAH9/vsk=")</f>
        <v>#REF!</v>
      </c>
      <c r="GU239" t="e">
        <f>AND('Reporting '!#REF!,"AAAAAH9/vso=")</f>
        <v>#REF!</v>
      </c>
      <c r="GV239" t="e">
        <f>AND('Reporting '!#REF!,"AAAAAH9/vss=")</f>
        <v>#REF!</v>
      </c>
      <c r="GW239" t="e">
        <f>AND('Reporting '!#REF!,"AAAAAH9/vsw=")</f>
        <v>#REF!</v>
      </c>
      <c r="GX239" t="e">
        <f>AND('Reporting '!#REF!,"AAAAAH9/vs0=")</f>
        <v>#REF!</v>
      </c>
      <c r="GY239" t="e">
        <f>AND('Reporting '!#REF!,"AAAAAH9/vs4=")</f>
        <v>#REF!</v>
      </c>
      <c r="GZ239" t="e">
        <f>AND('Reporting '!#REF!,"AAAAAH9/vs8=")</f>
        <v>#REF!</v>
      </c>
      <c r="HA239" t="e">
        <f>IF('Reporting '!#REF!,"AAAAAH9/vtA=",0)</f>
        <v>#REF!</v>
      </c>
      <c r="HB239" t="e">
        <f>AND('Reporting '!#REF!,"AAAAAH9/vtE=")</f>
        <v>#REF!</v>
      </c>
      <c r="HC239" t="e">
        <f>AND('Reporting '!#REF!,"AAAAAH9/vtI=")</f>
        <v>#REF!</v>
      </c>
      <c r="HD239" t="e">
        <f>AND('Reporting '!#REF!,"AAAAAH9/vtM=")</f>
        <v>#REF!</v>
      </c>
      <c r="HE239" t="e">
        <f>AND('Reporting '!#REF!,"AAAAAH9/vtQ=")</f>
        <v>#REF!</v>
      </c>
      <c r="HF239" t="e">
        <f>AND('Reporting '!#REF!,"AAAAAH9/vtU=")</f>
        <v>#REF!</v>
      </c>
      <c r="HG239" t="e">
        <f>AND('Reporting '!#REF!,"AAAAAH9/vtY=")</f>
        <v>#REF!</v>
      </c>
      <c r="HH239" t="e">
        <f>AND('Reporting '!#REF!,"AAAAAH9/vtc=")</f>
        <v>#REF!</v>
      </c>
      <c r="HI239" t="e">
        <f>AND('Reporting '!#REF!,"AAAAAH9/vtg=")</f>
        <v>#REF!</v>
      </c>
      <c r="HJ239" t="e">
        <f>AND('Reporting '!#REF!,"AAAAAH9/vtk=")</f>
        <v>#REF!</v>
      </c>
      <c r="HK239" t="e">
        <f>AND('Reporting '!#REF!,"AAAAAH9/vto=")</f>
        <v>#REF!</v>
      </c>
      <c r="HL239" t="e">
        <f>AND('Reporting '!#REF!,"AAAAAH9/vts=")</f>
        <v>#REF!</v>
      </c>
      <c r="HM239" t="e">
        <f>AND('Reporting '!#REF!,"AAAAAH9/vtw=")</f>
        <v>#REF!</v>
      </c>
      <c r="HN239" t="e">
        <f>AND('Reporting '!#REF!,"AAAAAH9/vt0=")</f>
        <v>#REF!</v>
      </c>
      <c r="HO239" t="e">
        <f>AND('Reporting '!#REF!,"AAAAAH9/vt4=")</f>
        <v>#REF!</v>
      </c>
      <c r="HP239" t="e">
        <f>IF('Reporting '!#REF!,"AAAAAH9/vt8=",0)</f>
        <v>#REF!</v>
      </c>
      <c r="HQ239" t="e">
        <f>AND('Reporting '!#REF!,"AAAAAH9/vuA=")</f>
        <v>#REF!</v>
      </c>
      <c r="HR239" t="e">
        <f>AND('Reporting '!#REF!,"AAAAAH9/vuE=")</f>
        <v>#REF!</v>
      </c>
      <c r="HS239" t="e">
        <f>AND('Reporting '!#REF!,"AAAAAH9/vuI=")</f>
        <v>#REF!</v>
      </c>
      <c r="HT239" t="e">
        <f>AND('Reporting '!#REF!,"AAAAAH9/vuM=")</f>
        <v>#REF!</v>
      </c>
      <c r="HU239" t="e">
        <f>AND('Reporting '!#REF!,"AAAAAH9/vuQ=")</f>
        <v>#REF!</v>
      </c>
      <c r="HV239" t="e">
        <f>AND('Reporting '!#REF!,"AAAAAH9/vuU=")</f>
        <v>#REF!</v>
      </c>
      <c r="HW239" t="e">
        <f>AND('Reporting '!#REF!,"AAAAAH9/vuY=")</f>
        <v>#REF!</v>
      </c>
      <c r="HX239" t="e">
        <f>AND('Reporting '!#REF!,"AAAAAH9/vuc=")</f>
        <v>#REF!</v>
      </c>
      <c r="HY239" t="e">
        <f>AND('Reporting '!#REF!,"AAAAAH9/vug=")</f>
        <v>#REF!</v>
      </c>
      <c r="HZ239" t="e">
        <f>AND('Reporting '!#REF!,"AAAAAH9/vuk=")</f>
        <v>#REF!</v>
      </c>
      <c r="IA239" t="e">
        <f>AND('Reporting '!#REF!,"AAAAAH9/vuo=")</f>
        <v>#REF!</v>
      </c>
      <c r="IB239" t="e">
        <f>AND('Reporting '!#REF!,"AAAAAH9/vus=")</f>
        <v>#REF!</v>
      </c>
      <c r="IC239" t="e">
        <f>AND('Reporting '!#REF!,"AAAAAH9/vuw=")</f>
        <v>#REF!</v>
      </c>
      <c r="ID239" t="e">
        <f>AND('Reporting '!#REF!,"AAAAAH9/vu0=")</f>
        <v>#REF!</v>
      </c>
      <c r="IE239" t="e">
        <f>IF('Reporting '!#REF!,"AAAAAH9/vu4=",0)</f>
        <v>#REF!</v>
      </c>
      <c r="IF239" t="e">
        <f>AND('Reporting '!#REF!,"AAAAAH9/vu8=")</f>
        <v>#REF!</v>
      </c>
      <c r="IG239" t="e">
        <f>AND('Reporting '!#REF!,"AAAAAH9/vvA=")</f>
        <v>#REF!</v>
      </c>
      <c r="IH239" t="e">
        <f>AND('Reporting '!#REF!,"AAAAAH9/vvE=")</f>
        <v>#REF!</v>
      </c>
      <c r="II239" t="e">
        <f>AND('Reporting '!#REF!,"AAAAAH9/vvI=")</f>
        <v>#REF!</v>
      </c>
      <c r="IJ239" t="e">
        <f>AND('Reporting '!#REF!,"AAAAAH9/vvM=")</f>
        <v>#REF!</v>
      </c>
      <c r="IK239" t="e">
        <f>AND('Reporting '!#REF!,"AAAAAH9/vvQ=")</f>
        <v>#REF!</v>
      </c>
      <c r="IL239" t="e">
        <f>AND('Reporting '!#REF!,"AAAAAH9/vvU=")</f>
        <v>#REF!</v>
      </c>
      <c r="IM239" t="e">
        <f>AND('Reporting '!#REF!,"AAAAAH9/vvY=")</f>
        <v>#REF!</v>
      </c>
      <c r="IN239" t="e">
        <f>AND('Reporting '!#REF!,"AAAAAH9/vvc=")</f>
        <v>#REF!</v>
      </c>
      <c r="IO239" t="e">
        <f>AND('Reporting '!#REF!,"AAAAAH9/vvg=")</f>
        <v>#REF!</v>
      </c>
      <c r="IP239" t="e">
        <f>AND('Reporting '!#REF!,"AAAAAH9/vvk=")</f>
        <v>#REF!</v>
      </c>
      <c r="IQ239" t="e">
        <f>AND('Reporting '!#REF!,"AAAAAH9/vvo=")</f>
        <v>#REF!</v>
      </c>
      <c r="IR239" t="e">
        <f>AND('Reporting '!#REF!,"AAAAAH9/vvs=")</f>
        <v>#REF!</v>
      </c>
      <c r="IS239" t="e">
        <f>AND('Reporting '!#REF!,"AAAAAH9/vvw=")</f>
        <v>#REF!</v>
      </c>
      <c r="IT239" t="e">
        <f>IF('Reporting '!#REF!,"AAAAAH9/vv0=",0)</f>
        <v>#REF!</v>
      </c>
      <c r="IU239" t="e">
        <f>AND('Reporting '!#REF!,"AAAAAH9/vv4=")</f>
        <v>#REF!</v>
      </c>
      <c r="IV239" t="e">
        <f>AND('Reporting '!#REF!,"AAAAAH9/vv8=")</f>
        <v>#REF!</v>
      </c>
    </row>
    <row r="240" spans="1:256" x14ac:dyDescent="0.2">
      <c r="A240" t="e">
        <f>AND('Reporting '!#REF!,"AAAAAEk/fgA=")</f>
        <v>#REF!</v>
      </c>
      <c r="B240" t="e">
        <f>AND('Reporting '!#REF!,"AAAAAEk/fgE=")</f>
        <v>#REF!</v>
      </c>
      <c r="C240" t="e">
        <f>AND('Reporting '!#REF!,"AAAAAEk/fgI=")</f>
        <v>#REF!</v>
      </c>
      <c r="D240" t="e">
        <f>AND('Reporting '!#REF!,"AAAAAEk/fgM=")</f>
        <v>#REF!</v>
      </c>
      <c r="E240" t="e">
        <f>AND('Reporting '!#REF!,"AAAAAEk/fgQ=")</f>
        <v>#REF!</v>
      </c>
      <c r="F240" t="e">
        <f>AND('Reporting '!#REF!,"AAAAAEk/fgU=")</f>
        <v>#REF!</v>
      </c>
      <c r="G240" t="e">
        <f>AND('Reporting '!#REF!,"AAAAAEk/fgY=")</f>
        <v>#REF!</v>
      </c>
      <c r="H240" t="e">
        <f>AND('Reporting '!#REF!,"AAAAAEk/fgc=")</f>
        <v>#REF!</v>
      </c>
      <c r="I240" t="e">
        <f>AND('Reporting '!#REF!,"AAAAAEk/fgg=")</f>
        <v>#REF!</v>
      </c>
      <c r="J240" t="e">
        <f>AND('Reporting '!#REF!,"AAAAAEk/fgk=")</f>
        <v>#REF!</v>
      </c>
      <c r="K240" t="e">
        <f>AND('Reporting '!#REF!,"AAAAAEk/fgo=")</f>
        <v>#REF!</v>
      </c>
      <c r="L240" t="e">
        <f>AND('Reporting '!#REF!,"AAAAAEk/fgs=")</f>
        <v>#REF!</v>
      </c>
      <c r="M240" t="e">
        <f>IF('Reporting '!#REF!,"AAAAAEk/fgw=",0)</f>
        <v>#REF!</v>
      </c>
      <c r="N240" t="e">
        <f>AND('Reporting '!#REF!,"AAAAAEk/fg0=")</f>
        <v>#REF!</v>
      </c>
      <c r="O240" t="e">
        <f>AND('Reporting '!#REF!,"AAAAAEk/fg4=")</f>
        <v>#REF!</v>
      </c>
      <c r="P240" t="e">
        <f>AND('Reporting '!#REF!,"AAAAAEk/fg8=")</f>
        <v>#REF!</v>
      </c>
      <c r="Q240" t="e">
        <f>AND('Reporting '!#REF!,"AAAAAEk/fhA=")</f>
        <v>#REF!</v>
      </c>
      <c r="R240" t="e">
        <f>AND('Reporting '!#REF!,"AAAAAEk/fhE=")</f>
        <v>#REF!</v>
      </c>
      <c r="S240" t="e">
        <f>AND('Reporting '!#REF!,"AAAAAEk/fhI=")</f>
        <v>#REF!</v>
      </c>
      <c r="T240" t="e">
        <f>AND('Reporting '!#REF!,"AAAAAEk/fhM=")</f>
        <v>#REF!</v>
      </c>
      <c r="U240" t="e">
        <f>AND('Reporting '!#REF!,"AAAAAEk/fhQ=")</f>
        <v>#REF!</v>
      </c>
      <c r="V240" t="e">
        <f>AND('Reporting '!#REF!,"AAAAAEk/fhU=")</f>
        <v>#REF!</v>
      </c>
      <c r="W240" t="e">
        <f>AND('Reporting '!#REF!,"AAAAAEk/fhY=")</f>
        <v>#REF!</v>
      </c>
      <c r="X240" t="e">
        <f>AND('Reporting '!#REF!,"AAAAAEk/fhc=")</f>
        <v>#REF!</v>
      </c>
      <c r="Y240" t="e">
        <f>AND('Reporting '!#REF!,"AAAAAEk/fhg=")</f>
        <v>#REF!</v>
      </c>
      <c r="Z240" t="e">
        <f>AND('Reporting '!#REF!,"AAAAAEk/fhk=")</f>
        <v>#REF!</v>
      </c>
      <c r="AA240" t="e">
        <f>AND('Reporting '!#REF!,"AAAAAEk/fho=")</f>
        <v>#REF!</v>
      </c>
      <c r="AB240" t="e">
        <f>IF('Reporting '!#REF!,"AAAAAEk/fhs=",0)</f>
        <v>#REF!</v>
      </c>
      <c r="AC240" t="e">
        <f>AND('Reporting '!#REF!,"AAAAAEk/fhw=")</f>
        <v>#REF!</v>
      </c>
      <c r="AD240" t="e">
        <f>AND('Reporting '!#REF!,"AAAAAEk/fh0=")</f>
        <v>#REF!</v>
      </c>
      <c r="AE240" t="e">
        <f>AND('Reporting '!#REF!,"AAAAAEk/fh4=")</f>
        <v>#REF!</v>
      </c>
      <c r="AF240" t="e">
        <f>AND('Reporting '!#REF!,"AAAAAEk/fh8=")</f>
        <v>#REF!</v>
      </c>
      <c r="AG240" t="e">
        <f>AND('Reporting '!#REF!,"AAAAAEk/fiA=")</f>
        <v>#REF!</v>
      </c>
      <c r="AH240" t="e">
        <f>AND('Reporting '!#REF!,"AAAAAEk/fiE=")</f>
        <v>#REF!</v>
      </c>
      <c r="AI240" t="e">
        <f>AND('Reporting '!#REF!,"AAAAAEk/fiI=")</f>
        <v>#REF!</v>
      </c>
      <c r="AJ240" t="e">
        <f>AND('Reporting '!#REF!,"AAAAAEk/fiM=")</f>
        <v>#REF!</v>
      </c>
      <c r="AK240" t="e">
        <f>AND('Reporting '!#REF!,"AAAAAEk/fiQ=")</f>
        <v>#REF!</v>
      </c>
      <c r="AL240" t="e">
        <f>AND('Reporting '!#REF!,"AAAAAEk/fiU=")</f>
        <v>#REF!</v>
      </c>
      <c r="AM240" t="e">
        <f>AND('Reporting '!#REF!,"AAAAAEk/fiY=")</f>
        <v>#REF!</v>
      </c>
      <c r="AN240" t="e">
        <f>AND('Reporting '!#REF!,"AAAAAEk/fic=")</f>
        <v>#REF!</v>
      </c>
      <c r="AO240" t="e">
        <f>AND('Reporting '!#REF!,"AAAAAEk/fig=")</f>
        <v>#REF!</v>
      </c>
      <c r="AP240" t="e">
        <f>AND('Reporting '!#REF!,"AAAAAEk/fik=")</f>
        <v>#REF!</v>
      </c>
      <c r="AQ240" t="e">
        <f>IF('Reporting '!#REF!,"AAAAAEk/fio=",0)</f>
        <v>#REF!</v>
      </c>
      <c r="AR240" t="e">
        <f>AND('Reporting '!#REF!,"AAAAAEk/fis=")</f>
        <v>#REF!</v>
      </c>
      <c r="AS240" t="e">
        <f>AND('Reporting '!#REF!,"AAAAAEk/fiw=")</f>
        <v>#REF!</v>
      </c>
      <c r="AT240" t="e">
        <f>AND('Reporting '!#REF!,"AAAAAEk/fi0=")</f>
        <v>#REF!</v>
      </c>
      <c r="AU240" t="e">
        <f>AND('Reporting '!#REF!,"AAAAAEk/fi4=")</f>
        <v>#REF!</v>
      </c>
      <c r="AV240" t="e">
        <f>AND('Reporting '!#REF!,"AAAAAEk/fi8=")</f>
        <v>#REF!</v>
      </c>
      <c r="AW240" t="e">
        <f>AND('Reporting '!#REF!,"AAAAAEk/fjA=")</f>
        <v>#REF!</v>
      </c>
      <c r="AX240" t="e">
        <f>AND('Reporting '!#REF!,"AAAAAEk/fjE=")</f>
        <v>#REF!</v>
      </c>
      <c r="AY240" t="e">
        <f>AND('Reporting '!#REF!,"AAAAAEk/fjI=")</f>
        <v>#REF!</v>
      </c>
      <c r="AZ240" t="e">
        <f>AND('Reporting '!#REF!,"AAAAAEk/fjM=")</f>
        <v>#REF!</v>
      </c>
      <c r="BA240" t="e">
        <f>AND('Reporting '!#REF!,"AAAAAEk/fjQ=")</f>
        <v>#REF!</v>
      </c>
      <c r="BB240" t="e">
        <f>AND('Reporting '!#REF!,"AAAAAEk/fjU=")</f>
        <v>#REF!</v>
      </c>
      <c r="BC240" t="e">
        <f>AND('Reporting '!#REF!,"AAAAAEk/fjY=")</f>
        <v>#REF!</v>
      </c>
      <c r="BD240" t="e">
        <f>AND('Reporting '!#REF!,"AAAAAEk/fjc=")</f>
        <v>#REF!</v>
      </c>
      <c r="BE240" t="e">
        <f>AND('Reporting '!#REF!,"AAAAAEk/fjg=")</f>
        <v>#REF!</v>
      </c>
      <c r="BF240" t="e">
        <f>IF('Reporting '!#REF!,"AAAAAEk/fjk=",0)</f>
        <v>#REF!</v>
      </c>
      <c r="BG240" t="e">
        <f>AND('Reporting '!#REF!,"AAAAAEk/fjo=")</f>
        <v>#REF!</v>
      </c>
      <c r="BH240" t="e">
        <f>AND('Reporting '!#REF!,"AAAAAEk/fjs=")</f>
        <v>#REF!</v>
      </c>
      <c r="BI240" t="e">
        <f>AND('Reporting '!#REF!,"AAAAAEk/fjw=")</f>
        <v>#REF!</v>
      </c>
      <c r="BJ240" t="e">
        <f>AND('Reporting '!#REF!,"AAAAAEk/fj0=")</f>
        <v>#REF!</v>
      </c>
      <c r="BK240" t="e">
        <f>AND('Reporting '!#REF!,"AAAAAEk/fj4=")</f>
        <v>#REF!</v>
      </c>
      <c r="BL240" t="e">
        <f>AND('Reporting '!#REF!,"AAAAAEk/fj8=")</f>
        <v>#REF!</v>
      </c>
      <c r="BM240" t="e">
        <f>AND('Reporting '!#REF!,"AAAAAEk/fkA=")</f>
        <v>#REF!</v>
      </c>
      <c r="BN240" t="e">
        <f>AND('Reporting '!#REF!,"AAAAAEk/fkE=")</f>
        <v>#REF!</v>
      </c>
      <c r="BO240" t="e">
        <f>AND('Reporting '!#REF!,"AAAAAEk/fkI=")</f>
        <v>#REF!</v>
      </c>
      <c r="BP240" t="e">
        <f>AND('Reporting '!#REF!,"AAAAAEk/fkM=")</f>
        <v>#REF!</v>
      </c>
      <c r="BQ240" t="e">
        <f>AND('Reporting '!#REF!,"AAAAAEk/fkQ=")</f>
        <v>#REF!</v>
      </c>
      <c r="BR240" t="e">
        <f>AND('Reporting '!#REF!,"AAAAAEk/fkU=")</f>
        <v>#REF!</v>
      </c>
      <c r="BS240" t="e">
        <f>AND('Reporting '!#REF!,"AAAAAEk/fkY=")</f>
        <v>#REF!</v>
      </c>
      <c r="BT240" t="e">
        <f>AND('Reporting '!#REF!,"AAAAAEk/fkc=")</f>
        <v>#REF!</v>
      </c>
      <c r="BU240" t="e">
        <f>IF('Reporting '!#REF!,"AAAAAEk/fkg=",0)</f>
        <v>#REF!</v>
      </c>
      <c r="BV240" t="e">
        <f>AND('Reporting '!#REF!,"AAAAAEk/fkk=")</f>
        <v>#REF!</v>
      </c>
      <c r="BW240" t="e">
        <f>AND('Reporting '!#REF!,"AAAAAEk/fko=")</f>
        <v>#REF!</v>
      </c>
      <c r="BX240" t="e">
        <f>AND('Reporting '!#REF!,"AAAAAEk/fks=")</f>
        <v>#REF!</v>
      </c>
      <c r="BY240" t="e">
        <f>AND('Reporting '!#REF!,"AAAAAEk/fkw=")</f>
        <v>#REF!</v>
      </c>
      <c r="BZ240" t="e">
        <f>AND('Reporting '!#REF!,"AAAAAEk/fk0=")</f>
        <v>#REF!</v>
      </c>
      <c r="CA240" t="e">
        <f>AND('Reporting '!#REF!,"AAAAAEk/fk4=")</f>
        <v>#REF!</v>
      </c>
      <c r="CB240" t="e">
        <f>AND('Reporting '!#REF!,"AAAAAEk/fk8=")</f>
        <v>#REF!</v>
      </c>
      <c r="CC240" t="e">
        <f>AND('Reporting '!#REF!,"AAAAAEk/flA=")</f>
        <v>#REF!</v>
      </c>
      <c r="CD240" t="e">
        <f>AND('Reporting '!#REF!,"AAAAAEk/flE=")</f>
        <v>#REF!</v>
      </c>
      <c r="CE240" t="e">
        <f>AND('Reporting '!#REF!,"AAAAAEk/flI=")</f>
        <v>#REF!</v>
      </c>
      <c r="CF240" t="e">
        <f>AND('Reporting '!#REF!,"AAAAAEk/flM=")</f>
        <v>#REF!</v>
      </c>
      <c r="CG240" t="e">
        <f>AND('Reporting '!#REF!,"AAAAAEk/flQ=")</f>
        <v>#REF!</v>
      </c>
      <c r="CH240" t="e">
        <f>AND('Reporting '!#REF!,"AAAAAEk/flU=")</f>
        <v>#REF!</v>
      </c>
      <c r="CI240" t="e">
        <f>AND('Reporting '!#REF!,"AAAAAEk/flY=")</f>
        <v>#REF!</v>
      </c>
      <c r="CJ240" t="e">
        <f>IF('Reporting '!#REF!,"AAAAAEk/flc=",0)</f>
        <v>#REF!</v>
      </c>
      <c r="CK240" t="e">
        <f>AND('Reporting '!#REF!,"AAAAAEk/flg=")</f>
        <v>#REF!</v>
      </c>
      <c r="CL240" t="e">
        <f>AND('Reporting '!#REF!,"AAAAAEk/flk=")</f>
        <v>#REF!</v>
      </c>
      <c r="CM240" t="e">
        <f>AND('Reporting '!#REF!,"AAAAAEk/flo=")</f>
        <v>#REF!</v>
      </c>
      <c r="CN240" t="e">
        <f>AND('Reporting '!#REF!,"AAAAAEk/fls=")</f>
        <v>#REF!</v>
      </c>
      <c r="CO240" t="e">
        <f>AND('Reporting '!#REF!,"AAAAAEk/flw=")</f>
        <v>#REF!</v>
      </c>
      <c r="CP240" t="e">
        <f>AND('Reporting '!#REF!,"AAAAAEk/fl0=")</f>
        <v>#REF!</v>
      </c>
      <c r="CQ240" t="e">
        <f>AND('Reporting '!#REF!,"AAAAAEk/fl4=")</f>
        <v>#REF!</v>
      </c>
      <c r="CR240" t="e">
        <f>AND('Reporting '!#REF!,"AAAAAEk/fl8=")</f>
        <v>#REF!</v>
      </c>
      <c r="CS240" t="e">
        <f>AND('Reporting '!#REF!,"AAAAAEk/fmA=")</f>
        <v>#REF!</v>
      </c>
      <c r="CT240" t="e">
        <f>AND('Reporting '!#REF!,"AAAAAEk/fmE=")</f>
        <v>#REF!</v>
      </c>
      <c r="CU240" t="e">
        <f>AND('Reporting '!#REF!,"AAAAAEk/fmI=")</f>
        <v>#REF!</v>
      </c>
      <c r="CV240" t="e">
        <f>AND('Reporting '!#REF!,"AAAAAEk/fmM=")</f>
        <v>#REF!</v>
      </c>
      <c r="CW240" t="e">
        <f>AND('Reporting '!#REF!,"AAAAAEk/fmQ=")</f>
        <v>#REF!</v>
      </c>
      <c r="CX240" t="e">
        <f>AND('Reporting '!#REF!,"AAAAAEk/fmU=")</f>
        <v>#REF!</v>
      </c>
      <c r="CY240" t="e">
        <f>IF('Reporting '!#REF!,"AAAAAEk/fmY=",0)</f>
        <v>#REF!</v>
      </c>
      <c r="CZ240" t="e">
        <f>AND('Reporting '!#REF!,"AAAAAEk/fmc=")</f>
        <v>#REF!</v>
      </c>
      <c r="DA240" t="e">
        <f>AND('Reporting '!#REF!,"AAAAAEk/fmg=")</f>
        <v>#REF!</v>
      </c>
      <c r="DB240" t="e">
        <f>AND('Reporting '!#REF!,"AAAAAEk/fmk=")</f>
        <v>#REF!</v>
      </c>
      <c r="DC240" t="e">
        <f>AND('Reporting '!#REF!,"AAAAAEk/fmo=")</f>
        <v>#REF!</v>
      </c>
      <c r="DD240" t="e">
        <f>AND('Reporting '!#REF!,"AAAAAEk/fms=")</f>
        <v>#REF!</v>
      </c>
      <c r="DE240" t="e">
        <f>AND('Reporting '!#REF!,"AAAAAEk/fmw=")</f>
        <v>#REF!</v>
      </c>
      <c r="DF240" t="e">
        <f>AND('Reporting '!#REF!,"AAAAAEk/fm0=")</f>
        <v>#REF!</v>
      </c>
      <c r="DG240" t="e">
        <f>AND('Reporting '!#REF!,"AAAAAEk/fm4=")</f>
        <v>#REF!</v>
      </c>
      <c r="DH240" t="e">
        <f>AND('Reporting '!#REF!,"AAAAAEk/fm8=")</f>
        <v>#REF!</v>
      </c>
      <c r="DI240" t="e">
        <f>AND('Reporting '!#REF!,"AAAAAEk/fnA=")</f>
        <v>#REF!</v>
      </c>
      <c r="DJ240" t="e">
        <f>AND('Reporting '!#REF!,"AAAAAEk/fnE=")</f>
        <v>#REF!</v>
      </c>
      <c r="DK240" t="e">
        <f>AND('Reporting '!#REF!,"AAAAAEk/fnI=")</f>
        <v>#REF!</v>
      </c>
      <c r="DL240" t="e">
        <f>AND('Reporting '!#REF!,"AAAAAEk/fnM=")</f>
        <v>#REF!</v>
      </c>
      <c r="DM240" t="e">
        <f>AND('Reporting '!#REF!,"AAAAAEk/fnQ=")</f>
        <v>#REF!</v>
      </c>
      <c r="DN240" t="e">
        <f>IF('Reporting '!#REF!,"AAAAAEk/fnU=",0)</f>
        <v>#REF!</v>
      </c>
      <c r="DO240" t="e">
        <f>AND('Reporting '!#REF!,"AAAAAEk/fnY=")</f>
        <v>#REF!</v>
      </c>
      <c r="DP240" t="e">
        <f>AND('Reporting '!#REF!,"AAAAAEk/fnc=")</f>
        <v>#REF!</v>
      </c>
      <c r="DQ240" t="e">
        <f>AND('Reporting '!#REF!,"AAAAAEk/fng=")</f>
        <v>#REF!</v>
      </c>
      <c r="DR240" t="e">
        <f>AND('Reporting '!#REF!,"AAAAAEk/fnk=")</f>
        <v>#REF!</v>
      </c>
      <c r="DS240" t="e">
        <f>AND('Reporting '!#REF!,"AAAAAEk/fno=")</f>
        <v>#REF!</v>
      </c>
      <c r="DT240" t="e">
        <f>AND('Reporting '!#REF!,"AAAAAEk/fns=")</f>
        <v>#REF!</v>
      </c>
      <c r="DU240" t="e">
        <f>AND('Reporting '!#REF!,"AAAAAEk/fnw=")</f>
        <v>#REF!</v>
      </c>
      <c r="DV240" t="e">
        <f>AND('Reporting '!#REF!,"AAAAAEk/fn0=")</f>
        <v>#REF!</v>
      </c>
      <c r="DW240" t="e">
        <f>AND('Reporting '!#REF!,"AAAAAEk/fn4=")</f>
        <v>#REF!</v>
      </c>
      <c r="DX240" t="e">
        <f>AND('Reporting '!#REF!,"AAAAAEk/fn8=")</f>
        <v>#REF!</v>
      </c>
      <c r="DY240" t="e">
        <f>AND('Reporting '!#REF!,"AAAAAEk/foA=")</f>
        <v>#REF!</v>
      </c>
      <c r="DZ240" t="e">
        <f>AND('Reporting '!#REF!,"AAAAAEk/foE=")</f>
        <v>#REF!</v>
      </c>
      <c r="EA240" t="e">
        <f>AND('Reporting '!#REF!,"AAAAAEk/foI=")</f>
        <v>#REF!</v>
      </c>
      <c r="EB240" t="e">
        <f>AND('Reporting '!#REF!,"AAAAAEk/foM=")</f>
        <v>#REF!</v>
      </c>
      <c r="EC240" t="e">
        <f>IF('Reporting '!#REF!,"AAAAAEk/foQ=",0)</f>
        <v>#REF!</v>
      </c>
      <c r="ED240" t="e">
        <f>AND('Reporting '!#REF!,"AAAAAEk/foU=")</f>
        <v>#REF!</v>
      </c>
      <c r="EE240" t="e">
        <f>AND('Reporting '!#REF!,"AAAAAEk/foY=")</f>
        <v>#REF!</v>
      </c>
      <c r="EF240" t="e">
        <f>AND('Reporting '!#REF!,"AAAAAEk/foc=")</f>
        <v>#REF!</v>
      </c>
      <c r="EG240" t="e">
        <f>AND('Reporting '!#REF!,"AAAAAEk/fog=")</f>
        <v>#REF!</v>
      </c>
      <c r="EH240" t="e">
        <f>AND('Reporting '!#REF!,"AAAAAEk/fok=")</f>
        <v>#REF!</v>
      </c>
      <c r="EI240" t="e">
        <f>AND('Reporting '!#REF!,"AAAAAEk/foo=")</f>
        <v>#REF!</v>
      </c>
      <c r="EJ240" t="e">
        <f>AND('Reporting '!#REF!,"AAAAAEk/fos=")</f>
        <v>#REF!</v>
      </c>
      <c r="EK240" t="e">
        <f>AND('Reporting '!#REF!,"AAAAAEk/fow=")</f>
        <v>#REF!</v>
      </c>
      <c r="EL240" t="e">
        <f>AND('Reporting '!#REF!,"AAAAAEk/fo0=")</f>
        <v>#REF!</v>
      </c>
      <c r="EM240" t="e">
        <f>AND('Reporting '!#REF!,"AAAAAEk/fo4=")</f>
        <v>#REF!</v>
      </c>
      <c r="EN240" t="e">
        <f>AND('Reporting '!#REF!,"AAAAAEk/fo8=")</f>
        <v>#REF!</v>
      </c>
      <c r="EO240" t="e">
        <f>AND('Reporting '!#REF!,"AAAAAEk/fpA=")</f>
        <v>#REF!</v>
      </c>
      <c r="EP240" t="e">
        <f>AND('Reporting '!#REF!,"AAAAAEk/fpE=")</f>
        <v>#REF!</v>
      </c>
      <c r="EQ240" t="e">
        <f>AND('Reporting '!#REF!,"AAAAAEk/fpI=")</f>
        <v>#REF!</v>
      </c>
      <c r="ER240" t="e">
        <f>IF('Reporting '!#REF!,"AAAAAEk/fpM=",0)</f>
        <v>#REF!</v>
      </c>
      <c r="ES240" t="e">
        <f>AND('Reporting '!#REF!,"AAAAAEk/fpQ=")</f>
        <v>#REF!</v>
      </c>
      <c r="ET240" t="e">
        <f>AND('Reporting '!#REF!,"AAAAAEk/fpU=")</f>
        <v>#REF!</v>
      </c>
      <c r="EU240" t="e">
        <f>AND('Reporting '!#REF!,"AAAAAEk/fpY=")</f>
        <v>#REF!</v>
      </c>
      <c r="EV240" t="e">
        <f>AND('Reporting '!#REF!,"AAAAAEk/fpc=")</f>
        <v>#REF!</v>
      </c>
      <c r="EW240" t="e">
        <f>AND('Reporting '!#REF!,"AAAAAEk/fpg=")</f>
        <v>#REF!</v>
      </c>
      <c r="EX240" t="e">
        <f>AND('Reporting '!#REF!,"AAAAAEk/fpk=")</f>
        <v>#REF!</v>
      </c>
      <c r="EY240" t="e">
        <f>AND('Reporting '!#REF!,"AAAAAEk/fpo=")</f>
        <v>#REF!</v>
      </c>
      <c r="EZ240" t="e">
        <f>AND('Reporting '!#REF!,"AAAAAEk/fps=")</f>
        <v>#REF!</v>
      </c>
      <c r="FA240" t="e">
        <f>AND('Reporting '!#REF!,"AAAAAEk/fpw=")</f>
        <v>#REF!</v>
      </c>
      <c r="FB240" t="e">
        <f>AND('Reporting '!#REF!,"AAAAAEk/fp0=")</f>
        <v>#REF!</v>
      </c>
      <c r="FC240" t="e">
        <f>AND('Reporting '!#REF!,"AAAAAEk/fp4=")</f>
        <v>#REF!</v>
      </c>
      <c r="FD240" t="e">
        <f>AND('Reporting '!#REF!,"AAAAAEk/fp8=")</f>
        <v>#REF!</v>
      </c>
      <c r="FE240" t="e">
        <f>AND('Reporting '!#REF!,"AAAAAEk/fqA=")</f>
        <v>#REF!</v>
      </c>
      <c r="FF240" t="e">
        <f>AND('Reporting '!#REF!,"AAAAAEk/fqE=")</f>
        <v>#REF!</v>
      </c>
      <c r="FG240" t="e">
        <f>IF('Reporting '!#REF!,"AAAAAEk/fqI=",0)</f>
        <v>#REF!</v>
      </c>
      <c r="FH240" t="e">
        <f>AND('Reporting '!#REF!,"AAAAAEk/fqM=")</f>
        <v>#REF!</v>
      </c>
      <c r="FI240" t="e">
        <f>AND('Reporting '!#REF!,"AAAAAEk/fqQ=")</f>
        <v>#REF!</v>
      </c>
      <c r="FJ240" t="e">
        <f>AND('Reporting '!#REF!,"AAAAAEk/fqU=")</f>
        <v>#REF!</v>
      </c>
      <c r="FK240" t="e">
        <f>AND('Reporting '!#REF!,"AAAAAEk/fqY=")</f>
        <v>#REF!</v>
      </c>
      <c r="FL240" t="e">
        <f>AND('Reporting '!#REF!,"AAAAAEk/fqc=")</f>
        <v>#REF!</v>
      </c>
      <c r="FM240" t="e">
        <f>AND('Reporting '!#REF!,"AAAAAEk/fqg=")</f>
        <v>#REF!</v>
      </c>
      <c r="FN240" t="e">
        <f>AND('Reporting '!#REF!,"AAAAAEk/fqk=")</f>
        <v>#REF!</v>
      </c>
      <c r="FO240" t="e">
        <f>AND('Reporting '!#REF!,"AAAAAEk/fqo=")</f>
        <v>#REF!</v>
      </c>
      <c r="FP240" t="e">
        <f>AND('Reporting '!#REF!,"AAAAAEk/fqs=")</f>
        <v>#REF!</v>
      </c>
      <c r="FQ240" t="e">
        <f>AND('Reporting '!#REF!,"AAAAAEk/fqw=")</f>
        <v>#REF!</v>
      </c>
      <c r="FR240" t="e">
        <f>AND('Reporting '!#REF!,"AAAAAEk/fq0=")</f>
        <v>#REF!</v>
      </c>
      <c r="FS240" t="e">
        <f>AND('Reporting '!#REF!,"AAAAAEk/fq4=")</f>
        <v>#REF!</v>
      </c>
      <c r="FT240" t="e">
        <f>AND('Reporting '!#REF!,"AAAAAEk/fq8=")</f>
        <v>#REF!</v>
      </c>
      <c r="FU240" t="e">
        <f>AND('Reporting '!#REF!,"AAAAAEk/frA=")</f>
        <v>#REF!</v>
      </c>
      <c r="FV240" t="e">
        <f>IF('Reporting '!#REF!,"AAAAAEk/frE=",0)</f>
        <v>#REF!</v>
      </c>
      <c r="FW240" t="e">
        <f>AND('Reporting '!#REF!,"AAAAAEk/frI=")</f>
        <v>#REF!</v>
      </c>
      <c r="FX240" t="e">
        <f>AND('Reporting '!#REF!,"AAAAAEk/frM=")</f>
        <v>#REF!</v>
      </c>
      <c r="FY240" t="e">
        <f>AND('Reporting '!#REF!,"AAAAAEk/frQ=")</f>
        <v>#REF!</v>
      </c>
      <c r="FZ240" t="e">
        <f>AND('Reporting '!#REF!,"AAAAAEk/frU=")</f>
        <v>#REF!</v>
      </c>
      <c r="GA240" t="e">
        <f>AND('Reporting '!#REF!,"AAAAAEk/frY=")</f>
        <v>#REF!</v>
      </c>
      <c r="GB240" t="e">
        <f>AND('Reporting '!#REF!,"AAAAAEk/frc=")</f>
        <v>#REF!</v>
      </c>
      <c r="GC240" t="e">
        <f>AND('Reporting '!#REF!,"AAAAAEk/frg=")</f>
        <v>#REF!</v>
      </c>
      <c r="GD240" t="e">
        <f>AND('Reporting '!#REF!,"AAAAAEk/frk=")</f>
        <v>#REF!</v>
      </c>
      <c r="GE240" t="e">
        <f>AND('Reporting '!#REF!,"AAAAAEk/fro=")</f>
        <v>#REF!</v>
      </c>
      <c r="GF240" t="e">
        <f>AND('Reporting '!#REF!,"AAAAAEk/frs=")</f>
        <v>#REF!</v>
      </c>
      <c r="GG240" t="e">
        <f>AND('Reporting '!#REF!,"AAAAAEk/frw=")</f>
        <v>#REF!</v>
      </c>
      <c r="GH240" t="e">
        <f>AND('Reporting '!#REF!,"AAAAAEk/fr0=")</f>
        <v>#REF!</v>
      </c>
      <c r="GI240" t="e">
        <f>AND('Reporting '!#REF!,"AAAAAEk/fr4=")</f>
        <v>#REF!</v>
      </c>
      <c r="GJ240" t="e">
        <f>AND('Reporting '!#REF!,"AAAAAEk/fr8=")</f>
        <v>#REF!</v>
      </c>
      <c r="GK240" t="e">
        <f>IF('Reporting '!#REF!,"AAAAAEk/fsA=",0)</f>
        <v>#REF!</v>
      </c>
      <c r="GL240" t="e">
        <f>AND('Reporting '!#REF!,"AAAAAEk/fsE=")</f>
        <v>#REF!</v>
      </c>
      <c r="GM240" t="e">
        <f>AND('Reporting '!#REF!,"AAAAAEk/fsI=")</f>
        <v>#REF!</v>
      </c>
      <c r="GN240" t="e">
        <f>AND('Reporting '!#REF!,"AAAAAEk/fsM=")</f>
        <v>#REF!</v>
      </c>
      <c r="GO240" t="e">
        <f>AND('Reporting '!#REF!,"AAAAAEk/fsQ=")</f>
        <v>#REF!</v>
      </c>
      <c r="GP240" t="e">
        <f>AND('Reporting '!#REF!,"AAAAAEk/fsU=")</f>
        <v>#REF!</v>
      </c>
      <c r="GQ240" t="e">
        <f>AND('Reporting '!#REF!,"AAAAAEk/fsY=")</f>
        <v>#REF!</v>
      </c>
      <c r="GR240" t="e">
        <f>AND('Reporting '!#REF!,"AAAAAEk/fsc=")</f>
        <v>#REF!</v>
      </c>
      <c r="GS240" t="e">
        <f>AND('Reporting '!#REF!,"AAAAAEk/fsg=")</f>
        <v>#REF!</v>
      </c>
      <c r="GT240" t="e">
        <f>AND('Reporting '!#REF!,"AAAAAEk/fsk=")</f>
        <v>#REF!</v>
      </c>
      <c r="GU240" t="e">
        <f>AND('Reporting '!#REF!,"AAAAAEk/fso=")</f>
        <v>#REF!</v>
      </c>
      <c r="GV240" t="e">
        <f>AND('Reporting '!#REF!,"AAAAAEk/fss=")</f>
        <v>#REF!</v>
      </c>
      <c r="GW240" t="e">
        <f>AND('Reporting '!#REF!,"AAAAAEk/fsw=")</f>
        <v>#REF!</v>
      </c>
      <c r="GX240" t="e">
        <f>AND('Reporting '!#REF!,"AAAAAEk/fs0=")</f>
        <v>#REF!</v>
      </c>
      <c r="GY240" t="e">
        <f>AND('Reporting '!#REF!,"AAAAAEk/fs4=")</f>
        <v>#REF!</v>
      </c>
      <c r="GZ240" t="e">
        <f>IF('Reporting '!#REF!,"AAAAAEk/fs8=",0)</f>
        <v>#REF!</v>
      </c>
      <c r="HA240" t="e">
        <f>AND('Reporting '!#REF!,"AAAAAEk/ftA=")</f>
        <v>#REF!</v>
      </c>
      <c r="HB240" t="e">
        <f>AND('Reporting '!#REF!,"AAAAAEk/ftE=")</f>
        <v>#REF!</v>
      </c>
      <c r="HC240" t="e">
        <f>AND('Reporting '!#REF!,"AAAAAEk/ftI=")</f>
        <v>#REF!</v>
      </c>
      <c r="HD240" t="e">
        <f>AND('Reporting '!#REF!,"AAAAAEk/ftM=")</f>
        <v>#REF!</v>
      </c>
      <c r="HE240" t="e">
        <f>AND('Reporting '!#REF!,"AAAAAEk/ftQ=")</f>
        <v>#REF!</v>
      </c>
      <c r="HF240" t="e">
        <f>AND('Reporting '!#REF!,"AAAAAEk/ftU=")</f>
        <v>#REF!</v>
      </c>
      <c r="HG240" t="e">
        <f>AND('Reporting '!#REF!,"AAAAAEk/ftY=")</f>
        <v>#REF!</v>
      </c>
      <c r="HH240" t="e">
        <f>AND('Reporting '!#REF!,"AAAAAEk/ftc=")</f>
        <v>#REF!</v>
      </c>
      <c r="HI240" t="e">
        <f>AND('Reporting '!#REF!,"AAAAAEk/ftg=")</f>
        <v>#REF!</v>
      </c>
      <c r="HJ240" t="e">
        <f>AND('Reporting '!#REF!,"AAAAAEk/ftk=")</f>
        <v>#REF!</v>
      </c>
      <c r="HK240" t="e">
        <f>AND('Reporting '!#REF!,"AAAAAEk/fto=")</f>
        <v>#REF!</v>
      </c>
      <c r="HL240" t="e">
        <f>AND('Reporting '!#REF!,"AAAAAEk/fts=")</f>
        <v>#REF!</v>
      </c>
      <c r="HM240" t="e">
        <f>AND('Reporting '!#REF!,"AAAAAEk/ftw=")</f>
        <v>#REF!</v>
      </c>
      <c r="HN240" t="e">
        <f>AND('Reporting '!#REF!,"AAAAAEk/ft0=")</f>
        <v>#REF!</v>
      </c>
      <c r="HO240" t="e">
        <f>IF('Reporting '!#REF!,"AAAAAEk/ft4=",0)</f>
        <v>#REF!</v>
      </c>
      <c r="HP240" t="e">
        <f>AND('Reporting '!#REF!,"AAAAAEk/ft8=")</f>
        <v>#REF!</v>
      </c>
      <c r="HQ240" t="e">
        <f>AND('Reporting '!#REF!,"AAAAAEk/fuA=")</f>
        <v>#REF!</v>
      </c>
      <c r="HR240" t="e">
        <f>AND('Reporting '!#REF!,"AAAAAEk/fuE=")</f>
        <v>#REF!</v>
      </c>
      <c r="HS240" t="e">
        <f>AND('Reporting '!#REF!,"AAAAAEk/fuI=")</f>
        <v>#REF!</v>
      </c>
      <c r="HT240" t="e">
        <f>AND('Reporting '!#REF!,"AAAAAEk/fuM=")</f>
        <v>#REF!</v>
      </c>
      <c r="HU240" t="e">
        <f>AND('Reporting '!#REF!,"AAAAAEk/fuQ=")</f>
        <v>#REF!</v>
      </c>
      <c r="HV240" t="e">
        <f>AND('Reporting '!#REF!,"AAAAAEk/fuU=")</f>
        <v>#REF!</v>
      </c>
      <c r="HW240" t="e">
        <f>AND('Reporting '!#REF!,"AAAAAEk/fuY=")</f>
        <v>#REF!</v>
      </c>
      <c r="HX240" t="e">
        <f>AND('Reporting '!#REF!,"AAAAAEk/fuc=")</f>
        <v>#REF!</v>
      </c>
      <c r="HY240" t="e">
        <f>AND('Reporting '!#REF!,"AAAAAEk/fug=")</f>
        <v>#REF!</v>
      </c>
      <c r="HZ240" t="e">
        <f>AND('Reporting '!#REF!,"AAAAAEk/fuk=")</f>
        <v>#REF!</v>
      </c>
      <c r="IA240" t="e">
        <f>AND('Reporting '!#REF!,"AAAAAEk/fuo=")</f>
        <v>#REF!</v>
      </c>
      <c r="IB240" t="e">
        <f>AND('Reporting '!#REF!,"AAAAAEk/fus=")</f>
        <v>#REF!</v>
      </c>
      <c r="IC240" t="e">
        <f>AND('Reporting '!#REF!,"AAAAAEk/fuw=")</f>
        <v>#REF!</v>
      </c>
      <c r="ID240" t="e">
        <f>IF('Reporting '!#REF!,"AAAAAEk/fu0=",0)</f>
        <v>#REF!</v>
      </c>
      <c r="IE240" t="e">
        <f>AND('Reporting '!#REF!,"AAAAAEk/fu4=")</f>
        <v>#REF!</v>
      </c>
      <c r="IF240" t="e">
        <f>AND('Reporting '!#REF!,"AAAAAEk/fu8=")</f>
        <v>#REF!</v>
      </c>
      <c r="IG240" t="e">
        <f>AND('Reporting '!#REF!,"AAAAAEk/fvA=")</f>
        <v>#REF!</v>
      </c>
      <c r="IH240" t="e">
        <f>AND('Reporting '!#REF!,"AAAAAEk/fvE=")</f>
        <v>#REF!</v>
      </c>
      <c r="II240" t="e">
        <f>AND('Reporting '!#REF!,"AAAAAEk/fvI=")</f>
        <v>#REF!</v>
      </c>
      <c r="IJ240" t="e">
        <f>AND('Reporting '!#REF!,"AAAAAEk/fvM=")</f>
        <v>#REF!</v>
      </c>
      <c r="IK240" t="e">
        <f>AND('Reporting '!#REF!,"AAAAAEk/fvQ=")</f>
        <v>#REF!</v>
      </c>
      <c r="IL240" t="e">
        <f>AND('Reporting '!#REF!,"AAAAAEk/fvU=")</f>
        <v>#REF!</v>
      </c>
      <c r="IM240" t="e">
        <f>AND('Reporting '!#REF!,"AAAAAEk/fvY=")</f>
        <v>#REF!</v>
      </c>
      <c r="IN240" t="e">
        <f>AND('Reporting '!#REF!,"AAAAAEk/fvc=")</f>
        <v>#REF!</v>
      </c>
      <c r="IO240" t="e">
        <f>AND('Reporting '!#REF!,"AAAAAEk/fvg=")</f>
        <v>#REF!</v>
      </c>
      <c r="IP240" t="e">
        <f>AND('Reporting '!#REF!,"AAAAAEk/fvk=")</f>
        <v>#REF!</v>
      </c>
      <c r="IQ240" t="e">
        <f>AND('Reporting '!#REF!,"AAAAAEk/fvo=")</f>
        <v>#REF!</v>
      </c>
      <c r="IR240" t="e">
        <f>AND('Reporting '!#REF!,"AAAAAEk/fvs=")</f>
        <v>#REF!</v>
      </c>
      <c r="IS240" t="e">
        <f>IF('Reporting '!#REF!,"AAAAAEk/fvw=",0)</f>
        <v>#REF!</v>
      </c>
      <c r="IT240" t="e">
        <f>AND('Reporting '!#REF!,"AAAAAEk/fv0=")</f>
        <v>#REF!</v>
      </c>
      <c r="IU240" t="e">
        <f>AND('Reporting '!#REF!,"AAAAAEk/fv4=")</f>
        <v>#REF!</v>
      </c>
      <c r="IV240" t="e">
        <f>AND('Reporting '!#REF!,"AAAAAEk/fv8=")</f>
        <v>#REF!</v>
      </c>
    </row>
    <row r="241" spans="1:256" ht="25.5" x14ac:dyDescent="0.2">
      <c r="A241" t="e">
        <f>AND('Reporting '!#REF!,"AAAAAE7n/QA=")</f>
        <v>#REF!</v>
      </c>
      <c r="B241" t="e">
        <f>AND('Reporting '!#REF!,"AAAAAE7n/QE=")</f>
        <v>#REF!</v>
      </c>
      <c r="C241" t="e">
        <f>AND('Reporting '!#REF!,"AAAAAE7n/QI=")</f>
        <v>#REF!</v>
      </c>
      <c r="D241" t="e">
        <f>AND('Reporting '!#REF!,"AAAAAE7n/QM=")</f>
        <v>#REF!</v>
      </c>
      <c r="E241" t="e">
        <f>AND('Reporting '!#REF!,"AAAAAE7n/QQ=")</f>
        <v>#REF!</v>
      </c>
      <c r="F241" t="e">
        <f>AND('Reporting '!#REF!,"AAAAAE7n/QU=")</f>
        <v>#REF!</v>
      </c>
      <c r="G241" t="e">
        <f>AND('Reporting '!#REF!,"AAAAAE7n/QY=")</f>
        <v>#REF!</v>
      </c>
      <c r="H241" t="e">
        <f>AND('Reporting '!#REF!,"AAAAAE7n/Qc=")</f>
        <v>#REF!</v>
      </c>
      <c r="I241" t="e">
        <f>AND('Reporting '!#REF!,"AAAAAE7n/Qg=")</f>
        <v>#REF!</v>
      </c>
      <c r="J241" t="e">
        <f>AND('Reporting '!#REF!,"AAAAAE7n/Qk=")</f>
        <v>#REF!</v>
      </c>
      <c r="K241" t="e">
        <f>AND('Reporting '!#REF!,"AAAAAE7n/Qo=")</f>
        <v>#REF!</v>
      </c>
      <c r="L241" t="e">
        <f>IF('Reporting '!#REF!,"AAAAAE7n/Qs=",0)</f>
        <v>#REF!</v>
      </c>
      <c r="M241" t="e">
        <f>AND('Reporting '!#REF!,"AAAAAE7n/Qw=")</f>
        <v>#REF!</v>
      </c>
      <c r="N241" t="e">
        <f>AND('Reporting '!#REF!,"AAAAAE7n/Q0=")</f>
        <v>#REF!</v>
      </c>
      <c r="O241" t="e">
        <f>AND('Reporting '!#REF!,"AAAAAE7n/Q4=")</f>
        <v>#REF!</v>
      </c>
      <c r="P241" t="e">
        <f>AND('Reporting '!#REF!,"AAAAAE7n/Q8=")</f>
        <v>#REF!</v>
      </c>
      <c r="Q241" t="e">
        <f>AND('Reporting '!#REF!,"AAAAAE7n/RA=")</f>
        <v>#REF!</v>
      </c>
      <c r="R241" t="e">
        <f>AND('Reporting '!#REF!,"AAAAAE7n/RE=")</f>
        <v>#REF!</v>
      </c>
      <c r="S241" t="e">
        <f>AND('Reporting '!#REF!,"AAAAAE7n/RI=")</f>
        <v>#REF!</v>
      </c>
      <c r="T241" t="e">
        <f>AND('Reporting '!#REF!,"AAAAAE7n/RM=")</f>
        <v>#REF!</v>
      </c>
      <c r="U241" t="e">
        <f>AND('Reporting '!#REF!,"AAAAAE7n/RQ=")</f>
        <v>#REF!</v>
      </c>
      <c r="V241" t="e">
        <f>AND('Reporting '!#REF!,"AAAAAE7n/RU=")</f>
        <v>#REF!</v>
      </c>
      <c r="W241" t="e">
        <f>AND('Reporting '!#REF!,"AAAAAE7n/RY=")</f>
        <v>#REF!</v>
      </c>
      <c r="X241" t="e">
        <f>AND('Reporting '!#REF!,"AAAAAE7n/Rc=")</f>
        <v>#REF!</v>
      </c>
      <c r="Y241" t="e">
        <f>AND('Reporting '!#REF!,"AAAAAE7n/Rg=")</f>
        <v>#REF!</v>
      </c>
      <c r="Z241" t="e">
        <f>AND('Reporting '!#REF!,"AAAAAE7n/Rk=")</f>
        <v>#REF!</v>
      </c>
      <c r="AA241" t="e">
        <f>IF('Reporting '!#REF!,"AAAAAE7n/Ro=",0)</f>
        <v>#REF!</v>
      </c>
      <c r="AB241" t="e">
        <f>AND('Reporting '!#REF!,"AAAAAE7n/Rs=")</f>
        <v>#REF!</v>
      </c>
      <c r="AC241" t="e">
        <f>AND('Reporting '!#REF!,"AAAAAE7n/Rw=")</f>
        <v>#REF!</v>
      </c>
      <c r="AD241" t="e">
        <f>AND('Reporting '!#REF!,"AAAAAE7n/R0=")</f>
        <v>#REF!</v>
      </c>
      <c r="AE241" t="e">
        <f>AND('Reporting '!#REF!,"AAAAAE7n/R4=")</f>
        <v>#REF!</v>
      </c>
      <c r="AF241" t="e">
        <f>AND('Reporting '!#REF!,"AAAAAE7n/R8=")</f>
        <v>#REF!</v>
      </c>
      <c r="AG241" t="e">
        <f>AND('Reporting '!#REF!,"AAAAAE7n/SA=")</f>
        <v>#REF!</v>
      </c>
      <c r="AH241" t="e">
        <f>AND('Reporting '!#REF!,"AAAAAE7n/SE=")</f>
        <v>#REF!</v>
      </c>
      <c r="AI241" t="e">
        <f>AND('Reporting '!#REF!,"AAAAAE7n/SI=")</f>
        <v>#REF!</v>
      </c>
      <c r="AJ241" t="e">
        <f>AND('Reporting '!#REF!,"AAAAAE7n/SM=")</f>
        <v>#REF!</v>
      </c>
      <c r="AK241" t="e">
        <f>AND('Reporting '!#REF!,"AAAAAE7n/SQ=")</f>
        <v>#REF!</v>
      </c>
      <c r="AL241" t="e">
        <f>AND('Reporting '!#REF!,"AAAAAE7n/SU=")</f>
        <v>#REF!</v>
      </c>
      <c r="AM241" t="e">
        <f>AND('Reporting '!#REF!,"AAAAAE7n/SY=")</f>
        <v>#REF!</v>
      </c>
      <c r="AN241" t="e">
        <f>AND('Reporting '!#REF!,"AAAAAE7n/Sc=")</f>
        <v>#REF!</v>
      </c>
      <c r="AO241" t="e">
        <f>AND('Reporting '!#REF!,"AAAAAE7n/Sg=")</f>
        <v>#REF!</v>
      </c>
      <c r="AP241" t="e">
        <f>IF('Reporting '!#REF!,"AAAAAE7n/Sk=",0)</f>
        <v>#REF!</v>
      </c>
      <c r="AQ241" t="e">
        <f>AND('Reporting '!#REF!,"AAAAAE7n/So=")</f>
        <v>#REF!</v>
      </c>
      <c r="AR241" t="e">
        <f>AND('Reporting '!#REF!,"AAAAAE7n/Ss=")</f>
        <v>#REF!</v>
      </c>
      <c r="AS241" t="e">
        <f>AND('Reporting '!#REF!,"AAAAAE7n/Sw=")</f>
        <v>#REF!</v>
      </c>
      <c r="AT241" t="e">
        <f>AND('Reporting '!#REF!,"AAAAAE7n/S0=")</f>
        <v>#REF!</v>
      </c>
      <c r="AU241" t="e">
        <f>AND('Reporting '!#REF!,"AAAAAE7n/S4=")</f>
        <v>#REF!</v>
      </c>
      <c r="AV241" t="e">
        <f>AND('Reporting '!#REF!,"AAAAAE7n/S8=")</f>
        <v>#REF!</v>
      </c>
      <c r="AW241" t="e">
        <f>AND('Reporting '!#REF!,"AAAAAE7n/TA=")</f>
        <v>#REF!</v>
      </c>
      <c r="AX241" t="e">
        <f>AND('Reporting '!#REF!,"AAAAAE7n/TE=")</f>
        <v>#REF!</v>
      </c>
      <c r="AY241" t="e">
        <f>AND('Reporting '!#REF!,"AAAAAE7n/TI=")</f>
        <v>#REF!</v>
      </c>
      <c r="AZ241" t="e">
        <f>AND('Reporting '!#REF!,"AAAAAE7n/TM=")</f>
        <v>#REF!</v>
      </c>
      <c r="BA241" t="e">
        <f>AND('Reporting '!#REF!,"AAAAAE7n/TQ=")</f>
        <v>#REF!</v>
      </c>
      <c r="BB241" t="e">
        <f>AND('Reporting '!#REF!,"AAAAAE7n/TU=")</f>
        <v>#REF!</v>
      </c>
      <c r="BC241" t="e">
        <f>AND('Reporting '!#REF!,"AAAAAE7n/TY=")</f>
        <v>#REF!</v>
      </c>
      <c r="BD241" t="e">
        <f>AND('Reporting '!#REF!,"AAAAAE7n/Tc=")</f>
        <v>#REF!</v>
      </c>
      <c r="BE241" t="e">
        <f>IF('Reporting '!#REF!,"AAAAAE7n/Tg=",0)</f>
        <v>#REF!</v>
      </c>
      <c r="BF241" t="e">
        <f>AND('Reporting '!#REF!,"AAAAAE7n/Tk=")</f>
        <v>#REF!</v>
      </c>
      <c r="BG241" t="e">
        <f>AND('Reporting '!#REF!,"AAAAAE7n/To=")</f>
        <v>#REF!</v>
      </c>
      <c r="BH241" t="e">
        <f>AND('Reporting '!#REF!,"AAAAAE7n/Ts=")</f>
        <v>#REF!</v>
      </c>
      <c r="BI241" t="e">
        <f>AND('Reporting '!#REF!,"AAAAAE7n/Tw=")</f>
        <v>#REF!</v>
      </c>
      <c r="BJ241" t="e">
        <f>AND('Reporting '!#REF!,"AAAAAE7n/T0=")</f>
        <v>#REF!</v>
      </c>
      <c r="BK241" t="e">
        <f>AND('Reporting '!#REF!,"AAAAAE7n/T4=")</f>
        <v>#REF!</v>
      </c>
      <c r="BL241" t="e">
        <f>AND('Reporting '!#REF!,"AAAAAE7n/T8=")</f>
        <v>#REF!</v>
      </c>
      <c r="BM241" t="e">
        <f>AND('Reporting '!#REF!,"AAAAAE7n/UA=")</f>
        <v>#REF!</v>
      </c>
      <c r="BN241" t="e">
        <f>AND('Reporting '!#REF!,"AAAAAE7n/UE=")</f>
        <v>#REF!</v>
      </c>
      <c r="BO241" t="e">
        <f>AND('Reporting '!#REF!,"AAAAAE7n/UI=")</f>
        <v>#REF!</v>
      </c>
      <c r="BP241" t="e">
        <f>AND('Reporting '!#REF!,"AAAAAE7n/UM=")</f>
        <v>#REF!</v>
      </c>
      <c r="BQ241" t="e">
        <f>AND('Reporting '!#REF!,"AAAAAE7n/UQ=")</f>
        <v>#REF!</v>
      </c>
      <c r="BR241" t="e">
        <f>AND('Reporting '!#REF!,"AAAAAE7n/UU=")</f>
        <v>#REF!</v>
      </c>
      <c r="BS241" t="e">
        <f>AND('Reporting '!#REF!,"AAAAAE7n/UY=")</f>
        <v>#REF!</v>
      </c>
      <c r="BT241" t="e">
        <f>IF('Reporting '!#REF!,"AAAAAE7n/Uc=",0)</f>
        <v>#REF!</v>
      </c>
      <c r="BU241" t="e">
        <f>AND('Reporting '!#REF!,"AAAAAE7n/Ug=")</f>
        <v>#REF!</v>
      </c>
      <c r="BV241" t="e">
        <f>AND('Reporting '!#REF!,"AAAAAE7n/Uk=")</f>
        <v>#REF!</v>
      </c>
      <c r="BW241" t="e">
        <f>AND('Reporting '!#REF!,"AAAAAE7n/Uo=")</f>
        <v>#REF!</v>
      </c>
      <c r="BX241" t="e">
        <f>AND('Reporting '!#REF!,"AAAAAE7n/Us=")</f>
        <v>#REF!</v>
      </c>
      <c r="BY241" t="e">
        <f>AND('Reporting '!#REF!,"AAAAAE7n/Uw=")</f>
        <v>#REF!</v>
      </c>
      <c r="BZ241" t="e">
        <f>AND('Reporting '!#REF!,"AAAAAE7n/U0=")</f>
        <v>#REF!</v>
      </c>
      <c r="CA241" t="e">
        <f>AND('Reporting '!#REF!,"AAAAAE7n/U4=")</f>
        <v>#REF!</v>
      </c>
      <c r="CB241" t="e">
        <f>AND('Reporting '!#REF!,"AAAAAE7n/U8=")</f>
        <v>#REF!</v>
      </c>
      <c r="CC241" t="e">
        <f>AND('Reporting '!#REF!,"AAAAAE7n/VA=")</f>
        <v>#REF!</v>
      </c>
      <c r="CD241" t="e">
        <f>AND('Reporting '!#REF!,"AAAAAE7n/VE=")</f>
        <v>#REF!</v>
      </c>
      <c r="CE241" t="e">
        <f>AND('Reporting '!#REF!,"AAAAAE7n/VI=")</f>
        <v>#REF!</v>
      </c>
      <c r="CF241" t="e">
        <f>AND('Reporting '!#REF!,"AAAAAE7n/VM=")</f>
        <v>#REF!</v>
      </c>
      <c r="CG241" t="e">
        <f>AND('Reporting '!#REF!,"AAAAAE7n/VQ=")</f>
        <v>#REF!</v>
      </c>
      <c r="CH241" t="e">
        <f>AND('Reporting '!#REF!,"AAAAAE7n/VU=")</f>
        <v>#REF!</v>
      </c>
      <c r="CI241" t="e">
        <f>IF('Reporting '!#REF!,"AAAAAE7n/VY=",0)</f>
        <v>#REF!</v>
      </c>
      <c r="CJ241" t="e">
        <f>IF('Reporting '!A:A,"AAAAAE7n/Vc=",0)</f>
        <v>#VALUE!</v>
      </c>
      <c r="CK241">
        <f>IF('Reporting '!B:B,"AAAAAE7n/Vg=",0)</f>
        <v>0</v>
      </c>
      <c r="CL241">
        <f>IF('Reporting '!C:C,"AAAAAE7n/Vk=",0)</f>
        <v>0</v>
      </c>
      <c r="CM241">
        <f>IF('Reporting '!D:D,"AAAAAE7n/Vo=",0)</f>
        <v>0</v>
      </c>
      <c r="CN241" t="str">
        <f>IF('Reporting '!E:E,"AAAAAE7n/Vs=",0)</f>
        <v>AAAAAE7n/Vs=</v>
      </c>
      <c r="CO241">
        <f>IF('Reporting '!F:F,"AAAAAE7n/Vw=",0)</f>
        <v>0</v>
      </c>
      <c r="CP241">
        <f>IF('Reporting '!G:G,"AAAAAE7n/V0=",0)</f>
        <v>0</v>
      </c>
      <c r="CQ241">
        <f>IF('Reporting '!H:H,"AAAAAE7n/V4=",0)</f>
        <v>0</v>
      </c>
      <c r="CR241">
        <f>IF('Reporting '!I:I,"AAAAAE7n/V8=",0)</f>
        <v>0</v>
      </c>
      <c r="CS241" t="e">
        <f>IF('Reporting '!J:J,"AAAAAE7n/WA=",0)</f>
        <v>#VALUE!</v>
      </c>
      <c r="CT241" t="e">
        <f>IF('Reporting '!#REF!,"AAAAAE7n/WE=",0)</f>
        <v>#REF!</v>
      </c>
      <c r="CU241" t="e">
        <f>IF('Reporting '!#REF!,"AAAAAE7n/WI=",0)</f>
        <v>#REF!</v>
      </c>
      <c r="CV241" t="e">
        <f>IF('Reporting '!#REF!,"AAAAAE7n/WM=",0)</f>
        <v>#REF!</v>
      </c>
      <c r="CW241" t="e">
        <f>IF('Reporting '!#REF!,"AAAAAE7n/WQ=",0)</f>
        <v>#REF!</v>
      </c>
      <c r="CX241" t="e">
        <f>IF(#REF!,"AAAAAE7n/WU=",0)</f>
        <v>#REF!</v>
      </c>
      <c r="CY241" t="e">
        <f>AND(#REF!,"AAAAAE7n/WY=")</f>
        <v>#REF!</v>
      </c>
      <c r="CZ241" t="e">
        <f>AND(#REF!,"AAAAAE7n/Wc=")</f>
        <v>#REF!</v>
      </c>
      <c r="DA241" t="e">
        <f>AND(#REF!,"AAAAAE7n/Wg=")</f>
        <v>#REF!</v>
      </c>
      <c r="DB241" t="e">
        <f>AND(#REF!,"AAAAAE7n/Wk=")</f>
        <v>#REF!</v>
      </c>
      <c r="DC241" t="e">
        <f>AND(#REF!,"AAAAAE7n/Wo=")</f>
        <v>#REF!</v>
      </c>
      <c r="DD241" t="e">
        <f>AND(#REF!,"AAAAAE7n/Ws=")</f>
        <v>#REF!</v>
      </c>
      <c r="DE241" t="e">
        <f>AND(#REF!,"AAAAAE7n/Ww=")</f>
        <v>#REF!</v>
      </c>
      <c r="DF241" t="e">
        <f>AND(#REF!,"AAAAAE7n/W0=")</f>
        <v>#REF!</v>
      </c>
      <c r="DG241" t="e">
        <f>AND(#REF!,"AAAAAE7n/W4=")</f>
        <v>#REF!</v>
      </c>
      <c r="DH241" t="e">
        <f>AND(#REF!,"AAAAAE7n/W8=")</f>
        <v>#REF!</v>
      </c>
      <c r="DI241" t="e">
        <f>AND(#REF!,"AAAAAE7n/XA=")</f>
        <v>#REF!</v>
      </c>
      <c r="DJ241" t="e">
        <f>AND(#REF!,"AAAAAE7n/XE=")</f>
        <v>#REF!</v>
      </c>
      <c r="DK241" t="e">
        <f>AND(#REF!,"AAAAAE7n/XI=")</f>
        <v>#REF!</v>
      </c>
      <c r="DL241" t="e">
        <f>IF(#REF!,"AAAAAE7n/XM=",0)</f>
        <v>#REF!</v>
      </c>
      <c r="DM241" t="e">
        <f>AND(#REF!,"AAAAAE7n/XQ=")</f>
        <v>#REF!</v>
      </c>
      <c r="DN241" t="e">
        <f>AND(#REF!,"AAAAAE7n/XU=")</f>
        <v>#REF!</v>
      </c>
      <c r="DO241" t="e">
        <f>AND(#REF!,"AAAAAE7n/XY=")</f>
        <v>#REF!</v>
      </c>
      <c r="DP241" t="e">
        <f>AND(#REF!,"AAAAAE7n/Xc=")</f>
        <v>#REF!</v>
      </c>
      <c r="DQ241" t="e">
        <f>AND(#REF!,"AAAAAE7n/Xg=")</f>
        <v>#REF!</v>
      </c>
      <c r="DR241" t="e">
        <f>AND(#REF!,"AAAAAE7n/Xk=")</f>
        <v>#REF!</v>
      </c>
      <c r="DS241" t="e">
        <f>AND(#REF!,"AAAAAE7n/Xo=")</f>
        <v>#REF!</v>
      </c>
      <c r="DT241" t="e">
        <f>AND(#REF!,"AAAAAE7n/Xs=")</f>
        <v>#REF!</v>
      </c>
      <c r="DU241" t="e">
        <f>AND(#REF!,"AAAAAE7n/Xw=")</f>
        <v>#REF!</v>
      </c>
      <c r="DV241" t="e">
        <f>AND(#REF!,"AAAAAE7n/X0=")</f>
        <v>#REF!</v>
      </c>
      <c r="DW241" t="e">
        <f>AND(#REF!,"AAAAAE7n/X4=")</f>
        <v>#REF!</v>
      </c>
      <c r="DX241" t="e">
        <f>AND(#REF!,"AAAAAE7n/X8=")</f>
        <v>#REF!</v>
      </c>
      <c r="DY241" t="e">
        <f>AND(#REF!,"AAAAAE7n/YA=")</f>
        <v>#REF!</v>
      </c>
      <c r="DZ241" t="e">
        <f>IF(#REF!,"AAAAAE7n/YE=",0)</f>
        <v>#REF!</v>
      </c>
      <c r="EA241" t="e">
        <f>AND(#REF!,"AAAAAE7n/YI=")</f>
        <v>#REF!</v>
      </c>
      <c r="EB241" t="e">
        <f>AND(#REF!,"AAAAAE7n/YM=")</f>
        <v>#REF!</v>
      </c>
      <c r="EC241" t="e">
        <f>AND(#REF!,"AAAAAE7n/YQ=")</f>
        <v>#REF!</v>
      </c>
      <c r="ED241" t="e">
        <f>AND(#REF!,"AAAAAE7n/YU=")</f>
        <v>#REF!</v>
      </c>
      <c r="EE241" t="e">
        <f>AND(#REF!,"AAAAAE7n/YY=")</f>
        <v>#REF!</v>
      </c>
      <c r="EF241" t="e">
        <f>AND(#REF!,"AAAAAE7n/Yc=")</f>
        <v>#REF!</v>
      </c>
      <c r="EG241" t="e">
        <f>AND(#REF!,"AAAAAE7n/Yg=")</f>
        <v>#REF!</v>
      </c>
      <c r="EH241" t="e">
        <f>AND(#REF!,"AAAAAE7n/Yk=")</f>
        <v>#REF!</v>
      </c>
      <c r="EI241" t="e">
        <f>AND(#REF!,"AAAAAE7n/Yo=")</f>
        <v>#REF!</v>
      </c>
      <c r="EJ241" t="e">
        <f>AND(#REF!,"AAAAAE7n/Ys=")</f>
        <v>#REF!</v>
      </c>
      <c r="EK241" t="e">
        <f>AND(#REF!,"AAAAAE7n/Yw=")</f>
        <v>#REF!</v>
      </c>
      <c r="EL241" t="e">
        <f>AND(#REF!,"AAAAAE7n/Y0=")</f>
        <v>#REF!</v>
      </c>
      <c r="EM241" t="e">
        <f>AND(#REF!,"AAAAAE7n/Y4=")</f>
        <v>#REF!</v>
      </c>
      <c r="EN241" t="e">
        <f>IF(#REF!,"AAAAAE7n/Y8=",0)</f>
        <v>#REF!</v>
      </c>
      <c r="EO241" t="e">
        <f>AND(#REF!,"AAAAAE7n/ZA=")</f>
        <v>#REF!</v>
      </c>
      <c r="EP241" t="e">
        <f>AND(#REF!,"AAAAAE7n/ZE=")</f>
        <v>#REF!</v>
      </c>
      <c r="EQ241" t="e">
        <f>AND(#REF!,"AAAAAE7n/ZI=")</f>
        <v>#REF!</v>
      </c>
      <c r="ER241" t="e">
        <f>AND(#REF!,"AAAAAE7n/ZM=")</f>
        <v>#REF!</v>
      </c>
      <c r="ES241" t="e">
        <f>AND(#REF!,"AAAAAE7n/ZQ=")</f>
        <v>#REF!</v>
      </c>
      <c r="ET241" t="e">
        <f>AND(#REF!,"AAAAAE7n/ZU=")</f>
        <v>#REF!</v>
      </c>
      <c r="EU241" t="e">
        <f>AND(#REF!,"AAAAAE7n/ZY=")</f>
        <v>#REF!</v>
      </c>
      <c r="EV241" t="e">
        <f>AND(#REF!,"AAAAAE7n/Zc=")</f>
        <v>#REF!</v>
      </c>
      <c r="EW241" t="e">
        <f>AND(#REF!,"AAAAAE7n/Zg=")</f>
        <v>#REF!</v>
      </c>
      <c r="EX241" t="e">
        <f>AND(#REF!,"AAAAAE7n/Zk=")</f>
        <v>#REF!</v>
      </c>
      <c r="EY241" t="e">
        <f>AND(#REF!,"AAAAAE7n/Zo=")</f>
        <v>#REF!</v>
      </c>
      <c r="EZ241" t="e">
        <f>AND(#REF!,"AAAAAE7n/Zs=")</f>
        <v>#REF!</v>
      </c>
      <c r="FA241" t="e">
        <f>AND(#REF!,"AAAAAE7n/Zw=")</f>
        <v>#REF!</v>
      </c>
      <c r="FB241" t="e">
        <f>IF(#REF!,"AAAAAE7n/Z0=",0)</f>
        <v>#REF!</v>
      </c>
      <c r="FC241" t="e">
        <f>AND(#REF!,"AAAAAE7n/Z4=")</f>
        <v>#REF!</v>
      </c>
      <c r="FD241" t="e">
        <f>AND(#REF!,"AAAAAE7n/Z8=")</f>
        <v>#REF!</v>
      </c>
      <c r="FE241" t="e">
        <f>AND(#REF!,"AAAAAE7n/aA=")</f>
        <v>#REF!</v>
      </c>
      <c r="FF241" t="e">
        <f>AND(#REF!,"AAAAAE7n/aE=")</f>
        <v>#REF!</v>
      </c>
      <c r="FG241" t="e">
        <f>AND(#REF!,"AAAAAE7n/aI=")</f>
        <v>#REF!</v>
      </c>
      <c r="FH241" t="e">
        <f>AND(#REF!,"AAAAAE7n/aM=")</f>
        <v>#REF!</v>
      </c>
      <c r="FI241" t="e">
        <f>AND(#REF!,"AAAAAE7n/aQ=")</f>
        <v>#REF!</v>
      </c>
      <c r="FJ241" t="e">
        <f>AND(#REF!,"AAAAAE7n/aU=")</f>
        <v>#REF!</v>
      </c>
      <c r="FK241" t="e">
        <f>AND(#REF!,"AAAAAE7n/aY=")</f>
        <v>#REF!</v>
      </c>
      <c r="FL241" t="e">
        <f>AND(#REF!,"AAAAAE7n/ac=")</f>
        <v>#REF!</v>
      </c>
      <c r="FM241" t="e">
        <f>AND(#REF!,"AAAAAE7n/ag=")</f>
        <v>#REF!</v>
      </c>
      <c r="FN241" t="e">
        <f>AND(#REF!,"AAAAAE7n/ak=")</f>
        <v>#REF!</v>
      </c>
      <c r="FO241" t="e">
        <f>AND(#REF!,"AAAAAE7n/ao=")</f>
        <v>#REF!</v>
      </c>
      <c r="FP241" t="e">
        <f>IF(#REF!,"AAAAAE7n/as=",0)</f>
        <v>#REF!</v>
      </c>
      <c r="FQ241" t="e">
        <f>AND(#REF!,"AAAAAE7n/aw=")</f>
        <v>#REF!</v>
      </c>
      <c r="FR241" t="e">
        <f>AND(#REF!,"AAAAAE7n/a0=")</f>
        <v>#REF!</v>
      </c>
      <c r="FS241" t="e">
        <f>AND(#REF!,"AAAAAE7n/a4=")</f>
        <v>#REF!</v>
      </c>
      <c r="FT241" t="e">
        <f>AND(#REF!,"AAAAAE7n/a8=")</f>
        <v>#REF!</v>
      </c>
      <c r="FU241" t="e">
        <f>AND(#REF!,"AAAAAE7n/bA=")</f>
        <v>#REF!</v>
      </c>
      <c r="FV241" t="e">
        <f>AND(#REF!,"AAAAAE7n/bE=")</f>
        <v>#REF!</v>
      </c>
      <c r="FW241" t="e">
        <f>AND(#REF!,"AAAAAE7n/bI=")</f>
        <v>#REF!</v>
      </c>
      <c r="FX241" t="e">
        <f>AND(#REF!,"AAAAAE7n/bM=")</f>
        <v>#REF!</v>
      </c>
      <c r="FY241" t="e">
        <f>AND(#REF!,"AAAAAE7n/bQ=")</f>
        <v>#REF!</v>
      </c>
      <c r="FZ241" t="e">
        <f>AND(#REF!,"AAAAAE7n/bU=")</f>
        <v>#REF!</v>
      </c>
      <c r="GA241" t="e">
        <f>AND(#REF!,"AAAAAE7n/bY=")</f>
        <v>#REF!</v>
      </c>
      <c r="GB241" t="e">
        <f>AND(#REF!,"AAAAAE7n/bc=")</f>
        <v>#REF!</v>
      </c>
      <c r="GC241" t="e">
        <f>AND(#REF!,"AAAAAE7n/bg=")</f>
        <v>#REF!</v>
      </c>
      <c r="GD241" t="e">
        <f>IF(#REF!,"AAAAAE7n/bk=",0)</f>
        <v>#REF!</v>
      </c>
      <c r="GE241" t="e">
        <f>AND(#REF!,"AAAAAE7n/bo=")</f>
        <v>#REF!</v>
      </c>
      <c r="GF241" t="e">
        <f>AND(#REF!,"AAAAAE7n/bs=")</f>
        <v>#REF!</v>
      </c>
      <c r="GG241" t="e">
        <f>AND(#REF!,"AAAAAE7n/bw=")</f>
        <v>#REF!</v>
      </c>
      <c r="GH241" t="e">
        <f>AND(#REF!,"AAAAAE7n/b0=")</f>
        <v>#REF!</v>
      </c>
      <c r="GI241" t="e">
        <f>AND(#REF!,"AAAAAE7n/b4=")</f>
        <v>#REF!</v>
      </c>
      <c r="GJ241" t="e">
        <f>AND(#REF!,"AAAAAE7n/b8=")</f>
        <v>#REF!</v>
      </c>
      <c r="GK241" t="e">
        <f>AND(#REF!,"AAAAAE7n/cA=")</f>
        <v>#REF!</v>
      </c>
      <c r="GL241" t="e">
        <f>AND(#REF!,"AAAAAE7n/cE=")</f>
        <v>#REF!</v>
      </c>
      <c r="GM241" t="e">
        <f>AND(#REF!,"AAAAAE7n/cI=")</f>
        <v>#REF!</v>
      </c>
      <c r="GN241" t="e">
        <f>AND(#REF!,"AAAAAE7n/cM=")</f>
        <v>#REF!</v>
      </c>
      <c r="GO241" t="e">
        <f>AND(#REF!,"AAAAAE7n/cQ=")</f>
        <v>#REF!</v>
      </c>
      <c r="GP241" t="e">
        <f>AND(#REF!,"AAAAAE7n/cU=")</f>
        <v>#REF!</v>
      </c>
      <c r="GQ241" t="e">
        <f>AND(#REF!,"AAAAAE7n/cY=")</f>
        <v>#REF!</v>
      </c>
      <c r="GR241" t="e">
        <f>IF(#REF!,"AAAAAE7n/cc=",0)</f>
        <v>#REF!</v>
      </c>
      <c r="GS241" t="e">
        <f>AND(#REF!,"AAAAAE7n/cg=")</f>
        <v>#REF!</v>
      </c>
      <c r="GT241" t="e">
        <f>AND(#REF!,"AAAAAE7n/ck=")</f>
        <v>#REF!</v>
      </c>
      <c r="GU241" t="e">
        <f>AND(#REF!,"AAAAAE7n/co=")</f>
        <v>#REF!</v>
      </c>
      <c r="GV241" t="e">
        <f>AND(#REF!,"AAAAAE7n/cs=")</f>
        <v>#REF!</v>
      </c>
      <c r="GW241" t="e">
        <f>AND(#REF!,"AAAAAE7n/cw=")</f>
        <v>#REF!</v>
      </c>
      <c r="GX241" t="e">
        <f>AND(#REF!,"AAAAAE7n/c0=")</f>
        <v>#REF!</v>
      </c>
      <c r="GY241" t="e">
        <f>AND(#REF!,"AAAAAE7n/c4=")</f>
        <v>#REF!</v>
      </c>
      <c r="GZ241" t="e">
        <f>AND(#REF!,"AAAAAE7n/c8=")</f>
        <v>#REF!</v>
      </c>
      <c r="HA241" t="e">
        <f>AND(#REF!,"AAAAAE7n/dA=")</f>
        <v>#REF!</v>
      </c>
      <c r="HB241" t="e">
        <f>AND(#REF!,"AAAAAE7n/dE=")</f>
        <v>#REF!</v>
      </c>
      <c r="HC241" t="e">
        <f>AND(#REF!,"AAAAAE7n/dI=")</f>
        <v>#REF!</v>
      </c>
      <c r="HD241" t="e">
        <f>AND(#REF!,"AAAAAE7n/dM=")</f>
        <v>#REF!</v>
      </c>
      <c r="HE241" t="e">
        <f>AND(#REF!,"AAAAAE7n/dQ=")</f>
        <v>#REF!</v>
      </c>
      <c r="HF241" t="e">
        <f>IF(#REF!,"AAAAAE7n/dU=",0)</f>
        <v>#REF!</v>
      </c>
      <c r="HG241" t="e">
        <f>AND(#REF!,"AAAAAE7n/dY=")</f>
        <v>#REF!</v>
      </c>
      <c r="HH241" t="e">
        <f>AND(#REF!,"AAAAAE7n/dc=")</f>
        <v>#REF!</v>
      </c>
      <c r="HI241" t="e">
        <f>AND(#REF!,"AAAAAE7n/dg=")</f>
        <v>#REF!</v>
      </c>
      <c r="HJ241" t="e">
        <f>AND(#REF!,"AAAAAE7n/dk=")</f>
        <v>#REF!</v>
      </c>
      <c r="HK241" t="e">
        <f>AND(#REF!,"AAAAAE7n/do=")</f>
        <v>#REF!</v>
      </c>
      <c r="HL241" t="e">
        <f>AND(#REF!,"AAAAAE7n/ds=")</f>
        <v>#REF!</v>
      </c>
      <c r="HM241" t="e">
        <f>AND(#REF!,"AAAAAE7n/dw=")</f>
        <v>#REF!</v>
      </c>
      <c r="HN241" t="e">
        <f>AND(#REF!,"AAAAAE7n/d0=")</f>
        <v>#REF!</v>
      </c>
      <c r="HO241" t="e">
        <f>AND(#REF!,"AAAAAE7n/d4=")</f>
        <v>#REF!</v>
      </c>
      <c r="HP241" t="e">
        <f>AND(#REF!,"AAAAAE7n/d8=")</f>
        <v>#REF!</v>
      </c>
      <c r="HQ241" t="e">
        <f>AND(#REF!,"AAAAAE7n/eA=")</f>
        <v>#REF!</v>
      </c>
      <c r="HR241" t="e">
        <f>AND(#REF!,"AAAAAE7n/eE=")</f>
        <v>#REF!</v>
      </c>
      <c r="HS241" t="e">
        <f>AND(#REF!,"AAAAAE7n/eI=")</f>
        <v>#REF!</v>
      </c>
      <c r="HT241" t="e">
        <f>IF(#REF!,"AAAAAE7n/eM=",0)</f>
        <v>#REF!</v>
      </c>
      <c r="HU241" t="e">
        <f>AND(#REF!,"AAAAAE7n/eQ=")</f>
        <v>#REF!</v>
      </c>
      <c r="HV241" t="e">
        <f>AND(#REF!,"AAAAAE7n/eU=")</f>
        <v>#REF!</v>
      </c>
      <c r="HW241" t="e">
        <f>AND(#REF!,"AAAAAE7n/eY=")</f>
        <v>#REF!</v>
      </c>
      <c r="HX241" t="e">
        <f>AND(#REF!,"AAAAAE7n/ec=")</f>
        <v>#REF!</v>
      </c>
      <c r="HY241" t="e">
        <f>AND(#REF!,"AAAAAE7n/eg=")</f>
        <v>#REF!</v>
      </c>
      <c r="HZ241" t="e">
        <f>AND(#REF!,"AAAAAE7n/ek=")</f>
        <v>#REF!</v>
      </c>
      <c r="IA241" t="e">
        <f>AND(#REF!,"AAAAAE7n/eo=")</f>
        <v>#REF!</v>
      </c>
      <c r="IB241" t="e">
        <f>AND(#REF!,"AAAAAE7n/es=")</f>
        <v>#REF!</v>
      </c>
      <c r="IC241" t="e">
        <f>AND(#REF!,"AAAAAE7n/ew=")</f>
        <v>#REF!</v>
      </c>
      <c r="ID241" t="e">
        <f>AND(#REF!,"AAAAAE7n/e0=")</f>
        <v>#REF!</v>
      </c>
      <c r="IE241" t="e">
        <f>AND(#REF!,"AAAAAE7n/e4=")</f>
        <v>#REF!</v>
      </c>
      <c r="IF241" t="e">
        <f>AND(#REF!,"AAAAAE7n/e8=")</f>
        <v>#REF!</v>
      </c>
      <c r="IG241" t="e">
        <f>AND(#REF!,"AAAAAE7n/fA=")</f>
        <v>#REF!</v>
      </c>
      <c r="IH241" t="e">
        <f>IF(#REF!,"AAAAAE7n/fE=",0)</f>
        <v>#REF!</v>
      </c>
      <c r="II241" t="e">
        <f>AND(#REF!,"AAAAAE7n/fI=")</f>
        <v>#REF!</v>
      </c>
      <c r="IJ241" t="e">
        <f>AND(#REF!,"AAAAAE7n/fM=")</f>
        <v>#REF!</v>
      </c>
      <c r="IK241" t="e">
        <f>AND(#REF!,"AAAAAE7n/fQ=")</f>
        <v>#REF!</v>
      </c>
      <c r="IL241" t="e">
        <f>AND(#REF!,"AAAAAE7n/fU=")</f>
        <v>#REF!</v>
      </c>
      <c r="IM241" t="e">
        <f>AND(#REF!,"AAAAAE7n/fY=")</f>
        <v>#REF!</v>
      </c>
      <c r="IN241" t="e">
        <f>AND(#REF!,"AAAAAE7n/fc=")</f>
        <v>#REF!</v>
      </c>
      <c r="IO241" t="e">
        <f>AND(#REF!,"AAAAAE7n/fg=")</f>
        <v>#REF!</v>
      </c>
      <c r="IP241" t="e">
        <f>AND(#REF!,"AAAAAE7n/fk=")</f>
        <v>#REF!</v>
      </c>
      <c r="IQ241" t="e">
        <f>AND(#REF!,"AAAAAE7n/fo=")</f>
        <v>#REF!</v>
      </c>
      <c r="IR241" t="e">
        <f>AND(#REF!,"AAAAAE7n/fs=")</f>
        <v>#REF!</v>
      </c>
      <c r="IS241" t="e">
        <f>AND(#REF!,"AAAAAE7n/fw=")</f>
        <v>#REF!</v>
      </c>
      <c r="IT241" t="e">
        <f>AND(#REF!,"AAAAAE7n/f0=")</f>
        <v>#REF!</v>
      </c>
      <c r="IU241" t="e">
        <f>AND(#REF!,"AAAAAE7n/f4=")</f>
        <v>#REF!</v>
      </c>
      <c r="IV241" t="e">
        <f>IF(#REF!,"AAAAAE7n/f8=",0)</f>
        <v>#REF!</v>
      </c>
    </row>
    <row r="242" spans="1:256" x14ac:dyDescent="0.2">
      <c r="A242" t="e">
        <f>AND(#REF!,"AAAAAHn+tQA=")</f>
        <v>#REF!</v>
      </c>
      <c r="B242" t="e">
        <f>AND(#REF!,"AAAAAHn+tQE=")</f>
        <v>#REF!</v>
      </c>
      <c r="C242" t="e">
        <f>AND(#REF!,"AAAAAHn+tQI=")</f>
        <v>#REF!</v>
      </c>
      <c r="D242" t="e">
        <f>AND(#REF!,"AAAAAHn+tQM=")</f>
        <v>#REF!</v>
      </c>
      <c r="E242" t="e">
        <f>AND(#REF!,"AAAAAHn+tQQ=")</f>
        <v>#REF!</v>
      </c>
      <c r="F242" t="e">
        <f>AND(#REF!,"AAAAAHn+tQU=")</f>
        <v>#REF!</v>
      </c>
      <c r="G242" t="e">
        <f>AND(#REF!,"AAAAAHn+tQY=")</f>
        <v>#REF!</v>
      </c>
      <c r="H242" t="e">
        <f>AND(#REF!,"AAAAAHn+tQc=")</f>
        <v>#REF!</v>
      </c>
      <c r="I242" t="e">
        <f>AND(#REF!,"AAAAAHn+tQg=")</f>
        <v>#REF!</v>
      </c>
      <c r="J242" t="e">
        <f>AND(#REF!,"AAAAAHn+tQk=")</f>
        <v>#REF!</v>
      </c>
      <c r="K242" t="e">
        <f>AND(#REF!,"AAAAAHn+tQo=")</f>
        <v>#REF!</v>
      </c>
      <c r="L242" t="e">
        <f>AND(#REF!,"AAAAAHn+tQs=")</f>
        <v>#REF!</v>
      </c>
      <c r="M242" t="e">
        <f>AND(#REF!,"AAAAAHn+tQw=")</f>
        <v>#REF!</v>
      </c>
      <c r="N242" t="e">
        <f>IF(#REF!,"AAAAAHn+tQ0=",0)</f>
        <v>#REF!</v>
      </c>
      <c r="O242" t="e">
        <f>AND(#REF!,"AAAAAHn+tQ4=")</f>
        <v>#REF!</v>
      </c>
      <c r="P242" t="e">
        <f>AND(#REF!,"AAAAAHn+tQ8=")</f>
        <v>#REF!</v>
      </c>
      <c r="Q242" t="e">
        <f>AND(#REF!,"AAAAAHn+tRA=")</f>
        <v>#REF!</v>
      </c>
      <c r="R242" t="e">
        <f>AND(#REF!,"AAAAAHn+tRE=")</f>
        <v>#REF!</v>
      </c>
      <c r="S242" t="e">
        <f>AND(#REF!,"AAAAAHn+tRI=")</f>
        <v>#REF!</v>
      </c>
      <c r="T242" t="e">
        <f>AND(#REF!,"AAAAAHn+tRM=")</f>
        <v>#REF!</v>
      </c>
      <c r="U242" t="e">
        <f>AND(#REF!,"AAAAAHn+tRQ=")</f>
        <v>#REF!</v>
      </c>
      <c r="V242" t="e">
        <f>AND(#REF!,"AAAAAHn+tRU=")</f>
        <v>#REF!</v>
      </c>
      <c r="W242" t="e">
        <f>AND(#REF!,"AAAAAHn+tRY=")</f>
        <v>#REF!</v>
      </c>
      <c r="X242" t="e">
        <f>AND(#REF!,"AAAAAHn+tRc=")</f>
        <v>#REF!</v>
      </c>
      <c r="Y242" t="e">
        <f>AND(#REF!,"AAAAAHn+tRg=")</f>
        <v>#REF!</v>
      </c>
      <c r="Z242" t="e">
        <f>AND(#REF!,"AAAAAHn+tRk=")</f>
        <v>#REF!</v>
      </c>
      <c r="AA242" t="e">
        <f>AND(#REF!,"AAAAAHn+tRo=")</f>
        <v>#REF!</v>
      </c>
      <c r="AB242" t="e">
        <f>IF(#REF!,"AAAAAHn+tRs=",0)</f>
        <v>#REF!</v>
      </c>
      <c r="AC242" t="e">
        <f>AND(#REF!,"AAAAAHn+tRw=")</f>
        <v>#REF!</v>
      </c>
      <c r="AD242" t="e">
        <f>AND(#REF!,"AAAAAHn+tR0=")</f>
        <v>#REF!</v>
      </c>
      <c r="AE242" t="e">
        <f>AND(#REF!,"AAAAAHn+tR4=")</f>
        <v>#REF!</v>
      </c>
      <c r="AF242" t="e">
        <f>AND(#REF!,"AAAAAHn+tR8=")</f>
        <v>#REF!</v>
      </c>
      <c r="AG242" t="e">
        <f>AND(#REF!,"AAAAAHn+tSA=")</f>
        <v>#REF!</v>
      </c>
      <c r="AH242" t="e">
        <f>AND(#REF!,"AAAAAHn+tSE=")</f>
        <v>#REF!</v>
      </c>
      <c r="AI242" t="e">
        <f>AND(#REF!,"AAAAAHn+tSI=")</f>
        <v>#REF!</v>
      </c>
      <c r="AJ242" t="e">
        <f>AND(#REF!,"AAAAAHn+tSM=")</f>
        <v>#REF!</v>
      </c>
      <c r="AK242" t="e">
        <f>AND(#REF!,"AAAAAHn+tSQ=")</f>
        <v>#REF!</v>
      </c>
      <c r="AL242" t="e">
        <f>AND(#REF!,"AAAAAHn+tSU=")</f>
        <v>#REF!</v>
      </c>
      <c r="AM242" t="e">
        <f>AND(#REF!,"AAAAAHn+tSY=")</f>
        <v>#REF!</v>
      </c>
      <c r="AN242" t="e">
        <f>AND(#REF!,"AAAAAHn+tSc=")</f>
        <v>#REF!</v>
      </c>
      <c r="AO242" t="e">
        <f>AND(#REF!,"AAAAAHn+tSg=")</f>
        <v>#REF!</v>
      </c>
      <c r="AP242" t="e">
        <f>IF(#REF!,"AAAAAHn+tSk=",0)</f>
        <v>#REF!</v>
      </c>
      <c r="AQ242" t="e">
        <f>AND(#REF!,"AAAAAHn+tSo=")</f>
        <v>#REF!</v>
      </c>
      <c r="AR242" t="e">
        <f>AND(#REF!,"AAAAAHn+tSs=")</f>
        <v>#REF!</v>
      </c>
      <c r="AS242" t="e">
        <f>AND(#REF!,"AAAAAHn+tSw=")</f>
        <v>#REF!</v>
      </c>
      <c r="AT242" t="e">
        <f>AND(#REF!,"AAAAAHn+tS0=")</f>
        <v>#REF!</v>
      </c>
      <c r="AU242" t="e">
        <f>AND(#REF!,"AAAAAHn+tS4=")</f>
        <v>#REF!</v>
      </c>
      <c r="AV242" t="e">
        <f>AND(#REF!,"AAAAAHn+tS8=")</f>
        <v>#REF!</v>
      </c>
      <c r="AW242" t="e">
        <f>AND(#REF!,"AAAAAHn+tTA=")</f>
        <v>#REF!</v>
      </c>
      <c r="AX242" t="e">
        <f>AND(#REF!,"AAAAAHn+tTE=")</f>
        <v>#REF!</v>
      </c>
      <c r="AY242" t="e">
        <f>AND(#REF!,"AAAAAHn+tTI=")</f>
        <v>#REF!</v>
      </c>
      <c r="AZ242" t="e">
        <f>AND(#REF!,"AAAAAHn+tTM=")</f>
        <v>#REF!</v>
      </c>
      <c r="BA242" t="e">
        <f>AND(#REF!,"AAAAAHn+tTQ=")</f>
        <v>#REF!</v>
      </c>
      <c r="BB242" t="e">
        <f>AND(#REF!,"AAAAAHn+tTU=")</f>
        <v>#REF!</v>
      </c>
      <c r="BC242" t="e">
        <f>AND(#REF!,"AAAAAHn+tTY=")</f>
        <v>#REF!</v>
      </c>
      <c r="BD242" t="e">
        <f>IF(#REF!,"AAAAAHn+tTc=",0)</f>
        <v>#REF!</v>
      </c>
      <c r="BE242" t="e">
        <f>AND(#REF!,"AAAAAHn+tTg=")</f>
        <v>#REF!</v>
      </c>
      <c r="BF242" t="e">
        <f>AND(#REF!,"AAAAAHn+tTk=")</f>
        <v>#REF!</v>
      </c>
      <c r="BG242" t="e">
        <f>AND(#REF!,"AAAAAHn+tTo=")</f>
        <v>#REF!</v>
      </c>
      <c r="BH242" t="e">
        <f>AND(#REF!,"AAAAAHn+tTs=")</f>
        <v>#REF!</v>
      </c>
      <c r="BI242" t="e">
        <f>AND(#REF!,"AAAAAHn+tTw=")</f>
        <v>#REF!</v>
      </c>
      <c r="BJ242" t="e">
        <f>AND(#REF!,"AAAAAHn+tT0=")</f>
        <v>#REF!</v>
      </c>
      <c r="BK242" t="e">
        <f>AND(#REF!,"AAAAAHn+tT4=")</f>
        <v>#REF!</v>
      </c>
      <c r="BL242" t="e">
        <f>AND(#REF!,"AAAAAHn+tT8=")</f>
        <v>#REF!</v>
      </c>
      <c r="BM242" t="e">
        <f>AND(#REF!,"AAAAAHn+tUA=")</f>
        <v>#REF!</v>
      </c>
      <c r="BN242" t="e">
        <f>AND(#REF!,"AAAAAHn+tUE=")</f>
        <v>#REF!</v>
      </c>
      <c r="BO242" t="e">
        <f>AND(#REF!,"AAAAAHn+tUI=")</f>
        <v>#REF!</v>
      </c>
      <c r="BP242" t="e">
        <f>AND(#REF!,"AAAAAHn+tUM=")</f>
        <v>#REF!</v>
      </c>
      <c r="BQ242" t="e">
        <f>AND(#REF!,"AAAAAHn+tUQ=")</f>
        <v>#REF!</v>
      </c>
      <c r="BR242" t="e">
        <f>IF(#REF!,"AAAAAHn+tUU=",0)</f>
        <v>#REF!</v>
      </c>
      <c r="BS242" t="e">
        <f>AND(#REF!,"AAAAAHn+tUY=")</f>
        <v>#REF!</v>
      </c>
      <c r="BT242" t="e">
        <f>AND(#REF!,"AAAAAHn+tUc=")</f>
        <v>#REF!</v>
      </c>
      <c r="BU242" t="e">
        <f>AND(#REF!,"AAAAAHn+tUg=")</f>
        <v>#REF!</v>
      </c>
      <c r="BV242" t="e">
        <f>AND(#REF!,"AAAAAHn+tUk=")</f>
        <v>#REF!</v>
      </c>
      <c r="BW242" t="e">
        <f>AND(#REF!,"AAAAAHn+tUo=")</f>
        <v>#REF!</v>
      </c>
      <c r="BX242" t="e">
        <f>AND(#REF!,"AAAAAHn+tUs=")</f>
        <v>#REF!</v>
      </c>
      <c r="BY242" t="e">
        <f>AND(#REF!,"AAAAAHn+tUw=")</f>
        <v>#REF!</v>
      </c>
      <c r="BZ242" t="e">
        <f>AND(#REF!,"AAAAAHn+tU0=")</f>
        <v>#REF!</v>
      </c>
      <c r="CA242" t="e">
        <f>AND(#REF!,"AAAAAHn+tU4=")</f>
        <v>#REF!</v>
      </c>
      <c r="CB242" t="e">
        <f>AND(#REF!,"AAAAAHn+tU8=")</f>
        <v>#REF!</v>
      </c>
      <c r="CC242" t="e">
        <f>AND(#REF!,"AAAAAHn+tVA=")</f>
        <v>#REF!</v>
      </c>
      <c r="CD242" t="e">
        <f>AND(#REF!,"AAAAAHn+tVE=")</f>
        <v>#REF!</v>
      </c>
      <c r="CE242" t="e">
        <f>AND(#REF!,"AAAAAHn+tVI=")</f>
        <v>#REF!</v>
      </c>
      <c r="CF242" t="e">
        <f>IF(#REF!,"AAAAAHn+tVM=",0)</f>
        <v>#REF!</v>
      </c>
      <c r="CG242" t="e">
        <f>AND(#REF!,"AAAAAHn+tVQ=")</f>
        <v>#REF!</v>
      </c>
      <c r="CH242" t="e">
        <f>AND(#REF!,"AAAAAHn+tVU=")</f>
        <v>#REF!</v>
      </c>
      <c r="CI242" t="e">
        <f>AND(#REF!,"AAAAAHn+tVY=")</f>
        <v>#REF!</v>
      </c>
      <c r="CJ242" t="e">
        <f>AND(#REF!,"AAAAAHn+tVc=")</f>
        <v>#REF!</v>
      </c>
      <c r="CK242" t="e">
        <f>AND(#REF!,"AAAAAHn+tVg=")</f>
        <v>#REF!</v>
      </c>
      <c r="CL242" t="e">
        <f>AND(#REF!,"AAAAAHn+tVk=")</f>
        <v>#REF!</v>
      </c>
      <c r="CM242" t="e">
        <f>AND(#REF!,"AAAAAHn+tVo=")</f>
        <v>#REF!</v>
      </c>
      <c r="CN242" t="e">
        <f>AND(#REF!,"AAAAAHn+tVs=")</f>
        <v>#REF!</v>
      </c>
      <c r="CO242" t="e">
        <f>AND(#REF!,"AAAAAHn+tVw=")</f>
        <v>#REF!</v>
      </c>
      <c r="CP242" t="e">
        <f>AND(#REF!,"AAAAAHn+tV0=")</f>
        <v>#REF!</v>
      </c>
      <c r="CQ242" t="e">
        <f>AND(#REF!,"AAAAAHn+tV4=")</f>
        <v>#REF!</v>
      </c>
      <c r="CR242" t="e">
        <f>AND(#REF!,"AAAAAHn+tV8=")</f>
        <v>#REF!</v>
      </c>
      <c r="CS242" t="e">
        <f>AND(#REF!,"AAAAAHn+tWA=")</f>
        <v>#REF!</v>
      </c>
      <c r="CT242" t="e">
        <f>IF(#REF!,"AAAAAHn+tWE=",0)</f>
        <v>#REF!</v>
      </c>
      <c r="CU242" t="e">
        <f>AND(#REF!,"AAAAAHn+tWI=")</f>
        <v>#REF!</v>
      </c>
      <c r="CV242" t="e">
        <f>AND(#REF!,"AAAAAHn+tWM=")</f>
        <v>#REF!</v>
      </c>
      <c r="CW242" t="e">
        <f>AND(#REF!,"AAAAAHn+tWQ=")</f>
        <v>#REF!</v>
      </c>
      <c r="CX242" t="e">
        <f>AND(#REF!,"AAAAAHn+tWU=")</f>
        <v>#REF!</v>
      </c>
      <c r="CY242" t="e">
        <f>AND(#REF!,"AAAAAHn+tWY=")</f>
        <v>#REF!</v>
      </c>
      <c r="CZ242" t="e">
        <f>AND(#REF!,"AAAAAHn+tWc=")</f>
        <v>#REF!</v>
      </c>
      <c r="DA242" t="e">
        <f>AND(#REF!,"AAAAAHn+tWg=")</f>
        <v>#REF!</v>
      </c>
      <c r="DB242" t="e">
        <f>AND(#REF!,"AAAAAHn+tWk=")</f>
        <v>#REF!</v>
      </c>
      <c r="DC242" t="e">
        <f>AND(#REF!,"AAAAAHn+tWo=")</f>
        <v>#REF!</v>
      </c>
      <c r="DD242" t="e">
        <f>AND(#REF!,"AAAAAHn+tWs=")</f>
        <v>#REF!</v>
      </c>
      <c r="DE242" t="e">
        <f>AND(#REF!,"AAAAAHn+tWw=")</f>
        <v>#REF!</v>
      </c>
      <c r="DF242" t="e">
        <f>AND(#REF!,"AAAAAHn+tW0=")</f>
        <v>#REF!</v>
      </c>
      <c r="DG242" t="e">
        <f>AND(#REF!,"AAAAAHn+tW4=")</f>
        <v>#REF!</v>
      </c>
      <c r="DH242" t="e">
        <f>IF(#REF!,"AAAAAHn+tW8=",0)</f>
        <v>#REF!</v>
      </c>
      <c r="DI242" t="e">
        <f>AND(#REF!,"AAAAAHn+tXA=")</f>
        <v>#REF!</v>
      </c>
      <c r="DJ242" t="e">
        <f>AND(#REF!,"AAAAAHn+tXE=")</f>
        <v>#REF!</v>
      </c>
      <c r="DK242" t="e">
        <f>AND(#REF!,"AAAAAHn+tXI=")</f>
        <v>#REF!</v>
      </c>
      <c r="DL242" t="e">
        <f>AND(#REF!,"AAAAAHn+tXM=")</f>
        <v>#REF!</v>
      </c>
      <c r="DM242" t="e">
        <f>AND(#REF!,"AAAAAHn+tXQ=")</f>
        <v>#REF!</v>
      </c>
      <c r="DN242" t="e">
        <f>AND(#REF!,"AAAAAHn+tXU=")</f>
        <v>#REF!</v>
      </c>
      <c r="DO242" t="e">
        <f>AND(#REF!,"AAAAAHn+tXY=")</f>
        <v>#REF!</v>
      </c>
      <c r="DP242" t="e">
        <f>AND(#REF!,"AAAAAHn+tXc=")</f>
        <v>#REF!</v>
      </c>
      <c r="DQ242" t="e">
        <f>AND(#REF!,"AAAAAHn+tXg=")</f>
        <v>#REF!</v>
      </c>
      <c r="DR242" t="e">
        <f>AND(#REF!,"AAAAAHn+tXk=")</f>
        <v>#REF!</v>
      </c>
      <c r="DS242" t="e">
        <f>AND(#REF!,"AAAAAHn+tXo=")</f>
        <v>#REF!</v>
      </c>
      <c r="DT242" t="e">
        <f>AND(#REF!,"AAAAAHn+tXs=")</f>
        <v>#REF!</v>
      </c>
      <c r="DU242" t="e">
        <f>AND(#REF!,"AAAAAHn+tXw=")</f>
        <v>#REF!</v>
      </c>
      <c r="DV242" t="e">
        <f>IF(#REF!,"AAAAAHn+tX0=",0)</f>
        <v>#REF!</v>
      </c>
      <c r="DW242" t="e">
        <f>AND(#REF!,"AAAAAHn+tX4=")</f>
        <v>#REF!</v>
      </c>
      <c r="DX242" t="e">
        <f>AND(#REF!,"AAAAAHn+tX8=")</f>
        <v>#REF!</v>
      </c>
      <c r="DY242" t="e">
        <f>AND(#REF!,"AAAAAHn+tYA=")</f>
        <v>#REF!</v>
      </c>
      <c r="DZ242" t="e">
        <f>AND(#REF!,"AAAAAHn+tYE=")</f>
        <v>#REF!</v>
      </c>
      <c r="EA242" t="e">
        <f>AND(#REF!,"AAAAAHn+tYI=")</f>
        <v>#REF!</v>
      </c>
      <c r="EB242" t="e">
        <f>AND(#REF!,"AAAAAHn+tYM=")</f>
        <v>#REF!</v>
      </c>
      <c r="EC242" t="e">
        <f>AND(#REF!,"AAAAAHn+tYQ=")</f>
        <v>#REF!</v>
      </c>
      <c r="ED242" t="e">
        <f>AND(#REF!,"AAAAAHn+tYU=")</f>
        <v>#REF!</v>
      </c>
      <c r="EE242" t="e">
        <f>AND(#REF!,"AAAAAHn+tYY=")</f>
        <v>#REF!</v>
      </c>
      <c r="EF242" t="e">
        <f>AND(#REF!,"AAAAAHn+tYc=")</f>
        <v>#REF!</v>
      </c>
      <c r="EG242" t="e">
        <f>AND(#REF!,"AAAAAHn+tYg=")</f>
        <v>#REF!</v>
      </c>
      <c r="EH242" t="e">
        <f>AND(#REF!,"AAAAAHn+tYk=")</f>
        <v>#REF!</v>
      </c>
      <c r="EI242" t="e">
        <f>AND(#REF!,"AAAAAHn+tYo=")</f>
        <v>#REF!</v>
      </c>
      <c r="EJ242" t="e">
        <f>IF(#REF!,"AAAAAHn+tYs=",0)</f>
        <v>#REF!</v>
      </c>
      <c r="EK242" t="e">
        <f>AND(#REF!,"AAAAAHn+tYw=")</f>
        <v>#REF!</v>
      </c>
      <c r="EL242" t="e">
        <f>AND(#REF!,"AAAAAHn+tY0=")</f>
        <v>#REF!</v>
      </c>
      <c r="EM242" t="e">
        <f>AND(#REF!,"AAAAAHn+tY4=")</f>
        <v>#REF!</v>
      </c>
      <c r="EN242" t="e">
        <f>AND(#REF!,"AAAAAHn+tY8=")</f>
        <v>#REF!</v>
      </c>
      <c r="EO242" t="e">
        <f>AND(#REF!,"AAAAAHn+tZA=")</f>
        <v>#REF!</v>
      </c>
      <c r="EP242" t="e">
        <f>AND(#REF!,"AAAAAHn+tZE=")</f>
        <v>#REF!</v>
      </c>
      <c r="EQ242" t="e">
        <f>AND(#REF!,"AAAAAHn+tZI=")</f>
        <v>#REF!</v>
      </c>
      <c r="ER242" t="e">
        <f>AND(#REF!,"AAAAAHn+tZM=")</f>
        <v>#REF!</v>
      </c>
      <c r="ES242" t="e">
        <f>AND(#REF!,"AAAAAHn+tZQ=")</f>
        <v>#REF!</v>
      </c>
      <c r="ET242" t="e">
        <f>AND(#REF!,"AAAAAHn+tZU=")</f>
        <v>#REF!</v>
      </c>
      <c r="EU242" t="e">
        <f>AND(#REF!,"AAAAAHn+tZY=")</f>
        <v>#REF!</v>
      </c>
      <c r="EV242" t="e">
        <f>AND(#REF!,"AAAAAHn+tZc=")</f>
        <v>#REF!</v>
      </c>
      <c r="EW242" t="e">
        <f>AND(#REF!,"AAAAAHn+tZg=")</f>
        <v>#REF!</v>
      </c>
      <c r="EX242" t="e">
        <f>IF(#REF!,"AAAAAHn+tZk=",0)</f>
        <v>#REF!</v>
      </c>
      <c r="EY242" t="e">
        <f>AND(#REF!,"AAAAAHn+tZo=")</f>
        <v>#REF!</v>
      </c>
      <c r="EZ242" t="e">
        <f>AND(#REF!,"AAAAAHn+tZs=")</f>
        <v>#REF!</v>
      </c>
      <c r="FA242" t="e">
        <f>AND(#REF!,"AAAAAHn+tZw=")</f>
        <v>#REF!</v>
      </c>
      <c r="FB242" t="e">
        <f>AND(#REF!,"AAAAAHn+tZ0=")</f>
        <v>#REF!</v>
      </c>
      <c r="FC242" t="e">
        <f>AND(#REF!,"AAAAAHn+tZ4=")</f>
        <v>#REF!</v>
      </c>
      <c r="FD242" t="e">
        <f>AND(#REF!,"AAAAAHn+tZ8=")</f>
        <v>#REF!</v>
      </c>
      <c r="FE242" t="e">
        <f>AND(#REF!,"AAAAAHn+taA=")</f>
        <v>#REF!</v>
      </c>
      <c r="FF242" t="e">
        <f>AND(#REF!,"AAAAAHn+taE=")</f>
        <v>#REF!</v>
      </c>
      <c r="FG242" t="e">
        <f>AND(#REF!,"AAAAAHn+taI=")</f>
        <v>#REF!</v>
      </c>
      <c r="FH242" t="e">
        <f>AND(#REF!,"AAAAAHn+taM=")</f>
        <v>#REF!</v>
      </c>
      <c r="FI242" t="e">
        <f>AND(#REF!,"AAAAAHn+taQ=")</f>
        <v>#REF!</v>
      </c>
      <c r="FJ242" t="e">
        <f>AND(#REF!,"AAAAAHn+taU=")</f>
        <v>#REF!</v>
      </c>
      <c r="FK242" t="e">
        <f>AND(#REF!,"AAAAAHn+taY=")</f>
        <v>#REF!</v>
      </c>
      <c r="FL242" t="e">
        <f>IF(#REF!,"AAAAAHn+tac=",0)</f>
        <v>#REF!</v>
      </c>
      <c r="FM242" t="e">
        <f>AND(#REF!,"AAAAAHn+tag=")</f>
        <v>#REF!</v>
      </c>
      <c r="FN242" t="e">
        <f>AND(#REF!,"AAAAAHn+tak=")</f>
        <v>#REF!</v>
      </c>
      <c r="FO242" t="e">
        <f>AND(#REF!,"AAAAAHn+tao=")</f>
        <v>#REF!</v>
      </c>
      <c r="FP242" t="e">
        <f>AND(#REF!,"AAAAAHn+tas=")</f>
        <v>#REF!</v>
      </c>
      <c r="FQ242" t="e">
        <f>AND(#REF!,"AAAAAHn+taw=")</f>
        <v>#REF!</v>
      </c>
      <c r="FR242" t="e">
        <f>AND(#REF!,"AAAAAHn+ta0=")</f>
        <v>#REF!</v>
      </c>
      <c r="FS242" t="e">
        <f>AND(#REF!,"AAAAAHn+ta4=")</f>
        <v>#REF!</v>
      </c>
      <c r="FT242" t="e">
        <f>AND(#REF!,"AAAAAHn+ta8=")</f>
        <v>#REF!</v>
      </c>
      <c r="FU242" t="e">
        <f>AND(#REF!,"AAAAAHn+tbA=")</f>
        <v>#REF!</v>
      </c>
      <c r="FV242" t="e">
        <f>AND(#REF!,"AAAAAHn+tbE=")</f>
        <v>#REF!</v>
      </c>
      <c r="FW242" t="e">
        <f>AND(#REF!,"AAAAAHn+tbI=")</f>
        <v>#REF!</v>
      </c>
      <c r="FX242" t="e">
        <f>AND(#REF!,"AAAAAHn+tbM=")</f>
        <v>#REF!</v>
      </c>
      <c r="FY242" t="e">
        <f>AND(#REF!,"AAAAAHn+tbQ=")</f>
        <v>#REF!</v>
      </c>
      <c r="FZ242" t="e">
        <f>IF(#REF!,"AAAAAHn+tbU=",0)</f>
        <v>#REF!</v>
      </c>
      <c r="GA242" t="e">
        <f>AND(#REF!,"AAAAAHn+tbY=")</f>
        <v>#REF!</v>
      </c>
      <c r="GB242" t="e">
        <f>AND(#REF!,"AAAAAHn+tbc=")</f>
        <v>#REF!</v>
      </c>
      <c r="GC242" t="e">
        <f>AND(#REF!,"AAAAAHn+tbg=")</f>
        <v>#REF!</v>
      </c>
      <c r="GD242" t="e">
        <f>AND(#REF!,"AAAAAHn+tbk=")</f>
        <v>#REF!</v>
      </c>
      <c r="GE242" t="e">
        <f>AND(#REF!,"AAAAAHn+tbo=")</f>
        <v>#REF!</v>
      </c>
      <c r="GF242" t="e">
        <f>AND(#REF!,"AAAAAHn+tbs=")</f>
        <v>#REF!</v>
      </c>
      <c r="GG242" t="e">
        <f>AND(#REF!,"AAAAAHn+tbw=")</f>
        <v>#REF!</v>
      </c>
      <c r="GH242" t="e">
        <f>AND(#REF!,"AAAAAHn+tb0=")</f>
        <v>#REF!</v>
      </c>
      <c r="GI242" t="e">
        <f>AND(#REF!,"AAAAAHn+tb4=")</f>
        <v>#REF!</v>
      </c>
      <c r="GJ242" t="e">
        <f>AND(#REF!,"AAAAAHn+tb8=")</f>
        <v>#REF!</v>
      </c>
      <c r="GK242" t="e">
        <f>AND(#REF!,"AAAAAHn+tcA=")</f>
        <v>#REF!</v>
      </c>
      <c r="GL242" t="e">
        <f>AND(#REF!,"AAAAAHn+tcE=")</f>
        <v>#REF!</v>
      </c>
      <c r="GM242" t="e">
        <f>AND(#REF!,"AAAAAHn+tcI=")</f>
        <v>#REF!</v>
      </c>
      <c r="GN242" t="e">
        <f>IF(#REF!,"AAAAAHn+tcM=",0)</f>
        <v>#REF!</v>
      </c>
      <c r="GO242" t="e">
        <f>AND(#REF!,"AAAAAHn+tcQ=")</f>
        <v>#REF!</v>
      </c>
      <c r="GP242" t="e">
        <f>AND(#REF!,"AAAAAHn+tcU=")</f>
        <v>#REF!</v>
      </c>
      <c r="GQ242" t="e">
        <f>AND(#REF!,"AAAAAHn+tcY=")</f>
        <v>#REF!</v>
      </c>
      <c r="GR242" t="e">
        <f>AND(#REF!,"AAAAAHn+tcc=")</f>
        <v>#REF!</v>
      </c>
      <c r="GS242" t="e">
        <f>AND(#REF!,"AAAAAHn+tcg=")</f>
        <v>#REF!</v>
      </c>
      <c r="GT242" t="e">
        <f>AND(#REF!,"AAAAAHn+tck=")</f>
        <v>#REF!</v>
      </c>
      <c r="GU242" t="e">
        <f>AND(#REF!,"AAAAAHn+tco=")</f>
        <v>#REF!</v>
      </c>
      <c r="GV242" t="e">
        <f>AND(#REF!,"AAAAAHn+tcs=")</f>
        <v>#REF!</v>
      </c>
      <c r="GW242" t="e">
        <f>AND(#REF!,"AAAAAHn+tcw=")</f>
        <v>#REF!</v>
      </c>
      <c r="GX242" t="e">
        <f>AND(#REF!,"AAAAAHn+tc0=")</f>
        <v>#REF!</v>
      </c>
      <c r="GY242" t="e">
        <f>AND(#REF!,"AAAAAHn+tc4=")</f>
        <v>#REF!</v>
      </c>
      <c r="GZ242" t="e">
        <f>AND(#REF!,"AAAAAHn+tc8=")</f>
        <v>#REF!</v>
      </c>
      <c r="HA242" t="e">
        <f>AND(#REF!,"AAAAAHn+tdA=")</f>
        <v>#REF!</v>
      </c>
      <c r="HB242" t="e">
        <f>IF(#REF!,"AAAAAHn+tdE=",0)</f>
        <v>#REF!</v>
      </c>
      <c r="HC242" t="e">
        <f>AND(#REF!,"AAAAAHn+tdI=")</f>
        <v>#REF!</v>
      </c>
      <c r="HD242" t="e">
        <f>AND(#REF!,"AAAAAHn+tdM=")</f>
        <v>#REF!</v>
      </c>
      <c r="HE242" t="e">
        <f>AND(#REF!,"AAAAAHn+tdQ=")</f>
        <v>#REF!</v>
      </c>
      <c r="HF242" t="e">
        <f>AND(#REF!,"AAAAAHn+tdU=")</f>
        <v>#REF!</v>
      </c>
      <c r="HG242" t="e">
        <f>AND(#REF!,"AAAAAHn+tdY=")</f>
        <v>#REF!</v>
      </c>
      <c r="HH242" t="e">
        <f>AND(#REF!,"AAAAAHn+tdc=")</f>
        <v>#REF!</v>
      </c>
      <c r="HI242" t="e">
        <f>AND(#REF!,"AAAAAHn+tdg=")</f>
        <v>#REF!</v>
      </c>
      <c r="HJ242" t="e">
        <f>AND(#REF!,"AAAAAHn+tdk=")</f>
        <v>#REF!</v>
      </c>
      <c r="HK242" t="e">
        <f>AND(#REF!,"AAAAAHn+tdo=")</f>
        <v>#REF!</v>
      </c>
      <c r="HL242" t="e">
        <f>AND(#REF!,"AAAAAHn+tds=")</f>
        <v>#REF!</v>
      </c>
      <c r="HM242" t="e">
        <f>AND(#REF!,"AAAAAHn+tdw=")</f>
        <v>#REF!</v>
      </c>
      <c r="HN242" t="e">
        <f>AND(#REF!,"AAAAAHn+td0=")</f>
        <v>#REF!</v>
      </c>
      <c r="HO242" t="e">
        <f>AND(#REF!,"AAAAAHn+td4=")</f>
        <v>#REF!</v>
      </c>
      <c r="HP242" t="e">
        <f>IF(#REF!,"AAAAAHn+td8=",0)</f>
        <v>#REF!</v>
      </c>
      <c r="HQ242" t="e">
        <f>AND(#REF!,"AAAAAHn+teA=")</f>
        <v>#REF!</v>
      </c>
      <c r="HR242" t="e">
        <f>AND(#REF!,"AAAAAHn+teE=")</f>
        <v>#REF!</v>
      </c>
      <c r="HS242" t="e">
        <f>AND(#REF!,"AAAAAHn+teI=")</f>
        <v>#REF!</v>
      </c>
      <c r="HT242" t="e">
        <f>AND(#REF!,"AAAAAHn+teM=")</f>
        <v>#REF!</v>
      </c>
      <c r="HU242" t="e">
        <f>AND(#REF!,"AAAAAHn+teQ=")</f>
        <v>#REF!</v>
      </c>
      <c r="HV242" t="e">
        <f>AND(#REF!,"AAAAAHn+teU=")</f>
        <v>#REF!</v>
      </c>
      <c r="HW242" t="e">
        <f>AND(#REF!,"AAAAAHn+teY=")</f>
        <v>#REF!</v>
      </c>
      <c r="HX242" t="e">
        <f>AND(#REF!,"AAAAAHn+tec=")</f>
        <v>#REF!</v>
      </c>
      <c r="HY242" t="e">
        <f>AND(#REF!,"AAAAAHn+teg=")</f>
        <v>#REF!</v>
      </c>
      <c r="HZ242" t="e">
        <f>AND(#REF!,"AAAAAHn+tek=")</f>
        <v>#REF!</v>
      </c>
      <c r="IA242" t="e">
        <f>AND(#REF!,"AAAAAHn+teo=")</f>
        <v>#REF!</v>
      </c>
      <c r="IB242" t="e">
        <f>AND(#REF!,"AAAAAHn+tes=")</f>
        <v>#REF!</v>
      </c>
      <c r="IC242" t="e">
        <f>AND(#REF!,"AAAAAHn+tew=")</f>
        <v>#REF!</v>
      </c>
      <c r="ID242" t="e">
        <f>IF(#REF!,"AAAAAHn+te0=",0)</f>
        <v>#REF!</v>
      </c>
      <c r="IE242" t="e">
        <f>AND(#REF!,"AAAAAHn+te4=")</f>
        <v>#REF!</v>
      </c>
      <c r="IF242" t="e">
        <f>AND(#REF!,"AAAAAHn+te8=")</f>
        <v>#REF!</v>
      </c>
      <c r="IG242" t="e">
        <f>AND(#REF!,"AAAAAHn+tfA=")</f>
        <v>#REF!</v>
      </c>
      <c r="IH242" t="e">
        <f>AND(#REF!,"AAAAAHn+tfE=")</f>
        <v>#REF!</v>
      </c>
      <c r="II242" t="e">
        <f>AND(#REF!,"AAAAAHn+tfI=")</f>
        <v>#REF!</v>
      </c>
      <c r="IJ242" t="e">
        <f>AND(#REF!,"AAAAAHn+tfM=")</f>
        <v>#REF!</v>
      </c>
      <c r="IK242" t="e">
        <f>AND(#REF!,"AAAAAHn+tfQ=")</f>
        <v>#REF!</v>
      </c>
      <c r="IL242" t="e">
        <f>AND(#REF!,"AAAAAHn+tfU=")</f>
        <v>#REF!</v>
      </c>
      <c r="IM242" t="e">
        <f>AND(#REF!,"AAAAAHn+tfY=")</f>
        <v>#REF!</v>
      </c>
      <c r="IN242" t="e">
        <f>AND(#REF!,"AAAAAHn+tfc=")</f>
        <v>#REF!</v>
      </c>
      <c r="IO242" t="e">
        <f>AND(#REF!,"AAAAAHn+tfg=")</f>
        <v>#REF!</v>
      </c>
      <c r="IP242" t="e">
        <f>AND(#REF!,"AAAAAHn+tfk=")</f>
        <v>#REF!</v>
      </c>
      <c r="IQ242" t="e">
        <f>AND(#REF!,"AAAAAHn+tfo=")</f>
        <v>#REF!</v>
      </c>
      <c r="IR242" t="e">
        <f>IF(#REF!,"AAAAAHn+tfs=",0)</f>
        <v>#REF!</v>
      </c>
      <c r="IS242" t="e">
        <f>AND(#REF!,"AAAAAHn+tfw=")</f>
        <v>#REF!</v>
      </c>
      <c r="IT242" t="e">
        <f>AND(#REF!,"AAAAAHn+tf0=")</f>
        <v>#REF!</v>
      </c>
      <c r="IU242" t="e">
        <f>AND(#REF!,"AAAAAHn+tf4=")</f>
        <v>#REF!</v>
      </c>
      <c r="IV242" t="e">
        <f>AND(#REF!,"AAAAAHn+tf8=")</f>
        <v>#REF!</v>
      </c>
    </row>
    <row r="243" spans="1:256" x14ac:dyDescent="0.2">
      <c r="A243" t="e">
        <f>AND(#REF!,"AAAAAC9/3QA=")</f>
        <v>#REF!</v>
      </c>
      <c r="B243" t="e">
        <f>AND(#REF!,"AAAAAC9/3QE=")</f>
        <v>#REF!</v>
      </c>
      <c r="C243" t="e">
        <f>AND(#REF!,"AAAAAC9/3QI=")</f>
        <v>#REF!</v>
      </c>
      <c r="D243" t="e">
        <f>AND(#REF!,"AAAAAC9/3QM=")</f>
        <v>#REF!</v>
      </c>
      <c r="E243" t="e">
        <f>AND(#REF!,"AAAAAC9/3QQ=")</f>
        <v>#REF!</v>
      </c>
      <c r="F243" t="e">
        <f>AND(#REF!,"AAAAAC9/3QU=")</f>
        <v>#REF!</v>
      </c>
      <c r="G243" t="e">
        <f>AND(#REF!,"AAAAAC9/3QY=")</f>
        <v>#REF!</v>
      </c>
      <c r="H243" t="e">
        <f>AND(#REF!,"AAAAAC9/3Qc=")</f>
        <v>#REF!</v>
      </c>
      <c r="I243" t="e">
        <f>AND(#REF!,"AAAAAC9/3Qg=")</f>
        <v>#REF!</v>
      </c>
      <c r="J243" t="e">
        <f>IF(#REF!,"AAAAAC9/3Qk=",0)</f>
        <v>#REF!</v>
      </c>
      <c r="K243" t="e">
        <f>AND(#REF!,"AAAAAC9/3Qo=")</f>
        <v>#REF!</v>
      </c>
      <c r="L243" t="e">
        <f>AND(#REF!,"AAAAAC9/3Qs=")</f>
        <v>#REF!</v>
      </c>
      <c r="M243" t="e">
        <f>AND(#REF!,"AAAAAC9/3Qw=")</f>
        <v>#REF!</v>
      </c>
      <c r="N243" t="e">
        <f>AND(#REF!,"AAAAAC9/3Q0=")</f>
        <v>#REF!</v>
      </c>
      <c r="O243" t="e">
        <f>AND(#REF!,"AAAAAC9/3Q4=")</f>
        <v>#REF!</v>
      </c>
      <c r="P243" t="e">
        <f>AND(#REF!,"AAAAAC9/3Q8=")</f>
        <v>#REF!</v>
      </c>
      <c r="Q243" t="e">
        <f>AND(#REF!,"AAAAAC9/3RA=")</f>
        <v>#REF!</v>
      </c>
      <c r="R243" t="e">
        <f>AND(#REF!,"AAAAAC9/3RE=")</f>
        <v>#REF!</v>
      </c>
      <c r="S243" t="e">
        <f>AND(#REF!,"AAAAAC9/3RI=")</f>
        <v>#REF!</v>
      </c>
      <c r="T243" t="e">
        <f>AND(#REF!,"AAAAAC9/3RM=")</f>
        <v>#REF!</v>
      </c>
      <c r="U243" t="e">
        <f>AND(#REF!,"AAAAAC9/3RQ=")</f>
        <v>#REF!</v>
      </c>
      <c r="V243" t="e">
        <f>AND(#REF!,"AAAAAC9/3RU=")</f>
        <v>#REF!</v>
      </c>
      <c r="W243" t="e">
        <f>AND(#REF!,"AAAAAC9/3RY=")</f>
        <v>#REF!</v>
      </c>
      <c r="X243" t="e">
        <f>IF(#REF!,"AAAAAC9/3Rc=",0)</f>
        <v>#REF!</v>
      </c>
      <c r="Y243" t="e">
        <f>AND(#REF!,"AAAAAC9/3Rg=")</f>
        <v>#REF!</v>
      </c>
      <c r="Z243" t="e">
        <f>AND(#REF!,"AAAAAC9/3Rk=")</f>
        <v>#REF!</v>
      </c>
      <c r="AA243" t="e">
        <f>AND(#REF!,"AAAAAC9/3Ro=")</f>
        <v>#REF!</v>
      </c>
      <c r="AB243" t="e">
        <f>AND(#REF!,"AAAAAC9/3Rs=")</f>
        <v>#REF!</v>
      </c>
      <c r="AC243" t="e">
        <f>AND(#REF!,"AAAAAC9/3Rw=")</f>
        <v>#REF!</v>
      </c>
      <c r="AD243" t="e">
        <f>AND(#REF!,"AAAAAC9/3R0=")</f>
        <v>#REF!</v>
      </c>
      <c r="AE243" t="e">
        <f>AND(#REF!,"AAAAAC9/3R4=")</f>
        <v>#REF!</v>
      </c>
      <c r="AF243" t="e">
        <f>AND(#REF!,"AAAAAC9/3R8=")</f>
        <v>#REF!</v>
      </c>
      <c r="AG243" t="e">
        <f>AND(#REF!,"AAAAAC9/3SA=")</f>
        <v>#REF!</v>
      </c>
      <c r="AH243" t="e">
        <f>AND(#REF!,"AAAAAC9/3SE=")</f>
        <v>#REF!</v>
      </c>
      <c r="AI243" t="e">
        <f>AND(#REF!,"AAAAAC9/3SI=")</f>
        <v>#REF!</v>
      </c>
      <c r="AJ243" t="e">
        <f>AND(#REF!,"AAAAAC9/3SM=")</f>
        <v>#REF!</v>
      </c>
      <c r="AK243" t="e">
        <f>AND(#REF!,"AAAAAC9/3SQ=")</f>
        <v>#REF!</v>
      </c>
      <c r="AL243" t="e">
        <f>IF(#REF!,"AAAAAC9/3SU=",0)</f>
        <v>#REF!</v>
      </c>
      <c r="AM243" t="e">
        <f>AND(#REF!,"AAAAAC9/3SY=")</f>
        <v>#REF!</v>
      </c>
      <c r="AN243" t="e">
        <f>AND(#REF!,"AAAAAC9/3Sc=")</f>
        <v>#REF!</v>
      </c>
      <c r="AO243" t="e">
        <f>AND(#REF!,"AAAAAC9/3Sg=")</f>
        <v>#REF!</v>
      </c>
      <c r="AP243" t="e">
        <f>AND(#REF!,"AAAAAC9/3Sk=")</f>
        <v>#REF!</v>
      </c>
      <c r="AQ243" t="e">
        <f>AND(#REF!,"AAAAAC9/3So=")</f>
        <v>#REF!</v>
      </c>
      <c r="AR243" t="e">
        <f>AND(#REF!,"AAAAAC9/3Ss=")</f>
        <v>#REF!</v>
      </c>
      <c r="AS243" t="e">
        <f>AND(#REF!,"AAAAAC9/3Sw=")</f>
        <v>#REF!</v>
      </c>
      <c r="AT243" t="e">
        <f>AND(#REF!,"AAAAAC9/3S0=")</f>
        <v>#REF!</v>
      </c>
      <c r="AU243" t="e">
        <f>AND(#REF!,"AAAAAC9/3S4=")</f>
        <v>#REF!</v>
      </c>
      <c r="AV243" t="e">
        <f>AND(#REF!,"AAAAAC9/3S8=")</f>
        <v>#REF!</v>
      </c>
      <c r="AW243" t="e">
        <f>AND(#REF!,"AAAAAC9/3TA=")</f>
        <v>#REF!</v>
      </c>
      <c r="AX243" t="e">
        <f>AND(#REF!,"AAAAAC9/3TE=")</f>
        <v>#REF!</v>
      </c>
      <c r="AY243" t="e">
        <f>AND(#REF!,"AAAAAC9/3TI=")</f>
        <v>#REF!</v>
      </c>
      <c r="AZ243" t="e">
        <f>IF(#REF!,"AAAAAC9/3TM=",0)</f>
        <v>#REF!</v>
      </c>
      <c r="BA243" t="e">
        <f>AND(#REF!,"AAAAAC9/3TQ=")</f>
        <v>#REF!</v>
      </c>
      <c r="BB243" t="e">
        <f>AND(#REF!,"AAAAAC9/3TU=")</f>
        <v>#REF!</v>
      </c>
      <c r="BC243" t="e">
        <f>AND(#REF!,"AAAAAC9/3TY=")</f>
        <v>#REF!</v>
      </c>
      <c r="BD243" t="e">
        <f>AND(#REF!,"AAAAAC9/3Tc=")</f>
        <v>#REF!</v>
      </c>
      <c r="BE243" t="e">
        <f>AND(#REF!,"AAAAAC9/3Tg=")</f>
        <v>#REF!</v>
      </c>
      <c r="BF243" t="e">
        <f>AND(#REF!,"AAAAAC9/3Tk=")</f>
        <v>#REF!</v>
      </c>
      <c r="BG243" t="e">
        <f>AND(#REF!,"AAAAAC9/3To=")</f>
        <v>#REF!</v>
      </c>
      <c r="BH243" t="e">
        <f>AND(#REF!,"AAAAAC9/3Ts=")</f>
        <v>#REF!</v>
      </c>
      <c r="BI243" t="e">
        <f>AND(#REF!,"AAAAAC9/3Tw=")</f>
        <v>#REF!</v>
      </c>
      <c r="BJ243" t="e">
        <f>AND(#REF!,"AAAAAC9/3T0=")</f>
        <v>#REF!</v>
      </c>
      <c r="BK243" t="e">
        <f>AND(#REF!,"AAAAAC9/3T4=")</f>
        <v>#REF!</v>
      </c>
      <c r="BL243" t="e">
        <f>AND(#REF!,"AAAAAC9/3T8=")</f>
        <v>#REF!</v>
      </c>
      <c r="BM243" t="e">
        <f>AND(#REF!,"AAAAAC9/3UA=")</f>
        <v>#REF!</v>
      </c>
      <c r="BN243" t="e">
        <f>IF(#REF!,"AAAAAC9/3UE=",0)</f>
        <v>#REF!</v>
      </c>
      <c r="BO243" t="e">
        <f>AND(#REF!,"AAAAAC9/3UI=")</f>
        <v>#REF!</v>
      </c>
      <c r="BP243" t="e">
        <f>AND(#REF!,"AAAAAC9/3UM=")</f>
        <v>#REF!</v>
      </c>
      <c r="BQ243" t="e">
        <f>AND(#REF!,"AAAAAC9/3UQ=")</f>
        <v>#REF!</v>
      </c>
      <c r="BR243" t="e">
        <f>AND(#REF!,"AAAAAC9/3UU=")</f>
        <v>#REF!</v>
      </c>
      <c r="BS243" t="e">
        <f>AND(#REF!,"AAAAAC9/3UY=")</f>
        <v>#REF!</v>
      </c>
      <c r="BT243" t="e">
        <f>AND(#REF!,"AAAAAC9/3Uc=")</f>
        <v>#REF!</v>
      </c>
      <c r="BU243" t="e">
        <f>AND(#REF!,"AAAAAC9/3Ug=")</f>
        <v>#REF!</v>
      </c>
      <c r="BV243" t="e">
        <f>AND(#REF!,"AAAAAC9/3Uk=")</f>
        <v>#REF!</v>
      </c>
      <c r="BW243" t="e">
        <f>AND(#REF!,"AAAAAC9/3Uo=")</f>
        <v>#REF!</v>
      </c>
      <c r="BX243" t="e">
        <f>AND(#REF!,"AAAAAC9/3Us=")</f>
        <v>#REF!</v>
      </c>
      <c r="BY243" t="e">
        <f>AND(#REF!,"AAAAAC9/3Uw=")</f>
        <v>#REF!</v>
      </c>
      <c r="BZ243" t="e">
        <f>AND(#REF!,"AAAAAC9/3U0=")</f>
        <v>#REF!</v>
      </c>
      <c r="CA243" t="e">
        <f>AND(#REF!,"AAAAAC9/3U4=")</f>
        <v>#REF!</v>
      </c>
      <c r="CB243" t="e">
        <f>IF(#REF!,"AAAAAC9/3U8=",0)</f>
        <v>#REF!</v>
      </c>
      <c r="CC243" t="e">
        <f>AND(#REF!,"AAAAAC9/3VA=")</f>
        <v>#REF!</v>
      </c>
      <c r="CD243" t="e">
        <f>AND(#REF!,"AAAAAC9/3VE=")</f>
        <v>#REF!</v>
      </c>
      <c r="CE243" t="e">
        <f>AND(#REF!,"AAAAAC9/3VI=")</f>
        <v>#REF!</v>
      </c>
      <c r="CF243" t="e">
        <f>AND(#REF!,"AAAAAC9/3VM=")</f>
        <v>#REF!</v>
      </c>
      <c r="CG243" t="e">
        <f>AND(#REF!,"AAAAAC9/3VQ=")</f>
        <v>#REF!</v>
      </c>
      <c r="CH243" t="e">
        <f>AND(#REF!,"AAAAAC9/3VU=")</f>
        <v>#REF!</v>
      </c>
      <c r="CI243" t="e">
        <f>AND(#REF!,"AAAAAC9/3VY=")</f>
        <v>#REF!</v>
      </c>
      <c r="CJ243" t="e">
        <f>AND(#REF!,"AAAAAC9/3Vc=")</f>
        <v>#REF!</v>
      </c>
      <c r="CK243" t="e">
        <f>AND(#REF!,"AAAAAC9/3Vg=")</f>
        <v>#REF!</v>
      </c>
      <c r="CL243" t="e">
        <f>AND(#REF!,"AAAAAC9/3Vk=")</f>
        <v>#REF!</v>
      </c>
      <c r="CM243" t="e">
        <f>AND(#REF!,"AAAAAC9/3Vo=")</f>
        <v>#REF!</v>
      </c>
      <c r="CN243" t="e">
        <f>AND(#REF!,"AAAAAC9/3Vs=")</f>
        <v>#REF!</v>
      </c>
      <c r="CO243" t="e">
        <f>AND(#REF!,"AAAAAC9/3Vw=")</f>
        <v>#REF!</v>
      </c>
      <c r="CP243" t="e">
        <f>IF(#REF!,"AAAAAC9/3V0=",0)</f>
        <v>#REF!</v>
      </c>
      <c r="CQ243" t="e">
        <f>AND(#REF!,"AAAAAC9/3V4=")</f>
        <v>#REF!</v>
      </c>
      <c r="CR243" t="e">
        <f>AND(#REF!,"AAAAAC9/3V8=")</f>
        <v>#REF!</v>
      </c>
      <c r="CS243" t="e">
        <f>AND(#REF!,"AAAAAC9/3WA=")</f>
        <v>#REF!</v>
      </c>
      <c r="CT243" t="e">
        <f>AND(#REF!,"AAAAAC9/3WE=")</f>
        <v>#REF!</v>
      </c>
      <c r="CU243" t="e">
        <f>AND(#REF!,"AAAAAC9/3WI=")</f>
        <v>#REF!</v>
      </c>
      <c r="CV243" t="e">
        <f>AND(#REF!,"AAAAAC9/3WM=")</f>
        <v>#REF!</v>
      </c>
      <c r="CW243" t="e">
        <f>AND(#REF!,"AAAAAC9/3WQ=")</f>
        <v>#REF!</v>
      </c>
      <c r="CX243" t="e">
        <f>AND(#REF!,"AAAAAC9/3WU=")</f>
        <v>#REF!</v>
      </c>
      <c r="CY243" t="e">
        <f>AND(#REF!,"AAAAAC9/3WY=")</f>
        <v>#REF!</v>
      </c>
      <c r="CZ243" t="e">
        <f>AND(#REF!,"AAAAAC9/3Wc=")</f>
        <v>#REF!</v>
      </c>
      <c r="DA243" t="e">
        <f>AND(#REF!,"AAAAAC9/3Wg=")</f>
        <v>#REF!</v>
      </c>
      <c r="DB243" t="e">
        <f>AND(#REF!,"AAAAAC9/3Wk=")</f>
        <v>#REF!</v>
      </c>
      <c r="DC243" t="e">
        <f>AND(#REF!,"AAAAAC9/3Wo=")</f>
        <v>#REF!</v>
      </c>
      <c r="DD243" t="e">
        <f>IF(#REF!,"AAAAAC9/3Ws=",0)</f>
        <v>#REF!</v>
      </c>
      <c r="DE243" t="e">
        <f>AND(#REF!,"AAAAAC9/3Ww=")</f>
        <v>#REF!</v>
      </c>
      <c r="DF243" t="e">
        <f>AND(#REF!,"AAAAAC9/3W0=")</f>
        <v>#REF!</v>
      </c>
      <c r="DG243" t="e">
        <f>AND(#REF!,"AAAAAC9/3W4=")</f>
        <v>#REF!</v>
      </c>
      <c r="DH243" t="e">
        <f>AND(#REF!,"AAAAAC9/3W8=")</f>
        <v>#REF!</v>
      </c>
      <c r="DI243" t="e">
        <f>AND(#REF!,"AAAAAC9/3XA=")</f>
        <v>#REF!</v>
      </c>
      <c r="DJ243" t="e">
        <f>AND(#REF!,"AAAAAC9/3XE=")</f>
        <v>#REF!</v>
      </c>
      <c r="DK243" t="e">
        <f>AND(#REF!,"AAAAAC9/3XI=")</f>
        <v>#REF!</v>
      </c>
      <c r="DL243" t="e">
        <f>AND(#REF!,"AAAAAC9/3XM=")</f>
        <v>#REF!</v>
      </c>
      <c r="DM243" t="e">
        <f>AND(#REF!,"AAAAAC9/3XQ=")</f>
        <v>#REF!</v>
      </c>
      <c r="DN243" t="e">
        <f>AND(#REF!,"AAAAAC9/3XU=")</f>
        <v>#REF!</v>
      </c>
      <c r="DO243" t="e">
        <f>AND(#REF!,"AAAAAC9/3XY=")</f>
        <v>#REF!</v>
      </c>
      <c r="DP243" t="e">
        <f>AND(#REF!,"AAAAAC9/3Xc=")</f>
        <v>#REF!</v>
      </c>
      <c r="DQ243" t="e">
        <f>AND(#REF!,"AAAAAC9/3Xg=")</f>
        <v>#REF!</v>
      </c>
      <c r="DR243" t="e">
        <f>IF(#REF!,"AAAAAC9/3Xk=",0)</f>
        <v>#REF!</v>
      </c>
      <c r="DS243" t="e">
        <f>AND(#REF!,"AAAAAC9/3Xo=")</f>
        <v>#REF!</v>
      </c>
      <c r="DT243" t="e">
        <f>AND(#REF!,"AAAAAC9/3Xs=")</f>
        <v>#REF!</v>
      </c>
      <c r="DU243" t="e">
        <f>AND(#REF!,"AAAAAC9/3Xw=")</f>
        <v>#REF!</v>
      </c>
      <c r="DV243" t="e">
        <f>AND(#REF!,"AAAAAC9/3X0=")</f>
        <v>#REF!</v>
      </c>
      <c r="DW243" t="e">
        <f>AND(#REF!,"AAAAAC9/3X4=")</f>
        <v>#REF!</v>
      </c>
      <c r="DX243" t="e">
        <f>AND(#REF!,"AAAAAC9/3X8=")</f>
        <v>#REF!</v>
      </c>
      <c r="DY243" t="e">
        <f>AND(#REF!,"AAAAAC9/3YA=")</f>
        <v>#REF!</v>
      </c>
      <c r="DZ243" t="e">
        <f>AND(#REF!,"AAAAAC9/3YE=")</f>
        <v>#REF!</v>
      </c>
      <c r="EA243" t="e">
        <f>AND(#REF!,"AAAAAC9/3YI=")</f>
        <v>#REF!</v>
      </c>
      <c r="EB243" t="e">
        <f>AND(#REF!,"AAAAAC9/3YM=")</f>
        <v>#REF!</v>
      </c>
      <c r="EC243" t="e">
        <f>AND(#REF!,"AAAAAC9/3YQ=")</f>
        <v>#REF!</v>
      </c>
      <c r="ED243" t="e">
        <f>AND(#REF!,"AAAAAC9/3YU=")</f>
        <v>#REF!</v>
      </c>
      <c r="EE243" t="e">
        <f>AND(#REF!,"AAAAAC9/3YY=")</f>
        <v>#REF!</v>
      </c>
      <c r="EF243" t="e">
        <f>IF(#REF!,"AAAAAC9/3Yc=",0)</f>
        <v>#REF!</v>
      </c>
      <c r="EG243" t="e">
        <f>AND(#REF!,"AAAAAC9/3Yg=")</f>
        <v>#REF!</v>
      </c>
      <c r="EH243" t="e">
        <f>AND(#REF!,"AAAAAC9/3Yk=")</f>
        <v>#REF!</v>
      </c>
      <c r="EI243" t="e">
        <f>AND(#REF!,"AAAAAC9/3Yo=")</f>
        <v>#REF!</v>
      </c>
      <c r="EJ243" t="e">
        <f>AND(#REF!,"AAAAAC9/3Ys=")</f>
        <v>#REF!</v>
      </c>
      <c r="EK243" t="e">
        <f>AND(#REF!,"AAAAAC9/3Yw=")</f>
        <v>#REF!</v>
      </c>
      <c r="EL243" t="e">
        <f>AND(#REF!,"AAAAAC9/3Y0=")</f>
        <v>#REF!</v>
      </c>
      <c r="EM243" t="e">
        <f>AND(#REF!,"AAAAAC9/3Y4=")</f>
        <v>#REF!</v>
      </c>
      <c r="EN243" t="e">
        <f>AND(#REF!,"AAAAAC9/3Y8=")</f>
        <v>#REF!</v>
      </c>
      <c r="EO243" t="e">
        <f>AND(#REF!,"AAAAAC9/3ZA=")</f>
        <v>#REF!</v>
      </c>
      <c r="EP243" t="e">
        <f>AND(#REF!,"AAAAAC9/3ZE=")</f>
        <v>#REF!</v>
      </c>
      <c r="EQ243" t="e">
        <f>AND(#REF!,"AAAAAC9/3ZI=")</f>
        <v>#REF!</v>
      </c>
      <c r="ER243" t="e">
        <f>AND(#REF!,"AAAAAC9/3ZM=")</f>
        <v>#REF!</v>
      </c>
      <c r="ES243" t="e">
        <f>AND(#REF!,"AAAAAC9/3ZQ=")</f>
        <v>#REF!</v>
      </c>
      <c r="ET243" t="e">
        <f>IF(#REF!,"AAAAAC9/3ZU=",0)</f>
        <v>#REF!</v>
      </c>
      <c r="EU243" t="e">
        <f>AND(#REF!,"AAAAAC9/3ZY=")</f>
        <v>#REF!</v>
      </c>
      <c r="EV243" t="e">
        <f>AND(#REF!,"AAAAAC9/3Zc=")</f>
        <v>#REF!</v>
      </c>
      <c r="EW243" t="e">
        <f>AND(#REF!,"AAAAAC9/3Zg=")</f>
        <v>#REF!</v>
      </c>
      <c r="EX243" t="e">
        <f>AND(#REF!,"AAAAAC9/3Zk=")</f>
        <v>#REF!</v>
      </c>
      <c r="EY243" t="e">
        <f>AND(#REF!,"AAAAAC9/3Zo=")</f>
        <v>#REF!</v>
      </c>
      <c r="EZ243" t="e">
        <f>AND(#REF!,"AAAAAC9/3Zs=")</f>
        <v>#REF!</v>
      </c>
      <c r="FA243" t="e">
        <f>AND(#REF!,"AAAAAC9/3Zw=")</f>
        <v>#REF!</v>
      </c>
      <c r="FB243" t="e">
        <f>AND(#REF!,"AAAAAC9/3Z0=")</f>
        <v>#REF!</v>
      </c>
      <c r="FC243" t="e">
        <f>AND(#REF!,"AAAAAC9/3Z4=")</f>
        <v>#REF!</v>
      </c>
      <c r="FD243" t="e">
        <f>AND(#REF!,"AAAAAC9/3Z8=")</f>
        <v>#REF!</v>
      </c>
      <c r="FE243" t="e">
        <f>AND(#REF!,"AAAAAC9/3aA=")</f>
        <v>#REF!</v>
      </c>
      <c r="FF243" t="e">
        <f>AND(#REF!,"AAAAAC9/3aE=")</f>
        <v>#REF!</v>
      </c>
      <c r="FG243" t="e">
        <f>AND(#REF!,"AAAAAC9/3aI=")</f>
        <v>#REF!</v>
      </c>
      <c r="FH243" t="e">
        <f>IF(#REF!,"AAAAAC9/3aM=",0)</f>
        <v>#REF!</v>
      </c>
      <c r="FI243" t="e">
        <f>AND(#REF!,"AAAAAC9/3aQ=")</f>
        <v>#REF!</v>
      </c>
      <c r="FJ243" t="e">
        <f>AND(#REF!,"AAAAAC9/3aU=")</f>
        <v>#REF!</v>
      </c>
      <c r="FK243" t="e">
        <f>AND(#REF!,"AAAAAC9/3aY=")</f>
        <v>#REF!</v>
      </c>
      <c r="FL243" t="e">
        <f>AND(#REF!,"AAAAAC9/3ac=")</f>
        <v>#REF!</v>
      </c>
      <c r="FM243" t="e">
        <f>AND(#REF!,"AAAAAC9/3ag=")</f>
        <v>#REF!</v>
      </c>
      <c r="FN243" t="e">
        <f>AND(#REF!,"AAAAAC9/3ak=")</f>
        <v>#REF!</v>
      </c>
      <c r="FO243" t="e">
        <f>AND(#REF!,"AAAAAC9/3ao=")</f>
        <v>#REF!</v>
      </c>
      <c r="FP243" t="e">
        <f>AND(#REF!,"AAAAAC9/3as=")</f>
        <v>#REF!</v>
      </c>
      <c r="FQ243" t="e">
        <f>AND(#REF!,"AAAAAC9/3aw=")</f>
        <v>#REF!</v>
      </c>
      <c r="FR243" t="e">
        <f>AND(#REF!,"AAAAAC9/3a0=")</f>
        <v>#REF!</v>
      </c>
      <c r="FS243" t="e">
        <f>AND(#REF!,"AAAAAC9/3a4=")</f>
        <v>#REF!</v>
      </c>
      <c r="FT243" t="e">
        <f>AND(#REF!,"AAAAAC9/3a8=")</f>
        <v>#REF!</v>
      </c>
      <c r="FU243" t="e">
        <f>AND(#REF!,"AAAAAC9/3bA=")</f>
        <v>#REF!</v>
      </c>
      <c r="FV243" t="e">
        <f>IF(#REF!,"AAAAAC9/3bE=",0)</f>
        <v>#REF!</v>
      </c>
      <c r="FW243" t="e">
        <f>AND(#REF!,"AAAAAC9/3bI=")</f>
        <v>#REF!</v>
      </c>
      <c r="FX243" t="e">
        <f>AND(#REF!,"AAAAAC9/3bM=")</f>
        <v>#REF!</v>
      </c>
      <c r="FY243" t="e">
        <f>AND(#REF!,"AAAAAC9/3bQ=")</f>
        <v>#REF!</v>
      </c>
      <c r="FZ243" t="e">
        <f>AND(#REF!,"AAAAAC9/3bU=")</f>
        <v>#REF!</v>
      </c>
      <c r="GA243" t="e">
        <f>AND(#REF!,"AAAAAC9/3bY=")</f>
        <v>#REF!</v>
      </c>
      <c r="GB243" t="e">
        <f>AND(#REF!,"AAAAAC9/3bc=")</f>
        <v>#REF!</v>
      </c>
      <c r="GC243" t="e">
        <f>AND(#REF!,"AAAAAC9/3bg=")</f>
        <v>#REF!</v>
      </c>
      <c r="GD243" t="e">
        <f>AND(#REF!,"AAAAAC9/3bk=")</f>
        <v>#REF!</v>
      </c>
      <c r="GE243" t="e">
        <f>AND(#REF!,"AAAAAC9/3bo=")</f>
        <v>#REF!</v>
      </c>
      <c r="GF243" t="e">
        <f>AND(#REF!,"AAAAAC9/3bs=")</f>
        <v>#REF!</v>
      </c>
      <c r="GG243" t="e">
        <f>AND(#REF!,"AAAAAC9/3bw=")</f>
        <v>#REF!</v>
      </c>
      <c r="GH243" t="e">
        <f>AND(#REF!,"AAAAAC9/3b0=")</f>
        <v>#REF!</v>
      </c>
      <c r="GI243" t="e">
        <f>AND(#REF!,"AAAAAC9/3b4=")</f>
        <v>#REF!</v>
      </c>
      <c r="GJ243" t="e">
        <f>IF(#REF!,"AAAAAC9/3b8=",0)</f>
        <v>#REF!</v>
      </c>
      <c r="GK243" t="e">
        <f>AND(#REF!,"AAAAAC9/3cA=")</f>
        <v>#REF!</v>
      </c>
      <c r="GL243" t="e">
        <f>AND(#REF!,"AAAAAC9/3cE=")</f>
        <v>#REF!</v>
      </c>
      <c r="GM243" t="e">
        <f>AND(#REF!,"AAAAAC9/3cI=")</f>
        <v>#REF!</v>
      </c>
      <c r="GN243" t="e">
        <f>AND(#REF!,"AAAAAC9/3cM=")</f>
        <v>#REF!</v>
      </c>
      <c r="GO243" t="e">
        <f>AND(#REF!,"AAAAAC9/3cQ=")</f>
        <v>#REF!</v>
      </c>
      <c r="GP243" t="e">
        <f>AND(#REF!,"AAAAAC9/3cU=")</f>
        <v>#REF!</v>
      </c>
      <c r="GQ243" t="e">
        <f>AND(#REF!,"AAAAAC9/3cY=")</f>
        <v>#REF!</v>
      </c>
      <c r="GR243" t="e">
        <f>AND(#REF!,"AAAAAC9/3cc=")</f>
        <v>#REF!</v>
      </c>
      <c r="GS243" t="e">
        <f>AND(#REF!,"AAAAAC9/3cg=")</f>
        <v>#REF!</v>
      </c>
      <c r="GT243" t="e">
        <f>AND(#REF!,"AAAAAC9/3ck=")</f>
        <v>#REF!</v>
      </c>
      <c r="GU243" t="e">
        <f>AND(#REF!,"AAAAAC9/3co=")</f>
        <v>#REF!</v>
      </c>
      <c r="GV243" t="e">
        <f>AND(#REF!,"AAAAAC9/3cs=")</f>
        <v>#REF!</v>
      </c>
      <c r="GW243" t="e">
        <f>AND(#REF!,"AAAAAC9/3cw=")</f>
        <v>#REF!</v>
      </c>
      <c r="GX243" t="e">
        <f>IF(#REF!,"AAAAAC9/3c0=",0)</f>
        <v>#REF!</v>
      </c>
      <c r="GY243" t="e">
        <f>AND(#REF!,"AAAAAC9/3c4=")</f>
        <v>#REF!</v>
      </c>
      <c r="GZ243" t="e">
        <f>AND(#REF!,"AAAAAC9/3c8=")</f>
        <v>#REF!</v>
      </c>
      <c r="HA243" t="e">
        <f>AND(#REF!,"AAAAAC9/3dA=")</f>
        <v>#REF!</v>
      </c>
      <c r="HB243" t="e">
        <f>AND(#REF!,"AAAAAC9/3dE=")</f>
        <v>#REF!</v>
      </c>
      <c r="HC243" t="e">
        <f>AND(#REF!,"AAAAAC9/3dI=")</f>
        <v>#REF!</v>
      </c>
      <c r="HD243" t="e">
        <f>AND(#REF!,"AAAAAC9/3dM=")</f>
        <v>#REF!</v>
      </c>
      <c r="HE243" t="e">
        <f>AND(#REF!,"AAAAAC9/3dQ=")</f>
        <v>#REF!</v>
      </c>
      <c r="HF243" t="e">
        <f>AND(#REF!,"AAAAAC9/3dU=")</f>
        <v>#REF!</v>
      </c>
      <c r="HG243" t="e">
        <f>AND(#REF!,"AAAAAC9/3dY=")</f>
        <v>#REF!</v>
      </c>
      <c r="HH243" t="e">
        <f>AND(#REF!,"AAAAAC9/3dc=")</f>
        <v>#REF!</v>
      </c>
      <c r="HI243" t="e">
        <f>AND(#REF!,"AAAAAC9/3dg=")</f>
        <v>#REF!</v>
      </c>
      <c r="HJ243" t="e">
        <f>AND(#REF!,"AAAAAC9/3dk=")</f>
        <v>#REF!</v>
      </c>
      <c r="HK243" t="e">
        <f>AND(#REF!,"AAAAAC9/3do=")</f>
        <v>#REF!</v>
      </c>
      <c r="HL243" t="e">
        <f>IF(#REF!,"AAAAAC9/3ds=",0)</f>
        <v>#REF!</v>
      </c>
      <c r="HM243" t="e">
        <f>AND(#REF!,"AAAAAC9/3dw=")</f>
        <v>#REF!</v>
      </c>
      <c r="HN243" t="e">
        <f>AND(#REF!,"AAAAAC9/3d0=")</f>
        <v>#REF!</v>
      </c>
      <c r="HO243" t="e">
        <f>AND(#REF!,"AAAAAC9/3d4=")</f>
        <v>#REF!</v>
      </c>
      <c r="HP243" t="e">
        <f>AND(#REF!,"AAAAAC9/3d8=")</f>
        <v>#REF!</v>
      </c>
      <c r="HQ243" t="e">
        <f>AND(#REF!,"AAAAAC9/3eA=")</f>
        <v>#REF!</v>
      </c>
      <c r="HR243" t="e">
        <f>AND(#REF!,"AAAAAC9/3eE=")</f>
        <v>#REF!</v>
      </c>
      <c r="HS243" t="e">
        <f>AND(#REF!,"AAAAAC9/3eI=")</f>
        <v>#REF!</v>
      </c>
      <c r="HT243" t="e">
        <f>AND(#REF!,"AAAAAC9/3eM=")</f>
        <v>#REF!</v>
      </c>
      <c r="HU243" t="e">
        <f>AND(#REF!,"AAAAAC9/3eQ=")</f>
        <v>#REF!</v>
      </c>
      <c r="HV243" t="e">
        <f>AND(#REF!,"AAAAAC9/3eU=")</f>
        <v>#REF!</v>
      </c>
      <c r="HW243" t="e">
        <f>AND(#REF!,"AAAAAC9/3eY=")</f>
        <v>#REF!</v>
      </c>
      <c r="HX243" t="e">
        <f>AND(#REF!,"AAAAAC9/3ec=")</f>
        <v>#REF!</v>
      </c>
      <c r="HY243" t="e">
        <f>AND(#REF!,"AAAAAC9/3eg=")</f>
        <v>#REF!</v>
      </c>
      <c r="HZ243" t="e">
        <f>IF(#REF!,"AAAAAC9/3ek=",0)</f>
        <v>#REF!</v>
      </c>
      <c r="IA243" t="e">
        <f>AND(#REF!,"AAAAAC9/3eo=")</f>
        <v>#REF!</v>
      </c>
      <c r="IB243" t="e">
        <f>AND(#REF!,"AAAAAC9/3es=")</f>
        <v>#REF!</v>
      </c>
      <c r="IC243" t="e">
        <f>AND(#REF!,"AAAAAC9/3ew=")</f>
        <v>#REF!</v>
      </c>
      <c r="ID243" t="e">
        <f>AND(#REF!,"AAAAAC9/3e0=")</f>
        <v>#REF!</v>
      </c>
      <c r="IE243" t="e">
        <f>AND(#REF!,"AAAAAC9/3e4=")</f>
        <v>#REF!</v>
      </c>
      <c r="IF243" t="e">
        <f>AND(#REF!,"AAAAAC9/3e8=")</f>
        <v>#REF!</v>
      </c>
      <c r="IG243" t="e">
        <f>AND(#REF!,"AAAAAC9/3fA=")</f>
        <v>#REF!</v>
      </c>
      <c r="IH243" t="e">
        <f>AND(#REF!,"AAAAAC9/3fE=")</f>
        <v>#REF!</v>
      </c>
      <c r="II243" t="e">
        <f>AND(#REF!,"AAAAAC9/3fI=")</f>
        <v>#REF!</v>
      </c>
      <c r="IJ243" t="e">
        <f>AND(#REF!,"AAAAAC9/3fM=")</f>
        <v>#REF!</v>
      </c>
      <c r="IK243" t="e">
        <f>AND(#REF!,"AAAAAC9/3fQ=")</f>
        <v>#REF!</v>
      </c>
      <c r="IL243" t="e">
        <f>AND(#REF!,"AAAAAC9/3fU=")</f>
        <v>#REF!</v>
      </c>
      <c r="IM243" t="e">
        <f>AND(#REF!,"AAAAAC9/3fY=")</f>
        <v>#REF!</v>
      </c>
      <c r="IN243" t="e">
        <f>IF(#REF!,"AAAAAC9/3fc=",0)</f>
        <v>#REF!</v>
      </c>
      <c r="IO243" t="e">
        <f>AND(#REF!,"AAAAAC9/3fg=")</f>
        <v>#REF!</v>
      </c>
      <c r="IP243" t="e">
        <f>AND(#REF!,"AAAAAC9/3fk=")</f>
        <v>#REF!</v>
      </c>
      <c r="IQ243" t="e">
        <f>AND(#REF!,"AAAAAC9/3fo=")</f>
        <v>#REF!</v>
      </c>
      <c r="IR243" t="e">
        <f>AND(#REF!,"AAAAAC9/3fs=")</f>
        <v>#REF!</v>
      </c>
      <c r="IS243" t="e">
        <f>AND(#REF!,"AAAAAC9/3fw=")</f>
        <v>#REF!</v>
      </c>
      <c r="IT243" t="e">
        <f>AND(#REF!,"AAAAAC9/3f0=")</f>
        <v>#REF!</v>
      </c>
      <c r="IU243" t="e">
        <f>AND(#REF!,"AAAAAC9/3f4=")</f>
        <v>#REF!</v>
      </c>
      <c r="IV243" t="e">
        <f>AND(#REF!,"AAAAAC9/3f8=")</f>
        <v>#REF!</v>
      </c>
    </row>
    <row r="244" spans="1:256" x14ac:dyDescent="0.2">
      <c r="A244" t="e">
        <f>AND(#REF!,"AAAAAG76PAA=")</f>
        <v>#REF!</v>
      </c>
      <c r="B244" t="e">
        <f>AND(#REF!,"AAAAAG76PAE=")</f>
        <v>#REF!</v>
      </c>
      <c r="C244" t="e">
        <f>AND(#REF!,"AAAAAG76PAI=")</f>
        <v>#REF!</v>
      </c>
      <c r="D244" t="e">
        <f>AND(#REF!,"AAAAAG76PAM=")</f>
        <v>#REF!</v>
      </c>
      <c r="E244" t="e">
        <f>AND(#REF!,"AAAAAG76PAQ=")</f>
        <v>#REF!</v>
      </c>
      <c r="F244" t="e">
        <f>IF(#REF!,"AAAAAG76PAU=",0)</f>
        <v>#REF!</v>
      </c>
      <c r="G244" t="e">
        <f>AND(#REF!,"AAAAAG76PAY=")</f>
        <v>#REF!</v>
      </c>
      <c r="H244" t="e">
        <f>AND(#REF!,"AAAAAG76PAc=")</f>
        <v>#REF!</v>
      </c>
      <c r="I244" t="e">
        <f>AND(#REF!,"AAAAAG76PAg=")</f>
        <v>#REF!</v>
      </c>
      <c r="J244" t="e">
        <f>AND(#REF!,"AAAAAG76PAk=")</f>
        <v>#REF!</v>
      </c>
      <c r="K244" t="e">
        <f>AND(#REF!,"AAAAAG76PAo=")</f>
        <v>#REF!</v>
      </c>
      <c r="L244" t="e">
        <f>AND(#REF!,"AAAAAG76PAs=")</f>
        <v>#REF!</v>
      </c>
      <c r="M244" t="e">
        <f>AND(#REF!,"AAAAAG76PAw=")</f>
        <v>#REF!</v>
      </c>
      <c r="N244" t="e">
        <f>AND(#REF!,"AAAAAG76PA0=")</f>
        <v>#REF!</v>
      </c>
      <c r="O244" t="e">
        <f>AND(#REF!,"AAAAAG76PA4=")</f>
        <v>#REF!</v>
      </c>
      <c r="P244" t="e">
        <f>AND(#REF!,"AAAAAG76PA8=")</f>
        <v>#REF!</v>
      </c>
      <c r="Q244" t="e">
        <f>AND(#REF!,"AAAAAG76PBA=")</f>
        <v>#REF!</v>
      </c>
      <c r="R244" t="e">
        <f>AND(#REF!,"AAAAAG76PBE=")</f>
        <v>#REF!</v>
      </c>
      <c r="S244" t="e">
        <f>AND(#REF!,"AAAAAG76PBI=")</f>
        <v>#REF!</v>
      </c>
      <c r="T244" t="e">
        <f>IF(#REF!,"AAAAAG76PBM=",0)</f>
        <v>#REF!</v>
      </c>
      <c r="U244" t="e">
        <f>AND(#REF!,"AAAAAG76PBQ=")</f>
        <v>#REF!</v>
      </c>
      <c r="V244" t="e">
        <f>AND(#REF!,"AAAAAG76PBU=")</f>
        <v>#REF!</v>
      </c>
      <c r="W244" t="e">
        <f>AND(#REF!,"AAAAAG76PBY=")</f>
        <v>#REF!</v>
      </c>
      <c r="X244" t="e">
        <f>AND(#REF!,"AAAAAG76PBc=")</f>
        <v>#REF!</v>
      </c>
      <c r="Y244" t="e">
        <f>AND(#REF!,"AAAAAG76PBg=")</f>
        <v>#REF!</v>
      </c>
      <c r="Z244" t="e">
        <f>AND(#REF!,"AAAAAG76PBk=")</f>
        <v>#REF!</v>
      </c>
      <c r="AA244" t="e">
        <f>AND(#REF!,"AAAAAG76PBo=")</f>
        <v>#REF!</v>
      </c>
      <c r="AB244" t="e">
        <f>AND(#REF!,"AAAAAG76PBs=")</f>
        <v>#REF!</v>
      </c>
      <c r="AC244" t="e">
        <f>AND(#REF!,"AAAAAG76PBw=")</f>
        <v>#REF!</v>
      </c>
      <c r="AD244" t="e">
        <f>AND(#REF!,"AAAAAG76PB0=")</f>
        <v>#REF!</v>
      </c>
      <c r="AE244" t="e">
        <f>AND(#REF!,"AAAAAG76PB4=")</f>
        <v>#REF!</v>
      </c>
      <c r="AF244" t="e">
        <f>AND(#REF!,"AAAAAG76PB8=")</f>
        <v>#REF!</v>
      </c>
      <c r="AG244" t="e">
        <f>AND(#REF!,"AAAAAG76PCA=")</f>
        <v>#REF!</v>
      </c>
      <c r="AH244" t="e">
        <f>IF(#REF!,"AAAAAG76PCE=",0)</f>
        <v>#REF!</v>
      </c>
      <c r="AI244" t="e">
        <f>AND(#REF!,"AAAAAG76PCI=")</f>
        <v>#REF!</v>
      </c>
      <c r="AJ244" t="e">
        <f>AND(#REF!,"AAAAAG76PCM=")</f>
        <v>#REF!</v>
      </c>
      <c r="AK244" t="e">
        <f>AND(#REF!,"AAAAAG76PCQ=")</f>
        <v>#REF!</v>
      </c>
      <c r="AL244" t="e">
        <f>AND(#REF!,"AAAAAG76PCU=")</f>
        <v>#REF!</v>
      </c>
      <c r="AM244" t="e">
        <f>AND(#REF!,"AAAAAG76PCY=")</f>
        <v>#REF!</v>
      </c>
      <c r="AN244" t="e">
        <f>AND(#REF!,"AAAAAG76PCc=")</f>
        <v>#REF!</v>
      </c>
      <c r="AO244" t="e">
        <f>AND(#REF!,"AAAAAG76PCg=")</f>
        <v>#REF!</v>
      </c>
      <c r="AP244" t="e">
        <f>AND(#REF!,"AAAAAG76PCk=")</f>
        <v>#REF!</v>
      </c>
      <c r="AQ244" t="e">
        <f>AND(#REF!,"AAAAAG76PCo=")</f>
        <v>#REF!</v>
      </c>
      <c r="AR244" t="e">
        <f>AND(#REF!,"AAAAAG76PCs=")</f>
        <v>#REF!</v>
      </c>
      <c r="AS244" t="e">
        <f>AND(#REF!,"AAAAAG76PCw=")</f>
        <v>#REF!</v>
      </c>
      <c r="AT244" t="e">
        <f>AND(#REF!,"AAAAAG76PC0=")</f>
        <v>#REF!</v>
      </c>
      <c r="AU244" t="e">
        <f>AND(#REF!,"AAAAAG76PC4=")</f>
        <v>#REF!</v>
      </c>
      <c r="AV244" t="e">
        <f>IF(#REF!,"AAAAAG76PC8=",0)</f>
        <v>#REF!</v>
      </c>
      <c r="AW244" t="e">
        <f>AND(#REF!,"AAAAAG76PDA=")</f>
        <v>#REF!</v>
      </c>
      <c r="AX244" t="e">
        <f>AND(#REF!,"AAAAAG76PDE=")</f>
        <v>#REF!</v>
      </c>
      <c r="AY244" t="e">
        <f>AND(#REF!,"AAAAAG76PDI=")</f>
        <v>#REF!</v>
      </c>
      <c r="AZ244" t="e">
        <f>AND(#REF!,"AAAAAG76PDM=")</f>
        <v>#REF!</v>
      </c>
      <c r="BA244" t="e">
        <f>AND(#REF!,"AAAAAG76PDQ=")</f>
        <v>#REF!</v>
      </c>
      <c r="BB244" t="e">
        <f>AND(#REF!,"AAAAAG76PDU=")</f>
        <v>#REF!</v>
      </c>
      <c r="BC244" t="e">
        <f>AND(#REF!,"AAAAAG76PDY=")</f>
        <v>#REF!</v>
      </c>
      <c r="BD244" t="e">
        <f>AND(#REF!,"AAAAAG76PDc=")</f>
        <v>#REF!</v>
      </c>
      <c r="BE244" t="e">
        <f>AND(#REF!,"AAAAAG76PDg=")</f>
        <v>#REF!</v>
      </c>
      <c r="BF244" t="e">
        <f>AND(#REF!,"AAAAAG76PDk=")</f>
        <v>#REF!</v>
      </c>
      <c r="BG244" t="e">
        <f>AND(#REF!,"AAAAAG76PDo=")</f>
        <v>#REF!</v>
      </c>
      <c r="BH244" t="e">
        <f>AND(#REF!,"AAAAAG76PDs=")</f>
        <v>#REF!</v>
      </c>
      <c r="BI244" t="e">
        <f>AND(#REF!,"AAAAAG76PDw=")</f>
        <v>#REF!</v>
      </c>
      <c r="BJ244" t="e">
        <f>IF(#REF!,"AAAAAG76PD0=",0)</f>
        <v>#REF!</v>
      </c>
      <c r="BK244" t="e">
        <f>AND(#REF!,"AAAAAG76PD4=")</f>
        <v>#REF!</v>
      </c>
      <c r="BL244" t="e">
        <f>AND(#REF!,"AAAAAG76PD8=")</f>
        <v>#REF!</v>
      </c>
      <c r="BM244" t="e">
        <f>AND(#REF!,"AAAAAG76PEA=")</f>
        <v>#REF!</v>
      </c>
      <c r="BN244" t="e">
        <f>AND(#REF!,"AAAAAG76PEE=")</f>
        <v>#REF!</v>
      </c>
      <c r="BO244" t="e">
        <f>AND(#REF!,"AAAAAG76PEI=")</f>
        <v>#REF!</v>
      </c>
      <c r="BP244" t="e">
        <f>AND(#REF!,"AAAAAG76PEM=")</f>
        <v>#REF!</v>
      </c>
      <c r="BQ244" t="e">
        <f>AND(#REF!,"AAAAAG76PEQ=")</f>
        <v>#REF!</v>
      </c>
      <c r="BR244" t="e">
        <f>AND(#REF!,"AAAAAG76PEU=")</f>
        <v>#REF!</v>
      </c>
      <c r="BS244" t="e">
        <f>AND(#REF!,"AAAAAG76PEY=")</f>
        <v>#REF!</v>
      </c>
      <c r="BT244" t="e">
        <f>AND(#REF!,"AAAAAG76PEc=")</f>
        <v>#REF!</v>
      </c>
      <c r="BU244" t="e">
        <f>AND(#REF!,"AAAAAG76PEg=")</f>
        <v>#REF!</v>
      </c>
      <c r="BV244" t="e">
        <f>AND(#REF!,"AAAAAG76PEk=")</f>
        <v>#REF!</v>
      </c>
      <c r="BW244" t="e">
        <f>AND(#REF!,"AAAAAG76PEo=")</f>
        <v>#REF!</v>
      </c>
      <c r="BX244" t="e">
        <f>IF(#REF!,"AAAAAG76PEs=",0)</f>
        <v>#REF!</v>
      </c>
      <c r="BY244" t="e">
        <f>AND(#REF!,"AAAAAG76PEw=")</f>
        <v>#REF!</v>
      </c>
      <c r="BZ244" t="e">
        <f>AND(#REF!,"AAAAAG76PE0=")</f>
        <v>#REF!</v>
      </c>
      <c r="CA244" t="e">
        <f>AND(#REF!,"AAAAAG76PE4=")</f>
        <v>#REF!</v>
      </c>
      <c r="CB244" t="e">
        <f>AND(#REF!,"AAAAAG76PE8=")</f>
        <v>#REF!</v>
      </c>
      <c r="CC244" t="e">
        <f>AND(#REF!,"AAAAAG76PFA=")</f>
        <v>#REF!</v>
      </c>
      <c r="CD244" t="e">
        <f>AND(#REF!,"AAAAAG76PFE=")</f>
        <v>#REF!</v>
      </c>
      <c r="CE244" t="e">
        <f>AND(#REF!,"AAAAAG76PFI=")</f>
        <v>#REF!</v>
      </c>
      <c r="CF244" t="e">
        <f>AND(#REF!,"AAAAAG76PFM=")</f>
        <v>#REF!</v>
      </c>
      <c r="CG244" t="e">
        <f>AND(#REF!,"AAAAAG76PFQ=")</f>
        <v>#REF!</v>
      </c>
      <c r="CH244" t="e">
        <f>AND(#REF!,"AAAAAG76PFU=")</f>
        <v>#REF!</v>
      </c>
      <c r="CI244" t="e">
        <f>AND(#REF!,"AAAAAG76PFY=")</f>
        <v>#REF!</v>
      </c>
      <c r="CJ244" t="e">
        <f>AND(#REF!,"AAAAAG76PFc=")</f>
        <v>#REF!</v>
      </c>
      <c r="CK244" t="e">
        <f>AND(#REF!,"AAAAAG76PFg=")</f>
        <v>#REF!</v>
      </c>
      <c r="CL244" t="e">
        <f>IF(#REF!,"AAAAAG76PFk=",0)</f>
        <v>#REF!</v>
      </c>
      <c r="CM244" t="e">
        <f>AND(#REF!,"AAAAAG76PFo=")</f>
        <v>#REF!</v>
      </c>
      <c r="CN244" t="e">
        <f>AND(#REF!,"AAAAAG76PFs=")</f>
        <v>#REF!</v>
      </c>
      <c r="CO244" t="e">
        <f>AND(#REF!,"AAAAAG76PFw=")</f>
        <v>#REF!</v>
      </c>
      <c r="CP244" t="e">
        <f>AND(#REF!,"AAAAAG76PF0=")</f>
        <v>#REF!</v>
      </c>
      <c r="CQ244" t="e">
        <f>AND(#REF!,"AAAAAG76PF4=")</f>
        <v>#REF!</v>
      </c>
      <c r="CR244" t="e">
        <f>AND(#REF!,"AAAAAG76PF8=")</f>
        <v>#REF!</v>
      </c>
      <c r="CS244" t="e">
        <f>AND(#REF!,"AAAAAG76PGA=")</f>
        <v>#REF!</v>
      </c>
      <c r="CT244" t="e">
        <f>AND(#REF!,"AAAAAG76PGE=")</f>
        <v>#REF!</v>
      </c>
      <c r="CU244" t="e">
        <f>AND(#REF!,"AAAAAG76PGI=")</f>
        <v>#REF!</v>
      </c>
      <c r="CV244" t="e">
        <f>AND(#REF!,"AAAAAG76PGM=")</f>
        <v>#REF!</v>
      </c>
      <c r="CW244" t="e">
        <f>AND(#REF!,"AAAAAG76PGQ=")</f>
        <v>#REF!</v>
      </c>
      <c r="CX244" t="e">
        <f>AND(#REF!,"AAAAAG76PGU=")</f>
        <v>#REF!</v>
      </c>
      <c r="CY244" t="e">
        <f>AND(#REF!,"AAAAAG76PGY=")</f>
        <v>#REF!</v>
      </c>
      <c r="CZ244" t="e">
        <f>IF(#REF!,"AAAAAG76PGc=",0)</f>
        <v>#REF!</v>
      </c>
      <c r="DA244" t="e">
        <f>AND(#REF!,"AAAAAG76PGg=")</f>
        <v>#REF!</v>
      </c>
      <c r="DB244" t="e">
        <f>AND(#REF!,"AAAAAG76PGk=")</f>
        <v>#REF!</v>
      </c>
      <c r="DC244" t="e">
        <f>AND(#REF!,"AAAAAG76PGo=")</f>
        <v>#REF!</v>
      </c>
      <c r="DD244" t="e">
        <f>AND(#REF!,"AAAAAG76PGs=")</f>
        <v>#REF!</v>
      </c>
      <c r="DE244" t="e">
        <f>AND(#REF!,"AAAAAG76PGw=")</f>
        <v>#REF!</v>
      </c>
      <c r="DF244" t="e">
        <f>AND(#REF!,"AAAAAG76PG0=")</f>
        <v>#REF!</v>
      </c>
      <c r="DG244" t="e">
        <f>AND(#REF!,"AAAAAG76PG4=")</f>
        <v>#REF!</v>
      </c>
      <c r="DH244" t="e">
        <f>AND(#REF!,"AAAAAG76PG8=")</f>
        <v>#REF!</v>
      </c>
      <c r="DI244" t="e">
        <f>AND(#REF!,"AAAAAG76PHA=")</f>
        <v>#REF!</v>
      </c>
      <c r="DJ244" t="e">
        <f>AND(#REF!,"AAAAAG76PHE=")</f>
        <v>#REF!</v>
      </c>
      <c r="DK244" t="e">
        <f>AND(#REF!,"AAAAAG76PHI=")</f>
        <v>#REF!</v>
      </c>
      <c r="DL244" t="e">
        <f>AND(#REF!,"AAAAAG76PHM=")</f>
        <v>#REF!</v>
      </c>
      <c r="DM244" t="e">
        <f>AND(#REF!,"AAAAAG76PHQ=")</f>
        <v>#REF!</v>
      </c>
      <c r="DN244" t="e">
        <f>IF(#REF!,"AAAAAG76PHU=",0)</f>
        <v>#REF!</v>
      </c>
      <c r="DO244" t="e">
        <f>AND(#REF!,"AAAAAG76PHY=")</f>
        <v>#REF!</v>
      </c>
      <c r="DP244" t="e">
        <f>AND(#REF!,"AAAAAG76PHc=")</f>
        <v>#REF!</v>
      </c>
      <c r="DQ244" t="e">
        <f>AND(#REF!,"AAAAAG76PHg=")</f>
        <v>#REF!</v>
      </c>
      <c r="DR244" t="e">
        <f>AND(#REF!,"AAAAAG76PHk=")</f>
        <v>#REF!</v>
      </c>
      <c r="DS244" t="e">
        <f>AND(#REF!,"AAAAAG76PHo=")</f>
        <v>#REF!</v>
      </c>
      <c r="DT244" t="e">
        <f>AND(#REF!,"AAAAAG76PHs=")</f>
        <v>#REF!</v>
      </c>
      <c r="DU244" t="e">
        <f>AND(#REF!,"AAAAAG76PHw=")</f>
        <v>#REF!</v>
      </c>
      <c r="DV244" t="e">
        <f>AND(#REF!,"AAAAAG76PH0=")</f>
        <v>#REF!</v>
      </c>
      <c r="DW244" t="e">
        <f>AND(#REF!,"AAAAAG76PH4=")</f>
        <v>#REF!</v>
      </c>
      <c r="DX244" t="e">
        <f>AND(#REF!,"AAAAAG76PH8=")</f>
        <v>#REF!</v>
      </c>
      <c r="DY244" t="e">
        <f>AND(#REF!,"AAAAAG76PIA=")</f>
        <v>#REF!</v>
      </c>
      <c r="DZ244" t="e">
        <f>AND(#REF!,"AAAAAG76PIE=")</f>
        <v>#REF!</v>
      </c>
      <c r="EA244" t="e">
        <f>AND(#REF!,"AAAAAG76PII=")</f>
        <v>#REF!</v>
      </c>
      <c r="EB244" t="e">
        <f>IF(#REF!,"AAAAAG76PIM=",0)</f>
        <v>#REF!</v>
      </c>
      <c r="EC244" t="e">
        <f>AND(#REF!,"AAAAAG76PIQ=")</f>
        <v>#REF!</v>
      </c>
      <c r="ED244" t="e">
        <f>AND(#REF!,"AAAAAG76PIU=")</f>
        <v>#REF!</v>
      </c>
      <c r="EE244" t="e">
        <f>AND(#REF!,"AAAAAG76PIY=")</f>
        <v>#REF!</v>
      </c>
      <c r="EF244" t="e">
        <f>AND(#REF!,"AAAAAG76PIc=")</f>
        <v>#REF!</v>
      </c>
      <c r="EG244" t="e">
        <f>AND(#REF!,"AAAAAG76PIg=")</f>
        <v>#REF!</v>
      </c>
      <c r="EH244" t="e">
        <f>AND(#REF!,"AAAAAG76PIk=")</f>
        <v>#REF!</v>
      </c>
      <c r="EI244" t="e">
        <f>AND(#REF!,"AAAAAG76PIo=")</f>
        <v>#REF!</v>
      </c>
      <c r="EJ244" t="e">
        <f>AND(#REF!,"AAAAAG76PIs=")</f>
        <v>#REF!</v>
      </c>
      <c r="EK244" t="e">
        <f>AND(#REF!,"AAAAAG76PIw=")</f>
        <v>#REF!</v>
      </c>
      <c r="EL244" t="e">
        <f>AND(#REF!,"AAAAAG76PI0=")</f>
        <v>#REF!</v>
      </c>
      <c r="EM244" t="e">
        <f>AND(#REF!,"AAAAAG76PI4=")</f>
        <v>#REF!</v>
      </c>
      <c r="EN244" t="e">
        <f>AND(#REF!,"AAAAAG76PI8=")</f>
        <v>#REF!</v>
      </c>
      <c r="EO244" t="e">
        <f>AND(#REF!,"AAAAAG76PJA=")</f>
        <v>#REF!</v>
      </c>
      <c r="EP244" t="e">
        <f>IF(#REF!,"AAAAAG76PJE=",0)</f>
        <v>#REF!</v>
      </c>
      <c r="EQ244" t="e">
        <f>AND(#REF!,"AAAAAG76PJI=")</f>
        <v>#REF!</v>
      </c>
      <c r="ER244" t="e">
        <f>AND(#REF!,"AAAAAG76PJM=")</f>
        <v>#REF!</v>
      </c>
      <c r="ES244" t="e">
        <f>AND(#REF!,"AAAAAG76PJQ=")</f>
        <v>#REF!</v>
      </c>
      <c r="ET244" t="e">
        <f>AND(#REF!,"AAAAAG76PJU=")</f>
        <v>#REF!</v>
      </c>
      <c r="EU244" t="e">
        <f>AND(#REF!,"AAAAAG76PJY=")</f>
        <v>#REF!</v>
      </c>
      <c r="EV244" t="e">
        <f>AND(#REF!,"AAAAAG76PJc=")</f>
        <v>#REF!</v>
      </c>
      <c r="EW244" t="e">
        <f>AND(#REF!,"AAAAAG76PJg=")</f>
        <v>#REF!</v>
      </c>
      <c r="EX244" t="e">
        <f>AND(#REF!,"AAAAAG76PJk=")</f>
        <v>#REF!</v>
      </c>
      <c r="EY244" t="e">
        <f>AND(#REF!,"AAAAAG76PJo=")</f>
        <v>#REF!</v>
      </c>
      <c r="EZ244" t="e">
        <f>AND(#REF!,"AAAAAG76PJs=")</f>
        <v>#REF!</v>
      </c>
      <c r="FA244" t="e">
        <f>AND(#REF!,"AAAAAG76PJw=")</f>
        <v>#REF!</v>
      </c>
      <c r="FB244" t="e">
        <f>AND(#REF!,"AAAAAG76PJ0=")</f>
        <v>#REF!</v>
      </c>
      <c r="FC244" t="e">
        <f>AND(#REF!,"AAAAAG76PJ4=")</f>
        <v>#REF!</v>
      </c>
      <c r="FD244" t="e">
        <f>IF(#REF!,"AAAAAG76PJ8=",0)</f>
        <v>#REF!</v>
      </c>
      <c r="FE244" t="e">
        <f>AND(#REF!,"AAAAAG76PKA=")</f>
        <v>#REF!</v>
      </c>
      <c r="FF244" t="e">
        <f>AND(#REF!,"AAAAAG76PKE=")</f>
        <v>#REF!</v>
      </c>
      <c r="FG244" t="e">
        <f>AND(#REF!,"AAAAAG76PKI=")</f>
        <v>#REF!</v>
      </c>
      <c r="FH244" t="e">
        <f>AND(#REF!,"AAAAAG76PKM=")</f>
        <v>#REF!</v>
      </c>
      <c r="FI244" t="e">
        <f>AND(#REF!,"AAAAAG76PKQ=")</f>
        <v>#REF!</v>
      </c>
      <c r="FJ244" t="e">
        <f>AND(#REF!,"AAAAAG76PKU=")</f>
        <v>#REF!</v>
      </c>
      <c r="FK244" t="e">
        <f>AND(#REF!,"AAAAAG76PKY=")</f>
        <v>#REF!</v>
      </c>
      <c r="FL244" t="e">
        <f>AND(#REF!,"AAAAAG76PKc=")</f>
        <v>#REF!</v>
      </c>
      <c r="FM244" t="e">
        <f>AND(#REF!,"AAAAAG76PKg=")</f>
        <v>#REF!</v>
      </c>
      <c r="FN244" t="e">
        <f>AND(#REF!,"AAAAAG76PKk=")</f>
        <v>#REF!</v>
      </c>
      <c r="FO244" t="e">
        <f>AND(#REF!,"AAAAAG76PKo=")</f>
        <v>#REF!</v>
      </c>
      <c r="FP244" t="e">
        <f>AND(#REF!,"AAAAAG76PKs=")</f>
        <v>#REF!</v>
      </c>
      <c r="FQ244" t="e">
        <f>AND(#REF!,"AAAAAG76PKw=")</f>
        <v>#REF!</v>
      </c>
      <c r="FR244" t="e">
        <f>IF(#REF!,"AAAAAG76PK0=",0)</f>
        <v>#REF!</v>
      </c>
      <c r="FS244" t="e">
        <f>AND(#REF!,"AAAAAG76PK4=")</f>
        <v>#REF!</v>
      </c>
      <c r="FT244" t="e">
        <f>AND(#REF!,"AAAAAG76PK8=")</f>
        <v>#REF!</v>
      </c>
      <c r="FU244" t="e">
        <f>AND(#REF!,"AAAAAG76PLA=")</f>
        <v>#REF!</v>
      </c>
      <c r="FV244" t="e">
        <f>AND(#REF!,"AAAAAG76PLE=")</f>
        <v>#REF!</v>
      </c>
      <c r="FW244" t="e">
        <f>AND(#REF!,"AAAAAG76PLI=")</f>
        <v>#REF!</v>
      </c>
      <c r="FX244" t="e">
        <f>AND(#REF!,"AAAAAG76PLM=")</f>
        <v>#REF!</v>
      </c>
      <c r="FY244" t="e">
        <f>AND(#REF!,"AAAAAG76PLQ=")</f>
        <v>#REF!</v>
      </c>
      <c r="FZ244" t="e">
        <f>AND(#REF!,"AAAAAG76PLU=")</f>
        <v>#REF!</v>
      </c>
      <c r="GA244" t="e">
        <f>AND(#REF!,"AAAAAG76PLY=")</f>
        <v>#REF!</v>
      </c>
      <c r="GB244" t="e">
        <f>AND(#REF!,"AAAAAG76PLc=")</f>
        <v>#REF!</v>
      </c>
      <c r="GC244" t="e">
        <f>AND(#REF!,"AAAAAG76PLg=")</f>
        <v>#REF!</v>
      </c>
      <c r="GD244" t="e">
        <f>AND(#REF!,"AAAAAG76PLk=")</f>
        <v>#REF!</v>
      </c>
      <c r="GE244" t="e">
        <f>AND(#REF!,"AAAAAG76PLo=")</f>
        <v>#REF!</v>
      </c>
      <c r="GF244" t="e">
        <f>IF(#REF!,"AAAAAG76PLs=",0)</f>
        <v>#REF!</v>
      </c>
      <c r="GG244" t="e">
        <f>AND(#REF!,"AAAAAG76PLw=")</f>
        <v>#REF!</v>
      </c>
      <c r="GH244" t="e">
        <f>AND(#REF!,"AAAAAG76PL0=")</f>
        <v>#REF!</v>
      </c>
      <c r="GI244" t="e">
        <f>AND(#REF!,"AAAAAG76PL4=")</f>
        <v>#REF!</v>
      </c>
      <c r="GJ244" t="e">
        <f>AND(#REF!,"AAAAAG76PL8=")</f>
        <v>#REF!</v>
      </c>
      <c r="GK244" t="e">
        <f>AND(#REF!,"AAAAAG76PMA=")</f>
        <v>#REF!</v>
      </c>
      <c r="GL244" t="e">
        <f>AND(#REF!,"AAAAAG76PME=")</f>
        <v>#REF!</v>
      </c>
      <c r="GM244" t="e">
        <f>AND(#REF!,"AAAAAG76PMI=")</f>
        <v>#REF!</v>
      </c>
      <c r="GN244" t="e">
        <f>AND(#REF!,"AAAAAG76PMM=")</f>
        <v>#REF!</v>
      </c>
      <c r="GO244" t="e">
        <f>AND(#REF!,"AAAAAG76PMQ=")</f>
        <v>#REF!</v>
      </c>
      <c r="GP244" t="e">
        <f>AND(#REF!,"AAAAAG76PMU=")</f>
        <v>#REF!</v>
      </c>
      <c r="GQ244" t="e">
        <f>AND(#REF!,"AAAAAG76PMY=")</f>
        <v>#REF!</v>
      </c>
      <c r="GR244" t="e">
        <f>AND(#REF!,"AAAAAG76PMc=")</f>
        <v>#REF!</v>
      </c>
      <c r="GS244" t="e">
        <f>AND(#REF!,"AAAAAG76PMg=")</f>
        <v>#REF!</v>
      </c>
      <c r="GT244" t="e">
        <f>IF(#REF!,"AAAAAG76PMk=",0)</f>
        <v>#REF!</v>
      </c>
      <c r="GU244" t="e">
        <f>AND(#REF!,"AAAAAG76PMo=")</f>
        <v>#REF!</v>
      </c>
      <c r="GV244" t="e">
        <f>AND(#REF!,"AAAAAG76PMs=")</f>
        <v>#REF!</v>
      </c>
      <c r="GW244" t="e">
        <f>AND(#REF!,"AAAAAG76PMw=")</f>
        <v>#REF!</v>
      </c>
      <c r="GX244" t="e">
        <f>AND(#REF!,"AAAAAG76PM0=")</f>
        <v>#REF!</v>
      </c>
      <c r="GY244" t="e">
        <f>AND(#REF!,"AAAAAG76PM4=")</f>
        <v>#REF!</v>
      </c>
      <c r="GZ244" t="e">
        <f>AND(#REF!,"AAAAAG76PM8=")</f>
        <v>#REF!</v>
      </c>
      <c r="HA244" t="e">
        <f>AND(#REF!,"AAAAAG76PNA=")</f>
        <v>#REF!</v>
      </c>
      <c r="HB244" t="e">
        <f>AND(#REF!,"AAAAAG76PNE=")</f>
        <v>#REF!</v>
      </c>
      <c r="HC244" t="e">
        <f>AND(#REF!,"AAAAAG76PNI=")</f>
        <v>#REF!</v>
      </c>
      <c r="HD244" t="e">
        <f>AND(#REF!,"AAAAAG76PNM=")</f>
        <v>#REF!</v>
      </c>
      <c r="HE244" t="e">
        <f>AND(#REF!,"AAAAAG76PNQ=")</f>
        <v>#REF!</v>
      </c>
      <c r="HF244" t="e">
        <f>AND(#REF!,"AAAAAG76PNU=")</f>
        <v>#REF!</v>
      </c>
      <c r="HG244" t="e">
        <f>AND(#REF!,"AAAAAG76PNY=")</f>
        <v>#REF!</v>
      </c>
      <c r="HH244" t="e">
        <f>IF(#REF!,"AAAAAG76PNc=",0)</f>
        <v>#REF!</v>
      </c>
      <c r="HI244" t="e">
        <f>AND(#REF!,"AAAAAG76PNg=")</f>
        <v>#REF!</v>
      </c>
      <c r="HJ244" t="e">
        <f>AND(#REF!,"AAAAAG76PNk=")</f>
        <v>#REF!</v>
      </c>
      <c r="HK244" t="e">
        <f>AND(#REF!,"AAAAAG76PNo=")</f>
        <v>#REF!</v>
      </c>
      <c r="HL244" t="e">
        <f>AND(#REF!,"AAAAAG76PNs=")</f>
        <v>#REF!</v>
      </c>
      <c r="HM244" t="e">
        <f>AND(#REF!,"AAAAAG76PNw=")</f>
        <v>#REF!</v>
      </c>
      <c r="HN244" t="e">
        <f>AND(#REF!,"AAAAAG76PN0=")</f>
        <v>#REF!</v>
      </c>
      <c r="HO244" t="e">
        <f>AND(#REF!,"AAAAAG76PN4=")</f>
        <v>#REF!</v>
      </c>
      <c r="HP244" t="e">
        <f>AND(#REF!,"AAAAAG76PN8=")</f>
        <v>#REF!</v>
      </c>
      <c r="HQ244" t="e">
        <f>AND(#REF!,"AAAAAG76POA=")</f>
        <v>#REF!</v>
      </c>
      <c r="HR244" t="e">
        <f>AND(#REF!,"AAAAAG76POE=")</f>
        <v>#REF!</v>
      </c>
      <c r="HS244" t="e">
        <f>AND(#REF!,"AAAAAG76POI=")</f>
        <v>#REF!</v>
      </c>
      <c r="HT244" t="e">
        <f>AND(#REF!,"AAAAAG76POM=")</f>
        <v>#REF!</v>
      </c>
      <c r="HU244" t="e">
        <f>AND(#REF!,"AAAAAG76POQ=")</f>
        <v>#REF!</v>
      </c>
      <c r="HV244" t="e">
        <f>IF(#REF!,"AAAAAG76POU=",0)</f>
        <v>#REF!</v>
      </c>
      <c r="HW244" t="e">
        <f>AND(#REF!,"AAAAAG76POY=")</f>
        <v>#REF!</v>
      </c>
      <c r="HX244" t="e">
        <f>AND(#REF!,"AAAAAG76POc=")</f>
        <v>#REF!</v>
      </c>
      <c r="HY244" t="e">
        <f>AND(#REF!,"AAAAAG76POg=")</f>
        <v>#REF!</v>
      </c>
      <c r="HZ244" t="e">
        <f>AND(#REF!,"AAAAAG76POk=")</f>
        <v>#REF!</v>
      </c>
      <c r="IA244" t="e">
        <f>AND(#REF!,"AAAAAG76POo=")</f>
        <v>#REF!</v>
      </c>
      <c r="IB244" t="e">
        <f>AND(#REF!,"AAAAAG76POs=")</f>
        <v>#REF!</v>
      </c>
      <c r="IC244" t="e">
        <f>AND(#REF!,"AAAAAG76POw=")</f>
        <v>#REF!</v>
      </c>
      <c r="ID244" t="e">
        <f>AND(#REF!,"AAAAAG76PO0=")</f>
        <v>#REF!</v>
      </c>
      <c r="IE244" t="e">
        <f>AND(#REF!,"AAAAAG76PO4=")</f>
        <v>#REF!</v>
      </c>
      <c r="IF244" t="e">
        <f>AND(#REF!,"AAAAAG76PO8=")</f>
        <v>#REF!</v>
      </c>
      <c r="IG244" t="e">
        <f>AND(#REF!,"AAAAAG76PPA=")</f>
        <v>#REF!</v>
      </c>
      <c r="IH244" t="e">
        <f>AND(#REF!,"AAAAAG76PPE=")</f>
        <v>#REF!</v>
      </c>
      <c r="II244" t="e">
        <f>AND(#REF!,"AAAAAG76PPI=")</f>
        <v>#REF!</v>
      </c>
      <c r="IJ244" t="e">
        <f>IF(#REF!,"AAAAAG76PPM=",0)</f>
        <v>#REF!</v>
      </c>
      <c r="IK244" t="e">
        <f>AND(#REF!,"AAAAAG76PPQ=")</f>
        <v>#REF!</v>
      </c>
      <c r="IL244" t="e">
        <f>AND(#REF!,"AAAAAG76PPU=")</f>
        <v>#REF!</v>
      </c>
      <c r="IM244" t="e">
        <f>AND(#REF!,"AAAAAG76PPY=")</f>
        <v>#REF!</v>
      </c>
      <c r="IN244" t="e">
        <f>AND(#REF!,"AAAAAG76PPc=")</f>
        <v>#REF!</v>
      </c>
      <c r="IO244" t="e">
        <f>AND(#REF!,"AAAAAG76PPg=")</f>
        <v>#REF!</v>
      </c>
      <c r="IP244" t="e">
        <f>AND(#REF!,"AAAAAG76PPk=")</f>
        <v>#REF!</v>
      </c>
      <c r="IQ244" t="e">
        <f>AND(#REF!,"AAAAAG76PPo=")</f>
        <v>#REF!</v>
      </c>
      <c r="IR244" t="e">
        <f>AND(#REF!,"AAAAAG76PPs=")</f>
        <v>#REF!</v>
      </c>
      <c r="IS244" t="e">
        <f>AND(#REF!,"AAAAAG76PPw=")</f>
        <v>#REF!</v>
      </c>
      <c r="IT244" t="e">
        <f>AND(#REF!,"AAAAAG76PP0=")</f>
        <v>#REF!</v>
      </c>
      <c r="IU244" t="e">
        <f>AND(#REF!,"AAAAAG76PP4=")</f>
        <v>#REF!</v>
      </c>
      <c r="IV244" t="e">
        <f>AND(#REF!,"AAAAAG76PP8=")</f>
        <v>#REF!</v>
      </c>
    </row>
    <row r="245" spans="1:256" x14ac:dyDescent="0.2">
      <c r="A245" t="e">
        <f>AND(#REF!,"AAAAAFjr/QA=")</f>
        <v>#REF!</v>
      </c>
      <c r="B245" t="e">
        <f>IF(#REF!,"AAAAAFjr/QE=",0)</f>
        <v>#REF!</v>
      </c>
      <c r="C245" t="e">
        <f>AND(#REF!,"AAAAAFjr/QI=")</f>
        <v>#REF!</v>
      </c>
      <c r="D245" t="e">
        <f>AND(#REF!,"AAAAAFjr/QM=")</f>
        <v>#REF!</v>
      </c>
      <c r="E245" t="e">
        <f>AND(#REF!,"AAAAAFjr/QQ=")</f>
        <v>#REF!</v>
      </c>
      <c r="F245" t="e">
        <f>AND(#REF!,"AAAAAFjr/QU=")</f>
        <v>#REF!</v>
      </c>
      <c r="G245" t="e">
        <f>AND(#REF!,"AAAAAFjr/QY=")</f>
        <v>#REF!</v>
      </c>
      <c r="H245" t="e">
        <f>AND(#REF!,"AAAAAFjr/Qc=")</f>
        <v>#REF!</v>
      </c>
      <c r="I245" t="e">
        <f>AND(#REF!,"AAAAAFjr/Qg=")</f>
        <v>#REF!</v>
      </c>
      <c r="J245" t="e">
        <f>AND(#REF!,"AAAAAFjr/Qk=")</f>
        <v>#REF!</v>
      </c>
      <c r="K245" t="e">
        <f>AND(#REF!,"AAAAAFjr/Qo=")</f>
        <v>#REF!</v>
      </c>
      <c r="L245" t="e">
        <f>AND(#REF!,"AAAAAFjr/Qs=")</f>
        <v>#REF!</v>
      </c>
      <c r="M245" t="e">
        <f>AND(#REF!,"AAAAAFjr/Qw=")</f>
        <v>#REF!</v>
      </c>
      <c r="N245" t="e">
        <f>AND(#REF!,"AAAAAFjr/Q0=")</f>
        <v>#REF!</v>
      </c>
      <c r="O245" t="e">
        <f>AND(#REF!,"AAAAAFjr/Q4=")</f>
        <v>#REF!</v>
      </c>
      <c r="P245" t="e">
        <f>IF(#REF!,"AAAAAFjr/Q8=",0)</f>
        <v>#REF!</v>
      </c>
      <c r="Q245" t="e">
        <f>AND(#REF!,"AAAAAFjr/RA=")</f>
        <v>#REF!</v>
      </c>
      <c r="R245" t="e">
        <f>AND(#REF!,"AAAAAFjr/RE=")</f>
        <v>#REF!</v>
      </c>
      <c r="S245" t="e">
        <f>AND(#REF!,"AAAAAFjr/RI=")</f>
        <v>#REF!</v>
      </c>
      <c r="T245" t="e">
        <f>AND(#REF!,"AAAAAFjr/RM=")</f>
        <v>#REF!</v>
      </c>
      <c r="U245" t="e">
        <f>AND(#REF!,"AAAAAFjr/RQ=")</f>
        <v>#REF!</v>
      </c>
      <c r="V245" t="e">
        <f>AND(#REF!,"AAAAAFjr/RU=")</f>
        <v>#REF!</v>
      </c>
      <c r="W245" t="e">
        <f>AND(#REF!,"AAAAAFjr/RY=")</f>
        <v>#REF!</v>
      </c>
      <c r="X245" t="e">
        <f>AND(#REF!,"AAAAAFjr/Rc=")</f>
        <v>#REF!</v>
      </c>
      <c r="Y245" t="e">
        <f>AND(#REF!,"AAAAAFjr/Rg=")</f>
        <v>#REF!</v>
      </c>
      <c r="Z245" t="e">
        <f>AND(#REF!,"AAAAAFjr/Rk=")</f>
        <v>#REF!</v>
      </c>
      <c r="AA245" t="e">
        <f>AND(#REF!,"AAAAAFjr/Ro=")</f>
        <v>#REF!</v>
      </c>
      <c r="AB245" t="e">
        <f>AND(#REF!,"AAAAAFjr/Rs=")</f>
        <v>#REF!</v>
      </c>
      <c r="AC245" t="e">
        <f>AND(#REF!,"AAAAAFjr/Rw=")</f>
        <v>#REF!</v>
      </c>
      <c r="AD245" t="e">
        <f>IF(#REF!,"AAAAAFjr/R0=",0)</f>
        <v>#REF!</v>
      </c>
      <c r="AE245" t="e">
        <f>AND(#REF!,"AAAAAFjr/R4=")</f>
        <v>#REF!</v>
      </c>
      <c r="AF245" t="e">
        <f>AND(#REF!,"AAAAAFjr/R8=")</f>
        <v>#REF!</v>
      </c>
      <c r="AG245" t="e">
        <f>AND(#REF!,"AAAAAFjr/SA=")</f>
        <v>#REF!</v>
      </c>
      <c r="AH245" t="e">
        <f>AND(#REF!,"AAAAAFjr/SE=")</f>
        <v>#REF!</v>
      </c>
      <c r="AI245" t="e">
        <f>AND(#REF!,"AAAAAFjr/SI=")</f>
        <v>#REF!</v>
      </c>
      <c r="AJ245" t="e">
        <f>AND(#REF!,"AAAAAFjr/SM=")</f>
        <v>#REF!</v>
      </c>
      <c r="AK245" t="e">
        <f>AND(#REF!,"AAAAAFjr/SQ=")</f>
        <v>#REF!</v>
      </c>
      <c r="AL245" t="e">
        <f>AND(#REF!,"AAAAAFjr/SU=")</f>
        <v>#REF!</v>
      </c>
      <c r="AM245" t="e">
        <f>AND(#REF!,"AAAAAFjr/SY=")</f>
        <v>#REF!</v>
      </c>
      <c r="AN245" t="e">
        <f>AND(#REF!,"AAAAAFjr/Sc=")</f>
        <v>#REF!</v>
      </c>
      <c r="AO245" t="e">
        <f>AND(#REF!,"AAAAAFjr/Sg=")</f>
        <v>#REF!</v>
      </c>
      <c r="AP245" t="e">
        <f>AND(#REF!,"AAAAAFjr/Sk=")</f>
        <v>#REF!</v>
      </c>
      <c r="AQ245" t="e">
        <f>AND(#REF!,"AAAAAFjr/So=")</f>
        <v>#REF!</v>
      </c>
      <c r="AR245" t="e">
        <f>IF(#REF!,"AAAAAFjr/Ss=",0)</f>
        <v>#REF!</v>
      </c>
      <c r="AS245" t="e">
        <f>AND(#REF!,"AAAAAFjr/Sw=")</f>
        <v>#REF!</v>
      </c>
      <c r="AT245" t="e">
        <f>AND(#REF!,"AAAAAFjr/S0=")</f>
        <v>#REF!</v>
      </c>
      <c r="AU245" t="e">
        <f>AND(#REF!,"AAAAAFjr/S4=")</f>
        <v>#REF!</v>
      </c>
      <c r="AV245" t="e">
        <f>AND(#REF!,"AAAAAFjr/S8=")</f>
        <v>#REF!</v>
      </c>
      <c r="AW245" t="e">
        <f>AND(#REF!,"AAAAAFjr/TA=")</f>
        <v>#REF!</v>
      </c>
      <c r="AX245" t="e">
        <f>AND(#REF!,"AAAAAFjr/TE=")</f>
        <v>#REF!</v>
      </c>
      <c r="AY245" t="e">
        <f>AND(#REF!,"AAAAAFjr/TI=")</f>
        <v>#REF!</v>
      </c>
      <c r="AZ245" t="e">
        <f>AND(#REF!,"AAAAAFjr/TM=")</f>
        <v>#REF!</v>
      </c>
      <c r="BA245" t="e">
        <f>AND(#REF!,"AAAAAFjr/TQ=")</f>
        <v>#REF!</v>
      </c>
      <c r="BB245" t="e">
        <f>AND(#REF!,"AAAAAFjr/TU=")</f>
        <v>#REF!</v>
      </c>
      <c r="BC245" t="e">
        <f>AND(#REF!,"AAAAAFjr/TY=")</f>
        <v>#REF!</v>
      </c>
      <c r="BD245" t="e">
        <f>AND(#REF!,"AAAAAFjr/Tc=")</f>
        <v>#REF!</v>
      </c>
      <c r="BE245" t="e">
        <f>AND(#REF!,"AAAAAFjr/Tg=")</f>
        <v>#REF!</v>
      </c>
      <c r="BF245" t="e">
        <f>IF(#REF!,"AAAAAFjr/Tk=",0)</f>
        <v>#REF!</v>
      </c>
      <c r="BG245" t="e">
        <f>AND(#REF!,"AAAAAFjr/To=")</f>
        <v>#REF!</v>
      </c>
      <c r="BH245" t="e">
        <f>AND(#REF!,"AAAAAFjr/Ts=")</f>
        <v>#REF!</v>
      </c>
      <c r="BI245" t="e">
        <f>AND(#REF!,"AAAAAFjr/Tw=")</f>
        <v>#REF!</v>
      </c>
      <c r="BJ245" t="e">
        <f>AND(#REF!,"AAAAAFjr/T0=")</f>
        <v>#REF!</v>
      </c>
      <c r="BK245" t="e">
        <f>AND(#REF!,"AAAAAFjr/T4=")</f>
        <v>#REF!</v>
      </c>
      <c r="BL245" t="e">
        <f>AND(#REF!,"AAAAAFjr/T8=")</f>
        <v>#REF!</v>
      </c>
      <c r="BM245" t="e">
        <f>AND(#REF!,"AAAAAFjr/UA=")</f>
        <v>#REF!</v>
      </c>
      <c r="BN245" t="e">
        <f>AND(#REF!,"AAAAAFjr/UE=")</f>
        <v>#REF!</v>
      </c>
      <c r="BO245" t="e">
        <f>AND(#REF!,"AAAAAFjr/UI=")</f>
        <v>#REF!</v>
      </c>
      <c r="BP245" t="e">
        <f>AND(#REF!,"AAAAAFjr/UM=")</f>
        <v>#REF!</v>
      </c>
      <c r="BQ245" t="e">
        <f>AND(#REF!,"AAAAAFjr/UQ=")</f>
        <v>#REF!</v>
      </c>
      <c r="BR245" t="e">
        <f>AND(#REF!,"AAAAAFjr/UU=")</f>
        <v>#REF!</v>
      </c>
      <c r="BS245" t="e">
        <f>AND(#REF!,"AAAAAFjr/UY=")</f>
        <v>#REF!</v>
      </c>
      <c r="BT245" t="e">
        <f>IF(#REF!,"AAAAAFjr/Uc=",0)</f>
        <v>#REF!</v>
      </c>
      <c r="BU245" t="e">
        <f>AND(#REF!,"AAAAAFjr/Ug=")</f>
        <v>#REF!</v>
      </c>
      <c r="BV245" t="e">
        <f>AND(#REF!,"AAAAAFjr/Uk=")</f>
        <v>#REF!</v>
      </c>
      <c r="BW245" t="e">
        <f>AND(#REF!,"AAAAAFjr/Uo=")</f>
        <v>#REF!</v>
      </c>
      <c r="BX245" t="e">
        <f>AND(#REF!,"AAAAAFjr/Us=")</f>
        <v>#REF!</v>
      </c>
      <c r="BY245" t="e">
        <f>AND(#REF!,"AAAAAFjr/Uw=")</f>
        <v>#REF!</v>
      </c>
      <c r="BZ245" t="e">
        <f>AND(#REF!,"AAAAAFjr/U0=")</f>
        <v>#REF!</v>
      </c>
      <c r="CA245" t="e">
        <f>AND(#REF!,"AAAAAFjr/U4=")</f>
        <v>#REF!</v>
      </c>
      <c r="CB245" t="e">
        <f>AND(#REF!,"AAAAAFjr/U8=")</f>
        <v>#REF!</v>
      </c>
      <c r="CC245" t="e">
        <f>AND(#REF!,"AAAAAFjr/VA=")</f>
        <v>#REF!</v>
      </c>
      <c r="CD245" t="e">
        <f>AND(#REF!,"AAAAAFjr/VE=")</f>
        <v>#REF!</v>
      </c>
      <c r="CE245" t="e">
        <f>AND(#REF!,"AAAAAFjr/VI=")</f>
        <v>#REF!</v>
      </c>
      <c r="CF245" t="e">
        <f>AND(#REF!,"AAAAAFjr/VM=")</f>
        <v>#REF!</v>
      </c>
      <c r="CG245" t="e">
        <f>AND(#REF!,"AAAAAFjr/VQ=")</f>
        <v>#REF!</v>
      </c>
      <c r="CH245" t="e">
        <f>IF(#REF!,"AAAAAFjr/VU=",0)</f>
        <v>#REF!</v>
      </c>
      <c r="CI245" t="e">
        <f>AND(#REF!,"AAAAAFjr/VY=")</f>
        <v>#REF!</v>
      </c>
      <c r="CJ245" t="e">
        <f>AND(#REF!,"AAAAAFjr/Vc=")</f>
        <v>#REF!</v>
      </c>
      <c r="CK245" t="e">
        <f>AND(#REF!,"AAAAAFjr/Vg=")</f>
        <v>#REF!</v>
      </c>
      <c r="CL245" t="e">
        <f>AND(#REF!,"AAAAAFjr/Vk=")</f>
        <v>#REF!</v>
      </c>
      <c r="CM245" t="e">
        <f>AND(#REF!,"AAAAAFjr/Vo=")</f>
        <v>#REF!</v>
      </c>
      <c r="CN245" t="e">
        <f>AND(#REF!,"AAAAAFjr/Vs=")</f>
        <v>#REF!</v>
      </c>
      <c r="CO245" t="e">
        <f>AND(#REF!,"AAAAAFjr/Vw=")</f>
        <v>#REF!</v>
      </c>
      <c r="CP245" t="e">
        <f>AND(#REF!,"AAAAAFjr/V0=")</f>
        <v>#REF!</v>
      </c>
      <c r="CQ245" t="e">
        <f>AND(#REF!,"AAAAAFjr/V4=")</f>
        <v>#REF!</v>
      </c>
      <c r="CR245" t="e">
        <f>AND(#REF!,"AAAAAFjr/V8=")</f>
        <v>#REF!</v>
      </c>
      <c r="CS245" t="e">
        <f>AND(#REF!,"AAAAAFjr/WA=")</f>
        <v>#REF!</v>
      </c>
      <c r="CT245" t="e">
        <f>AND(#REF!,"AAAAAFjr/WE=")</f>
        <v>#REF!</v>
      </c>
      <c r="CU245" t="e">
        <f>AND(#REF!,"AAAAAFjr/WI=")</f>
        <v>#REF!</v>
      </c>
      <c r="CV245" t="e">
        <f>IF(#REF!,"AAAAAFjr/WM=",0)</f>
        <v>#REF!</v>
      </c>
      <c r="CW245" t="e">
        <f>AND(#REF!,"AAAAAFjr/WQ=")</f>
        <v>#REF!</v>
      </c>
      <c r="CX245" t="e">
        <f>AND(#REF!,"AAAAAFjr/WU=")</f>
        <v>#REF!</v>
      </c>
      <c r="CY245" t="e">
        <f>AND(#REF!,"AAAAAFjr/WY=")</f>
        <v>#REF!</v>
      </c>
      <c r="CZ245" t="e">
        <f>AND(#REF!,"AAAAAFjr/Wc=")</f>
        <v>#REF!</v>
      </c>
      <c r="DA245" t="e">
        <f>AND(#REF!,"AAAAAFjr/Wg=")</f>
        <v>#REF!</v>
      </c>
      <c r="DB245" t="e">
        <f>AND(#REF!,"AAAAAFjr/Wk=")</f>
        <v>#REF!</v>
      </c>
      <c r="DC245" t="e">
        <f>AND(#REF!,"AAAAAFjr/Wo=")</f>
        <v>#REF!</v>
      </c>
      <c r="DD245" t="e">
        <f>AND(#REF!,"AAAAAFjr/Ws=")</f>
        <v>#REF!</v>
      </c>
      <c r="DE245" t="e">
        <f>AND(#REF!,"AAAAAFjr/Ww=")</f>
        <v>#REF!</v>
      </c>
      <c r="DF245" t="e">
        <f>AND(#REF!,"AAAAAFjr/W0=")</f>
        <v>#REF!</v>
      </c>
      <c r="DG245" t="e">
        <f>AND(#REF!,"AAAAAFjr/W4=")</f>
        <v>#REF!</v>
      </c>
      <c r="DH245" t="e">
        <f>AND(#REF!,"AAAAAFjr/W8=")</f>
        <v>#REF!</v>
      </c>
      <c r="DI245" t="e">
        <f>AND(#REF!,"AAAAAFjr/XA=")</f>
        <v>#REF!</v>
      </c>
      <c r="DJ245" t="e">
        <f>IF(#REF!,"AAAAAFjr/XE=",0)</f>
        <v>#REF!</v>
      </c>
      <c r="DK245" t="e">
        <f>AND(#REF!,"AAAAAFjr/XI=")</f>
        <v>#REF!</v>
      </c>
      <c r="DL245" t="e">
        <f>AND(#REF!,"AAAAAFjr/XM=")</f>
        <v>#REF!</v>
      </c>
      <c r="DM245" t="e">
        <f>AND(#REF!,"AAAAAFjr/XQ=")</f>
        <v>#REF!</v>
      </c>
      <c r="DN245" t="e">
        <f>AND(#REF!,"AAAAAFjr/XU=")</f>
        <v>#REF!</v>
      </c>
      <c r="DO245" t="e">
        <f>AND(#REF!,"AAAAAFjr/XY=")</f>
        <v>#REF!</v>
      </c>
      <c r="DP245" t="e">
        <f>AND(#REF!,"AAAAAFjr/Xc=")</f>
        <v>#REF!</v>
      </c>
      <c r="DQ245" t="e">
        <f>AND(#REF!,"AAAAAFjr/Xg=")</f>
        <v>#REF!</v>
      </c>
      <c r="DR245" t="e">
        <f>AND(#REF!,"AAAAAFjr/Xk=")</f>
        <v>#REF!</v>
      </c>
      <c r="DS245" t="e">
        <f>AND(#REF!,"AAAAAFjr/Xo=")</f>
        <v>#REF!</v>
      </c>
      <c r="DT245" t="e">
        <f>AND(#REF!,"AAAAAFjr/Xs=")</f>
        <v>#REF!</v>
      </c>
      <c r="DU245" t="e">
        <f>AND(#REF!,"AAAAAFjr/Xw=")</f>
        <v>#REF!</v>
      </c>
      <c r="DV245" t="e">
        <f>AND(#REF!,"AAAAAFjr/X0=")</f>
        <v>#REF!</v>
      </c>
      <c r="DW245" t="e">
        <f>AND(#REF!,"AAAAAFjr/X4=")</f>
        <v>#REF!</v>
      </c>
      <c r="DX245" t="e">
        <f>IF(#REF!,"AAAAAFjr/X8=",0)</f>
        <v>#REF!</v>
      </c>
      <c r="DY245" t="e">
        <f>AND(#REF!,"AAAAAFjr/YA=")</f>
        <v>#REF!</v>
      </c>
      <c r="DZ245" t="e">
        <f>AND(#REF!,"AAAAAFjr/YE=")</f>
        <v>#REF!</v>
      </c>
      <c r="EA245" t="e">
        <f>AND(#REF!,"AAAAAFjr/YI=")</f>
        <v>#REF!</v>
      </c>
      <c r="EB245" t="e">
        <f>AND(#REF!,"AAAAAFjr/YM=")</f>
        <v>#REF!</v>
      </c>
      <c r="EC245" t="e">
        <f>AND(#REF!,"AAAAAFjr/YQ=")</f>
        <v>#REF!</v>
      </c>
      <c r="ED245" t="e">
        <f>AND(#REF!,"AAAAAFjr/YU=")</f>
        <v>#REF!</v>
      </c>
      <c r="EE245" t="e">
        <f>AND(#REF!,"AAAAAFjr/YY=")</f>
        <v>#REF!</v>
      </c>
      <c r="EF245" t="e">
        <f>AND(#REF!,"AAAAAFjr/Yc=")</f>
        <v>#REF!</v>
      </c>
      <c r="EG245" t="e">
        <f>AND(#REF!,"AAAAAFjr/Yg=")</f>
        <v>#REF!</v>
      </c>
      <c r="EH245" t="e">
        <f>AND(#REF!,"AAAAAFjr/Yk=")</f>
        <v>#REF!</v>
      </c>
      <c r="EI245" t="e">
        <f>AND(#REF!,"AAAAAFjr/Yo=")</f>
        <v>#REF!</v>
      </c>
      <c r="EJ245" t="e">
        <f>AND(#REF!,"AAAAAFjr/Ys=")</f>
        <v>#REF!</v>
      </c>
      <c r="EK245" t="e">
        <f>AND(#REF!,"AAAAAFjr/Yw=")</f>
        <v>#REF!</v>
      </c>
      <c r="EL245" t="e">
        <f>IF(#REF!,"AAAAAFjr/Y0=",0)</f>
        <v>#REF!</v>
      </c>
      <c r="EM245" t="e">
        <f>AND(#REF!,"AAAAAFjr/Y4=")</f>
        <v>#REF!</v>
      </c>
      <c r="EN245" t="e">
        <f>AND(#REF!,"AAAAAFjr/Y8=")</f>
        <v>#REF!</v>
      </c>
      <c r="EO245" t="e">
        <f>AND(#REF!,"AAAAAFjr/ZA=")</f>
        <v>#REF!</v>
      </c>
      <c r="EP245" t="e">
        <f>AND(#REF!,"AAAAAFjr/ZE=")</f>
        <v>#REF!</v>
      </c>
      <c r="EQ245" t="e">
        <f>AND(#REF!,"AAAAAFjr/ZI=")</f>
        <v>#REF!</v>
      </c>
      <c r="ER245" t="e">
        <f>AND(#REF!,"AAAAAFjr/ZM=")</f>
        <v>#REF!</v>
      </c>
      <c r="ES245" t="e">
        <f>AND(#REF!,"AAAAAFjr/ZQ=")</f>
        <v>#REF!</v>
      </c>
      <c r="ET245" t="e">
        <f>AND(#REF!,"AAAAAFjr/ZU=")</f>
        <v>#REF!</v>
      </c>
      <c r="EU245" t="e">
        <f>AND(#REF!,"AAAAAFjr/ZY=")</f>
        <v>#REF!</v>
      </c>
      <c r="EV245" t="e">
        <f>AND(#REF!,"AAAAAFjr/Zc=")</f>
        <v>#REF!</v>
      </c>
      <c r="EW245" t="e">
        <f>AND(#REF!,"AAAAAFjr/Zg=")</f>
        <v>#REF!</v>
      </c>
      <c r="EX245" t="e">
        <f>AND(#REF!,"AAAAAFjr/Zk=")</f>
        <v>#REF!</v>
      </c>
      <c r="EY245" t="e">
        <f>AND(#REF!,"AAAAAFjr/Zo=")</f>
        <v>#REF!</v>
      </c>
      <c r="EZ245" t="e">
        <f>IF(#REF!,"AAAAAFjr/Zs=",0)</f>
        <v>#REF!</v>
      </c>
      <c r="FA245" t="e">
        <f>AND(#REF!,"AAAAAFjr/Zw=")</f>
        <v>#REF!</v>
      </c>
      <c r="FB245" t="e">
        <f>AND(#REF!,"AAAAAFjr/Z0=")</f>
        <v>#REF!</v>
      </c>
      <c r="FC245" t="e">
        <f>AND(#REF!,"AAAAAFjr/Z4=")</f>
        <v>#REF!</v>
      </c>
      <c r="FD245" t="e">
        <f>AND(#REF!,"AAAAAFjr/Z8=")</f>
        <v>#REF!</v>
      </c>
      <c r="FE245" t="e">
        <f>AND(#REF!,"AAAAAFjr/aA=")</f>
        <v>#REF!</v>
      </c>
      <c r="FF245" t="e">
        <f>AND(#REF!,"AAAAAFjr/aE=")</f>
        <v>#REF!</v>
      </c>
      <c r="FG245" t="e">
        <f>AND(#REF!,"AAAAAFjr/aI=")</f>
        <v>#REF!</v>
      </c>
      <c r="FH245" t="e">
        <f>AND(#REF!,"AAAAAFjr/aM=")</f>
        <v>#REF!</v>
      </c>
      <c r="FI245" t="e">
        <f>AND(#REF!,"AAAAAFjr/aQ=")</f>
        <v>#REF!</v>
      </c>
      <c r="FJ245" t="e">
        <f>AND(#REF!,"AAAAAFjr/aU=")</f>
        <v>#REF!</v>
      </c>
      <c r="FK245" t="e">
        <f>AND(#REF!,"AAAAAFjr/aY=")</f>
        <v>#REF!</v>
      </c>
      <c r="FL245" t="e">
        <f>AND(#REF!,"AAAAAFjr/ac=")</f>
        <v>#REF!</v>
      </c>
      <c r="FM245" t="e">
        <f>AND(#REF!,"AAAAAFjr/ag=")</f>
        <v>#REF!</v>
      </c>
      <c r="FN245" t="e">
        <f>IF(#REF!,"AAAAAFjr/ak=",0)</f>
        <v>#REF!</v>
      </c>
      <c r="FO245" t="e">
        <f>AND(#REF!,"AAAAAFjr/ao=")</f>
        <v>#REF!</v>
      </c>
      <c r="FP245" t="e">
        <f>AND(#REF!,"AAAAAFjr/as=")</f>
        <v>#REF!</v>
      </c>
      <c r="FQ245" t="e">
        <f>AND(#REF!,"AAAAAFjr/aw=")</f>
        <v>#REF!</v>
      </c>
      <c r="FR245" t="e">
        <f>AND(#REF!,"AAAAAFjr/a0=")</f>
        <v>#REF!</v>
      </c>
      <c r="FS245" t="e">
        <f>AND(#REF!,"AAAAAFjr/a4=")</f>
        <v>#REF!</v>
      </c>
      <c r="FT245" t="e">
        <f>AND(#REF!,"AAAAAFjr/a8=")</f>
        <v>#REF!</v>
      </c>
      <c r="FU245" t="e">
        <f>AND(#REF!,"AAAAAFjr/bA=")</f>
        <v>#REF!</v>
      </c>
      <c r="FV245" t="e">
        <f>AND(#REF!,"AAAAAFjr/bE=")</f>
        <v>#REF!</v>
      </c>
      <c r="FW245" t="e">
        <f>AND(#REF!,"AAAAAFjr/bI=")</f>
        <v>#REF!</v>
      </c>
      <c r="FX245" t="e">
        <f>AND(#REF!,"AAAAAFjr/bM=")</f>
        <v>#REF!</v>
      </c>
      <c r="FY245" t="e">
        <f>AND(#REF!,"AAAAAFjr/bQ=")</f>
        <v>#REF!</v>
      </c>
      <c r="FZ245" t="e">
        <f>AND(#REF!,"AAAAAFjr/bU=")</f>
        <v>#REF!</v>
      </c>
      <c r="GA245" t="e">
        <f>AND(#REF!,"AAAAAFjr/bY=")</f>
        <v>#REF!</v>
      </c>
      <c r="GB245" t="e">
        <f>IF(#REF!,"AAAAAFjr/bc=",0)</f>
        <v>#REF!</v>
      </c>
      <c r="GC245" t="e">
        <f>AND(#REF!,"AAAAAFjr/bg=")</f>
        <v>#REF!</v>
      </c>
      <c r="GD245" t="e">
        <f>AND(#REF!,"AAAAAFjr/bk=")</f>
        <v>#REF!</v>
      </c>
      <c r="GE245" t="e">
        <f>AND(#REF!,"AAAAAFjr/bo=")</f>
        <v>#REF!</v>
      </c>
      <c r="GF245" t="e">
        <f>AND(#REF!,"AAAAAFjr/bs=")</f>
        <v>#REF!</v>
      </c>
      <c r="GG245" t="e">
        <f>AND(#REF!,"AAAAAFjr/bw=")</f>
        <v>#REF!</v>
      </c>
      <c r="GH245" t="e">
        <f>AND(#REF!,"AAAAAFjr/b0=")</f>
        <v>#REF!</v>
      </c>
      <c r="GI245" t="e">
        <f>AND(#REF!,"AAAAAFjr/b4=")</f>
        <v>#REF!</v>
      </c>
      <c r="GJ245" t="e">
        <f>AND(#REF!,"AAAAAFjr/b8=")</f>
        <v>#REF!</v>
      </c>
      <c r="GK245" t="e">
        <f>AND(#REF!,"AAAAAFjr/cA=")</f>
        <v>#REF!</v>
      </c>
      <c r="GL245" t="e">
        <f>AND(#REF!,"AAAAAFjr/cE=")</f>
        <v>#REF!</v>
      </c>
      <c r="GM245" t="e">
        <f>AND(#REF!,"AAAAAFjr/cI=")</f>
        <v>#REF!</v>
      </c>
      <c r="GN245" t="e">
        <f>AND(#REF!,"AAAAAFjr/cM=")</f>
        <v>#REF!</v>
      </c>
      <c r="GO245" t="e">
        <f>AND(#REF!,"AAAAAFjr/cQ=")</f>
        <v>#REF!</v>
      </c>
      <c r="GP245" t="e">
        <f>IF(#REF!,"AAAAAFjr/cU=",0)</f>
        <v>#REF!</v>
      </c>
      <c r="GQ245" t="e">
        <f>AND(#REF!,"AAAAAFjr/cY=")</f>
        <v>#REF!</v>
      </c>
      <c r="GR245" t="e">
        <f>AND(#REF!,"AAAAAFjr/cc=")</f>
        <v>#REF!</v>
      </c>
      <c r="GS245" t="e">
        <f>AND(#REF!,"AAAAAFjr/cg=")</f>
        <v>#REF!</v>
      </c>
      <c r="GT245" t="e">
        <f>AND(#REF!,"AAAAAFjr/ck=")</f>
        <v>#REF!</v>
      </c>
      <c r="GU245" t="e">
        <f>AND(#REF!,"AAAAAFjr/co=")</f>
        <v>#REF!</v>
      </c>
      <c r="GV245" t="e">
        <f>AND(#REF!,"AAAAAFjr/cs=")</f>
        <v>#REF!</v>
      </c>
      <c r="GW245" t="e">
        <f>AND(#REF!,"AAAAAFjr/cw=")</f>
        <v>#REF!</v>
      </c>
      <c r="GX245" t="e">
        <f>AND(#REF!,"AAAAAFjr/c0=")</f>
        <v>#REF!</v>
      </c>
      <c r="GY245" t="e">
        <f>AND(#REF!,"AAAAAFjr/c4=")</f>
        <v>#REF!</v>
      </c>
      <c r="GZ245" t="e">
        <f>AND(#REF!,"AAAAAFjr/c8=")</f>
        <v>#REF!</v>
      </c>
      <c r="HA245" t="e">
        <f>AND(#REF!,"AAAAAFjr/dA=")</f>
        <v>#REF!</v>
      </c>
      <c r="HB245" t="e">
        <f>AND(#REF!,"AAAAAFjr/dE=")</f>
        <v>#REF!</v>
      </c>
      <c r="HC245" t="e">
        <f>AND(#REF!,"AAAAAFjr/dI=")</f>
        <v>#REF!</v>
      </c>
      <c r="HD245" t="e">
        <f>IF(#REF!,"AAAAAFjr/dM=",0)</f>
        <v>#REF!</v>
      </c>
      <c r="HE245" t="e">
        <f>AND(#REF!,"AAAAAFjr/dQ=")</f>
        <v>#REF!</v>
      </c>
      <c r="HF245" t="e">
        <f>AND(#REF!,"AAAAAFjr/dU=")</f>
        <v>#REF!</v>
      </c>
      <c r="HG245" t="e">
        <f>AND(#REF!,"AAAAAFjr/dY=")</f>
        <v>#REF!</v>
      </c>
      <c r="HH245" t="e">
        <f>AND(#REF!,"AAAAAFjr/dc=")</f>
        <v>#REF!</v>
      </c>
      <c r="HI245" t="e">
        <f>AND(#REF!,"AAAAAFjr/dg=")</f>
        <v>#REF!</v>
      </c>
      <c r="HJ245" t="e">
        <f>AND(#REF!,"AAAAAFjr/dk=")</f>
        <v>#REF!</v>
      </c>
      <c r="HK245" t="e">
        <f>AND(#REF!,"AAAAAFjr/do=")</f>
        <v>#REF!</v>
      </c>
      <c r="HL245" t="e">
        <f>AND(#REF!,"AAAAAFjr/ds=")</f>
        <v>#REF!</v>
      </c>
      <c r="HM245" t="e">
        <f>AND(#REF!,"AAAAAFjr/dw=")</f>
        <v>#REF!</v>
      </c>
      <c r="HN245" t="e">
        <f>AND(#REF!,"AAAAAFjr/d0=")</f>
        <v>#REF!</v>
      </c>
      <c r="HO245" t="e">
        <f>AND(#REF!,"AAAAAFjr/d4=")</f>
        <v>#REF!</v>
      </c>
      <c r="HP245" t="e">
        <f>AND(#REF!,"AAAAAFjr/d8=")</f>
        <v>#REF!</v>
      </c>
      <c r="HQ245" t="e">
        <f>AND(#REF!,"AAAAAFjr/eA=")</f>
        <v>#REF!</v>
      </c>
      <c r="HR245" t="e">
        <f>IF(#REF!,"AAAAAFjr/eE=",0)</f>
        <v>#REF!</v>
      </c>
      <c r="HS245" t="e">
        <f>AND(#REF!,"AAAAAFjr/eI=")</f>
        <v>#REF!</v>
      </c>
      <c r="HT245" t="e">
        <f>AND(#REF!,"AAAAAFjr/eM=")</f>
        <v>#REF!</v>
      </c>
      <c r="HU245" t="e">
        <f>AND(#REF!,"AAAAAFjr/eQ=")</f>
        <v>#REF!</v>
      </c>
      <c r="HV245" t="e">
        <f>AND(#REF!,"AAAAAFjr/eU=")</f>
        <v>#REF!</v>
      </c>
      <c r="HW245" t="e">
        <f>AND(#REF!,"AAAAAFjr/eY=")</f>
        <v>#REF!</v>
      </c>
      <c r="HX245" t="e">
        <f>AND(#REF!,"AAAAAFjr/ec=")</f>
        <v>#REF!</v>
      </c>
      <c r="HY245" t="e">
        <f>AND(#REF!,"AAAAAFjr/eg=")</f>
        <v>#REF!</v>
      </c>
      <c r="HZ245" t="e">
        <f>AND(#REF!,"AAAAAFjr/ek=")</f>
        <v>#REF!</v>
      </c>
      <c r="IA245" t="e">
        <f>AND(#REF!,"AAAAAFjr/eo=")</f>
        <v>#REF!</v>
      </c>
      <c r="IB245" t="e">
        <f>AND(#REF!,"AAAAAFjr/es=")</f>
        <v>#REF!</v>
      </c>
      <c r="IC245" t="e">
        <f>AND(#REF!,"AAAAAFjr/ew=")</f>
        <v>#REF!</v>
      </c>
      <c r="ID245" t="e">
        <f>AND(#REF!,"AAAAAFjr/e0=")</f>
        <v>#REF!</v>
      </c>
      <c r="IE245" t="e">
        <f>AND(#REF!,"AAAAAFjr/e4=")</f>
        <v>#REF!</v>
      </c>
      <c r="IF245" t="e">
        <f>IF(#REF!,"AAAAAFjr/e8=",0)</f>
        <v>#REF!</v>
      </c>
      <c r="IG245" t="e">
        <f>AND(#REF!,"AAAAAFjr/fA=")</f>
        <v>#REF!</v>
      </c>
      <c r="IH245" t="e">
        <f>AND(#REF!,"AAAAAFjr/fE=")</f>
        <v>#REF!</v>
      </c>
      <c r="II245" t="e">
        <f>AND(#REF!,"AAAAAFjr/fI=")</f>
        <v>#REF!</v>
      </c>
      <c r="IJ245" t="e">
        <f>AND(#REF!,"AAAAAFjr/fM=")</f>
        <v>#REF!</v>
      </c>
      <c r="IK245" t="e">
        <f>AND(#REF!,"AAAAAFjr/fQ=")</f>
        <v>#REF!</v>
      </c>
      <c r="IL245" t="e">
        <f>AND(#REF!,"AAAAAFjr/fU=")</f>
        <v>#REF!</v>
      </c>
      <c r="IM245" t="e">
        <f>AND(#REF!,"AAAAAFjr/fY=")</f>
        <v>#REF!</v>
      </c>
      <c r="IN245" t="e">
        <f>AND(#REF!,"AAAAAFjr/fc=")</f>
        <v>#REF!</v>
      </c>
      <c r="IO245" t="e">
        <f>AND(#REF!,"AAAAAFjr/fg=")</f>
        <v>#REF!</v>
      </c>
      <c r="IP245" t="e">
        <f>AND(#REF!,"AAAAAFjr/fk=")</f>
        <v>#REF!</v>
      </c>
      <c r="IQ245" t="e">
        <f>AND(#REF!,"AAAAAFjr/fo=")</f>
        <v>#REF!</v>
      </c>
      <c r="IR245" t="e">
        <f>AND(#REF!,"AAAAAFjr/fs=")</f>
        <v>#REF!</v>
      </c>
      <c r="IS245" t="e">
        <f>AND(#REF!,"AAAAAFjr/fw=")</f>
        <v>#REF!</v>
      </c>
      <c r="IT245" t="e">
        <f>IF(#REF!,"AAAAAFjr/f0=",0)</f>
        <v>#REF!</v>
      </c>
      <c r="IU245" t="e">
        <f>AND(#REF!,"AAAAAFjr/f4=")</f>
        <v>#REF!</v>
      </c>
      <c r="IV245" t="e">
        <f>AND(#REF!,"AAAAAFjr/f8=")</f>
        <v>#REF!</v>
      </c>
    </row>
    <row r="246" spans="1:256" x14ac:dyDescent="0.2">
      <c r="A246" t="e">
        <f>AND(#REF!,"AAAAAD9/rAA=")</f>
        <v>#REF!</v>
      </c>
      <c r="B246" t="e">
        <f>AND(#REF!,"AAAAAD9/rAE=")</f>
        <v>#REF!</v>
      </c>
      <c r="C246" t="e">
        <f>AND(#REF!,"AAAAAD9/rAI=")</f>
        <v>#REF!</v>
      </c>
      <c r="D246" t="e">
        <f>AND(#REF!,"AAAAAD9/rAM=")</f>
        <v>#REF!</v>
      </c>
      <c r="E246" t="e">
        <f>AND(#REF!,"AAAAAD9/rAQ=")</f>
        <v>#REF!</v>
      </c>
      <c r="F246" t="e">
        <f>AND(#REF!,"AAAAAD9/rAU=")</f>
        <v>#REF!</v>
      </c>
      <c r="G246" t="e">
        <f>AND(#REF!,"AAAAAD9/rAY=")</f>
        <v>#REF!</v>
      </c>
      <c r="H246" t="e">
        <f>AND(#REF!,"AAAAAD9/rAc=")</f>
        <v>#REF!</v>
      </c>
      <c r="I246" t="e">
        <f>AND(#REF!,"AAAAAD9/rAg=")</f>
        <v>#REF!</v>
      </c>
      <c r="J246" t="e">
        <f>AND(#REF!,"AAAAAD9/rAk=")</f>
        <v>#REF!</v>
      </c>
      <c r="K246" t="e">
        <f>AND(#REF!,"AAAAAD9/rAo=")</f>
        <v>#REF!</v>
      </c>
      <c r="L246" t="e">
        <f>IF(#REF!,"AAAAAD9/rAs=",0)</f>
        <v>#REF!</v>
      </c>
      <c r="M246" t="e">
        <f>AND(#REF!,"AAAAAD9/rAw=")</f>
        <v>#REF!</v>
      </c>
      <c r="N246" t="e">
        <f>AND(#REF!,"AAAAAD9/rA0=")</f>
        <v>#REF!</v>
      </c>
      <c r="O246" t="e">
        <f>AND(#REF!,"AAAAAD9/rA4=")</f>
        <v>#REF!</v>
      </c>
      <c r="P246" t="e">
        <f>AND(#REF!,"AAAAAD9/rA8=")</f>
        <v>#REF!</v>
      </c>
      <c r="Q246" t="e">
        <f>AND(#REF!,"AAAAAD9/rBA=")</f>
        <v>#REF!</v>
      </c>
      <c r="R246" t="e">
        <f>AND(#REF!,"AAAAAD9/rBE=")</f>
        <v>#REF!</v>
      </c>
      <c r="S246" t="e">
        <f>AND(#REF!,"AAAAAD9/rBI=")</f>
        <v>#REF!</v>
      </c>
      <c r="T246" t="e">
        <f>AND(#REF!,"AAAAAD9/rBM=")</f>
        <v>#REF!</v>
      </c>
      <c r="U246" t="e">
        <f>AND(#REF!,"AAAAAD9/rBQ=")</f>
        <v>#REF!</v>
      </c>
      <c r="V246" t="e">
        <f>AND(#REF!,"AAAAAD9/rBU=")</f>
        <v>#REF!</v>
      </c>
      <c r="W246" t="e">
        <f>AND(#REF!,"AAAAAD9/rBY=")</f>
        <v>#REF!</v>
      </c>
      <c r="X246" t="e">
        <f>AND(#REF!,"AAAAAD9/rBc=")</f>
        <v>#REF!</v>
      </c>
      <c r="Y246" t="e">
        <f>AND(#REF!,"AAAAAD9/rBg=")</f>
        <v>#REF!</v>
      </c>
      <c r="Z246" t="e">
        <f>IF(#REF!,"AAAAAD9/rBk=",0)</f>
        <v>#REF!</v>
      </c>
      <c r="AA246" t="e">
        <f>AND(#REF!,"AAAAAD9/rBo=")</f>
        <v>#REF!</v>
      </c>
      <c r="AB246" t="e">
        <f>AND(#REF!,"AAAAAD9/rBs=")</f>
        <v>#REF!</v>
      </c>
      <c r="AC246" t="e">
        <f>AND(#REF!,"AAAAAD9/rBw=")</f>
        <v>#REF!</v>
      </c>
      <c r="AD246" t="e">
        <f>AND(#REF!,"AAAAAD9/rB0=")</f>
        <v>#REF!</v>
      </c>
      <c r="AE246" t="e">
        <f>AND(#REF!,"AAAAAD9/rB4=")</f>
        <v>#REF!</v>
      </c>
      <c r="AF246" t="e">
        <f>AND(#REF!,"AAAAAD9/rB8=")</f>
        <v>#REF!</v>
      </c>
      <c r="AG246" t="e">
        <f>AND(#REF!,"AAAAAD9/rCA=")</f>
        <v>#REF!</v>
      </c>
      <c r="AH246" t="e">
        <f>AND(#REF!,"AAAAAD9/rCE=")</f>
        <v>#REF!</v>
      </c>
      <c r="AI246" t="e">
        <f>AND(#REF!,"AAAAAD9/rCI=")</f>
        <v>#REF!</v>
      </c>
      <c r="AJ246" t="e">
        <f>AND(#REF!,"AAAAAD9/rCM=")</f>
        <v>#REF!</v>
      </c>
      <c r="AK246" t="e">
        <f>AND(#REF!,"AAAAAD9/rCQ=")</f>
        <v>#REF!</v>
      </c>
      <c r="AL246" t="e">
        <f>AND(#REF!,"AAAAAD9/rCU=")</f>
        <v>#REF!</v>
      </c>
      <c r="AM246" t="e">
        <f>AND(#REF!,"AAAAAD9/rCY=")</f>
        <v>#REF!</v>
      </c>
      <c r="AN246" t="e">
        <f>IF(#REF!,"AAAAAD9/rCc=",0)</f>
        <v>#REF!</v>
      </c>
      <c r="AO246" t="e">
        <f>AND(#REF!,"AAAAAD9/rCg=")</f>
        <v>#REF!</v>
      </c>
      <c r="AP246" t="e">
        <f>AND(#REF!,"AAAAAD9/rCk=")</f>
        <v>#REF!</v>
      </c>
      <c r="AQ246" t="e">
        <f>AND(#REF!,"AAAAAD9/rCo=")</f>
        <v>#REF!</v>
      </c>
      <c r="AR246" t="e">
        <f>AND(#REF!,"AAAAAD9/rCs=")</f>
        <v>#REF!</v>
      </c>
      <c r="AS246" t="e">
        <f>AND(#REF!,"AAAAAD9/rCw=")</f>
        <v>#REF!</v>
      </c>
      <c r="AT246" t="e">
        <f>AND(#REF!,"AAAAAD9/rC0=")</f>
        <v>#REF!</v>
      </c>
      <c r="AU246" t="e">
        <f>AND(#REF!,"AAAAAD9/rC4=")</f>
        <v>#REF!</v>
      </c>
      <c r="AV246" t="e">
        <f>AND(#REF!,"AAAAAD9/rC8=")</f>
        <v>#REF!</v>
      </c>
      <c r="AW246" t="e">
        <f>AND(#REF!,"AAAAAD9/rDA=")</f>
        <v>#REF!</v>
      </c>
      <c r="AX246" t="e">
        <f>AND(#REF!,"AAAAAD9/rDE=")</f>
        <v>#REF!</v>
      </c>
      <c r="AY246" t="e">
        <f>AND(#REF!,"AAAAAD9/rDI=")</f>
        <v>#REF!</v>
      </c>
      <c r="AZ246" t="e">
        <f>AND(#REF!,"AAAAAD9/rDM=")</f>
        <v>#REF!</v>
      </c>
      <c r="BA246" t="e">
        <f>AND(#REF!,"AAAAAD9/rDQ=")</f>
        <v>#REF!</v>
      </c>
      <c r="BB246" t="e">
        <f>IF(#REF!,"AAAAAD9/rDU=",0)</f>
        <v>#REF!</v>
      </c>
      <c r="BC246" t="e">
        <f>AND(#REF!,"AAAAAD9/rDY=")</f>
        <v>#REF!</v>
      </c>
      <c r="BD246" t="e">
        <f>AND(#REF!,"AAAAAD9/rDc=")</f>
        <v>#REF!</v>
      </c>
      <c r="BE246" t="e">
        <f>AND(#REF!,"AAAAAD9/rDg=")</f>
        <v>#REF!</v>
      </c>
      <c r="BF246" t="e">
        <f>AND(#REF!,"AAAAAD9/rDk=")</f>
        <v>#REF!</v>
      </c>
      <c r="BG246" t="e">
        <f>AND(#REF!,"AAAAAD9/rDo=")</f>
        <v>#REF!</v>
      </c>
      <c r="BH246" t="e">
        <f>AND(#REF!,"AAAAAD9/rDs=")</f>
        <v>#REF!</v>
      </c>
      <c r="BI246" t="e">
        <f>AND(#REF!,"AAAAAD9/rDw=")</f>
        <v>#REF!</v>
      </c>
      <c r="BJ246" t="e">
        <f>AND(#REF!,"AAAAAD9/rD0=")</f>
        <v>#REF!</v>
      </c>
      <c r="BK246" t="e">
        <f>AND(#REF!,"AAAAAD9/rD4=")</f>
        <v>#REF!</v>
      </c>
      <c r="BL246" t="e">
        <f>AND(#REF!,"AAAAAD9/rD8=")</f>
        <v>#REF!</v>
      </c>
      <c r="BM246" t="e">
        <f>AND(#REF!,"AAAAAD9/rEA=")</f>
        <v>#REF!</v>
      </c>
      <c r="BN246" t="e">
        <f>AND(#REF!,"AAAAAD9/rEE=")</f>
        <v>#REF!</v>
      </c>
      <c r="BO246" t="e">
        <f>AND(#REF!,"AAAAAD9/rEI=")</f>
        <v>#REF!</v>
      </c>
      <c r="BP246" t="e">
        <f>IF(#REF!,"AAAAAD9/rEM=",0)</f>
        <v>#REF!</v>
      </c>
      <c r="BQ246" t="e">
        <f>AND(#REF!,"AAAAAD9/rEQ=")</f>
        <v>#REF!</v>
      </c>
      <c r="BR246" t="e">
        <f>AND(#REF!,"AAAAAD9/rEU=")</f>
        <v>#REF!</v>
      </c>
      <c r="BS246" t="e">
        <f>AND(#REF!,"AAAAAD9/rEY=")</f>
        <v>#REF!</v>
      </c>
      <c r="BT246" t="e">
        <f>AND(#REF!,"AAAAAD9/rEc=")</f>
        <v>#REF!</v>
      </c>
      <c r="BU246" t="e">
        <f>AND(#REF!,"AAAAAD9/rEg=")</f>
        <v>#REF!</v>
      </c>
      <c r="BV246" t="e">
        <f>AND(#REF!,"AAAAAD9/rEk=")</f>
        <v>#REF!</v>
      </c>
      <c r="BW246" t="e">
        <f>AND(#REF!,"AAAAAD9/rEo=")</f>
        <v>#REF!</v>
      </c>
      <c r="BX246" t="e">
        <f>AND(#REF!,"AAAAAD9/rEs=")</f>
        <v>#REF!</v>
      </c>
      <c r="BY246" t="e">
        <f>AND(#REF!,"AAAAAD9/rEw=")</f>
        <v>#REF!</v>
      </c>
      <c r="BZ246" t="e">
        <f>AND(#REF!,"AAAAAD9/rE0=")</f>
        <v>#REF!</v>
      </c>
      <c r="CA246" t="e">
        <f>AND(#REF!,"AAAAAD9/rE4=")</f>
        <v>#REF!</v>
      </c>
      <c r="CB246" t="e">
        <f>AND(#REF!,"AAAAAD9/rE8=")</f>
        <v>#REF!</v>
      </c>
      <c r="CC246" t="e">
        <f>AND(#REF!,"AAAAAD9/rFA=")</f>
        <v>#REF!</v>
      </c>
      <c r="CD246" t="e">
        <f>IF(#REF!,"AAAAAD9/rFE=",0)</f>
        <v>#REF!</v>
      </c>
      <c r="CE246" t="e">
        <f>AND(#REF!,"AAAAAD9/rFI=")</f>
        <v>#REF!</v>
      </c>
      <c r="CF246" t="e">
        <f>AND(#REF!,"AAAAAD9/rFM=")</f>
        <v>#REF!</v>
      </c>
      <c r="CG246" t="e">
        <f>AND(#REF!,"AAAAAD9/rFQ=")</f>
        <v>#REF!</v>
      </c>
      <c r="CH246" t="e">
        <f>AND(#REF!,"AAAAAD9/rFU=")</f>
        <v>#REF!</v>
      </c>
      <c r="CI246" t="e">
        <f>AND(#REF!,"AAAAAD9/rFY=")</f>
        <v>#REF!</v>
      </c>
      <c r="CJ246" t="e">
        <f>AND(#REF!,"AAAAAD9/rFc=")</f>
        <v>#REF!</v>
      </c>
      <c r="CK246" t="e">
        <f>AND(#REF!,"AAAAAD9/rFg=")</f>
        <v>#REF!</v>
      </c>
      <c r="CL246" t="e">
        <f>AND(#REF!,"AAAAAD9/rFk=")</f>
        <v>#REF!</v>
      </c>
      <c r="CM246" t="e">
        <f>AND(#REF!,"AAAAAD9/rFo=")</f>
        <v>#REF!</v>
      </c>
      <c r="CN246" t="e">
        <f>AND(#REF!,"AAAAAD9/rFs=")</f>
        <v>#REF!</v>
      </c>
      <c r="CO246" t="e">
        <f>AND(#REF!,"AAAAAD9/rFw=")</f>
        <v>#REF!</v>
      </c>
      <c r="CP246" t="e">
        <f>AND(#REF!,"AAAAAD9/rF0=")</f>
        <v>#REF!</v>
      </c>
      <c r="CQ246" t="e">
        <f>AND(#REF!,"AAAAAD9/rF4=")</f>
        <v>#REF!</v>
      </c>
      <c r="CR246" t="e">
        <f>IF(#REF!,"AAAAAD9/rF8=",0)</f>
        <v>#REF!</v>
      </c>
      <c r="CS246" t="e">
        <f>AND(#REF!,"AAAAAD9/rGA=")</f>
        <v>#REF!</v>
      </c>
      <c r="CT246" t="e">
        <f>AND(#REF!,"AAAAAD9/rGE=")</f>
        <v>#REF!</v>
      </c>
      <c r="CU246" t="e">
        <f>AND(#REF!,"AAAAAD9/rGI=")</f>
        <v>#REF!</v>
      </c>
      <c r="CV246" t="e">
        <f>AND(#REF!,"AAAAAD9/rGM=")</f>
        <v>#REF!</v>
      </c>
      <c r="CW246" t="e">
        <f>AND(#REF!,"AAAAAD9/rGQ=")</f>
        <v>#REF!</v>
      </c>
      <c r="CX246" t="e">
        <f>AND(#REF!,"AAAAAD9/rGU=")</f>
        <v>#REF!</v>
      </c>
      <c r="CY246" t="e">
        <f>AND(#REF!,"AAAAAD9/rGY=")</f>
        <v>#REF!</v>
      </c>
      <c r="CZ246" t="e">
        <f>AND(#REF!,"AAAAAD9/rGc=")</f>
        <v>#REF!</v>
      </c>
      <c r="DA246" t="e">
        <f>AND(#REF!,"AAAAAD9/rGg=")</f>
        <v>#REF!</v>
      </c>
      <c r="DB246" t="e">
        <f>AND(#REF!,"AAAAAD9/rGk=")</f>
        <v>#REF!</v>
      </c>
      <c r="DC246" t="e">
        <f>AND(#REF!,"AAAAAD9/rGo=")</f>
        <v>#REF!</v>
      </c>
      <c r="DD246" t="e">
        <f>AND(#REF!,"AAAAAD9/rGs=")</f>
        <v>#REF!</v>
      </c>
      <c r="DE246" t="e">
        <f>AND(#REF!,"AAAAAD9/rGw=")</f>
        <v>#REF!</v>
      </c>
      <c r="DF246" t="e">
        <f>IF(#REF!,"AAAAAD9/rG0=",0)</f>
        <v>#REF!</v>
      </c>
      <c r="DG246" t="e">
        <f>AND(#REF!,"AAAAAD9/rG4=")</f>
        <v>#REF!</v>
      </c>
      <c r="DH246" t="e">
        <f>AND(#REF!,"AAAAAD9/rG8=")</f>
        <v>#REF!</v>
      </c>
      <c r="DI246" t="e">
        <f>AND(#REF!,"AAAAAD9/rHA=")</f>
        <v>#REF!</v>
      </c>
      <c r="DJ246" t="e">
        <f>AND(#REF!,"AAAAAD9/rHE=")</f>
        <v>#REF!</v>
      </c>
      <c r="DK246" t="e">
        <f>AND(#REF!,"AAAAAD9/rHI=")</f>
        <v>#REF!</v>
      </c>
      <c r="DL246" t="e">
        <f>AND(#REF!,"AAAAAD9/rHM=")</f>
        <v>#REF!</v>
      </c>
      <c r="DM246" t="e">
        <f>AND(#REF!,"AAAAAD9/rHQ=")</f>
        <v>#REF!</v>
      </c>
      <c r="DN246" t="e">
        <f>AND(#REF!,"AAAAAD9/rHU=")</f>
        <v>#REF!</v>
      </c>
      <c r="DO246" t="e">
        <f>AND(#REF!,"AAAAAD9/rHY=")</f>
        <v>#REF!</v>
      </c>
      <c r="DP246" t="e">
        <f>AND(#REF!,"AAAAAD9/rHc=")</f>
        <v>#REF!</v>
      </c>
      <c r="DQ246" t="e">
        <f>AND(#REF!,"AAAAAD9/rHg=")</f>
        <v>#REF!</v>
      </c>
      <c r="DR246" t="e">
        <f>AND(#REF!,"AAAAAD9/rHk=")</f>
        <v>#REF!</v>
      </c>
      <c r="DS246" t="e">
        <f>AND(#REF!,"AAAAAD9/rHo=")</f>
        <v>#REF!</v>
      </c>
      <c r="DT246" t="e">
        <f>IF(#REF!,"AAAAAD9/rHs=",0)</f>
        <v>#REF!</v>
      </c>
      <c r="DU246" t="e">
        <f>AND(#REF!,"AAAAAD9/rHw=")</f>
        <v>#REF!</v>
      </c>
      <c r="DV246" t="e">
        <f>AND(#REF!,"AAAAAD9/rH0=")</f>
        <v>#REF!</v>
      </c>
      <c r="DW246" t="e">
        <f>AND(#REF!,"AAAAAD9/rH4=")</f>
        <v>#REF!</v>
      </c>
      <c r="DX246" t="e">
        <f>AND(#REF!,"AAAAAD9/rH8=")</f>
        <v>#REF!</v>
      </c>
      <c r="DY246" t="e">
        <f>AND(#REF!,"AAAAAD9/rIA=")</f>
        <v>#REF!</v>
      </c>
      <c r="DZ246" t="e">
        <f>AND(#REF!,"AAAAAD9/rIE=")</f>
        <v>#REF!</v>
      </c>
      <c r="EA246" t="e">
        <f>AND(#REF!,"AAAAAD9/rII=")</f>
        <v>#REF!</v>
      </c>
      <c r="EB246" t="e">
        <f>AND(#REF!,"AAAAAD9/rIM=")</f>
        <v>#REF!</v>
      </c>
      <c r="EC246" t="e">
        <f>AND(#REF!,"AAAAAD9/rIQ=")</f>
        <v>#REF!</v>
      </c>
      <c r="ED246" t="e">
        <f>AND(#REF!,"AAAAAD9/rIU=")</f>
        <v>#REF!</v>
      </c>
      <c r="EE246" t="e">
        <f>AND(#REF!,"AAAAAD9/rIY=")</f>
        <v>#REF!</v>
      </c>
      <c r="EF246" t="e">
        <f>AND(#REF!,"AAAAAD9/rIc=")</f>
        <v>#REF!</v>
      </c>
      <c r="EG246" t="e">
        <f>AND(#REF!,"AAAAAD9/rIg=")</f>
        <v>#REF!</v>
      </c>
      <c r="EH246" t="e">
        <f>IF(#REF!,"AAAAAD9/rIk=",0)</f>
        <v>#REF!</v>
      </c>
      <c r="EI246" t="e">
        <f>AND(#REF!,"AAAAAD9/rIo=")</f>
        <v>#REF!</v>
      </c>
      <c r="EJ246" t="e">
        <f>AND(#REF!,"AAAAAD9/rIs=")</f>
        <v>#REF!</v>
      </c>
      <c r="EK246" t="e">
        <f>AND(#REF!,"AAAAAD9/rIw=")</f>
        <v>#REF!</v>
      </c>
      <c r="EL246" t="e">
        <f>AND(#REF!,"AAAAAD9/rI0=")</f>
        <v>#REF!</v>
      </c>
      <c r="EM246" t="e">
        <f>AND(#REF!,"AAAAAD9/rI4=")</f>
        <v>#REF!</v>
      </c>
      <c r="EN246" t="e">
        <f>AND(#REF!,"AAAAAD9/rI8=")</f>
        <v>#REF!</v>
      </c>
      <c r="EO246" t="e">
        <f>AND(#REF!,"AAAAAD9/rJA=")</f>
        <v>#REF!</v>
      </c>
      <c r="EP246" t="e">
        <f>AND(#REF!,"AAAAAD9/rJE=")</f>
        <v>#REF!</v>
      </c>
      <c r="EQ246" t="e">
        <f>AND(#REF!,"AAAAAD9/rJI=")</f>
        <v>#REF!</v>
      </c>
      <c r="ER246" t="e">
        <f>AND(#REF!,"AAAAAD9/rJM=")</f>
        <v>#REF!</v>
      </c>
      <c r="ES246" t="e">
        <f>AND(#REF!,"AAAAAD9/rJQ=")</f>
        <v>#REF!</v>
      </c>
      <c r="ET246" t="e">
        <f>AND(#REF!,"AAAAAD9/rJU=")</f>
        <v>#REF!</v>
      </c>
      <c r="EU246" t="e">
        <f>AND(#REF!,"AAAAAD9/rJY=")</f>
        <v>#REF!</v>
      </c>
      <c r="EV246" t="e">
        <f>IF(#REF!,"AAAAAD9/rJc=",0)</f>
        <v>#REF!</v>
      </c>
      <c r="EW246" t="e">
        <f>AND(#REF!,"AAAAAD9/rJg=")</f>
        <v>#REF!</v>
      </c>
      <c r="EX246" t="e">
        <f>AND(#REF!,"AAAAAD9/rJk=")</f>
        <v>#REF!</v>
      </c>
      <c r="EY246" t="e">
        <f>AND(#REF!,"AAAAAD9/rJo=")</f>
        <v>#REF!</v>
      </c>
      <c r="EZ246" t="e">
        <f>AND(#REF!,"AAAAAD9/rJs=")</f>
        <v>#REF!</v>
      </c>
      <c r="FA246" t="e">
        <f>AND(#REF!,"AAAAAD9/rJw=")</f>
        <v>#REF!</v>
      </c>
      <c r="FB246" t="e">
        <f>AND(#REF!,"AAAAAD9/rJ0=")</f>
        <v>#REF!</v>
      </c>
      <c r="FC246" t="e">
        <f>AND(#REF!,"AAAAAD9/rJ4=")</f>
        <v>#REF!</v>
      </c>
      <c r="FD246" t="e">
        <f>AND(#REF!,"AAAAAD9/rJ8=")</f>
        <v>#REF!</v>
      </c>
      <c r="FE246" t="e">
        <f>AND(#REF!,"AAAAAD9/rKA=")</f>
        <v>#REF!</v>
      </c>
      <c r="FF246" t="e">
        <f>AND(#REF!,"AAAAAD9/rKE=")</f>
        <v>#REF!</v>
      </c>
      <c r="FG246" t="e">
        <f>AND(#REF!,"AAAAAD9/rKI=")</f>
        <v>#REF!</v>
      </c>
      <c r="FH246" t="e">
        <f>AND(#REF!,"AAAAAD9/rKM=")</f>
        <v>#REF!</v>
      </c>
      <c r="FI246" t="e">
        <f>AND(#REF!,"AAAAAD9/rKQ=")</f>
        <v>#REF!</v>
      </c>
      <c r="FJ246" t="e">
        <f>IF(#REF!,"AAAAAD9/rKU=",0)</f>
        <v>#REF!</v>
      </c>
      <c r="FK246" t="e">
        <f>AND(#REF!,"AAAAAD9/rKY=")</f>
        <v>#REF!</v>
      </c>
      <c r="FL246" t="e">
        <f>AND(#REF!,"AAAAAD9/rKc=")</f>
        <v>#REF!</v>
      </c>
      <c r="FM246" t="e">
        <f>AND(#REF!,"AAAAAD9/rKg=")</f>
        <v>#REF!</v>
      </c>
      <c r="FN246" t="e">
        <f>AND(#REF!,"AAAAAD9/rKk=")</f>
        <v>#REF!</v>
      </c>
      <c r="FO246" t="e">
        <f>AND(#REF!,"AAAAAD9/rKo=")</f>
        <v>#REF!</v>
      </c>
      <c r="FP246" t="e">
        <f>AND(#REF!,"AAAAAD9/rKs=")</f>
        <v>#REF!</v>
      </c>
      <c r="FQ246" t="e">
        <f>AND(#REF!,"AAAAAD9/rKw=")</f>
        <v>#REF!</v>
      </c>
      <c r="FR246" t="e">
        <f>AND(#REF!,"AAAAAD9/rK0=")</f>
        <v>#REF!</v>
      </c>
      <c r="FS246" t="e">
        <f>AND(#REF!,"AAAAAD9/rK4=")</f>
        <v>#REF!</v>
      </c>
      <c r="FT246" t="e">
        <f>AND(#REF!,"AAAAAD9/rK8=")</f>
        <v>#REF!</v>
      </c>
      <c r="FU246" t="e">
        <f>AND(#REF!,"AAAAAD9/rLA=")</f>
        <v>#REF!</v>
      </c>
      <c r="FV246" t="e">
        <f>AND(#REF!,"AAAAAD9/rLE=")</f>
        <v>#REF!</v>
      </c>
      <c r="FW246" t="e">
        <f>AND(#REF!,"AAAAAD9/rLI=")</f>
        <v>#REF!</v>
      </c>
      <c r="FX246" t="e">
        <f>IF(#REF!,"AAAAAD9/rLM=",0)</f>
        <v>#REF!</v>
      </c>
      <c r="FY246" t="e">
        <f>AND(#REF!,"AAAAAD9/rLQ=")</f>
        <v>#REF!</v>
      </c>
      <c r="FZ246" t="e">
        <f>AND(#REF!,"AAAAAD9/rLU=")</f>
        <v>#REF!</v>
      </c>
      <c r="GA246" t="e">
        <f>AND(#REF!,"AAAAAD9/rLY=")</f>
        <v>#REF!</v>
      </c>
      <c r="GB246" t="e">
        <f>AND(#REF!,"AAAAAD9/rLc=")</f>
        <v>#REF!</v>
      </c>
      <c r="GC246" t="e">
        <f>AND(#REF!,"AAAAAD9/rLg=")</f>
        <v>#REF!</v>
      </c>
      <c r="GD246" t="e">
        <f>AND(#REF!,"AAAAAD9/rLk=")</f>
        <v>#REF!</v>
      </c>
      <c r="GE246" t="e">
        <f>AND(#REF!,"AAAAAD9/rLo=")</f>
        <v>#REF!</v>
      </c>
      <c r="GF246" t="e">
        <f>AND(#REF!,"AAAAAD9/rLs=")</f>
        <v>#REF!</v>
      </c>
      <c r="GG246" t="e">
        <f>AND(#REF!,"AAAAAD9/rLw=")</f>
        <v>#REF!</v>
      </c>
      <c r="GH246" t="e">
        <f>AND(#REF!,"AAAAAD9/rL0=")</f>
        <v>#REF!</v>
      </c>
      <c r="GI246" t="e">
        <f>AND(#REF!,"AAAAAD9/rL4=")</f>
        <v>#REF!</v>
      </c>
      <c r="GJ246" t="e">
        <f>AND(#REF!,"AAAAAD9/rL8=")</f>
        <v>#REF!</v>
      </c>
      <c r="GK246" t="e">
        <f>AND(#REF!,"AAAAAD9/rMA=")</f>
        <v>#REF!</v>
      </c>
      <c r="GL246" t="e">
        <f>IF(#REF!,"AAAAAD9/rME=",0)</f>
        <v>#REF!</v>
      </c>
      <c r="GM246" t="e">
        <f>AND(#REF!,"AAAAAD9/rMI=")</f>
        <v>#REF!</v>
      </c>
      <c r="GN246" t="e">
        <f>AND(#REF!,"AAAAAD9/rMM=")</f>
        <v>#REF!</v>
      </c>
      <c r="GO246" t="e">
        <f>AND(#REF!,"AAAAAD9/rMQ=")</f>
        <v>#REF!</v>
      </c>
      <c r="GP246" t="e">
        <f>AND(#REF!,"AAAAAD9/rMU=")</f>
        <v>#REF!</v>
      </c>
      <c r="GQ246" t="e">
        <f>AND(#REF!,"AAAAAD9/rMY=")</f>
        <v>#REF!</v>
      </c>
      <c r="GR246" t="e">
        <f>AND(#REF!,"AAAAAD9/rMc=")</f>
        <v>#REF!</v>
      </c>
      <c r="GS246" t="e">
        <f>AND(#REF!,"AAAAAD9/rMg=")</f>
        <v>#REF!</v>
      </c>
      <c r="GT246" t="e">
        <f>AND(#REF!,"AAAAAD9/rMk=")</f>
        <v>#REF!</v>
      </c>
      <c r="GU246" t="e">
        <f>AND(#REF!,"AAAAAD9/rMo=")</f>
        <v>#REF!</v>
      </c>
      <c r="GV246" t="e">
        <f>AND(#REF!,"AAAAAD9/rMs=")</f>
        <v>#REF!</v>
      </c>
      <c r="GW246" t="e">
        <f>AND(#REF!,"AAAAAD9/rMw=")</f>
        <v>#REF!</v>
      </c>
      <c r="GX246" t="e">
        <f>AND(#REF!,"AAAAAD9/rM0=")</f>
        <v>#REF!</v>
      </c>
      <c r="GY246" t="e">
        <f>AND(#REF!,"AAAAAD9/rM4=")</f>
        <v>#REF!</v>
      </c>
      <c r="GZ246" t="e">
        <f>IF(#REF!,"AAAAAD9/rM8=",0)</f>
        <v>#REF!</v>
      </c>
      <c r="HA246" t="e">
        <f>AND(#REF!,"AAAAAD9/rNA=")</f>
        <v>#REF!</v>
      </c>
      <c r="HB246" t="e">
        <f>AND(#REF!,"AAAAAD9/rNE=")</f>
        <v>#REF!</v>
      </c>
      <c r="HC246" t="e">
        <f>AND(#REF!,"AAAAAD9/rNI=")</f>
        <v>#REF!</v>
      </c>
      <c r="HD246" t="e">
        <f>AND(#REF!,"AAAAAD9/rNM=")</f>
        <v>#REF!</v>
      </c>
      <c r="HE246" t="e">
        <f>AND(#REF!,"AAAAAD9/rNQ=")</f>
        <v>#REF!</v>
      </c>
      <c r="HF246" t="e">
        <f>AND(#REF!,"AAAAAD9/rNU=")</f>
        <v>#REF!</v>
      </c>
      <c r="HG246" t="e">
        <f>AND(#REF!,"AAAAAD9/rNY=")</f>
        <v>#REF!</v>
      </c>
      <c r="HH246" t="e">
        <f>AND(#REF!,"AAAAAD9/rNc=")</f>
        <v>#REF!</v>
      </c>
      <c r="HI246" t="e">
        <f>AND(#REF!,"AAAAAD9/rNg=")</f>
        <v>#REF!</v>
      </c>
      <c r="HJ246" t="e">
        <f>AND(#REF!,"AAAAAD9/rNk=")</f>
        <v>#REF!</v>
      </c>
      <c r="HK246" t="e">
        <f>AND(#REF!,"AAAAAD9/rNo=")</f>
        <v>#REF!</v>
      </c>
      <c r="HL246" t="e">
        <f>AND(#REF!,"AAAAAD9/rNs=")</f>
        <v>#REF!</v>
      </c>
      <c r="HM246" t="e">
        <f>AND(#REF!,"AAAAAD9/rNw=")</f>
        <v>#REF!</v>
      </c>
      <c r="HN246" t="e">
        <f>IF(#REF!,"AAAAAD9/rN0=",0)</f>
        <v>#REF!</v>
      </c>
      <c r="HO246" t="e">
        <f>AND(#REF!,"AAAAAD9/rN4=")</f>
        <v>#REF!</v>
      </c>
      <c r="HP246" t="e">
        <f>AND(#REF!,"AAAAAD9/rN8=")</f>
        <v>#REF!</v>
      </c>
      <c r="HQ246" t="e">
        <f>AND(#REF!,"AAAAAD9/rOA=")</f>
        <v>#REF!</v>
      </c>
      <c r="HR246" t="e">
        <f>AND(#REF!,"AAAAAD9/rOE=")</f>
        <v>#REF!</v>
      </c>
      <c r="HS246" t="e">
        <f>AND(#REF!,"AAAAAD9/rOI=")</f>
        <v>#REF!</v>
      </c>
      <c r="HT246" t="e">
        <f>AND(#REF!,"AAAAAD9/rOM=")</f>
        <v>#REF!</v>
      </c>
      <c r="HU246" t="e">
        <f>AND(#REF!,"AAAAAD9/rOQ=")</f>
        <v>#REF!</v>
      </c>
      <c r="HV246" t="e">
        <f>AND(#REF!,"AAAAAD9/rOU=")</f>
        <v>#REF!</v>
      </c>
      <c r="HW246" t="e">
        <f>AND(#REF!,"AAAAAD9/rOY=")</f>
        <v>#REF!</v>
      </c>
      <c r="HX246" t="e">
        <f>AND(#REF!,"AAAAAD9/rOc=")</f>
        <v>#REF!</v>
      </c>
      <c r="HY246" t="e">
        <f>AND(#REF!,"AAAAAD9/rOg=")</f>
        <v>#REF!</v>
      </c>
      <c r="HZ246" t="e">
        <f>AND(#REF!,"AAAAAD9/rOk=")</f>
        <v>#REF!</v>
      </c>
      <c r="IA246" t="e">
        <f>AND(#REF!,"AAAAAD9/rOo=")</f>
        <v>#REF!</v>
      </c>
      <c r="IB246" t="e">
        <f>IF(#REF!,"AAAAAD9/rOs=",0)</f>
        <v>#REF!</v>
      </c>
      <c r="IC246" t="e">
        <f>AND(#REF!,"AAAAAD9/rOw=")</f>
        <v>#REF!</v>
      </c>
      <c r="ID246" t="e">
        <f>AND(#REF!,"AAAAAD9/rO0=")</f>
        <v>#REF!</v>
      </c>
      <c r="IE246" t="e">
        <f>AND(#REF!,"AAAAAD9/rO4=")</f>
        <v>#REF!</v>
      </c>
      <c r="IF246" t="e">
        <f>AND(#REF!,"AAAAAD9/rO8=")</f>
        <v>#REF!</v>
      </c>
      <c r="IG246" t="e">
        <f>AND(#REF!,"AAAAAD9/rPA=")</f>
        <v>#REF!</v>
      </c>
      <c r="IH246" t="e">
        <f>AND(#REF!,"AAAAAD9/rPE=")</f>
        <v>#REF!</v>
      </c>
      <c r="II246" t="e">
        <f>AND(#REF!,"AAAAAD9/rPI=")</f>
        <v>#REF!</v>
      </c>
      <c r="IJ246" t="e">
        <f>AND(#REF!,"AAAAAD9/rPM=")</f>
        <v>#REF!</v>
      </c>
      <c r="IK246" t="e">
        <f>AND(#REF!,"AAAAAD9/rPQ=")</f>
        <v>#REF!</v>
      </c>
      <c r="IL246" t="e">
        <f>AND(#REF!,"AAAAAD9/rPU=")</f>
        <v>#REF!</v>
      </c>
      <c r="IM246" t="e">
        <f>AND(#REF!,"AAAAAD9/rPY=")</f>
        <v>#REF!</v>
      </c>
      <c r="IN246" t="e">
        <f>AND(#REF!,"AAAAAD9/rPc=")</f>
        <v>#REF!</v>
      </c>
      <c r="IO246" t="e">
        <f>AND(#REF!,"AAAAAD9/rPg=")</f>
        <v>#REF!</v>
      </c>
      <c r="IP246" t="e">
        <f>IF(#REF!,"AAAAAD9/rPk=",0)</f>
        <v>#REF!</v>
      </c>
      <c r="IQ246" t="e">
        <f>AND(#REF!,"AAAAAD9/rPo=")</f>
        <v>#REF!</v>
      </c>
      <c r="IR246" t="e">
        <f>AND(#REF!,"AAAAAD9/rPs=")</f>
        <v>#REF!</v>
      </c>
      <c r="IS246" t="e">
        <f>AND(#REF!,"AAAAAD9/rPw=")</f>
        <v>#REF!</v>
      </c>
      <c r="IT246" t="e">
        <f>AND(#REF!,"AAAAAD9/rP0=")</f>
        <v>#REF!</v>
      </c>
      <c r="IU246" t="e">
        <f>AND(#REF!,"AAAAAD9/rP4=")</f>
        <v>#REF!</v>
      </c>
      <c r="IV246" t="e">
        <f>AND(#REF!,"AAAAAD9/rP8=")</f>
        <v>#REF!</v>
      </c>
    </row>
    <row r="247" spans="1:256" x14ac:dyDescent="0.2">
      <c r="A247" t="e">
        <f>AND(#REF!,"AAAAAH+n9gA=")</f>
        <v>#REF!</v>
      </c>
      <c r="B247" t="e">
        <f>AND(#REF!,"AAAAAH+n9gE=")</f>
        <v>#REF!</v>
      </c>
      <c r="C247" t="e">
        <f>AND(#REF!,"AAAAAH+n9gI=")</f>
        <v>#REF!</v>
      </c>
      <c r="D247" t="e">
        <f>AND(#REF!,"AAAAAH+n9gM=")</f>
        <v>#REF!</v>
      </c>
      <c r="E247" t="e">
        <f>AND(#REF!,"AAAAAH+n9gQ=")</f>
        <v>#REF!</v>
      </c>
      <c r="F247" t="e">
        <f>AND(#REF!,"AAAAAH+n9gU=")</f>
        <v>#REF!</v>
      </c>
      <c r="G247" t="e">
        <f>AND(#REF!,"AAAAAH+n9gY=")</f>
        <v>#REF!</v>
      </c>
      <c r="H247" t="e">
        <f>IF(#REF!,"AAAAAH+n9gc=",0)</f>
        <v>#REF!</v>
      </c>
      <c r="I247" t="e">
        <f>AND(#REF!,"AAAAAH+n9gg=")</f>
        <v>#REF!</v>
      </c>
      <c r="J247" t="e">
        <f>AND(#REF!,"AAAAAH+n9gk=")</f>
        <v>#REF!</v>
      </c>
      <c r="K247" t="e">
        <f>AND(#REF!,"AAAAAH+n9go=")</f>
        <v>#REF!</v>
      </c>
      <c r="L247" t="e">
        <f>AND(#REF!,"AAAAAH+n9gs=")</f>
        <v>#REF!</v>
      </c>
      <c r="M247" t="e">
        <f>AND(#REF!,"AAAAAH+n9gw=")</f>
        <v>#REF!</v>
      </c>
      <c r="N247" t="e">
        <f>AND(#REF!,"AAAAAH+n9g0=")</f>
        <v>#REF!</v>
      </c>
      <c r="O247" t="e">
        <f>AND(#REF!,"AAAAAH+n9g4=")</f>
        <v>#REF!</v>
      </c>
      <c r="P247" t="e">
        <f>AND(#REF!,"AAAAAH+n9g8=")</f>
        <v>#REF!</v>
      </c>
      <c r="Q247" t="e">
        <f>AND(#REF!,"AAAAAH+n9hA=")</f>
        <v>#REF!</v>
      </c>
      <c r="R247" t="e">
        <f>AND(#REF!,"AAAAAH+n9hE=")</f>
        <v>#REF!</v>
      </c>
      <c r="S247" t="e">
        <f>AND(#REF!,"AAAAAH+n9hI=")</f>
        <v>#REF!</v>
      </c>
      <c r="T247" t="e">
        <f>AND(#REF!,"AAAAAH+n9hM=")</f>
        <v>#REF!</v>
      </c>
      <c r="U247" t="e">
        <f>AND(#REF!,"AAAAAH+n9hQ=")</f>
        <v>#REF!</v>
      </c>
      <c r="V247" t="e">
        <f>IF(#REF!,"AAAAAH+n9hU=",0)</f>
        <v>#REF!</v>
      </c>
      <c r="W247" t="e">
        <f>AND(#REF!,"AAAAAH+n9hY=")</f>
        <v>#REF!</v>
      </c>
      <c r="X247" t="e">
        <f>AND(#REF!,"AAAAAH+n9hc=")</f>
        <v>#REF!</v>
      </c>
      <c r="Y247" t="e">
        <f>AND(#REF!,"AAAAAH+n9hg=")</f>
        <v>#REF!</v>
      </c>
      <c r="Z247" t="e">
        <f>AND(#REF!,"AAAAAH+n9hk=")</f>
        <v>#REF!</v>
      </c>
      <c r="AA247" t="e">
        <f>AND(#REF!,"AAAAAH+n9ho=")</f>
        <v>#REF!</v>
      </c>
      <c r="AB247" t="e">
        <f>AND(#REF!,"AAAAAH+n9hs=")</f>
        <v>#REF!</v>
      </c>
      <c r="AC247" t="e">
        <f>AND(#REF!,"AAAAAH+n9hw=")</f>
        <v>#REF!</v>
      </c>
      <c r="AD247" t="e">
        <f>AND(#REF!,"AAAAAH+n9h0=")</f>
        <v>#REF!</v>
      </c>
      <c r="AE247" t="e">
        <f>AND(#REF!,"AAAAAH+n9h4=")</f>
        <v>#REF!</v>
      </c>
      <c r="AF247" t="e">
        <f>AND(#REF!,"AAAAAH+n9h8=")</f>
        <v>#REF!</v>
      </c>
      <c r="AG247" t="e">
        <f>AND(#REF!,"AAAAAH+n9iA=")</f>
        <v>#REF!</v>
      </c>
      <c r="AH247" t="e">
        <f>AND(#REF!,"AAAAAH+n9iE=")</f>
        <v>#REF!</v>
      </c>
      <c r="AI247" t="e">
        <f>AND(#REF!,"AAAAAH+n9iI=")</f>
        <v>#REF!</v>
      </c>
      <c r="AJ247" t="e">
        <f>IF(#REF!,"AAAAAH+n9iM=",0)</f>
        <v>#REF!</v>
      </c>
      <c r="AK247" t="e">
        <f>AND(#REF!,"AAAAAH+n9iQ=")</f>
        <v>#REF!</v>
      </c>
      <c r="AL247" t="e">
        <f>AND(#REF!,"AAAAAH+n9iU=")</f>
        <v>#REF!</v>
      </c>
      <c r="AM247" t="e">
        <f>AND(#REF!,"AAAAAH+n9iY=")</f>
        <v>#REF!</v>
      </c>
      <c r="AN247" t="e">
        <f>AND(#REF!,"AAAAAH+n9ic=")</f>
        <v>#REF!</v>
      </c>
      <c r="AO247" t="e">
        <f>AND(#REF!,"AAAAAH+n9ig=")</f>
        <v>#REF!</v>
      </c>
      <c r="AP247" t="e">
        <f>AND(#REF!,"AAAAAH+n9ik=")</f>
        <v>#REF!</v>
      </c>
      <c r="AQ247" t="e">
        <f>AND(#REF!,"AAAAAH+n9io=")</f>
        <v>#REF!</v>
      </c>
      <c r="AR247" t="e">
        <f>AND(#REF!,"AAAAAH+n9is=")</f>
        <v>#REF!</v>
      </c>
      <c r="AS247" t="e">
        <f>AND(#REF!,"AAAAAH+n9iw=")</f>
        <v>#REF!</v>
      </c>
      <c r="AT247" t="e">
        <f>AND(#REF!,"AAAAAH+n9i0=")</f>
        <v>#REF!</v>
      </c>
      <c r="AU247" t="e">
        <f>AND(#REF!,"AAAAAH+n9i4=")</f>
        <v>#REF!</v>
      </c>
      <c r="AV247" t="e">
        <f>AND(#REF!,"AAAAAH+n9i8=")</f>
        <v>#REF!</v>
      </c>
      <c r="AW247" t="e">
        <f>AND(#REF!,"AAAAAH+n9jA=")</f>
        <v>#REF!</v>
      </c>
      <c r="AX247" t="e">
        <f>IF(#REF!,"AAAAAH+n9jE=",0)</f>
        <v>#REF!</v>
      </c>
      <c r="AY247" t="e">
        <f>AND(#REF!,"AAAAAH+n9jI=")</f>
        <v>#REF!</v>
      </c>
      <c r="AZ247" t="e">
        <f>AND(#REF!,"AAAAAH+n9jM=")</f>
        <v>#REF!</v>
      </c>
      <c r="BA247" t="e">
        <f>AND(#REF!,"AAAAAH+n9jQ=")</f>
        <v>#REF!</v>
      </c>
      <c r="BB247" t="e">
        <f>AND(#REF!,"AAAAAH+n9jU=")</f>
        <v>#REF!</v>
      </c>
      <c r="BC247" t="e">
        <f>AND(#REF!,"AAAAAH+n9jY=")</f>
        <v>#REF!</v>
      </c>
      <c r="BD247" t="e">
        <f>AND(#REF!,"AAAAAH+n9jc=")</f>
        <v>#REF!</v>
      </c>
      <c r="BE247" t="e">
        <f>AND(#REF!,"AAAAAH+n9jg=")</f>
        <v>#REF!</v>
      </c>
      <c r="BF247" t="e">
        <f>AND(#REF!,"AAAAAH+n9jk=")</f>
        <v>#REF!</v>
      </c>
      <c r="BG247" t="e">
        <f>AND(#REF!,"AAAAAH+n9jo=")</f>
        <v>#REF!</v>
      </c>
      <c r="BH247" t="e">
        <f>AND(#REF!,"AAAAAH+n9js=")</f>
        <v>#REF!</v>
      </c>
      <c r="BI247" t="e">
        <f>AND(#REF!,"AAAAAH+n9jw=")</f>
        <v>#REF!</v>
      </c>
      <c r="BJ247" t="e">
        <f>AND(#REF!,"AAAAAH+n9j0=")</f>
        <v>#REF!</v>
      </c>
      <c r="BK247" t="e">
        <f>AND(#REF!,"AAAAAH+n9j4=")</f>
        <v>#REF!</v>
      </c>
      <c r="BL247" t="e">
        <f>IF(#REF!,"AAAAAH+n9j8=",0)</f>
        <v>#REF!</v>
      </c>
      <c r="BM247" t="e">
        <f>AND(#REF!,"AAAAAH+n9kA=")</f>
        <v>#REF!</v>
      </c>
      <c r="BN247" t="e">
        <f>AND(#REF!,"AAAAAH+n9kE=")</f>
        <v>#REF!</v>
      </c>
      <c r="BO247" t="e">
        <f>AND(#REF!,"AAAAAH+n9kI=")</f>
        <v>#REF!</v>
      </c>
      <c r="BP247" t="e">
        <f>AND(#REF!,"AAAAAH+n9kM=")</f>
        <v>#REF!</v>
      </c>
      <c r="BQ247" t="e">
        <f>AND(#REF!,"AAAAAH+n9kQ=")</f>
        <v>#REF!</v>
      </c>
      <c r="BR247" t="e">
        <f>AND(#REF!,"AAAAAH+n9kU=")</f>
        <v>#REF!</v>
      </c>
      <c r="BS247" t="e">
        <f>AND(#REF!,"AAAAAH+n9kY=")</f>
        <v>#REF!</v>
      </c>
      <c r="BT247" t="e">
        <f>AND(#REF!,"AAAAAH+n9kc=")</f>
        <v>#REF!</v>
      </c>
      <c r="BU247" t="e">
        <f>AND(#REF!,"AAAAAH+n9kg=")</f>
        <v>#REF!</v>
      </c>
      <c r="BV247" t="e">
        <f>AND(#REF!,"AAAAAH+n9kk=")</f>
        <v>#REF!</v>
      </c>
      <c r="BW247" t="e">
        <f>AND(#REF!,"AAAAAH+n9ko=")</f>
        <v>#REF!</v>
      </c>
      <c r="BX247" t="e">
        <f>AND(#REF!,"AAAAAH+n9ks=")</f>
        <v>#REF!</v>
      </c>
      <c r="BY247" t="e">
        <f>AND(#REF!,"AAAAAH+n9kw=")</f>
        <v>#REF!</v>
      </c>
      <c r="BZ247" t="e">
        <f>IF(#REF!,"AAAAAH+n9k0=",0)</f>
        <v>#REF!</v>
      </c>
      <c r="CA247" t="e">
        <f>AND(#REF!,"AAAAAH+n9k4=")</f>
        <v>#REF!</v>
      </c>
      <c r="CB247" t="e">
        <f>AND(#REF!,"AAAAAH+n9k8=")</f>
        <v>#REF!</v>
      </c>
      <c r="CC247" t="e">
        <f>AND(#REF!,"AAAAAH+n9lA=")</f>
        <v>#REF!</v>
      </c>
      <c r="CD247" t="e">
        <f>AND(#REF!,"AAAAAH+n9lE=")</f>
        <v>#REF!</v>
      </c>
      <c r="CE247" t="e">
        <f>AND(#REF!,"AAAAAH+n9lI=")</f>
        <v>#REF!</v>
      </c>
      <c r="CF247" t="e">
        <f>AND(#REF!,"AAAAAH+n9lM=")</f>
        <v>#REF!</v>
      </c>
      <c r="CG247" t="e">
        <f>AND(#REF!,"AAAAAH+n9lQ=")</f>
        <v>#REF!</v>
      </c>
      <c r="CH247" t="e">
        <f>AND(#REF!,"AAAAAH+n9lU=")</f>
        <v>#REF!</v>
      </c>
      <c r="CI247" t="e">
        <f>AND(#REF!,"AAAAAH+n9lY=")</f>
        <v>#REF!</v>
      </c>
      <c r="CJ247" t="e">
        <f>AND(#REF!,"AAAAAH+n9lc=")</f>
        <v>#REF!</v>
      </c>
      <c r="CK247" t="e">
        <f>AND(#REF!,"AAAAAH+n9lg=")</f>
        <v>#REF!</v>
      </c>
      <c r="CL247" t="e">
        <f>AND(#REF!,"AAAAAH+n9lk=")</f>
        <v>#REF!</v>
      </c>
      <c r="CM247" t="e">
        <f>AND(#REF!,"AAAAAH+n9lo=")</f>
        <v>#REF!</v>
      </c>
      <c r="CN247" t="e">
        <f>IF(#REF!,"AAAAAH+n9ls=",0)</f>
        <v>#REF!</v>
      </c>
      <c r="CO247" t="e">
        <f>AND(#REF!,"AAAAAH+n9lw=")</f>
        <v>#REF!</v>
      </c>
      <c r="CP247" t="e">
        <f>AND(#REF!,"AAAAAH+n9l0=")</f>
        <v>#REF!</v>
      </c>
      <c r="CQ247" t="e">
        <f>AND(#REF!,"AAAAAH+n9l4=")</f>
        <v>#REF!</v>
      </c>
      <c r="CR247" t="e">
        <f>AND(#REF!,"AAAAAH+n9l8=")</f>
        <v>#REF!</v>
      </c>
      <c r="CS247" t="e">
        <f>AND(#REF!,"AAAAAH+n9mA=")</f>
        <v>#REF!</v>
      </c>
      <c r="CT247" t="e">
        <f>AND(#REF!,"AAAAAH+n9mE=")</f>
        <v>#REF!</v>
      </c>
      <c r="CU247" t="e">
        <f>AND(#REF!,"AAAAAH+n9mI=")</f>
        <v>#REF!</v>
      </c>
      <c r="CV247" t="e">
        <f>AND(#REF!,"AAAAAH+n9mM=")</f>
        <v>#REF!</v>
      </c>
      <c r="CW247" t="e">
        <f>AND(#REF!,"AAAAAH+n9mQ=")</f>
        <v>#REF!</v>
      </c>
      <c r="CX247" t="e">
        <f>AND(#REF!,"AAAAAH+n9mU=")</f>
        <v>#REF!</v>
      </c>
      <c r="CY247" t="e">
        <f>AND(#REF!,"AAAAAH+n9mY=")</f>
        <v>#REF!</v>
      </c>
      <c r="CZ247" t="e">
        <f>AND(#REF!,"AAAAAH+n9mc=")</f>
        <v>#REF!</v>
      </c>
      <c r="DA247" t="e">
        <f>AND(#REF!,"AAAAAH+n9mg=")</f>
        <v>#REF!</v>
      </c>
      <c r="DB247" t="e">
        <f>IF(#REF!,"AAAAAH+n9mk=",0)</f>
        <v>#REF!</v>
      </c>
      <c r="DC247" t="e">
        <f>AND(#REF!,"AAAAAH+n9mo=")</f>
        <v>#REF!</v>
      </c>
      <c r="DD247" t="e">
        <f>AND(#REF!,"AAAAAH+n9ms=")</f>
        <v>#REF!</v>
      </c>
      <c r="DE247" t="e">
        <f>AND(#REF!,"AAAAAH+n9mw=")</f>
        <v>#REF!</v>
      </c>
      <c r="DF247" t="e">
        <f>AND(#REF!,"AAAAAH+n9m0=")</f>
        <v>#REF!</v>
      </c>
      <c r="DG247" t="e">
        <f>AND(#REF!,"AAAAAH+n9m4=")</f>
        <v>#REF!</v>
      </c>
      <c r="DH247" t="e">
        <f>AND(#REF!,"AAAAAH+n9m8=")</f>
        <v>#REF!</v>
      </c>
      <c r="DI247" t="e">
        <f>AND(#REF!,"AAAAAH+n9nA=")</f>
        <v>#REF!</v>
      </c>
      <c r="DJ247" t="e">
        <f>AND(#REF!,"AAAAAH+n9nE=")</f>
        <v>#REF!</v>
      </c>
      <c r="DK247" t="e">
        <f>AND(#REF!,"AAAAAH+n9nI=")</f>
        <v>#REF!</v>
      </c>
      <c r="DL247" t="e">
        <f>AND(#REF!,"AAAAAH+n9nM=")</f>
        <v>#REF!</v>
      </c>
      <c r="DM247" t="e">
        <f>AND(#REF!,"AAAAAH+n9nQ=")</f>
        <v>#REF!</v>
      </c>
      <c r="DN247" t="e">
        <f>AND(#REF!,"AAAAAH+n9nU=")</f>
        <v>#REF!</v>
      </c>
      <c r="DO247" t="e">
        <f>AND(#REF!,"AAAAAH+n9nY=")</f>
        <v>#REF!</v>
      </c>
      <c r="DP247" t="e">
        <f>IF(#REF!,"AAAAAH+n9nc=",0)</f>
        <v>#REF!</v>
      </c>
      <c r="DQ247" t="e">
        <f>AND(#REF!,"AAAAAH+n9ng=")</f>
        <v>#REF!</v>
      </c>
      <c r="DR247" t="e">
        <f>AND(#REF!,"AAAAAH+n9nk=")</f>
        <v>#REF!</v>
      </c>
      <c r="DS247" t="e">
        <f>AND(#REF!,"AAAAAH+n9no=")</f>
        <v>#REF!</v>
      </c>
      <c r="DT247" t="e">
        <f>AND(#REF!,"AAAAAH+n9ns=")</f>
        <v>#REF!</v>
      </c>
      <c r="DU247" t="e">
        <f>AND(#REF!,"AAAAAH+n9nw=")</f>
        <v>#REF!</v>
      </c>
      <c r="DV247" t="e">
        <f>AND(#REF!,"AAAAAH+n9n0=")</f>
        <v>#REF!</v>
      </c>
      <c r="DW247" t="e">
        <f>AND(#REF!,"AAAAAH+n9n4=")</f>
        <v>#REF!</v>
      </c>
      <c r="DX247" t="e">
        <f>AND(#REF!,"AAAAAH+n9n8=")</f>
        <v>#REF!</v>
      </c>
      <c r="DY247" t="e">
        <f>AND(#REF!,"AAAAAH+n9oA=")</f>
        <v>#REF!</v>
      </c>
      <c r="DZ247" t="e">
        <f>AND(#REF!,"AAAAAH+n9oE=")</f>
        <v>#REF!</v>
      </c>
      <c r="EA247" t="e">
        <f>AND(#REF!,"AAAAAH+n9oI=")</f>
        <v>#REF!</v>
      </c>
      <c r="EB247" t="e">
        <f>AND(#REF!,"AAAAAH+n9oM=")</f>
        <v>#REF!</v>
      </c>
      <c r="EC247" t="e">
        <f>AND(#REF!,"AAAAAH+n9oQ=")</f>
        <v>#REF!</v>
      </c>
      <c r="ED247" t="e">
        <f>IF(#REF!,"AAAAAH+n9oU=",0)</f>
        <v>#REF!</v>
      </c>
      <c r="EE247" t="e">
        <f>AND(#REF!,"AAAAAH+n9oY=")</f>
        <v>#REF!</v>
      </c>
      <c r="EF247" t="e">
        <f>AND(#REF!,"AAAAAH+n9oc=")</f>
        <v>#REF!</v>
      </c>
      <c r="EG247" t="e">
        <f>AND(#REF!,"AAAAAH+n9og=")</f>
        <v>#REF!</v>
      </c>
      <c r="EH247" t="e">
        <f>AND(#REF!,"AAAAAH+n9ok=")</f>
        <v>#REF!</v>
      </c>
      <c r="EI247" t="e">
        <f>AND(#REF!,"AAAAAH+n9oo=")</f>
        <v>#REF!</v>
      </c>
      <c r="EJ247" t="e">
        <f>AND(#REF!,"AAAAAH+n9os=")</f>
        <v>#REF!</v>
      </c>
      <c r="EK247" t="e">
        <f>AND(#REF!,"AAAAAH+n9ow=")</f>
        <v>#REF!</v>
      </c>
      <c r="EL247" t="e">
        <f>AND(#REF!,"AAAAAH+n9o0=")</f>
        <v>#REF!</v>
      </c>
      <c r="EM247" t="e">
        <f>AND(#REF!,"AAAAAH+n9o4=")</f>
        <v>#REF!</v>
      </c>
      <c r="EN247" t="e">
        <f>AND(#REF!,"AAAAAH+n9o8=")</f>
        <v>#REF!</v>
      </c>
      <c r="EO247" t="e">
        <f>AND(#REF!,"AAAAAH+n9pA=")</f>
        <v>#REF!</v>
      </c>
      <c r="EP247" t="e">
        <f>AND(#REF!,"AAAAAH+n9pE=")</f>
        <v>#REF!</v>
      </c>
      <c r="EQ247" t="e">
        <f>AND(#REF!,"AAAAAH+n9pI=")</f>
        <v>#REF!</v>
      </c>
      <c r="ER247" t="e">
        <f>IF(#REF!,"AAAAAH+n9pM=",0)</f>
        <v>#REF!</v>
      </c>
      <c r="ES247" t="e">
        <f>AND(#REF!,"AAAAAH+n9pQ=")</f>
        <v>#REF!</v>
      </c>
      <c r="ET247" t="e">
        <f>AND(#REF!,"AAAAAH+n9pU=")</f>
        <v>#REF!</v>
      </c>
      <c r="EU247" t="e">
        <f>AND(#REF!,"AAAAAH+n9pY=")</f>
        <v>#REF!</v>
      </c>
      <c r="EV247" t="e">
        <f>AND(#REF!,"AAAAAH+n9pc=")</f>
        <v>#REF!</v>
      </c>
      <c r="EW247" t="e">
        <f>AND(#REF!,"AAAAAH+n9pg=")</f>
        <v>#REF!</v>
      </c>
      <c r="EX247" t="e">
        <f>AND(#REF!,"AAAAAH+n9pk=")</f>
        <v>#REF!</v>
      </c>
      <c r="EY247" t="e">
        <f>AND(#REF!,"AAAAAH+n9po=")</f>
        <v>#REF!</v>
      </c>
      <c r="EZ247" t="e">
        <f>AND(#REF!,"AAAAAH+n9ps=")</f>
        <v>#REF!</v>
      </c>
      <c r="FA247" t="e">
        <f>AND(#REF!,"AAAAAH+n9pw=")</f>
        <v>#REF!</v>
      </c>
      <c r="FB247" t="e">
        <f>AND(#REF!,"AAAAAH+n9p0=")</f>
        <v>#REF!</v>
      </c>
      <c r="FC247" t="e">
        <f>AND(#REF!,"AAAAAH+n9p4=")</f>
        <v>#REF!</v>
      </c>
      <c r="FD247" t="e">
        <f>AND(#REF!,"AAAAAH+n9p8=")</f>
        <v>#REF!</v>
      </c>
      <c r="FE247" t="e">
        <f>AND(#REF!,"AAAAAH+n9qA=")</f>
        <v>#REF!</v>
      </c>
      <c r="FF247" t="e">
        <f>IF(#REF!,"AAAAAH+n9qE=",0)</f>
        <v>#REF!</v>
      </c>
      <c r="FG247" t="e">
        <f>AND(#REF!,"AAAAAH+n9qI=")</f>
        <v>#REF!</v>
      </c>
      <c r="FH247" t="e">
        <f>AND(#REF!,"AAAAAH+n9qM=")</f>
        <v>#REF!</v>
      </c>
      <c r="FI247" t="e">
        <f>AND(#REF!,"AAAAAH+n9qQ=")</f>
        <v>#REF!</v>
      </c>
      <c r="FJ247" t="e">
        <f>AND(#REF!,"AAAAAH+n9qU=")</f>
        <v>#REF!</v>
      </c>
      <c r="FK247" t="e">
        <f>AND(#REF!,"AAAAAH+n9qY=")</f>
        <v>#REF!</v>
      </c>
      <c r="FL247" t="e">
        <f>AND(#REF!,"AAAAAH+n9qc=")</f>
        <v>#REF!</v>
      </c>
      <c r="FM247" t="e">
        <f>AND(#REF!,"AAAAAH+n9qg=")</f>
        <v>#REF!</v>
      </c>
      <c r="FN247" t="e">
        <f>AND(#REF!,"AAAAAH+n9qk=")</f>
        <v>#REF!</v>
      </c>
      <c r="FO247" t="e">
        <f>AND(#REF!,"AAAAAH+n9qo=")</f>
        <v>#REF!</v>
      </c>
      <c r="FP247" t="e">
        <f>AND(#REF!,"AAAAAH+n9qs=")</f>
        <v>#REF!</v>
      </c>
      <c r="FQ247" t="e">
        <f>AND(#REF!,"AAAAAH+n9qw=")</f>
        <v>#REF!</v>
      </c>
      <c r="FR247" t="e">
        <f>AND(#REF!,"AAAAAH+n9q0=")</f>
        <v>#REF!</v>
      </c>
      <c r="FS247" t="e">
        <f>AND(#REF!,"AAAAAH+n9q4=")</f>
        <v>#REF!</v>
      </c>
      <c r="FT247" t="e">
        <f>IF(#REF!,"AAAAAH+n9q8=",0)</f>
        <v>#REF!</v>
      </c>
      <c r="FU247" t="e">
        <f>AND(#REF!,"AAAAAH+n9rA=")</f>
        <v>#REF!</v>
      </c>
      <c r="FV247" t="e">
        <f>AND(#REF!,"AAAAAH+n9rE=")</f>
        <v>#REF!</v>
      </c>
      <c r="FW247" t="e">
        <f>AND(#REF!,"AAAAAH+n9rI=")</f>
        <v>#REF!</v>
      </c>
      <c r="FX247" t="e">
        <f>AND(#REF!,"AAAAAH+n9rM=")</f>
        <v>#REF!</v>
      </c>
      <c r="FY247" t="e">
        <f>AND(#REF!,"AAAAAH+n9rQ=")</f>
        <v>#REF!</v>
      </c>
      <c r="FZ247" t="e">
        <f>AND(#REF!,"AAAAAH+n9rU=")</f>
        <v>#REF!</v>
      </c>
      <c r="GA247" t="e">
        <f>AND(#REF!,"AAAAAH+n9rY=")</f>
        <v>#REF!</v>
      </c>
      <c r="GB247" t="e">
        <f>AND(#REF!,"AAAAAH+n9rc=")</f>
        <v>#REF!</v>
      </c>
      <c r="GC247" t="e">
        <f>AND(#REF!,"AAAAAH+n9rg=")</f>
        <v>#REF!</v>
      </c>
      <c r="GD247" t="e">
        <f>AND(#REF!,"AAAAAH+n9rk=")</f>
        <v>#REF!</v>
      </c>
      <c r="GE247" t="e">
        <f>AND(#REF!,"AAAAAH+n9ro=")</f>
        <v>#REF!</v>
      </c>
      <c r="GF247" t="e">
        <f>AND(#REF!,"AAAAAH+n9rs=")</f>
        <v>#REF!</v>
      </c>
      <c r="GG247" t="e">
        <f>AND(#REF!,"AAAAAH+n9rw=")</f>
        <v>#REF!</v>
      </c>
      <c r="GH247" t="e">
        <f>IF(#REF!,"AAAAAH+n9r0=",0)</f>
        <v>#REF!</v>
      </c>
      <c r="GI247" t="e">
        <f>AND(#REF!,"AAAAAH+n9r4=")</f>
        <v>#REF!</v>
      </c>
      <c r="GJ247" t="e">
        <f>AND(#REF!,"AAAAAH+n9r8=")</f>
        <v>#REF!</v>
      </c>
      <c r="GK247" t="e">
        <f>AND(#REF!,"AAAAAH+n9sA=")</f>
        <v>#REF!</v>
      </c>
      <c r="GL247" t="e">
        <f>AND(#REF!,"AAAAAH+n9sE=")</f>
        <v>#REF!</v>
      </c>
      <c r="GM247" t="e">
        <f>AND(#REF!,"AAAAAH+n9sI=")</f>
        <v>#REF!</v>
      </c>
      <c r="GN247" t="e">
        <f>AND(#REF!,"AAAAAH+n9sM=")</f>
        <v>#REF!</v>
      </c>
      <c r="GO247" t="e">
        <f>AND(#REF!,"AAAAAH+n9sQ=")</f>
        <v>#REF!</v>
      </c>
      <c r="GP247" t="e">
        <f>AND(#REF!,"AAAAAH+n9sU=")</f>
        <v>#REF!</v>
      </c>
      <c r="GQ247" t="e">
        <f>AND(#REF!,"AAAAAH+n9sY=")</f>
        <v>#REF!</v>
      </c>
      <c r="GR247" t="e">
        <f>AND(#REF!,"AAAAAH+n9sc=")</f>
        <v>#REF!</v>
      </c>
      <c r="GS247" t="e">
        <f>AND(#REF!,"AAAAAH+n9sg=")</f>
        <v>#REF!</v>
      </c>
      <c r="GT247" t="e">
        <f>AND(#REF!,"AAAAAH+n9sk=")</f>
        <v>#REF!</v>
      </c>
      <c r="GU247" t="e">
        <f>AND(#REF!,"AAAAAH+n9so=")</f>
        <v>#REF!</v>
      </c>
      <c r="GV247" t="e">
        <f>IF(#REF!,"AAAAAH+n9ss=",0)</f>
        <v>#REF!</v>
      </c>
      <c r="GW247" t="e">
        <f>AND(#REF!,"AAAAAH+n9sw=")</f>
        <v>#REF!</v>
      </c>
      <c r="GX247" t="e">
        <f>AND(#REF!,"AAAAAH+n9s0=")</f>
        <v>#REF!</v>
      </c>
      <c r="GY247" t="e">
        <f>AND(#REF!,"AAAAAH+n9s4=")</f>
        <v>#REF!</v>
      </c>
      <c r="GZ247" t="e">
        <f>AND(#REF!,"AAAAAH+n9s8=")</f>
        <v>#REF!</v>
      </c>
      <c r="HA247" t="e">
        <f>AND(#REF!,"AAAAAH+n9tA=")</f>
        <v>#REF!</v>
      </c>
      <c r="HB247" t="e">
        <f>AND(#REF!,"AAAAAH+n9tE=")</f>
        <v>#REF!</v>
      </c>
      <c r="HC247" t="e">
        <f>AND(#REF!,"AAAAAH+n9tI=")</f>
        <v>#REF!</v>
      </c>
      <c r="HD247" t="e">
        <f>AND(#REF!,"AAAAAH+n9tM=")</f>
        <v>#REF!</v>
      </c>
      <c r="HE247" t="e">
        <f>AND(#REF!,"AAAAAH+n9tQ=")</f>
        <v>#REF!</v>
      </c>
      <c r="HF247" t="e">
        <f>AND(#REF!,"AAAAAH+n9tU=")</f>
        <v>#REF!</v>
      </c>
      <c r="HG247" t="e">
        <f>AND(#REF!,"AAAAAH+n9tY=")</f>
        <v>#REF!</v>
      </c>
      <c r="HH247" t="e">
        <f>AND(#REF!,"AAAAAH+n9tc=")</f>
        <v>#REF!</v>
      </c>
      <c r="HI247" t="e">
        <f>AND(#REF!,"AAAAAH+n9tg=")</f>
        <v>#REF!</v>
      </c>
      <c r="HJ247" t="e">
        <f>IF(#REF!,"AAAAAH+n9tk=",0)</f>
        <v>#REF!</v>
      </c>
      <c r="HK247" t="e">
        <f>AND(#REF!,"AAAAAH+n9to=")</f>
        <v>#REF!</v>
      </c>
      <c r="HL247" t="e">
        <f>AND(#REF!,"AAAAAH+n9ts=")</f>
        <v>#REF!</v>
      </c>
      <c r="HM247" t="e">
        <f>AND(#REF!,"AAAAAH+n9tw=")</f>
        <v>#REF!</v>
      </c>
      <c r="HN247" t="e">
        <f>AND(#REF!,"AAAAAH+n9t0=")</f>
        <v>#REF!</v>
      </c>
      <c r="HO247" t="e">
        <f>AND(#REF!,"AAAAAH+n9t4=")</f>
        <v>#REF!</v>
      </c>
      <c r="HP247" t="e">
        <f>AND(#REF!,"AAAAAH+n9t8=")</f>
        <v>#REF!</v>
      </c>
      <c r="HQ247" t="e">
        <f>AND(#REF!,"AAAAAH+n9uA=")</f>
        <v>#REF!</v>
      </c>
      <c r="HR247" t="e">
        <f>AND(#REF!,"AAAAAH+n9uE=")</f>
        <v>#REF!</v>
      </c>
      <c r="HS247" t="e">
        <f>AND(#REF!,"AAAAAH+n9uI=")</f>
        <v>#REF!</v>
      </c>
      <c r="HT247" t="e">
        <f>AND(#REF!,"AAAAAH+n9uM=")</f>
        <v>#REF!</v>
      </c>
      <c r="HU247" t="e">
        <f>AND(#REF!,"AAAAAH+n9uQ=")</f>
        <v>#REF!</v>
      </c>
      <c r="HV247" t="e">
        <f>AND(#REF!,"AAAAAH+n9uU=")</f>
        <v>#REF!</v>
      </c>
      <c r="HW247" t="e">
        <f>AND(#REF!,"AAAAAH+n9uY=")</f>
        <v>#REF!</v>
      </c>
      <c r="HX247" t="e">
        <f>IF(#REF!,"AAAAAH+n9uc=",0)</f>
        <v>#REF!</v>
      </c>
      <c r="HY247" t="e">
        <f>AND(#REF!,"AAAAAH+n9ug=")</f>
        <v>#REF!</v>
      </c>
      <c r="HZ247" t="e">
        <f>AND(#REF!,"AAAAAH+n9uk=")</f>
        <v>#REF!</v>
      </c>
      <c r="IA247" t="e">
        <f>AND(#REF!,"AAAAAH+n9uo=")</f>
        <v>#REF!</v>
      </c>
      <c r="IB247" t="e">
        <f>AND(#REF!,"AAAAAH+n9us=")</f>
        <v>#REF!</v>
      </c>
      <c r="IC247" t="e">
        <f>AND(#REF!,"AAAAAH+n9uw=")</f>
        <v>#REF!</v>
      </c>
      <c r="ID247" t="e">
        <f>AND(#REF!,"AAAAAH+n9u0=")</f>
        <v>#REF!</v>
      </c>
      <c r="IE247" t="e">
        <f>AND(#REF!,"AAAAAH+n9u4=")</f>
        <v>#REF!</v>
      </c>
      <c r="IF247" t="e">
        <f>AND(#REF!,"AAAAAH+n9u8=")</f>
        <v>#REF!</v>
      </c>
      <c r="IG247" t="e">
        <f>AND(#REF!,"AAAAAH+n9vA=")</f>
        <v>#REF!</v>
      </c>
      <c r="IH247" t="e">
        <f>AND(#REF!,"AAAAAH+n9vE=")</f>
        <v>#REF!</v>
      </c>
      <c r="II247" t="e">
        <f>AND(#REF!,"AAAAAH+n9vI=")</f>
        <v>#REF!</v>
      </c>
      <c r="IJ247" t="e">
        <f>AND(#REF!,"AAAAAH+n9vM=")</f>
        <v>#REF!</v>
      </c>
      <c r="IK247" t="e">
        <f>AND(#REF!,"AAAAAH+n9vQ=")</f>
        <v>#REF!</v>
      </c>
      <c r="IL247" t="e">
        <f>IF(#REF!,"AAAAAH+n9vU=",0)</f>
        <v>#REF!</v>
      </c>
      <c r="IM247" t="e">
        <f>AND(#REF!,"AAAAAH+n9vY=")</f>
        <v>#REF!</v>
      </c>
      <c r="IN247" t="e">
        <f>AND(#REF!,"AAAAAH+n9vc=")</f>
        <v>#REF!</v>
      </c>
      <c r="IO247" t="e">
        <f>AND(#REF!,"AAAAAH+n9vg=")</f>
        <v>#REF!</v>
      </c>
      <c r="IP247" t="e">
        <f>AND(#REF!,"AAAAAH+n9vk=")</f>
        <v>#REF!</v>
      </c>
      <c r="IQ247" t="e">
        <f>AND(#REF!,"AAAAAH+n9vo=")</f>
        <v>#REF!</v>
      </c>
      <c r="IR247" t="e">
        <f>AND(#REF!,"AAAAAH+n9vs=")</f>
        <v>#REF!</v>
      </c>
      <c r="IS247" t="e">
        <f>AND(#REF!,"AAAAAH+n9vw=")</f>
        <v>#REF!</v>
      </c>
      <c r="IT247" t="e">
        <f>AND(#REF!,"AAAAAH+n9v0=")</f>
        <v>#REF!</v>
      </c>
      <c r="IU247" t="e">
        <f>AND(#REF!,"AAAAAH+n9v4=")</f>
        <v>#REF!</v>
      </c>
      <c r="IV247" t="e">
        <f>AND(#REF!,"AAAAAH+n9v8=")</f>
        <v>#REF!</v>
      </c>
    </row>
    <row r="248" spans="1:256" x14ac:dyDescent="0.2">
      <c r="A248" t="e">
        <f>AND(#REF!,"AAAAAH659QA=")</f>
        <v>#REF!</v>
      </c>
      <c r="B248" t="e">
        <f>AND(#REF!,"AAAAAH659QE=")</f>
        <v>#REF!</v>
      </c>
      <c r="C248" t="e">
        <f>AND(#REF!,"AAAAAH659QI=")</f>
        <v>#REF!</v>
      </c>
      <c r="D248" t="e">
        <f>IF(#REF!,"AAAAAH659QM=",0)</f>
        <v>#REF!</v>
      </c>
      <c r="E248" t="e">
        <f>AND(#REF!,"AAAAAH659QQ=")</f>
        <v>#REF!</v>
      </c>
      <c r="F248" t="e">
        <f>AND(#REF!,"AAAAAH659QU=")</f>
        <v>#REF!</v>
      </c>
      <c r="G248" t="e">
        <f>AND(#REF!,"AAAAAH659QY=")</f>
        <v>#REF!</v>
      </c>
      <c r="H248" t="e">
        <f>AND(#REF!,"AAAAAH659Qc=")</f>
        <v>#REF!</v>
      </c>
      <c r="I248" t="e">
        <f>AND(#REF!,"AAAAAH659Qg=")</f>
        <v>#REF!</v>
      </c>
      <c r="J248" t="e">
        <f>AND(#REF!,"AAAAAH659Qk=")</f>
        <v>#REF!</v>
      </c>
      <c r="K248" t="e">
        <f>AND(#REF!,"AAAAAH659Qo=")</f>
        <v>#REF!</v>
      </c>
      <c r="L248" t="e">
        <f>AND(#REF!,"AAAAAH659Qs=")</f>
        <v>#REF!</v>
      </c>
      <c r="M248" t="e">
        <f>AND(#REF!,"AAAAAH659Qw=")</f>
        <v>#REF!</v>
      </c>
      <c r="N248" t="e">
        <f>AND(#REF!,"AAAAAH659Q0=")</f>
        <v>#REF!</v>
      </c>
      <c r="O248" t="e">
        <f>AND(#REF!,"AAAAAH659Q4=")</f>
        <v>#REF!</v>
      </c>
      <c r="P248" t="e">
        <f>AND(#REF!,"AAAAAH659Q8=")</f>
        <v>#REF!</v>
      </c>
      <c r="Q248" t="e">
        <f>AND(#REF!,"AAAAAH659RA=")</f>
        <v>#REF!</v>
      </c>
      <c r="R248" t="e">
        <f>IF(#REF!,"AAAAAH659RE=",0)</f>
        <v>#REF!</v>
      </c>
      <c r="S248" t="e">
        <f>AND(#REF!,"AAAAAH659RI=")</f>
        <v>#REF!</v>
      </c>
      <c r="T248" t="e">
        <f>AND(#REF!,"AAAAAH659RM=")</f>
        <v>#REF!</v>
      </c>
      <c r="U248" t="e">
        <f>AND(#REF!,"AAAAAH659RQ=")</f>
        <v>#REF!</v>
      </c>
      <c r="V248" t="e">
        <f>AND(#REF!,"AAAAAH659RU=")</f>
        <v>#REF!</v>
      </c>
      <c r="W248" t="e">
        <f>AND(#REF!,"AAAAAH659RY=")</f>
        <v>#REF!</v>
      </c>
      <c r="X248" t="e">
        <f>AND(#REF!,"AAAAAH659Rc=")</f>
        <v>#REF!</v>
      </c>
      <c r="Y248" t="e">
        <f>AND(#REF!,"AAAAAH659Rg=")</f>
        <v>#REF!</v>
      </c>
      <c r="Z248" t="e">
        <f>AND(#REF!,"AAAAAH659Rk=")</f>
        <v>#REF!</v>
      </c>
      <c r="AA248" t="e">
        <f>AND(#REF!,"AAAAAH659Ro=")</f>
        <v>#REF!</v>
      </c>
      <c r="AB248" t="e">
        <f>AND(#REF!,"AAAAAH659Rs=")</f>
        <v>#REF!</v>
      </c>
      <c r="AC248" t="e">
        <f>AND(#REF!,"AAAAAH659Rw=")</f>
        <v>#REF!</v>
      </c>
      <c r="AD248" t="e">
        <f>AND(#REF!,"AAAAAH659R0=")</f>
        <v>#REF!</v>
      </c>
      <c r="AE248" t="e">
        <f>AND(#REF!,"AAAAAH659R4=")</f>
        <v>#REF!</v>
      </c>
      <c r="AF248" t="e">
        <f>IF(#REF!,"AAAAAH659R8=",0)</f>
        <v>#REF!</v>
      </c>
      <c r="AG248" t="e">
        <f>AND(#REF!,"AAAAAH659SA=")</f>
        <v>#REF!</v>
      </c>
      <c r="AH248" t="e">
        <f>AND(#REF!,"AAAAAH659SE=")</f>
        <v>#REF!</v>
      </c>
      <c r="AI248" t="e">
        <f>AND(#REF!,"AAAAAH659SI=")</f>
        <v>#REF!</v>
      </c>
      <c r="AJ248" t="e">
        <f>AND(#REF!,"AAAAAH659SM=")</f>
        <v>#REF!</v>
      </c>
      <c r="AK248" t="e">
        <f>AND(#REF!,"AAAAAH659SQ=")</f>
        <v>#REF!</v>
      </c>
      <c r="AL248" t="e">
        <f>AND(#REF!,"AAAAAH659SU=")</f>
        <v>#REF!</v>
      </c>
      <c r="AM248" t="e">
        <f>AND(#REF!,"AAAAAH659SY=")</f>
        <v>#REF!</v>
      </c>
      <c r="AN248" t="e">
        <f>AND(#REF!,"AAAAAH659Sc=")</f>
        <v>#REF!</v>
      </c>
      <c r="AO248" t="e">
        <f>AND(#REF!,"AAAAAH659Sg=")</f>
        <v>#REF!</v>
      </c>
      <c r="AP248" t="e">
        <f>AND(#REF!,"AAAAAH659Sk=")</f>
        <v>#REF!</v>
      </c>
      <c r="AQ248" t="e">
        <f>AND(#REF!,"AAAAAH659So=")</f>
        <v>#REF!</v>
      </c>
      <c r="AR248" t="e">
        <f>AND(#REF!,"AAAAAH659Ss=")</f>
        <v>#REF!</v>
      </c>
      <c r="AS248" t="e">
        <f>AND(#REF!,"AAAAAH659Sw=")</f>
        <v>#REF!</v>
      </c>
      <c r="AT248" t="e">
        <f>IF(#REF!,"AAAAAH659S0=",0)</f>
        <v>#REF!</v>
      </c>
      <c r="AU248" t="e">
        <f>AND(#REF!,"AAAAAH659S4=")</f>
        <v>#REF!</v>
      </c>
      <c r="AV248" t="e">
        <f>AND(#REF!,"AAAAAH659S8=")</f>
        <v>#REF!</v>
      </c>
      <c r="AW248" t="e">
        <f>AND(#REF!,"AAAAAH659TA=")</f>
        <v>#REF!</v>
      </c>
      <c r="AX248" t="e">
        <f>AND(#REF!,"AAAAAH659TE=")</f>
        <v>#REF!</v>
      </c>
      <c r="AY248" t="e">
        <f>AND(#REF!,"AAAAAH659TI=")</f>
        <v>#REF!</v>
      </c>
      <c r="AZ248" t="e">
        <f>AND(#REF!,"AAAAAH659TM=")</f>
        <v>#REF!</v>
      </c>
      <c r="BA248" t="e">
        <f>AND(#REF!,"AAAAAH659TQ=")</f>
        <v>#REF!</v>
      </c>
      <c r="BB248" t="e">
        <f>AND(#REF!,"AAAAAH659TU=")</f>
        <v>#REF!</v>
      </c>
      <c r="BC248" t="e">
        <f>AND(#REF!,"AAAAAH659TY=")</f>
        <v>#REF!</v>
      </c>
      <c r="BD248" t="e">
        <f>AND(#REF!,"AAAAAH659Tc=")</f>
        <v>#REF!</v>
      </c>
      <c r="BE248" t="e">
        <f>AND(#REF!,"AAAAAH659Tg=")</f>
        <v>#REF!</v>
      </c>
      <c r="BF248" t="e">
        <f>AND(#REF!,"AAAAAH659Tk=")</f>
        <v>#REF!</v>
      </c>
      <c r="BG248" t="e">
        <f>AND(#REF!,"AAAAAH659To=")</f>
        <v>#REF!</v>
      </c>
      <c r="BH248" t="e">
        <f>IF(#REF!,"AAAAAH659Ts=",0)</f>
        <v>#REF!</v>
      </c>
      <c r="BI248" t="e">
        <f>AND(#REF!,"AAAAAH659Tw=")</f>
        <v>#REF!</v>
      </c>
      <c r="BJ248" t="e">
        <f>AND(#REF!,"AAAAAH659T0=")</f>
        <v>#REF!</v>
      </c>
      <c r="BK248" t="e">
        <f>AND(#REF!,"AAAAAH659T4=")</f>
        <v>#REF!</v>
      </c>
      <c r="BL248" t="e">
        <f>AND(#REF!,"AAAAAH659T8=")</f>
        <v>#REF!</v>
      </c>
      <c r="BM248" t="e">
        <f>AND(#REF!,"AAAAAH659UA=")</f>
        <v>#REF!</v>
      </c>
      <c r="BN248" t="e">
        <f>AND(#REF!,"AAAAAH659UE=")</f>
        <v>#REF!</v>
      </c>
      <c r="BO248" t="e">
        <f>AND(#REF!,"AAAAAH659UI=")</f>
        <v>#REF!</v>
      </c>
      <c r="BP248" t="e">
        <f>AND(#REF!,"AAAAAH659UM=")</f>
        <v>#REF!</v>
      </c>
      <c r="BQ248" t="e">
        <f>AND(#REF!,"AAAAAH659UQ=")</f>
        <v>#REF!</v>
      </c>
      <c r="BR248" t="e">
        <f>AND(#REF!,"AAAAAH659UU=")</f>
        <v>#REF!</v>
      </c>
      <c r="BS248" t="e">
        <f>AND(#REF!,"AAAAAH659UY=")</f>
        <v>#REF!</v>
      </c>
      <c r="BT248" t="e">
        <f>AND(#REF!,"AAAAAH659Uc=")</f>
        <v>#REF!</v>
      </c>
      <c r="BU248" t="e">
        <f>AND(#REF!,"AAAAAH659Ug=")</f>
        <v>#REF!</v>
      </c>
      <c r="BV248" t="e">
        <f>IF(#REF!,"AAAAAH659Uk=",0)</f>
        <v>#REF!</v>
      </c>
      <c r="BW248" t="e">
        <f>AND(#REF!,"AAAAAH659Uo=")</f>
        <v>#REF!</v>
      </c>
      <c r="BX248" t="e">
        <f>AND(#REF!,"AAAAAH659Us=")</f>
        <v>#REF!</v>
      </c>
      <c r="BY248" t="e">
        <f>AND(#REF!,"AAAAAH659Uw=")</f>
        <v>#REF!</v>
      </c>
      <c r="BZ248" t="e">
        <f>AND(#REF!,"AAAAAH659U0=")</f>
        <v>#REF!</v>
      </c>
      <c r="CA248" t="e">
        <f>AND(#REF!,"AAAAAH659U4=")</f>
        <v>#REF!</v>
      </c>
      <c r="CB248" t="e">
        <f>AND(#REF!,"AAAAAH659U8=")</f>
        <v>#REF!</v>
      </c>
      <c r="CC248" t="e">
        <f>AND(#REF!,"AAAAAH659VA=")</f>
        <v>#REF!</v>
      </c>
      <c r="CD248" t="e">
        <f>AND(#REF!,"AAAAAH659VE=")</f>
        <v>#REF!</v>
      </c>
      <c r="CE248" t="e">
        <f>AND(#REF!,"AAAAAH659VI=")</f>
        <v>#REF!</v>
      </c>
      <c r="CF248" t="e">
        <f>AND(#REF!,"AAAAAH659VM=")</f>
        <v>#REF!</v>
      </c>
      <c r="CG248" t="e">
        <f>AND(#REF!,"AAAAAH659VQ=")</f>
        <v>#REF!</v>
      </c>
      <c r="CH248" t="e">
        <f>AND(#REF!,"AAAAAH659VU=")</f>
        <v>#REF!</v>
      </c>
      <c r="CI248" t="e">
        <f>AND(#REF!,"AAAAAH659VY=")</f>
        <v>#REF!</v>
      </c>
      <c r="CJ248" t="e">
        <f>IF(#REF!,"AAAAAH659Vc=",0)</f>
        <v>#REF!</v>
      </c>
      <c r="CK248" t="e">
        <f>AND(#REF!,"AAAAAH659Vg=")</f>
        <v>#REF!</v>
      </c>
      <c r="CL248" t="e">
        <f>AND(#REF!,"AAAAAH659Vk=")</f>
        <v>#REF!</v>
      </c>
      <c r="CM248" t="e">
        <f>AND(#REF!,"AAAAAH659Vo=")</f>
        <v>#REF!</v>
      </c>
      <c r="CN248" t="e">
        <f>AND(#REF!,"AAAAAH659Vs=")</f>
        <v>#REF!</v>
      </c>
      <c r="CO248" t="e">
        <f>AND(#REF!,"AAAAAH659Vw=")</f>
        <v>#REF!</v>
      </c>
      <c r="CP248" t="e">
        <f>AND(#REF!,"AAAAAH659V0=")</f>
        <v>#REF!</v>
      </c>
      <c r="CQ248" t="e">
        <f>AND(#REF!,"AAAAAH659V4=")</f>
        <v>#REF!</v>
      </c>
      <c r="CR248" t="e">
        <f>AND(#REF!,"AAAAAH659V8=")</f>
        <v>#REF!</v>
      </c>
      <c r="CS248" t="e">
        <f>AND(#REF!,"AAAAAH659WA=")</f>
        <v>#REF!</v>
      </c>
      <c r="CT248" t="e">
        <f>AND(#REF!,"AAAAAH659WE=")</f>
        <v>#REF!</v>
      </c>
      <c r="CU248" t="e">
        <f>AND(#REF!,"AAAAAH659WI=")</f>
        <v>#REF!</v>
      </c>
      <c r="CV248" t="e">
        <f>AND(#REF!,"AAAAAH659WM=")</f>
        <v>#REF!</v>
      </c>
      <c r="CW248" t="e">
        <f>AND(#REF!,"AAAAAH659WQ=")</f>
        <v>#REF!</v>
      </c>
      <c r="CX248" t="e">
        <f>IF(#REF!,"AAAAAH659WU=",0)</f>
        <v>#REF!</v>
      </c>
      <c r="CY248" t="e">
        <f>AND(#REF!,"AAAAAH659WY=")</f>
        <v>#REF!</v>
      </c>
      <c r="CZ248" t="e">
        <f>AND(#REF!,"AAAAAH659Wc=")</f>
        <v>#REF!</v>
      </c>
      <c r="DA248" t="e">
        <f>AND(#REF!,"AAAAAH659Wg=")</f>
        <v>#REF!</v>
      </c>
      <c r="DB248" t="e">
        <f>AND(#REF!,"AAAAAH659Wk=")</f>
        <v>#REF!</v>
      </c>
      <c r="DC248" t="e">
        <f>AND(#REF!,"AAAAAH659Wo=")</f>
        <v>#REF!</v>
      </c>
      <c r="DD248" t="e">
        <f>AND(#REF!,"AAAAAH659Ws=")</f>
        <v>#REF!</v>
      </c>
      <c r="DE248" t="e">
        <f>AND(#REF!,"AAAAAH659Ww=")</f>
        <v>#REF!</v>
      </c>
      <c r="DF248" t="e">
        <f>AND(#REF!,"AAAAAH659W0=")</f>
        <v>#REF!</v>
      </c>
      <c r="DG248" t="e">
        <f>AND(#REF!,"AAAAAH659W4=")</f>
        <v>#REF!</v>
      </c>
      <c r="DH248" t="e">
        <f>AND(#REF!,"AAAAAH659W8=")</f>
        <v>#REF!</v>
      </c>
      <c r="DI248" t="e">
        <f>AND(#REF!,"AAAAAH659XA=")</f>
        <v>#REF!</v>
      </c>
      <c r="DJ248" t="e">
        <f>AND(#REF!,"AAAAAH659XE=")</f>
        <v>#REF!</v>
      </c>
      <c r="DK248" t="e">
        <f>AND(#REF!,"AAAAAH659XI=")</f>
        <v>#REF!</v>
      </c>
      <c r="DL248" t="e">
        <f>IF(#REF!,"AAAAAH659XM=",0)</f>
        <v>#REF!</v>
      </c>
      <c r="DM248" t="e">
        <f>AND(#REF!,"AAAAAH659XQ=")</f>
        <v>#REF!</v>
      </c>
      <c r="DN248" t="e">
        <f>AND(#REF!,"AAAAAH659XU=")</f>
        <v>#REF!</v>
      </c>
      <c r="DO248" t="e">
        <f>AND(#REF!,"AAAAAH659XY=")</f>
        <v>#REF!</v>
      </c>
      <c r="DP248" t="e">
        <f>AND(#REF!,"AAAAAH659Xc=")</f>
        <v>#REF!</v>
      </c>
      <c r="DQ248" t="e">
        <f>AND(#REF!,"AAAAAH659Xg=")</f>
        <v>#REF!</v>
      </c>
      <c r="DR248" t="e">
        <f>AND(#REF!,"AAAAAH659Xk=")</f>
        <v>#REF!</v>
      </c>
      <c r="DS248" t="e">
        <f>AND(#REF!,"AAAAAH659Xo=")</f>
        <v>#REF!</v>
      </c>
      <c r="DT248" t="e">
        <f>AND(#REF!,"AAAAAH659Xs=")</f>
        <v>#REF!</v>
      </c>
      <c r="DU248" t="e">
        <f>AND(#REF!,"AAAAAH659Xw=")</f>
        <v>#REF!</v>
      </c>
      <c r="DV248" t="e">
        <f>AND(#REF!,"AAAAAH659X0=")</f>
        <v>#REF!</v>
      </c>
      <c r="DW248" t="e">
        <f>AND(#REF!,"AAAAAH659X4=")</f>
        <v>#REF!</v>
      </c>
      <c r="DX248" t="e">
        <f>AND(#REF!,"AAAAAH659X8=")</f>
        <v>#REF!</v>
      </c>
      <c r="DY248" t="e">
        <f>AND(#REF!,"AAAAAH659YA=")</f>
        <v>#REF!</v>
      </c>
      <c r="DZ248" t="e">
        <f>IF(#REF!,"AAAAAH659YE=",0)</f>
        <v>#REF!</v>
      </c>
      <c r="EA248" t="e">
        <f>AND(#REF!,"AAAAAH659YI=")</f>
        <v>#REF!</v>
      </c>
      <c r="EB248" t="e">
        <f>AND(#REF!,"AAAAAH659YM=")</f>
        <v>#REF!</v>
      </c>
      <c r="EC248" t="e">
        <f>AND(#REF!,"AAAAAH659YQ=")</f>
        <v>#REF!</v>
      </c>
      <c r="ED248" t="e">
        <f>AND(#REF!,"AAAAAH659YU=")</f>
        <v>#REF!</v>
      </c>
      <c r="EE248" t="e">
        <f>AND(#REF!,"AAAAAH659YY=")</f>
        <v>#REF!</v>
      </c>
      <c r="EF248" t="e">
        <f>AND(#REF!,"AAAAAH659Yc=")</f>
        <v>#REF!</v>
      </c>
      <c r="EG248" t="e">
        <f>AND(#REF!,"AAAAAH659Yg=")</f>
        <v>#REF!</v>
      </c>
      <c r="EH248" t="e">
        <f>AND(#REF!,"AAAAAH659Yk=")</f>
        <v>#REF!</v>
      </c>
      <c r="EI248" t="e">
        <f>AND(#REF!,"AAAAAH659Yo=")</f>
        <v>#REF!</v>
      </c>
      <c r="EJ248" t="e">
        <f>AND(#REF!,"AAAAAH659Ys=")</f>
        <v>#REF!</v>
      </c>
      <c r="EK248" t="e">
        <f>AND(#REF!,"AAAAAH659Yw=")</f>
        <v>#REF!</v>
      </c>
      <c r="EL248" t="e">
        <f>AND(#REF!,"AAAAAH659Y0=")</f>
        <v>#REF!</v>
      </c>
      <c r="EM248" t="e">
        <f>AND(#REF!,"AAAAAH659Y4=")</f>
        <v>#REF!</v>
      </c>
      <c r="EN248" t="e">
        <f>IF(#REF!,"AAAAAH659Y8=",0)</f>
        <v>#REF!</v>
      </c>
      <c r="EO248" t="e">
        <f>AND(#REF!,"AAAAAH659ZA=")</f>
        <v>#REF!</v>
      </c>
      <c r="EP248" t="e">
        <f>AND(#REF!,"AAAAAH659ZE=")</f>
        <v>#REF!</v>
      </c>
      <c r="EQ248" t="e">
        <f>AND(#REF!,"AAAAAH659ZI=")</f>
        <v>#REF!</v>
      </c>
      <c r="ER248" t="e">
        <f>AND(#REF!,"AAAAAH659ZM=")</f>
        <v>#REF!</v>
      </c>
      <c r="ES248" t="e">
        <f>AND(#REF!,"AAAAAH659ZQ=")</f>
        <v>#REF!</v>
      </c>
      <c r="ET248" t="e">
        <f>AND(#REF!,"AAAAAH659ZU=")</f>
        <v>#REF!</v>
      </c>
      <c r="EU248" t="e">
        <f>AND(#REF!,"AAAAAH659ZY=")</f>
        <v>#REF!</v>
      </c>
      <c r="EV248" t="e">
        <f>AND(#REF!,"AAAAAH659Zc=")</f>
        <v>#REF!</v>
      </c>
      <c r="EW248" t="e">
        <f>AND(#REF!,"AAAAAH659Zg=")</f>
        <v>#REF!</v>
      </c>
      <c r="EX248" t="e">
        <f>AND(#REF!,"AAAAAH659Zk=")</f>
        <v>#REF!</v>
      </c>
      <c r="EY248" t="e">
        <f>AND(#REF!,"AAAAAH659Zo=")</f>
        <v>#REF!</v>
      </c>
      <c r="EZ248" t="e">
        <f>AND(#REF!,"AAAAAH659Zs=")</f>
        <v>#REF!</v>
      </c>
      <c r="FA248" t="e">
        <f>AND(#REF!,"AAAAAH659Zw=")</f>
        <v>#REF!</v>
      </c>
      <c r="FB248" t="e">
        <f>IF(#REF!,"AAAAAH659Z0=",0)</f>
        <v>#REF!</v>
      </c>
      <c r="FC248" t="e">
        <f>AND(#REF!,"AAAAAH659Z4=")</f>
        <v>#REF!</v>
      </c>
      <c r="FD248" t="e">
        <f>AND(#REF!,"AAAAAH659Z8=")</f>
        <v>#REF!</v>
      </c>
      <c r="FE248" t="e">
        <f>AND(#REF!,"AAAAAH659aA=")</f>
        <v>#REF!</v>
      </c>
      <c r="FF248" t="e">
        <f>AND(#REF!,"AAAAAH659aE=")</f>
        <v>#REF!</v>
      </c>
      <c r="FG248" t="e">
        <f>AND(#REF!,"AAAAAH659aI=")</f>
        <v>#REF!</v>
      </c>
      <c r="FH248" t="e">
        <f>AND(#REF!,"AAAAAH659aM=")</f>
        <v>#REF!</v>
      </c>
      <c r="FI248" t="e">
        <f>AND(#REF!,"AAAAAH659aQ=")</f>
        <v>#REF!</v>
      </c>
      <c r="FJ248" t="e">
        <f>AND(#REF!,"AAAAAH659aU=")</f>
        <v>#REF!</v>
      </c>
      <c r="FK248" t="e">
        <f>AND(#REF!,"AAAAAH659aY=")</f>
        <v>#REF!</v>
      </c>
      <c r="FL248" t="e">
        <f>AND(#REF!,"AAAAAH659ac=")</f>
        <v>#REF!</v>
      </c>
      <c r="FM248" t="e">
        <f>AND(#REF!,"AAAAAH659ag=")</f>
        <v>#REF!</v>
      </c>
      <c r="FN248" t="e">
        <f>AND(#REF!,"AAAAAH659ak=")</f>
        <v>#REF!</v>
      </c>
      <c r="FO248" t="e">
        <f>AND(#REF!,"AAAAAH659ao=")</f>
        <v>#REF!</v>
      </c>
      <c r="FP248" t="e">
        <f>IF(#REF!,"AAAAAH659as=",0)</f>
        <v>#REF!</v>
      </c>
      <c r="FQ248" t="e">
        <f>AND(#REF!,"AAAAAH659aw=")</f>
        <v>#REF!</v>
      </c>
      <c r="FR248" t="e">
        <f>AND(#REF!,"AAAAAH659a0=")</f>
        <v>#REF!</v>
      </c>
      <c r="FS248" t="e">
        <f>AND(#REF!,"AAAAAH659a4=")</f>
        <v>#REF!</v>
      </c>
      <c r="FT248" t="e">
        <f>AND(#REF!,"AAAAAH659a8=")</f>
        <v>#REF!</v>
      </c>
      <c r="FU248" t="e">
        <f>AND(#REF!,"AAAAAH659bA=")</f>
        <v>#REF!</v>
      </c>
      <c r="FV248" t="e">
        <f>AND(#REF!,"AAAAAH659bE=")</f>
        <v>#REF!</v>
      </c>
      <c r="FW248" t="e">
        <f>AND(#REF!,"AAAAAH659bI=")</f>
        <v>#REF!</v>
      </c>
      <c r="FX248" t="e">
        <f>AND(#REF!,"AAAAAH659bM=")</f>
        <v>#REF!</v>
      </c>
      <c r="FY248" t="e">
        <f>AND(#REF!,"AAAAAH659bQ=")</f>
        <v>#REF!</v>
      </c>
      <c r="FZ248" t="e">
        <f>AND(#REF!,"AAAAAH659bU=")</f>
        <v>#REF!</v>
      </c>
      <c r="GA248" t="e">
        <f>AND(#REF!,"AAAAAH659bY=")</f>
        <v>#REF!</v>
      </c>
      <c r="GB248" t="e">
        <f>AND(#REF!,"AAAAAH659bc=")</f>
        <v>#REF!</v>
      </c>
      <c r="GC248" t="e">
        <f>AND(#REF!,"AAAAAH659bg=")</f>
        <v>#REF!</v>
      </c>
      <c r="GD248" t="e">
        <f>IF(#REF!,"AAAAAH659bk=",0)</f>
        <v>#REF!</v>
      </c>
      <c r="GE248" t="e">
        <f>AND(#REF!,"AAAAAH659bo=")</f>
        <v>#REF!</v>
      </c>
      <c r="GF248" t="e">
        <f>AND(#REF!,"AAAAAH659bs=")</f>
        <v>#REF!</v>
      </c>
      <c r="GG248" t="e">
        <f>AND(#REF!,"AAAAAH659bw=")</f>
        <v>#REF!</v>
      </c>
      <c r="GH248" t="e">
        <f>AND(#REF!,"AAAAAH659b0=")</f>
        <v>#REF!</v>
      </c>
      <c r="GI248" t="e">
        <f>AND(#REF!,"AAAAAH659b4=")</f>
        <v>#REF!</v>
      </c>
      <c r="GJ248" t="e">
        <f>AND(#REF!,"AAAAAH659b8=")</f>
        <v>#REF!</v>
      </c>
      <c r="GK248" t="e">
        <f>AND(#REF!,"AAAAAH659cA=")</f>
        <v>#REF!</v>
      </c>
      <c r="GL248" t="e">
        <f>AND(#REF!,"AAAAAH659cE=")</f>
        <v>#REF!</v>
      </c>
      <c r="GM248" t="e">
        <f>AND(#REF!,"AAAAAH659cI=")</f>
        <v>#REF!</v>
      </c>
      <c r="GN248" t="e">
        <f>AND(#REF!,"AAAAAH659cM=")</f>
        <v>#REF!</v>
      </c>
      <c r="GO248" t="e">
        <f>AND(#REF!,"AAAAAH659cQ=")</f>
        <v>#REF!</v>
      </c>
      <c r="GP248" t="e">
        <f>AND(#REF!,"AAAAAH659cU=")</f>
        <v>#REF!</v>
      </c>
      <c r="GQ248" t="e">
        <f>AND(#REF!,"AAAAAH659cY=")</f>
        <v>#REF!</v>
      </c>
      <c r="GR248" t="e">
        <f>IF(#REF!,"AAAAAH659cc=",0)</f>
        <v>#REF!</v>
      </c>
      <c r="GS248" t="e">
        <f>AND(#REF!,"AAAAAH659cg=")</f>
        <v>#REF!</v>
      </c>
      <c r="GT248" t="e">
        <f>AND(#REF!,"AAAAAH659ck=")</f>
        <v>#REF!</v>
      </c>
      <c r="GU248" t="e">
        <f>AND(#REF!,"AAAAAH659co=")</f>
        <v>#REF!</v>
      </c>
      <c r="GV248" t="e">
        <f>AND(#REF!,"AAAAAH659cs=")</f>
        <v>#REF!</v>
      </c>
      <c r="GW248" t="e">
        <f>AND(#REF!,"AAAAAH659cw=")</f>
        <v>#REF!</v>
      </c>
      <c r="GX248" t="e">
        <f>AND(#REF!,"AAAAAH659c0=")</f>
        <v>#REF!</v>
      </c>
      <c r="GY248" t="e">
        <f>AND(#REF!,"AAAAAH659c4=")</f>
        <v>#REF!</v>
      </c>
      <c r="GZ248" t="e">
        <f>AND(#REF!,"AAAAAH659c8=")</f>
        <v>#REF!</v>
      </c>
      <c r="HA248" t="e">
        <f>AND(#REF!,"AAAAAH659dA=")</f>
        <v>#REF!</v>
      </c>
      <c r="HB248" t="e">
        <f>AND(#REF!,"AAAAAH659dE=")</f>
        <v>#REF!</v>
      </c>
      <c r="HC248" t="e">
        <f>AND(#REF!,"AAAAAH659dI=")</f>
        <v>#REF!</v>
      </c>
      <c r="HD248" t="e">
        <f>AND(#REF!,"AAAAAH659dM=")</f>
        <v>#REF!</v>
      </c>
      <c r="HE248" t="e">
        <f>AND(#REF!,"AAAAAH659dQ=")</f>
        <v>#REF!</v>
      </c>
      <c r="HF248" t="e">
        <f>IF(#REF!,"AAAAAH659dU=",0)</f>
        <v>#REF!</v>
      </c>
      <c r="HG248" t="e">
        <f>AND(#REF!,"AAAAAH659dY=")</f>
        <v>#REF!</v>
      </c>
      <c r="HH248" t="e">
        <f>AND(#REF!,"AAAAAH659dc=")</f>
        <v>#REF!</v>
      </c>
      <c r="HI248" t="e">
        <f>AND(#REF!,"AAAAAH659dg=")</f>
        <v>#REF!</v>
      </c>
      <c r="HJ248" t="e">
        <f>AND(#REF!,"AAAAAH659dk=")</f>
        <v>#REF!</v>
      </c>
      <c r="HK248" t="e">
        <f>AND(#REF!,"AAAAAH659do=")</f>
        <v>#REF!</v>
      </c>
      <c r="HL248" t="e">
        <f>AND(#REF!,"AAAAAH659ds=")</f>
        <v>#REF!</v>
      </c>
      <c r="HM248" t="e">
        <f>AND(#REF!,"AAAAAH659dw=")</f>
        <v>#REF!</v>
      </c>
      <c r="HN248" t="e">
        <f>AND(#REF!,"AAAAAH659d0=")</f>
        <v>#REF!</v>
      </c>
      <c r="HO248" t="e">
        <f>AND(#REF!,"AAAAAH659d4=")</f>
        <v>#REF!</v>
      </c>
      <c r="HP248" t="e">
        <f>AND(#REF!,"AAAAAH659d8=")</f>
        <v>#REF!</v>
      </c>
      <c r="HQ248" t="e">
        <f>AND(#REF!,"AAAAAH659eA=")</f>
        <v>#REF!</v>
      </c>
      <c r="HR248" t="e">
        <f>AND(#REF!,"AAAAAH659eE=")</f>
        <v>#REF!</v>
      </c>
      <c r="HS248" t="e">
        <f>AND(#REF!,"AAAAAH659eI=")</f>
        <v>#REF!</v>
      </c>
      <c r="HT248" t="e">
        <f>IF(#REF!,"AAAAAH659eM=",0)</f>
        <v>#REF!</v>
      </c>
      <c r="HU248" t="e">
        <f>AND(#REF!,"AAAAAH659eQ=")</f>
        <v>#REF!</v>
      </c>
      <c r="HV248" t="e">
        <f>AND(#REF!,"AAAAAH659eU=")</f>
        <v>#REF!</v>
      </c>
      <c r="HW248" t="e">
        <f>AND(#REF!,"AAAAAH659eY=")</f>
        <v>#REF!</v>
      </c>
      <c r="HX248" t="e">
        <f>AND(#REF!,"AAAAAH659ec=")</f>
        <v>#REF!</v>
      </c>
      <c r="HY248" t="e">
        <f>AND(#REF!,"AAAAAH659eg=")</f>
        <v>#REF!</v>
      </c>
      <c r="HZ248" t="e">
        <f>AND(#REF!,"AAAAAH659ek=")</f>
        <v>#REF!</v>
      </c>
      <c r="IA248" t="e">
        <f>AND(#REF!,"AAAAAH659eo=")</f>
        <v>#REF!</v>
      </c>
      <c r="IB248" t="e">
        <f>AND(#REF!,"AAAAAH659es=")</f>
        <v>#REF!</v>
      </c>
      <c r="IC248" t="e">
        <f>AND(#REF!,"AAAAAH659ew=")</f>
        <v>#REF!</v>
      </c>
      <c r="ID248" t="e">
        <f>AND(#REF!,"AAAAAH659e0=")</f>
        <v>#REF!</v>
      </c>
      <c r="IE248" t="e">
        <f>AND(#REF!,"AAAAAH659e4=")</f>
        <v>#REF!</v>
      </c>
      <c r="IF248" t="e">
        <f>AND(#REF!,"AAAAAH659e8=")</f>
        <v>#REF!</v>
      </c>
      <c r="IG248" t="e">
        <f>AND(#REF!,"AAAAAH659fA=")</f>
        <v>#REF!</v>
      </c>
      <c r="IH248" t="e">
        <f>IF(#REF!,"AAAAAH659fE=",0)</f>
        <v>#REF!</v>
      </c>
      <c r="II248" t="e">
        <f>AND(#REF!,"AAAAAH659fI=")</f>
        <v>#REF!</v>
      </c>
      <c r="IJ248" t="e">
        <f>AND(#REF!,"AAAAAH659fM=")</f>
        <v>#REF!</v>
      </c>
      <c r="IK248" t="e">
        <f>AND(#REF!,"AAAAAH659fQ=")</f>
        <v>#REF!</v>
      </c>
      <c r="IL248" t="e">
        <f>AND(#REF!,"AAAAAH659fU=")</f>
        <v>#REF!</v>
      </c>
      <c r="IM248" t="e">
        <f>AND(#REF!,"AAAAAH659fY=")</f>
        <v>#REF!</v>
      </c>
      <c r="IN248" t="e">
        <f>AND(#REF!,"AAAAAH659fc=")</f>
        <v>#REF!</v>
      </c>
      <c r="IO248" t="e">
        <f>AND(#REF!,"AAAAAH659fg=")</f>
        <v>#REF!</v>
      </c>
      <c r="IP248" t="e">
        <f>AND(#REF!,"AAAAAH659fk=")</f>
        <v>#REF!</v>
      </c>
      <c r="IQ248" t="e">
        <f>AND(#REF!,"AAAAAH659fo=")</f>
        <v>#REF!</v>
      </c>
      <c r="IR248" t="e">
        <f>AND(#REF!,"AAAAAH659fs=")</f>
        <v>#REF!</v>
      </c>
      <c r="IS248" t="e">
        <f>AND(#REF!,"AAAAAH659fw=")</f>
        <v>#REF!</v>
      </c>
      <c r="IT248" t="e">
        <f>AND(#REF!,"AAAAAH659f0=")</f>
        <v>#REF!</v>
      </c>
      <c r="IU248" t="e">
        <f>AND(#REF!,"AAAAAH659f4=")</f>
        <v>#REF!</v>
      </c>
      <c r="IV248" t="e">
        <f>IF(#REF!,"AAAAAH659f8=",0)</f>
        <v>#REF!</v>
      </c>
    </row>
    <row r="249" spans="1:256" x14ac:dyDescent="0.2">
      <c r="A249" t="e">
        <f>AND(#REF!,"AAAAAGvvmwA=")</f>
        <v>#REF!</v>
      </c>
      <c r="B249" t="e">
        <f>AND(#REF!,"AAAAAGvvmwE=")</f>
        <v>#REF!</v>
      </c>
      <c r="C249" t="e">
        <f>AND(#REF!,"AAAAAGvvmwI=")</f>
        <v>#REF!</v>
      </c>
      <c r="D249" t="e">
        <f>AND(#REF!,"AAAAAGvvmwM=")</f>
        <v>#REF!</v>
      </c>
      <c r="E249" t="e">
        <f>AND(#REF!,"AAAAAGvvmwQ=")</f>
        <v>#REF!</v>
      </c>
      <c r="F249" t="e">
        <f>AND(#REF!,"AAAAAGvvmwU=")</f>
        <v>#REF!</v>
      </c>
      <c r="G249" t="e">
        <f>AND(#REF!,"AAAAAGvvmwY=")</f>
        <v>#REF!</v>
      </c>
      <c r="H249" t="e">
        <f>AND(#REF!,"AAAAAGvvmwc=")</f>
        <v>#REF!</v>
      </c>
      <c r="I249" t="e">
        <f>AND(#REF!,"AAAAAGvvmwg=")</f>
        <v>#REF!</v>
      </c>
      <c r="J249" t="e">
        <f>AND(#REF!,"AAAAAGvvmwk=")</f>
        <v>#REF!</v>
      </c>
      <c r="K249" t="e">
        <f>AND(#REF!,"AAAAAGvvmwo=")</f>
        <v>#REF!</v>
      </c>
      <c r="L249" t="e">
        <f>AND(#REF!,"AAAAAGvvmws=")</f>
        <v>#REF!</v>
      </c>
      <c r="M249" t="e">
        <f>AND(#REF!,"AAAAAGvvmww=")</f>
        <v>#REF!</v>
      </c>
      <c r="N249" t="e">
        <f>IF(#REF!,"AAAAAGvvmw0=",0)</f>
        <v>#REF!</v>
      </c>
      <c r="O249" t="e">
        <f>AND(#REF!,"AAAAAGvvmw4=")</f>
        <v>#REF!</v>
      </c>
      <c r="P249" t="e">
        <f>AND(#REF!,"AAAAAGvvmw8=")</f>
        <v>#REF!</v>
      </c>
      <c r="Q249" t="e">
        <f>AND(#REF!,"AAAAAGvvmxA=")</f>
        <v>#REF!</v>
      </c>
      <c r="R249" t="e">
        <f>AND(#REF!,"AAAAAGvvmxE=")</f>
        <v>#REF!</v>
      </c>
      <c r="S249" t="e">
        <f>AND(#REF!,"AAAAAGvvmxI=")</f>
        <v>#REF!</v>
      </c>
      <c r="T249" t="e">
        <f>AND(#REF!,"AAAAAGvvmxM=")</f>
        <v>#REF!</v>
      </c>
      <c r="U249" t="e">
        <f>AND(#REF!,"AAAAAGvvmxQ=")</f>
        <v>#REF!</v>
      </c>
      <c r="V249" t="e">
        <f>AND(#REF!,"AAAAAGvvmxU=")</f>
        <v>#REF!</v>
      </c>
      <c r="W249" t="e">
        <f>AND(#REF!,"AAAAAGvvmxY=")</f>
        <v>#REF!</v>
      </c>
      <c r="X249" t="e">
        <f>AND(#REF!,"AAAAAGvvmxc=")</f>
        <v>#REF!</v>
      </c>
      <c r="Y249" t="e">
        <f>AND(#REF!,"AAAAAGvvmxg=")</f>
        <v>#REF!</v>
      </c>
      <c r="Z249" t="e">
        <f>AND(#REF!,"AAAAAGvvmxk=")</f>
        <v>#REF!</v>
      </c>
      <c r="AA249" t="e">
        <f>AND(#REF!,"AAAAAGvvmxo=")</f>
        <v>#REF!</v>
      </c>
      <c r="AB249" t="e">
        <f>IF(#REF!,"AAAAAGvvmxs=",0)</f>
        <v>#REF!</v>
      </c>
      <c r="AC249" t="e">
        <f>AND(#REF!,"AAAAAGvvmxw=")</f>
        <v>#REF!</v>
      </c>
      <c r="AD249" t="e">
        <f>AND(#REF!,"AAAAAGvvmx0=")</f>
        <v>#REF!</v>
      </c>
      <c r="AE249" t="e">
        <f>AND(#REF!,"AAAAAGvvmx4=")</f>
        <v>#REF!</v>
      </c>
      <c r="AF249" t="e">
        <f>AND(#REF!,"AAAAAGvvmx8=")</f>
        <v>#REF!</v>
      </c>
      <c r="AG249" t="e">
        <f>AND(#REF!,"AAAAAGvvmyA=")</f>
        <v>#REF!</v>
      </c>
      <c r="AH249" t="e">
        <f>AND(#REF!,"AAAAAGvvmyE=")</f>
        <v>#REF!</v>
      </c>
      <c r="AI249" t="e">
        <f>AND(#REF!,"AAAAAGvvmyI=")</f>
        <v>#REF!</v>
      </c>
      <c r="AJ249" t="e">
        <f>AND(#REF!,"AAAAAGvvmyM=")</f>
        <v>#REF!</v>
      </c>
      <c r="AK249" t="e">
        <f>AND(#REF!,"AAAAAGvvmyQ=")</f>
        <v>#REF!</v>
      </c>
      <c r="AL249" t="e">
        <f>AND(#REF!,"AAAAAGvvmyU=")</f>
        <v>#REF!</v>
      </c>
      <c r="AM249" t="e">
        <f>AND(#REF!,"AAAAAGvvmyY=")</f>
        <v>#REF!</v>
      </c>
      <c r="AN249" t="e">
        <f>AND(#REF!,"AAAAAGvvmyc=")</f>
        <v>#REF!</v>
      </c>
      <c r="AO249" t="e">
        <f>AND(#REF!,"AAAAAGvvmyg=")</f>
        <v>#REF!</v>
      </c>
      <c r="AP249" t="e">
        <f>IF(#REF!,"AAAAAGvvmyk=",0)</f>
        <v>#REF!</v>
      </c>
      <c r="AQ249" t="e">
        <f>AND(#REF!,"AAAAAGvvmyo=")</f>
        <v>#REF!</v>
      </c>
      <c r="AR249" t="e">
        <f>AND(#REF!,"AAAAAGvvmys=")</f>
        <v>#REF!</v>
      </c>
      <c r="AS249" t="e">
        <f>AND(#REF!,"AAAAAGvvmyw=")</f>
        <v>#REF!</v>
      </c>
      <c r="AT249" t="e">
        <f>AND(#REF!,"AAAAAGvvmy0=")</f>
        <v>#REF!</v>
      </c>
      <c r="AU249" t="e">
        <f>AND(#REF!,"AAAAAGvvmy4=")</f>
        <v>#REF!</v>
      </c>
      <c r="AV249" t="e">
        <f>AND(#REF!,"AAAAAGvvmy8=")</f>
        <v>#REF!</v>
      </c>
      <c r="AW249" t="e">
        <f>AND(#REF!,"AAAAAGvvmzA=")</f>
        <v>#REF!</v>
      </c>
      <c r="AX249" t="e">
        <f>AND(#REF!,"AAAAAGvvmzE=")</f>
        <v>#REF!</v>
      </c>
      <c r="AY249" t="e">
        <f>AND(#REF!,"AAAAAGvvmzI=")</f>
        <v>#REF!</v>
      </c>
      <c r="AZ249" t="e">
        <f>AND(#REF!,"AAAAAGvvmzM=")</f>
        <v>#REF!</v>
      </c>
      <c r="BA249" t="e">
        <f>AND(#REF!,"AAAAAGvvmzQ=")</f>
        <v>#REF!</v>
      </c>
      <c r="BB249" t="e">
        <f>AND(#REF!,"AAAAAGvvmzU=")</f>
        <v>#REF!</v>
      </c>
      <c r="BC249" t="e">
        <f>AND(#REF!,"AAAAAGvvmzY=")</f>
        <v>#REF!</v>
      </c>
      <c r="BD249" t="e">
        <f>IF(#REF!,"AAAAAGvvmzc=",0)</f>
        <v>#REF!</v>
      </c>
      <c r="BE249" t="e">
        <f>AND(#REF!,"AAAAAGvvmzg=")</f>
        <v>#REF!</v>
      </c>
      <c r="BF249" t="e">
        <f>AND(#REF!,"AAAAAGvvmzk=")</f>
        <v>#REF!</v>
      </c>
      <c r="BG249" t="e">
        <f>AND(#REF!,"AAAAAGvvmzo=")</f>
        <v>#REF!</v>
      </c>
      <c r="BH249" t="e">
        <f>AND(#REF!,"AAAAAGvvmzs=")</f>
        <v>#REF!</v>
      </c>
      <c r="BI249" t="e">
        <f>AND(#REF!,"AAAAAGvvmzw=")</f>
        <v>#REF!</v>
      </c>
      <c r="BJ249" t="e">
        <f>AND(#REF!,"AAAAAGvvmz0=")</f>
        <v>#REF!</v>
      </c>
      <c r="BK249" t="e">
        <f>AND(#REF!,"AAAAAGvvmz4=")</f>
        <v>#REF!</v>
      </c>
      <c r="BL249" t="e">
        <f>AND(#REF!,"AAAAAGvvmz8=")</f>
        <v>#REF!</v>
      </c>
      <c r="BM249" t="e">
        <f>AND(#REF!,"AAAAAGvvm0A=")</f>
        <v>#REF!</v>
      </c>
      <c r="BN249" t="e">
        <f>AND(#REF!,"AAAAAGvvm0E=")</f>
        <v>#REF!</v>
      </c>
      <c r="BO249" t="e">
        <f>AND(#REF!,"AAAAAGvvm0I=")</f>
        <v>#REF!</v>
      </c>
      <c r="BP249" t="e">
        <f>AND(#REF!,"AAAAAGvvm0M=")</f>
        <v>#REF!</v>
      </c>
      <c r="BQ249" t="e">
        <f>AND(#REF!,"AAAAAGvvm0Q=")</f>
        <v>#REF!</v>
      </c>
      <c r="BR249" t="e">
        <f>IF(#REF!,"AAAAAGvvm0U=",0)</f>
        <v>#REF!</v>
      </c>
      <c r="BS249" t="e">
        <f>AND(#REF!,"AAAAAGvvm0Y=")</f>
        <v>#REF!</v>
      </c>
      <c r="BT249" t="e">
        <f>AND(#REF!,"AAAAAGvvm0c=")</f>
        <v>#REF!</v>
      </c>
      <c r="BU249" t="e">
        <f>AND(#REF!,"AAAAAGvvm0g=")</f>
        <v>#REF!</v>
      </c>
      <c r="BV249" t="e">
        <f>AND(#REF!,"AAAAAGvvm0k=")</f>
        <v>#REF!</v>
      </c>
      <c r="BW249" t="e">
        <f>AND(#REF!,"AAAAAGvvm0o=")</f>
        <v>#REF!</v>
      </c>
      <c r="BX249" t="e">
        <f>AND(#REF!,"AAAAAGvvm0s=")</f>
        <v>#REF!</v>
      </c>
      <c r="BY249" t="e">
        <f>AND(#REF!,"AAAAAGvvm0w=")</f>
        <v>#REF!</v>
      </c>
      <c r="BZ249" t="e">
        <f>AND(#REF!,"AAAAAGvvm00=")</f>
        <v>#REF!</v>
      </c>
      <c r="CA249" t="e">
        <f>AND(#REF!,"AAAAAGvvm04=")</f>
        <v>#REF!</v>
      </c>
      <c r="CB249" t="e">
        <f>AND(#REF!,"AAAAAGvvm08=")</f>
        <v>#REF!</v>
      </c>
      <c r="CC249" t="e">
        <f>AND(#REF!,"AAAAAGvvm1A=")</f>
        <v>#REF!</v>
      </c>
      <c r="CD249" t="e">
        <f>AND(#REF!,"AAAAAGvvm1E=")</f>
        <v>#REF!</v>
      </c>
      <c r="CE249" t="e">
        <f>AND(#REF!,"AAAAAGvvm1I=")</f>
        <v>#REF!</v>
      </c>
      <c r="CF249" t="e">
        <f>IF(#REF!,"AAAAAGvvm1M=",0)</f>
        <v>#REF!</v>
      </c>
      <c r="CG249" t="e">
        <f>AND(#REF!,"AAAAAGvvm1Q=")</f>
        <v>#REF!</v>
      </c>
      <c r="CH249" t="e">
        <f>AND(#REF!,"AAAAAGvvm1U=")</f>
        <v>#REF!</v>
      </c>
      <c r="CI249" t="e">
        <f>AND(#REF!,"AAAAAGvvm1Y=")</f>
        <v>#REF!</v>
      </c>
      <c r="CJ249" t="e">
        <f>AND(#REF!,"AAAAAGvvm1c=")</f>
        <v>#REF!</v>
      </c>
      <c r="CK249" t="e">
        <f>AND(#REF!,"AAAAAGvvm1g=")</f>
        <v>#REF!</v>
      </c>
      <c r="CL249" t="e">
        <f>AND(#REF!,"AAAAAGvvm1k=")</f>
        <v>#REF!</v>
      </c>
      <c r="CM249" t="e">
        <f>AND(#REF!,"AAAAAGvvm1o=")</f>
        <v>#REF!</v>
      </c>
      <c r="CN249" t="e">
        <f>AND(#REF!,"AAAAAGvvm1s=")</f>
        <v>#REF!</v>
      </c>
      <c r="CO249" t="e">
        <f>AND(#REF!,"AAAAAGvvm1w=")</f>
        <v>#REF!</v>
      </c>
      <c r="CP249" t="e">
        <f>AND(#REF!,"AAAAAGvvm10=")</f>
        <v>#REF!</v>
      </c>
      <c r="CQ249" t="e">
        <f>AND(#REF!,"AAAAAGvvm14=")</f>
        <v>#REF!</v>
      </c>
      <c r="CR249" t="e">
        <f>AND(#REF!,"AAAAAGvvm18=")</f>
        <v>#REF!</v>
      </c>
      <c r="CS249" t="e">
        <f>AND(#REF!,"AAAAAGvvm2A=")</f>
        <v>#REF!</v>
      </c>
      <c r="CT249" t="e">
        <f>IF(#REF!,"AAAAAGvvm2E=",0)</f>
        <v>#REF!</v>
      </c>
      <c r="CU249" t="e">
        <f>AND(#REF!,"AAAAAGvvm2I=")</f>
        <v>#REF!</v>
      </c>
      <c r="CV249" t="e">
        <f>AND(#REF!,"AAAAAGvvm2M=")</f>
        <v>#REF!</v>
      </c>
      <c r="CW249" t="e">
        <f>AND(#REF!,"AAAAAGvvm2Q=")</f>
        <v>#REF!</v>
      </c>
      <c r="CX249" t="e">
        <f>AND(#REF!,"AAAAAGvvm2U=")</f>
        <v>#REF!</v>
      </c>
      <c r="CY249" t="e">
        <f>AND(#REF!,"AAAAAGvvm2Y=")</f>
        <v>#REF!</v>
      </c>
      <c r="CZ249" t="e">
        <f>AND(#REF!,"AAAAAGvvm2c=")</f>
        <v>#REF!</v>
      </c>
      <c r="DA249" t="e">
        <f>AND(#REF!,"AAAAAGvvm2g=")</f>
        <v>#REF!</v>
      </c>
      <c r="DB249" t="e">
        <f>AND(#REF!,"AAAAAGvvm2k=")</f>
        <v>#REF!</v>
      </c>
      <c r="DC249" t="e">
        <f>AND(#REF!,"AAAAAGvvm2o=")</f>
        <v>#REF!</v>
      </c>
      <c r="DD249" t="e">
        <f>AND(#REF!,"AAAAAGvvm2s=")</f>
        <v>#REF!</v>
      </c>
      <c r="DE249" t="e">
        <f>AND(#REF!,"AAAAAGvvm2w=")</f>
        <v>#REF!</v>
      </c>
      <c r="DF249" t="e">
        <f>AND(#REF!,"AAAAAGvvm20=")</f>
        <v>#REF!</v>
      </c>
      <c r="DG249" t="e">
        <f>AND(#REF!,"AAAAAGvvm24=")</f>
        <v>#REF!</v>
      </c>
      <c r="DH249" t="e">
        <f>IF(#REF!,"AAAAAGvvm28=",0)</f>
        <v>#REF!</v>
      </c>
      <c r="DI249" t="e">
        <f>AND(#REF!,"AAAAAGvvm3A=")</f>
        <v>#REF!</v>
      </c>
      <c r="DJ249" t="e">
        <f>AND(#REF!,"AAAAAGvvm3E=")</f>
        <v>#REF!</v>
      </c>
      <c r="DK249" t="e">
        <f>AND(#REF!,"AAAAAGvvm3I=")</f>
        <v>#REF!</v>
      </c>
      <c r="DL249" t="e">
        <f>AND(#REF!,"AAAAAGvvm3M=")</f>
        <v>#REF!</v>
      </c>
      <c r="DM249" t="e">
        <f>AND(#REF!,"AAAAAGvvm3Q=")</f>
        <v>#REF!</v>
      </c>
      <c r="DN249" t="e">
        <f>AND(#REF!,"AAAAAGvvm3U=")</f>
        <v>#REF!</v>
      </c>
      <c r="DO249" t="e">
        <f>AND(#REF!,"AAAAAGvvm3Y=")</f>
        <v>#REF!</v>
      </c>
      <c r="DP249" t="e">
        <f>AND(#REF!,"AAAAAGvvm3c=")</f>
        <v>#REF!</v>
      </c>
      <c r="DQ249" t="e">
        <f>AND(#REF!,"AAAAAGvvm3g=")</f>
        <v>#REF!</v>
      </c>
      <c r="DR249" t="e">
        <f>AND(#REF!,"AAAAAGvvm3k=")</f>
        <v>#REF!</v>
      </c>
      <c r="DS249" t="e">
        <f>AND(#REF!,"AAAAAGvvm3o=")</f>
        <v>#REF!</v>
      </c>
      <c r="DT249" t="e">
        <f>AND(#REF!,"AAAAAGvvm3s=")</f>
        <v>#REF!</v>
      </c>
      <c r="DU249" t="e">
        <f>AND(#REF!,"AAAAAGvvm3w=")</f>
        <v>#REF!</v>
      </c>
      <c r="DV249" t="e">
        <f>IF(#REF!,"AAAAAGvvm30=",0)</f>
        <v>#REF!</v>
      </c>
      <c r="DW249" t="e">
        <f>AND(#REF!,"AAAAAGvvm34=")</f>
        <v>#REF!</v>
      </c>
      <c r="DX249" t="e">
        <f>AND(#REF!,"AAAAAGvvm38=")</f>
        <v>#REF!</v>
      </c>
      <c r="DY249" t="e">
        <f>AND(#REF!,"AAAAAGvvm4A=")</f>
        <v>#REF!</v>
      </c>
      <c r="DZ249" t="e">
        <f>AND(#REF!,"AAAAAGvvm4E=")</f>
        <v>#REF!</v>
      </c>
      <c r="EA249" t="e">
        <f>AND(#REF!,"AAAAAGvvm4I=")</f>
        <v>#REF!</v>
      </c>
      <c r="EB249" t="e">
        <f>AND(#REF!,"AAAAAGvvm4M=")</f>
        <v>#REF!</v>
      </c>
      <c r="EC249" t="e">
        <f>AND(#REF!,"AAAAAGvvm4Q=")</f>
        <v>#REF!</v>
      </c>
      <c r="ED249" t="e">
        <f>AND(#REF!,"AAAAAGvvm4U=")</f>
        <v>#REF!</v>
      </c>
      <c r="EE249" t="e">
        <f>AND(#REF!,"AAAAAGvvm4Y=")</f>
        <v>#REF!</v>
      </c>
      <c r="EF249" t="e">
        <f>AND(#REF!,"AAAAAGvvm4c=")</f>
        <v>#REF!</v>
      </c>
      <c r="EG249" t="e">
        <f>AND(#REF!,"AAAAAGvvm4g=")</f>
        <v>#REF!</v>
      </c>
      <c r="EH249" t="e">
        <f>AND(#REF!,"AAAAAGvvm4k=")</f>
        <v>#REF!</v>
      </c>
      <c r="EI249" t="e">
        <f>AND(#REF!,"AAAAAGvvm4o=")</f>
        <v>#REF!</v>
      </c>
      <c r="EJ249" t="e">
        <f>IF(#REF!,"AAAAAGvvm4s=",0)</f>
        <v>#REF!</v>
      </c>
      <c r="EK249" t="e">
        <f>AND(#REF!,"AAAAAGvvm4w=")</f>
        <v>#REF!</v>
      </c>
      <c r="EL249" t="e">
        <f>AND(#REF!,"AAAAAGvvm40=")</f>
        <v>#REF!</v>
      </c>
      <c r="EM249" t="e">
        <f>AND(#REF!,"AAAAAGvvm44=")</f>
        <v>#REF!</v>
      </c>
      <c r="EN249" t="e">
        <f>AND(#REF!,"AAAAAGvvm48=")</f>
        <v>#REF!</v>
      </c>
      <c r="EO249" t="e">
        <f>AND(#REF!,"AAAAAGvvm5A=")</f>
        <v>#REF!</v>
      </c>
      <c r="EP249" t="e">
        <f>AND(#REF!,"AAAAAGvvm5E=")</f>
        <v>#REF!</v>
      </c>
      <c r="EQ249" t="e">
        <f>AND(#REF!,"AAAAAGvvm5I=")</f>
        <v>#REF!</v>
      </c>
      <c r="ER249" t="e">
        <f>AND(#REF!,"AAAAAGvvm5M=")</f>
        <v>#REF!</v>
      </c>
      <c r="ES249" t="e">
        <f>AND(#REF!,"AAAAAGvvm5Q=")</f>
        <v>#REF!</v>
      </c>
      <c r="ET249" t="e">
        <f>AND(#REF!,"AAAAAGvvm5U=")</f>
        <v>#REF!</v>
      </c>
      <c r="EU249" t="e">
        <f>AND(#REF!,"AAAAAGvvm5Y=")</f>
        <v>#REF!</v>
      </c>
      <c r="EV249" t="e">
        <f>AND(#REF!,"AAAAAGvvm5c=")</f>
        <v>#REF!</v>
      </c>
      <c r="EW249" t="e">
        <f>AND(#REF!,"AAAAAGvvm5g=")</f>
        <v>#REF!</v>
      </c>
      <c r="EX249" t="e">
        <f>IF(#REF!,"AAAAAGvvm5k=",0)</f>
        <v>#REF!</v>
      </c>
      <c r="EY249" t="e">
        <f>AND(#REF!,"AAAAAGvvm5o=")</f>
        <v>#REF!</v>
      </c>
      <c r="EZ249" t="e">
        <f>AND(#REF!,"AAAAAGvvm5s=")</f>
        <v>#REF!</v>
      </c>
      <c r="FA249" t="e">
        <f>AND(#REF!,"AAAAAGvvm5w=")</f>
        <v>#REF!</v>
      </c>
      <c r="FB249" t="e">
        <f>AND(#REF!,"AAAAAGvvm50=")</f>
        <v>#REF!</v>
      </c>
      <c r="FC249" t="e">
        <f>AND(#REF!,"AAAAAGvvm54=")</f>
        <v>#REF!</v>
      </c>
      <c r="FD249" t="e">
        <f>AND(#REF!,"AAAAAGvvm58=")</f>
        <v>#REF!</v>
      </c>
      <c r="FE249" t="e">
        <f>AND(#REF!,"AAAAAGvvm6A=")</f>
        <v>#REF!</v>
      </c>
      <c r="FF249" t="e">
        <f>AND(#REF!,"AAAAAGvvm6E=")</f>
        <v>#REF!</v>
      </c>
      <c r="FG249" t="e">
        <f>AND(#REF!,"AAAAAGvvm6I=")</f>
        <v>#REF!</v>
      </c>
      <c r="FH249" t="e">
        <f>AND(#REF!,"AAAAAGvvm6M=")</f>
        <v>#REF!</v>
      </c>
      <c r="FI249" t="e">
        <f>AND(#REF!,"AAAAAGvvm6Q=")</f>
        <v>#REF!</v>
      </c>
      <c r="FJ249" t="e">
        <f>AND(#REF!,"AAAAAGvvm6U=")</f>
        <v>#REF!</v>
      </c>
      <c r="FK249" t="e">
        <f>AND(#REF!,"AAAAAGvvm6Y=")</f>
        <v>#REF!</v>
      </c>
      <c r="FL249" t="e">
        <f>IF(#REF!,"AAAAAGvvm6c=",0)</f>
        <v>#REF!</v>
      </c>
      <c r="FM249" t="e">
        <f>AND(#REF!,"AAAAAGvvm6g=")</f>
        <v>#REF!</v>
      </c>
      <c r="FN249" t="e">
        <f>AND(#REF!,"AAAAAGvvm6k=")</f>
        <v>#REF!</v>
      </c>
      <c r="FO249" t="e">
        <f>AND(#REF!,"AAAAAGvvm6o=")</f>
        <v>#REF!</v>
      </c>
      <c r="FP249" t="e">
        <f>AND(#REF!,"AAAAAGvvm6s=")</f>
        <v>#REF!</v>
      </c>
      <c r="FQ249" t="e">
        <f>AND(#REF!,"AAAAAGvvm6w=")</f>
        <v>#REF!</v>
      </c>
      <c r="FR249" t="e">
        <f>AND(#REF!,"AAAAAGvvm60=")</f>
        <v>#REF!</v>
      </c>
      <c r="FS249" t="e">
        <f>AND(#REF!,"AAAAAGvvm64=")</f>
        <v>#REF!</v>
      </c>
      <c r="FT249" t="e">
        <f>AND(#REF!,"AAAAAGvvm68=")</f>
        <v>#REF!</v>
      </c>
      <c r="FU249" t="e">
        <f>AND(#REF!,"AAAAAGvvm7A=")</f>
        <v>#REF!</v>
      </c>
      <c r="FV249" t="e">
        <f>AND(#REF!,"AAAAAGvvm7E=")</f>
        <v>#REF!</v>
      </c>
      <c r="FW249" t="e">
        <f>AND(#REF!,"AAAAAGvvm7I=")</f>
        <v>#REF!</v>
      </c>
      <c r="FX249" t="e">
        <f>AND(#REF!,"AAAAAGvvm7M=")</f>
        <v>#REF!</v>
      </c>
      <c r="FY249" t="e">
        <f>AND(#REF!,"AAAAAGvvm7Q=")</f>
        <v>#REF!</v>
      </c>
      <c r="FZ249" t="e">
        <f>IF(#REF!,"AAAAAGvvm7U=",0)</f>
        <v>#REF!</v>
      </c>
      <c r="GA249" t="e">
        <f>AND(#REF!,"AAAAAGvvm7Y=")</f>
        <v>#REF!</v>
      </c>
      <c r="GB249" t="e">
        <f>AND(#REF!,"AAAAAGvvm7c=")</f>
        <v>#REF!</v>
      </c>
      <c r="GC249" t="e">
        <f>AND(#REF!,"AAAAAGvvm7g=")</f>
        <v>#REF!</v>
      </c>
      <c r="GD249" t="e">
        <f>AND(#REF!,"AAAAAGvvm7k=")</f>
        <v>#REF!</v>
      </c>
      <c r="GE249" t="e">
        <f>AND(#REF!,"AAAAAGvvm7o=")</f>
        <v>#REF!</v>
      </c>
      <c r="GF249" t="e">
        <f>AND(#REF!,"AAAAAGvvm7s=")</f>
        <v>#REF!</v>
      </c>
      <c r="GG249" t="e">
        <f>AND(#REF!,"AAAAAGvvm7w=")</f>
        <v>#REF!</v>
      </c>
      <c r="GH249" t="e">
        <f>AND(#REF!,"AAAAAGvvm70=")</f>
        <v>#REF!</v>
      </c>
      <c r="GI249" t="e">
        <f>AND(#REF!,"AAAAAGvvm74=")</f>
        <v>#REF!</v>
      </c>
      <c r="GJ249" t="e">
        <f>AND(#REF!,"AAAAAGvvm78=")</f>
        <v>#REF!</v>
      </c>
      <c r="GK249" t="e">
        <f>AND(#REF!,"AAAAAGvvm8A=")</f>
        <v>#REF!</v>
      </c>
      <c r="GL249" t="e">
        <f>AND(#REF!,"AAAAAGvvm8E=")</f>
        <v>#REF!</v>
      </c>
      <c r="GM249" t="e">
        <f>AND(#REF!,"AAAAAGvvm8I=")</f>
        <v>#REF!</v>
      </c>
      <c r="GN249" t="e">
        <f>IF(#REF!,"AAAAAGvvm8M=",0)</f>
        <v>#REF!</v>
      </c>
      <c r="GO249" t="e">
        <f>AND(#REF!,"AAAAAGvvm8Q=")</f>
        <v>#REF!</v>
      </c>
      <c r="GP249" t="e">
        <f>AND(#REF!,"AAAAAGvvm8U=")</f>
        <v>#REF!</v>
      </c>
      <c r="GQ249" t="e">
        <f>AND(#REF!,"AAAAAGvvm8Y=")</f>
        <v>#REF!</v>
      </c>
      <c r="GR249" t="e">
        <f>AND(#REF!,"AAAAAGvvm8c=")</f>
        <v>#REF!</v>
      </c>
      <c r="GS249" t="e">
        <f>AND(#REF!,"AAAAAGvvm8g=")</f>
        <v>#REF!</v>
      </c>
      <c r="GT249" t="e">
        <f>AND(#REF!,"AAAAAGvvm8k=")</f>
        <v>#REF!</v>
      </c>
      <c r="GU249" t="e">
        <f>AND(#REF!,"AAAAAGvvm8o=")</f>
        <v>#REF!</v>
      </c>
      <c r="GV249" t="e">
        <f>AND(#REF!,"AAAAAGvvm8s=")</f>
        <v>#REF!</v>
      </c>
      <c r="GW249" t="e">
        <f>AND(#REF!,"AAAAAGvvm8w=")</f>
        <v>#REF!</v>
      </c>
      <c r="GX249" t="e">
        <f>AND(#REF!,"AAAAAGvvm80=")</f>
        <v>#REF!</v>
      </c>
      <c r="GY249" t="e">
        <f>AND(#REF!,"AAAAAGvvm84=")</f>
        <v>#REF!</v>
      </c>
      <c r="GZ249" t="e">
        <f>AND(#REF!,"AAAAAGvvm88=")</f>
        <v>#REF!</v>
      </c>
      <c r="HA249" t="e">
        <f>AND(#REF!,"AAAAAGvvm9A=")</f>
        <v>#REF!</v>
      </c>
      <c r="HB249" t="e">
        <f>IF(#REF!,"AAAAAGvvm9E=",0)</f>
        <v>#REF!</v>
      </c>
      <c r="HC249" t="e">
        <f>AND(#REF!,"AAAAAGvvm9I=")</f>
        <v>#REF!</v>
      </c>
      <c r="HD249" t="e">
        <f>AND(#REF!,"AAAAAGvvm9M=")</f>
        <v>#REF!</v>
      </c>
      <c r="HE249" t="e">
        <f>AND(#REF!,"AAAAAGvvm9Q=")</f>
        <v>#REF!</v>
      </c>
      <c r="HF249" t="e">
        <f>AND(#REF!,"AAAAAGvvm9U=")</f>
        <v>#REF!</v>
      </c>
      <c r="HG249" t="e">
        <f>AND(#REF!,"AAAAAGvvm9Y=")</f>
        <v>#REF!</v>
      </c>
      <c r="HH249" t="e">
        <f>AND(#REF!,"AAAAAGvvm9c=")</f>
        <v>#REF!</v>
      </c>
      <c r="HI249" t="e">
        <f>AND(#REF!,"AAAAAGvvm9g=")</f>
        <v>#REF!</v>
      </c>
      <c r="HJ249" t="e">
        <f>AND(#REF!,"AAAAAGvvm9k=")</f>
        <v>#REF!</v>
      </c>
      <c r="HK249" t="e">
        <f>AND(#REF!,"AAAAAGvvm9o=")</f>
        <v>#REF!</v>
      </c>
      <c r="HL249" t="e">
        <f>AND(#REF!,"AAAAAGvvm9s=")</f>
        <v>#REF!</v>
      </c>
      <c r="HM249" t="e">
        <f>AND(#REF!,"AAAAAGvvm9w=")</f>
        <v>#REF!</v>
      </c>
      <c r="HN249" t="e">
        <f>AND(#REF!,"AAAAAGvvm90=")</f>
        <v>#REF!</v>
      </c>
      <c r="HO249" t="e">
        <f>AND(#REF!,"AAAAAGvvm94=")</f>
        <v>#REF!</v>
      </c>
      <c r="HP249" t="e">
        <f>IF(#REF!,"AAAAAGvvm98=",0)</f>
        <v>#REF!</v>
      </c>
      <c r="HQ249" t="e">
        <f>AND(#REF!,"AAAAAGvvm+A=")</f>
        <v>#REF!</v>
      </c>
      <c r="HR249" t="e">
        <f>AND(#REF!,"AAAAAGvvm+E=")</f>
        <v>#REF!</v>
      </c>
      <c r="HS249" t="e">
        <f>AND(#REF!,"AAAAAGvvm+I=")</f>
        <v>#REF!</v>
      </c>
      <c r="HT249" t="e">
        <f>AND(#REF!,"AAAAAGvvm+M=")</f>
        <v>#REF!</v>
      </c>
      <c r="HU249" t="e">
        <f>AND(#REF!,"AAAAAGvvm+Q=")</f>
        <v>#REF!</v>
      </c>
      <c r="HV249" t="e">
        <f>AND(#REF!,"AAAAAGvvm+U=")</f>
        <v>#REF!</v>
      </c>
      <c r="HW249" t="e">
        <f>AND(#REF!,"AAAAAGvvm+Y=")</f>
        <v>#REF!</v>
      </c>
      <c r="HX249" t="e">
        <f>AND(#REF!,"AAAAAGvvm+c=")</f>
        <v>#REF!</v>
      </c>
      <c r="HY249" t="e">
        <f>AND(#REF!,"AAAAAGvvm+g=")</f>
        <v>#REF!</v>
      </c>
      <c r="HZ249" t="e">
        <f>AND(#REF!,"AAAAAGvvm+k=")</f>
        <v>#REF!</v>
      </c>
      <c r="IA249" t="e">
        <f>AND(#REF!,"AAAAAGvvm+o=")</f>
        <v>#REF!</v>
      </c>
      <c r="IB249" t="e">
        <f>AND(#REF!,"AAAAAGvvm+s=")</f>
        <v>#REF!</v>
      </c>
      <c r="IC249" t="e">
        <f>AND(#REF!,"AAAAAGvvm+w=")</f>
        <v>#REF!</v>
      </c>
      <c r="ID249" t="e">
        <f>IF(#REF!,"AAAAAGvvm+0=",0)</f>
        <v>#REF!</v>
      </c>
      <c r="IE249" t="e">
        <f>AND(#REF!,"AAAAAGvvm+4=")</f>
        <v>#REF!</v>
      </c>
      <c r="IF249" t="e">
        <f>AND(#REF!,"AAAAAGvvm+8=")</f>
        <v>#REF!</v>
      </c>
      <c r="IG249" t="e">
        <f>AND(#REF!,"AAAAAGvvm/A=")</f>
        <v>#REF!</v>
      </c>
      <c r="IH249" t="e">
        <f>AND(#REF!,"AAAAAGvvm/E=")</f>
        <v>#REF!</v>
      </c>
      <c r="II249" t="e">
        <f>AND(#REF!,"AAAAAGvvm/I=")</f>
        <v>#REF!</v>
      </c>
      <c r="IJ249" t="e">
        <f>AND(#REF!,"AAAAAGvvm/M=")</f>
        <v>#REF!</v>
      </c>
      <c r="IK249" t="e">
        <f>AND(#REF!,"AAAAAGvvm/Q=")</f>
        <v>#REF!</v>
      </c>
      <c r="IL249" t="e">
        <f>AND(#REF!,"AAAAAGvvm/U=")</f>
        <v>#REF!</v>
      </c>
      <c r="IM249" t="e">
        <f>AND(#REF!,"AAAAAGvvm/Y=")</f>
        <v>#REF!</v>
      </c>
      <c r="IN249" t="e">
        <f>AND(#REF!,"AAAAAGvvm/c=")</f>
        <v>#REF!</v>
      </c>
      <c r="IO249" t="e">
        <f>AND(#REF!,"AAAAAGvvm/g=")</f>
        <v>#REF!</v>
      </c>
      <c r="IP249" t="e">
        <f>AND(#REF!,"AAAAAGvvm/k=")</f>
        <v>#REF!</v>
      </c>
      <c r="IQ249" t="e">
        <f>AND(#REF!,"AAAAAGvvm/o=")</f>
        <v>#REF!</v>
      </c>
      <c r="IR249" t="e">
        <f>IF(#REF!,"AAAAAGvvm/s=",0)</f>
        <v>#REF!</v>
      </c>
      <c r="IS249" t="e">
        <f>AND(#REF!,"AAAAAGvvm/w=")</f>
        <v>#REF!</v>
      </c>
      <c r="IT249" t="e">
        <f>AND(#REF!,"AAAAAGvvm/0=")</f>
        <v>#REF!</v>
      </c>
      <c r="IU249" t="e">
        <f>AND(#REF!,"AAAAAGvvm/4=")</f>
        <v>#REF!</v>
      </c>
      <c r="IV249" t="e">
        <f>AND(#REF!,"AAAAAGvvm/8=")</f>
        <v>#REF!</v>
      </c>
    </row>
    <row r="250" spans="1:256" x14ac:dyDescent="0.2">
      <c r="A250" t="e">
        <f>AND(#REF!,"AAAAAHZ79wA=")</f>
        <v>#REF!</v>
      </c>
      <c r="B250" t="e">
        <f>AND(#REF!,"AAAAAHZ79wE=")</f>
        <v>#REF!</v>
      </c>
      <c r="C250" t="e">
        <f>AND(#REF!,"AAAAAHZ79wI=")</f>
        <v>#REF!</v>
      </c>
      <c r="D250" t="e">
        <f>AND(#REF!,"AAAAAHZ79wM=")</f>
        <v>#REF!</v>
      </c>
      <c r="E250" t="e">
        <f>AND(#REF!,"AAAAAHZ79wQ=")</f>
        <v>#REF!</v>
      </c>
      <c r="F250" t="e">
        <f>AND(#REF!,"AAAAAHZ79wU=")</f>
        <v>#REF!</v>
      </c>
      <c r="G250" t="e">
        <f>AND(#REF!,"AAAAAHZ79wY=")</f>
        <v>#REF!</v>
      </c>
      <c r="H250" t="e">
        <f>AND(#REF!,"AAAAAHZ79wc=")</f>
        <v>#REF!</v>
      </c>
      <c r="I250" t="e">
        <f>AND(#REF!,"AAAAAHZ79wg=")</f>
        <v>#REF!</v>
      </c>
      <c r="J250" t="e">
        <f>IF(#REF!,"AAAAAHZ79wk=",0)</f>
        <v>#REF!</v>
      </c>
      <c r="K250" t="e">
        <f>AND(#REF!,"AAAAAHZ79wo=")</f>
        <v>#REF!</v>
      </c>
      <c r="L250" t="e">
        <f>AND(#REF!,"AAAAAHZ79ws=")</f>
        <v>#REF!</v>
      </c>
      <c r="M250" t="e">
        <f>AND(#REF!,"AAAAAHZ79ww=")</f>
        <v>#REF!</v>
      </c>
      <c r="N250" t="e">
        <f>AND(#REF!,"AAAAAHZ79w0=")</f>
        <v>#REF!</v>
      </c>
      <c r="O250" t="e">
        <f>AND(#REF!,"AAAAAHZ79w4=")</f>
        <v>#REF!</v>
      </c>
      <c r="P250" t="e">
        <f>AND(#REF!,"AAAAAHZ79w8=")</f>
        <v>#REF!</v>
      </c>
      <c r="Q250" t="e">
        <f>AND(#REF!,"AAAAAHZ79xA=")</f>
        <v>#REF!</v>
      </c>
      <c r="R250" t="e">
        <f>AND(#REF!,"AAAAAHZ79xE=")</f>
        <v>#REF!</v>
      </c>
      <c r="S250" t="e">
        <f>AND(#REF!,"AAAAAHZ79xI=")</f>
        <v>#REF!</v>
      </c>
      <c r="T250" t="e">
        <f>AND(#REF!,"AAAAAHZ79xM=")</f>
        <v>#REF!</v>
      </c>
      <c r="U250" t="e">
        <f>AND(#REF!,"AAAAAHZ79xQ=")</f>
        <v>#REF!</v>
      </c>
      <c r="V250" t="e">
        <f>AND(#REF!,"AAAAAHZ79xU=")</f>
        <v>#REF!</v>
      </c>
      <c r="W250" t="e">
        <f>AND(#REF!,"AAAAAHZ79xY=")</f>
        <v>#REF!</v>
      </c>
      <c r="X250" t="e">
        <f>IF(#REF!,"AAAAAHZ79xc=",0)</f>
        <v>#REF!</v>
      </c>
      <c r="Y250" t="e">
        <f>AND(#REF!,"AAAAAHZ79xg=")</f>
        <v>#REF!</v>
      </c>
      <c r="Z250" t="e">
        <f>AND(#REF!,"AAAAAHZ79xk=")</f>
        <v>#REF!</v>
      </c>
      <c r="AA250" t="e">
        <f>AND(#REF!,"AAAAAHZ79xo=")</f>
        <v>#REF!</v>
      </c>
      <c r="AB250" t="e">
        <f>AND(#REF!,"AAAAAHZ79xs=")</f>
        <v>#REF!</v>
      </c>
      <c r="AC250" t="e">
        <f>AND(#REF!,"AAAAAHZ79xw=")</f>
        <v>#REF!</v>
      </c>
      <c r="AD250" t="e">
        <f>AND(#REF!,"AAAAAHZ79x0=")</f>
        <v>#REF!</v>
      </c>
      <c r="AE250" t="e">
        <f>AND(#REF!,"AAAAAHZ79x4=")</f>
        <v>#REF!</v>
      </c>
      <c r="AF250" t="e">
        <f>AND(#REF!,"AAAAAHZ79x8=")</f>
        <v>#REF!</v>
      </c>
      <c r="AG250" t="e">
        <f>AND(#REF!,"AAAAAHZ79yA=")</f>
        <v>#REF!</v>
      </c>
      <c r="AH250" t="e">
        <f>AND(#REF!,"AAAAAHZ79yE=")</f>
        <v>#REF!</v>
      </c>
      <c r="AI250" t="e">
        <f>AND(#REF!,"AAAAAHZ79yI=")</f>
        <v>#REF!</v>
      </c>
      <c r="AJ250" t="e">
        <f>AND(#REF!,"AAAAAHZ79yM=")</f>
        <v>#REF!</v>
      </c>
      <c r="AK250" t="e">
        <f>AND(#REF!,"AAAAAHZ79yQ=")</f>
        <v>#REF!</v>
      </c>
      <c r="AL250" t="e">
        <f>IF(#REF!,"AAAAAHZ79yU=",0)</f>
        <v>#REF!</v>
      </c>
      <c r="AM250" t="e">
        <f>AND(#REF!,"AAAAAHZ79yY=")</f>
        <v>#REF!</v>
      </c>
      <c r="AN250" t="e">
        <f>AND(#REF!,"AAAAAHZ79yc=")</f>
        <v>#REF!</v>
      </c>
      <c r="AO250" t="e">
        <f>AND(#REF!,"AAAAAHZ79yg=")</f>
        <v>#REF!</v>
      </c>
      <c r="AP250" t="e">
        <f>AND(#REF!,"AAAAAHZ79yk=")</f>
        <v>#REF!</v>
      </c>
      <c r="AQ250" t="e">
        <f>AND(#REF!,"AAAAAHZ79yo=")</f>
        <v>#REF!</v>
      </c>
      <c r="AR250" t="e">
        <f>AND(#REF!,"AAAAAHZ79ys=")</f>
        <v>#REF!</v>
      </c>
      <c r="AS250" t="e">
        <f>AND(#REF!,"AAAAAHZ79yw=")</f>
        <v>#REF!</v>
      </c>
      <c r="AT250" t="e">
        <f>AND(#REF!,"AAAAAHZ79y0=")</f>
        <v>#REF!</v>
      </c>
      <c r="AU250" t="e">
        <f>AND(#REF!,"AAAAAHZ79y4=")</f>
        <v>#REF!</v>
      </c>
      <c r="AV250" t="e">
        <f>AND(#REF!,"AAAAAHZ79y8=")</f>
        <v>#REF!</v>
      </c>
      <c r="AW250" t="e">
        <f>AND(#REF!,"AAAAAHZ79zA=")</f>
        <v>#REF!</v>
      </c>
      <c r="AX250" t="e">
        <f>AND(#REF!,"AAAAAHZ79zE=")</f>
        <v>#REF!</v>
      </c>
      <c r="AY250" t="e">
        <f>AND(#REF!,"AAAAAHZ79zI=")</f>
        <v>#REF!</v>
      </c>
      <c r="AZ250" t="e">
        <f>IF(#REF!,"AAAAAHZ79zM=",0)</f>
        <v>#REF!</v>
      </c>
      <c r="BA250" t="e">
        <f>AND(#REF!,"AAAAAHZ79zQ=")</f>
        <v>#REF!</v>
      </c>
      <c r="BB250" t="e">
        <f>AND(#REF!,"AAAAAHZ79zU=")</f>
        <v>#REF!</v>
      </c>
      <c r="BC250" t="e">
        <f>AND(#REF!,"AAAAAHZ79zY=")</f>
        <v>#REF!</v>
      </c>
      <c r="BD250" t="e">
        <f>AND(#REF!,"AAAAAHZ79zc=")</f>
        <v>#REF!</v>
      </c>
      <c r="BE250" t="e">
        <f>AND(#REF!,"AAAAAHZ79zg=")</f>
        <v>#REF!</v>
      </c>
      <c r="BF250" t="e">
        <f>AND(#REF!,"AAAAAHZ79zk=")</f>
        <v>#REF!</v>
      </c>
      <c r="BG250" t="e">
        <f>AND(#REF!,"AAAAAHZ79zo=")</f>
        <v>#REF!</v>
      </c>
      <c r="BH250" t="e">
        <f>AND(#REF!,"AAAAAHZ79zs=")</f>
        <v>#REF!</v>
      </c>
      <c r="BI250" t="e">
        <f>AND(#REF!,"AAAAAHZ79zw=")</f>
        <v>#REF!</v>
      </c>
      <c r="BJ250" t="e">
        <f>AND(#REF!,"AAAAAHZ79z0=")</f>
        <v>#REF!</v>
      </c>
      <c r="BK250" t="e">
        <f>AND(#REF!,"AAAAAHZ79z4=")</f>
        <v>#REF!</v>
      </c>
      <c r="BL250" t="e">
        <f>AND(#REF!,"AAAAAHZ79z8=")</f>
        <v>#REF!</v>
      </c>
      <c r="BM250" t="e">
        <f>AND(#REF!,"AAAAAHZ790A=")</f>
        <v>#REF!</v>
      </c>
      <c r="BN250" t="e">
        <f>IF(#REF!,"AAAAAHZ790E=",0)</f>
        <v>#REF!</v>
      </c>
      <c r="BO250" t="e">
        <f>AND(#REF!,"AAAAAHZ790I=")</f>
        <v>#REF!</v>
      </c>
      <c r="BP250" t="e">
        <f>AND(#REF!,"AAAAAHZ790M=")</f>
        <v>#REF!</v>
      </c>
      <c r="BQ250" t="e">
        <f>AND(#REF!,"AAAAAHZ790Q=")</f>
        <v>#REF!</v>
      </c>
      <c r="BR250" t="e">
        <f>AND(#REF!,"AAAAAHZ790U=")</f>
        <v>#REF!</v>
      </c>
      <c r="BS250" t="e">
        <f>AND(#REF!,"AAAAAHZ790Y=")</f>
        <v>#REF!</v>
      </c>
      <c r="BT250" t="e">
        <f>AND(#REF!,"AAAAAHZ790c=")</f>
        <v>#REF!</v>
      </c>
      <c r="BU250" t="e">
        <f>AND(#REF!,"AAAAAHZ790g=")</f>
        <v>#REF!</v>
      </c>
      <c r="BV250" t="e">
        <f>AND(#REF!,"AAAAAHZ790k=")</f>
        <v>#REF!</v>
      </c>
      <c r="BW250" t="e">
        <f>AND(#REF!,"AAAAAHZ790o=")</f>
        <v>#REF!</v>
      </c>
      <c r="BX250" t="e">
        <f>AND(#REF!,"AAAAAHZ790s=")</f>
        <v>#REF!</v>
      </c>
      <c r="BY250" t="e">
        <f>AND(#REF!,"AAAAAHZ790w=")</f>
        <v>#REF!</v>
      </c>
      <c r="BZ250" t="e">
        <f>AND(#REF!,"AAAAAHZ7900=")</f>
        <v>#REF!</v>
      </c>
      <c r="CA250" t="e">
        <f>AND(#REF!,"AAAAAHZ7904=")</f>
        <v>#REF!</v>
      </c>
      <c r="CB250" t="e">
        <f>IF(#REF!,"AAAAAHZ7908=",0)</f>
        <v>#REF!</v>
      </c>
      <c r="CC250" t="e">
        <f>AND(#REF!,"AAAAAHZ791A=")</f>
        <v>#REF!</v>
      </c>
      <c r="CD250" t="e">
        <f>AND(#REF!,"AAAAAHZ791E=")</f>
        <v>#REF!</v>
      </c>
      <c r="CE250" t="e">
        <f>AND(#REF!,"AAAAAHZ791I=")</f>
        <v>#REF!</v>
      </c>
      <c r="CF250" t="e">
        <f>AND(#REF!,"AAAAAHZ791M=")</f>
        <v>#REF!</v>
      </c>
      <c r="CG250" t="e">
        <f>AND(#REF!,"AAAAAHZ791Q=")</f>
        <v>#REF!</v>
      </c>
      <c r="CH250" t="e">
        <f>AND(#REF!,"AAAAAHZ791U=")</f>
        <v>#REF!</v>
      </c>
      <c r="CI250" t="e">
        <f>AND(#REF!,"AAAAAHZ791Y=")</f>
        <v>#REF!</v>
      </c>
      <c r="CJ250" t="e">
        <f>AND(#REF!,"AAAAAHZ791c=")</f>
        <v>#REF!</v>
      </c>
      <c r="CK250" t="e">
        <f>AND(#REF!,"AAAAAHZ791g=")</f>
        <v>#REF!</v>
      </c>
      <c r="CL250" t="e">
        <f>AND(#REF!,"AAAAAHZ791k=")</f>
        <v>#REF!</v>
      </c>
      <c r="CM250" t="e">
        <f>AND(#REF!,"AAAAAHZ791o=")</f>
        <v>#REF!</v>
      </c>
      <c r="CN250" t="e">
        <f>AND(#REF!,"AAAAAHZ791s=")</f>
        <v>#REF!</v>
      </c>
      <c r="CO250" t="e">
        <f>AND(#REF!,"AAAAAHZ791w=")</f>
        <v>#REF!</v>
      </c>
      <c r="CP250" t="e">
        <f>IF(#REF!,"AAAAAHZ7910=",0)</f>
        <v>#REF!</v>
      </c>
      <c r="CQ250" t="e">
        <f>AND(#REF!,"AAAAAHZ7914=")</f>
        <v>#REF!</v>
      </c>
      <c r="CR250" t="e">
        <f>AND(#REF!,"AAAAAHZ7918=")</f>
        <v>#REF!</v>
      </c>
      <c r="CS250" t="e">
        <f>AND(#REF!,"AAAAAHZ792A=")</f>
        <v>#REF!</v>
      </c>
      <c r="CT250" t="e">
        <f>AND(#REF!,"AAAAAHZ792E=")</f>
        <v>#REF!</v>
      </c>
      <c r="CU250" t="e">
        <f>AND(#REF!,"AAAAAHZ792I=")</f>
        <v>#REF!</v>
      </c>
      <c r="CV250" t="e">
        <f>AND(#REF!,"AAAAAHZ792M=")</f>
        <v>#REF!</v>
      </c>
      <c r="CW250" t="e">
        <f>AND(#REF!,"AAAAAHZ792Q=")</f>
        <v>#REF!</v>
      </c>
      <c r="CX250" t="e">
        <f>AND(#REF!,"AAAAAHZ792U=")</f>
        <v>#REF!</v>
      </c>
      <c r="CY250" t="e">
        <f>AND(#REF!,"AAAAAHZ792Y=")</f>
        <v>#REF!</v>
      </c>
      <c r="CZ250" t="e">
        <f>AND(#REF!,"AAAAAHZ792c=")</f>
        <v>#REF!</v>
      </c>
      <c r="DA250" t="e">
        <f>AND(#REF!,"AAAAAHZ792g=")</f>
        <v>#REF!</v>
      </c>
      <c r="DB250" t="e">
        <f>AND(#REF!,"AAAAAHZ792k=")</f>
        <v>#REF!</v>
      </c>
      <c r="DC250" t="e">
        <f>AND(#REF!,"AAAAAHZ792o=")</f>
        <v>#REF!</v>
      </c>
      <c r="DD250" t="e">
        <f>IF(#REF!,"AAAAAHZ792s=",0)</f>
        <v>#REF!</v>
      </c>
      <c r="DE250" t="e">
        <f>AND(#REF!,"AAAAAHZ792w=")</f>
        <v>#REF!</v>
      </c>
      <c r="DF250" t="e">
        <f>AND(#REF!,"AAAAAHZ7920=")</f>
        <v>#REF!</v>
      </c>
      <c r="DG250" t="e">
        <f>AND(#REF!,"AAAAAHZ7924=")</f>
        <v>#REF!</v>
      </c>
      <c r="DH250" t="e">
        <f>AND(#REF!,"AAAAAHZ7928=")</f>
        <v>#REF!</v>
      </c>
      <c r="DI250" t="e">
        <f>AND(#REF!,"AAAAAHZ793A=")</f>
        <v>#REF!</v>
      </c>
      <c r="DJ250" t="e">
        <f>AND(#REF!,"AAAAAHZ793E=")</f>
        <v>#REF!</v>
      </c>
      <c r="DK250" t="e">
        <f>AND(#REF!,"AAAAAHZ793I=")</f>
        <v>#REF!</v>
      </c>
      <c r="DL250" t="e">
        <f>AND(#REF!,"AAAAAHZ793M=")</f>
        <v>#REF!</v>
      </c>
      <c r="DM250" t="e">
        <f>AND(#REF!,"AAAAAHZ793Q=")</f>
        <v>#REF!</v>
      </c>
      <c r="DN250" t="e">
        <f>AND(#REF!,"AAAAAHZ793U=")</f>
        <v>#REF!</v>
      </c>
      <c r="DO250" t="e">
        <f>AND(#REF!,"AAAAAHZ793Y=")</f>
        <v>#REF!</v>
      </c>
      <c r="DP250" t="e">
        <f>AND(#REF!,"AAAAAHZ793c=")</f>
        <v>#REF!</v>
      </c>
      <c r="DQ250" t="e">
        <f>AND(#REF!,"AAAAAHZ793g=")</f>
        <v>#REF!</v>
      </c>
      <c r="DR250" t="e">
        <f>IF(#REF!,"AAAAAHZ793k=",0)</f>
        <v>#REF!</v>
      </c>
      <c r="DS250" t="e">
        <f>AND(#REF!,"AAAAAHZ793o=")</f>
        <v>#REF!</v>
      </c>
      <c r="DT250" t="e">
        <f>AND(#REF!,"AAAAAHZ793s=")</f>
        <v>#REF!</v>
      </c>
      <c r="DU250" t="e">
        <f>AND(#REF!,"AAAAAHZ793w=")</f>
        <v>#REF!</v>
      </c>
      <c r="DV250" t="e">
        <f>AND(#REF!,"AAAAAHZ7930=")</f>
        <v>#REF!</v>
      </c>
      <c r="DW250" t="e">
        <f>AND(#REF!,"AAAAAHZ7934=")</f>
        <v>#REF!</v>
      </c>
      <c r="DX250" t="e">
        <f>AND(#REF!,"AAAAAHZ7938=")</f>
        <v>#REF!</v>
      </c>
      <c r="DY250" t="e">
        <f>AND(#REF!,"AAAAAHZ794A=")</f>
        <v>#REF!</v>
      </c>
      <c r="DZ250" t="e">
        <f>AND(#REF!,"AAAAAHZ794E=")</f>
        <v>#REF!</v>
      </c>
      <c r="EA250" t="e">
        <f>AND(#REF!,"AAAAAHZ794I=")</f>
        <v>#REF!</v>
      </c>
      <c r="EB250" t="e">
        <f>AND(#REF!,"AAAAAHZ794M=")</f>
        <v>#REF!</v>
      </c>
      <c r="EC250" t="e">
        <f>AND(#REF!,"AAAAAHZ794Q=")</f>
        <v>#REF!</v>
      </c>
      <c r="ED250" t="e">
        <f>AND(#REF!,"AAAAAHZ794U=")</f>
        <v>#REF!</v>
      </c>
      <c r="EE250" t="e">
        <f>AND(#REF!,"AAAAAHZ794Y=")</f>
        <v>#REF!</v>
      </c>
      <c r="EF250" t="e">
        <f>IF(#REF!,"AAAAAHZ794c=",0)</f>
        <v>#REF!</v>
      </c>
      <c r="EG250" t="e">
        <f>AND(#REF!,"AAAAAHZ794g=")</f>
        <v>#REF!</v>
      </c>
      <c r="EH250" t="e">
        <f>AND(#REF!,"AAAAAHZ794k=")</f>
        <v>#REF!</v>
      </c>
      <c r="EI250" t="e">
        <f>AND(#REF!,"AAAAAHZ794o=")</f>
        <v>#REF!</v>
      </c>
      <c r="EJ250" t="e">
        <f>AND(#REF!,"AAAAAHZ794s=")</f>
        <v>#REF!</v>
      </c>
      <c r="EK250" t="e">
        <f>AND(#REF!,"AAAAAHZ794w=")</f>
        <v>#REF!</v>
      </c>
      <c r="EL250" t="e">
        <f>AND(#REF!,"AAAAAHZ7940=")</f>
        <v>#REF!</v>
      </c>
      <c r="EM250" t="e">
        <f>AND(#REF!,"AAAAAHZ7944=")</f>
        <v>#REF!</v>
      </c>
      <c r="EN250" t="e">
        <f>AND(#REF!,"AAAAAHZ7948=")</f>
        <v>#REF!</v>
      </c>
      <c r="EO250" t="e">
        <f>AND(#REF!,"AAAAAHZ795A=")</f>
        <v>#REF!</v>
      </c>
      <c r="EP250" t="e">
        <f>AND(#REF!,"AAAAAHZ795E=")</f>
        <v>#REF!</v>
      </c>
      <c r="EQ250" t="e">
        <f>AND(#REF!,"AAAAAHZ795I=")</f>
        <v>#REF!</v>
      </c>
      <c r="ER250" t="e">
        <f>AND(#REF!,"AAAAAHZ795M=")</f>
        <v>#REF!</v>
      </c>
      <c r="ES250" t="e">
        <f>AND(#REF!,"AAAAAHZ795Q=")</f>
        <v>#REF!</v>
      </c>
      <c r="ET250" t="e">
        <f>IF(#REF!,"AAAAAHZ795U=",0)</f>
        <v>#REF!</v>
      </c>
      <c r="EU250" t="e">
        <f>AND(#REF!,"AAAAAHZ795Y=")</f>
        <v>#REF!</v>
      </c>
      <c r="EV250" t="e">
        <f>AND(#REF!,"AAAAAHZ795c=")</f>
        <v>#REF!</v>
      </c>
      <c r="EW250" t="e">
        <f>AND(#REF!,"AAAAAHZ795g=")</f>
        <v>#REF!</v>
      </c>
      <c r="EX250" t="e">
        <f>AND(#REF!,"AAAAAHZ795k=")</f>
        <v>#REF!</v>
      </c>
      <c r="EY250" t="e">
        <f>AND(#REF!,"AAAAAHZ795o=")</f>
        <v>#REF!</v>
      </c>
      <c r="EZ250" t="e">
        <f>AND(#REF!,"AAAAAHZ795s=")</f>
        <v>#REF!</v>
      </c>
      <c r="FA250" t="e">
        <f>AND(#REF!,"AAAAAHZ795w=")</f>
        <v>#REF!</v>
      </c>
      <c r="FB250" t="e">
        <f>AND(#REF!,"AAAAAHZ7950=")</f>
        <v>#REF!</v>
      </c>
      <c r="FC250" t="e">
        <f>AND(#REF!,"AAAAAHZ7954=")</f>
        <v>#REF!</v>
      </c>
      <c r="FD250" t="e">
        <f>AND(#REF!,"AAAAAHZ7958=")</f>
        <v>#REF!</v>
      </c>
      <c r="FE250" t="e">
        <f>AND(#REF!,"AAAAAHZ796A=")</f>
        <v>#REF!</v>
      </c>
      <c r="FF250" t="e">
        <f>AND(#REF!,"AAAAAHZ796E=")</f>
        <v>#REF!</v>
      </c>
      <c r="FG250" t="e">
        <f>AND(#REF!,"AAAAAHZ796I=")</f>
        <v>#REF!</v>
      </c>
      <c r="FH250" t="e">
        <f>IF(#REF!,"AAAAAHZ796M=",0)</f>
        <v>#REF!</v>
      </c>
      <c r="FI250" t="e">
        <f>AND(#REF!,"AAAAAHZ796Q=")</f>
        <v>#REF!</v>
      </c>
      <c r="FJ250" t="e">
        <f>AND(#REF!,"AAAAAHZ796U=")</f>
        <v>#REF!</v>
      </c>
      <c r="FK250" t="e">
        <f>AND(#REF!,"AAAAAHZ796Y=")</f>
        <v>#REF!</v>
      </c>
      <c r="FL250" t="e">
        <f>AND(#REF!,"AAAAAHZ796c=")</f>
        <v>#REF!</v>
      </c>
      <c r="FM250" t="e">
        <f>AND(#REF!,"AAAAAHZ796g=")</f>
        <v>#REF!</v>
      </c>
      <c r="FN250" t="e">
        <f>AND(#REF!,"AAAAAHZ796k=")</f>
        <v>#REF!</v>
      </c>
      <c r="FO250" t="e">
        <f>AND(#REF!,"AAAAAHZ796o=")</f>
        <v>#REF!</v>
      </c>
      <c r="FP250" t="e">
        <f>AND(#REF!,"AAAAAHZ796s=")</f>
        <v>#REF!</v>
      </c>
      <c r="FQ250" t="e">
        <f>AND(#REF!,"AAAAAHZ796w=")</f>
        <v>#REF!</v>
      </c>
      <c r="FR250" t="e">
        <f>AND(#REF!,"AAAAAHZ7960=")</f>
        <v>#REF!</v>
      </c>
      <c r="FS250" t="e">
        <f>AND(#REF!,"AAAAAHZ7964=")</f>
        <v>#REF!</v>
      </c>
      <c r="FT250" t="e">
        <f>AND(#REF!,"AAAAAHZ7968=")</f>
        <v>#REF!</v>
      </c>
      <c r="FU250" t="e">
        <f>AND(#REF!,"AAAAAHZ797A=")</f>
        <v>#REF!</v>
      </c>
      <c r="FV250" t="e">
        <f>IF(#REF!,"AAAAAHZ797E=",0)</f>
        <v>#REF!</v>
      </c>
      <c r="FW250" t="e">
        <f>AND(#REF!,"AAAAAHZ797I=")</f>
        <v>#REF!</v>
      </c>
      <c r="FX250" t="e">
        <f>AND(#REF!,"AAAAAHZ797M=")</f>
        <v>#REF!</v>
      </c>
      <c r="FY250" t="e">
        <f>AND(#REF!,"AAAAAHZ797Q=")</f>
        <v>#REF!</v>
      </c>
      <c r="FZ250" t="e">
        <f>AND(#REF!,"AAAAAHZ797U=")</f>
        <v>#REF!</v>
      </c>
      <c r="GA250" t="e">
        <f>AND(#REF!,"AAAAAHZ797Y=")</f>
        <v>#REF!</v>
      </c>
      <c r="GB250" t="e">
        <f>AND(#REF!,"AAAAAHZ797c=")</f>
        <v>#REF!</v>
      </c>
      <c r="GC250" t="e">
        <f>AND(#REF!,"AAAAAHZ797g=")</f>
        <v>#REF!</v>
      </c>
      <c r="GD250" t="e">
        <f>AND(#REF!,"AAAAAHZ797k=")</f>
        <v>#REF!</v>
      </c>
      <c r="GE250" t="e">
        <f>AND(#REF!,"AAAAAHZ797o=")</f>
        <v>#REF!</v>
      </c>
      <c r="GF250" t="e">
        <f>AND(#REF!,"AAAAAHZ797s=")</f>
        <v>#REF!</v>
      </c>
      <c r="GG250" t="e">
        <f>AND(#REF!,"AAAAAHZ797w=")</f>
        <v>#REF!</v>
      </c>
      <c r="GH250" t="e">
        <f>AND(#REF!,"AAAAAHZ7970=")</f>
        <v>#REF!</v>
      </c>
      <c r="GI250" t="e">
        <f>AND(#REF!,"AAAAAHZ7974=")</f>
        <v>#REF!</v>
      </c>
      <c r="GJ250" t="e">
        <f>IF(#REF!,"AAAAAHZ7978=",0)</f>
        <v>#REF!</v>
      </c>
      <c r="GK250" t="e">
        <f>AND(#REF!,"AAAAAHZ798A=")</f>
        <v>#REF!</v>
      </c>
      <c r="GL250" t="e">
        <f>AND(#REF!,"AAAAAHZ798E=")</f>
        <v>#REF!</v>
      </c>
      <c r="GM250" t="e">
        <f>AND(#REF!,"AAAAAHZ798I=")</f>
        <v>#REF!</v>
      </c>
      <c r="GN250" t="e">
        <f>AND(#REF!,"AAAAAHZ798M=")</f>
        <v>#REF!</v>
      </c>
      <c r="GO250" t="e">
        <f>AND(#REF!,"AAAAAHZ798Q=")</f>
        <v>#REF!</v>
      </c>
      <c r="GP250" t="e">
        <f>AND(#REF!,"AAAAAHZ798U=")</f>
        <v>#REF!</v>
      </c>
      <c r="GQ250" t="e">
        <f>AND(#REF!,"AAAAAHZ798Y=")</f>
        <v>#REF!</v>
      </c>
      <c r="GR250" t="e">
        <f>AND(#REF!,"AAAAAHZ798c=")</f>
        <v>#REF!</v>
      </c>
      <c r="GS250" t="e">
        <f>AND(#REF!,"AAAAAHZ798g=")</f>
        <v>#REF!</v>
      </c>
      <c r="GT250" t="e">
        <f>AND(#REF!,"AAAAAHZ798k=")</f>
        <v>#REF!</v>
      </c>
      <c r="GU250" t="e">
        <f>AND(#REF!,"AAAAAHZ798o=")</f>
        <v>#REF!</v>
      </c>
      <c r="GV250" t="e">
        <f>AND(#REF!,"AAAAAHZ798s=")</f>
        <v>#REF!</v>
      </c>
      <c r="GW250" t="e">
        <f>AND(#REF!,"AAAAAHZ798w=")</f>
        <v>#REF!</v>
      </c>
      <c r="GX250" t="e">
        <f>IF(#REF!,"AAAAAHZ7980=",0)</f>
        <v>#REF!</v>
      </c>
      <c r="GY250" t="e">
        <f>AND(#REF!,"AAAAAHZ7984=")</f>
        <v>#REF!</v>
      </c>
      <c r="GZ250" t="e">
        <f>AND(#REF!,"AAAAAHZ7988=")</f>
        <v>#REF!</v>
      </c>
      <c r="HA250" t="e">
        <f>AND(#REF!,"AAAAAHZ799A=")</f>
        <v>#REF!</v>
      </c>
      <c r="HB250" t="e">
        <f>AND(#REF!,"AAAAAHZ799E=")</f>
        <v>#REF!</v>
      </c>
      <c r="HC250" t="e">
        <f>AND(#REF!,"AAAAAHZ799I=")</f>
        <v>#REF!</v>
      </c>
      <c r="HD250" t="e">
        <f>AND(#REF!,"AAAAAHZ799M=")</f>
        <v>#REF!</v>
      </c>
      <c r="HE250" t="e">
        <f>AND(#REF!,"AAAAAHZ799Q=")</f>
        <v>#REF!</v>
      </c>
      <c r="HF250" t="e">
        <f>AND(#REF!,"AAAAAHZ799U=")</f>
        <v>#REF!</v>
      </c>
      <c r="HG250" t="e">
        <f>AND(#REF!,"AAAAAHZ799Y=")</f>
        <v>#REF!</v>
      </c>
      <c r="HH250" t="e">
        <f>AND(#REF!,"AAAAAHZ799c=")</f>
        <v>#REF!</v>
      </c>
      <c r="HI250" t="e">
        <f>AND(#REF!,"AAAAAHZ799g=")</f>
        <v>#REF!</v>
      </c>
      <c r="HJ250" t="e">
        <f>AND(#REF!,"AAAAAHZ799k=")</f>
        <v>#REF!</v>
      </c>
      <c r="HK250" t="e">
        <f>AND(#REF!,"AAAAAHZ799o=")</f>
        <v>#REF!</v>
      </c>
      <c r="HL250" t="e">
        <f>IF(#REF!,"AAAAAHZ799s=",0)</f>
        <v>#REF!</v>
      </c>
      <c r="HM250" t="e">
        <f>AND(#REF!,"AAAAAHZ799w=")</f>
        <v>#REF!</v>
      </c>
      <c r="HN250" t="e">
        <f>AND(#REF!,"AAAAAHZ7990=")</f>
        <v>#REF!</v>
      </c>
      <c r="HO250" t="e">
        <f>AND(#REF!,"AAAAAHZ7994=")</f>
        <v>#REF!</v>
      </c>
      <c r="HP250" t="e">
        <f>AND(#REF!,"AAAAAHZ7998=")</f>
        <v>#REF!</v>
      </c>
      <c r="HQ250" t="e">
        <f>AND(#REF!,"AAAAAHZ79+A=")</f>
        <v>#REF!</v>
      </c>
      <c r="HR250" t="e">
        <f>AND(#REF!,"AAAAAHZ79+E=")</f>
        <v>#REF!</v>
      </c>
      <c r="HS250" t="e">
        <f>AND(#REF!,"AAAAAHZ79+I=")</f>
        <v>#REF!</v>
      </c>
      <c r="HT250" t="e">
        <f>AND(#REF!,"AAAAAHZ79+M=")</f>
        <v>#REF!</v>
      </c>
      <c r="HU250" t="e">
        <f>AND(#REF!,"AAAAAHZ79+Q=")</f>
        <v>#REF!</v>
      </c>
      <c r="HV250" t="e">
        <f>AND(#REF!,"AAAAAHZ79+U=")</f>
        <v>#REF!</v>
      </c>
      <c r="HW250" t="e">
        <f>AND(#REF!,"AAAAAHZ79+Y=")</f>
        <v>#REF!</v>
      </c>
      <c r="HX250" t="e">
        <f>AND(#REF!,"AAAAAHZ79+c=")</f>
        <v>#REF!</v>
      </c>
      <c r="HY250" t="e">
        <f>AND(#REF!,"AAAAAHZ79+g=")</f>
        <v>#REF!</v>
      </c>
      <c r="HZ250" t="e">
        <f>IF(#REF!,"AAAAAHZ79+k=",0)</f>
        <v>#REF!</v>
      </c>
      <c r="IA250" t="e">
        <f>AND(#REF!,"AAAAAHZ79+o=")</f>
        <v>#REF!</v>
      </c>
      <c r="IB250" t="e">
        <f>AND(#REF!,"AAAAAHZ79+s=")</f>
        <v>#REF!</v>
      </c>
      <c r="IC250" t="e">
        <f>AND(#REF!,"AAAAAHZ79+w=")</f>
        <v>#REF!</v>
      </c>
      <c r="ID250" t="e">
        <f>AND(#REF!,"AAAAAHZ79+0=")</f>
        <v>#REF!</v>
      </c>
      <c r="IE250" t="e">
        <f>AND(#REF!,"AAAAAHZ79+4=")</f>
        <v>#REF!</v>
      </c>
      <c r="IF250" t="e">
        <f>AND(#REF!,"AAAAAHZ79+8=")</f>
        <v>#REF!</v>
      </c>
      <c r="IG250" t="e">
        <f>AND(#REF!,"AAAAAHZ79/A=")</f>
        <v>#REF!</v>
      </c>
      <c r="IH250" t="e">
        <f>AND(#REF!,"AAAAAHZ79/E=")</f>
        <v>#REF!</v>
      </c>
      <c r="II250" t="e">
        <f>AND(#REF!,"AAAAAHZ79/I=")</f>
        <v>#REF!</v>
      </c>
      <c r="IJ250" t="e">
        <f>AND(#REF!,"AAAAAHZ79/M=")</f>
        <v>#REF!</v>
      </c>
      <c r="IK250" t="e">
        <f>AND(#REF!,"AAAAAHZ79/Q=")</f>
        <v>#REF!</v>
      </c>
      <c r="IL250" t="e">
        <f>AND(#REF!,"AAAAAHZ79/U=")</f>
        <v>#REF!</v>
      </c>
      <c r="IM250" t="e">
        <f>AND(#REF!,"AAAAAHZ79/Y=")</f>
        <v>#REF!</v>
      </c>
      <c r="IN250" t="e">
        <f>IF(#REF!,"AAAAAHZ79/c=",0)</f>
        <v>#REF!</v>
      </c>
      <c r="IO250" t="e">
        <f>AND(#REF!,"AAAAAHZ79/g=")</f>
        <v>#REF!</v>
      </c>
      <c r="IP250" t="e">
        <f>AND(#REF!,"AAAAAHZ79/k=")</f>
        <v>#REF!</v>
      </c>
      <c r="IQ250" t="e">
        <f>AND(#REF!,"AAAAAHZ79/o=")</f>
        <v>#REF!</v>
      </c>
      <c r="IR250" t="e">
        <f>AND(#REF!,"AAAAAHZ79/s=")</f>
        <v>#REF!</v>
      </c>
      <c r="IS250" t="e">
        <f>AND(#REF!,"AAAAAHZ79/w=")</f>
        <v>#REF!</v>
      </c>
      <c r="IT250" t="e">
        <f>AND(#REF!,"AAAAAHZ79/0=")</f>
        <v>#REF!</v>
      </c>
      <c r="IU250" t="e">
        <f>AND(#REF!,"AAAAAHZ79/4=")</f>
        <v>#REF!</v>
      </c>
      <c r="IV250" t="e">
        <f>AND(#REF!,"AAAAAHZ79/8=")</f>
        <v>#REF!</v>
      </c>
    </row>
    <row r="251" spans="1:256" x14ac:dyDescent="0.2">
      <c r="A251" t="e">
        <f>AND(#REF!,"AAAAAFfOrwA=")</f>
        <v>#REF!</v>
      </c>
      <c r="B251" t="e">
        <f>AND(#REF!,"AAAAAFfOrwE=")</f>
        <v>#REF!</v>
      </c>
      <c r="C251" t="e">
        <f>AND(#REF!,"AAAAAFfOrwI=")</f>
        <v>#REF!</v>
      </c>
      <c r="D251" t="e">
        <f>AND(#REF!,"AAAAAFfOrwM=")</f>
        <v>#REF!</v>
      </c>
      <c r="E251" t="e">
        <f>AND(#REF!,"AAAAAFfOrwQ=")</f>
        <v>#REF!</v>
      </c>
      <c r="F251" t="e">
        <f>IF(#REF!,"AAAAAFfOrwU=",0)</f>
        <v>#REF!</v>
      </c>
      <c r="G251" t="e">
        <f>AND(#REF!,"AAAAAFfOrwY=")</f>
        <v>#REF!</v>
      </c>
      <c r="H251" t="e">
        <f>AND(#REF!,"AAAAAFfOrwc=")</f>
        <v>#REF!</v>
      </c>
      <c r="I251" t="e">
        <f>AND(#REF!,"AAAAAFfOrwg=")</f>
        <v>#REF!</v>
      </c>
      <c r="J251" t="e">
        <f>AND(#REF!,"AAAAAFfOrwk=")</f>
        <v>#REF!</v>
      </c>
      <c r="K251" t="e">
        <f>AND(#REF!,"AAAAAFfOrwo=")</f>
        <v>#REF!</v>
      </c>
      <c r="L251" t="e">
        <f>AND(#REF!,"AAAAAFfOrws=")</f>
        <v>#REF!</v>
      </c>
      <c r="M251" t="e">
        <f>AND(#REF!,"AAAAAFfOrww=")</f>
        <v>#REF!</v>
      </c>
      <c r="N251" t="e">
        <f>AND(#REF!,"AAAAAFfOrw0=")</f>
        <v>#REF!</v>
      </c>
      <c r="O251" t="e">
        <f>AND(#REF!,"AAAAAFfOrw4=")</f>
        <v>#REF!</v>
      </c>
      <c r="P251" t="e">
        <f>AND(#REF!,"AAAAAFfOrw8=")</f>
        <v>#REF!</v>
      </c>
      <c r="Q251" t="e">
        <f>AND(#REF!,"AAAAAFfOrxA=")</f>
        <v>#REF!</v>
      </c>
      <c r="R251" t="e">
        <f>AND(#REF!,"AAAAAFfOrxE=")</f>
        <v>#REF!</v>
      </c>
      <c r="S251" t="e">
        <f>AND(#REF!,"AAAAAFfOrxI=")</f>
        <v>#REF!</v>
      </c>
      <c r="T251" t="e">
        <f>IF(#REF!,"AAAAAFfOrxM=",0)</f>
        <v>#REF!</v>
      </c>
      <c r="U251" t="e">
        <f>AND(#REF!,"AAAAAFfOrxQ=")</f>
        <v>#REF!</v>
      </c>
      <c r="V251" t="e">
        <f>AND(#REF!,"AAAAAFfOrxU=")</f>
        <v>#REF!</v>
      </c>
      <c r="W251" t="e">
        <f>AND(#REF!,"AAAAAFfOrxY=")</f>
        <v>#REF!</v>
      </c>
      <c r="X251" t="e">
        <f>AND(#REF!,"AAAAAFfOrxc=")</f>
        <v>#REF!</v>
      </c>
      <c r="Y251" t="e">
        <f>AND(#REF!,"AAAAAFfOrxg=")</f>
        <v>#REF!</v>
      </c>
      <c r="Z251" t="e">
        <f>AND(#REF!,"AAAAAFfOrxk=")</f>
        <v>#REF!</v>
      </c>
      <c r="AA251" t="e">
        <f>AND(#REF!,"AAAAAFfOrxo=")</f>
        <v>#REF!</v>
      </c>
      <c r="AB251" t="e">
        <f>AND(#REF!,"AAAAAFfOrxs=")</f>
        <v>#REF!</v>
      </c>
      <c r="AC251" t="e">
        <f>AND(#REF!,"AAAAAFfOrxw=")</f>
        <v>#REF!</v>
      </c>
      <c r="AD251" t="e">
        <f>AND(#REF!,"AAAAAFfOrx0=")</f>
        <v>#REF!</v>
      </c>
      <c r="AE251" t="e">
        <f>AND(#REF!,"AAAAAFfOrx4=")</f>
        <v>#REF!</v>
      </c>
      <c r="AF251" t="e">
        <f>AND(#REF!,"AAAAAFfOrx8=")</f>
        <v>#REF!</v>
      </c>
      <c r="AG251" t="e">
        <f>AND(#REF!,"AAAAAFfOryA=")</f>
        <v>#REF!</v>
      </c>
      <c r="AH251" t="e">
        <f>IF(#REF!,"AAAAAFfOryE=",0)</f>
        <v>#REF!</v>
      </c>
      <c r="AI251" t="e">
        <f>AND(#REF!,"AAAAAFfOryI=")</f>
        <v>#REF!</v>
      </c>
      <c r="AJ251" t="e">
        <f>AND(#REF!,"AAAAAFfOryM=")</f>
        <v>#REF!</v>
      </c>
      <c r="AK251" t="e">
        <f>AND(#REF!,"AAAAAFfOryQ=")</f>
        <v>#REF!</v>
      </c>
      <c r="AL251" t="e">
        <f>AND(#REF!,"AAAAAFfOryU=")</f>
        <v>#REF!</v>
      </c>
      <c r="AM251" t="e">
        <f>AND(#REF!,"AAAAAFfOryY=")</f>
        <v>#REF!</v>
      </c>
      <c r="AN251" t="e">
        <f>AND(#REF!,"AAAAAFfOryc=")</f>
        <v>#REF!</v>
      </c>
      <c r="AO251" t="e">
        <f>AND(#REF!,"AAAAAFfOryg=")</f>
        <v>#REF!</v>
      </c>
      <c r="AP251" t="e">
        <f>AND(#REF!,"AAAAAFfOryk=")</f>
        <v>#REF!</v>
      </c>
      <c r="AQ251" t="e">
        <f>AND(#REF!,"AAAAAFfOryo=")</f>
        <v>#REF!</v>
      </c>
      <c r="AR251" t="e">
        <f>AND(#REF!,"AAAAAFfOrys=")</f>
        <v>#REF!</v>
      </c>
      <c r="AS251" t="e">
        <f>AND(#REF!,"AAAAAFfOryw=")</f>
        <v>#REF!</v>
      </c>
      <c r="AT251" t="e">
        <f>AND(#REF!,"AAAAAFfOry0=")</f>
        <v>#REF!</v>
      </c>
      <c r="AU251" t="e">
        <f>AND(#REF!,"AAAAAFfOry4=")</f>
        <v>#REF!</v>
      </c>
      <c r="AV251" t="e">
        <f>IF(#REF!,"AAAAAFfOry8=",0)</f>
        <v>#REF!</v>
      </c>
      <c r="AW251" t="e">
        <f>AND(#REF!,"AAAAAFfOrzA=")</f>
        <v>#REF!</v>
      </c>
      <c r="AX251" t="e">
        <f>AND(#REF!,"AAAAAFfOrzE=")</f>
        <v>#REF!</v>
      </c>
      <c r="AY251" t="e">
        <f>AND(#REF!,"AAAAAFfOrzI=")</f>
        <v>#REF!</v>
      </c>
      <c r="AZ251" t="e">
        <f>AND(#REF!,"AAAAAFfOrzM=")</f>
        <v>#REF!</v>
      </c>
      <c r="BA251" t="e">
        <f>AND(#REF!,"AAAAAFfOrzQ=")</f>
        <v>#REF!</v>
      </c>
      <c r="BB251" t="e">
        <f>AND(#REF!,"AAAAAFfOrzU=")</f>
        <v>#REF!</v>
      </c>
      <c r="BC251" t="e">
        <f>AND(#REF!,"AAAAAFfOrzY=")</f>
        <v>#REF!</v>
      </c>
      <c r="BD251" t="e">
        <f>AND(#REF!,"AAAAAFfOrzc=")</f>
        <v>#REF!</v>
      </c>
      <c r="BE251" t="e">
        <f>AND(#REF!,"AAAAAFfOrzg=")</f>
        <v>#REF!</v>
      </c>
      <c r="BF251" t="e">
        <f>AND(#REF!,"AAAAAFfOrzk=")</f>
        <v>#REF!</v>
      </c>
      <c r="BG251" t="e">
        <f>AND(#REF!,"AAAAAFfOrzo=")</f>
        <v>#REF!</v>
      </c>
      <c r="BH251" t="e">
        <f>AND(#REF!,"AAAAAFfOrzs=")</f>
        <v>#REF!</v>
      </c>
      <c r="BI251" t="e">
        <f>AND(#REF!,"AAAAAFfOrzw=")</f>
        <v>#REF!</v>
      </c>
      <c r="BJ251" t="e">
        <f>IF(#REF!,"AAAAAFfOrz0=",0)</f>
        <v>#REF!</v>
      </c>
      <c r="BK251" t="e">
        <f>AND(#REF!,"AAAAAFfOrz4=")</f>
        <v>#REF!</v>
      </c>
      <c r="BL251" t="e">
        <f>AND(#REF!,"AAAAAFfOrz8=")</f>
        <v>#REF!</v>
      </c>
      <c r="BM251" t="e">
        <f>AND(#REF!,"AAAAAFfOr0A=")</f>
        <v>#REF!</v>
      </c>
      <c r="BN251" t="e">
        <f>AND(#REF!,"AAAAAFfOr0E=")</f>
        <v>#REF!</v>
      </c>
      <c r="BO251" t="e">
        <f>AND(#REF!,"AAAAAFfOr0I=")</f>
        <v>#REF!</v>
      </c>
      <c r="BP251" t="e">
        <f>AND(#REF!,"AAAAAFfOr0M=")</f>
        <v>#REF!</v>
      </c>
      <c r="BQ251" t="e">
        <f>AND(#REF!,"AAAAAFfOr0Q=")</f>
        <v>#REF!</v>
      </c>
      <c r="BR251" t="e">
        <f>AND(#REF!,"AAAAAFfOr0U=")</f>
        <v>#REF!</v>
      </c>
      <c r="BS251" t="e">
        <f>AND(#REF!,"AAAAAFfOr0Y=")</f>
        <v>#REF!</v>
      </c>
      <c r="BT251" t="e">
        <f>AND(#REF!,"AAAAAFfOr0c=")</f>
        <v>#REF!</v>
      </c>
      <c r="BU251" t="e">
        <f>AND(#REF!,"AAAAAFfOr0g=")</f>
        <v>#REF!</v>
      </c>
      <c r="BV251" t="e">
        <f>AND(#REF!,"AAAAAFfOr0k=")</f>
        <v>#REF!</v>
      </c>
      <c r="BW251" t="e">
        <f>AND(#REF!,"AAAAAFfOr0o=")</f>
        <v>#REF!</v>
      </c>
      <c r="BX251" t="e">
        <f>IF(#REF!,"AAAAAFfOr0s=",0)</f>
        <v>#REF!</v>
      </c>
      <c r="BY251" t="e">
        <f>AND(#REF!,"AAAAAFfOr0w=")</f>
        <v>#REF!</v>
      </c>
      <c r="BZ251" t="e">
        <f>AND(#REF!,"AAAAAFfOr00=")</f>
        <v>#REF!</v>
      </c>
      <c r="CA251" t="e">
        <f>AND(#REF!,"AAAAAFfOr04=")</f>
        <v>#REF!</v>
      </c>
      <c r="CB251" t="e">
        <f>AND(#REF!,"AAAAAFfOr08=")</f>
        <v>#REF!</v>
      </c>
      <c r="CC251" t="e">
        <f>AND(#REF!,"AAAAAFfOr1A=")</f>
        <v>#REF!</v>
      </c>
      <c r="CD251" t="e">
        <f>AND(#REF!,"AAAAAFfOr1E=")</f>
        <v>#REF!</v>
      </c>
      <c r="CE251" t="e">
        <f>AND(#REF!,"AAAAAFfOr1I=")</f>
        <v>#REF!</v>
      </c>
      <c r="CF251" t="e">
        <f>AND(#REF!,"AAAAAFfOr1M=")</f>
        <v>#REF!</v>
      </c>
      <c r="CG251" t="e">
        <f>AND(#REF!,"AAAAAFfOr1Q=")</f>
        <v>#REF!</v>
      </c>
      <c r="CH251" t="e">
        <f>AND(#REF!,"AAAAAFfOr1U=")</f>
        <v>#REF!</v>
      </c>
      <c r="CI251" t="e">
        <f>AND(#REF!,"AAAAAFfOr1Y=")</f>
        <v>#REF!</v>
      </c>
      <c r="CJ251" t="e">
        <f>AND(#REF!,"AAAAAFfOr1c=")</f>
        <v>#REF!</v>
      </c>
      <c r="CK251" t="e">
        <f>AND(#REF!,"AAAAAFfOr1g=")</f>
        <v>#REF!</v>
      </c>
      <c r="CL251" t="e">
        <f>IF(#REF!,"AAAAAFfOr1k=",0)</f>
        <v>#REF!</v>
      </c>
      <c r="CM251" t="e">
        <f>AND(#REF!,"AAAAAFfOr1o=")</f>
        <v>#REF!</v>
      </c>
      <c r="CN251" t="e">
        <f>AND(#REF!,"AAAAAFfOr1s=")</f>
        <v>#REF!</v>
      </c>
      <c r="CO251" t="e">
        <f>AND(#REF!,"AAAAAFfOr1w=")</f>
        <v>#REF!</v>
      </c>
      <c r="CP251" t="e">
        <f>AND(#REF!,"AAAAAFfOr10=")</f>
        <v>#REF!</v>
      </c>
      <c r="CQ251" t="e">
        <f>AND(#REF!,"AAAAAFfOr14=")</f>
        <v>#REF!</v>
      </c>
      <c r="CR251" t="e">
        <f>AND(#REF!,"AAAAAFfOr18=")</f>
        <v>#REF!</v>
      </c>
      <c r="CS251" t="e">
        <f>AND(#REF!,"AAAAAFfOr2A=")</f>
        <v>#REF!</v>
      </c>
      <c r="CT251" t="e">
        <f>AND(#REF!,"AAAAAFfOr2E=")</f>
        <v>#REF!</v>
      </c>
      <c r="CU251" t="e">
        <f>AND(#REF!,"AAAAAFfOr2I=")</f>
        <v>#REF!</v>
      </c>
      <c r="CV251" t="e">
        <f>AND(#REF!,"AAAAAFfOr2M=")</f>
        <v>#REF!</v>
      </c>
      <c r="CW251" t="e">
        <f>AND(#REF!,"AAAAAFfOr2Q=")</f>
        <v>#REF!</v>
      </c>
      <c r="CX251" t="e">
        <f>AND(#REF!,"AAAAAFfOr2U=")</f>
        <v>#REF!</v>
      </c>
      <c r="CY251" t="e">
        <f>AND(#REF!,"AAAAAFfOr2Y=")</f>
        <v>#REF!</v>
      </c>
      <c r="CZ251" t="e">
        <f>IF(#REF!,"AAAAAFfOr2c=",0)</f>
        <v>#REF!</v>
      </c>
      <c r="DA251" t="e">
        <f>AND(#REF!,"AAAAAFfOr2g=")</f>
        <v>#REF!</v>
      </c>
      <c r="DB251" t="e">
        <f>AND(#REF!,"AAAAAFfOr2k=")</f>
        <v>#REF!</v>
      </c>
      <c r="DC251" t="e">
        <f>AND(#REF!,"AAAAAFfOr2o=")</f>
        <v>#REF!</v>
      </c>
      <c r="DD251" t="e">
        <f>AND(#REF!,"AAAAAFfOr2s=")</f>
        <v>#REF!</v>
      </c>
      <c r="DE251" t="e">
        <f>AND(#REF!,"AAAAAFfOr2w=")</f>
        <v>#REF!</v>
      </c>
      <c r="DF251" t="e">
        <f>AND(#REF!,"AAAAAFfOr20=")</f>
        <v>#REF!</v>
      </c>
      <c r="DG251" t="e">
        <f>AND(#REF!,"AAAAAFfOr24=")</f>
        <v>#REF!</v>
      </c>
      <c r="DH251" t="e">
        <f>AND(#REF!,"AAAAAFfOr28=")</f>
        <v>#REF!</v>
      </c>
      <c r="DI251" t="e">
        <f>AND(#REF!,"AAAAAFfOr3A=")</f>
        <v>#REF!</v>
      </c>
      <c r="DJ251" t="e">
        <f>AND(#REF!,"AAAAAFfOr3E=")</f>
        <v>#REF!</v>
      </c>
      <c r="DK251" t="e">
        <f>AND(#REF!,"AAAAAFfOr3I=")</f>
        <v>#REF!</v>
      </c>
      <c r="DL251" t="e">
        <f>AND(#REF!,"AAAAAFfOr3M=")</f>
        <v>#REF!</v>
      </c>
      <c r="DM251" t="e">
        <f>AND(#REF!,"AAAAAFfOr3Q=")</f>
        <v>#REF!</v>
      </c>
      <c r="DN251" t="e">
        <f>IF(#REF!,"AAAAAFfOr3U=",0)</f>
        <v>#REF!</v>
      </c>
      <c r="DO251" t="e">
        <f>AND(#REF!,"AAAAAFfOr3Y=")</f>
        <v>#REF!</v>
      </c>
      <c r="DP251" t="e">
        <f>AND(#REF!,"AAAAAFfOr3c=")</f>
        <v>#REF!</v>
      </c>
      <c r="DQ251" t="e">
        <f>AND(#REF!,"AAAAAFfOr3g=")</f>
        <v>#REF!</v>
      </c>
      <c r="DR251" t="e">
        <f>AND(#REF!,"AAAAAFfOr3k=")</f>
        <v>#REF!</v>
      </c>
      <c r="DS251" t="e">
        <f>AND(#REF!,"AAAAAFfOr3o=")</f>
        <v>#REF!</v>
      </c>
      <c r="DT251" t="e">
        <f>AND(#REF!,"AAAAAFfOr3s=")</f>
        <v>#REF!</v>
      </c>
      <c r="DU251" t="e">
        <f>AND(#REF!,"AAAAAFfOr3w=")</f>
        <v>#REF!</v>
      </c>
      <c r="DV251" t="e">
        <f>AND(#REF!,"AAAAAFfOr30=")</f>
        <v>#REF!</v>
      </c>
      <c r="DW251" t="e">
        <f>AND(#REF!,"AAAAAFfOr34=")</f>
        <v>#REF!</v>
      </c>
      <c r="DX251" t="e">
        <f>AND(#REF!,"AAAAAFfOr38=")</f>
        <v>#REF!</v>
      </c>
      <c r="DY251" t="e">
        <f>AND(#REF!,"AAAAAFfOr4A=")</f>
        <v>#REF!</v>
      </c>
      <c r="DZ251" t="e">
        <f>AND(#REF!,"AAAAAFfOr4E=")</f>
        <v>#REF!</v>
      </c>
      <c r="EA251" t="e">
        <f>AND(#REF!,"AAAAAFfOr4I=")</f>
        <v>#REF!</v>
      </c>
      <c r="EB251" t="e">
        <f>IF(#REF!,"AAAAAFfOr4M=",0)</f>
        <v>#REF!</v>
      </c>
      <c r="EC251" t="e">
        <f>AND(#REF!,"AAAAAFfOr4Q=")</f>
        <v>#REF!</v>
      </c>
      <c r="ED251" t="e">
        <f>AND(#REF!,"AAAAAFfOr4U=")</f>
        <v>#REF!</v>
      </c>
      <c r="EE251" t="e">
        <f>AND(#REF!,"AAAAAFfOr4Y=")</f>
        <v>#REF!</v>
      </c>
      <c r="EF251" t="e">
        <f>AND(#REF!,"AAAAAFfOr4c=")</f>
        <v>#REF!</v>
      </c>
      <c r="EG251" t="e">
        <f>AND(#REF!,"AAAAAFfOr4g=")</f>
        <v>#REF!</v>
      </c>
      <c r="EH251" t="e">
        <f>AND(#REF!,"AAAAAFfOr4k=")</f>
        <v>#REF!</v>
      </c>
      <c r="EI251" t="e">
        <f>AND(#REF!,"AAAAAFfOr4o=")</f>
        <v>#REF!</v>
      </c>
      <c r="EJ251" t="e">
        <f>AND(#REF!,"AAAAAFfOr4s=")</f>
        <v>#REF!</v>
      </c>
      <c r="EK251" t="e">
        <f>AND(#REF!,"AAAAAFfOr4w=")</f>
        <v>#REF!</v>
      </c>
      <c r="EL251" t="e">
        <f>AND(#REF!,"AAAAAFfOr40=")</f>
        <v>#REF!</v>
      </c>
      <c r="EM251" t="e">
        <f>AND(#REF!,"AAAAAFfOr44=")</f>
        <v>#REF!</v>
      </c>
      <c r="EN251" t="e">
        <f>AND(#REF!,"AAAAAFfOr48=")</f>
        <v>#REF!</v>
      </c>
      <c r="EO251" t="e">
        <f>AND(#REF!,"AAAAAFfOr5A=")</f>
        <v>#REF!</v>
      </c>
      <c r="EP251" t="e">
        <f>IF(#REF!,"AAAAAFfOr5E=",0)</f>
        <v>#REF!</v>
      </c>
      <c r="EQ251" t="e">
        <f>AND(#REF!,"AAAAAFfOr5I=")</f>
        <v>#REF!</v>
      </c>
      <c r="ER251" t="e">
        <f>AND(#REF!,"AAAAAFfOr5M=")</f>
        <v>#REF!</v>
      </c>
      <c r="ES251" t="e">
        <f>AND(#REF!,"AAAAAFfOr5Q=")</f>
        <v>#REF!</v>
      </c>
      <c r="ET251" t="e">
        <f>AND(#REF!,"AAAAAFfOr5U=")</f>
        <v>#REF!</v>
      </c>
      <c r="EU251" t="e">
        <f>AND(#REF!,"AAAAAFfOr5Y=")</f>
        <v>#REF!</v>
      </c>
      <c r="EV251" t="e">
        <f>AND(#REF!,"AAAAAFfOr5c=")</f>
        <v>#REF!</v>
      </c>
      <c r="EW251" t="e">
        <f>AND(#REF!,"AAAAAFfOr5g=")</f>
        <v>#REF!</v>
      </c>
      <c r="EX251" t="e">
        <f>AND(#REF!,"AAAAAFfOr5k=")</f>
        <v>#REF!</v>
      </c>
      <c r="EY251" t="e">
        <f>AND(#REF!,"AAAAAFfOr5o=")</f>
        <v>#REF!</v>
      </c>
      <c r="EZ251" t="e">
        <f>AND(#REF!,"AAAAAFfOr5s=")</f>
        <v>#REF!</v>
      </c>
      <c r="FA251" t="e">
        <f>AND(#REF!,"AAAAAFfOr5w=")</f>
        <v>#REF!</v>
      </c>
      <c r="FB251" t="e">
        <f>AND(#REF!,"AAAAAFfOr50=")</f>
        <v>#REF!</v>
      </c>
      <c r="FC251" t="e">
        <f>AND(#REF!,"AAAAAFfOr54=")</f>
        <v>#REF!</v>
      </c>
      <c r="FD251" t="e">
        <f>IF(#REF!,"AAAAAFfOr58=",0)</f>
        <v>#REF!</v>
      </c>
      <c r="FE251" t="e">
        <f>AND(#REF!,"AAAAAFfOr6A=")</f>
        <v>#REF!</v>
      </c>
      <c r="FF251" t="e">
        <f>AND(#REF!,"AAAAAFfOr6E=")</f>
        <v>#REF!</v>
      </c>
      <c r="FG251" t="e">
        <f>AND(#REF!,"AAAAAFfOr6I=")</f>
        <v>#REF!</v>
      </c>
      <c r="FH251" t="e">
        <f>AND(#REF!,"AAAAAFfOr6M=")</f>
        <v>#REF!</v>
      </c>
      <c r="FI251" t="e">
        <f>AND(#REF!,"AAAAAFfOr6Q=")</f>
        <v>#REF!</v>
      </c>
      <c r="FJ251" t="e">
        <f>AND(#REF!,"AAAAAFfOr6U=")</f>
        <v>#REF!</v>
      </c>
      <c r="FK251" t="e">
        <f>AND(#REF!,"AAAAAFfOr6Y=")</f>
        <v>#REF!</v>
      </c>
      <c r="FL251" t="e">
        <f>AND(#REF!,"AAAAAFfOr6c=")</f>
        <v>#REF!</v>
      </c>
      <c r="FM251" t="e">
        <f>AND(#REF!,"AAAAAFfOr6g=")</f>
        <v>#REF!</v>
      </c>
      <c r="FN251" t="e">
        <f>AND(#REF!,"AAAAAFfOr6k=")</f>
        <v>#REF!</v>
      </c>
      <c r="FO251" t="e">
        <f>AND(#REF!,"AAAAAFfOr6o=")</f>
        <v>#REF!</v>
      </c>
      <c r="FP251" t="e">
        <f>AND(#REF!,"AAAAAFfOr6s=")</f>
        <v>#REF!</v>
      </c>
      <c r="FQ251" t="e">
        <f>AND(#REF!,"AAAAAFfOr6w=")</f>
        <v>#REF!</v>
      </c>
      <c r="FR251" t="e">
        <f>IF(#REF!,"AAAAAFfOr60=",0)</f>
        <v>#REF!</v>
      </c>
      <c r="FS251" t="e">
        <f>AND(#REF!,"AAAAAFfOr64=")</f>
        <v>#REF!</v>
      </c>
      <c r="FT251" t="e">
        <f>AND(#REF!,"AAAAAFfOr68=")</f>
        <v>#REF!</v>
      </c>
      <c r="FU251" t="e">
        <f>AND(#REF!,"AAAAAFfOr7A=")</f>
        <v>#REF!</v>
      </c>
      <c r="FV251" t="e">
        <f>AND(#REF!,"AAAAAFfOr7E=")</f>
        <v>#REF!</v>
      </c>
      <c r="FW251" t="e">
        <f>AND(#REF!,"AAAAAFfOr7I=")</f>
        <v>#REF!</v>
      </c>
      <c r="FX251" t="e">
        <f>AND(#REF!,"AAAAAFfOr7M=")</f>
        <v>#REF!</v>
      </c>
      <c r="FY251" t="e">
        <f>AND(#REF!,"AAAAAFfOr7Q=")</f>
        <v>#REF!</v>
      </c>
      <c r="FZ251" t="e">
        <f>AND(#REF!,"AAAAAFfOr7U=")</f>
        <v>#REF!</v>
      </c>
      <c r="GA251" t="e">
        <f>AND(#REF!,"AAAAAFfOr7Y=")</f>
        <v>#REF!</v>
      </c>
      <c r="GB251" t="e">
        <f>AND(#REF!,"AAAAAFfOr7c=")</f>
        <v>#REF!</v>
      </c>
      <c r="GC251" t="e">
        <f>AND(#REF!,"AAAAAFfOr7g=")</f>
        <v>#REF!</v>
      </c>
      <c r="GD251" t="e">
        <f>AND(#REF!,"AAAAAFfOr7k=")</f>
        <v>#REF!</v>
      </c>
      <c r="GE251" t="e">
        <f>AND(#REF!,"AAAAAFfOr7o=")</f>
        <v>#REF!</v>
      </c>
      <c r="GF251" t="e">
        <f>IF(#REF!,"AAAAAFfOr7s=",0)</f>
        <v>#REF!</v>
      </c>
      <c r="GG251" t="e">
        <f>AND(#REF!,"AAAAAFfOr7w=")</f>
        <v>#REF!</v>
      </c>
      <c r="GH251" t="e">
        <f>AND(#REF!,"AAAAAFfOr70=")</f>
        <v>#REF!</v>
      </c>
      <c r="GI251" t="e">
        <f>AND(#REF!,"AAAAAFfOr74=")</f>
        <v>#REF!</v>
      </c>
      <c r="GJ251" t="e">
        <f>AND(#REF!,"AAAAAFfOr78=")</f>
        <v>#REF!</v>
      </c>
      <c r="GK251" t="e">
        <f>AND(#REF!,"AAAAAFfOr8A=")</f>
        <v>#REF!</v>
      </c>
      <c r="GL251" t="e">
        <f>AND(#REF!,"AAAAAFfOr8E=")</f>
        <v>#REF!</v>
      </c>
      <c r="GM251" t="e">
        <f>AND(#REF!,"AAAAAFfOr8I=")</f>
        <v>#REF!</v>
      </c>
      <c r="GN251" t="e">
        <f>AND(#REF!,"AAAAAFfOr8M=")</f>
        <v>#REF!</v>
      </c>
      <c r="GO251" t="e">
        <f>AND(#REF!,"AAAAAFfOr8Q=")</f>
        <v>#REF!</v>
      </c>
      <c r="GP251" t="e">
        <f>AND(#REF!,"AAAAAFfOr8U=")</f>
        <v>#REF!</v>
      </c>
      <c r="GQ251" t="e">
        <f>AND(#REF!,"AAAAAFfOr8Y=")</f>
        <v>#REF!</v>
      </c>
      <c r="GR251" t="e">
        <f>AND(#REF!,"AAAAAFfOr8c=")</f>
        <v>#REF!</v>
      </c>
      <c r="GS251" t="e">
        <f>AND(#REF!,"AAAAAFfOr8g=")</f>
        <v>#REF!</v>
      </c>
      <c r="GT251" t="e">
        <f>IF(#REF!,"AAAAAFfOr8k=",0)</f>
        <v>#REF!</v>
      </c>
      <c r="GU251" t="e">
        <f>AND(#REF!,"AAAAAFfOr8o=")</f>
        <v>#REF!</v>
      </c>
      <c r="GV251" t="e">
        <f>AND(#REF!,"AAAAAFfOr8s=")</f>
        <v>#REF!</v>
      </c>
      <c r="GW251" t="e">
        <f>AND(#REF!,"AAAAAFfOr8w=")</f>
        <v>#REF!</v>
      </c>
      <c r="GX251" t="e">
        <f>AND(#REF!,"AAAAAFfOr80=")</f>
        <v>#REF!</v>
      </c>
      <c r="GY251" t="e">
        <f>AND(#REF!,"AAAAAFfOr84=")</f>
        <v>#REF!</v>
      </c>
      <c r="GZ251" t="e">
        <f>AND(#REF!,"AAAAAFfOr88=")</f>
        <v>#REF!</v>
      </c>
      <c r="HA251" t="e">
        <f>AND(#REF!,"AAAAAFfOr9A=")</f>
        <v>#REF!</v>
      </c>
      <c r="HB251" t="e">
        <f>AND(#REF!,"AAAAAFfOr9E=")</f>
        <v>#REF!</v>
      </c>
      <c r="HC251" t="e">
        <f>AND(#REF!,"AAAAAFfOr9I=")</f>
        <v>#REF!</v>
      </c>
      <c r="HD251" t="e">
        <f>AND(#REF!,"AAAAAFfOr9M=")</f>
        <v>#REF!</v>
      </c>
      <c r="HE251" t="e">
        <f>AND(#REF!,"AAAAAFfOr9Q=")</f>
        <v>#REF!</v>
      </c>
      <c r="HF251" t="e">
        <f>AND(#REF!,"AAAAAFfOr9U=")</f>
        <v>#REF!</v>
      </c>
      <c r="HG251" t="e">
        <f>AND(#REF!,"AAAAAFfOr9Y=")</f>
        <v>#REF!</v>
      </c>
      <c r="HH251" t="e">
        <f>IF(#REF!,"AAAAAFfOr9c=",0)</f>
        <v>#REF!</v>
      </c>
      <c r="HI251" t="e">
        <f>AND(#REF!,"AAAAAFfOr9g=")</f>
        <v>#REF!</v>
      </c>
      <c r="HJ251" t="e">
        <f>AND(#REF!,"AAAAAFfOr9k=")</f>
        <v>#REF!</v>
      </c>
      <c r="HK251" t="e">
        <f>AND(#REF!,"AAAAAFfOr9o=")</f>
        <v>#REF!</v>
      </c>
      <c r="HL251" t="e">
        <f>AND(#REF!,"AAAAAFfOr9s=")</f>
        <v>#REF!</v>
      </c>
      <c r="HM251" t="e">
        <f>AND(#REF!,"AAAAAFfOr9w=")</f>
        <v>#REF!</v>
      </c>
      <c r="HN251" t="e">
        <f>AND(#REF!,"AAAAAFfOr90=")</f>
        <v>#REF!</v>
      </c>
      <c r="HO251" t="e">
        <f>AND(#REF!,"AAAAAFfOr94=")</f>
        <v>#REF!</v>
      </c>
      <c r="HP251" t="e">
        <f>AND(#REF!,"AAAAAFfOr98=")</f>
        <v>#REF!</v>
      </c>
      <c r="HQ251" t="e">
        <f>AND(#REF!,"AAAAAFfOr+A=")</f>
        <v>#REF!</v>
      </c>
      <c r="HR251" t="e">
        <f>AND(#REF!,"AAAAAFfOr+E=")</f>
        <v>#REF!</v>
      </c>
      <c r="HS251" t="e">
        <f>AND(#REF!,"AAAAAFfOr+I=")</f>
        <v>#REF!</v>
      </c>
      <c r="HT251" t="e">
        <f>AND(#REF!,"AAAAAFfOr+M=")</f>
        <v>#REF!</v>
      </c>
      <c r="HU251" t="e">
        <f>AND(#REF!,"AAAAAFfOr+Q=")</f>
        <v>#REF!</v>
      </c>
      <c r="HV251" t="e">
        <f>IF(#REF!,"AAAAAFfOr+U=",0)</f>
        <v>#REF!</v>
      </c>
      <c r="HW251" t="e">
        <f>AND(#REF!,"AAAAAFfOr+Y=")</f>
        <v>#REF!</v>
      </c>
      <c r="HX251" t="e">
        <f>AND(#REF!,"AAAAAFfOr+c=")</f>
        <v>#REF!</v>
      </c>
      <c r="HY251" t="e">
        <f>AND(#REF!,"AAAAAFfOr+g=")</f>
        <v>#REF!</v>
      </c>
      <c r="HZ251" t="e">
        <f>AND(#REF!,"AAAAAFfOr+k=")</f>
        <v>#REF!</v>
      </c>
      <c r="IA251" t="e">
        <f>AND(#REF!,"AAAAAFfOr+o=")</f>
        <v>#REF!</v>
      </c>
      <c r="IB251" t="e">
        <f>AND(#REF!,"AAAAAFfOr+s=")</f>
        <v>#REF!</v>
      </c>
      <c r="IC251" t="e">
        <f>AND(#REF!,"AAAAAFfOr+w=")</f>
        <v>#REF!</v>
      </c>
      <c r="ID251" t="e">
        <f>AND(#REF!,"AAAAAFfOr+0=")</f>
        <v>#REF!</v>
      </c>
      <c r="IE251" t="e">
        <f>AND(#REF!,"AAAAAFfOr+4=")</f>
        <v>#REF!</v>
      </c>
      <c r="IF251" t="e">
        <f>AND(#REF!,"AAAAAFfOr+8=")</f>
        <v>#REF!</v>
      </c>
      <c r="IG251" t="e">
        <f>AND(#REF!,"AAAAAFfOr/A=")</f>
        <v>#REF!</v>
      </c>
      <c r="IH251" t="e">
        <f>AND(#REF!,"AAAAAFfOr/E=")</f>
        <v>#REF!</v>
      </c>
      <c r="II251" t="e">
        <f>AND(#REF!,"AAAAAFfOr/I=")</f>
        <v>#REF!</v>
      </c>
      <c r="IJ251" t="e">
        <f>IF(#REF!,"AAAAAFfOr/M=",0)</f>
        <v>#REF!</v>
      </c>
      <c r="IK251" t="e">
        <f>AND(#REF!,"AAAAAFfOr/Q=")</f>
        <v>#REF!</v>
      </c>
      <c r="IL251" t="e">
        <f>AND(#REF!,"AAAAAFfOr/U=")</f>
        <v>#REF!</v>
      </c>
      <c r="IM251" t="e">
        <f>AND(#REF!,"AAAAAFfOr/Y=")</f>
        <v>#REF!</v>
      </c>
      <c r="IN251" t="e">
        <f>AND(#REF!,"AAAAAFfOr/c=")</f>
        <v>#REF!</v>
      </c>
      <c r="IO251" t="e">
        <f>AND(#REF!,"AAAAAFfOr/g=")</f>
        <v>#REF!</v>
      </c>
      <c r="IP251" t="e">
        <f>AND(#REF!,"AAAAAFfOr/k=")</f>
        <v>#REF!</v>
      </c>
      <c r="IQ251" t="e">
        <f>AND(#REF!,"AAAAAFfOr/o=")</f>
        <v>#REF!</v>
      </c>
      <c r="IR251" t="e">
        <f>AND(#REF!,"AAAAAFfOr/s=")</f>
        <v>#REF!</v>
      </c>
      <c r="IS251" t="e">
        <f>AND(#REF!,"AAAAAFfOr/w=")</f>
        <v>#REF!</v>
      </c>
      <c r="IT251" t="e">
        <f>AND(#REF!,"AAAAAFfOr/0=")</f>
        <v>#REF!</v>
      </c>
      <c r="IU251" t="e">
        <f>AND(#REF!,"AAAAAFfOr/4=")</f>
        <v>#REF!</v>
      </c>
      <c r="IV251" t="e">
        <f>AND(#REF!,"AAAAAFfOr/8=")</f>
        <v>#REF!</v>
      </c>
    </row>
    <row r="252" spans="1:256" x14ac:dyDescent="0.2">
      <c r="A252" t="e">
        <f>AND(#REF!,"AAAAAG/00gA=")</f>
        <v>#REF!</v>
      </c>
      <c r="B252" t="e">
        <f>IF(#REF!,"AAAAAG/00gE=",0)</f>
        <v>#REF!</v>
      </c>
      <c r="C252" t="e">
        <f>AND(#REF!,"AAAAAG/00gI=")</f>
        <v>#REF!</v>
      </c>
      <c r="D252" t="e">
        <f>AND(#REF!,"AAAAAG/00gM=")</f>
        <v>#REF!</v>
      </c>
      <c r="E252" t="e">
        <f>AND(#REF!,"AAAAAG/00gQ=")</f>
        <v>#REF!</v>
      </c>
      <c r="F252" t="e">
        <f>AND(#REF!,"AAAAAG/00gU=")</f>
        <v>#REF!</v>
      </c>
      <c r="G252" t="e">
        <f>AND(#REF!,"AAAAAG/00gY=")</f>
        <v>#REF!</v>
      </c>
      <c r="H252" t="e">
        <f>AND(#REF!,"AAAAAG/00gc=")</f>
        <v>#REF!</v>
      </c>
      <c r="I252" t="e">
        <f>AND(#REF!,"AAAAAG/00gg=")</f>
        <v>#REF!</v>
      </c>
      <c r="J252" t="e">
        <f>AND(#REF!,"AAAAAG/00gk=")</f>
        <v>#REF!</v>
      </c>
      <c r="K252" t="e">
        <f>AND(#REF!,"AAAAAG/00go=")</f>
        <v>#REF!</v>
      </c>
      <c r="L252" t="e">
        <f>AND(#REF!,"AAAAAG/00gs=")</f>
        <v>#REF!</v>
      </c>
      <c r="M252" t="e">
        <f>AND(#REF!,"AAAAAG/00gw=")</f>
        <v>#REF!</v>
      </c>
      <c r="N252" t="e">
        <f>AND(#REF!,"AAAAAG/00g0=")</f>
        <v>#REF!</v>
      </c>
      <c r="O252" t="e">
        <f>AND(#REF!,"AAAAAG/00g4=")</f>
        <v>#REF!</v>
      </c>
      <c r="P252" t="e">
        <f>IF(#REF!,"AAAAAG/00g8=",0)</f>
        <v>#REF!</v>
      </c>
      <c r="Q252" t="e">
        <f>AND(#REF!,"AAAAAG/00hA=")</f>
        <v>#REF!</v>
      </c>
      <c r="R252" t="e">
        <f>AND(#REF!,"AAAAAG/00hE=")</f>
        <v>#REF!</v>
      </c>
      <c r="S252" t="e">
        <f>AND(#REF!,"AAAAAG/00hI=")</f>
        <v>#REF!</v>
      </c>
      <c r="T252" t="e">
        <f>AND(#REF!,"AAAAAG/00hM=")</f>
        <v>#REF!</v>
      </c>
      <c r="U252" t="e">
        <f>AND(#REF!,"AAAAAG/00hQ=")</f>
        <v>#REF!</v>
      </c>
      <c r="V252" t="e">
        <f>AND(#REF!,"AAAAAG/00hU=")</f>
        <v>#REF!</v>
      </c>
      <c r="W252" t="e">
        <f>AND(#REF!,"AAAAAG/00hY=")</f>
        <v>#REF!</v>
      </c>
      <c r="X252" t="e">
        <f>AND(#REF!,"AAAAAG/00hc=")</f>
        <v>#REF!</v>
      </c>
      <c r="Y252" t="e">
        <f>AND(#REF!,"AAAAAG/00hg=")</f>
        <v>#REF!</v>
      </c>
      <c r="Z252" t="e">
        <f>AND(#REF!,"AAAAAG/00hk=")</f>
        <v>#REF!</v>
      </c>
      <c r="AA252" t="e">
        <f>AND(#REF!,"AAAAAG/00ho=")</f>
        <v>#REF!</v>
      </c>
      <c r="AB252" t="e">
        <f>AND(#REF!,"AAAAAG/00hs=")</f>
        <v>#REF!</v>
      </c>
      <c r="AC252" t="e">
        <f>AND(#REF!,"AAAAAG/00hw=")</f>
        <v>#REF!</v>
      </c>
      <c r="AD252" t="e">
        <f>IF(#REF!,"AAAAAG/00h0=",0)</f>
        <v>#REF!</v>
      </c>
      <c r="AE252" t="e">
        <f>IF(#REF!,"AAAAAG/00h4=",0)</f>
        <v>#REF!</v>
      </c>
      <c r="AF252" t="e">
        <f>IF(#REF!,"AAAAAG/00h8=",0)</f>
        <v>#REF!</v>
      </c>
      <c r="AG252" t="e">
        <f>IF(#REF!,"AAAAAG/00iA=",0)</f>
        <v>#REF!</v>
      </c>
      <c r="AH252" t="e">
        <f>IF(#REF!,"AAAAAG/00iE=",0)</f>
        <v>#REF!</v>
      </c>
      <c r="AI252" t="e">
        <f>IF(#REF!,"AAAAAG/00iI=",0)</f>
        <v>#REF!</v>
      </c>
      <c r="AJ252" t="e">
        <f>IF(#REF!,"AAAAAG/00iM=",0)</f>
        <v>#REF!</v>
      </c>
      <c r="AK252" t="e">
        <f>IF(#REF!,"AAAAAG/00iQ=",0)</f>
        <v>#REF!</v>
      </c>
      <c r="AL252" t="e">
        <f>IF(#REF!,"AAAAAG/00iU=",0)</f>
        <v>#REF!</v>
      </c>
      <c r="AM252" t="e">
        <f>IF(#REF!,"AAAAAG/00iY=",0)</f>
        <v>#REF!</v>
      </c>
      <c r="AN252" t="e">
        <f>IF(#REF!,"AAAAAG/00ic=",0)</f>
        <v>#REF!</v>
      </c>
      <c r="AO252" t="e">
        <f>IF(#REF!,"AAAAAG/00ig=",0)</f>
        <v>#REF!</v>
      </c>
      <c r="AP252" t="e">
        <f>IF(#REF!,"AAAAAG/00ik=",0)</f>
        <v>#REF!</v>
      </c>
      <c r="AQ252">
        <f>IF(Onsite!1:1,"AAAAAG/00io=",0)</f>
        <v>0</v>
      </c>
      <c r="AR252" t="e">
        <f>AND(Onsite!#REF!,"AAAAAG/00is=")</f>
        <v>#REF!</v>
      </c>
      <c r="AS252" t="e">
        <f>AND(Onsite!A1,"AAAAAG/00iw=")</f>
        <v>#VALUE!</v>
      </c>
      <c r="AT252" t="e">
        <f>AND(Onsite!C1,"AAAAAG/00i0=")</f>
        <v>#VALUE!</v>
      </c>
      <c r="AU252" t="e">
        <f>AND(Onsite!D1,"AAAAAG/00i4=")</f>
        <v>#VALUE!</v>
      </c>
      <c r="AV252" t="e">
        <f>AND(Onsite!E1,"AAAAAG/00i8=")</f>
        <v>#VALUE!</v>
      </c>
      <c r="AW252" t="e">
        <f>AND(Onsite!#REF!,"AAAAAG/00jA=")</f>
        <v>#REF!</v>
      </c>
      <c r="AX252" t="e">
        <f>AND(Onsite!#REF!,"AAAAAG/00jE=")</f>
        <v>#REF!</v>
      </c>
      <c r="AY252" t="e">
        <f>AND(Onsite!#REF!,"AAAAAG/00jI=")</f>
        <v>#REF!</v>
      </c>
      <c r="AZ252" t="e">
        <f>AND(Onsite!#REF!,"AAAAAG/00jM=")</f>
        <v>#REF!</v>
      </c>
      <c r="BA252" t="e">
        <f>AND(Onsite!#REF!,"AAAAAG/00jQ=")</f>
        <v>#REF!</v>
      </c>
      <c r="BB252" t="e">
        <f>AND(Onsite!#REF!,"AAAAAG/00jU=")</f>
        <v>#REF!</v>
      </c>
      <c r="BC252" t="e">
        <f>AND(Onsite!F1,"AAAAAG/00jY=")</f>
        <v>#VALUE!</v>
      </c>
      <c r="BD252" t="e">
        <f>AND(Onsite!#REF!,"AAAAAG/00jc=")</f>
        <v>#REF!</v>
      </c>
      <c r="BE252">
        <f>IF(Onsite!2:2,"AAAAAG/00jg=",0)</f>
        <v>0</v>
      </c>
      <c r="BF252" t="e">
        <f>AND(Onsite!A2,"AAAAAG/00jk=")</f>
        <v>#VALUE!</v>
      </c>
      <c r="BG252" t="e">
        <f>AND(Onsite!B2,"AAAAAG/00jo=")</f>
        <v>#VALUE!</v>
      </c>
      <c r="BH252" t="e">
        <f>AND(Onsite!C2,"AAAAAG/00js=")</f>
        <v>#VALUE!</v>
      </c>
      <c r="BI252" t="e">
        <f>AND(Onsite!D2,"AAAAAG/00jw=")</f>
        <v>#VALUE!</v>
      </c>
      <c r="BJ252" t="e">
        <f>AND(Onsite!E2,"AAAAAG/00j0=")</f>
        <v>#VALUE!</v>
      </c>
      <c r="BK252" t="e">
        <f>AND(Onsite!#REF!,"AAAAAG/00j4=")</f>
        <v>#REF!</v>
      </c>
      <c r="BL252" t="e">
        <f>AND(Onsite!#REF!,"AAAAAG/00j8=")</f>
        <v>#REF!</v>
      </c>
      <c r="BM252" t="e">
        <f>AND(Onsite!#REF!,"AAAAAG/00kA=")</f>
        <v>#REF!</v>
      </c>
      <c r="BN252" t="e">
        <f>AND(Onsite!#REF!,"AAAAAG/00kE=")</f>
        <v>#REF!</v>
      </c>
      <c r="BO252" t="e">
        <f>AND(Onsite!#REF!,"AAAAAG/00kI=")</f>
        <v>#REF!</v>
      </c>
      <c r="BP252" t="e">
        <f>AND(Onsite!#REF!,"AAAAAG/00kM=")</f>
        <v>#REF!</v>
      </c>
      <c r="BQ252" t="e">
        <f>AND(Onsite!F2,"AAAAAG/00kQ=")</f>
        <v>#VALUE!</v>
      </c>
      <c r="BR252" t="e">
        <f>AND(Onsite!#REF!,"AAAAAG/00kU=")</f>
        <v>#REF!</v>
      </c>
      <c r="BS252">
        <f>IF(Onsite!3:3,"AAAAAG/00kY=",0)</f>
        <v>0</v>
      </c>
      <c r="BT252" t="e">
        <f>AND(Onsite!A3,"AAAAAG/00kc=")</f>
        <v>#VALUE!</v>
      </c>
      <c r="BU252" t="e">
        <f>AND(Onsite!B3,"AAAAAG/00kg=")</f>
        <v>#VALUE!</v>
      </c>
      <c r="BV252" t="e">
        <f>AND(Onsite!C3,"AAAAAG/00kk=")</f>
        <v>#VALUE!</v>
      </c>
      <c r="BW252" t="e">
        <f>AND(Onsite!D3,"AAAAAG/00ko=")</f>
        <v>#VALUE!</v>
      </c>
      <c r="BX252" t="e">
        <f>AND(Onsite!E3,"AAAAAG/00ks=")</f>
        <v>#VALUE!</v>
      </c>
      <c r="BY252" t="e">
        <f>AND(Onsite!#REF!,"AAAAAG/00kw=")</f>
        <v>#REF!</v>
      </c>
      <c r="BZ252" t="e">
        <f>AND(Onsite!#REF!,"AAAAAG/00k0=")</f>
        <v>#REF!</v>
      </c>
      <c r="CA252" t="e">
        <f>AND(Onsite!#REF!,"AAAAAG/00k4=")</f>
        <v>#REF!</v>
      </c>
      <c r="CB252" t="e">
        <f>AND(Onsite!#REF!,"AAAAAG/00k8=")</f>
        <v>#REF!</v>
      </c>
      <c r="CC252" t="e">
        <f>AND(Onsite!#REF!,"AAAAAG/00lA=")</f>
        <v>#REF!</v>
      </c>
      <c r="CD252" t="e">
        <f>AND(Onsite!#REF!,"AAAAAG/00lE=")</f>
        <v>#REF!</v>
      </c>
      <c r="CE252" t="e">
        <f>AND(Onsite!F3,"AAAAAG/00lI=")</f>
        <v>#VALUE!</v>
      </c>
      <c r="CF252" t="e">
        <f>AND(Onsite!#REF!,"AAAAAG/00lM=")</f>
        <v>#REF!</v>
      </c>
      <c r="CG252">
        <f>IF(Onsite!15:15,"AAAAAG/00lQ=",0)</f>
        <v>0</v>
      </c>
      <c r="CH252" t="e">
        <f>AND(Onsite!A15,"AAAAAG/00lU=")</f>
        <v>#VALUE!</v>
      </c>
      <c r="CI252" t="e">
        <f>AND(Onsite!B15,"AAAAAG/00lY=")</f>
        <v>#VALUE!</v>
      </c>
      <c r="CJ252" t="e">
        <f>AND(Onsite!C15,"AAAAAG/00lc=")</f>
        <v>#VALUE!</v>
      </c>
      <c r="CK252" t="e">
        <f>AND(Onsite!D15,"AAAAAG/00lg=")</f>
        <v>#VALUE!</v>
      </c>
      <c r="CL252" t="e">
        <f>AND(Onsite!E15,"AAAAAG/00lk=")</f>
        <v>#VALUE!</v>
      </c>
      <c r="CM252" t="e">
        <f>AND(Onsite!#REF!,"AAAAAG/00lo=")</f>
        <v>#REF!</v>
      </c>
      <c r="CN252" t="e">
        <f>AND(Onsite!#REF!,"AAAAAG/00ls=")</f>
        <v>#REF!</v>
      </c>
      <c r="CO252" t="e">
        <f>AND(Onsite!#REF!,"AAAAAG/00lw=")</f>
        <v>#REF!</v>
      </c>
      <c r="CP252" t="e">
        <f>AND(Onsite!#REF!,"AAAAAG/00l0=")</f>
        <v>#REF!</v>
      </c>
      <c r="CQ252" t="e">
        <f>AND(Onsite!#REF!,"AAAAAG/00l4=")</f>
        <v>#REF!</v>
      </c>
      <c r="CR252" t="e">
        <f>AND(Onsite!#REF!,"AAAAAG/00l8=")</f>
        <v>#REF!</v>
      </c>
      <c r="CS252" t="e">
        <f>AND(Onsite!F15,"AAAAAG/00mA=")</f>
        <v>#VALUE!</v>
      </c>
      <c r="CT252" t="e">
        <f>AND(Onsite!#REF!,"AAAAAG/00mE=")</f>
        <v>#REF!</v>
      </c>
      <c r="CU252">
        <f>IF(Onsite!16:16,"AAAAAG/00mI=",0)</f>
        <v>0</v>
      </c>
      <c r="CV252" t="e">
        <f>AND(Onsite!A16,"AAAAAG/00mM=")</f>
        <v>#VALUE!</v>
      </c>
      <c r="CW252" t="e">
        <f>AND(Onsite!B16,"AAAAAG/00mQ=")</f>
        <v>#VALUE!</v>
      </c>
      <c r="CX252" t="e">
        <f>AND(Onsite!C16,"AAAAAG/00mU=")</f>
        <v>#VALUE!</v>
      </c>
      <c r="CY252" t="e">
        <f>AND(Onsite!D16,"AAAAAG/00mY=")</f>
        <v>#VALUE!</v>
      </c>
      <c r="CZ252" t="e">
        <f>AND(Onsite!E16,"AAAAAG/00mc=")</f>
        <v>#VALUE!</v>
      </c>
      <c r="DA252" t="e">
        <f>AND(Onsite!#REF!,"AAAAAG/00mg=")</f>
        <v>#REF!</v>
      </c>
      <c r="DB252" t="e">
        <f>AND(Onsite!#REF!,"AAAAAG/00mk=")</f>
        <v>#REF!</v>
      </c>
      <c r="DC252" t="e">
        <f>AND(Onsite!#REF!,"AAAAAG/00mo=")</f>
        <v>#REF!</v>
      </c>
      <c r="DD252" t="e">
        <f>AND(Onsite!#REF!,"AAAAAG/00ms=")</f>
        <v>#REF!</v>
      </c>
      <c r="DE252" t="e">
        <f>AND(Onsite!#REF!,"AAAAAG/00mw=")</f>
        <v>#REF!</v>
      </c>
      <c r="DF252" t="e">
        <f>AND(Onsite!#REF!,"AAAAAG/00m0=")</f>
        <v>#REF!</v>
      </c>
      <c r="DG252" t="e">
        <f>AND(Onsite!F16,"AAAAAG/00m4=")</f>
        <v>#VALUE!</v>
      </c>
      <c r="DH252" t="e">
        <f>AND(Onsite!#REF!,"AAAAAG/00m8=")</f>
        <v>#REF!</v>
      </c>
      <c r="DI252">
        <f>IF(Onsite!17:17,"AAAAAG/00nA=",0)</f>
        <v>0</v>
      </c>
      <c r="DJ252" t="e">
        <f>AND(Onsite!#REF!,"AAAAAG/00nE=")</f>
        <v>#REF!</v>
      </c>
      <c r="DK252" t="e">
        <f>AND(Onsite!A17,"AAAAAG/00nI=")</f>
        <v>#VALUE!</v>
      </c>
      <c r="DL252" t="e">
        <f>AND(Onsite!B17,"AAAAAG/00nM=")</f>
        <v>#VALUE!</v>
      </c>
      <c r="DM252" t="e">
        <f>AND(Onsite!C17,"AAAAAG/00nQ=")</f>
        <v>#VALUE!</v>
      </c>
      <c r="DN252" t="e">
        <f>AND(Onsite!D17,"AAAAAG/00nU=")</f>
        <v>#VALUE!</v>
      </c>
      <c r="DO252" t="e">
        <f>AND(Onsite!E17,"AAAAAG/00nY=")</f>
        <v>#VALUE!</v>
      </c>
      <c r="DP252" t="e">
        <f>AND(Onsite!#REF!,"AAAAAG/00nc=")</f>
        <v>#REF!</v>
      </c>
      <c r="DQ252" t="e">
        <f>AND(Onsite!#REF!,"AAAAAG/00ng=")</f>
        <v>#REF!</v>
      </c>
      <c r="DR252" t="e">
        <f>AND(Onsite!#REF!,"AAAAAG/00nk=")</f>
        <v>#REF!</v>
      </c>
      <c r="DS252" t="e">
        <f>AND(Onsite!#REF!,"AAAAAG/00no=")</f>
        <v>#REF!</v>
      </c>
      <c r="DT252" t="e">
        <f>AND(Onsite!#REF!,"AAAAAG/00ns=")</f>
        <v>#REF!</v>
      </c>
      <c r="DU252" t="e">
        <f>AND(Onsite!#REF!,"AAAAAG/00nw=")</f>
        <v>#REF!</v>
      </c>
      <c r="DV252" t="e">
        <f>AND(Onsite!F17,"AAAAAG/00n0=")</f>
        <v>#VALUE!</v>
      </c>
      <c r="DW252">
        <f>IF(Onsite!19:19,"AAAAAG/00n4=",0)</f>
        <v>0</v>
      </c>
      <c r="DX252" t="e">
        <f>AND(Onsite!#REF!,"AAAAAG/00n8=")</f>
        <v>#REF!</v>
      </c>
      <c r="DY252" t="e">
        <f>AND(Onsite!A19,"AAAAAG/00oA=")</f>
        <v>#VALUE!</v>
      </c>
      <c r="DZ252" t="e">
        <f>AND(Onsite!B19,"AAAAAG/00oE=")</f>
        <v>#VALUE!</v>
      </c>
      <c r="EA252" t="e">
        <f>AND(Onsite!C19,"AAAAAG/00oI=")</f>
        <v>#VALUE!</v>
      </c>
      <c r="EB252" t="e">
        <f>AND(Onsite!D19,"AAAAAG/00oM=")</f>
        <v>#VALUE!</v>
      </c>
      <c r="EC252" t="e">
        <f>AND(Onsite!E19,"AAAAAG/00oQ=")</f>
        <v>#VALUE!</v>
      </c>
      <c r="ED252" t="e">
        <f>AND(Onsite!#REF!,"AAAAAG/00oU=")</f>
        <v>#REF!</v>
      </c>
      <c r="EE252" t="e">
        <f>AND(Onsite!#REF!,"AAAAAG/00oY=")</f>
        <v>#REF!</v>
      </c>
      <c r="EF252" t="e">
        <f>AND(Onsite!#REF!,"AAAAAG/00oc=")</f>
        <v>#REF!</v>
      </c>
      <c r="EG252" t="e">
        <f>AND(Onsite!#REF!,"AAAAAG/00og=")</f>
        <v>#REF!</v>
      </c>
      <c r="EH252" t="e">
        <f>AND(Onsite!#REF!,"AAAAAG/00ok=")</f>
        <v>#REF!</v>
      </c>
      <c r="EI252" t="e">
        <f>AND(Onsite!#REF!,"AAAAAG/00oo=")</f>
        <v>#REF!</v>
      </c>
      <c r="EJ252" t="e">
        <f>AND(Onsite!F19,"AAAAAG/00os=")</f>
        <v>#VALUE!</v>
      </c>
      <c r="EK252">
        <f>IF(Onsite!20:20,"AAAAAG/00ow=",0)</f>
        <v>0</v>
      </c>
      <c r="EL252" t="e">
        <f>AND(Onsite!#REF!,"AAAAAG/00o0=")</f>
        <v>#REF!</v>
      </c>
      <c r="EM252" t="e">
        <f>AND(Onsite!A20,"AAAAAG/00o4=")</f>
        <v>#VALUE!</v>
      </c>
      <c r="EN252" t="e">
        <f>AND(Onsite!B20,"AAAAAG/00o8=")</f>
        <v>#VALUE!</v>
      </c>
      <c r="EO252" t="e">
        <f>AND(Onsite!C20,"AAAAAG/00pA=")</f>
        <v>#VALUE!</v>
      </c>
      <c r="EP252" t="e">
        <f>AND(Onsite!D20,"AAAAAG/00pE=")</f>
        <v>#VALUE!</v>
      </c>
      <c r="EQ252" t="e">
        <f>AND(Onsite!E20,"AAAAAG/00pI=")</f>
        <v>#VALUE!</v>
      </c>
      <c r="ER252" t="e">
        <f>AND(Onsite!#REF!,"AAAAAG/00pM=")</f>
        <v>#REF!</v>
      </c>
      <c r="ES252" t="e">
        <f>AND(Onsite!#REF!,"AAAAAG/00pQ=")</f>
        <v>#REF!</v>
      </c>
      <c r="ET252" t="e">
        <f>AND(Onsite!#REF!,"AAAAAG/00pU=")</f>
        <v>#REF!</v>
      </c>
      <c r="EU252" t="e">
        <f>AND(Onsite!#REF!,"AAAAAG/00pY=")</f>
        <v>#REF!</v>
      </c>
      <c r="EV252" t="e">
        <f>AND(Onsite!#REF!,"AAAAAG/00pc=")</f>
        <v>#REF!</v>
      </c>
      <c r="EW252" t="e">
        <f>AND(Onsite!#REF!,"AAAAAG/00pg=")</f>
        <v>#REF!</v>
      </c>
      <c r="EX252" t="e">
        <f>AND(Onsite!F20,"AAAAAG/00pk=")</f>
        <v>#VALUE!</v>
      </c>
      <c r="EY252">
        <f>IF(Onsite!25:25,"AAAAAG/00po=",0)</f>
        <v>0</v>
      </c>
      <c r="EZ252" t="e">
        <f>AND(Onsite!#REF!,"AAAAAG/00ps=")</f>
        <v>#REF!</v>
      </c>
      <c r="FA252" t="e">
        <f>AND(Onsite!A25,"AAAAAG/00pw=")</f>
        <v>#VALUE!</v>
      </c>
      <c r="FB252" t="e">
        <f>AND(Onsite!B25,"AAAAAG/00p0=")</f>
        <v>#VALUE!</v>
      </c>
      <c r="FC252" t="e">
        <f>AND(Onsite!C25,"AAAAAG/00p4=")</f>
        <v>#VALUE!</v>
      </c>
      <c r="FD252" t="e">
        <f>AND(Onsite!D25,"AAAAAG/00p8=")</f>
        <v>#VALUE!</v>
      </c>
      <c r="FE252" t="e">
        <f>AND(Onsite!E25,"AAAAAG/00qA=")</f>
        <v>#VALUE!</v>
      </c>
      <c r="FF252" t="e">
        <f>AND(Onsite!#REF!,"AAAAAG/00qE=")</f>
        <v>#REF!</v>
      </c>
      <c r="FG252" t="e">
        <f>AND(Onsite!#REF!,"AAAAAG/00qI=")</f>
        <v>#REF!</v>
      </c>
      <c r="FH252" t="e">
        <f>AND(Onsite!#REF!,"AAAAAG/00qM=")</f>
        <v>#REF!</v>
      </c>
      <c r="FI252" t="e">
        <f>AND(Onsite!#REF!,"AAAAAG/00qQ=")</f>
        <v>#REF!</v>
      </c>
      <c r="FJ252" t="e">
        <f>AND(Onsite!#REF!,"AAAAAG/00qU=")</f>
        <v>#REF!</v>
      </c>
      <c r="FK252" t="e">
        <f>AND(Onsite!#REF!,"AAAAAG/00qY=")</f>
        <v>#REF!</v>
      </c>
      <c r="FL252" t="e">
        <f>AND(Onsite!F25,"AAAAAG/00qc=")</f>
        <v>#VALUE!</v>
      </c>
      <c r="FM252">
        <f>IF(Onsite!26:26,"AAAAAG/00qg=",0)</f>
        <v>0</v>
      </c>
      <c r="FN252" t="e">
        <f>AND(Onsite!#REF!,"AAAAAG/00qk=")</f>
        <v>#REF!</v>
      </c>
      <c r="FO252" t="e">
        <f>AND(Onsite!A26,"AAAAAG/00qo=")</f>
        <v>#VALUE!</v>
      </c>
      <c r="FP252" t="e">
        <f>AND(Onsite!B26,"AAAAAG/00qs=")</f>
        <v>#VALUE!</v>
      </c>
      <c r="FQ252" t="e">
        <f>AND(Onsite!C26,"AAAAAG/00qw=")</f>
        <v>#VALUE!</v>
      </c>
      <c r="FR252" t="e">
        <f>AND(Onsite!D26,"AAAAAG/00q0=")</f>
        <v>#VALUE!</v>
      </c>
      <c r="FS252" t="e">
        <f>AND(Onsite!E26,"AAAAAG/00q4=")</f>
        <v>#VALUE!</v>
      </c>
      <c r="FT252" t="e">
        <f>AND(Onsite!#REF!,"AAAAAG/00q8=")</f>
        <v>#REF!</v>
      </c>
      <c r="FU252" t="e">
        <f>AND(Onsite!#REF!,"AAAAAG/00rA=")</f>
        <v>#REF!</v>
      </c>
      <c r="FV252" t="e">
        <f>AND(Onsite!#REF!,"AAAAAG/00rE=")</f>
        <v>#REF!</v>
      </c>
      <c r="FW252" t="e">
        <f>AND(Onsite!#REF!,"AAAAAG/00rI=")</f>
        <v>#REF!</v>
      </c>
      <c r="FX252" t="e">
        <f>AND(Onsite!#REF!,"AAAAAG/00rM=")</f>
        <v>#REF!</v>
      </c>
      <c r="FY252" t="e">
        <f>AND(Onsite!#REF!,"AAAAAG/00rQ=")</f>
        <v>#REF!</v>
      </c>
      <c r="FZ252" t="e">
        <f>AND(Onsite!F26,"AAAAAG/00rU=")</f>
        <v>#VALUE!</v>
      </c>
      <c r="GA252">
        <f>IF(Onsite!18:18,"AAAAAG/00rY=",0)</f>
        <v>0</v>
      </c>
      <c r="GB252" t="e">
        <f>AND(Onsite!#REF!,"AAAAAG/00rc=")</f>
        <v>#REF!</v>
      </c>
      <c r="GC252" t="e">
        <f>AND(Onsite!A18,"AAAAAG/00rg=")</f>
        <v>#VALUE!</v>
      </c>
      <c r="GD252" t="e">
        <f>AND(Onsite!B18,"AAAAAG/00rk=")</f>
        <v>#VALUE!</v>
      </c>
      <c r="GE252" t="e">
        <f>AND(Onsite!C18,"AAAAAG/00ro=")</f>
        <v>#VALUE!</v>
      </c>
      <c r="GF252" t="e">
        <f>AND(Onsite!D18,"AAAAAG/00rs=")</f>
        <v>#VALUE!</v>
      </c>
      <c r="GG252" t="e">
        <f>AND(Onsite!E18,"AAAAAG/00rw=")</f>
        <v>#VALUE!</v>
      </c>
      <c r="GH252" t="e">
        <f>AND(Onsite!#REF!,"AAAAAG/00r0=")</f>
        <v>#REF!</v>
      </c>
      <c r="GI252" t="e">
        <f>AND(Onsite!#REF!,"AAAAAG/00r4=")</f>
        <v>#REF!</v>
      </c>
      <c r="GJ252" t="e">
        <f>AND(Onsite!#REF!,"AAAAAG/00r8=")</f>
        <v>#REF!</v>
      </c>
      <c r="GK252" t="e">
        <f>AND(Onsite!#REF!,"AAAAAG/00sA=")</f>
        <v>#REF!</v>
      </c>
      <c r="GL252" t="e">
        <f>AND(Onsite!#REF!,"AAAAAG/00sE=")</f>
        <v>#REF!</v>
      </c>
      <c r="GM252" t="e">
        <f>AND(Onsite!#REF!,"AAAAAG/00sI=")</f>
        <v>#REF!</v>
      </c>
      <c r="GN252" t="e">
        <f>AND(Onsite!F18,"AAAAAG/00sM=")</f>
        <v>#VALUE!</v>
      </c>
      <c r="GO252">
        <f>IF(Onsite!27:27,"AAAAAG/00sQ=",0)</f>
        <v>0</v>
      </c>
      <c r="GP252" t="e">
        <f>AND(Onsite!#REF!,"AAAAAG/00sU=")</f>
        <v>#REF!</v>
      </c>
      <c r="GQ252" t="e">
        <f>AND(Onsite!A27,"AAAAAG/00sY=")</f>
        <v>#VALUE!</v>
      </c>
      <c r="GR252" t="e">
        <f>AND(Onsite!B27,"AAAAAG/00sc=")</f>
        <v>#VALUE!</v>
      </c>
      <c r="GS252" t="e">
        <f>AND(Onsite!C27,"AAAAAG/00sg=")</f>
        <v>#VALUE!</v>
      </c>
      <c r="GT252" t="e">
        <f>AND(Onsite!D27,"AAAAAG/00sk=")</f>
        <v>#VALUE!</v>
      </c>
      <c r="GU252" t="e">
        <f>AND(Onsite!E27,"AAAAAG/00so=")</f>
        <v>#VALUE!</v>
      </c>
      <c r="GV252" t="e">
        <f>AND(Onsite!#REF!,"AAAAAG/00ss=")</f>
        <v>#REF!</v>
      </c>
      <c r="GW252" t="e">
        <f>AND(Onsite!#REF!,"AAAAAG/00sw=")</f>
        <v>#REF!</v>
      </c>
      <c r="GX252" t="e">
        <f>AND(Onsite!#REF!,"AAAAAG/00s0=")</f>
        <v>#REF!</v>
      </c>
      <c r="GY252" t="e">
        <f>AND(Onsite!#REF!,"AAAAAG/00s4=")</f>
        <v>#REF!</v>
      </c>
      <c r="GZ252" t="e">
        <f>AND(Onsite!#REF!,"AAAAAG/00s8=")</f>
        <v>#REF!</v>
      </c>
      <c r="HA252" t="e">
        <f>AND(Onsite!#REF!,"AAAAAG/00tA=")</f>
        <v>#REF!</v>
      </c>
      <c r="HB252" t="e">
        <f>AND(Onsite!F27,"AAAAAG/00tE=")</f>
        <v>#VALUE!</v>
      </c>
      <c r="HC252">
        <f>IF(Onsite!28:28,"AAAAAG/00tI=",0)</f>
        <v>0</v>
      </c>
      <c r="HD252" t="e">
        <f>AND(Onsite!#REF!,"AAAAAG/00tM=")</f>
        <v>#REF!</v>
      </c>
      <c r="HE252" t="e">
        <f>AND(Onsite!A28,"AAAAAG/00tQ=")</f>
        <v>#VALUE!</v>
      </c>
      <c r="HF252" t="e">
        <f>AND(Onsite!B28,"AAAAAG/00tU=")</f>
        <v>#VALUE!</v>
      </c>
      <c r="HG252" t="e">
        <f>AND(Onsite!C28,"AAAAAG/00tY=")</f>
        <v>#VALUE!</v>
      </c>
      <c r="HH252" t="e">
        <f>AND(Onsite!D28,"AAAAAG/00tc=")</f>
        <v>#VALUE!</v>
      </c>
      <c r="HI252" t="e">
        <f>AND(Onsite!E28,"AAAAAG/00tg=")</f>
        <v>#VALUE!</v>
      </c>
      <c r="HJ252" t="e">
        <f>AND(Onsite!#REF!,"AAAAAG/00tk=")</f>
        <v>#REF!</v>
      </c>
      <c r="HK252" t="e">
        <f>AND(Onsite!#REF!,"AAAAAG/00to=")</f>
        <v>#REF!</v>
      </c>
      <c r="HL252" t="e">
        <f>AND(Onsite!#REF!,"AAAAAG/00ts=")</f>
        <v>#REF!</v>
      </c>
      <c r="HM252" t="e">
        <f>AND(Onsite!#REF!,"AAAAAG/00tw=")</f>
        <v>#REF!</v>
      </c>
      <c r="HN252" t="e">
        <f>AND(Onsite!#REF!,"AAAAAG/00t0=")</f>
        <v>#REF!</v>
      </c>
      <c r="HO252" t="e">
        <f>AND(Onsite!#REF!,"AAAAAG/00t4=")</f>
        <v>#REF!</v>
      </c>
      <c r="HP252" t="e">
        <f>AND(Onsite!F28,"AAAAAG/00t8=")</f>
        <v>#VALUE!</v>
      </c>
      <c r="HQ252">
        <f>IF(Onsite!23:23,"AAAAAG/00uA=",0)</f>
        <v>0</v>
      </c>
      <c r="HR252" t="e">
        <f>AND(Onsite!#REF!,"AAAAAG/00uE=")</f>
        <v>#REF!</v>
      </c>
      <c r="HS252" t="e">
        <f>AND(Onsite!A23,"AAAAAG/00uI=")</f>
        <v>#VALUE!</v>
      </c>
      <c r="HT252" t="e">
        <f>AND(Onsite!B23,"AAAAAG/00uM=")</f>
        <v>#VALUE!</v>
      </c>
      <c r="HU252" t="e">
        <f>AND(Onsite!C23,"AAAAAG/00uQ=")</f>
        <v>#VALUE!</v>
      </c>
      <c r="HV252" t="e">
        <f>AND(Onsite!D23,"AAAAAG/00uU=")</f>
        <v>#VALUE!</v>
      </c>
      <c r="HW252" t="e">
        <f>AND(Onsite!E23,"AAAAAG/00uY=")</f>
        <v>#VALUE!</v>
      </c>
      <c r="HX252" t="e">
        <f>AND(Onsite!#REF!,"AAAAAG/00uc=")</f>
        <v>#REF!</v>
      </c>
      <c r="HY252" t="e">
        <f>AND(Onsite!#REF!,"AAAAAG/00ug=")</f>
        <v>#REF!</v>
      </c>
      <c r="HZ252" t="e">
        <f>AND(Onsite!#REF!,"AAAAAG/00uk=")</f>
        <v>#REF!</v>
      </c>
      <c r="IA252" t="e">
        <f>AND(Onsite!#REF!,"AAAAAG/00uo=")</f>
        <v>#REF!</v>
      </c>
      <c r="IB252" t="e">
        <f>AND(Onsite!#REF!,"AAAAAG/00us=")</f>
        <v>#REF!</v>
      </c>
      <c r="IC252" t="e">
        <f>AND(Onsite!#REF!,"AAAAAG/00uw=")</f>
        <v>#REF!</v>
      </c>
      <c r="ID252" t="e">
        <f>AND(Onsite!F23,"AAAAAG/00u0=")</f>
        <v>#VALUE!</v>
      </c>
      <c r="IE252">
        <f>IF(Onsite!22:22,"AAAAAG/00u4=",0)</f>
        <v>0</v>
      </c>
      <c r="IF252" t="e">
        <f>AND(Onsite!#REF!,"AAAAAG/00u8=")</f>
        <v>#REF!</v>
      </c>
      <c r="IG252" t="e">
        <f>AND(Onsite!A22,"AAAAAG/00vA=")</f>
        <v>#VALUE!</v>
      </c>
      <c r="IH252" t="e">
        <f>AND(Onsite!B22,"AAAAAG/00vE=")</f>
        <v>#VALUE!</v>
      </c>
      <c r="II252" t="e">
        <f>AND(Onsite!C22,"AAAAAG/00vI=")</f>
        <v>#VALUE!</v>
      </c>
      <c r="IJ252" t="e">
        <f>AND(Onsite!D22,"AAAAAG/00vM=")</f>
        <v>#VALUE!</v>
      </c>
      <c r="IK252" t="e">
        <f>AND(Onsite!E22,"AAAAAG/00vQ=")</f>
        <v>#VALUE!</v>
      </c>
      <c r="IL252" t="e">
        <f>AND(Onsite!#REF!,"AAAAAG/00vU=")</f>
        <v>#REF!</v>
      </c>
      <c r="IM252" t="e">
        <f>AND(Onsite!#REF!,"AAAAAG/00vY=")</f>
        <v>#REF!</v>
      </c>
      <c r="IN252" t="e">
        <f>AND(Onsite!#REF!,"AAAAAG/00vc=")</f>
        <v>#REF!</v>
      </c>
      <c r="IO252" t="e">
        <f>AND(Onsite!#REF!,"AAAAAG/00vg=")</f>
        <v>#REF!</v>
      </c>
      <c r="IP252" t="e">
        <f>AND(Onsite!#REF!,"AAAAAG/00vk=")</f>
        <v>#REF!</v>
      </c>
      <c r="IQ252" t="e">
        <f>AND(Onsite!#REF!,"AAAAAG/00vo=")</f>
        <v>#REF!</v>
      </c>
      <c r="IR252" t="e">
        <f>AND(Onsite!F22,"AAAAAG/00vs=")</f>
        <v>#VALUE!</v>
      </c>
      <c r="IS252">
        <f>IF(Onsite!24:24,"AAAAAG/00vw=",0)</f>
        <v>0</v>
      </c>
      <c r="IT252" t="e">
        <f>AND(Onsite!#REF!,"AAAAAG/00v0=")</f>
        <v>#REF!</v>
      </c>
      <c r="IU252" t="e">
        <f>AND(Onsite!A24,"AAAAAG/00v4=")</f>
        <v>#VALUE!</v>
      </c>
      <c r="IV252" t="e">
        <f>AND(Onsite!B24,"AAAAAG/00v8=")</f>
        <v>#VALUE!</v>
      </c>
    </row>
    <row r="253" spans="1:256" x14ac:dyDescent="0.2">
      <c r="A253" t="e">
        <f>AND(Onsite!C24,"AAAAAFfL5wA=")</f>
        <v>#VALUE!</v>
      </c>
      <c r="B253" t="e">
        <f>AND(Onsite!D24,"AAAAAFfL5wE=")</f>
        <v>#VALUE!</v>
      </c>
      <c r="C253" t="e">
        <f>AND(Onsite!E24,"AAAAAFfL5wI=")</f>
        <v>#VALUE!</v>
      </c>
      <c r="D253" t="e">
        <f>AND(Onsite!#REF!,"AAAAAFfL5wM=")</f>
        <v>#REF!</v>
      </c>
      <c r="E253" t="e">
        <f>AND(Onsite!#REF!,"AAAAAFfL5wQ=")</f>
        <v>#REF!</v>
      </c>
      <c r="F253" t="e">
        <f>AND(Onsite!#REF!,"AAAAAFfL5wU=")</f>
        <v>#REF!</v>
      </c>
      <c r="G253" t="e">
        <f>AND(Onsite!#REF!,"AAAAAFfL5wY=")</f>
        <v>#REF!</v>
      </c>
      <c r="H253" t="e">
        <f>AND(Onsite!#REF!,"AAAAAFfL5wc=")</f>
        <v>#REF!</v>
      </c>
      <c r="I253" t="e">
        <f>AND(Onsite!#REF!,"AAAAAFfL5wg=")</f>
        <v>#REF!</v>
      </c>
      <c r="J253" t="e">
        <f>AND(Onsite!F24,"AAAAAFfL5wk=")</f>
        <v>#VALUE!</v>
      </c>
      <c r="K253">
        <f>IF(Onsite!29:29,"AAAAAFfL5wo=",0)</f>
        <v>0</v>
      </c>
      <c r="L253" t="e">
        <f>AND(Onsite!#REF!,"AAAAAFfL5ws=")</f>
        <v>#REF!</v>
      </c>
      <c r="M253" t="e">
        <f>AND(Onsite!A29,"AAAAAFfL5ww=")</f>
        <v>#VALUE!</v>
      </c>
      <c r="N253" t="e">
        <f>AND(Onsite!B29,"AAAAAFfL5w0=")</f>
        <v>#VALUE!</v>
      </c>
      <c r="O253" t="e">
        <f>AND(Onsite!C29,"AAAAAFfL5w4=")</f>
        <v>#VALUE!</v>
      </c>
      <c r="P253" t="e">
        <f>AND(Onsite!D29,"AAAAAFfL5w8=")</f>
        <v>#VALUE!</v>
      </c>
      <c r="Q253" t="e">
        <f>AND(Onsite!E29,"AAAAAFfL5xA=")</f>
        <v>#VALUE!</v>
      </c>
      <c r="R253" t="e">
        <f>AND(Onsite!#REF!,"AAAAAFfL5xE=")</f>
        <v>#REF!</v>
      </c>
      <c r="S253" t="e">
        <f>AND(Onsite!#REF!,"AAAAAFfL5xI=")</f>
        <v>#REF!</v>
      </c>
      <c r="T253" t="e">
        <f>AND(Onsite!#REF!,"AAAAAFfL5xM=")</f>
        <v>#REF!</v>
      </c>
      <c r="U253" t="e">
        <f>AND(Onsite!#REF!,"AAAAAFfL5xQ=")</f>
        <v>#REF!</v>
      </c>
      <c r="V253" t="e">
        <f>AND(Onsite!#REF!,"AAAAAFfL5xU=")</f>
        <v>#REF!</v>
      </c>
      <c r="W253" t="e">
        <f>AND(Onsite!#REF!,"AAAAAFfL5xY=")</f>
        <v>#REF!</v>
      </c>
      <c r="X253" t="e">
        <f>AND(Onsite!F29,"AAAAAFfL5xc=")</f>
        <v>#VALUE!</v>
      </c>
      <c r="Y253">
        <f>IF(Onsite!30:30,"AAAAAFfL5xg=",0)</f>
        <v>0</v>
      </c>
      <c r="Z253" t="e">
        <f>AND(Onsite!#REF!,"AAAAAFfL5xk=")</f>
        <v>#REF!</v>
      </c>
      <c r="AA253" t="e">
        <f>AND(Onsite!A30,"AAAAAFfL5xo=")</f>
        <v>#VALUE!</v>
      </c>
      <c r="AB253" t="e">
        <f>AND(Onsite!B30,"AAAAAFfL5xs=")</f>
        <v>#VALUE!</v>
      </c>
      <c r="AC253" t="e">
        <f>AND(Onsite!C30,"AAAAAFfL5xw=")</f>
        <v>#VALUE!</v>
      </c>
      <c r="AD253" t="e">
        <f>AND(Onsite!D30,"AAAAAFfL5x0=")</f>
        <v>#VALUE!</v>
      </c>
      <c r="AE253" t="e">
        <f>AND(Onsite!E30,"AAAAAFfL5x4=")</f>
        <v>#VALUE!</v>
      </c>
      <c r="AF253" t="e">
        <f>AND(Onsite!#REF!,"AAAAAFfL5x8=")</f>
        <v>#REF!</v>
      </c>
      <c r="AG253" t="e">
        <f>AND(Onsite!#REF!,"AAAAAFfL5yA=")</f>
        <v>#REF!</v>
      </c>
      <c r="AH253" t="e">
        <f>AND(Onsite!#REF!,"AAAAAFfL5yE=")</f>
        <v>#REF!</v>
      </c>
      <c r="AI253" t="e">
        <f>AND(Onsite!#REF!,"AAAAAFfL5yI=")</f>
        <v>#REF!</v>
      </c>
      <c r="AJ253" t="e">
        <f>AND(Onsite!#REF!,"AAAAAFfL5yM=")</f>
        <v>#REF!</v>
      </c>
      <c r="AK253" t="e">
        <f>AND(Onsite!#REF!,"AAAAAFfL5yQ=")</f>
        <v>#REF!</v>
      </c>
      <c r="AL253" t="e">
        <f>AND(Onsite!F30,"AAAAAFfL5yU=")</f>
        <v>#VALUE!</v>
      </c>
      <c r="AM253">
        <f>IF(Onsite!31:31,"AAAAAFfL5yY=",0)</f>
        <v>0</v>
      </c>
      <c r="AN253" t="e">
        <f>AND(Onsite!#REF!,"AAAAAFfL5yc=")</f>
        <v>#REF!</v>
      </c>
      <c r="AO253" t="e">
        <f>AND(Onsite!A31,"AAAAAFfL5yg=")</f>
        <v>#VALUE!</v>
      </c>
      <c r="AP253" t="e">
        <f>AND(Onsite!B31,"AAAAAFfL5yk=")</f>
        <v>#VALUE!</v>
      </c>
      <c r="AQ253" t="e">
        <f>AND(Onsite!C31,"AAAAAFfL5yo=")</f>
        <v>#VALUE!</v>
      </c>
      <c r="AR253" t="e">
        <f>AND(Onsite!D31,"AAAAAFfL5ys=")</f>
        <v>#VALUE!</v>
      </c>
      <c r="AS253" t="e">
        <f>AND(Onsite!E31,"AAAAAFfL5yw=")</f>
        <v>#VALUE!</v>
      </c>
      <c r="AT253" t="e">
        <f>AND(Onsite!#REF!,"AAAAAFfL5y0=")</f>
        <v>#REF!</v>
      </c>
      <c r="AU253" t="e">
        <f>AND(Onsite!#REF!,"AAAAAFfL5y4=")</f>
        <v>#REF!</v>
      </c>
      <c r="AV253" t="e">
        <f>AND(Onsite!#REF!,"AAAAAFfL5y8=")</f>
        <v>#REF!</v>
      </c>
      <c r="AW253" t="e">
        <f>AND(Onsite!#REF!,"AAAAAFfL5zA=")</f>
        <v>#REF!</v>
      </c>
      <c r="AX253" t="e">
        <f>AND(Onsite!#REF!,"AAAAAFfL5zE=")</f>
        <v>#REF!</v>
      </c>
      <c r="AY253" t="e">
        <f>AND(Onsite!#REF!,"AAAAAFfL5zI=")</f>
        <v>#REF!</v>
      </c>
      <c r="AZ253" t="e">
        <f>AND(Onsite!F31,"AAAAAFfL5zM=")</f>
        <v>#VALUE!</v>
      </c>
      <c r="BA253">
        <f>IF(Onsite!32:32,"AAAAAFfL5zQ=",0)</f>
        <v>0</v>
      </c>
      <c r="BB253" t="e">
        <f>AND(Onsite!A32,"AAAAAFfL5zU=")</f>
        <v>#VALUE!</v>
      </c>
      <c r="BC253" t="e">
        <f>AND(Onsite!B32,"AAAAAFfL5zY=")</f>
        <v>#VALUE!</v>
      </c>
      <c r="BD253" t="e">
        <f>AND(Onsite!C32,"AAAAAFfL5zc=")</f>
        <v>#VALUE!</v>
      </c>
      <c r="BE253" t="e">
        <f>AND(Onsite!D32,"AAAAAFfL5zg=")</f>
        <v>#VALUE!</v>
      </c>
      <c r="BF253" t="e">
        <f>AND(Onsite!E32,"AAAAAFfL5zk=")</f>
        <v>#VALUE!</v>
      </c>
      <c r="BG253" t="e">
        <f>AND(Onsite!#REF!,"AAAAAFfL5zo=")</f>
        <v>#REF!</v>
      </c>
      <c r="BH253" t="e">
        <f>AND(Onsite!#REF!,"AAAAAFfL5zs=")</f>
        <v>#REF!</v>
      </c>
      <c r="BI253" t="e">
        <f>AND(Onsite!#REF!,"AAAAAFfL5zw=")</f>
        <v>#REF!</v>
      </c>
      <c r="BJ253" t="e">
        <f>AND(Onsite!#REF!,"AAAAAFfL5z0=")</f>
        <v>#REF!</v>
      </c>
      <c r="BK253" t="e">
        <f>AND(Onsite!#REF!,"AAAAAFfL5z4=")</f>
        <v>#REF!</v>
      </c>
      <c r="BL253" t="e">
        <f>AND(Onsite!#REF!,"AAAAAFfL5z8=")</f>
        <v>#REF!</v>
      </c>
      <c r="BM253" t="e">
        <f>AND(Onsite!F32,"AAAAAFfL50A=")</f>
        <v>#VALUE!</v>
      </c>
      <c r="BN253" t="e">
        <f>AND(Onsite!#REF!,"AAAAAFfL50E=")</f>
        <v>#REF!</v>
      </c>
      <c r="BO253">
        <f>IF(Onsite!34:34,"AAAAAFfL50I=",0)</f>
        <v>0</v>
      </c>
      <c r="BP253" t="e">
        <f>AND(Onsite!A34,"AAAAAFfL50M=")</f>
        <v>#VALUE!</v>
      </c>
      <c r="BQ253" t="e">
        <f>AND(Onsite!B34,"AAAAAFfL50Q=")</f>
        <v>#VALUE!</v>
      </c>
      <c r="BR253" t="e">
        <f>AND(Onsite!C34,"AAAAAFfL50U=")</f>
        <v>#VALUE!</v>
      </c>
      <c r="BS253" t="e">
        <f>AND(Onsite!D34,"AAAAAFfL50Y=")</f>
        <v>#VALUE!</v>
      </c>
      <c r="BT253" t="e">
        <f>AND(Onsite!E34,"AAAAAFfL50c=")</f>
        <v>#VALUE!</v>
      </c>
      <c r="BU253" t="e">
        <f>AND(Onsite!#REF!,"AAAAAFfL50g=")</f>
        <v>#REF!</v>
      </c>
      <c r="BV253" t="e">
        <f>AND(Onsite!#REF!,"AAAAAFfL50k=")</f>
        <v>#REF!</v>
      </c>
      <c r="BW253" t="e">
        <f>AND(Onsite!#REF!,"AAAAAFfL50o=")</f>
        <v>#REF!</v>
      </c>
      <c r="BX253" t="e">
        <f>AND(Onsite!#REF!,"AAAAAFfL50s=")</f>
        <v>#REF!</v>
      </c>
      <c r="BY253" t="e">
        <f>AND(Onsite!#REF!,"AAAAAFfL50w=")</f>
        <v>#REF!</v>
      </c>
      <c r="BZ253" t="e">
        <f>AND(Onsite!#REF!,"AAAAAFfL500=")</f>
        <v>#REF!</v>
      </c>
      <c r="CA253" t="e">
        <f>AND(Onsite!F34,"AAAAAFfL504=")</f>
        <v>#VALUE!</v>
      </c>
      <c r="CB253" t="e">
        <f>AND(Onsite!#REF!,"AAAAAFfL508=")</f>
        <v>#REF!</v>
      </c>
      <c r="CC253">
        <f>IF(Onsite!68:68,"AAAAAFfL51A=",0)</f>
        <v>0</v>
      </c>
      <c r="CD253" t="e">
        <f>AND(Onsite!A66,"AAAAAFfL51E=")</f>
        <v>#VALUE!</v>
      </c>
      <c r="CE253" t="e">
        <f>AND(Onsite!B66,"AAAAAFfL51I=")</f>
        <v>#VALUE!</v>
      </c>
      <c r="CF253" t="e">
        <f>AND(Onsite!C66,"AAAAAFfL51M=")</f>
        <v>#VALUE!</v>
      </c>
      <c r="CG253" t="e">
        <f>AND(Onsite!D66,"AAAAAFfL51Q=")</f>
        <v>#VALUE!</v>
      </c>
      <c r="CH253" t="e">
        <f>AND(Onsite!E68,"AAAAAFfL51U=")</f>
        <v>#VALUE!</v>
      </c>
      <c r="CI253" t="e">
        <f>AND(Onsite!#REF!,"AAAAAFfL51Y=")</f>
        <v>#REF!</v>
      </c>
      <c r="CJ253" t="e">
        <f>AND(Onsite!#REF!,"AAAAAFfL51c=")</f>
        <v>#REF!</v>
      </c>
      <c r="CK253" t="e">
        <f>AND(Onsite!#REF!,"AAAAAFfL51g=")</f>
        <v>#REF!</v>
      </c>
      <c r="CL253" t="e">
        <f>AND(Onsite!#REF!,"AAAAAFfL51k=")</f>
        <v>#REF!</v>
      </c>
      <c r="CM253" t="e">
        <f>AND(Onsite!#REF!,"AAAAAFfL51o=")</f>
        <v>#REF!</v>
      </c>
      <c r="CN253" t="e">
        <f>AND(Onsite!#REF!,"AAAAAFfL51s=")</f>
        <v>#REF!</v>
      </c>
      <c r="CO253" t="e">
        <f>AND(Onsite!F68,"AAAAAFfL51w=")</f>
        <v>#VALUE!</v>
      </c>
      <c r="CP253" t="e">
        <f>AND(Onsite!#REF!,"AAAAAFfL510=")</f>
        <v>#REF!</v>
      </c>
      <c r="CQ253" t="e">
        <f>IF(Onsite!#REF!,"AAAAAFfL514=",0)</f>
        <v>#REF!</v>
      </c>
      <c r="CR253" t="e">
        <f>AND(Onsite!#REF!,"AAAAAFfL518=")</f>
        <v>#REF!</v>
      </c>
      <c r="CS253" t="e">
        <f>AND(Onsite!#REF!,"AAAAAFfL52A=")</f>
        <v>#REF!</v>
      </c>
      <c r="CT253" t="e">
        <f>AND(Onsite!#REF!,"AAAAAFfL52E=")</f>
        <v>#REF!</v>
      </c>
      <c r="CU253" t="e">
        <f>AND(Onsite!#REF!,"AAAAAFfL52I=")</f>
        <v>#REF!</v>
      </c>
      <c r="CV253" t="e">
        <f>AND(Onsite!#REF!,"AAAAAFfL52M=")</f>
        <v>#REF!</v>
      </c>
      <c r="CW253" t="e">
        <f>AND(Onsite!#REF!,"AAAAAFfL52Q=")</f>
        <v>#REF!</v>
      </c>
      <c r="CX253" t="e">
        <f>AND(Onsite!#REF!,"AAAAAFfL52U=")</f>
        <v>#REF!</v>
      </c>
      <c r="CY253" t="e">
        <f>AND(Onsite!#REF!,"AAAAAFfL52Y=")</f>
        <v>#REF!</v>
      </c>
      <c r="CZ253" t="e">
        <f>AND(Onsite!#REF!,"AAAAAFfL52c=")</f>
        <v>#REF!</v>
      </c>
      <c r="DA253" t="e">
        <f>AND(Onsite!#REF!,"AAAAAFfL52g=")</f>
        <v>#REF!</v>
      </c>
      <c r="DB253" t="e">
        <f>AND(Onsite!#REF!,"AAAAAFfL52k=")</f>
        <v>#REF!</v>
      </c>
      <c r="DC253" t="e">
        <f>AND(Onsite!#REF!,"AAAAAFfL52o=")</f>
        <v>#REF!</v>
      </c>
      <c r="DD253" t="e">
        <f>AND(Onsite!#REF!,"AAAAAFfL52s=")</f>
        <v>#REF!</v>
      </c>
      <c r="DE253" t="e">
        <f>IF(Onsite!#REF!,"AAAAAFfL52w=",0)</f>
        <v>#REF!</v>
      </c>
      <c r="DF253" t="e">
        <f>AND(Onsite!#REF!,"AAAAAFfL520=")</f>
        <v>#REF!</v>
      </c>
      <c r="DG253" t="e">
        <f>AND(Onsite!#REF!,"AAAAAFfL524=")</f>
        <v>#REF!</v>
      </c>
      <c r="DH253" t="e">
        <f>AND(Onsite!#REF!,"AAAAAFfL528=")</f>
        <v>#REF!</v>
      </c>
      <c r="DI253" t="e">
        <f>AND(Onsite!#REF!,"AAAAAFfL53A=")</f>
        <v>#REF!</v>
      </c>
      <c r="DJ253" t="e">
        <f>AND(Onsite!#REF!,"AAAAAFfL53E=")</f>
        <v>#REF!</v>
      </c>
      <c r="DK253" t="e">
        <f>AND(Onsite!#REF!,"AAAAAFfL53I=")</f>
        <v>#REF!</v>
      </c>
      <c r="DL253" t="e">
        <f>AND(Onsite!#REF!,"AAAAAFfL53M=")</f>
        <v>#REF!</v>
      </c>
      <c r="DM253" t="e">
        <f>AND(Onsite!#REF!,"AAAAAFfL53Q=")</f>
        <v>#REF!</v>
      </c>
      <c r="DN253" t="e">
        <f>AND(Onsite!#REF!,"AAAAAFfL53U=")</f>
        <v>#REF!</v>
      </c>
      <c r="DO253" t="e">
        <f>AND(Onsite!#REF!,"AAAAAFfL53Y=")</f>
        <v>#REF!</v>
      </c>
      <c r="DP253" t="e">
        <f>AND(Onsite!#REF!,"AAAAAFfL53c=")</f>
        <v>#REF!</v>
      </c>
      <c r="DQ253" t="e">
        <f>AND(Onsite!#REF!,"AAAAAFfL53g=")</f>
        <v>#REF!</v>
      </c>
      <c r="DR253" t="e">
        <f>AND(Onsite!#REF!,"AAAAAFfL53k=")</f>
        <v>#REF!</v>
      </c>
      <c r="DS253" t="e">
        <f>IF(Onsite!#REF!,"AAAAAFfL53o=",0)</f>
        <v>#REF!</v>
      </c>
      <c r="DT253" t="e">
        <f>AND(Onsite!#REF!,"AAAAAFfL53s=")</f>
        <v>#REF!</v>
      </c>
      <c r="DU253" t="e">
        <f>AND(Onsite!#REF!,"AAAAAFfL53w=")</f>
        <v>#REF!</v>
      </c>
      <c r="DV253" t="e">
        <f>AND(Onsite!#REF!,"AAAAAFfL530=")</f>
        <v>#REF!</v>
      </c>
      <c r="DW253" t="e">
        <f>AND(Onsite!#REF!,"AAAAAFfL534=")</f>
        <v>#REF!</v>
      </c>
      <c r="DX253" t="e">
        <f>AND(Onsite!#REF!,"AAAAAFfL538=")</f>
        <v>#REF!</v>
      </c>
      <c r="DY253" t="e">
        <f>AND(Onsite!#REF!,"AAAAAFfL54A=")</f>
        <v>#REF!</v>
      </c>
      <c r="DZ253" t="e">
        <f>AND(Onsite!#REF!,"AAAAAFfL54E=")</f>
        <v>#REF!</v>
      </c>
      <c r="EA253" t="e">
        <f>AND(Onsite!#REF!,"AAAAAFfL54I=")</f>
        <v>#REF!</v>
      </c>
      <c r="EB253" t="e">
        <f>AND(Onsite!#REF!,"AAAAAFfL54M=")</f>
        <v>#REF!</v>
      </c>
      <c r="EC253" t="e">
        <f>AND(Onsite!#REF!,"AAAAAFfL54Q=")</f>
        <v>#REF!</v>
      </c>
      <c r="ED253" t="e">
        <f>AND(Onsite!#REF!,"AAAAAFfL54U=")</f>
        <v>#REF!</v>
      </c>
      <c r="EE253" t="e">
        <f>AND(Onsite!#REF!,"AAAAAFfL54Y=")</f>
        <v>#REF!</v>
      </c>
      <c r="EF253" t="e">
        <f>AND(Onsite!#REF!,"AAAAAFfL54c=")</f>
        <v>#REF!</v>
      </c>
      <c r="EG253" t="e">
        <f>IF(Onsite!#REF!,"AAAAAFfL54g=",0)</f>
        <v>#REF!</v>
      </c>
      <c r="EH253" t="e">
        <f>AND(Onsite!#REF!,"AAAAAFfL54k=")</f>
        <v>#REF!</v>
      </c>
      <c r="EI253" t="e">
        <f>AND(Onsite!#REF!,"AAAAAFfL54o=")</f>
        <v>#REF!</v>
      </c>
      <c r="EJ253" t="e">
        <f>AND(Onsite!#REF!,"AAAAAFfL54s=")</f>
        <v>#REF!</v>
      </c>
      <c r="EK253" t="e">
        <f>AND(Onsite!#REF!,"AAAAAFfL54w=")</f>
        <v>#REF!</v>
      </c>
      <c r="EL253" t="e">
        <f>AND(Onsite!#REF!,"AAAAAFfL540=")</f>
        <v>#REF!</v>
      </c>
      <c r="EM253" t="e">
        <f>AND(Onsite!#REF!,"AAAAAFfL544=")</f>
        <v>#REF!</v>
      </c>
      <c r="EN253" t="e">
        <f>AND(Onsite!#REF!,"AAAAAFfL548=")</f>
        <v>#REF!</v>
      </c>
      <c r="EO253" t="e">
        <f>AND(Onsite!#REF!,"AAAAAFfL55A=")</f>
        <v>#REF!</v>
      </c>
      <c r="EP253" t="e">
        <f>AND(Onsite!#REF!,"AAAAAFfL55E=")</f>
        <v>#REF!</v>
      </c>
      <c r="EQ253" t="e">
        <f>AND(Onsite!#REF!,"AAAAAFfL55I=")</f>
        <v>#REF!</v>
      </c>
      <c r="ER253" t="e">
        <f>AND(Onsite!#REF!,"AAAAAFfL55M=")</f>
        <v>#REF!</v>
      </c>
      <c r="ES253" t="e">
        <f>AND(Onsite!#REF!,"AAAAAFfL55Q=")</f>
        <v>#REF!</v>
      </c>
      <c r="ET253" t="e">
        <f>AND(Onsite!#REF!,"AAAAAFfL55U=")</f>
        <v>#REF!</v>
      </c>
      <c r="EU253">
        <f>IF(Onsite!69:69,"AAAAAFfL55Y=",0)</f>
        <v>0</v>
      </c>
      <c r="EV253" t="e">
        <f>AND(Onsite!#REF!,"AAAAAFfL55c=")</f>
        <v>#REF!</v>
      </c>
      <c r="EW253" t="e">
        <f>AND(Onsite!A69,"AAAAAFfL55g=")</f>
        <v>#VALUE!</v>
      </c>
      <c r="EX253" t="e">
        <f>AND(Onsite!B69,"AAAAAFfL55k=")</f>
        <v>#VALUE!</v>
      </c>
      <c r="EY253" t="e">
        <f>AND(Onsite!#REF!,"AAAAAFfL55o=")</f>
        <v>#REF!</v>
      </c>
      <c r="EZ253" t="e">
        <f>AND(Onsite!D69,"AAAAAFfL55s=")</f>
        <v>#VALUE!</v>
      </c>
      <c r="FA253" t="e">
        <f>AND(Onsite!E69,"AAAAAFfL55w=")</f>
        <v>#VALUE!</v>
      </c>
      <c r="FB253" t="e">
        <f>AND(Onsite!F69,"AAAAAFfL550=")</f>
        <v>#VALUE!</v>
      </c>
      <c r="FC253" t="e">
        <f>AND(Onsite!#REF!,"AAAAAFfL554=")</f>
        <v>#REF!</v>
      </c>
      <c r="FD253" t="e">
        <f>AND(Onsite!#REF!,"AAAAAFfL558=")</f>
        <v>#REF!</v>
      </c>
      <c r="FE253" t="e">
        <f>AND(Onsite!#REF!,"AAAAAFfL56A=")</f>
        <v>#REF!</v>
      </c>
      <c r="FF253" t="e">
        <f>AND(Onsite!#REF!,"AAAAAFfL56E=")</f>
        <v>#REF!</v>
      </c>
      <c r="FG253" t="e">
        <f>AND(Onsite!#REF!,"AAAAAFfL56I=")</f>
        <v>#REF!</v>
      </c>
      <c r="FH253" t="e">
        <f>AND(Onsite!#REF!,"AAAAAFfL56M=")</f>
        <v>#REF!</v>
      </c>
      <c r="FI253">
        <f>IF(Onsite!70:70,"AAAAAFfL56Q=",0)</f>
        <v>0</v>
      </c>
      <c r="FJ253" t="e">
        <f>AND(Onsite!#REF!,"AAAAAFfL56U=")</f>
        <v>#REF!</v>
      </c>
      <c r="FK253" t="e">
        <f>AND(Onsite!A70,"AAAAAFfL56Y=")</f>
        <v>#VALUE!</v>
      </c>
      <c r="FL253" t="e">
        <f>AND(Onsite!B70,"AAAAAFfL56c=")</f>
        <v>#VALUE!</v>
      </c>
      <c r="FM253" t="e">
        <f>AND(Onsite!#REF!,"AAAAAFfL56g=")</f>
        <v>#REF!</v>
      </c>
      <c r="FN253" t="e">
        <f>AND(Onsite!D70,"AAAAAFfL56k=")</f>
        <v>#VALUE!</v>
      </c>
      <c r="FO253" t="e">
        <f>AND(Onsite!E70,"AAAAAFfL56o=")</f>
        <v>#VALUE!</v>
      </c>
      <c r="FP253" t="e">
        <f>AND(Onsite!F70,"AAAAAFfL56s=")</f>
        <v>#VALUE!</v>
      </c>
      <c r="FQ253" t="e">
        <f>AND(Onsite!#REF!,"AAAAAFfL56w=")</f>
        <v>#REF!</v>
      </c>
      <c r="FR253" t="e">
        <f>AND(Onsite!#REF!,"AAAAAFfL560=")</f>
        <v>#REF!</v>
      </c>
      <c r="FS253" t="e">
        <f>AND(Onsite!#REF!,"AAAAAFfL564=")</f>
        <v>#REF!</v>
      </c>
      <c r="FT253" t="e">
        <f>AND(Onsite!#REF!,"AAAAAFfL568=")</f>
        <v>#REF!</v>
      </c>
      <c r="FU253" t="e">
        <f>AND(Onsite!#REF!,"AAAAAFfL57A=")</f>
        <v>#REF!</v>
      </c>
      <c r="FV253" t="e">
        <f>AND(Onsite!#REF!,"AAAAAFfL57E=")</f>
        <v>#REF!</v>
      </c>
      <c r="FW253">
        <f>IF(Onsite!71:71,"AAAAAFfL57I=",0)</f>
        <v>0</v>
      </c>
      <c r="FX253" t="e">
        <f>AND(Onsite!#REF!,"AAAAAFfL57M=")</f>
        <v>#REF!</v>
      </c>
      <c r="FY253" t="e">
        <f>AND(Onsite!A71,"AAAAAFfL57Q=")</f>
        <v>#VALUE!</v>
      </c>
      <c r="FZ253" t="e">
        <f>AND(Onsite!B71,"AAAAAFfL57U=")</f>
        <v>#VALUE!</v>
      </c>
      <c r="GA253" t="e">
        <f>AND(Onsite!#REF!,"AAAAAFfL57Y=")</f>
        <v>#REF!</v>
      </c>
      <c r="GB253" t="e">
        <f>AND(Onsite!D71,"AAAAAFfL57c=")</f>
        <v>#VALUE!</v>
      </c>
      <c r="GC253" t="e">
        <f>AND(Onsite!E71,"AAAAAFfL57g=")</f>
        <v>#VALUE!</v>
      </c>
      <c r="GD253" t="e">
        <f>AND(Onsite!F71,"AAAAAFfL57k=")</f>
        <v>#VALUE!</v>
      </c>
      <c r="GE253" t="e">
        <f>AND(Onsite!#REF!,"AAAAAFfL57o=")</f>
        <v>#REF!</v>
      </c>
      <c r="GF253" t="e">
        <f>AND(Onsite!#REF!,"AAAAAFfL57s=")</f>
        <v>#REF!</v>
      </c>
      <c r="GG253" t="e">
        <f>AND(Onsite!#REF!,"AAAAAFfL57w=")</f>
        <v>#REF!</v>
      </c>
      <c r="GH253" t="e">
        <f>AND(Onsite!#REF!,"AAAAAFfL570=")</f>
        <v>#REF!</v>
      </c>
      <c r="GI253" t="e">
        <f>AND(Onsite!#REF!,"AAAAAFfL574=")</f>
        <v>#REF!</v>
      </c>
      <c r="GJ253" t="e">
        <f>AND(Onsite!#REF!,"AAAAAFfL578=")</f>
        <v>#REF!</v>
      </c>
      <c r="GK253">
        <f>IF(Onsite!72:72,"AAAAAFfL58A=",0)</f>
        <v>0</v>
      </c>
      <c r="GL253" t="e">
        <f>AND(Onsite!#REF!,"AAAAAFfL58E=")</f>
        <v>#REF!</v>
      </c>
      <c r="GM253" t="e">
        <f>AND(Onsite!A72,"AAAAAFfL58I=")</f>
        <v>#VALUE!</v>
      </c>
      <c r="GN253" t="e">
        <f>AND(Onsite!B72,"AAAAAFfL58M=")</f>
        <v>#VALUE!</v>
      </c>
      <c r="GO253" t="e">
        <f>AND(Onsite!#REF!,"AAAAAFfL58Q=")</f>
        <v>#REF!</v>
      </c>
      <c r="GP253" t="e">
        <f>AND(Onsite!D72,"AAAAAFfL58U=")</f>
        <v>#VALUE!</v>
      </c>
      <c r="GQ253" t="e">
        <f>AND(Onsite!E72,"AAAAAFfL58Y=")</f>
        <v>#VALUE!</v>
      </c>
      <c r="GR253" t="e">
        <f>AND(Onsite!F72,"AAAAAFfL58c=")</f>
        <v>#VALUE!</v>
      </c>
      <c r="GS253" t="e">
        <f>AND(Onsite!#REF!,"AAAAAFfL58g=")</f>
        <v>#REF!</v>
      </c>
      <c r="GT253" t="e">
        <f>AND(Onsite!#REF!,"AAAAAFfL58k=")</f>
        <v>#REF!</v>
      </c>
      <c r="GU253" t="e">
        <f>AND(Onsite!#REF!,"AAAAAFfL58o=")</f>
        <v>#REF!</v>
      </c>
      <c r="GV253" t="e">
        <f>AND(Onsite!#REF!,"AAAAAFfL58s=")</f>
        <v>#REF!</v>
      </c>
      <c r="GW253" t="e">
        <f>AND(Onsite!#REF!,"AAAAAFfL58w=")</f>
        <v>#REF!</v>
      </c>
      <c r="GX253" t="e">
        <f>AND(Onsite!#REF!,"AAAAAFfL580=")</f>
        <v>#REF!</v>
      </c>
      <c r="GY253">
        <f>IF(Onsite!73:73,"AAAAAFfL584=",0)</f>
        <v>0</v>
      </c>
      <c r="GZ253" t="e">
        <f>AND(Onsite!#REF!,"AAAAAFfL588=")</f>
        <v>#REF!</v>
      </c>
      <c r="HA253" t="e">
        <f>AND(Onsite!A73,"AAAAAFfL59A=")</f>
        <v>#VALUE!</v>
      </c>
      <c r="HB253" t="e">
        <f>AND(Onsite!B73,"AAAAAFfL59E=")</f>
        <v>#VALUE!</v>
      </c>
      <c r="HC253" t="e">
        <f>AND(Onsite!#REF!,"AAAAAFfL59I=")</f>
        <v>#REF!</v>
      </c>
      <c r="HD253" t="e">
        <f>AND(Onsite!D73,"AAAAAFfL59M=")</f>
        <v>#VALUE!</v>
      </c>
      <c r="HE253" t="e">
        <f>AND(Onsite!E73,"AAAAAFfL59Q=")</f>
        <v>#VALUE!</v>
      </c>
      <c r="HF253" t="e">
        <f>AND(Onsite!F73,"AAAAAFfL59U=")</f>
        <v>#VALUE!</v>
      </c>
      <c r="HG253" t="e">
        <f>AND(Onsite!#REF!,"AAAAAFfL59Y=")</f>
        <v>#REF!</v>
      </c>
      <c r="HH253" t="e">
        <f>AND(Onsite!#REF!,"AAAAAFfL59c=")</f>
        <v>#REF!</v>
      </c>
      <c r="HI253" t="e">
        <f>AND(Onsite!#REF!,"AAAAAFfL59g=")</f>
        <v>#REF!</v>
      </c>
      <c r="HJ253" t="e">
        <f>AND(Onsite!#REF!,"AAAAAFfL59k=")</f>
        <v>#REF!</v>
      </c>
      <c r="HK253" t="e">
        <f>AND(Onsite!#REF!,"AAAAAFfL59o=")</f>
        <v>#REF!</v>
      </c>
      <c r="HL253" t="e">
        <f>AND(Onsite!#REF!,"AAAAAFfL59s=")</f>
        <v>#REF!</v>
      </c>
      <c r="HM253">
        <f>IF(Onsite!74:74,"AAAAAFfL59w=",0)</f>
        <v>0</v>
      </c>
      <c r="HN253" t="e">
        <f>AND(Onsite!#REF!,"AAAAAFfL590=")</f>
        <v>#REF!</v>
      </c>
      <c r="HO253" t="e">
        <f>AND(Onsite!A74,"AAAAAFfL594=")</f>
        <v>#VALUE!</v>
      </c>
      <c r="HP253" t="e">
        <f>AND(Onsite!B74,"AAAAAFfL598=")</f>
        <v>#VALUE!</v>
      </c>
      <c r="HQ253" t="e">
        <f>AND(Onsite!#REF!,"AAAAAFfL5+A=")</f>
        <v>#REF!</v>
      </c>
      <c r="HR253" t="e">
        <f>AND(Onsite!D74,"AAAAAFfL5+E=")</f>
        <v>#VALUE!</v>
      </c>
      <c r="HS253" t="e">
        <f>AND(Onsite!E74,"AAAAAFfL5+I=")</f>
        <v>#VALUE!</v>
      </c>
      <c r="HT253" t="e">
        <f>AND(Onsite!F74,"AAAAAFfL5+M=")</f>
        <v>#VALUE!</v>
      </c>
      <c r="HU253" t="e">
        <f>AND(Onsite!#REF!,"AAAAAFfL5+Q=")</f>
        <v>#REF!</v>
      </c>
      <c r="HV253" t="e">
        <f>AND(Onsite!#REF!,"AAAAAFfL5+U=")</f>
        <v>#REF!</v>
      </c>
      <c r="HW253" t="e">
        <f>AND(Onsite!#REF!,"AAAAAFfL5+Y=")</f>
        <v>#REF!</v>
      </c>
      <c r="HX253" t="e">
        <f>AND(Onsite!#REF!,"AAAAAFfL5+c=")</f>
        <v>#REF!</v>
      </c>
      <c r="HY253" t="e">
        <f>AND(Onsite!#REF!,"AAAAAFfL5+g=")</f>
        <v>#REF!</v>
      </c>
      <c r="HZ253" t="e">
        <f>AND(Onsite!#REF!,"AAAAAFfL5+k=")</f>
        <v>#REF!</v>
      </c>
      <c r="IA253">
        <f>IF(Onsite!75:75,"AAAAAFfL5+o=",0)</f>
        <v>0</v>
      </c>
      <c r="IB253" t="e">
        <f>AND(Onsite!#REF!,"AAAAAFfL5+s=")</f>
        <v>#REF!</v>
      </c>
      <c r="IC253" t="e">
        <f>AND(Onsite!A75,"AAAAAFfL5+w=")</f>
        <v>#VALUE!</v>
      </c>
      <c r="ID253" t="e">
        <f>AND(Onsite!B75,"AAAAAFfL5+0=")</f>
        <v>#VALUE!</v>
      </c>
      <c r="IE253" t="e">
        <f>AND(Onsite!#REF!,"AAAAAFfL5+4=")</f>
        <v>#REF!</v>
      </c>
      <c r="IF253" t="e">
        <f>AND(Onsite!D75,"AAAAAFfL5+8=")</f>
        <v>#VALUE!</v>
      </c>
      <c r="IG253" t="e">
        <f>AND(Onsite!E75,"AAAAAFfL5/A=")</f>
        <v>#VALUE!</v>
      </c>
      <c r="IH253" t="e">
        <f>AND(Onsite!F75,"AAAAAFfL5/E=")</f>
        <v>#VALUE!</v>
      </c>
      <c r="II253" t="e">
        <f>AND(Onsite!#REF!,"AAAAAFfL5/I=")</f>
        <v>#REF!</v>
      </c>
      <c r="IJ253" t="e">
        <f>AND(Onsite!#REF!,"AAAAAFfL5/M=")</f>
        <v>#REF!</v>
      </c>
      <c r="IK253" t="e">
        <f>AND(Onsite!#REF!,"AAAAAFfL5/Q=")</f>
        <v>#REF!</v>
      </c>
      <c r="IL253" t="e">
        <f>AND(Onsite!#REF!,"AAAAAFfL5/U=")</f>
        <v>#REF!</v>
      </c>
      <c r="IM253" t="e">
        <f>AND(Onsite!#REF!,"AAAAAFfL5/Y=")</f>
        <v>#REF!</v>
      </c>
      <c r="IN253" t="e">
        <f>AND(Onsite!#REF!,"AAAAAFfL5/c=")</f>
        <v>#REF!</v>
      </c>
      <c r="IO253" t="e">
        <f>IF(Onsite!#REF!,"AAAAAFfL5/g=",0)</f>
        <v>#REF!</v>
      </c>
      <c r="IP253" t="e">
        <f>AND(Onsite!#REF!,"AAAAAFfL5/k=")</f>
        <v>#REF!</v>
      </c>
      <c r="IQ253" t="e">
        <f>AND(Onsite!#REF!,"AAAAAFfL5/o=")</f>
        <v>#REF!</v>
      </c>
      <c r="IR253" t="e">
        <f>AND(Onsite!#REF!,"AAAAAFfL5/s=")</f>
        <v>#REF!</v>
      </c>
      <c r="IS253" t="e">
        <f>AND(Onsite!#REF!,"AAAAAFfL5/w=")</f>
        <v>#REF!</v>
      </c>
      <c r="IT253" t="e">
        <f>AND(Onsite!#REF!,"AAAAAFfL5/0=")</f>
        <v>#REF!</v>
      </c>
      <c r="IU253" t="e">
        <f>AND(Onsite!#REF!,"AAAAAFfL5/4=")</f>
        <v>#REF!</v>
      </c>
      <c r="IV253" t="e">
        <f>AND(Onsite!#REF!,"AAAAAFfL5/8=")</f>
        <v>#REF!</v>
      </c>
    </row>
    <row r="254" spans="1:256" x14ac:dyDescent="0.2">
      <c r="A254" t="e">
        <f>AND(Onsite!#REF!,"AAAAAHffvQA=")</f>
        <v>#REF!</v>
      </c>
      <c r="B254" t="e">
        <f>AND(Onsite!#REF!,"AAAAAHffvQE=")</f>
        <v>#REF!</v>
      </c>
      <c r="C254" t="e">
        <f>AND(Onsite!#REF!,"AAAAAHffvQI=")</f>
        <v>#REF!</v>
      </c>
      <c r="D254" t="e">
        <f>AND(Onsite!#REF!,"AAAAAHffvQM=")</f>
        <v>#REF!</v>
      </c>
      <c r="E254" t="e">
        <f>AND(Onsite!#REF!,"AAAAAHffvQQ=")</f>
        <v>#REF!</v>
      </c>
      <c r="F254" t="e">
        <f>AND(Onsite!#REF!,"AAAAAHffvQU=")</f>
        <v>#REF!</v>
      </c>
      <c r="G254">
        <f>IF(Onsite!77:77,"AAAAAHffvQY=",0)</f>
        <v>0</v>
      </c>
      <c r="H254" t="e">
        <f>AND(Onsite!#REF!,"AAAAAHffvQc=")</f>
        <v>#REF!</v>
      </c>
      <c r="I254" t="e">
        <f>AND(Onsite!A77,"AAAAAHffvQg=")</f>
        <v>#VALUE!</v>
      </c>
      <c r="J254" t="e">
        <f>AND(Onsite!B77,"AAAAAHffvQk=")</f>
        <v>#VALUE!</v>
      </c>
      <c r="K254" t="e">
        <f>AND(Onsite!#REF!,"AAAAAHffvQo=")</f>
        <v>#REF!</v>
      </c>
      <c r="L254" t="e">
        <f>AND(Onsite!D77,"AAAAAHffvQs=")</f>
        <v>#VALUE!</v>
      </c>
      <c r="M254" t="e">
        <f>AND(Onsite!E77,"AAAAAHffvQw=")</f>
        <v>#VALUE!</v>
      </c>
      <c r="N254" t="e">
        <f>AND(Onsite!F77,"AAAAAHffvQ0=")</f>
        <v>#VALUE!</v>
      </c>
      <c r="O254" t="e">
        <f>AND(Onsite!#REF!,"AAAAAHffvQ4=")</f>
        <v>#REF!</v>
      </c>
      <c r="P254" t="e">
        <f>AND(Onsite!#REF!,"AAAAAHffvQ8=")</f>
        <v>#REF!</v>
      </c>
      <c r="Q254" t="e">
        <f>AND(Onsite!#REF!,"AAAAAHffvRA=")</f>
        <v>#REF!</v>
      </c>
      <c r="R254" t="e">
        <f>AND(Onsite!#REF!,"AAAAAHffvRE=")</f>
        <v>#REF!</v>
      </c>
      <c r="S254" t="e">
        <f>AND(Onsite!#REF!,"AAAAAHffvRI=")</f>
        <v>#REF!</v>
      </c>
      <c r="T254" t="e">
        <f>AND(Onsite!#REF!,"AAAAAHffvRM=")</f>
        <v>#REF!</v>
      </c>
      <c r="U254">
        <f>IF(Onsite!78:78,"AAAAAHffvRQ=",0)</f>
        <v>0</v>
      </c>
      <c r="V254" t="e">
        <f>AND(Onsite!#REF!,"AAAAAHffvRU=")</f>
        <v>#REF!</v>
      </c>
      <c r="W254" t="e">
        <f>AND(Onsite!A78,"AAAAAHffvRY=")</f>
        <v>#VALUE!</v>
      </c>
      <c r="X254" t="e">
        <f>AND(Onsite!B78,"AAAAAHffvRc=")</f>
        <v>#VALUE!</v>
      </c>
      <c r="Y254" t="e">
        <f>AND(Onsite!#REF!,"AAAAAHffvRg=")</f>
        <v>#REF!</v>
      </c>
      <c r="Z254" t="e">
        <f>AND(Onsite!D78,"AAAAAHffvRk=")</f>
        <v>#VALUE!</v>
      </c>
      <c r="AA254" t="e">
        <f>AND(Onsite!E78,"AAAAAHffvRo=")</f>
        <v>#VALUE!</v>
      </c>
      <c r="AB254" t="e">
        <f>AND(Onsite!F78,"AAAAAHffvRs=")</f>
        <v>#VALUE!</v>
      </c>
      <c r="AC254" t="e">
        <f>AND(Onsite!#REF!,"AAAAAHffvRw=")</f>
        <v>#REF!</v>
      </c>
      <c r="AD254" t="e">
        <f>AND(Onsite!#REF!,"AAAAAHffvR0=")</f>
        <v>#REF!</v>
      </c>
      <c r="AE254" t="e">
        <f>AND(Onsite!#REF!,"AAAAAHffvR4=")</f>
        <v>#REF!</v>
      </c>
      <c r="AF254" t="e">
        <f>AND(Onsite!#REF!,"AAAAAHffvR8=")</f>
        <v>#REF!</v>
      </c>
      <c r="AG254" t="e">
        <f>AND(Onsite!#REF!,"AAAAAHffvSA=")</f>
        <v>#REF!</v>
      </c>
      <c r="AH254" t="e">
        <f>AND(Onsite!#REF!,"AAAAAHffvSE=")</f>
        <v>#REF!</v>
      </c>
      <c r="AI254">
        <f>IF(Onsite!79:79,"AAAAAHffvSI=",0)</f>
        <v>0</v>
      </c>
      <c r="AJ254" t="e">
        <f>AND(Onsite!#REF!,"AAAAAHffvSM=")</f>
        <v>#REF!</v>
      </c>
      <c r="AK254" t="e">
        <f>AND(Onsite!A79,"AAAAAHffvSQ=")</f>
        <v>#VALUE!</v>
      </c>
      <c r="AL254" t="e">
        <f>AND(Onsite!B79,"AAAAAHffvSU=")</f>
        <v>#VALUE!</v>
      </c>
      <c r="AM254" t="e">
        <f>AND(Onsite!#REF!,"AAAAAHffvSY=")</f>
        <v>#REF!</v>
      </c>
      <c r="AN254" t="e">
        <f>AND(Onsite!D79,"AAAAAHffvSc=")</f>
        <v>#VALUE!</v>
      </c>
      <c r="AO254" t="e">
        <f>AND(Onsite!E79,"AAAAAHffvSg=")</f>
        <v>#VALUE!</v>
      </c>
      <c r="AP254" t="e">
        <f>AND(Onsite!F79,"AAAAAHffvSk=")</f>
        <v>#VALUE!</v>
      </c>
      <c r="AQ254" t="e">
        <f>AND(Onsite!#REF!,"AAAAAHffvSo=")</f>
        <v>#REF!</v>
      </c>
      <c r="AR254" t="e">
        <f>AND(Onsite!#REF!,"AAAAAHffvSs=")</f>
        <v>#REF!</v>
      </c>
      <c r="AS254" t="e">
        <f>AND(Onsite!#REF!,"AAAAAHffvSw=")</f>
        <v>#REF!</v>
      </c>
      <c r="AT254" t="e">
        <f>AND(Onsite!#REF!,"AAAAAHffvS0=")</f>
        <v>#REF!</v>
      </c>
      <c r="AU254" t="e">
        <f>AND(Onsite!#REF!,"AAAAAHffvS4=")</f>
        <v>#REF!</v>
      </c>
      <c r="AV254" t="e">
        <f>AND(Onsite!#REF!,"AAAAAHffvS8=")</f>
        <v>#REF!</v>
      </c>
      <c r="AW254">
        <f>IF(Onsite!82:82,"AAAAAHffvTA=",0)</f>
        <v>0</v>
      </c>
      <c r="AX254" t="e">
        <f>AND(Onsite!#REF!,"AAAAAHffvTE=")</f>
        <v>#REF!</v>
      </c>
      <c r="AY254" t="e">
        <f>AND(Onsite!#REF!,"AAAAAHffvTI=")</f>
        <v>#REF!</v>
      </c>
      <c r="AZ254" t="e">
        <f>AND(Onsite!#REF!,"AAAAAHffvTM=")</f>
        <v>#REF!</v>
      </c>
      <c r="BA254" t="e">
        <f>AND(Onsite!#REF!,"AAAAAHffvTQ=")</f>
        <v>#REF!</v>
      </c>
      <c r="BB254" t="e">
        <f>AND(Onsite!D82,"AAAAAHffvTU=")</f>
        <v>#VALUE!</v>
      </c>
      <c r="BC254" t="e">
        <f>AND(Onsite!E82,"AAAAAHffvTY=")</f>
        <v>#VALUE!</v>
      </c>
      <c r="BD254" t="e">
        <f>AND(Onsite!F82,"AAAAAHffvTc=")</f>
        <v>#VALUE!</v>
      </c>
      <c r="BE254" t="e">
        <f>AND(Onsite!#REF!,"AAAAAHffvTg=")</f>
        <v>#REF!</v>
      </c>
      <c r="BF254" t="e">
        <f>AND(Onsite!#REF!,"AAAAAHffvTk=")</f>
        <v>#REF!</v>
      </c>
      <c r="BG254" t="e">
        <f>AND(Onsite!#REF!,"AAAAAHffvTo=")</f>
        <v>#REF!</v>
      </c>
      <c r="BH254" t="e">
        <f>AND(Onsite!#REF!,"AAAAAHffvTs=")</f>
        <v>#REF!</v>
      </c>
      <c r="BI254" t="e">
        <f>AND(Onsite!#REF!,"AAAAAHffvTw=")</f>
        <v>#REF!</v>
      </c>
      <c r="BJ254" t="e">
        <f>AND(Onsite!#REF!,"AAAAAHffvT0=")</f>
        <v>#REF!</v>
      </c>
      <c r="BK254" t="e">
        <f>IF(Onsite!#REF!,"AAAAAHffvT4=",0)</f>
        <v>#REF!</v>
      </c>
      <c r="BL254" t="e">
        <f>AND(Onsite!#REF!,"AAAAAHffvT8=")</f>
        <v>#REF!</v>
      </c>
      <c r="BM254" t="e">
        <f>AND(Onsite!#REF!,"AAAAAHffvUA=")</f>
        <v>#REF!</v>
      </c>
      <c r="BN254" t="e">
        <f>AND(Onsite!#REF!,"AAAAAHffvUE=")</f>
        <v>#REF!</v>
      </c>
      <c r="BO254" t="e">
        <f>AND(Onsite!#REF!,"AAAAAHffvUI=")</f>
        <v>#REF!</v>
      </c>
      <c r="BP254" t="e">
        <f>AND(Onsite!#REF!,"AAAAAHffvUM=")</f>
        <v>#REF!</v>
      </c>
      <c r="BQ254" t="e">
        <f>AND(Onsite!#REF!,"AAAAAHffvUQ=")</f>
        <v>#REF!</v>
      </c>
      <c r="BR254" t="e">
        <f>AND(Onsite!#REF!,"AAAAAHffvUU=")</f>
        <v>#REF!</v>
      </c>
      <c r="BS254" t="e">
        <f>AND(Onsite!#REF!,"AAAAAHffvUY=")</f>
        <v>#REF!</v>
      </c>
      <c r="BT254" t="e">
        <f>AND(Onsite!#REF!,"AAAAAHffvUc=")</f>
        <v>#REF!</v>
      </c>
      <c r="BU254" t="e">
        <f>AND(Onsite!#REF!,"AAAAAHffvUg=")</f>
        <v>#REF!</v>
      </c>
      <c r="BV254" t="e">
        <f>AND(Onsite!#REF!,"AAAAAHffvUk=")</f>
        <v>#REF!</v>
      </c>
      <c r="BW254" t="e">
        <f>AND(Onsite!#REF!,"AAAAAHffvUo=")</f>
        <v>#REF!</v>
      </c>
      <c r="BX254" t="e">
        <f>AND(Onsite!#REF!,"AAAAAHffvUs=")</f>
        <v>#REF!</v>
      </c>
      <c r="BY254" t="e">
        <f>IF(Onsite!#REF!,"AAAAAHffvUw=",0)</f>
        <v>#REF!</v>
      </c>
      <c r="BZ254" t="e">
        <f>AND(Onsite!#REF!,"AAAAAHffvU0=")</f>
        <v>#REF!</v>
      </c>
      <c r="CA254" t="e">
        <f>AND(Onsite!#REF!,"AAAAAHffvU4=")</f>
        <v>#REF!</v>
      </c>
      <c r="CB254" t="e">
        <f>AND(Onsite!#REF!,"AAAAAHffvU8=")</f>
        <v>#REF!</v>
      </c>
      <c r="CC254" t="e">
        <f>AND(Onsite!#REF!,"AAAAAHffvVA=")</f>
        <v>#REF!</v>
      </c>
      <c r="CD254" t="e">
        <f>AND(Onsite!#REF!,"AAAAAHffvVE=")</f>
        <v>#REF!</v>
      </c>
      <c r="CE254" t="e">
        <f>AND(Onsite!#REF!,"AAAAAHffvVI=")</f>
        <v>#REF!</v>
      </c>
      <c r="CF254" t="e">
        <f>AND(Onsite!#REF!,"AAAAAHffvVM=")</f>
        <v>#REF!</v>
      </c>
      <c r="CG254" t="e">
        <f>AND(Onsite!#REF!,"AAAAAHffvVQ=")</f>
        <v>#REF!</v>
      </c>
      <c r="CH254" t="e">
        <f>AND(Onsite!#REF!,"AAAAAHffvVU=")</f>
        <v>#REF!</v>
      </c>
      <c r="CI254" t="e">
        <f>AND(Onsite!#REF!,"AAAAAHffvVY=")</f>
        <v>#REF!</v>
      </c>
      <c r="CJ254" t="e">
        <f>AND(Onsite!#REF!,"AAAAAHffvVc=")</f>
        <v>#REF!</v>
      </c>
      <c r="CK254" t="e">
        <f>AND(Onsite!#REF!,"AAAAAHffvVg=")</f>
        <v>#REF!</v>
      </c>
      <c r="CL254" t="e">
        <f>AND(Onsite!#REF!,"AAAAAHffvVk=")</f>
        <v>#REF!</v>
      </c>
      <c r="CM254">
        <f>IF(Onsite!83:83,"AAAAAHffvVo=",0)</f>
        <v>0</v>
      </c>
      <c r="CN254" t="e">
        <f>AND(Onsite!#REF!,"AAAAAHffvVs=")</f>
        <v>#REF!</v>
      </c>
      <c r="CO254" t="e">
        <f>AND(Onsite!A83,"AAAAAHffvVw=")</f>
        <v>#VALUE!</v>
      </c>
      <c r="CP254" t="e">
        <f>AND(Onsite!A82,"AAAAAHffvV0=")</f>
        <v>#VALUE!</v>
      </c>
      <c r="CQ254" t="e">
        <f>AND(Onsite!#REF!,"AAAAAHffvV4=")</f>
        <v>#REF!</v>
      </c>
      <c r="CR254" t="e">
        <f>AND(Onsite!B82,"AAAAAHffvV8=")</f>
        <v>#VALUE!</v>
      </c>
      <c r="CS254" t="e">
        <f>AND(Onsite!D83,"AAAAAHffvWA=")</f>
        <v>#VALUE!</v>
      </c>
      <c r="CT254" t="e">
        <f>AND(Onsite!E83,"AAAAAHffvWE=")</f>
        <v>#VALUE!</v>
      </c>
      <c r="CU254" t="e">
        <f>AND(Onsite!#REF!,"AAAAAHffvWI=")</f>
        <v>#REF!</v>
      </c>
      <c r="CV254" t="e">
        <f>AND(Onsite!#REF!,"AAAAAHffvWM=")</f>
        <v>#REF!</v>
      </c>
      <c r="CW254" t="e">
        <f>AND(Onsite!#REF!,"AAAAAHffvWQ=")</f>
        <v>#REF!</v>
      </c>
      <c r="CX254" t="e">
        <f>AND(Onsite!#REF!,"AAAAAHffvWU=")</f>
        <v>#REF!</v>
      </c>
      <c r="CY254" t="e">
        <f>AND(Onsite!#REF!,"AAAAAHffvWY=")</f>
        <v>#REF!</v>
      </c>
      <c r="CZ254" t="e">
        <f>AND(Onsite!#REF!,"AAAAAHffvWc=")</f>
        <v>#REF!</v>
      </c>
      <c r="DA254" t="e">
        <f>IF(Onsite!#REF!,"AAAAAHffvWg=",0)</f>
        <v>#REF!</v>
      </c>
      <c r="DB254" t="e">
        <f>AND(Onsite!#REF!,"AAAAAHffvWk=")</f>
        <v>#REF!</v>
      </c>
      <c r="DC254" t="e">
        <f>AND(Onsite!#REF!,"AAAAAHffvWo=")</f>
        <v>#REF!</v>
      </c>
      <c r="DD254" t="e">
        <f>AND(Onsite!#REF!,"AAAAAHffvWs=")</f>
        <v>#REF!</v>
      </c>
      <c r="DE254" t="e">
        <f>AND(Onsite!#REF!,"AAAAAHffvWw=")</f>
        <v>#REF!</v>
      </c>
      <c r="DF254" t="e">
        <f>AND(Onsite!#REF!,"AAAAAHffvW0=")</f>
        <v>#REF!</v>
      </c>
      <c r="DG254" t="e">
        <f>AND(Onsite!#REF!,"AAAAAHffvW4=")</f>
        <v>#REF!</v>
      </c>
      <c r="DH254" t="e">
        <f>AND(Onsite!#REF!,"AAAAAHffvW8=")</f>
        <v>#REF!</v>
      </c>
      <c r="DI254" t="e">
        <f>AND(Onsite!#REF!,"AAAAAHffvXA=")</f>
        <v>#REF!</v>
      </c>
      <c r="DJ254" t="e">
        <f>AND(Onsite!#REF!,"AAAAAHffvXE=")</f>
        <v>#REF!</v>
      </c>
      <c r="DK254" t="e">
        <f>AND(Onsite!#REF!,"AAAAAHffvXI=")</f>
        <v>#REF!</v>
      </c>
      <c r="DL254" t="e">
        <f>AND(Onsite!#REF!,"AAAAAHffvXM=")</f>
        <v>#REF!</v>
      </c>
      <c r="DM254" t="e">
        <f>AND(Onsite!#REF!,"AAAAAHffvXQ=")</f>
        <v>#REF!</v>
      </c>
      <c r="DN254" t="e">
        <f>AND(Onsite!#REF!,"AAAAAHffvXU=")</f>
        <v>#REF!</v>
      </c>
      <c r="DO254" t="e">
        <f>IF(Onsite!#REF!,"AAAAAHffvXY=",0)</f>
        <v>#REF!</v>
      </c>
      <c r="DP254" t="e">
        <f>AND(Onsite!#REF!,"AAAAAHffvXc=")</f>
        <v>#REF!</v>
      </c>
      <c r="DQ254" t="e">
        <f>AND(Onsite!#REF!,"AAAAAHffvXg=")</f>
        <v>#REF!</v>
      </c>
      <c r="DR254" t="e">
        <f>AND(Onsite!#REF!,"AAAAAHffvXk=")</f>
        <v>#REF!</v>
      </c>
      <c r="DS254" t="e">
        <f>AND(Onsite!#REF!,"AAAAAHffvXo=")</f>
        <v>#REF!</v>
      </c>
      <c r="DT254" t="e">
        <f>AND(Onsite!#REF!,"AAAAAHffvXs=")</f>
        <v>#REF!</v>
      </c>
      <c r="DU254" t="e">
        <f>AND(Onsite!#REF!,"AAAAAHffvXw=")</f>
        <v>#REF!</v>
      </c>
      <c r="DV254" t="e">
        <f>AND(Onsite!#REF!,"AAAAAHffvX0=")</f>
        <v>#REF!</v>
      </c>
      <c r="DW254" t="e">
        <f>AND(Onsite!#REF!,"AAAAAHffvX4=")</f>
        <v>#REF!</v>
      </c>
      <c r="DX254" t="e">
        <f>AND(Onsite!#REF!,"AAAAAHffvX8=")</f>
        <v>#REF!</v>
      </c>
      <c r="DY254" t="e">
        <f>AND(Onsite!#REF!,"AAAAAHffvYA=")</f>
        <v>#REF!</v>
      </c>
      <c r="DZ254" t="e">
        <f>AND(Onsite!#REF!,"AAAAAHffvYE=")</f>
        <v>#REF!</v>
      </c>
      <c r="EA254" t="e">
        <f>AND(Onsite!#REF!,"AAAAAHffvYI=")</f>
        <v>#REF!</v>
      </c>
      <c r="EB254" t="e">
        <f>AND(Onsite!#REF!,"AAAAAHffvYM=")</f>
        <v>#REF!</v>
      </c>
      <c r="EC254" t="e">
        <f>IF(Onsite!#REF!,"AAAAAHffvYQ=",0)</f>
        <v>#REF!</v>
      </c>
      <c r="ED254" t="e">
        <f>AND(Onsite!#REF!,"AAAAAHffvYU=")</f>
        <v>#REF!</v>
      </c>
      <c r="EE254" t="e">
        <f>AND(Onsite!#REF!,"AAAAAHffvYY=")</f>
        <v>#REF!</v>
      </c>
      <c r="EF254" t="e">
        <f>AND(Onsite!#REF!,"AAAAAHffvYc=")</f>
        <v>#REF!</v>
      </c>
      <c r="EG254" t="e">
        <f>AND(Onsite!#REF!,"AAAAAHffvYg=")</f>
        <v>#REF!</v>
      </c>
      <c r="EH254" t="e">
        <f>AND(Onsite!#REF!,"AAAAAHffvYk=")</f>
        <v>#REF!</v>
      </c>
      <c r="EI254" t="e">
        <f>AND(Onsite!#REF!,"AAAAAHffvYo=")</f>
        <v>#REF!</v>
      </c>
      <c r="EJ254" t="e">
        <f>AND(Onsite!#REF!,"AAAAAHffvYs=")</f>
        <v>#REF!</v>
      </c>
      <c r="EK254" t="e">
        <f>AND(Onsite!#REF!,"AAAAAHffvYw=")</f>
        <v>#REF!</v>
      </c>
      <c r="EL254" t="e">
        <f>AND(Onsite!#REF!,"AAAAAHffvY0=")</f>
        <v>#REF!</v>
      </c>
      <c r="EM254" t="e">
        <f>AND(Onsite!#REF!,"AAAAAHffvY4=")</f>
        <v>#REF!</v>
      </c>
      <c r="EN254" t="e">
        <f>AND(Onsite!#REF!,"AAAAAHffvY8=")</f>
        <v>#REF!</v>
      </c>
      <c r="EO254" t="e">
        <f>AND(Onsite!#REF!,"AAAAAHffvZA=")</f>
        <v>#REF!</v>
      </c>
      <c r="EP254" t="e">
        <f>AND(Onsite!#REF!,"AAAAAHffvZE=")</f>
        <v>#REF!</v>
      </c>
      <c r="EQ254" t="e">
        <f>IF(Onsite!#REF!,"AAAAAHffvZI=",0)</f>
        <v>#REF!</v>
      </c>
      <c r="ER254" t="e">
        <f>AND(Onsite!#REF!,"AAAAAHffvZM=")</f>
        <v>#REF!</v>
      </c>
      <c r="ES254" t="e">
        <f>AND(Onsite!#REF!,"AAAAAHffvZQ=")</f>
        <v>#REF!</v>
      </c>
      <c r="ET254" t="e">
        <f>AND(Onsite!#REF!,"AAAAAHffvZU=")</f>
        <v>#REF!</v>
      </c>
      <c r="EU254" t="e">
        <f>AND(Onsite!#REF!,"AAAAAHffvZY=")</f>
        <v>#REF!</v>
      </c>
      <c r="EV254" t="e">
        <f>AND(Onsite!#REF!,"AAAAAHffvZc=")</f>
        <v>#REF!</v>
      </c>
      <c r="EW254" t="e">
        <f>AND(Onsite!#REF!,"AAAAAHffvZg=")</f>
        <v>#REF!</v>
      </c>
      <c r="EX254" t="e">
        <f>AND(Onsite!#REF!,"AAAAAHffvZk=")</f>
        <v>#REF!</v>
      </c>
      <c r="EY254" t="e">
        <f>AND(Onsite!#REF!,"AAAAAHffvZo=")</f>
        <v>#REF!</v>
      </c>
      <c r="EZ254" t="e">
        <f>AND(Onsite!#REF!,"AAAAAHffvZs=")</f>
        <v>#REF!</v>
      </c>
      <c r="FA254" t="e">
        <f>AND(Onsite!#REF!,"AAAAAHffvZw=")</f>
        <v>#REF!</v>
      </c>
      <c r="FB254" t="e">
        <f>AND(Onsite!#REF!,"AAAAAHffvZ0=")</f>
        <v>#REF!</v>
      </c>
      <c r="FC254" t="e">
        <f>AND(Onsite!#REF!,"AAAAAHffvZ4=")</f>
        <v>#REF!</v>
      </c>
      <c r="FD254" t="e">
        <f>AND(Onsite!#REF!,"AAAAAHffvZ8=")</f>
        <v>#REF!</v>
      </c>
      <c r="FE254" t="e">
        <f>IF(Onsite!#REF!,"AAAAAHffvaA=",0)</f>
        <v>#REF!</v>
      </c>
      <c r="FF254" t="e">
        <f>AND(Onsite!#REF!,"AAAAAHffvaE=")</f>
        <v>#REF!</v>
      </c>
      <c r="FG254" t="e">
        <f>AND(Onsite!#REF!,"AAAAAHffvaI=")</f>
        <v>#REF!</v>
      </c>
      <c r="FH254" t="e">
        <f>AND(Onsite!#REF!,"AAAAAHffvaM=")</f>
        <v>#REF!</v>
      </c>
      <c r="FI254" t="e">
        <f>AND(Onsite!#REF!,"AAAAAHffvaQ=")</f>
        <v>#REF!</v>
      </c>
      <c r="FJ254" t="e">
        <f>AND(Onsite!#REF!,"AAAAAHffvaU=")</f>
        <v>#REF!</v>
      </c>
      <c r="FK254" t="e">
        <f>AND(Onsite!#REF!,"AAAAAHffvaY=")</f>
        <v>#REF!</v>
      </c>
      <c r="FL254" t="e">
        <f>AND(Onsite!#REF!,"AAAAAHffvac=")</f>
        <v>#REF!</v>
      </c>
      <c r="FM254" t="e">
        <f>AND(Onsite!#REF!,"AAAAAHffvag=")</f>
        <v>#REF!</v>
      </c>
      <c r="FN254" t="e">
        <f>AND(Onsite!#REF!,"AAAAAHffvak=")</f>
        <v>#REF!</v>
      </c>
      <c r="FO254" t="e">
        <f>AND(Onsite!#REF!,"AAAAAHffvao=")</f>
        <v>#REF!</v>
      </c>
      <c r="FP254" t="e">
        <f>AND(Onsite!#REF!,"AAAAAHffvas=")</f>
        <v>#REF!</v>
      </c>
      <c r="FQ254" t="e">
        <f>AND(Onsite!#REF!,"AAAAAHffvaw=")</f>
        <v>#REF!</v>
      </c>
      <c r="FR254" t="e">
        <f>AND(Onsite!#REF!,"AAAAAHffva0=")</f>
        <v>#REF!</v>
      </c>
      <c r="FS254" t="e">
        <f>IF(Onsite!#REF!,"AAAAAHffva4=",0)</f>
        <v>#REF!</v>
      </c>
      <c r="FT254" t="e">
        <f>AND(Onsite!#REF!,"AAAAAHffva8=")</f>
        <v>#REF!</v>
      </c>
      <c r="FU254" t="e">
        <f>AND(Onsite!#REF!,"AAAAAHffvbA=")</f>
        <v>#REF!</v>
      </c>
      <c r="FV254" t="e">
        <f>AND(Onsite!#REF!,"AAAAAHffvbE=")</f>
        <v>#REF!</v>
      </c>
      <c r="FW254" t="e">
        <f>AND(Onsite!#REF!,"AAAAAHffvbI=")</f>
        <v>#REF!</v>
      </c>
      <c r="FX254" t="e">
        <f>AND(Onsite!#REF!,"AAAAAHffvbM=")</f>
        <v>#REF!</v>
      </c>
      <c r="FY254" t="e">
        <f>AND(Onsite!#REF!,"AAAAAHffvbQ=")</f>
        <v>#REF!</v>
      </c>
      <c r="FZ254" t="e">
        <f>AND(Onsite!#REF!,"AAAAAHffvbU=")</f>
        <v>#REF!</v>
      </c>
      <c r="GA254" t="e">
        <f>AND(Onsite!#REF!,"AAAAAHffvbY=")</f>
        <v>#REF!</v>
      </c>
      <c r="GB254" t="e">
        <f>AND(Onsite!#REF!,"AAAAAHffvbc=")</f>
        <v>#REF!</v>
      </c>
      <c r="GC254" t="e">
        <f>AND(Onsite!#REF!,"AAAAAHffvbg=")</f>
        <v>#REF!</v>
      </c>
      <c r="GD254" t="e">
        <f>AND(Onsite!#REF!,"AAAAAHffvbk=")</f>
        <v>#REF!</v>
      </c>
      <c r="GE254" t="e">
        <f>AND(Onsite!#REF!,"AAAAAHffvbo=")</f>
        <v>#REF!</v>
      </c>
      <c r="GF254" t="e">
        <f>AND(Onsite!#REF!,"AAAAAHffvbs=")</f>
        <v>#REF!</v>
      </c>
      <c r="GG254" t="e">
        <f>IF(Onsite!#REF!,"AAAAAHffvbw=",0)</f>
        <v>#REF!</v>
      </c>
      <c r="GH254" t="e">
        <f>AND(Onsite!#REF!,"AAAAAHffvb0=")</f>
        <v>#REF!</v>
      </c>
      <c r="GI254" t="e">
        <f>AND(Onsite!#REF!,"AAAAAHffvb4=")</f>
        <v>#REF!</v>
      </c>
      <c r="GJ254" t="e">
        <f>AND(Onsite!#REF!,"AAAAAHffvb8=")</f>
        <v>#REF!</v>
      </c>
      <c r="GK254" t="e">
        <f>AND(Onsite!#REF!,"AAAAAHffvcA=")</f>
        <v>#REF!</v>
      </c>
      <c r="GL254" t="e">
        <f>AND(Onsite!#REF!,"AAAAAHffvcE=")</f>
        <v>#REF!</v>
      </c>
      <c r="GM254" t="e">
        <f>AND(Onsite!#REF!,"AAAAAHffvcI=")</f>
        <v>#REF!</v>
      </c>
      <c r="GN254" t="e">
        <f>AND(Onsite!#REF!,"AAAAAHffvcM=")</f>
        <v>#REF!</v>
      </c>
      <c r="GO254" t="e">
        <f>AND(Onsite!#REF!,"AAAAAHffvcQ=")</f>
        <v>#REF!</v>
      </c>
      <c r="GP254" t="e">
        <f>AND(Onsite!#REF!,"AAAAAHffvcU=")</f>
        <v>#REF!</v>
      </c>
      <c r="GQ254" t="e">
        <f>AND(Onsite!#REF!,"AAAAAHffvcY=")</f>
        <v>#REF!</v>
      </c>
      <c r="GR254" t="e">
        <f>AND(Onsite!#REF!,"AAAAAHffvcc=")</f>
        <v>#REF!</v>
      </c>
      <c r="GS254" t="e">
        <f>AND(Onsite!#REF!,"AAAAAHffvcg=")</f>
        <v>#REF!</v>
      </c>
      <c r="GT254" t="e">
        <f>AND(Onsite!#REF!,"AAAAAHffvck=")</f>
        <v>#REF!</v>
      </c>
      <c r="GU254" t="e">
        <f>IF(Onsite!#REF!,"AAAAAHffvco=",0)</f>
        <v>#REF!</v>
      </c>
      <c r="GV254" t="e">
        <f>AND(Onsite!#REF!,"AAAAAHffvcs=")</f>
        <v>#REF!</v>
      </c>
      <c r="GW254" t="e">
        <f>AND(Onsite!#REF!,"AAAAAHffvcw=")</f>
        <v>#REF!</v>
      </c>
      <c r="GX254" t="e">
        <f>AND(Onsite!#REF!,"AAAAAHffvc0=")</f>
        <v>#REF!</v>
      </c>
      <c r="GY254" t="e">
        <f>AND(Onsite!#REF!,"AAAAAHffvc4=")</f>
        <v>#REF!</v>
      </c>
      <c r="GZ254" t="e">
        <f>AND(Onsite!#REF!,"AAAAAHffvc8=")</f>
        <v>#REF!</v>
      </c>
      <c r="HA254" t="e">
        <f>AND(Onsite!#REF!,"AAAAAHffvdA=")</f>
        <v>#REF!</v>
      </c>
      <c r="HB254" t="e">
        <f>AND(Onsite!#REF!,"AAAAAHffvdE=")</f>
        <v>#REF!</v>
      </c>
      <c r="HC254" t="e">
        <f>AND(Onsite!#REF!,"AAAAAHffvdI=")</f>
        <v>#REF!</v>
      </c>
      <c r="HD254" t="e">
        <f>AND(Onsite!#REF!,"AAAAAHffvdM=")</f>
        <v>#REF!</v>
      </c>
      <c r="HE254" t="e">
        <f>AND(Onsite!#REF!,"AAAAAHffvdQ=")</f>
        <v>#REF!</v>
      </c>
      <c r="HF254" t="e">
        <f>AND(Onsite!#REF!,"AAAAAHffvdU=")</f>
        <v>#REF!</v>
      </c>
      <c r="HG254" t="e">
        <f>AND(Onsite!#REF!,"AAAAAHffvdY=")</f>
        <v>#REF!</v>
      </c>
      <c r="HH254" t="e">
        <f>AND(Onsite!#REF!,"AAAAAHffvdc=")</f>
        <v>#REF!</v>
      </c>
      <c r="HI254" t="e">
        <f>IF(Onsite!#REF!,"AAAAAHffvdg=",0)</f>
        <v>#REF!</v>
      </c>
      <c r="HJ254" t="e">
        <f>AND(Onsite!#REF!,"AAAAAHffvdk=")</f>
        <v>#REF!</v>
      </c>
      <c r="HK254" t="e">
        <f>AND(Onsite!#REF!,"AAAAAHffvdo=")</f>
        <v>#REF!</v>
      </c>
      <c r="HL254" t="e">
        <f>AND(Onsite!#REF!,"AAAAAHffvds=")</f>
        <v>#REF!</v>
      </c>
      <c r="HM254" t="e">
        <f>AND(Onsite!#REF!,"AAAAAHffvdw=")</f>
        <v>#REF!</v>
      </c>
      <c r="HN254" t="e">
        <f>AND(Onsite!#REF!,"AAAAAHffvd0=")</f>
        <v>#REF!</v>
      </c>
      <c r="HO254" t="e">
        <f>AND(Onsite!#REF!,"AAAAAHffvd4=")</f>
        <v>#REF!</v>
      </c>
      <c r="HP254" t="e">
        <f>AND(Onsite!#REF!,"AAAAAHffvd8=")</f>
        <v>#REF!</v>
      </c>
      <c r="HQ254" t="e">
        <f>AND(Onsite!#REF!,"AAAAAHffveA=")</f>
        <v>#REF!</v>
      </c>
      <c r="HR254" t="e">
        <f>AND(Onsite!#REF!,"AAAAAHffveE=")</f>
        <v>#REF!</v>
      </c>
      <c r="HS254" t="e">
        <f>AND(Onsite!#REF!,"AAAAAHffveI=")</f>
        <v>#REF!</v>
      </c>
      <c r="HT254" t="e">
        <f>AND(Onsite!#REF!,"AAAAAHffveM=")</f>
        <v>#REF!</v>
      </c>
      <c r="HU254" t="e">
        <f>AND(Onsite!#REF!,"AAAAAHffveQ=")</f>
        <v>#REF!</v>
      </c>
      <c r="HV254" t="e">
        <f>AND(Onsite!#REF!,"AAAAAHffveU=")</f>
        <v>#REF!</v>
      </c>
      <c r="HW254" t="e">
        <f>IF(Onsite!#REF!,"AAAAAHffveY=",0)</f>
        <v>#REF!</v>
      </c>
      <c r="HX254" t="e">
        <f>AND(Onsite!#REF!,"AAAAAHffvec=")</f>
        <v>#REF!</v>
      </c>
      <c r="HY254" t="e">
        <f>AND(Onsite!#REF!,"AAAAAHffveg=")</f>
        <v>#REF!</v>
      </c>
      <c r="HZ254" t="e">
        <f>AND(Onsite!#REF!,"AAAAAHffvek=")</f>
        <v>#REF!</v>
      </c>
      <c r="IA254" t="e">
        <f>AND(Onsite!#REF!,"AAAAAHffveo=")</f>
        <v>#REF!</v>
      </c>
      <c r="IB254" t="e">
        <f>AND(Onsite!#REF!,"AAAAAHffves=")</f>
        <v>#REF!</v>
      </c>
      <c r="IC254" t="e">
        <f>AND(Onsite!#REF!,"AAAAAHffvew=")</f>
        <v>#REF!</v>
      </c>
      <c r="ID254" t="e">
        <f>AND(Onsite!#REF!,"AAAAAHffve0=")</f>
        <v>#REF!</v>
      </c>
      <c r="IE254" t="e">
        <f>AND(Onsite!#REF!,"AAAAAHffve4=")</f>
        <v>#REF!</v>
      </c>
      <c r="IF254" t="e">
        <f>AND(Onsite!#REF!,"AAAAAHffve8=")</f>
        <v>#REF!</v>
      </c>
      <c r="IG254" t="e">
        <f>AND(Onsite!#REF!,"AAAAAHffvfA=")</f>
        <v>#REF!</v>
      </c>
      <c r="IH254" t="e">
        <f>AND(Onsite!#REF!,"AAAAAHffvfE=")</f>
        <v>#REF!</v>
      </c>
      <c r="II254" t="e">
        <f>AND(Onsite!#REF!,"AAAAAHffvfI=")</f>
        <v>#REF!</v>
      </c>
      <c r="IJ254" t="e">
        <f>AND(Onsite!#REF!,"AAAAAHffvfM=")</f>
        <v>#REF!</v>
      </c>
      <c r="IK254" t="e">
        <f>IF(Onsite!#REF!,"AAAAAHffvfQ=",0)</f>
        <v>#REF!</v>
      </c>
      <c r="IL254" t="e">
        <f>AND(Onsite!#REF!,"AAAAAHffvfU=")</f>
        <v>#REF!</v>
      </c>
      <c r="IM254" t="e">
        <f>AND(Onsite!#REF!,"AAAAAHffvfY=")</f>
        <v>#REF!</v>
      </c>
      <c r="IN254" t="e">
        <f>AND(Onsite!#REF!,"AAAAAHffvfc=")</f>
        <v>#REF!</v>
      </c>
      <c r="IO254" t="e">
        <f>AND(Onsite!#REF!,"AAAAAHffvfg=")</f>
        <v>#REF!</v>
      </c>
      <c r="IP254" t="e">
        <f>AND(Onsite!#REF!,"AAAAAHffvfk=")</f>
        <v>#REF!</v>
      </c>
      <c r="IQ254" t="e">
        <f>AND(Onsite!#REF!,"AAAAAHffvfo=")</f>
        <v>#REF!</v>
      </c>
      <c r="IR254" t="e">
        <f>AND(Onsite!#REF!,"AAAAAHffvfs=")</f>
        <v>#REF!</v>
      </c>
      <c r="IS254" t="e">
        <f>AND(Onsite!#REF!,"AAAAAHffvfw=")</f>
        <v>#REF!</v>
      </c>
      <c r="IT254" t="e">
        <f>AND(Onsite!#REF!,"AAAAAHffvf0=")</f>
        <v>#REF!</v>
      </c>
      <c r="IU254" t="e">
        <f>AND(Onsite!#REF!,"AAAAAHffvf4=")</f>
        <v>#REF!</v>
      </c>
      <c r="IV254" t="e">
        <f>AND(Onsite!#REF!,"AAAAAHffvf8=")</f>
        <v>#REF!</v>
      </c>
    </row>
    <row r="255" spans="1:256" x14ac:dyDescent="0.2">
      <c r="A255" t="e">
        <f>AND(Onsite!#REF!,"AAAAADvH/wA=")</f>
        <v>#REF!</v>
      </c>
      <c r="B255" t="e">
        <f>AND(Onsite!#REF!,"AAAAADvH/wE=")</f>
        <v>#REF!</v>
      </c>
      <c r="C255" t="e">
        <f>IF(Onsite!#REF!,"AAAAADvH/wI=",0)</f>
        <v>#REF!</v>
      </c>
      <c r="D255" t="e">
        <f>AND(Onsite!#REF!,"AAAAADvH/wM=")</f>
        <v>#REF!</v>
      </c>
      <c r="E255" t="e">
        <f>AND(Onsite!#REF!,"AAAAADvH/wQ=")</f>
        <v>#REF!</v>
      </c>
      <c r="F255" t="e">
        <f>AND(Onsite!#REF!,"AAAAADvH/wU=")</f>
        <v>#REF!</v>
      </c>
      <c r="G255" t="e">
        <f>AND(Onsite!#REF!,"AAAAADvH/wY=")</f>
        <v>#REF!</v>
      </c>
      <c r="H255" t="e">
        <f>AND(Onsite!#REF!,"AAAAADvH/wc=")</f>
        <v>#REF!</v>
      </c>
      <c r="I255" t="e">
        <f>AND(Onsite!#REF!,"AAAAADvH/wg=")</f>
        <v>#REF!</v>
      </c>
      <c r="J255" t="e">
        <f>AND(Onsite!#REF!,"AAAAADvH/wk=")</f>
        <v>#REF!</v>
      </c>
      <c r="K255" t="e">
        <f>AND(Onsite!#REF!,"AAAAADvH/wo=")</f>
        <v>#REF!</v>
      </c>
      <c r="L255" t="e">
        <f>AND(Onsite!#REF!,"AAAAADvH/ws=")</f>
        <v>#REF!</v>
      </c>
      <c r="M255" t="e">
        <f>AND(Onsite!#REF!,"AAAAADvH/ww=")</f>
        <v>#REF!</v>
      </c>
      <c r="N255" t="e">
        <f>AND(Onsite!#REF!,"AAAAADvH/w0=")</f>
        <v>#REF!</v>
      </c>
      <c r="O255" t="e">
        <f>AND(Onsite!#REF!,"AAAAADvH/w4=")</f>
        <v>#REF!</v>
      </c>
      <c r="P255" t="e">
        <f>AND(Onsite!#REF!,"AAAAADvH/w8=")</f>
        <v>#REF!</v>
      </c>
      <c r="Q255" t="e">
        <f>IF(Onsite!#REF!,"AAAAADvH/xA=",0)</f>
        <v>#REF!</v>
      </c>
      <c r="R255" t="e">
        <f>AND(Onsite!#REF!,"AAAAADvH/xE=")</f>
        <v>#REF!</v>
      </c>
      <c r="S255" t="e">
        <f>AND(Onsite!#REF!,"AAAAADvH/xI=")</f>
        <v>#REF!</v>
      </c>
      <c r="T255" t="e">
        <f>AND(Onsite!#REF!,"AAAAADvH/xM=")</f>
        <v>#REF!</v>
      </c>
      <c r="U255" t="e">
        <f>AND(Onsite!#REF!,"AAAAADvH/xQ=")</f>
        <v>#REF!</v>
      </c>
      <c r="V255" t="e">
        <f>AND(Onsite!#REF!,"AAAAADvH/xU=")</f>
        <v>#REF!</v>
      </c>
      <c r="W255" t="e">
        <f>AND(Onsite!#REF!,"AAAAADvH/xY=")</f>
        <v>#REF!</v>
      </c>
      <c r="X255" t="e">
        <f>AND(Onsite!#REF!,"AAAAADvH/xc=")</f>
        <v>#REF!</v>
      </c>
      <c r="Y255" t="e">
        <f>AND(Onsite!#REF!,"AAAAADvH/xg=")</f>
        <v>#REF!</v>
      </c>
      <c r="Z255" t="e">
        <f>AND(Onsite!#REF!,"AAAAADvH/xk=")</f>
        <v>#REF!</v>
      </c>
      <c r="AA255" t="e">
        <f>AND(Onsite!#REF!,"AAAAADvH/xo=")</f>
        <v>#REF!</v>
      </c>
      <c r="AB255" t="e">
        <f>AND(Onsite!#REF!,"AAAAADvH/xs=")</f>
        <v>#REF!</v>
      </c>
      <c r="AC255" t="e">
        <f>AND(Onsite!#REF!,"AAAAADvH/xw=")</f>
        <v>#REF!</v>
      </c>
      <c r="AD255" t="e">
        <f>AND(Onsite!#REF!,"AAAAADvH/x0=")</f>
        <v>#REF!</v>
      </c>
      <c r="AE255" t="e">
        <f>IF(Onsite!#REF!,"AAAAADvH/x4=",0)</f>
        <v>#REF!</v>
      </c>
      <c r="AF255" t="e">
        <f>AND(Onsite!#REF!,"AAAAADvH/x8=")</f>
        <v>#REF!</v>
      </c>
      <c r="AG255" t="e">
        <f>AND(Onsite!#REF!,"AAAAADvH/yA=")</f>
        <v>#REF!</v>
      </c>
      <c r="AH255" t="e">
        <f>AND(Onsite!#REF!,"AAAAADvH/yE=")</f>
        <v>#REF!</v>
      </c>
      <c r="AI255" t="e">
        <f>AND(Onsite!#REF!,"AAAAADvH/yI=")</f>
        <v>#REF!</v>
      </c>
      <c r="AJ255" t="e">
        <f>AND(Onsite!#REF!,"AAAAADvH/yM=")</f>
        <v>#REF!</v>
      </c>
      <c r="AK255" t="e">
        <f>AND(Onsite!#REF!,"AAAAADvH/yQ=")</f>
        <v>#REF!</v>
      </c>
      <c r="AL255" t="e">
        <f>AND(Onsite!#REF!,"AAAAADvH/yU=")</f>
        <v>#REF!</v>
      </c>
      <c r="AM255" t="e">
        <f>AND(Onsite!#REF!,"AAAAADvH/yY=")</f>
        <v>#REF!</v>
      </c>
      <c r="AN255" t="e">
        <f>AND(Onsite!#REF!,"AAAAADvH/yc=")</f>
        <v>#REF!</v>
      </c>
      <c r="AO255" t="e">
        <f>AND(Onsite!#REF!,"AAAAADvH/yg=")</f>
        <v>#REF!</v>
      </c>
      <c r="AP255" t="e">
        <f>AND(Onsite!#REF!,"AAAAADvH/yk=")</f>
        <v>#REF!</v>
      </c>
      <c r="AQ255" t="e">
        <f>AND(Onsite!#REF!,"AAAAADvH/yo=")</f>
        <v>#REF!</v>
      </c>
      <c r="AR255" t="e">
        <f>AND(Onsite!#REF!,"AAAAADvH/ys=")</f>
        <v>#REF!</v>
      </c>
      <c r="AS255">
        <f>IF(Onsite!84:84,"AAAAADvH/yw=",0)</f>
        <v>0</v>
      </c>
      <c r="AT255" t="e">
        <f>AND(Onsite!#REF!,"AAAAADvH/y0=")</f>
        <v>#REF!</v>
      </c>
      <c r="AU255" t="e">
        <f>AND(Onsite!A84,"AAAAADvH/y4=")</f>
        <v>#VALUE!</v>
      </c>
      <c r="AV255" t="e">
        <f>AND(Onsite!B84,"AAAAADvH/y8=")</f>
        <v>#VALUE!</v>
      </c>
      <c r="AW255" t="e">
        <f>AND(Onsite!C84,"AAAAADvH/zA=")</f>
        <v>#VALUE!</v>
      </c>
      <c r="AX255" t="e">
        <f>AND(Onsite!D84,"AAAAADvH/zE=")</f>
        <v>#VALUE!</v>
      </c>
      <c r="AY255" t="e">
        <f>AND(Onsite!E84,"AAAAADvH/zI=")</f>
        <v>#VALUE!</v>
      </c>
      <c r="AZ255" t="e">
        <f>AND(Onsite!#REF!,"AAAAADvH/zM=")</f>
        <v>#REF!</v>
      </c>
      <c r="BA255" t="e">
        <f>AND(Onsite!#REF!,"AAAAADvH/zQ=")</f>
        <v>#REF!</v>
      </c>
      <c r="BB255" t="e">
        <f>AND(Onsite!#REF!,"AAAAADvH/zU=")</f>
        <v>#REF!</v>
      </c>
      <c r="BC255" t="e">
        <f>AND(Onsite!#REF!,"AAAAADvH/zY=")</f>
        <v>#REF!</v>
      </c>
      <c r="BD255" t="e">
        <f>AND(Onsite!#REF!,"AAAAADvH/zc=")</f>
        <v>#REF!</v>
      </c>
      <c r="BE255" t="e">
        <f>AND(Onsite!#REF!,"AAAAADvH/zg=")</f>
        <v>#REF!</v>
      </c>
      <c r="BF255" t="e">
        <f>AND(Onsite!F84,"AAAAADvH/zk=")</f>
        <v>#VALUE!</v>
      </c>
      <c r="BG255">
        <f>IF(Onsite!93:93,"AAAAADvH/zo=",0)</f>
        <v>0</v>
      </c>
      <c r="BH255" t="e">
        <f>AND(Onsite!#REF!,"AAAAADvH/zs=")</f>
        <v>#REF!</v>
      </c>
      <c r="BI255" t="e">
        <f>AND(Onsite!A93,"AAAAADvH/zw=")</f>
        <v>#VALUE!</v>
      </c>
      <c r="BJ255" t="e">
        <f>AND(Onsite!B93,"AAAAADvH/z0=")</f>
        <v>#VALUE!</v>
      </c>
      <c r="BK255" t="e">
        <f>AND(Onsite!C93,"AAAAADvH/z4=")</f>
        <v>#VALUE!</v>
      </c>
      <c r="BL255" t="e">
        <f>AND(Onsite!D93,"AAAAADvH/z8=")</f>
        <v>#VALUE!</v>
      </c>
      <c r="BM255" t="e">
        <f>AND(Onsite!E93,"AAAAADvH/0A=")</f>
        <v>#VALUE!</v>
      </c>
      <c r="BN255" t="e">
        <f>AND(Onsite!#REF!,"AAAAADvH/0E=")</f>
        <v>#REF!</v>
      </c>
      <c r="BO255" t="e">
        <f>AND(Onsite!#REF!,"AAAAADvH/0I=")</f>
        <v>#REF!</v>
      </c>
      <c r="BP255" t="e">
        <f>AND(Onsite!#REF!,"AAAAADvH/0M=")</f>
        <v>#REF!</v>
      </c>
      <c r="BQ255" t="e">
        <f>AND(Onsite!#REF!,"AAAAADvH/0Q=")</f>
        <v>#REF!</v>
      </c>
      <c r="BR255" t="e">
        <f>AND(Onsite!#REF!,"AAAAADvH/0U=")</f>
        <v>#REF!</v>
      </c>
      <c r="BS255" t="e">
        <f>AND(Onsite!#REF!,"AAAAADvH/0Y=")</f>
        <v>#REF!</v>
      </c>
      <c r="BT255" t="e">
        <f>AND(Onsite!F93,"AAAAADvH/0c=")</f>
        <v>#VALUE!</v>
      </c>
      <c r="BU255" t="e">
        <f>IF(Onsite!#REF!,"AAAAADvH/0g=",0)</f>
        <v>#REF!</v>
      </c>
      <c r="BV255" t="e">
        <f>AND(Onsite!#REF!,"AAAAADvH/0k=")</f>
        <v>#REF!</v>
      </c>
      <c r="BW255" t="e">
        <f>AND(Onsite!#REF!,"AAAAADvH/0o=")</f>
        <v>#REF!</v>
      </c>
      <c r="BX255" t="e">
        <f>AND(Onsite!#REF!,"AAAAADvH/0s=")</f>
        <v>#REF!</v>
      </c>
      <c r="BY255" t="e">
        <f>AND(Onsite!#REF!,"AAAAADvH/0w=")</f>
        <v>#REF!</v>
      </c>
      <c r="BZ255" t="e">
        <f>AND(Onsite!#REF!,"AAAAADvH/00=")</f>
        <v>#REF!</v>
      </c>
      <c r="CA255" t="e">
        <f>AND(Onsite!#REF!,"AAAAADvH/04=")</f>
        <v>#REF!</v>
      </c>
      <c r="CB255" t="e">
        <f>AND(Onsite!#REF!,"AAAAADvH/08=")</f>
        <v>#REF!</v>
      </c>
      <c r="CC255" t="e">
        <f>AND(Onsite!#REF!,"AAAAADvH/1A=")</f>
        <v>#REF!</v>
      </c>
      <c r="CD255" t="e">
        <f>AND(Onsite!#REF!,"AAAAADvH/1E=")</f>
        <v>#REF!</v>
      </c>
      <c r="CE255" t="e">
        <f>AND(Onsite!#REF!,"AAAAADvH/1I=")</f>
        <v>#REF!</v>
      </c>
      <c r="CF255" t="e">
        <f>AND(Onsite!#REF!,"AAAAADvH/1M=")</f>
        <v>#REF!</v>
      </c>
      <c r="CG255" t="e">
        <f>AND(Onsite!#REF!,"AAAAADvH/1Q=")</f>
        <v>#REF!</v>
      </c>
      <c r="CH255" t="e">
        <f>AND(Onsite!#REF!,"AAAAADvH/1U=")</f>
        <v>#REF!</v>
      </c>
      <c r="CI255">
        <f>IF(Onsite!94:94,"AAAAADvH/1Y=",0)</f>
        <v>0</v>
      </c>
      <c r="CJ255" t="e">
        <f>AND(Onsite!#REF!,"AAAAADvH/1c=")</f>
        <v>#REF!</v>
      </c>
      <c r="CK255" t="e">
        <f>AND(Onsite!A94,"AAAAADvH/1g=")</f>
        <v>#VALUE!</v>
      </c>
      <c r="CL255" t="e">
        <f>AND(Onsite!B94,"AAAAADvH/1k=")</f>
        <v>#VALUE!</v>
      </c>
      <c r="CM255" t="e">
        <f>AND(Onsite!#REF!,"AAAAADvH/1o=")</f>
        <v>#REF!</v>
      </c>
      <c r="CN255" t="e">
        <f>AND(Onsite!C94,"AAAAADvH/1s=")</f>
        <v>#VALUE!</v>
      </c>
      <c r="CO255" t="e">
        <f>AND(Onsite!D94,"AAAAADvH/1w=")</f>
        <v>#VALUE!</v>
      </c>
      <c r="CP255" t="e">
        <f>AND(Onsite!E94,"AAAAADvH/10=")</f>
        <v>#VALUE!</v>
      </c>
      <c r="CQ255" t="e">
        <f>AND(Onsite!#REF!,"AAAAADvH/14=")</f>
        <v>#REF!</v>
      </c>
      <c r="CR255" t="e">
        <f>AND(Onsite!#REF!,"AAAAADvH/18=")</f>
        <v>#REF!</v>
      </c>
      <c r="CS255" t="e">
        <f>AND(Onsite!#REF!,"AAAAADvH/2A=")</f>
        <v>#REF!</v>
      </c>
      <c r="CT255" t="e">
        <f>AND(Onsite!#REF!,"AAAAADvH/2E=")</f>
        <v>#REF!</v>
      </c>
      <c r="CU255" t="e">
        <f>AND(Onsite!#REF!,"AAAAADvH/2I=")</f>
        <v>#REF!</v>
      </c>
      <c r="CV255" t="e">
        <f>AND(Onsite!#REF!,"AAAAADvH/2M=")</f>
        <v>#REF!</v>
      </c>
      <c r="CW255">
        <f>IF(Onsite!95:95,"AAAAADvH/2Q=",0)</f>
        <v>0</v>
      </c>
      <c r="CX255" t="e">
        <f>AND(Onsite!#REF!,"AAAAADvH/2U=")</f>
        <v>#REF!</v>
      </c>
      <c r="CY255" t="e">
        <f>AND(Onsite!A95,"AAAAADvH/2Y=")</f>
        <v>#VALUE!</v>
      </c>
      <c r="CZ255" t="e">
        <f>AND(Onsite!B95,"AAAAADvH/2c=")</f>
        <v>#VALUE!</v>
      </c>
      <c r="DA255" t="e">
        <f>AND(Onsite!#REF!,"AAAAADvH/2g=")</f>
        <v>#REF!</v>
      </c>
      <c r="DB255" t="e">
        <f>AND(Onsite!C95,"AAAAADvH/2k=")</f>
        <v>#VALUE!</v>
      </c>
      <c r="DC255" t="e">
        <f>AND(Onsite!D95,"AAAAADvH/2o=")</f>
        <v>#VALUE!</v>
      </c>
      <c r="DD255" t="e">
        <f>AND(Onsite!E95,"AAAAADvH/2s=")</f>
        <v>#VALUE!</v>
      </c>
      <c r="DE255" t="e">
        <f>AND(Onsite!#REF!,"AAAAADvH/2w=")</f>
        <v>#REF!</v>
      </c>
      <c r="DF255" t="e">
        <f>AND(Onsite!#REF!,"AAAAADvH/20=")</f>
        <v>#REF!</v>
      </c>
      <c r="DG255" t="e">
        <f>AND(Onsite!#REF!,"AAAAADvH/24=")</f>
        <v>#REF!</v>
      </c>
      <c r="DH255" t="e">
        <f>AND(Onsite!#REF!,"AAAAADvH/28=")</f>
        <v>#REF!</v>
      </c>
      <c r="DI255" t="e">
        <f>AND(Onsite!#REF!,"AAAAADvH/3A=")</f>
        <v>#REF!</v>
      </c>
      <c r="DJ255" t="e">
        <f>AND(Onsite!#REF!,"AAAAADvH/3E=")</f>
        <v>#REF!</v>
      </c>
      <c r="DK255">
        <f>IF(Onsite!96:96,"AAAAADvH/3I=",0)</f>
        <v>0</v>
      </c>
      <c r="DL255" t="e">
        <f>AND(Onsite!#REF!,"AAAAADvH/3M=")</f>
        <v>#REF!</v>
      </c>
      <c r="DM255" t="e">
        <f>AND(Onsite!A96,"AAAAADvH/3Q=")</f>
        <v>#VALUE!</v>
      </c>
      <c r="DN255" t="e">
        <f>AND(Onsite!B96,"AAAAADvH/3U=")</f>
        <v>#VALUE!</v>
      </c>
      <c r="DO255" t="e">
        <f>AND(Onsite!#REF!,"AAAAADvH/3Y=")</f>
        <v>#REF!</v>
      </c>
      <c r="DP255" t="e">
        <f>AND(Onsite!C96,"AAAAADvH/3c=")</f>
        <v>#VALUE!</v>
      </c>
      <c r="DQ255" t="e">
        <f>AND(Onsite!D96,"AAAAADvH/3g=")</f>
        <v>#VALUE!</v>
      </c>
      <c r="DR255" t="e">
        <f>AND(Onsite!E96,"AAAAADvH/3k=")</f>
        <v>#VALUE!</v>
      </c>
      <c r="DS255" t="e">
        <f>AND(Onsite!#REF!,"AAAAADvH/3o=")</f>
        <v>#REF!</v>
      </c>
      <c r="DT255" t="e">
        <f>AND(Onsite!#REF!,"AAAAADvH/3s=")</f>
        <v>#REF!</v>
      </c>
      <c r="DU255" t="e">
        <f>AND(Onsite!#REF!,"AAAAADvH/3w=")</f>
        <v>#REF!</v>
      </c>
      <c r="DV255" t="e">
        <f>AND(Onsite!#REF!,"AAAAADvH/30=")</f>
        <v>#REF!</v>
      </c>
      <c r="DW255" t="e">
        <f>AND(Onsite!#REF!,"AAAAADvH/34=")</f>
        <v>#REF!</v>
      </c>
      <c r="DX255" t="e">
        <f>AND(Onsite!#REF!,"AAAAADvH/38=")</f>
        <v>#REF!</v>
      </c>
      <c r="DY255">
        <f>IF(Onsite!97:97,"AAAAADvH/4A=",0)</f>
        <v>0</v>
      </c>
      <c r="DZ255" t="e">
        <f>AND(Onsite!#REF!,"AAAAADvH/4E=")</f>
        <v>#REF!</v>
      </c>
      <c r="EA255" t="e">
        <f>AND(Onsite!A97,"AAAAADvH/4I=")</f>
        <v>#VALUE!</v>
      </c>
      <c r="EB255" t="e">
        <f>AND(Onsite!B97,"AAAAADvH/4M=")</f>
        <v>#VALUE!</v>
      </c>
      <c r="EC255" t="e">
        <f>AND(Onsite!#REF!,"AAAAADvH/4Q=")</f>
        <v>#REF!</v>
      </c>
      <c r="ED255" t="e">
        <f>AND(Onsite!C97,"AAAAADvH/4U=")</f>
        <v>#VALUE!</v>
      </c>
      <c r="EE255" t="e">
        <f>AND(Onsite!D97,"AAAAADvH/4Y=")</f>
        <v>#VALUE!</v>
      </c>
      <c r="EF255" t="e">
        <f>AND(Onsite!E97,"AAAAADvH/4c=")</f>
        <v>#VALUE!</v>
      </c>
      <c r="EG255" t="e">
        <f>AND(Onsite!#REF!,"AAAAADvH/4g=")</f>
        <v>#REF!</v>
      </c>
      <c r="EH255" t="e">
        <f>AND(Onsite!#REF!,"AAAAADvH/4k=")</f>
        <v>#REF!</v>
      </c>
      <c r="EI255" t="e">
        <f>AND(Onsite!#REF!,"AAAAADvH/4o=")</f>
        <v>#REF!</v>
      </c>
      <c r="EJ255" t="e">
        <f>AND(Onsite!#REF!,"AAAAADvH/4s=")</f>
        <v>#REF!</v>
      </c>
      <c r="EK255" t="e">
        <f>AND(Onsite!#REF!,"AAAAADvH/4w=")</f>
        <v>#REF!</v>
      </c>
      <c r="EL255" t="e">
        <f>AND(Onsite!#REF!,"AAAAADvH/40=")</f>
        <v>#REF!</v>
      </c>
      <c r="EM255">
        <f>IF(Onsite!98:98,"AAAAADvH/44=",0)</f>
        <v>0</v>
      </c>
      <c r="EN255" t="e">
        <f>AND(Onsite!#REF!,"AAAAADvH/48=")</f>
        <v>#REF!</v>
      </c>
      <c r="EO255" t="e">
        <f>AND(Onsite!A98,"AAAAADvH/5A=")</f>
        <v>#VALUE!</v>
      </c>
      <c r="EP255" t="e">
        <f>AND(Onsite!B98,"AAAAADvH/5E=")</f>
        <v>#VALUE!</v>
      </c>
      <c r="EQ255" t="e">
        <f>AND(Onsite!#REF!,"AAAAADvH/5I=")</f>
        <v>#REF!</v>
      </c>
      <c r="ER255" t="e">
        <f>AND(Onsite!C98,"AAAAADvH/5M=")</f>
        <v>#VALUE!</v>
      </c>
      <c r="ES255" t="e">
        <f>AND(Onsite!D98,"AAAAADvH/5Q=")</f>
        <v>#VALUE!</v>
      </c>
      <c r="ET255" t="e">
        <f>AND(Onsite!E98,"AAAAADvH/5U=")</f>
        <v>#VALUE!</v>
      </c>
      <c r="EU255" t="e">
        <f>AND(Onsite!#REF!,"AAAAADvH/5Y=")</f>
        <v>#REF!</v>
      </c>
      <c r="EV255" t="e">
        <f>AND(Onsite!#REF!,"AAAAADvH/5c=")</f>
        <v>#REF!</v>
      </c>
      <c r="EW255" t="e">
        <f>AND(Onsite!#REF!,"AAAAADvH/5g=")</f>
        <v>#REF!</v>
      </c>
      <c r="EX255" t="e">
        <f>AND(Onsite!#REF!,"AAAAADvH/5k=")</f>
        <v>#REF!</v>
      </c>
      <c r="EY255" t="e">
        <f>AND(Onsite!#REF!,"AAAAADvH/5o=")</f>
        <v>#REF!</v>
      </c>
      <c r="EZ255" t="e">
        <f>AND(Onsite!#REF!,"AAAAADvH/5s=")</f>
        <v>#REF!</v>
      </c>
      <c r="FA255">
        <f>IF(Onsite!99:99,"AAAAADvH/5w=",0)</f>
        <v>0</v>
      </c>
      <c r="FB255" t="e">
        <f>AND(Onsite!#REF!,"AAAAADvH/50=")</f>
        <v>#REF!</v>
      </c>
      <c r="FC255" t="e">
        <f>AND(Onsite!A99,"AAAAADvH/54=")</f>
        <v>#VALUE!</v>
      </c>
      <c r="FD255" t="e">
        <f>AND(Onsite!B99,"AAAAADvH/58=")</f>
        <v>#VALUE!</v>
      </c>
      <c r="FE255" t="e">
        <f>AND(Onsite!#REF!,"AAAAADvH/6A=")</f>
        <v>#REF!</v>
      </c>
      <c r="FF255" t="e">
        <f>AND(Onsite!C99,"AAAAADvH/6E=")</f>
        <v>#VALUE!</v>
      </c>
      <c r="FG255" t="e">
        <f>AND(Onsite!D99,"AAAAADvH/6I=")</f>
        <v>#VALUE!</v>
      </c>
      <c r="FH255" t="e">
        <f>AND(Onsite!E99,"AAAAADvH/6M=")</f>
        <v>#VALUE!</v>
      </c>
      <c r="FI255" t="e">
        <f>AND(Onsite!#REF!,"AAAAADvH/6Q=")</f>
        <v>#REF!</v>
      </c>
      <c r="FJ255" t="e">
        <f>AND(Onsite!#REF!,"AAAAADvH/6U=")</f>
        <v>#REF!</v>
      </c>
      <c r="FK255" t="e">
        <f>AND(Onsite!#REF!,"AAAAADvH/6Y=")</f>
        <v>#REF!</v>
      </c>
      <c r="FL255" t="e">
        <f>AND(Onsite!#REF!,"AAAAADvH/6c=")</f>
        <v>#REF!</v>
      </c>
      <c r="FM255" t="e">
        <f>AND(Onsite!#REF!,"AAAAADvH/6g=")</f>
        <v>#REF!</v>
      </c>
      <c r="FN255" t="e">
        <f>AND(Onsite!#REF!,"AAAAADvH/6k=")</f>
        <v>#REF!</v>
      </c>
      <c r="FO255" t="e">
        <f>IF(Onsite!#REF!,"AAAAADvH/6o=",0)</f>
        <v>#REF!</v>
      </c>
      <c r="FP255" t="e">
        <f>AND(Onsite!#REF!,"AAAAADvH/6s=")</f>
        <v>#REF!</v>
      </c>
      <c r="FQ255" t="e">
        <f>AND(Onsite!#REF!,"AAAAADvH/6w=")</f>
        <v>#REF!</v>
      </c>
      <c r="FR255" t="e">
        <f>AND(Onsite!#REF!,"AAAAADvH/60=")</f>
        <v>#REF!</v>
      </c>
      <c r="FS255" t="e">
        <f>AND(Onsite!#REF!,"AAAAADvH/64=")</f>
        <v>#REF!</v>
      </c>
      <c r="FT255" t="e">
        <f>AND(Onsite!#REF!,"AAAAADvH/68=")</f>
        <v>#REF!</v>
      </c>
      <c r="FU255" t="e">
        <f>AND(Onsite!#REF!,"AAAAADvH/7A=")</f>
        <v>#REF!</v>
      </c>
      <c r="FV255" t="e">
        <f>AND(Onsite!#REF!,"AAAAADvH/7E=")</f>
        <v>#REF!</v>
      </c>
      <c r="FW255" t="e">
        <f>AND(Onsite!#REF!,"AAAAADvH/7I=")</f>
        <v>#REF!</v>
      </c>
      <c r="FX255" t="e">
        <f>AND(Onsite!#REF!,"AAAAADvH/7M=")</f>
        <v>#REF!</v>
      </c>
      <c r="FY255" t="e">
        <f>AND(Onsite!#REF!,"AAAAADvH/7Q=")</f>
        <v>#REF!</v>
      </c>
      <c r="FZ255" t="e">
        <f>AND(Onsite!#REF!,"AAAAADvH/7U=")</f>
        <v>#REF!</v>
      </c>
      <c r="GA255" t="e">
        <f>AND(Onsite!#REF!,"AAAAADvH/7Y=")</f>
        <v>#REF!</v>
      </c>
      <c r="GB255" t="e">
        <f>AND(Onsite!#REF!,"AAAAADvH/7c=")</f>
        <v>#REF!</v>
      </c>
      <c r="GC255" t="e">
        <f>IF(Onsite!#REF!,"AAAAADvH/7g=",0)</f>
        <v>#REF!</v>
      </c>
      <c r="GD255" t="e">
        <f>AND(Onsite!#REF!,"AAAAADvH/7k=")</f>
        <v>#REF!</v>
      </c>
      <c r="GE255" t="e">
        <f>AND(Onsite!#REF!,"AAAAADvH/7o=")</f>
        <v>#REF!</v>
      </c>
      <c r="GF255" t="e">
        <f>AND(Onsite!#REF!,"AAAAADvH/7s=")</f>
        <v>#REF!</v>
      </c>
      <c r="GG255" t="e">
        <f>AND(Onsite!#REF!,"AAAAADvH/7w=")</f>
        <v>#REF!</v>
      </c>
      <c r="GH255" t="e">
        <f>AND(Onsite!#REF!,"AAAAADvH/70=")</f>
        <v>#REF!</v>
      </c>
      <c r="GI255" t="e">
        <f>AND(Onsite!#REF!,"AAAAADvH/74=")</f>
        <v>#REF!</v>
      </c>
      <c r="GJ255" t="e">
        <f>AND(Onsite!#REF!,"AAAAADvH/78=")</f>
        <v>#REF!</v>
      </c>
      <c r="GK255" t="e">
        <f>AND(Onsite!#REF!,"AAAAADvH/8A=")</f>
        <v>#REF!</v>
      </c>
      <c r="GL255" t="e">
        <f>AND(Onsite!#REF!,"AAAAADvH/8E=")</f>
        <v>#REF!</v>
      </c>
      <c r="GM255" t="e">
        <f>AND(Onsite!#REF!,"AAAAADvH/8I=")</f>
        <v>#REF!</v>
      </c>
      <c r="GN255" t="e">
        <f>AND(Onsite!#REF!,"AAAAADvH/8M=")</f>
        <v>#REF!</v>
      </c>
      <c r="GO255" t="e">
        <f>AND(Onsite!#REF!,"AAAAADvH/8Q=")</f>
        <v>#REF!</v>
      </c>
      <c r="GP255" t="e">
        <f>AND(Onsite!#REF!,"AAAAADvH/8U=")</f>
        <v>#REF!</v>
      </c>
      <c r="GQ255">
        <f>IF(Onsite!100:100,"AAAAADvH/8Y=",0)</f>
        <v>0</v>
      </c>
      <c r="GR255" t="e">
        <f>AND(Onsite!#REF!,"AAAAADvH/8c=")</f>
        <v>#REF!</v>
      </c>
      <c r="GS255" t="e">
        <f>AND(Onsite!A100,"AAAAADvH/8g=")</f>
        <v>#VALUE!</v>
      </c>
      <c r="GT255" t="e">
        <f>AND(Onsite!B100,"AAAAADvH/8k=")</f>
        <v>#VALUE!</v>
      </c>
      <c r="GU255" t="e">
        <f>AND(Onsite!C100,"AAAAADvH/8o=")</f>
        <v>#VALUE!</v>
      </c>
      <c r="GV255" t="e">
        <f>AND(Onsite!D100,"AAAAADvH/8s=")</f>
        <v>#VALUE!</v>
      </c>
      <c r="GW255" t="e">
        <f>AND(Onsite!E100,"AAAAADvH/8w=")</f>
        <v>#VALUE!</v>
      </c>
      <c r="GX255" t="e">
        <f>AND(Onsite!#REF!,"AAAAADvH/80=")</f>
        <v>#REF!</v>
      </c>
      <c r="GY255" t="e">
        <f>AND(Onsite!#REF!,"AAAAADvH/84=")</f>
        <v>#REF!</v>
      </c>
      <c r="GZ255" t="e">
        <f>AND(Onsite!#REF!,"AAAAADvH/88=")</f>
        <v>#REF!</v>
      </c>
      <c r="HA255" t="e">
        <f>AND(Onsite!#REF!,"AAAAADvH/9A=")</f>
        <v>#REF!</v>
      </c>
      <c r="HB255" t="e">
        <f>AND(Onsite!#REF!,"AAAAADvH/9E=")</f>
        <v>#REF!</v>
      </c>
      <c r="HC255" t="e">
        <f>AND(Onsite!#REF!,"AAAAADvH/9I=")</f>
        <v>#REF!</v>
      </c>
      <c r="HD255" t="e">
        <f>AND(Onsite!F100,"AAAAADvH/9M=")</f>
        <v>#VALUE!</v>
      </c>
      <c r="HE255">
        <f>IF(Onsite!101:101,"AAAAADvH/9Q=",0)</f>
        <v>0</v>
      </c>
      <c r="HF255" t="e">
        <f>AND(Onsite!#REF!,"AAAAADvH/9U=")</f>
        <v>#REF!</v>
      </c>
      <c r="HG255" t="e">
        <f>AND(Onsite!A101,"AAAAADvH/9Y=")</f>
        <v>#VALUE!</v>
      </c>
      <c r="HH255" t="e">
        <f>AND(Onsite!B101,"AAAAADvH/9c=")</f>
        <v>#VALUE!</v>
      </c>
      <c r="HI255" t="e">
        <f>AND(Onsite!C101,"AAAAADvH/9g=")</f>
        <v>#VALUE!</v>
      </c>
      <c r="HJ255" t="e">
        <f>AND(Onsite!D101,"AAAAADvH/9k=")</f>
        <v>#VALUE!</v>
      </c>
      <c r="HK255" t="e">
        <f>AND(Onsite!E101,"AAAAADvH/9o=")</f>
        <v>#VALUE!</v>
      </c>
      <c r="HL255" t="e">
        <f>AND(Onsite!#REF!,"AAAAADvH/9s=")</f>
        <v>#REF!</v>
      </c>
      <c r="HM255" t="e">
        <f>AND(Onsite!#REF!,"AAAAADvH/9w=")</f>
        <v>#REF!</v>
      </c>
      <c r="HN255" t="e">
        <f>AND(Onsite!#REF!,"AAAAADvH/90=")</f>
        <v>#REF!</v>
      </c>
      <c r="HO255" t="e">
        <f>AND(Onsite!#REF!,"AAAAADvH/94=")</f>
        <v>#REF!</v>
      </c>
      <c r="HP255" t="e">
        <f>AND(Onsite!#REF!,"AAAAADvH/98=")</f>
        <v>#REF!</v>
      </c>
      <c r="HQ255" t="e">
        <f>AND(Onsite!#REF!,"AAAAADvH/+A=")</f>
        <v>#REF!</v>
      </c>
      <c r="HR255" t="e">
        <f>AND(Onsite!F101,"AAAAADvH/+E=")</f>
        <v>#VALUE!</v>
      </c>
      <c r="HS255">
        <f>IF(Onsite!86:86,"AAAAADvH/+I=",0)</f>
        <v>0</v>
      </c>
      <c r="HT255" t="e">
        <f>AND(Onsite!#REF!,"AAAAADvH/+M=")</f>
        <v>#REF!</v>
      </c>
      <c r="HU255" t="e">
        <f>AND(Onsite!A86,"AAAAADvH/+Q=")</f>
        <v>#VALUE!</v>
      </c>
      <c r="HV255" t="e">
        <f>AND(Onsite!B86,"AAAAADvH/+U=")</f>
        <v>#VALUE!</v>
      </c>
      <c r="HW255" t="e">
        <f>AND(Onsite!C86,"AAAAADvH/+Y=")</f>
        <v>#VALUE!</v>
      </c>
      <c r="HX255" t="e">
        <f>AND(Onsite!D86,"AAAAADvH/+c=")</f>
        <v>#VALUE!</v>
      </c>
      <c r="HY255" t="e">
        <f>AND(Onsite!E86,"AAAAADvH/+g=")</f>
        <v>#VALUE!</v>
      </c>
      <c r="HZ255" t="e">
        <f>AND(Onsite!#REF!,"AAAAADvH/+k=")</f>
        <v>#REF!</v>
      </c>
      <c r="IA255" t="e">
        <f>AND(Onsite!#REF!,"AAAAADvH/+o=")</f>
        <v>#REF!</v>
      </c>
      <c r="IB255" t="e">
        <f>AND(Onsite!#REF!,"AAAAADvH/+s=")</f>
        <v>#REF!</v>
      </c>
      <c r="IC255" t="e">
        <f>AND(Onsite!#REF!,"AAAAADvH/+w=")</f>
        <v>#REF!</v>
      </c>
      <c r="ID255" t="e">
        <f>AND(Onsite!#REF!,"AAAAADvH/+0=")</f>
        <v>#REF!</v>
      </c>
      <c r="IE255" t="e">
        <f>AND(Onsite!#REF!,"AAAAADvH/+4=")</f>
        <v>#REF!</v>
      </c>
      <c r="IF255" t="e">
        <f>AND(Onsite!F86,"AAAAADvH/+8=")</f>
        <v>#VALUE!</v>
      </c>
      <c r="IG255" t="e">
        <f>IF(Onsite!#REF!,"AAAAADvH//A=",0)</f>
        <v>#REF!</v>
      </c>
      <c r="IH255" t="e">
        <f>AND(Onsite!#REF!,"AAAAADvH//E=")</f>
        <v>#REF!</v>
      </c>
      <c r="II255" t="e">
        <f>AND(Onsite!#REF!,"AAAAADvH//I=")</f>
        <v>#REF!</v>
      </c>
      <c r="IJ255" t="e">
        <f>AND(Onsite!#REF!,"AAAAADvH//M=")</f>
        <v>#REF!</v>
      </c>
      <c r="IK255" t="e">
        <f>AND(Onsite!#REF!,"AAAAADvH//Q=")</f>
        <v>#REF!</v>
      </c>
      <c r="IL255" t="e">
        <f>AND(Onsite!#REF!,"AAAAADvH//U=")</f>
        <v>#REF!</v>
      </c>
      <c r="IM255" t="e">
        <f>AND(Onsite!#REF!,"AAAAADvH//Y=")</f>
        <v>#REF!</v>
      </c>
      <c r="IN255" t="e">
        <f>AND(Onsite!#REF!,"AAAAADvH//c=")</f>
        <v>#REF!</v>
      </c>
      <c r="IO255" t="e">
        <f>AND(Onsite!#REF!,"AAAAADvH//g=")</f>
        <v>#REF!</v>
      </c>
      <c r="IP255" t="e">
        <f>AND(Onsite!#REF!,"AAAAADvH//k=")</f>
        <v>#REF!</v>
      </c>
      <c r="IQ255" t="e">
        <f>AND(Onsite!#REF!,"AAAAADvH//o=")</f>
        <v>#REF!</v>
      </c>
      <c r="IR255" t="e">
        <f>AND(Onsite!#REF!,"AAAAADvH//s=")</f>
        <v>#REF!</v>
      </c>
      <c r="IS255" t="e">
        <f>AND(Onsite!#REF!,"AAAAADvH//w=")</f>
        <v>#REF!</v>
      </c>
      <c r="IT255" t="e">
        <f>AND(Onsite!#REF!,"AAAAADvH//0=")</f>
        <v>#REF!</v>
      </c>
      <c r="IU255">
        <f>IF(Onsite!88:88,"AAAAADvH//4=",0)</f>
        <v>0</v>
      </c>
      <c r="IV255" t="e">
        <f>AND(Onsite!#REF!,"AAAAADvH//8=")</f>
        <v>#REF!</v>
      </c>
    </row>
    <row r="256" spans="1:256" x14ac:dyDescent="0.2">
      <c r="A256" t="e">
        <f>AND(Onsite!A88,"AAAAAEz+rwA=")</f>
        <v>#VALUE!</v>
      </c>
      <c r="B256" t="e">
        <f>AND(Onsite!B88,"AAAAAEz+rwE=")</f>
        <v>#VALUE!</v>
      </c>
      <c r="C256" t="e">
        <f>AND(Onsite!C88,"AAAAAEz+rwI=")</f>
        <v>#VALUE!</v>
      </c>
      <c r="D256" t="e">
        <f>AND(Onsite!D88,"AAAAAEz+rwM=")</f>
        <v>#VALUE!</v>
      </c>
      <c r="E256" t="e">
        <f>AND(Onsite!E88,"AAAAAEz+rwQ=")</f>
        <v>#VALUE!</v>
      </c>
      <c r="F256" t="e">
        <f>AND(Onsite!#REF!,"AAAAAEz+rwU=")</f>
        <v>#REF!</v>
      </c>
      <c r="G256" t="e">
        <f>AND(Onsite!#REF!,"AAAAAEz+rwY=")</f>
        <v>#REF!</v>
      </c>
      <c r="H256" t="e">
        <f>AND(Onsite!#REF!,"AAAAAEz+rwc=")</f>
        <v>#REF!</v>
      </c>
      <c r="I256" t="e">
        <f>AND(Onsite!#REF!,"AAAAAEz+rwg=")</f>
        <v>#REF!</v>
      </c>
      <c r="J256" t="e">
        <f>AND(Onsite!#REF!,"AAAAAEz+rwk=")</f>
        <v>#REF!</v>
      </c>
      <c r="K256" t="e">
        <f>AND(Onsite!#REF!,"AAAAAEz+rwo=")</f>
        <v>#REF!</v>
      </c>
      <c r="L256" t="e">
        <f>AND(Onsite!#REF!,"AAAAAEz+rws=")</f>
        <v>#REF!</v>
      </c>
      <c r="M256" t="e">
        <f>IF(Onsite!#REF!,"AAAAAEz+rww=",0)</f>
        <v>#REF!</v>
      </c>
      <c r="N256" t="e">
        <f>AND(Onsite!#REF!,"AAAAAEz+rw0=")</f>
        <v>#REF!</v>
      </c>
      <c r="O256" t="e">
        <f>AND(Onsite!#REF!,"AAAAAEz+rw4=")</f>
        <v>#REF!</v>
      </c>
      <c r="P256" t="e">
        <f>AND(Onsite!#REF!,"AAAAAEz+rw8=")</f>
        <v>#REF!</v>
      </c>
      <c r="Q256" t="e">
        <f>AND(Onsite!#REF!,"AAAAAEz+rxA=")</f>
        <v>#REF!</v>
      </c>
      <c r="R256" t="e">
        <f>AND(Onsite!#REF!,"AAAAAEz+rxE=")</f>
        <v>#REF!</v>
      </c>
      <c r="S256" t="e">
        <f>AND(Onsite!#REF!,"AAAAAEz+rxI=")</f>
        <v>#REF!</v>
      </c>
      <c r="T256" t="e">
        <f>AND(Onsite!#REF!,"AAAAAEz+rxM=")</f>
        <v>#REF!</v>
      </c>
      <c r="U256" t="e">
        <f>AND(Onsite!#REF!,"AAAAAEz+rxQ=")</f>
        <v>#REF!</v>
      </c>
      <c r="V256" t="e">
        <f>AND(Onsite!#REF!,"AAAAAEz+rxU=")</f>
        <v>#REF!</v>
      </c>
      <c r="W256" t="e">
        <f>AND(Onsite!#REF!,"AAAAAEz+rxY=")</f>
        <v>#REF!</v>
      </c>
      <c r="X256" t="e">
        <f>AND(Onsite!#REF!,"AAAAAEz+rxc=")</f>
        <v>#REF!</v>
      </c>
      <c r="Y256" t="e">
        <f>AND(Onsite!#REF!,"AAAAAEz+rxg=")</f>
        <v>#REF!</v>
      </c>
      <c r="Z256" t="e">
        <f>AND(Onsite!#REF!,"AAAAAEz+rxk=")</f>
        <v>#REF!</v>
      </c>
      <c r="AA256">
        <f>IF(Onsite!89:89,"AAAAAEz+rxo=",0)</f>
        <v>0</v>
      </c>
      <c r="AB256" t="e">
        <f>AND(Onsite!#REF!,"AAAAAEz+rxs=")</f>
        <v>#REF!</v>
      </c>
      <c r="AC256" t="e">
        <f>AND(Onsite!A89,"AAAAAEz+rxw=")</f>
        <v>#VALUE!</v>
      </c>
      <c r="AD256" t="e">
        <f>AND(Onsite!B89,"AAAAAEz+rx0=")</f>
        <v>#VALUE!</v>
      </c>
      <c r="AE256" t="e">
        <f>AND(Onsite!C89,"AAAAAEz+rx4=")</f>
        <v>#VALUE!</v>
      </c>
      <c r="AF256" t="e">
        <f>AND(Onsite!D89,"AAAAAEz+rx8=")</f>
        <v>#VALUE!</v>
      </c>
      <c r="AG256" t="e">
        <f>AND(Onsite!E89,"AAAAAEz+ryA=")</f>
        <v>#VALUE!</v>
      </c>
      <c r="AH256" t="e">
        <f>AND(Onsite!#REF!,"AAAAAEz+ryE=")</f>
        <v>#REF!</v>
      </c>
      <c r="AI256" t="e">
        <f>AND(Onsite!#REF!,"AAAAAEz+ryI=")</f>
        <v>#REF!</v>
      </c>
      <c r="AJ256" t="e">
        <f>AND(Onsite!#REF!,"AAAAAEz+ryM=")</f>
        <v>#REF!</v>
      </c>
      <c r="AK256" t="e">
        <f>AND(Onsite!#REF!,"AAAAAEz+ryQ=")</f>
        <v>#REF!</v>
      </c>
      <c r="AL256" t="e">
        <f>AND(Onsite!#REF!,"AAAAAEz+ryU=")</f>
        <v>#REF!</v>
      </c>
      <c r="AM256" t="e">
        <f>AND(Onsite!#REF!,"AAAAAEz+ryY=")</f>
        <v>#REF!</v>
      </c>
      <c r="AN256" t="e">
        <f>AND(Onsite!#REF!,"AAAAAEz+ryc=")</f>
        <v>#REF!</v>
      </c>
      <c r="AO256">
        <f>IF(Onsite!90:90,"AAAAAEz+ryg=",0)</f>
        <v>0</v>
      </c>
      <c r="AP256" t="e">
        <f>AND(Onsite!#REF!,"AAAAAEz+ryk=")</f>
        <v>#REF!</v>
      </c>
      <c r="AQ256" t="e">
        <f>AND(Onsite!A90,"AAAAAEz+ryo=")</f>
        <v>#VALUE!</v>
      </c>
      <c r="AR256" t="e">
        <f>AND(Onsite!B90,"AAAAAEz+rys=")</f>
        <v>#VALUE!</v>
      </c>
      <c r="AS256" t="e">
        <f>AND(Onsite!C90,"AAAAAEz+ryw=")</f>
        <v>#VALUE!</v>
      </c>
      <c r="AT256" t="e">
        <f>AND(Onsite!D90,"AAAAAEz+ry0=")</f>
        <v>#VALUE!</v>
      </c>
      <c r="AU256" t="e">
        <f>AND(Onsite!E90,"AAAAAEz+ry4=")</f>
        <v>#VALUE!</v>
      </c>
      <c r="AV256" t="e">
        <f>AND(Onsite!#REF!,"AAAAAEz+ry8=")</f>
        <v>#REF!</v>
      </c>
      <c r="AW256" t="e">
        <f>AND(Onsite!#REF!,"AAAAAEz+rzA=")</f>
        <v>#REF!</v>
      </c>
      <c r="AX256" t="e">
        <f>AND(Onsite!#REF!,"AAAAAEz+rzE=")</f>
        <v>#REF!</v>
      </c>
      <c r="AY256" t="e">
        <f>AND(Onsite!#REF!,"AAAAAEz+rzI=")</f>
        <v>#REF!</v>
      </c>
      <c r="AZ256" t="e">
        <f>AND(Onsite!#REF!,"AAAAAEz+rzM=")</f>
        <v>#REF!</v>
      </c>
      <c r="BA256" t="e">
        <f>AND(Onsite!#REF!,"AAAAAEz+rzQ=")</f>
        <v>#REF!</v>
      </c>
      <c r="BB256" t="e">
        <f>AND(Onsite!#REF!,"AAAAAEz+rzU=")</f>
        <v>#REF!</v>
      </c>
      <c r="BC256">
        <f>IF(Onsite!91:91,"AAAAAEz+rzY=",0)</f>
        <v>0</v>
      </c>
      <c r="BD256" t="e">
        <f>AND(Onsite!#REF!,"AAAAAEz+rzc=")</f>
        <v>#REF!</v>
      </c>
      <c r="BE256" t="e">
        <f>AND(Onsite!A91,"AAAAAEz+rzg=")</f>
        <v>#VALUE!</v>
      </c>
      <c r="BF256" t="e">
        <f>AND(Onsite!B91,"AAAAAEz+rzk=")</f>
        <v>#VALUE!</v>
      </c>
      <c r="BG256" t="e">
        <f>AND(Onsite!C91,"AAAAAEz+rzo=")</f>
        <v>#VALUE!</v>
      </c>
      <c r="BH256" t="e">
        <f>AND(Onsite!D91,"AAAAAEz+rzs=")</f>
        <v>#VALUE!</v>
      </c>
      <c r="BI256" t="e">
        <f>AND(Onsite!E91,"AAAAAEz+rzw=")</f>
        <v>#VALUE!</v>
      </c>
      <c r="BJ256" t="e">
        <f>AND(Onsite!#REF!,"AAAAAEz+rz0=")</f>
        <v>#REF!</v>
      </c>
      <c r="BK256" t="e">
        <f>AND(Onsite!#REF!,"AAAAAEz+rz4=")</f>
        <v>#REF!</v>
      </c>
      <c r="BL256" t="e">
        <f>AND(Onsite!#REF!,"AAAAAEz+rz8=")</f>
        <v>#REF!</v>
      </c>
      <c r="BM256" t="e">
        <f>AND(Onsite!#REF!,"AAAAAEz+r0A=")</f>
        <v>#REF!</v>
      </c>
      <c r="BN256" t="e">
        <f>AND(Onsite!#REF!,"AAAAAEz+r0E=")</f>
        <v>#REF!</v>
      </c>
      <c r="BO256" t="e">
        <f>AND(Onsite!#REF!,"AAAAAEz+r0I=")</f>
        <v>#REF!</v>
      </c>
      <c r="BP256" t="e">
        <f>AND(Onsite!#REF!,"AAAAAEz+r0M=")</f>
        <v>#REF!</v>
      </c>
      <c r="BQ256" t="e">
        <f>IF(Onsite!#REF!,"AAAAAEz+r0Q=",0)</f>
        <v>#REF!</v>
      </c>
      <c r="BR256" t="e">
        <f>AND(Onsite!#REF!,"AAAAAEz+r0U=")</f>
        <v>#REF!</v>
      </c>
      <c r="BS256" t="e">
        <f>AND(Onsite!#REF!,"AAAAAEz+r0Y=")</f>
        <v>#REF!</v>
      </c>
      <c r="BT256" t="e">
        <f>AND(Onsite!#REF!,"AAAAAEz+r0c=")</f>
        <v>#REF!</v>
      </c>
      <c r="BU256" t="e">
        <f>AND(Onsite!#REF!,"AAAAAEz+r0g=")</f>
        <v>#REF!</v>
      </c>
      <c r="BV256" t="e">
        <f>AND(Onsite!#REF!,"AAAAAEz+r0k=")</f>
        <v>#REF!</v>
      </c>
      <c r="BW256" t="e">
        <f>AND(Onsite!#REF!,"AAAAAEz+r0o=")</f>
        <v>#REF!</v>
      </c>
      <c r="BX256" t="e">
        <f>AND(Onsite!#REF!,"AAAAAEz+r0s=")</f>
        <v>#REF!</v>
      </c>
      <c r="BY256" t="e">
        <f>AND(Onsite!#REF!,"AAAAAEz+r0w=")</f>
        <v>#REF!</v>
      </c>
      <c r="BZ256" t="e">
        <f>AND(Onsite!#REF!,"AAAAAEz+r00=")</f>
        <v>#REF!</v>
      </c>
      <c r="CA256" t="e">
        <f>AND(Onsite!#REF!,"AAAAAEz+r04=")</f>
        <v>#REF!</v>
      </c>
      <c r="CB256" t="e">
        <f>AND(Onsite!#REF!,"AAAAAEz+r08=")</f>
        <v>#REF!</v>
      </c>
      <c r="CC256" t="e">
        <f>AND(Onsite!#REF!,"AAAAAEz+r1A=")</f>
        <v>#REF!</v>
      </c>
      <c r="CD256" t="e">
        <f>AND(Onsite!#REF!,"AAAAAEz+r1E=")</f>
        <v>#REF!</v>
      </c>
      <c r="CE256" t="e">
        <f>IF(Onsite!#REF!,"AAAAAEz+r1I=",0)</f>
        <v>#REF!</v>
      </c>
      <c r="CF256" t="e">
        <f>AND(Onsite!#REF!,"AAAAAEz+r1M=")</f>
        <v>#REF!</v>
      </c>
      <c r="CG256" t="e">
        <f>AND(Onsite!#REF!,"AAAAAEz+r1Q=")</f>
        <v>#REF!</v>
      </c>
      <c r="CH256" t="e">
        <f>AND(Onsite!#REF!,"AAAAAEz+r1U=")</f>
        <v>#REF!</v>
      </c>
      <c r="CI256" t="e">
        <f>AND(Onsite!#REF!,"AAAAAEz+r1Y=")</f>
        <v>#REF!</v>
      </c>
      <c r="CJ256" t="e">
        <f>AND(Onsite!#REF!,"AAAAAEz+r1c=")</f>
        <v>#REF!</v>
      </c>
      <c r="CK256" t="e">
        <f>AND(Onsite!#REF!,"AAAAAEz+r1g=")</f>
        <v>#REF!</v>
      </c>
      <c r="CL256" t="e">
        <f>AND(Onsite!#REF!,"AAAAAEz+r1k=")</f>
        <v>#REF!</v>
      </c>
      <c r="CM256" t="e">
        <f>AND(Onsite!#REF!,"AAAAAEz+r1o=")</f>
        <v>#REF!</v>
      </c>
      <c r="CN256" t="e">
        <f>AND(Onsite!#REF!,"AAAAAEz+r1s=")</f>
        <v>#REF!</v>
      </c>
      <c r="CO256" t="e">
        <f>AND(Onsite!#REF!,"AAAAAEz+r1w=")</f>
        <v>#REF!</v>
      </c>
      <c r="CP256" t="e">
        <f>AND(Onsite!#REF!,"AAAAAEz+r10=")</f>
        <v>#REF!</v>
      </c>
      <c r="CQ256" t="e">
        <f>AND(Onsite!#REF!,"AAAAAEz+r14=")</f>
        <v>#REF!</v>
      </c>
      <c r="CR256" t="e">
        <f>AND(Onsite!#REF!,"AAAAAEz+r18=")</f>
        <v>#REF!</v>
      </c>
      <c r="CS256" t="e">
        <f>IF(Onsite!#REF!,"AAAAAEz+r2A=",0)</f>
        <v>#REF!</v>
      </c>
      <c r="CT256" t="e">
        <f>AND(Onsite!#REF!,"AAAAAEz+r2E=")</f>
        <v>#REF!</v>
      </c>
      <c r="CU256" t="e">
        <f>AND(Onsite!#REF!,"AAAAAEz+r2I=")</f>
        <v>#REF!</v>
      </c>
      <c r="CV256" t="e">
        <f>AND(Onsite!#REF!,"AAAAAEz+r2M=")</f>
        <v>#REF!</v>
      </c>
      <c r="CW256" t="e">
        <f>AND(Onsite!#REF!,"AAAAAEz+r2Q=")</f>
        <v>#REF!</v>
      </c>
      <c r="CX256" t="e">
        <f>AND(Onsite!#REF!,"AAAAAEz+r2U=")</f>
        <v>#REF!</v>
      </c>
      <c r="CY256" t="e">
        <f>AND(Onsite!#REF!,"AAAAAEz+r2Y=")</f>
        <v>#REF!</v>
      </c>
      <c r="CZ256" t="e">
        <f>AND(Onsite!#REF!,"AAAAAEz+r2c=")</f>
        <v>#REF!</v>
      </c>
      <c r="DA256" t="e">
        <f>AND(Onsite!#REF!,"AAAAAEz+r2g=")</f>
        <v>#REF!</v>
      </c>
      <c r="DB256" t="e">
        <f>AND(Onsite!#REF!,"AAAAAEz+r2k=")</f>
        <v>#REF!</v>
      </c>
      <c r="DC256" t="e">
        <f>AND(Onsite!#REF!,"AAAAAEz+r2o=")</f>
        <v>#REF!</v>
      </c>
      <c r="DD256" t="e">
        <f>AND(Onsite!#REF!,"AAAAAEz+r2s=")</f>
        <v>#REF!</v>
      </c>
      <c r="DE256" t="e">
        <f>AND(Onsite!#REF!,"AAAAAEz+r2w=")</f>
        <v>#REF!</v>
      </c>
      <c r="DF256" t="e">
        <f>AND(Onsite!#REF!,"AAAAAEz+r20=")</f>
        <v>#REF!</v>
      </c>
      <c r="DG256" t="e">
        <f>IF(Onsite!#REF!,"AAAAAEz+r24=",0)</f>
        <v>#REF!</v>
      </c>
      <c r="DH256" t="e">
        <f>AND(Onsite!#REF!,"AAAAAEz+r28=")</f>
        <v>#REF!</v>
      </c>
      <c r="DI256" t="e">
        <f>AND(Onsite!#REF!,"AAAAAEz+r3A=")</f>
        <v>#REF!</v>
      </c>
      <c r="DJ256" t="e">
        <f>AND(Onsite!#REF!,"AAAAAEz+r3E=")</f>
        <v>#REF!</v>
      </c>
      <c r="DK256" t="e">
        <f>AND(Onsite!#REF!,"AAAAAEz+r3I=")</f>
        <v>#REF!</v>
      </c>
      <c r="DL256" t="e">
        <f>AND(Onsite!#REF!,"AAAAAEz+r3M=")</f>
        <v>#REF!</v>
      </c>
      <c r="DM256" t="e">
        <f>AND(Onsite!#REF!,"AAAAAEz+r3Q=")</f>
        <v>#REF!</v>
      </c>
      <c r="DN256" t="e">
        <f>AND(Onsite!#REF!,"AAAAAEz+r3U=")</f>
        <v>#REF!</v>
      </c>
      <c r="DO256" t="e">
        <f>AND(Onsite!#REF!,"AAAAAEz+r3Y=")</f>
        <v>#REF!</v>
      </c>
      <c r="DP256" t="e">
        <f>AND(Onsite!#REF!,"AAAAAEz+r3c=")</f>
        <v>#REF!</v>
      </c>
      <c r="DQ256" t="e">
        <f>AND(Onsite!#REF!,"AAAAAEz+r3g=")</f>
        <v>#REF!</v>
      </c>
      <c r="DR256" t="e">
        <f>AND(Onsite!#REF!,"AAAAAEz+r3k=")</f>
        <v>#REF!</v>
      </c>
      <c r="DS256" t="e">
        <f>AND(Onsite!#REF!,"AAAAAEz+r3o=")</f>
        <v>#REF!</v>
      </c>
      <c r="DT256" t="e">
        <f>AND(Onsite!#REF!,"AAAAAEz+r3s=")</f>
        <v>#REF!</v>
      </c>
      <c r="DU256" t="e">
        <f>IF(Onsite!#REF!,"AAAAAEz+r3w=",0)</f>
        <v>#REF!</v>
      </c>
      <c r="DV256" t="e">
        <f>AND(Onsite!#REF!,"AAAAAEz+r30=")</f>
        <v>#REF!</v>
      </c>
      <c r="DW256" t="e">
        <f>AND(Onsite!#REF!,"AAAAAEz+r34=")</f>
        <v>#REF!</v>
      </c>
      <c r="DX256" t="e">
        <f>AND(Onsite!#REF!,"AAAAAEz+r38=")</f>
        <v>#REF!</v>
      </c>
      <c r="DY256" t="e">
        <f>AND(Onsite!#REF!,"AAAAAEz+r4A=")</f>
        <v>#REF!</v>
      </c>
      <c r="DZ256" t="e">
        <f>AND(Onsite!#REF!,"AAAAAEz+r4E=")</f>
        <v>#REF!</v>
      </c>
      <c r="EA256" t="e">
        <f>AND(Onsite!#REF!,"AAAAAEz+r4I=")</f>
        <v>#REF!</v>
      </c>
      <c r="EB256" t="e">
        <f>AND(Onsite!#REF!,"AAAAAEz+r4M=")</f>
        <v>#REF!</v>
      </c>
      <c r="EC256" t="e">
        <f>AND(Onsite!#REF!,"AAAAAEz+r4Q=")</f>
        <v>#REF!</v>
      </c>
      <c r="ED256" t="e">
        <f>AND(Onsite!#REF!,"AAAAAEz+r4U=")</f>
        <v>#REF!</v>
      </c>
      <c r="EE256" t="e">
        <f>AND(Onsite!#REF!,"AAAAAEz+r4Y=")</f>
        <v>#REF!</v>
      </c>
      <c r="EF256" t="e">
        <f>AND(Onsite!#REF!,"AAAAAEz+r4c=")</f>
        <v>#REF!</v>
      </c>
      <c r="EG256" t="e">
        <f>AND(Onsite!#REF!,"AAAAAEz+r4g=")</f>
        <v>#REF!</v>
      </c>
      <c r="EH256" t="e">
        <f>AND(Onsite!#REF!,"AAAAAEz+r4k=")</f>
        <v>#REF!</v>
      </c>
      <c r="EI256" t="e">
        <f>IF(Onsite!#REF!,"AAAAAEz+r4o=",0)</f>
        <v>#REF!</v>
      </c>
      <c r="EJ256" t="e">
        <f>AND(Onsite!#REF!,"AAAAAEz+r4s=")</f>
        <v>#REF!</v>
      </c>
      <c r="EK256" t="e">
        <f>AND(Onsite!#REF!,"AAAAAEz+r4w=")</f>
        <v>#REF!</v>
      </c>
      <c r="EL256" t="e">
        <f>AND(Onsite!#REF!,"AAAAAEz+r40=")</f>
        <v>#REF!</v>
      </c>
      <c r="EM256" t="e">
        <f>AND(Onsite!#REF!,"AAAAAEz+r44=")</f>
        <v>#REF!</v>
      </c>
      <c r="EN256" t="e">
        <f>AND(Onsite!#REF!,"AAAAAEz+r48=")</f>
        <v>#REF!</v>
      </c>
      <c r="EO256" t="e">
        <f>AND(Onsite!#REF!,"AAAAAEz+r5A=")</f>
        <v>#REF!</v>
      </c>
      <c r="EP256" t="e">
        <f>AND(Onsite!#REF!,"AAAAAEz+r5E=")</f>
        <v>#REF!</v>
      </c>
      <c r="EQ256" t="e">
        <f>AND(Onsite!#REF!,"AAAAAEz+r5I=")</f>
        <v>#REF!</v>
      </c>
      <c r="ER256" t="e">
        <f>AND(Onsite!#REF!,"AAAAAEz+r5M=")</f>
        <v>#REF!</v>
      </c>
      <c r="ES256" t="e">
        <f>AND(Onsite!#REF!,"AAAAAEz+r5Q=")</f>
        <v>#REF!</v>
      </c>
      <c r="ET256" t="e">
        <f>AND(Onsite!#REF!,"AAAAAEz+r5U=")</f>
        <v>#REF!</v>
      </c>
      <c r="EU256" t="e">
        <f>AND(Onsite!#REF!,"AAAAAEz+r5Y=")</f>
        <v>#REF!</v>
      </c>
      <c r="EV256" t="e">
        <f>AND(Onsite!#REF!,"AAAAAEz+r5c=")</f>
        <v>#REF!</v>
      </c>
      <c r="EW256" t="e">
        <f>IF(Onsite!#REF!,"AAAAAEz+r5g=",0)</f>
        <v>#REF!</v>
      </c>
      <c r="EX256" t="e">
        <f>AND(Onsite!#REF!,"AAAAAEz+r5k=")</f>
        <v>#REF!</v>
      </c>
      <c r="EY256" t="e">
        <f>AND(Onsite!#REF!,"AAAAAEz+r5o=")</f>
        <v>#REF!</v>
      </c>
      <c r="EZ256" t="e">
        <f>AND(Onsite!#REF!,"AAAAAEz+r5s=")</f>
        <v>#REF!</v>
      </c>
      <c r="FA256" t="e">
        <f>AND(Onsite!#REF!,"AAAAAEz+r5w=")</f>
        <v>#REF!</v>
      </c>
      <c r="FB256" t="e">
        <f>AND(Onsite!#REF!,"AAAAAEz+r50=")</f>
        <v>#REF!</v>
      </c>
      <c r="FC256" t="e">
        <f>AND(Onsite!#REF!,"AAAAAEz+r54=")</f>
        <v>#REF!</v>
      </c>
      <c r="FD256" t="e">
        <f>AND(Onsite!#REF!,"AAAAAEz+r58=")</f>
        <v>#REF!</v>
      </c>
      <c r="FE256" t="e">
        <f>AND(Onsite!#REF!,"AAAAAEz+r6A=")</f>
        <v>#REF!</v>
      </c>
      <c r="FF256" t="e">
        <f>AND(Onsite!#REF!,"AAAAAEz+r6E=")</f>
        <v>#REF!</v>
      </c>
      <c r="FG256" t="e">
        <f>AND(Onsite!#REF!,"AAAAAEz+r6I=")</f>
        <v>#REF!</v>
      </c>
      <c r="FH256" t="e">
        <f>AND(Onsite!#REF!,"AAAAAEz+r6M=")</f>
        <v>#REF!</v>
      </c>
      <c r="FI256" t="e">
        <f>AND(Onsite!#REF!,"AAAAAEz+r6Q=")</f>
        <v>#REF!</v>
      </c>
      <c r="FJ256" t="e">
        <f>AND(Onsite!#REF!,"AAAAAEz+r6U=")</f>
        <v>#REF!</v>
      </c>
      <c r="FK256" t="e">
        <f>IF(Onsite!#REF!,"AAAAAEz+r6Y=",0)</f>
        <v>#REF!</v>
      </c>
      <c r="FL256" t="e">
        <f>AND(Onsite!#REF!,"AAAAAEz+r6c=")</f>
        <v>#REF!</v>
      </c>
      <c r="FM256" t="e">
        <f>AND(Onsite!#REF!,"AAAAAEz+r6g=")</f>
        <v>#REF!</v>
      </c>
      <c r="FN256" t="e">
        <f>AND(Onsite!#REF!,"AAAAAEz+r6k=")</f>
        <v>#REF!</v>
      </c>
      <c r="FO256" t="e">
        <f>AND(Onsite!#REF!,"AAAAAEz+r6o=")</f>
        <v>#REF!</v>
      </c>
      <c r="FP256" t="e">
        <f>AND(Onsite!#REF!,"AAAAAEz+r6s=")</f>
        <v>#REF!</v>
      </c>
      <c r="FQ256" t="e">
        <f>AND(Onsite!#REF!,"AAAAAEz+r6w=")</f>
        <v>#REF!</v>
      </c>
      <c r="FR256" t="e">
        <f>AND(Onsite!#REF!,"AAAAAEz+r60=")</f>
        <v>#REF!</v>
      </c>
      <c r="FS256" t="e">
        <f>AND(Onsite!#REF!,"AAAAAEz+r64=")</f>
        <v>#REF!</v>
      </c>
      <c r="FT256" t="e">
        <f>AND(Onsite!#REF!,"AAAAAEz+r68=")</f>
        <v>#REF!</v>
      </c>
      <c r="FU256" t="e">
        <f>AND(Onsite!#REF!,"AAAAAEz+r7A=")</f>
        <v>#REF!</v>
      </c>
      <c r="FV256" t="e">
        <f>AND(Onsite!#REF!,"AAAAAEz+r7E=")</f>
        <v>#REF!</v>
      </c>
      <c r="FW256" t="e">
        <f>AND(Onsite!#REF!,"AAAAAEz+r7I=")</f>
        <v>#REF!</v>
      </c>
      <c r="FX256" t="e">
        <f>AND(Onsite!#REF!,"AAAAAEz+r7M=")</f>
        <v>#REF!</v>
      </c>
      <c r="FY256" t="e">
        <f>IF(Onsite!#REF!,"AAAAAEz+r7Q=",0)</f>
        <v>#REF!</v>
      </c>
      <c r="FZ256" t="e">
        <f>AND(Onsite!#REF!,"AAAAAEz+r7U=")</f>
        <v>#REF!</v>
      </c>
      <c r="GA256" t="e">
        <f>AND(Onsite!#REF!,"AAAAAEz+r7Y=")</f>
        <v>#REF!</v>
      </c>
      <c r="GB256" t="e">
        <f>AND(Onsite!#REF!,"AAAAAEz+r7c=")</f>
        <v>#REF!</v>
      </c>
      <c r="GC256" t="e">
        <f>AND(Onsite!#REF!,"AAAAAEz+r7g=")</f>
        <v>#REF!</v>
      </c>
      <c r="GD256" t="e">
        <f>AND(Onsite!#REF!,"AAAAAEz+r7k=")</f>
        <v>#REF!</v>
      </c>
      <c r="GE256" t="e">
        <f>AND(Onsite!#REF!,"AAAAAEz+r7o=")</f>
        <v>#REF!</v>
      </c>
      <c r="GF256" t="e">
        <f>AND(Onsite!#REF!,"AAAAAEz+r7s=")</f>
        <v>#REF!</v>
      </c>
      <c r="GG256" t="e">
        <f>AND(Onsite!#REF!,"AAAAAEz+r7w=")</f>
        <v>#REF!</v>
      </c>
      <c r="GH256" t="e">
        <f>AND(Onsite!#REF!,"AAAAAEz+r70=")</f>
        <v>#REF!</v>
      </c>
      <c r="GI256" t="e">
        <f>AND(Onsite!#REF!,"AAAAAEz+r74=")</f>
        <v>#REF!</v>
      </c>
      <c r="GJ256" t="e">
        <f>AND(Onsite!#REF!,"AAAAAEz+r78=")</f>
        <v>#REF!</v>
      </c>
      <c r="GK256" t="e">
        <f>AND(Onsite!#REF!,"AAAAAEz+r8A=")</f>
        <v>#REF!</v>
      </c>
      <c r="GL256" t="e">
        <f>AND(Onsite!#REF!,"AAAAAEz+r8E=")</f>
        <v>#REF!</v>
      </c>
      <c r="GM256">
        <f>IF('Additional Services'!4:4,"AAAAAEz+r8I=",0)</f>
        <v>0</v>
      </c>
      <c r="GN256" t="e">
        <f>AND('Additional Services'!A4,"AAAAAEz+r8M=")</f>
        <v>#VALUE!</v>
      </c>
      <c r="GO256" t="e">
        <f>AND('Additional Services'!B4,"AAAAAEz+r8Q=")</f>
        <v>#VALUE!</v>
      </c>
      <c r="GP256" t="e">
        <f>AND('Additional Services'!C4,"AAAAAEz+r8U=")</f>
        <v>#VALUE!</v>
      </c>
      <c r="GQ256" t="e">
        <f>AND('Additional Services'!D4,"AAAAAEz+r8Y=")</f>
        <v>#VALUE!</v>
      </c>
      <c r="GR256" t="e">
        <f>AND('Additional Services'!E4,"AAAAAEz+r8c=")</f>
        <v>#VALUE!</v>
      </c>
      <c r="GS256" t="e">
        <f>AND('Additional Services'!F4,"AAAAAEz+r8g=")</f>
        <v>#VALUE!</v>
      </c>
      <c r="GT256" t="e">
        <f>AND('Additional Services'!G4,"AAAAAEz+r8k=")</f>
        <v>#VALUE!</v>
      </c>
      <c r="GU256" t="e">
        <f>AND('Additional Services'!H4,"AAAAAEz+r8o=")</f>
        <v>#VALUE!</v>
      </c>
      <c r="GV256" t="e">
        <f>AND('Additional Services'!I4,"AAAAAEz+r8s=")</f>
        <v>#VALUE!</v>
      </c>
      <c r="GW256" t="e">
        <f>AND('Additional Services'!J4,"AAAAAEz+r8w=")</f>
        <v>#VALUE!</v>
      </c>
      <c r="GX256" t="e">
        <f>AND('Additional Services'!K4,"AAAAAEz+r80=")</f>
        <v>#VALUE!</v>
      </c>
      <c r="GY256" t="e">
        <f>AND('Additional Services'!L4,"AAAAAEz+r84=")</f>
        <v>#VALUE!</v>
      </c>
      <c r="GZ256" t="e">
        <f>AND('Additional Services'!M4,"AAAAAEz+r88=")</f>
        <v>#VALUE!</v>
      </c>
      <c r="HA256">
        <f>IF('Additional Services'!5:5,"AAAAAEz+r9A=",0)</f>
        <v>0</v>
      </c>
      <c r="HB256" t="e">
        <f>AND('Additional Services'!#REF!,"AAAAAEz+r9E=")</f>
        <v>#REF!</v>
      </c>
      <c r="HC256" t="e">
        <f>AND('Additional Services'!#REF!,"AAAAAEz+r9I=")</f>
        <v>#REF!</v>
      </c>
      <c r="HD256" t="e">
        <f>AND('Additional Services'!A5,"AAAAAEz+r9M=")</f>
        <v>#VALUE!</v>
      </c>
      <c r="HE256" t="e">
        <f>AND('Additional Services'!B5,"AAAAAEz+r9Q=")</f>
        <v>#VALUE!</v>
      </c>
      <c r="HF256" t="e">
        <f>AND('Additional Services'!C5,"AAAAAEz+r9U=")</f>
        <v>#VALUE!</v>
      </c>
      <c r="HG256" t="e">
        <f>AND('Additional Services'!D5,"AAAAAEz+r9Y=")</f>
        <v>#VALUE!</v>
      </c>
      <c r="HH256" t="e">
        <f>AND('Additional Services'!E5,"AAAAAEz+r9c=")</f>
        <v>#VALUE!</v>
      </c>
      <c r="HI256" t="e">
        <f>AND('Additional Services'!F5,"AAAAAEz+r9g=")</f>
        <v>#VALUE!</v>
      </c>
      <c r="HJ256" t="e">
        <f>AND('Additional Services'!G5,"AAAAAEz+r9k=")</f>
        <v>#VALUE!</v>
      </c>
      <c r="HK256" t="e">
        <f>AND('Additional Services'!H5,"AAAAAEz+r9o=")</f>
        <v>#VALUE!</v>
      </c>
      <c r="HL256" t="e">
        <f>AND('Additional Services'!I5,"AAAAAEz+r9s=")</f>
        <v>#VALUE!</v>
      </c>
      <c r="HM256" t="e">
        <f>AND('Additional Services'!J5,"AAAAAEz+r9w=")</f>
        <v>#VALUE!</v>
      </c>
      <c r="HN256" t="e">
        <f>AND('Additional Services'!K5,"AAAAAEz+r90=")</f>
        <v>#VALUE!</v>
      </c>
      <c r="HO256">
        <f>IF('Additional Services'!6:6,"AAAAAEz+r94=",0)</f>
        <v>0</v>
      </c>
      <c r="HP256" t="e">
        <f>AND('Additional Services'!#REF!,"AAAAAEz+r98=")</f>
        <v>#REF!</v>
      </c>
      <c r="HQ256" t="e">
        <f>AND('Additional Services'!#REF!,"AAAAAEz+r+A=")</f>
        <v>#REF!</v>
      </c>
      <c r="HR256" t="e">
        <f>AND('Additional Services'!A6,"AAAAAEz+r+E=")</f>
        <v>#VALUE!</v>
      </c>
      <c r="HS256" t="e">
        <f>AND('Additional Services'!B6,"AAAAAEz+r+I=")</f>
        <v>#VALUE!</v>
      </c>
      <c r="HT256" t="e">
        <f>AND('Additional Services'!C6,"AAAAAEz+r+M=")</f>
        <v>#VALUE!</v>
      </c>
      <c r="HU256" t="e">
        <f>AND('Additional Services'!D6,"AAAAAEz+r+Q=")</f>
        <v>#VALUE!</v>
      </c>
      <c r="HV256" t="e">
        <f>AND('Additional Services'!E6,"AAAAAEz+r+U=")</f>
        <v>#VALUE!</v>
      </c>
      <c r="HW256" t="e">
        <f>AND('Additional Services'!F6,"AAAAAEz+r+Y=")</f>
        <v>#VALUE!</v>
      </c>
      <c r="HX256" t="e">
        <f>AND('Additional Services'!G6,"AAAAAEz+r+c=")</f>
        <v>#VALUE!</v>
      </c>
      <c r="HY256" t="e">
        <f>AND('Additional Services'!H6,"AAAAAEz+r+g=")</f>
        <v>#VALUE!</v>
      </c>
      <c r="HZ256" t="e">
        <f>AND('Additional Services'!I6,"AAAAAEz+r+k=")</f>
        <v>#VALUE!</v>
      </c>
      <c r="IA256" t="e">
        <f>AND('Additional Services'!J6,"AAAAAEz+r+o=")</f>
        <v>#VALUE!</v>
      </c>
      <c r="IB256" t="e">
        <f>AND('Additional Services'!K6,"AAAAAEz+r+s=")</f>
        <v>#VALUE!</v>
      </c>
      <c r="IC256">
        <f>IF('Additional Services'!7:7,"AAAAAEz+r+w=",0)</f>
        <v>0</v>
      </c>
      <c r="ID256" t="e">
        <f>AND('Additional Services'!#REF!,"AAAAAEz+r+0=")</f>
        <v>#REF!</v>
      </c>
      <c r="IE256" t="e">
        <f>AND('Additional Services'!#REF!,"AAAAAEz+r+4=")</f>
        <v>#REF!</v>
      </c>
      <c r="IF256" t="e">
        <f>AND('Additional Services'!A7,"AAAAAEz+r+8=")</f>
        <v>#VALUE!</v>
      </c>
      <c r="IG256" t="e">
        <f>AND('Additional Services'!B7,"AAAAAEz+r/A=")</f>
        <v>#VALUE!</v>
      </c>
      <c r="IH256" t="e">
        <f>AND('Additional Services'!C7,"AAAAAEz+r/E=")</f>
        <v>#VALUE!</v>
      </c>
      <c r="II256" t="e">
        <f>AND('Additional Services'!D7,"AAAAAEz+r/I=")</f>
        <v>#VALUE!</v>
      </c>
      <c r="IJ256" t="e">
        <f>AND('Additional Services'!E7,"AAAAAEz+r/M=")</f>
        <v>#VALUE!</v>
      </c>
      <c r="IK256" t="e">
        <f>AND('Additional Services'!F7,"AAAAAEz+r/Q=")</f>
        <v>#VALUE!</v>
      </c>
      <c r="IL256" t="e">
        <f>AND('Additional Services'!G7,"AAAAAEz+r/U=")</f>
        <v>#VALUE!</v>
      </c>
      <c r="IM256" t="e">
        <f>AND('Additional Services'!H7,"AAAAAEz+r/Y=")</f>
        <v>#VALUE!</v>
      </c>
      <c r="IN256" t="e">
        <f>AND('Additional Services'!I7,"AAAAAEz+r/c=")</f>
        <v>#VALUE!</v>
      </c>
      <c r="IO256" t="e">
        <f>AND('Additional Services'!J7,"AAAAAEz+r/g=")</f>
        <v>#VALUE!</v>
      </c>
      <c r="IP256" t="e">
        <f>AND('Additional Services'!K7,"AAAAAEz+r/k=")</f>
        <v>#VALUE!</v>
      </c>
      <c r="IQ256">
        <f>IF('Additional Services'!8:8,"AAAAAEz+r/o=",0)</f>
        <v>0</v>
      </c>
      <c r="IR256" t="e">
        <f>AND('Additional Services'!#REF!,"AAAAAEz+r/s=")</f>
        <v>#REF!</v>
      </c>
      <c r="IS256" t="e">
        <f>AND('Additional Services'!#REF!,"AAAAAEz+r/w=")</f>
        <v>#REF!</v>
      </c>
      <c r="IT256" t="e">
        <f>AND('Additional Services'!A8,"AAAAAEz+r/0=")</f>
        <v>#VALUE!</v>
      </c>
      <c r="IU256" t="e">
        <f>AND('Additional Services'!B8,"AAAAAEz+r/4=")</f>
        <v>#VALUE!</v>
      </c>
      <c r="IV256" t="e">
        <f>AND('Additional Services'!C8,"AAAAAEz+r/8=")</f>
        <v>#VALUE!</v>
      </c>
    </row>
    <row r="257" spans="1:256" x14ac:dyDescent="0.2">
      <c r="A257" t="e">
        <f>AND('Additional Services'!D8,"AAAAAF/0+QA=")</f>
        <v>#VALUE!</v>
      </c>
      <c r="B257" t="e">
        <f>AND('Additional Services'!E8,"AAAAAF/0+QE=")</f>
        <v>#VALUE!</v>
      </c>
      <c r="C257" t="e">
        <f>AND('Additional Services'!F8,"AAAAAF/0+QI=")</f>
        <v>#VALUE!</v>
      </c>
      <c r="D257" t="e">
        <f>AND('Additional Services'!G8,"AAAAAF/0+QM=")</f>
        <v>#VALUE!</v>
      </c>
      <c r="E257" t="e">
        <f>AND('Additional Services'!H8,"AAAAAF/0+QQ=")</f>
        <v>#VALUE!</v>
      </c>
      <c r="F257" t="e">
        <f>AND('Additional Services'!I8,"AAAAAF/0+QU=")</f>
        <v>#VALUE!</v>
      </c>
      <c r="G257" t="e">
        <f>AND('Additional Services'!J8,"AAAAAF/0+QY=")</f>
        <v>#VALUE!</v>
      </c>
      <c r="H257" t="e">
        <f>AND('Additional Services'!K8,"AAAAAF/0+Qc=")</f>
        <v>#VALUE!</v>
      </c>
      <c r="I257">
        <f>IF('Additional Services'!9:9,"AAAAAF/0+Qg=",0)</f>
        <v>0</v>
      </c>
      <c r="J257" t="e">
        <f>AND('Additional Services'!#REF!,"AAAAAF/0+Qk=")</f>
        <v>#REF!</v>
      </c>
      <c r="K257" t="e">
        <f>AND('Additional Services'!#REF!,"AAAAAF/0+Qo=")</f>
        <v>#REF!</v>
      </c>
      <c r="L257" t="e">
        <f>AND('Additional Services'!A9,"AAAAAF/0+Qs=")</f>
        <v>#VALUE!</v>
      </c>
      <c r="M257" t="e">
        <f>AND('Additional Services'!B9,"AAAAAF/0+Qw=")</f>
        <v>#VALUE!</v>
      </c>
      <c r="N257" t="e">
        <f>AND('Additional Services'!C9,"AAAAAF/0+Q0=")</f>
        <v>#VALUE!</v>
      </c>
      <c r="O257" t="e">
        <f>AND('Additional Services'!D9,"AAAAAF/0+Q4=")</f>
        <v>#VALUE!</v>
      </c>
      <c r="P257" t="e">
        <f>AND('Additional Services'!E9,"AAAAAF/0+Q8=")</f>
        <v>#VALUE!</v>
      </c>
      <c r="Q257" t="e">
        <f>AND('Additional Services'!F9,"AAAAAF/0+RA=")</f>
        <v>#VALUE!</v>
      </c>
      <c r="R257" t="e">
        <f>AND('Additional Services'!G9,"AAAAAF/0+RE=")</f>
        <v>#VALUE!</v>
      </c>
      <c r="S257" t="e">
        <f>AND('Additional Services'!H9,"AAAAAF/0+RI=")</f>
        <v>#VALUE!</v>
      </c>
      <c r="T257" t="e">
        <f>AND('Additional Services'!I9,"AAAAAF/0+RM=")</f>
        <v>#VALUE!</v>
      </c>
      <c r="U257" t="e">
        <f>AND('Additional Services'!J9,"AAAAAF/0+RQ=")</f>
        <v>#VALUE!</v>
      </c>
      <c r="V257" t="e">
        <f>AND('Additional Services'!K9,"AAAAAF/0+RU=")</f>
        <v>#VALUE!</v>
      </c>
      <c r="W257">
        <f>IF('Additional Services'!10:10,"AAAAAF/0+RY=",0)</f>
        <v>0</v>
      </c>
      <c r="X257" t="e">
        <f>AND('Additional Services'!#REF!,"AAAAAF/0+Rc=")</f>
        <v>#REF!</v>
      </c>
      <c r="Y257" t="e">
        <f>AND('Additional Services'!#REF!,"AAAAAF/0+Rg=")</f>
        <v>#REF!</v>
      </c>
      <c r="Z257" t="e">
        <f>AND('Additional Services'!A10,"AAAAAF/0+Rk=")</f>
        <v>#VALUE!</v>
      </c>
      <c r="AA257" t="e">
        <f>AND('Additional Services'!B10,"AAAAAF/0+Ro=")</f>
        <v>#VALUE!</v>
      </c>
      <c r="AB257" t="e">
        <f>AND('Additional Services'!C10,"AAAAAF/0+Rs=")</f>
        <v>#VALUE!</v>
      </c>
      <c r="AC257" t="e">
        <f>AND('Additional Services'!D10,"AAAAAF/0+Rw=")</f>
        <v>#VALUE!</v>
      </c>
      <c r="AD257" t="e">
        <f>AND('Additional Services'!E10,"AAAAAF/0+R0=")</f>
        <v>#VALUE!</v>
      </c>
      <c r="AE257" t="e">
        <f>AND('Additional Services'!F10,"AAAAAF/0+R4=")</f>
        <v>#VALUE!</v>
      </c>
      <c r="AF257" t="e">
        <f>AND('Additional Services'!G10,"AAAAAF/0+R8=")</f>
        <v>#VALUE!</v>
      </c>
      <c r="AG257" t="e">
        <f>AND('Additional Services'!H10,"AAAAAF/0+SA=")</f>
        <v>#VALUE!</v>
      </c>
      <c r="AH257" t="e">
        <f>AND('Additional Services'!I10,"AAAAAF/0+SE=")</f>
        <v>#VALUE!</v>
      </c>
      <c r="AI257" t="e">
        <f>AND('Additional Services'!J10,"AAAAAF/0+SI=")</f>
        <v>#VALUE!</v>
      </c>
      <c r="AJ257" t="e">
        <f>AND('Additional Services'!K10,"AAAAAF/0+SM=")</f>
        <v>#VALUE!</v>
      </c>
      <c r="AK257">
        <f>IF('Additional Services'!11:11,"AAAAAF/0+SQ=",0)</f>
        <v>0</v>
      </c>
      <c r="AL257" t="e">
        <f>AND('Additional Services'!#REF!,"AAAAAF/0+SU=")</f>
        <v>#REF!</v>
      </c>
      <c r="AM257" t="e">
        <f>AND('Additional Services'!#REF!,"AAAAAF/0+SY=")</f>
        <v>#REF!</v>
      </c>
      <c r="AN257" t="e">
        <f>AND('Additional Services'!A11,"AAAAAF/0+Sc=")</f>
        <v>#VALUE!</v>
      </c>
      <c r="AO257" t="e">
        <f>AND('Additional Services'!B11,"AAAAAF/0+Sg=")</f>
        <v>#VALUE!</v>
      </c>
      <c r="AP257" t="e">
        <f>AND('Additional Services'!C11,"AAAAAF/0+Sk=")</f>
        <v>#VALUE!</v>
      </c>
      <c r="AQ257" t="e">
        <f>AND('Additional Services'!D11,"AAAAAF/0+So=")</f>
        <v>#VALUE!</v>
      </c>
      <c r="AR257" t="e">
        <f>AND('Additional Services'!E11,"AAAAAF/0+Ss=")</f>
        <v>#VALUE!</v>
      </c>
      <c r="AS257" t="e">
        <f>AND('Additional Services'!F11,"AAAAAF/0+Sw=")</f>
        <v>#VALUE!</v>
      </c>
      <c r="AT257" t="e">
        <f>AND('Additional Services'!G11,"AAAAAF/0+S0=")</f>
        <v>#VALUE!</v>
      </c>
      <c r="AU257" t="e">
        <f>AND('Additional Services'!H11,"AAAAAF/0+S4=")</f>
        <v>#VALUE!</v>
      </c>
      <c r="AV257" t="e">
        <f>AND('Additional Services'!I11,"AAAAAF/0+S8=")</f>
        <v>#VALUE!</v>
      </c>
      <c r="AW257" t="e">
        <f>AND('Additional Services'!J11,"AAAAAF/0+TA=")</f>
        <v>#VALUE!</v>
      </c>
      <c r="AX257" t="e">
        <f>AND('Additional Services'!K11,"AAAAAF/0+TE=")</f>
        <v>#VALUE!</v>
      </c>
      <c r="AY257">
        <f>IF('Additional Services'!12:12,"AAAAAF/0+TI=",0)</f>
        <v>0</v>
      </c>
      <c r="AZ257" t="e">
        <f>AND('Additional Services'!#REF!,"AAAAAF/0+TM=")</f>
        <v>#REF!</v>
      </c>
      <c r="BA257" t="e">
        <f>AND('Additional Services'!#REF!,"AAAAAF/0+TQ=")</f>
        <v>#REF!</v>
      </c>
      <c r="BB257" t="e">
        <f>AND('Additional Services'!A12,"AAAAAF/0+TU=")</f>
        <v>#VALUE!</v>
      </c>
      <c r="BC257" t="e">
        <f>AND('Additional Services'!B12,"AAAAAF/0+TY=")</f>
        <v>#VALUE!</v>
      </c>
      <c r="BD257" t="e">
        <f>AND('Additional Services'!C12,"AAAAAF/0+Tc=")</f>
        <v>#VALUE!</v>
      </c>
      <c r="BE257" t="e">
        <f>AND('Additional Services'!D12,"AAAAAF/0+Tg=")</f>
        <v>#VALUE!</v>
      </c>
      <c r="BF257" t="e">
        <f>AND('Additional Services'!E12,"AAAAAF/0+Tk=")</f>
        <v>#VALUE!</v>
      </c>
      <c r="BG257" t="e">
        <f>AND('Additional Services'!F12,"AAAAAF/0+To=")</f>
        <v>#VALUE!</v>
      </c>
      <c r="BH257" t="e">
        <f>AND('Additional Services'!G12,"AAAAAF/0+Ts=")</f>
        <v>#VALUE!</v>
      </c>
      <c r="BI257" t="e">
        <f>AND('Additional Services'!H12,"AAAAAF/0+Tw=")</f>
        <v>#VALUE!</v>
      </c>
      <c r="BJ257" t="e">
        <f>AND('Additional Services'!I12,"AAAAAF/0+T0=")</f>
        <v>#VALUE!</v>
      </c>
      <c r="BK257" t="e">
        <f>AND('Additional Services'!J12,"AAAAAF/0+T4=")</f>
        <v>#VALUE!</v>
      </c>
      <c r="BL257" t="e">
        <f>AND('Additional Services'!K12,"AAAAAF/0+T8=")</f>
        <v>#VALUE!</v>
      </c>
      <c r="BM257">
        <f>IF('Additional Services'!13:13,"AAAAAF/0+UA=",0)</f>
        <v>0</v>
      </c>
      <c r="BN257" t="e">
        <f>AND('Additional Services'!#REF!,"AAAAAF/0+UE=")</f>
        <v>#REF!</v>
      </c>
      <c r="BO257" t="e">
        <f>AND('Additional Services'!#REF!,"AAAAAF/0+UI=")</f>
        <v>#REF!</v>
      </c>
      <c r="BP257" t="e">
        <f>AND('Additional Services'!A13,"AAAAAF/0+UM=")</f>
        <v>#VALUE!</v>
      </c>
      <c r="BQ257" t="e">
        <f>AND('Additional Services'!B13,"AAAAAF/0+UQ=")</f>
        <v>#VALUE!</v>
      </c>
      <c r="BR257" t="e">
        <f>AND('Additional Services'!C13,"AAAAAF/0+UU=")</f>
        <v>#VALUE!</v>
      </c>
      <c r="BS257" t="e">
        <f>AND('Additional Services'!D13,"AAAAAF/0+UY=")</f>
        <v>#VALUE!</v>
      </c>
      <c r="BT257" t="e">
        <f>AND('Additional Services'!E13,"AAAAAF/0+Uc=")</f>
        <v>#VALUE!</v>
      </c>
      <c r="BU257" t="e">
        <f>AND('Additional Services'!F13,"AAAAAF/0+Ug=")</f>
        <v>#VALUE!</v>
      </c>
      <c r="BV257" t="e">
        <f>AND('Additional Services'!G13,"AAAAAF/0+Uk=")</f>
        <v>#VALUE!</v>
      </c>
      <c r="BW257" t="e">
        <f>AND('Additional Services'!H13,"AAAAAF/0+Uo=")</f>
        <v>#VALUE!</v>
      </c>
      <c r="BX257" t="e">
        <f>AND('Additional Services'!I13,"AAAAAF/0+Us=")</f>
        <v>#VALUE!</v>
      </c>
      <c r="BY257" t="e">
        <f>AND('Additional Services'!J13,"AAAAAF/0+Uw=")</f>
        <v>#VALUE!</v>
      </c>
      <c r="BZ257" t="e">
        <f>AND('Additional Services'!K13,"AAAAAF/0+U0=")</f>
        <v>#VALUE!</v>
      </c>
      <c r="CA257">
        <f>IF('Additional Services'!14:14,"AAAAAF/0+U4=",0)</f>
        <v>0</v>
      </c>
      <c r="CB257" t="e">
        <f>AND('Additional Services'!#REF!,"AAAAAF/0+U8=")</f>
        <v>#REF!</v>
      </c>
      <c r="CC257" t="e">
        <f>AND('Additional Services'!#REF!,"AAAAAF/0+VA=")</f>
        <v>#REF!</v>
      </c>
      <c r="CD257" t="e">
        <f>AND('Additional Services'!A14,"AAAAAF/0+VE=")</f>
        <v>#VALUE!</v>
      </c>
      <c r="CE257" t="e">
        <f>AND('Additional Services'!B14,"AAAAAF/0+VI=")</f>
        <v>#VALUE!</v>
      </c>
      <c r="CF257" t="e">
        <f>AND('Additional Services'!C14,"AAAAAF/0+VM=")</f>
        <v>#VALUE!</v>
      </c>
      <c r="CG257" t="e">
        <f>AND('Additional Services'!D14,"AAAAAF/0+VQ=")</f>
        <v>#VALUE!</v>
      </c>
      <c r="CH257" t="e">
        <f>AND('Additional Services'!E14,"AAAAAF/0+VU=")</f>
        <v>#VALUE!</v>
      </c>
      <c r="CI257" t="e">
        <f>AND('Additional Services'!F14,"AAAAAF/0+VY=")</f>
        <v>#VALUE!</v>
      </c>
      <c r="CJ257" t="e">
        <f>AND('Additional Services'!G14,"AAAAAF/0+Vc=")</f>
        <v>#VALUE!</v>
      </c>
      <c r="CK257" t="e">
        <f>AND('Additional Services'!H14,"AAAAAF/0+Vg=")</f>
        <v>#VALUE!</v>
      </c>
      <c r="CL257" t="e">
        <f>AND('Additional Services'!I14,"AAAAAF/0+Vk=")</f>
        <v>#VALUE!</v>
      </c>
      <c r="CM257" t="e">
        <f>AND('Additional Services'!J14,"AAAAAF/0+Vo=")</f>
        <v>#VALUE!</v>
      </c>
      <c r="CN257" t="e">
        <f>AND('Additional Services'!K14,"AAAAAF/0+Vs=")</f>
        <v>#VALUE!</v>
      </c>
      <c r="CO257">
        <f>IF('Additional Services'!15:15,"AAAAAF/0+Vw=",0)</f>
        <v>0</v>
      </c>
      <c r="CP257" t="e">
        <f>AND('Additional Services'!#REF!,"AAAAAF/0+V0=")</f>
        <v>#REF!</v>
      </c>
      <c r="CQ257" t="e">
        <f>AND('Additional Services'!#REF!,"AAAAAF/0+V4=")</f>
        <v>#REF!</v>
      </c>
      <c r="CR257" t="e">
        <f>AND('Additional Services'!A15,"AAAAAF/0+V8=")</f>
        <v>#VALUE!</v>
      </c>
      <c r="CS257" t="e">
        <f>AND('Additional Services'!B15,"AAAAAF/0+WA=")</f>
        <v>#VALUE!</v>
      </c>
      <c r="CT257" t="e">
        <f>AND('Additional Services'!C15,"AAAAAF/0+WE=")</f>
        <v>#VALUE!</v>
      </c>
      <c r="CU257" t="e">
        <f>AND('Additional Services'!D15,"AAAAAF/0+WI=")</f>
        <v>#VALUE!</v>
      </c>
      <c r="CV257" t="e">
        <f>AND('Additional Services'!E15,"AAAAAF/0+WM=")</f>
        <v>#VALUE!</v>
      </c>
      <c r="CW257" t="e">
        <f>AND('Additional Services'!F15,"AAAAAF/0+WQ=")</f>
        <v>#VALUE!</v>
      </c>
      <c r="CX257" t="e">
        <f>AND('Additional Services'!G15,"AAAAAF/0+WU=")</f>
        <v>#VALUE!</v>
      </c>
      <c r="CY257" t="e">
        <f>AND('Additional Services'!H15,"AAAAAF/0+WY=")</f>
        <v>#VALUE!</v>
      </c>
      <c r="CZ257" t="e">
        <f>AND('Additional Services'!I15,"AAAAAF/0+Wc=")</f>
        <v>#VALUE!</v>
      </c>
      <c r="DA257" t="e">
        <f>AND('Additional Services'!J15,"AAAAAF/0+Wg=")</f>
        <v>#VALUE!</v>
      </c>
      <c r="DB257" t="e">
        <f>AND('Additional Services'!K15,"AAAAAF/0+Wk=")</f>
        <v>#VALUE!</v>
      </c>
      <c r="DC257" t="e">
        <f>IF(Onsite!#REF!,"AAAAAF/0+Wo=",0)</f>
        <v>#REF!</v>
      </c>
      <c r="DD257" t="e">
        <f>AND(Onsite!#REF!,"AAAAAF/0+Ws=")</f>
        <v>#REF!</v>
      </c>
      <c r="DE257" t="e">
        <f>AND(Onsite!#REF!,"AAAAAF/0+Ww=")</f>
        <v>#REF!</v>
      </c>
      <c r="DF257" t="e">
        <f>AND(Onsite!#REF!,"AAAAAF/0+W0=")</f>
        <v>#REF!</v>
      </c>
      <c r="DG257" t="e">
        <f>AND(Onsite!#REF!,"AAAAAF/0+W4=")</f>
        <v>#REF!</v>
      </c>
      <c r="DH257" t="e">
        <f>AND(Onsite!#REF!,"AAAAAF/0+W8=")</f>
        <v>#REF!</v>
      </c>
      <c r="DI257" t="e">
        <f>AND(Onsite!#REF!,"AAAAAF/0+XA=")</f>
        <v>#REF!</v>
      </c>
      <c r="DJ257" t="e">
        <f>AND(Onsite!#REF!,"AAAAAF/0+XE=")</f>
        <v>#REF!</v>
      </c>
      <c r="DK257" t="e">
        <f>AND(Onsite!#REF!,"AAAAAF/0+XI=")</f>
        <v>#REF!</v>
      </c>
      <c r="DL257" t="e">
        <f>AND(Onsite!#REF!,"AAAAAF/0+XM=")</f>
        <v>#REF!</v>
      </c>
      <c r="DM257" t="e">
        <f>AND(Onsite!#REF!,"AAAAAF/0+XQ=")</f>
        <v>#REF!</v>
      </c>
      <c r="DN257" t="e">
        <f>AND(Onsite!#REF!,"AAAAAF/0+XU=")</f>
        <v>#REF!</v>
      </c>
      <c r="DO257" t="e">
        <f>AND(Onsite!#REF!,"AAAAAF/0+XY=")</f>
        <v>#REF!</v>
      </c>
      <c r="DP257" t="e">
        <f>AND(Onsite!#REF!,"AAAAAF/0+Xc=")</f>
        <v>#REF!</v>
      </c>
      <c r="DQ257" t="e">
        <f>IF(Onsite!#REF!,"AAAAAF/0+Xg=",0)</f>
        <v>#REF!</v>
      </c>
      <c r="DR257" t="e">
        <f>AND(Onsite!#REF!,"AAAAAF/0+Xk=")</f>
        <v>#REF!</v>
      </c>
      <c r="DS257" t="e">
        <f>AND(Onsite!#REF!,"AAAAAF/0+Xo=")</f>
        <v>#REF!</v>
      </c>
      <c r="DT257" t="e">
        <f>AND(Onsite!#REF!,"AAAAAF/0+Xs=")</f>
        <v>#REF!</v>
      </c>
      <c r="DU257" t="e">
        <f>AND(Onsite!#REF!,"AAAAAF/0+Xw=")</f>
        <v>#REF!</v>
      </c>
      <c r="DV257" t="e">
        <f>AND(Onsite!#REF!,"AAAAAF/0+X0=")</f>
        <v>#REF!</v>
      </c>
      <c r="DW257" t="e">
        <f>AND(Onsite!#REF!,"AAAAAF/0+X4=")</f>
        <v>#REF!</v>
      </c>
      <c r="DX257" t="e">
        <f>AND(Onsite!#REF!,"AAAAAF/0+X8=")</f>
        <v>#REF!</v>
      </c>
      <c r="DY257" t="e">
        <f>AND(Onsite!#REF!,"AAAAAF/0+YA=")</f>
        <v>#REF!</v>
      </c>
      <c r="DZ257" t="e">
        <f>AND(Onsite!#REF!,"AAAAAF/0+YE=")</f>
        <v>#REF!</v>
      </c>
      <c r="EA257" t="e">
        <f>AND(Onsite!#REF!,"AAAAAF/0+YI=")</f>
        <v>#REF!</v>
      </c>
      <c r="EB257" t="e">
        <f>AND(Onsite!#REF!,"AAAAAF/0+YM=")</f>
        <v>#REF!</v>
      </c>
      <c r="EC257" t="e">
        <f>AND(Onsite!#REF!,"AAAAAF/0+YQ=")</f>
        <v>#REF!</v>
      </c>
      <c r="ED257" t="e">
        <f>AND(Onsite!#REF!,"AAAAAF/0+YU=")</f>
        <v>#REF!</v>
      </c>
      <c r="EE257" t="e">
        <f>IF(Onsite!#REF!,"AAAAAF/0+YY=",0)</f>
        <v>#REF!</v>
      </c>
      <c r="EF257" t="e">
        <f>AND(Onsite!#REF!,"AAAAAF/0+Yc=")</f>
        <v>#REF!</v>
      </c>
      <c r="EG257" t="e">
        <f>AND(Onsite!#REF!,"AAAAAF/0+Yg=")</f>
        <v>#REF!</v>
      </c>
      <c r="EH257" t="e">
        <f>AND(Onsite!#REF!,"AAAAAF/0+Yk=")</f>
        <v>#REF!</v>
      </c>
      <c r="EI257" t="e">
        <f>AND(Onsite!#REF!,"AAAAAF/0+Yo=")</f>
        <v>#REF!</v>
      </c>
      <c r="EJ257" t="e">
        <f>AND(Onsite!#REF!,"AAAAAF/0+Ys=")</f>
        <v>#REF!</v>
      </c>
      <c r="EK257" t="e">
        <f>AND(Onsite!#REF!,"AAAAAF/0+Yw=")</f>
        <v>#REF!</v>
      </c>
      <c r="EL257" t="e">
        <f>AND(Onsite!#REF!,"AAAAAF/0+Y0=")</f>
        <v>#REF!</v>
      </c>
      <c r="EM257" t="e">
        <f>AND(Onsite!#REF!,"AAAAAF/0+Y4=")</f>
        <v>#REF!</v>
      </c>
      <c r="EN257" t="e">
        <f>AND(Onsite!#REF!,"AAAAAF/0+Y8=")</f>
        <v>#REF!</v>
      </c>
      <c r="EO257" t="e">
        <f>AND(Onsite!#REF!,"AAAAAF/0+ZA=")</f>
        <v>#REF!</v>
      </c>
      <c r="EP257" t="e">
        <f>AND(Onsite!#REF!,"AAAAAF/0+ZE=")</f>
        <v>#REF!</v>
      </c>
      <c r="EQ257" t="e">
        <f>AND(Onsite!#REF!,"AAAAAF/0+ZI=")</f>
        <v>#REF!</v>
      </c>
      <c r="ER257" t="e">
        <f>AND(Onsite!#REF!,"AAAAAF/0+ZM=")</f>
        <v>#REF!</v>
      </c>
      <c r="ES257" t="e">
        <f>IF(Onsite!#REF!,"AAAAAF/0+ZQ=",0)</f>
        <v>#REF!</v>
      </c>
      <c r="ET257" t="e">
        <f>AND(Onsite!#REF!,"AAAAAF/0+ZU=")</f>
        <v>#REF!</v>
      </c>
      <c r="EU257" t="e">
        <f>AND(Onsite!#REF!,"AAAAAF/0+ZY=")</f>
        <v>#REF!</v>
      </c>
      <c r="EV257" t="e">
        <f>AND(Onsite!#REF!,"AAAAAF/0+Zc=")</f>
        <v>#REF!</v>
      </c>
      <c r="EW257" t="e">
        <f>AND(Onsite!#REF!,"AAAAAF/0+Zg=")</f>
        <v>#REF!</v>
      </c>
      <c r="EX257" t="e">
        <f>AND(Onsite!#REF!,"AAAAAF/0+Zk=")</f>
        <v>#REF!</v>
      </c>
      <c r="EY257" t="e">
        <f>AND(Onsite!#REF!,"AAAAAF/0+Zo=")</f>
        <v>#REF!</v>
      </c>
      <c r="EZ257" t="e">
        <f>AND(Onsite!#REF!,"AAAAAF/0+Zs=")</f>
        <v>#REF!</v>
      </c>
      <c r="FA257" t="e">
        <f>AND(Onsite!#REF!,"AAAAAF/0+Zw=")</f>
        <v>#REF!</v>
      </c>
      <c r="FB257" t="e">
        <f>AND(Onsite!#REF!,"AAAAAF/0+Z0=")</f>
        <v>#REF!</v>
      </c>
      <c r="FC257" t="e">
        <f>AND(Onsite!#REF!,"AAAAAF/0+Z4=")</f>
        <v>#REF!</v>
      </c>
      <c r="FD257" t="e">
        <f>AND(Onsite!#REF!,"AAAAAF/0+Z8=")</f>
        <v>#REF!</v>
      </c>
      <c r="FE257" t="e">
        <f>AND(Onsite!#REF!,"AAAAAF/0+aA=")</f>
        <v>#REF!</v>
      </c>
      <c r="FF257" t="e">
        <f>AND(Onsite!#REF!,"AAAAAF/0+aE=")</f>
        <v>#REF!</v>
      </c>
      <c r="FG257" t="e">
        <f>IF(Onsite!#REF!,"AAAAAF/0+aI=",0)</f>
        <v>#REF!</v>
      </c>
      <c r="FH257" t="e">
        <f>AND(Onsite!#REF!,"AAAAAF/0+aM=")</f>
        <v>#REF!</v>
      </c>
      <c r="FI257" t="e">
        <f>AND(Onsite!#REF!,"AAAAAF/0+aQ=")</f>
        <v>#REF!</v>
      </c>
      <c r="FJ257" t="e">
        <f>AND(Onsite!#REF!,"AAAAAF/0+aU=")</f>
        <v>#REF!</v>
      </c>
      <c r="FK257" t="e">
        <f>AND(Onsite!#REF!,"AAAAAF/0+aY=")</f>
        <v>#REF!</v>
      </c>
      <c r="FL257" t="e">
        <f>AND(Onsite!#REF!,"AAAAAF/0+ac=")</f>
        <v>#REF!</v>
      </c>
      <c r="FM257" t="e">
        <f>AND(Onsite!#REF!,"AAAAAF/0+ag=")</f>
        <v>#REF!</v>
      </c>
      <c r="FN257" t="e">
        <f>AND(Onsite!#REF!,"AAAAAF/0+ak=")</f>
        <v>#REF!</v>
      </c>
      <c r="FO257" t="e">
        <f>AND(Onsite!#REF!,"AAAAAF/0+ao=")</f>
        <v>#REF!</v>
      </c>
      <c r="FP257" t="e">
        <f>AND(Onsite!#REF!,"AAAAAF/0+as=")</f>
        <v>#REF!</v>
      </c>
      <c r="FQ257" t="e">
        <f>AND(Onsite!#REF!,"AAAAAF/0+aw=")</f>
        <v>#REF!</v>
      </c>
      <c r="FR257" t="e">
        <f>AND(Onsite!#REF!,"AAAAAF/0+a0=")</f>
        <v>#REF!</v>
      </c>
      <c r="FS257" t="e">
        <f>AND(Onsite!#REF!,"AAAAAF/0+a4=")</f>
        <v>#REF!</v>
      </c>
      <c r="FT257" t="e">
        <f>AND(Onsite!#REF!,"AAAAAF/0+a8=")</f>
        <v>#REF!</v>
      </c>
      <c r="FU257" t="e">
        <f>IF(Onsite!#REF!,"AAAAAF/0+bA=",0)</f>
        <v>#REF!</v>
      </c>
      <c r="FV257" t="e">
        <f>AND(Onsite!#REF!,"AAAAAF/0+bE=")</f>
        <v>#REF!</v>
      </c>
      <c r="FW257" t="e">
        <f>AND(Onsite!#REF!,"AAAAAF/0+bI=")</f>
        <v>#REF!</v>
      </c>
      <c r="FX257" t="e">
        <f>AND(Onsite!#REF!,"AAAAAF/0+bM=")</f>
        <v>#REF!</v>
      </c>
      <c r="FY257" t="e">
        <f>AND(Onsite!#REF!,"AAAAAF/0+bQ=")</f>
        <v>#REF!</v>
      </c>
      <c r="FZ257" t="e">
        <f>AND(Onsite!#REF!,"AAAAAF/0+bU=")</f>
        <v>#REF!</v>
      </c>
      <c r="GA257" t="e">
        <f>AND(Onsite!#REF!,"AAAAAF/0+bY=")</f>
        <v>#REF!</v>
      </c>
      <c r="GB257" t="e">
        <f>AND(Onsite!#REF!,"AAAAAF/0+bc=")</f>
        <v>#REF!</v>
      </c>
      <c r="GC257" t="e">
        <f>AND(Onsite!#REF!,"AAAAAF/0+bg=")</f>
        <v>#REF!</v>
      </c>
      <c r="GD257" t="e">
        <f>AND(Onsite!#REF!,"AAAAAF/0+bk=")</f>
        <v>#REF!</v>
      </c>
      <c r="GE257" t="e">
        <f>AND(Onsite!#REF!,"AAAAAF/0+bo=")</f>
        <v>#REF!</v>
      </c>
      <c r="GF257" t="e">
        <f>AND(Onsite!#REF!,"AAAAAF/0+bs=")</f>
        <v>#REF!</v>
      </c>
      <c r="GG257" t="e">
        <f>AND(Onsite!#REF!,"AAAAAF/0+bw=")</f>
        <v>#REF!</v>
      </c>
      <c r="GH257" t="e">
        <f>AND(Onsite!#REF!,"AAAAAF/0+b0=")</f>
        <v>#REF!</v>
      </c>
      <c r="GI257" t="e">
        <f>IF(Onsite!#REF!,"AAAAAF/0+b4=",0)</f>
        <v>#REF!</v>
      </c>
      <c r="GJ257" t="e">
        <f>AND(Onsite!#REF!,"AAAAAF/0+b8=")</f>
        <v>#REF!</v>
      </c>
      <c r="GK257" t="e">
        <f>AND(Onsite!#REF!,"AAAAAF/0+cA=")</f>
        <v>#REF!</v>
      </c>
      <c r="GL257" t="e">
        <f>AND(Onsite!#REF!,"AAAAAF/0+cE=")</f>
        <v>#REF!</v>
      </c>
      <c r="GM257" t="e">
        <f>AND(Onsite!#REF!,"AAAAAF/0+cI=")</f>
        <v>#REF!</v>
      </c>
      <c r="GN257" t="e">
        <f>AND(Onsite!#REF!,"AAAAAF/0+cM=")</f>
        <v>#REF!</v>
      </c>
      <c r="GO257" t="e">
        <f>AND(Onsite!#REF!,"AAAAAF/0+cQ=")</f>
        <v>#REF!</v>
      </c>
      <c r="GP257" t="e">
        <f>AND(Onsite!#REF!,"AAAAAF/0+cU=")</f>
        <v>#REF!</v>
      </c>
      <c r="GQ257" t="e">
        <f>AND(Onsite!#REF!,"AAAAAF/0+cY=")</f>
        <v>#REF!</v>
      </c>
      <c r="GR257" t="e">
        <f>AND(Onsite!#REF!,"AAAAAF/0+cc=")</f>
        <v>#REF!</v>
      </c>
      <c r="GS257" t="e">
        <f>AND(Onsite!#REF!,"AAAAAF/0+cg=")</f>
        <v>#REF!</v>
      </c>
      <c r="GT257" t="e">
        <f>AND(Onsite!#REF!,"AAAAAF/0+ck=")</f>
        <v>#REF!</v>
      </c>
      <c r="GU257" t="e">
        <f>AND(Onsite!#REF!,"AAAAAF/0+co=")</f>
        <v>#REF!</v>
      </c>
      <c r="GV257" t="e">
        <f>AND(Onsite!#REF!,"AAAAAF/0+cs=")</f>
        <v>#REF!</v>
      </c>
      <c r="GW257" t="e">
        <f>IF(Onsite!#REF!,"AAAAAF/0+cw=",0)</f>
        <v>#REF!</v>
      </c>
      <c r="GX257" t="e">
        <f>AND(Onsite!#REF!,"AAAAAF/0+c0=")</f>
        <v>#REF!</v>
      </c>
      <c r="GY257" t="e">
        <f>AND(Onsite!#REF!,"AAAAAF/0+c4=")</f>
        <v>#REF!</v>
      </c>
      <c r="GZ257" t="e">
        <f>AND(Onsite!#REF!,"AAAAAF/0+c8=")</f>
        <v>#REF!</v>
      </c>
      <c r="HA257" t="e">
        <f>AND(Onsite!#REF!,"AAAAAF/0+dA=")</f>
        <v>#REF!</v>
      </c>
      <c r="HB257" t="e">
        <f>AND(Onsite!#REF!,"AAAAAF/0+dE=")</f>
        <v>#REF!</v>
      </c>
      <c r="HC257" t="e">
        <f>AND(Onsite!#REF!,"AAAAAF/0+dI=")</f>
        <v>#REF!</v>
      </c>
      <c r="HD257" t="e">
        <f>AND(Onsite!#REF!,"AAAAAF/0+dM=")</f>
        <v>#REF!</v>
      </c>
      <c r="HE257" t="e">
        <f>AND(Onsite!#REF!,"AAAAAF/0+dQ=")</f>
        <v>#REF!</v>
      </c>
      <c r="HF257" t="e">
        <f>AND(Onsite!#REF!,"AAAAAF/0+dU=")</f>
        <v>#REF!</v>
      </c>
      <c r="HG257" t="e">
        <f>AND(Onsite!#REF!,"AAAAAF/0+dY=")</f>
        <v>#REF!</v>
      </c>
      <c r="HH257" t="e">
        <f>AND(Onsite!#REF!,"AAAAAF/0+dc=")</f>
        <v>#REF!</v>
      </c>
      <c r="HI257" t="e">
        <f>AND(Onsite!#REF!,"AAAAAF/0+dg=")</f>
        <v>#REF!</v>
      </c>
      <c r="HJ257" t="e">
        <f>AND(Onsite!#REF!,"AAAAAF/0+dk=")</f>
        <v>#REF!</v>
      </c>
      <c r="HK257" t="e">
        <f>IF(Onsite!#REF!,"AAAAAF/0+do=",0)</f>
        <v>#REF!</v>
      </c>
      <c r="HL257" t="e">
        <f>AND(Onsite!#REF!,"AAAAAF/0+ds=")</f>
        <v>#REF!</v>
      </c>
      <c r="HM257" t="e">
        <f>AND(Onsite!#REF!,"AAAAAF/0+dw=")</f>
        <v>#REF!</v>
      </c>
      <c r="HN257" t="e">
        <f>AND(Onsite!#REF!,"AAAAAF/0+d0=")</f>
        <v>#REF!</v>
      </c>
      <c r="HO257" t="e">
        <f>AND(Onsite!#REF!,"AAAAAF/0+d4=")</f>
        <v>#REF!</v>
      </c>
      <c r="HP257" t="e">
        <f>AND(Onsite!#REF!,"AAAAAF/0+d8=")</f>
        <v>#REF!</v>
      </c>
      <c r="HQ257" t="e">
        <f>AND(Onsite!#REF!,"AAAAAF/0+eA=")</f>
        <v>#REF!</v>
      </c>
      <c r="HR257" t="e">
        <f>AND(Onsite!#REF!,"AAAAAF/0+eE=")</f>
        <v>#REF!</v>
      </c>
      <c r="HS257" t="e">
        <f>AND(Onsite!#REF!,"AAAAAF/0+eI=")</f>
        <v>#REF!</v>
      </c>
      <c r="HT257" t="e">
        <f>AND(Onsite!#REF!,"AAAAAF/0+eM=")</f>
        <v>#REF!</v>
      </c>
      <c r="HU257" t="e">
        <f>AND(Onsite!#REF!,"AAAAAF/0+eQ=")</f>
        <v>#REF!</v>
      </c>
      <c r="HV257" t="e">
        <f>AND(Onsite!#REF!,"AAAAAF/0+eU=")</f>
        <v>#REF!</v>
      </c>
      <c r="HW257" t="e">
        <f>AND(Onsite!#REF!,"AAAAAF/0+eY=")</f>
        <v>#REF!</v>
      </c>
      <c r="HX257" t="e">
        <f>AND(Onsite!#REF!,"AAAAAF/0+ec=")</f>
        <v>#REF!</v>
      </c>
      <c r="HY257" t="e">
        <f>IF(Onsite!#REF!,"AAAAAF/0+eg=",0)</f>
        <v>#REF!</v>
      </c>
      <c r="HZ257" t="e">
        <f>AND(Onsite!#REF!,"AAAAAF/0+ek=")</f>
        <v>#REF!</v>
      </c>
      <c r="IA257" t="e">
        <f>AND(Onsite!#REF!,"AAAAAF/0+eo=")</f>
        <v>#REF!</v>
      </c>
      <c r="IB257" t="e">
        <f>AND(Onsite!#REF!,"AAAAAF/0+es=")</f>
        <v>#REF!</v>
      </c>
      <c r="IC257" t="e">
        <f>AND(Onsite!#REF!,"AAAAAF/0+ew=")</f>
        <v>#REF!</v>
      </c>
      <c r="ID257" t="e">
        <f>AND(Onsite!#REF!,"AAAAAF/0+e0=")</f>
        <v>#REF!</v>
      </c>
      <c r="IE257" t="e">
        <f>AND(Onsite!#REF!,"AAAAAF/0+e4=")</f>
        <v>#REF!</v>
      </c>
      <c r="IF257" t="e">
        <f>AND(Onsite!#REF!,"AAAAAF/0+e8=")</f>
        <v>#REF!</v>
      </c>
      <c r="IG257" t="e">
        <f>AND(Onsite!#REF!,"AAAAAF/0+fA=")</f>
        <v>#REF!</v>
      </c>
      <c r="IH257" t="e">
        <f>AND(Onsite!#REF!,"AAAAAF/0+fE=")</f>
        <v>#REF!</v>
      </c>
      <c r="II257" t="e">
        <f>AND(Onsite!#REF!,"AAAAAF/0+fI=")</f>
        <v>#REF!</v>
      </c>
      <c r="IJ257" t="e">
        <f>AND(Onsite!#REF!,"AAAAAF/0+fM=")</f>
        <v>#REF!</v>
      </c>
      <c r="IK257" t="e">
        <f>AND(Onsite!#REF!,"AAAAAF/0+fQ=")</f>
        <v>#REF!</v>
      </c>
      <c r="IL257" t="e">
        <f>AND(Onsite!#REF!,"AAAAAF/0+fU=")</f>
        <v>#REF!</v>
      </c>
      <c r="IM257" t="e">
        <f>IF(Onsite!#REF!,"AAAAAF/0+fY=",0)</f>
        <v>#REF!</v>
      </c>
      <c r="IN257" t="e">
        <f>AND(Onsite!#REF!,"AAAAAF/0+fc=")</f>
        <v>#REF!</v>
      </c>
      <c r="IO257" t="e">
        <f>AND(Onsite!#REF!,"AAAAAF/0+fg=")</f>
        <v>#REF!</v>
      </c>
      <c r="IP257" t="e">
        <f>AND(Onsite!#REF!,"AAAAAF/0+fk=")</f>
        <v>#REF!</v>
      </c>
      <c r="IQ257" t="e">
        <f>AND(Onsite!#REF!,"AAAAAF/0+fo=")</f>
        <v>#REF!</v>
      </c>
      <c r="IR257" t="e">
        <f>AND(Onsite!#REF!,"AAAAAF/0+fs=")</f>
        <v>#REF!</v>
      </c>
      <c r="IS257" t="e">
        <f>AND(Onsite!#REF!,"AAAAAF/0+fw=")</f>
        <v>#REF!</v>
      </c>
      <c r="IT257" t="e">
        <f>AND(Onsite!#REF!,"AAAAAF/0+f0=")</f>
        <v>#REF!</v>
      </c>
      <c r="IU257" t="e">
        <f>AND(Onsite!#REF!,"AAAAAF/0+f4=")</f>
        <v>#REF!</v>
      </c>
      <c r="IV257" t="e">
        <f>AND(Onsite!#REF!,"AAAAAF/0+f8=")</f>
        <v>#REF!</v>
      </c>
    </row>
    <row r="258" spans="1:256" x14ac:dyDescent="0.2">
      <c r="A258" t="e">
        <f>AND(Onsite!#REF!,"AAAAAF5ptwA=")</f>
        <v>#REF!</v>
      </c>
      <c r="B258" t="e">
        <f>AND(Onsite!#REF!,"AAAAAF5ptwE=")</f>
        <v>#REF!</v>
      </c>
      <c r="C258" t="e">
        <f>AND(Onsite!#REF!,"AAAAAF5ptwI=")</f>
        <v>#REF!</v>
      </c>
      <c r="D258" t="e">
        <f>AND(Onsite!#REF!,"AAAAAF5ptwM=")</f>
        <v>#REF!</v>
      </c>
      <c r="E258" t="e">
        <f>IF(Onsite!#REF!,"AAAAAF5ptwQ=",0)</f>
        <v>#REF!</v>
      </c>
      <c r="F258" t="e">
        <f>AND(Onsite!#REF!,"AAAAAF5ptwU=")</f>
        <v>#REF!</v>
      </c>
      <c r="G258" t="e">
        <f>AND(Onsite!#REF!,"AAAAAF5ptwY=")</f>
        <v>#REF!</v>
      </c>
      <c r="H258" t="e">
        <f>AND(Onsite!#REF!,"AAAAAF5ptwc=")</f>
        <v>#REF!</v>
      </c>
      <c r="I258" t="e">
        <f>AND(Onsite!#REF!,"AAAAAF5ptwg=")</f>
        <v>#REF!</v>
      </c>
      <c r="J258" t="e">
        <f>AND(Onsite!#REF!,"AAAAAF5ptwk=")</f>
        <v>#REF!</v>
      </c>
      <c r="K258" t="e">
        <f>AND(Onsite!#REF!,"AAAAAF5ptwo=")</f>
        <v>#REF!</v>
      </c>
      <c r="L258" t="e">
        <f>AND(Onsite!#REF!,"AAAAAF5ptws=")</f>
        <v>#REF!</v>
      </c>
      <c r="M258" t="e">
        <f>AND(Onsite!#REF!,"AAAAAF5ptww=")</f>
        <v>#REF!</v>
      </c>
      <c r="N258" t="e">
        <f>AND(Onsite!#REF!,"AAAAAF5ptw0=")</f>
        <v>#REF!</v>
      </c>
      <c r="O258" t="e">
        <f>AND(Onsite!#REF!,"AAAAAF5ptw4=")</f>
        <v>#REF!</v>
      </c>
      <c r="P258" t="e">
        <f>AND(Onsite!#REF!,"AAAAAF5ptw8=")</f>
        <v>#REF!</v>
      </c>
      <c r="Q258" t="e">
        <f>AND(Onsite!#REF!,"AAAAAF5ptxA=")</f>
        <v>#REF!</v>
      </c>
      <c r="R258" t="e">
        <f>AND(Onsite!#REF!,"AAAAAF5ptxE=")</f>
        <v>#REF!</v>
      </c>
      <c r="S258" t="e">
        <f>IF(Onsite!#REF!,"AAAAAF5ptxI=",0)</f>
        <v>#REF!</v>
      </c>
      <c r="T258" t="e">
        <f>AND(Onsite!#REF!,"AAAAAF5ptxM=")</f>
        <v>#REF!</v>
      </c>
      <c r="U258" t="e">
        <f>AND(Onsite!#REF!,"AAAAAF5ptxQ=")</f>
        <v>#REF!</v>
      </c>
      <c r="V258" t="e">
        <f>AND(Onsite!#REF!,"AAAAAF5ptxU=")</f>
        <v>#REF!</v>
      </c>
      <c r="W258" t="e">
        <f>AND(Onsite!#REF!,"AAAAAF5ptxY=")</f>
        <v>#REF!</v>
      </c>
      <c r="X258" t="e">
        <f>AND(Onsite!#REF!,"AAAAAF5ptxc=")</f>
        <v>#REF!</v>
      </c>
      <c r="Y258" t="e">
        <f>AND(Onsite!#REF!,"AAAAAF5ptxg=")</f>
        <v>#REF!</v>
      </c>
      <c r="Z258" t="e">
        <f>AND(Onsite!#REF!,"AAAAAF5ptxk=")</f>
        <v>#REF!</v>
      </c>
      <c r="AA258" t="e">
        <f>AND(Onsite!#REF!,"AAAAAF5ptxo=")</f>
        <v>#REF!</v>
      </c>
      <c r="AB258" t="e">
        <f>AND(Onsite!#REF!,"AAAAAF5ptxs=")</f>
        <v>#REF!</v>
      </c>
      <c r="AC258" t="e">
        <f>AND(Onsite!#REF!,"AAAAAF5ptxw=")</f>
        <v>#REF!</v>
      </c>
      <c r="AD258" t="e">
        <f>AND(Onsite!#REF!,"AAAAAF5ptx0=")</f>
        <v>#REF!</v>
      </c>
      <c r="AE258" t="e">
        <f>AND(Onsite!#REF!,"AAAAAF5ptx4=")</f>
        <v>#REF!</v>
      </c>
      <c r="AF258" t="e">
        <f>AND(Onsite!#REF!,"AAAAAF5ptx8=")</f>
        <v>#REF!</v>
      </c>
      <c r="AG258" t="e">
        <f>IF(Onsite!#REF!,"AAAAAF5ptyA=",0)</f>
        <v>#REF!</v>
      </c>
      <c r="AH258" t="e">
        <f>AND(Onsite!#REF!,"AAAAAF5ptyE=")</f>
        <v>#REF!</v>
      </c>
      <c r="AI258" t="e">
        <f>AND(Onsite!#REF!,"AAAAAF5ptyI=")</f>
        <v>#REF!</v>
      </c>
      <c r="AJ258" t="e">
        <f>AND(Onsite!#REF!,"AAAAAF5ptyM=")</f>
        <v>#REF!</v>
      </c>
      <c r="AK258" t="e">
        <f>AND(Onsite!#REF!,"AAAAAF5ptyQ=")</f>
        <v>#REF!</v>
      </c>
      <c r="AL258" t="e">
        <f>AND(Onsite!#REF!,"AAAAAF5ptyU=")</f>
        <v>#REF!</v>
      </c>
      <c r="AM258" t="e">
        <f>AND(Onsite!#REF!,"AAAAAF5ptyY=")</f>
        <v>#REF!</v>
      </c>
      <c r="AN258" t="e">
        <f>AND(Onsite!#REF!,"AAAAAF5ptyc=")</f>
        <v>#REF!</v>
      </c>
      <c r="AO258" t="e">
        <f>AND(Onsite!#REF!,"AAAAAF5ptyg=")</f>
        <v>#REF!</v>
      </c>
      <c r="AP258" t="e">
        <f>AND(Onsite!#REF!,"AAAAAF5ptyk=")</f>
        <v>#REF!</v>
      </c>
      <c r="AQ258" t="e">
        <f>AND(Onsite!#REF!,"AAAAAF5ptyo=")</f>
        <v>#REF!</v>
      </c>
      <c r="AR258" t="e">
        <f>AND(Onsite!#REF!,"AAAAAF5ptys=")</f>
        <v>#REF!</v>
      </c>
      <c r="AS258" t="e">
        <f>AND(Onsite!#REF!,"AAAAAF5ptyw=")</f>
        <v>#REF!</v>
      </c>
      <c r="AT258" t="e">
        <f>AND(Onsite!#REF!,"AAAAAF5pty0=")</f>
        <v>#REF!</v>
      </c>
      <c r="AU258" t="e">
        <f>IF(Onsite!#REF!,"AAAAAF5pty4=",0)</f>
        <v>#REF!</v>
      </c>
      <c r="AV258" t="e">
        <f>AND(Onsite!#REF!,"AAAAAF5pty8=")</f>
        <v>#REF!</v>
      </c>
      <c r="AW258" t="e">
        <f>AND(Onsite!#REF!,"AAAAAF5ptzA=")</f>
        <v>#REF!</v>
      </c>
      <c r="AX258" t="e">
        <f>AND(Onsite!#REF!,"AAAAAF5ptzE=")</f>
        <v>#REF!</v>
      </c>
      <c r="AY258" t="e">
        <f>AND(Onsite!#REF!,"AAAAAF5ptzI=")</f>
        <v>#REF!</v>
      </c>
      <c r="AZ258" t="e">
        <f>AND(Onsite!#REF!,"AAAAAF5ptzM=")</f>
        <v>#REF!</v>
      </c>
      <c r="BA258" t="e">
        <f>AND(Onsite!#REF!,"AAAAAF5ptzQ=")</f>
        <v>#REF!</v>
      </c>
      <c r="BB258" t="e">
        <f>AND(Onsite!#REF!,"AAAAAF5ptzU=")</f>
        <v>#REF!</v>
      </c>
      <c r="BC258" t="e">
        <f>AND(Onsite!#REF!,"AAAAAF5ptzY=")</f>
        <v>#REF!</v>
      </c>
      <c r="BD258" t="e">
        <f>AND(Onsite!#REF!,"AAAAAF5ptzc=")</f>
        <v>#REF!</v>
      </c>
      <c r="BE258" t="e">
        <f>AND(Onsite!#REF!,"AAAAAF5ptzg=")</f>
        <v>#REF!</v>
      </c>
      <c r="BF258" t="e">
        <f>AND(Onsite!#REF!,"AAAAAF5ptzk=")</f>
        <v>#REF!</v>
      </c>
      <c r="BG258" t="e">
        <f>AND(Onsite!#REF!,"AAAAAF5ptzo=")</f>
        <v>#REF!</v>
      </c>
      <c r="BH258" t="e">
        <f>AND(Onsite!#REF!,"AAAAAF5ptzs=")</f>
        <v>#REF!</v>
      </c>
      <c r="BI258" t="e">
        <f>IF(Onsite!#REF!,"AAAAAF5ptzw=",0)</f>
        <v>#REF!</v>
      </c>
      <c r="BJ258" t="e">
        <f>AND(Onsite!#REF!,"AAAAAF5ptz0=")</f>
        <v>#REF!</v>
      </c>
      <c r="BK258" t="e">
        <f>AND(Onsite!#REF!,"AAAAAF5ptz4=")</f>
        <v>#REF!</v>
      </c>
      <c r="BL258" t="e">
        <f>AND(Onsite!#REF!,"AAAAAF5ptz8=")</f>
        <v>#REF!</v>
      </c>
      <c r="BM258" t="e">
        <f>AND(Onsite!#REF!,"AAAAAF5pt0A=")</f>
        <v>#REF!</v>
      </c>
      <c r="BN258" t="e">
        <f>AND(Onsite!#REF!,"AAAAAF5pt0E=")</f>
        <v>#REF!</v>
      </c>
      <c r="BO258" t="e">
        <f>AND(Onsite!#REF!,"AAAAAF5pt0I=")</f>
        <v>#REF!</v>
      </c>
      <c r="BP258" t="e">
        <f>AND(Onsite!#REF!,"AAAAAF5pt0M=")</f>
        <v>#REF!</v>
      </c>
      <c r="BQ258" t="e">
        <f>AND(Onsite!#REF!,"AAAAAF5pt0Q=")</f>
        <v>#REF!</v>
      </c>
      <c r="BR258" t="e">
        <f>AND(Onsite!#REF!,"AAAAAF5pt0U=")</f>
        <v>#REF!</v>
      </c>
      <c r="BS258" t="e">
        <f>AND(Onsite!#REF!,"AAAAAF5pt0Y=")</f>
        <v>#REF!</v>
      </c>
      <c r="BT258" t="e">
        <f>AND(Onsite!#REF!,"AAAAAF5pt0c=")</f>
        <v>#REF!</v>
      </c>
      <c r="BU258" t="e">
        <f>AND(Onsite!#REF!,"AAAAAF5pt0g=")</f>
        <v>#REF!</v>
      </c>
      <c r="BV258" t="e">
        <f>AND(Onsite!#REF!,"AAAAAF5pt0k=")</f>
        <v>#REF!</v>
      </c>
      <c r="BW258" t="e">
        <f>IF(Onsite!#REF!,"AAAAAF5pt0o=",0)</f>
        <v>#REF!</v>
      </c>
      <c r="BX258" t="e">
        <f>AND(Onsite!#REF!,"AAAAAF5pt0s=")</f>
        <v>#REF!</v>
      </c>
      <c r="BY258" t="e">
        <f>AND(Onsite!#REF!,"AAAAAF5pt0w=")</f>
        <v>#REF!</v>
      </c>
      <c r="BZ258" t="e">
        <f>AND(Onsite!#REF!,"AAAAAF5pt00=")</f>
        <v>#REF!</v>
      </c>
      <c r="CA258" t="e">
        <f>AND(Onsite!#REF!,"AAAAAF5pt04=")</f>
        <v>#REF!</v>
      </c>
      <c r="CB258" t="e">
        <f>AND(Onsite!#REF!,"AAAAAF5pt08=")</f>
        <v>#REF!</v>
      </c>
      <c r="CC258" t="e">
        <f>AND(Onsite!#REF!,"AAAAAF5pt1A=")</f>
        <v>#REF!</v>
      </c>
      <c r="CD258" t="e">
        <f>AND(Onsite!#REF!,"AAAAAF5pt1E=")</f>
        <v>#REF!</v>
      </c>
      <c r="CE258" t="e">
        <f>AND(Onsite!#REF!,"AAAAAF5pt1I=")</f>
        <v>#REF!</v>
      </c>
      <c r="CF258" t="e">
        <f>AND(Onsite!#REF!,"AAAAAF5pt1M=")</f>
        <v>#REF!</v>
      </c>
      <c r="CG258" t="e">
        <f>AND(Onsite!#REF!,"AAAAAF5pt1Q=")</f>
        <v>#REF!</v>
      </c>
      <c r="CH258" t="e">
        <f>AND(Onsite!#REF!,"AAAAAF5pt1U=")</f>
        <v>#REF!</v>
      </c>
      <c r="CI258" t="e">
        <f>AND(Onsite!#REF!,"AAAAAF5pt1Y=")</f>
        <v>#REF!</v>
      </c>
      <c r="CJ258" t="e">
        <f>AND(Onsite!#REF!,"AAAAAF5pt1c=")</f>
        <v>#REF!</v>
      </c>
      <c r="CK258" t="e">
        <f>IF(Onsite!#REF!,"AAAAAF5pt1g=",0)</f>
        <v>#REF!</v>
      </c>
      <c r="CL258" t="e">
        <f>AND(Onsite!#REF!,"AAAAAF5pt1k=")</f>
        <v>#REF!</v>
      </c>
      <c r="CM258" t="e">
        <f>AND(Onsite!#REF!,"AAAAAF5pt1o=")</f>
        <v>#REF!</v>
      </c>
      <c r="CN258" t="e">
        <f>AND(Onsite!#REF!,"AAAAAF5pt1s=")</f>
        <v>#REF!</v>
      </c>
      <c r="CO258" t="e">
        <f>AND(Onsite!#REF!,"AAAAAF5pt1w=")</f>
        <v>#REF!</v>
      </c>
      <c r="CP258" t="e">
        <f>AND(Onsite!#REF!,"AAAAAF5pt10=")</f>
        <v>#REF!</v>
      </c>
      <c r="CQ258" t="e">
        <f>AND(Onsite!#REF!,"AAAAAF5pt14=")</f>
        <v>#REF!</v>
      </c>
      <c r="CR258" t="e">
        <f>AND(Onsite!#REF!,"AAAAAF5pt18=")</f>
        <v>#REF!</v>
      </c>
      <c r="CS258" t="e">
        <f>AND(Onsite!#REF!,"AAAAAF5pt2A=")</f>
        <v>#REF!</v>
      </c>
      <c r="CT258" t="e">
        <f>AND(Onsite!#REF!,"AAAAAF5pt2E=")</f>
        <v>#REF!</v>
      </c>
      <c r="CU258" t="e">
        <f>AND(Onsite!#REF!,"AAAAAF5pt2I=")</f>
        <v>#REF!</v>
      </c>
      <c r="CV258" t="e">
        <f>AND(Onsite!#REF!,"AAAAAF5pt2M=")</f>
        <v>#REF!</v>
      </c>
      <c r="CW258" t="e">
        <f>AND(Onsite!#REF!,"AAAAAF5pt2Q=")</f>
        <v>#REF!</v>
      </c>
      <c r="CX258" t="e">
        <f>AND(Onsite!#REF!,"AAAAAF5pt2U=")</f>
        <v>#REF!</v>
      </c>
      <c r="CY258" t="e">
        <f>IF(Onsite!#REF!,"AAAAAF5pt2Y=",0)</f>
        <v>#REF!</v>
      </c>
      <c r="CZ258" t="e">
        <f>AND(Onsite!#REF!,"AAAAAF5pt2c=")</f>
        <v>#REF!</v>
      </c>
      <c r="DA258" t="e">
        <f>AND(Onsite!#REF!,"AAAAAF5pt2g=")</f>
        <v>#REF!</v>
      </c>
      <c r="DB258" t="e">
        <f>AND(Onsite!#REF!,"AAAAAF5pt2k=")</f>
        <v>#REF!</v>
      </c>
      <c r="DC258" t="e">
        <f>AND(Onsite!#REF!,"AAAAAF5pt2o=")</f>
        <v>#REF!</v>
      </c>
      <c r="DD258" t="e">
        <f>AND(Onsite!#REF!,"AAAAAF5pt2s=")</f>
        <v>#REF!</v>
      </c>
      <c r="DE258" t="e">
        <f>AND(Onsite!#REF!,"AAAAAF5pt2w=")</f>
        <v>#REF!</v>
      </c>
      <c r="DF258" t="e">
        <f>AND(Onsite!#REF!,"AAAAAF5pt20=")</f>
        <v>#REF!</v>
      </c>
      <c r="DG258" t="e">
        <f>AND(Onsite!#REF!,"AAAAAF5pt24=")</f>
        <v>#REF!</v>
      </c>
      <c r="DH258" t="e">
        <f>AND(Onsite!#REF!,"AAAAAF5pt28=")</f>
        <v>#REF!</v>
      </c>
      <c r="DI258" t="e">
        <f>AND(Onsite!#REF!,"AAAAAF5pt3A=")</f>
        <v>#REF!</v>
      </c>
      <c r="DJ258" t="e">
        <f>AND(Onsite!#REF!,"AAAAAF5pt3E=")</f>
        <v>#REF!</v>
      </c>
      <c r="DK258" t="e">
        <f>AND(Onsite!#REF!,"AAAAAF5pt3I=")</f>
        <v>#REF!</v>
      </c>
      <c r="DL258" t="e">
        <f>AND(Onsite!#REF!,"AAAAAF5pt3M=")</f>
        <v>#REF!</v>
      </c>
      <c r="DM258" t="e">
        <f>IF(Onsite!#REF!,"AAAAAF5pt3Q=",0)</f>
        <v>#REF!</v>
      </c>
      <c r="DN258" t="e">
        <f>AND(Onsite!#REF!,"AAAAAF5pt3U=")</f>
        <v>#REF!</v>
      </c>
      <c r="DO258" t="e">
        <f>AND(Onsite!#REF!,"AAAAAF5pt3Y=")</f>
        <v>#REF!</v>
      </c>
      <c r="DP258" t="e">
        <f>AND(Onsite!#REF!,"AAAAAF5pt3c=")</f>
        <v>#REF!</v>
      </c>
      <c r="DQ258" t="e">
        <f>AND(Onsite!#REF!,"AAAAAF5pt3g=")</f>
        <v>#REF!</v>
      </c>
      <c r="DR258" t="e">
        <f>AND(Onsite!#REF!,"AAAAAF5pt3k=")</f>
        <v>#REF!</v>
      </c>
      <c r="DS258" t="e">
        <f>AND(Onsite!#REF!,"AAAAAF5pt3o=")</f>
        <v>#REF!</v>
      </c>
      <c r="DT258" t="e">
        <f>AND(Onsite!#REF!,"AAAAAF5pt3s=")</f>
        <v>#REF!</v>
      </c>
      <c r="DU258" t="e">
        <f>AND(Onsite!#REF!,"AAAAAF5pt3w=")</f>
        <v>#REF!</v>
      </c>
      <c r="DV258" t="e">
        <f>AND(Onsite!#REF!,"AAAAAF5pt30=")</f>
        <v>#REF!</v>
      </c>
      <c r="DW258" t="e">
        <f>AND(Onsite!#REF!,"AAAAAF5pt34=")</f>
        <v>#REF!</v>
      </c>
      <c r="DX258" t="e">
        <f>AND(Onsite!#REF!,"AAAAAF5pt38=")</f>
        <v>#REF!</v>
      </c>
      <c r="DY258" t="e">
        <f>AND(Onsite!#REF!,"AAAAAF5pt4A=")</f>
        <v>#REF!</v>
      </c>
      <c r="DZ258" t="e">
        <f>AND(Onsite!#REF!,"AAAAAF5pt4E=")</f>
        <v>#REF!</v>
      </c>
      <c r="EA258" t="e">
        <f>IF(Onsite!#REF!,"AAAAAF5pt4I=",0)</f>
        <v>#REF!</v>
      </c>
      <c r="EB258" t="e">
        <f>AND(Onsite!#REF!,"AAAAAF5pt4M=")</f>
        <v>#REF!</v>
      </c>
      <c r="EC258" t="e">
        <f>AND(Onsite!#REF!,"AAAAAF5pt4Q=")</f>
        <v>#REF!</v>
      </c>
      <c r="ED258" t="e">
        <f>AND(Onsite!#REF!,"AAAAAF5pt4U=")</f>
        <v>#REF!</v>
      </c>
      <c r="EE258" t="e">
        <f>AND(Onsite!#REF!,"AAAAAF5pt4Y=")</f>
        <v>#REF!</v>
      </c>
      <c r="EF258" t="e">
        <f>AND(Onsite!#REF!,"AAAAAF5pt4c=")</f>
        <v>#REF!</v>
      </c>
      <c r="EG258" t="e">
        <f>AND(Onsite!#REF!,"AAAAAF5pt4g=")</f>
        <v>#REF!</v>
      </c>
      <c r="EH258" t="e">
        <f>AND(Onsite!#REF!,"AAAAAF5pt4k=")</f>
        <v>#REF!</v>
      </c>
      <c r="EI258" t="e">
        <f>AND(Onsite!#REF!,"AAAAAF5pt4o=")</f>
        <v>#REF!</v>
      </c>
      <c r="EJ258" t="e">
        <f>AND(Onsite!#REF!,"AAAAAF5pt4s=")</f>
        <v>#REF!</v>
      </c>
      <c r="EK258" t="e">
        <f>AND(Onsite!#REF!,"AAAAAF5pt4w=")</f>
        <v>#REF!</v>
      </c>
      <c r="EL258" t="e">
        <f>AND(Onsite!#REF!,"AAAAAF5pt40=")</f>
        <v>#REF!</v>
      </c>
      <c r="EM258" t="e">
        <f>AND(Onsite!#REF!,"AAAAAF5pt44=")</f>
        <v>#REF!</v>
      </c>
      <c r="EN258" t="e">
        <f>AND(Onsite!#REF!,"AAAAAF5pt48=")</f>
        <v>#REF!</v>
      </c>
      <c r="EO258" t="e">
        <f>IF(Onsite!#REF!,"AAAAAF5pt5A=",0)</f>
        <v>#REF!</v>
      </c>
      <c r="EP258" t="e">
        <f>AND(Onsite!#REF!,"AAAAAF5pt5E=")</f>
        <v>#REF!</v>
      </c>
      <c r="EQ258" t="e">
        <f>AND(Onsite!#REF!,"AAAAAF5pt5I=")</f>
        <v>#REF!</v>
      </c>
      <c r="ER258" t="e">
        <f>AND(Onsite!#REF!,"AAAAAF5pt5M=")</f>
        <v>#REF!</v>
      </c>
      <c r="ES258" t="e">
        <f>AND(Onsite!#REF!,"AAAAAF5pt5Q=")</f>
        <v>#REF!</v>
      </c>
      <c r="ET258" t="e">
        <f>AND(Onsite!#REF!,"AAAAAF5pt5U=")</f>
        <v>#REF!</v>
      </c>
      <c r="EU258" t="e">
        <f>AND(Onsite!#REF!,"AAAAAF5pt5Y=")</f>
        <v>#REF!</v>
      </c>
      <c r="EV258" t="e">
        <f>AND(Onsite!#REF!,"AAAAAF5pt5c=")</f>
        <v>#REF!</v>
      </c>
      <c r="EW258" t="e">
        <f>AND(Onsite!#REF!,"AAAAAF5pt5g=")</f>
        <v>#REF!</v>
      </c>
      <c r="EX258" t="e">
        <f>AND(Onsite!#REF!,"AAAAAF5pt5k=")</f>
        <v>#REF!</v>
      </c>
      <c r="EY258" t="e">
        <f>AND(Onsite!#REF!,"AAAAAF5pt5o=")</f>
        <v>#REF!</v>
      </c>
      <c r="EZ258" t="e">
        <f>AND(Onsite!#REF!,"AAAAAF5pt5s=")</f>
        <v>#REF!</v>
      </c>
      <c r="FA258" t="e">
        <f>AND(Onsite!#REF!,"AAAAAF5pt5w=")</f>
        <v>#REF!</v>
      </c>
      <c r="FB258" t="e">
        <f>AND(Onsite!#REF!,"AAAAAF5pt50=")</f>
        <v>#REF!</v>
      </c>
      <c r="FC258" t="e">
        <f>IF(Onsite!#REF!,"AAAAAF5pt54=",0)</f>
        <v>#REF!</v>
      </c>
      <c r="FD258" t="e">
        <f>AND(Onsite!#REF!,"AAAAAF5pt58=")</f>
        <v>#REF!</v>
      </c>
      <c r="FE258" t="e">
        <f>AND(Onsite!#REF!,"AAAAAF5pt6A=")</f>
        <v>#REF!</v>
      </c>
      <c r="FF258" t="e">
        <f>AND(Onsite!#REF!,"AAAAAF5pt6E=")</f>
        <v>#REF!</v>
      </c>
      <c r="FG258" t="e">
        <f>AND(Onsite!#REF!,"AAAAAF5pt6I=")</f>
        <v>#REF!</v>
      </c>
      <c r="FH258" t="e">
        <f>AND(Onsite!#REF!,"AAAAAF5pt6M=")</f>
        <v>#REF!</v>
      </c>
      <c r="FI258" t="e">
        <f>AND(Onsite!#REF!,"AAAAAF5pt6Q=")</f>
        <v>#REF!</v>
      </c>
      <c r="FJ258" t="e">
        <f>AND(Onsite!#REF!,"AAAAAF5pt6U=")</f>
        <v>#REF!</v>
      </c>
      <c r="FK258" t="e">
        <f>AND(Onsite!#REF!,"AAAAAF5pt6Y=")</f>
        <v>#REF!</v>
      </c>
      <c r="FL258" t="e">
        <f>AND(Onsite!#REF!,"AAAAAF5pt6c=")</f>
        <v>#REF!</v>
      </c>
      <c r="FM258" t="e">
        <f>AND(Onsite!#REF!,"AAAAAF5pt6g=")</f>
        <v>#REF!</v>
      </c>
      <c r="FN258" t="e">
        <f>AND(Onsite!#REF!,"AAAAAF5pt6k=")</f>
        <v>#REF!</v>
      </c>
      <c r="FO258" t="e">
        <f>AND(Onsite!#REF!,"AAAAAF5pt6o=")</f>
        <v>#REF!</v>
      </c>
      <c r="FP258" t="e">
        <f>AND(Onsite!#REF!,"AAAAAF5pt6s=")</f>
        <v>#REF!</v>
      </c>
      <c r="FQ258" t="e">
        <f>IF(Onsite!#REF!,"AAAAAF5pt6w=",0)</f>
        <v>#REF!</v>
      </c>
      <c r="FR258" t="e">
        <f>AND(Onsite!#REF!,"AAAAAF5pt60=")</f>
        <v>#REF!</v>
      </c>
      <c r="FS258" t="e">
        <f>AND(Onsite!#REF!,"AAAAAF5pt64=")</f>
        <v>#REF!</v>
      </c>
      <c r="FT258" t="e">
        <f>AND(Onsite!#REF!,"AAAAAF5pt68=")</f>
        <v>#REF!</v>
      </c>
      <c r="FU258" t="e">
        <f>AND(Onsite!#REF!,"AAAAAF5pt7A=")</f>
        <v>#REF!</v>
      </c>
      <c r="FV258" t="e">
        <f>AND(Onsite!#REF!,"AAAAAF5pt7E=")</f>
        <v>#REF!</v>
      </c>
      <c r="FW258" t="e">
        <f>AND(Onsite!#REF!,"AAAAAF5pt7I=")</f>
        <v>#REF!</v>
      </c>
      <c r="FX258" t="e">
        <f>AND(Onsite!#REF!,"AAAAAF5pt7M=")</f>
        <v>#REF!</v>
      </c>
      <c r="FY258" t="e">
        <f>AND(Onsite!#REF!,"AAAAAF5pt7Q=")</f>
        <v>#REF!</v>
      </c>
      <c r="FZ258" t="e">
        <f>AND(Onsite!#REF!,"AAAAAF5pt7U=")</f>
        <v>#REF!</v>
      </c>
      <c r="GA258" t="e">
        <f>AND(Onsite!#REF!,"AAAAAF5pt7Y=")</f>
        <v>#REF!</v>
      </c>
      <c r="GB258" t="e">
        <f>AND(Onsite!#REF!,"AAAAAF5pt7c=")</f>
        <v>#REF!</v>
      </c>
      <c r="GC258" t="e">
        <f>AND(Onsite!#REF!,"AAAAAF5pt7g=")</f>
        <v>#REF!</v>
      </c>
      <c r="GD258" t="e">
        <f>AND(Onsite!#REF!,"AAAAAF5pt7k=")</f>
        <v>#REF!</v>
      </c>
      <c r="GE258" t="e">
        <f>IF(Onsite!#REF!,"AAAAAF5pt7o=",0)</f>
        <v>#REF!</v>
      </c>
      <c r="GF258" t="e">
        <f>AND(Onsite!#REF!,"AAAAAF5pt7s=")</f>
        <v>#REF!</v>
      </c>
      <c r="GG258" t="e">
        <f>AND(Onsite!#REF!,"AAAAAF5pt7w=")</f>
        <v>#REF!</v>
      </c>
      <c r="GH258" t="e">
        <f>AND(Onsite!#REF!,"AAAAAF5pt70=")</f>
        <v>#REF!</v>
      </c>
      <c r="GI258" t="e">
        <f>AND(Onsite!#REF!,"AAAAAF5pt74=")</f>
        <v>#REF!</v>
      </c>
      <c r="GJ258" t="e">
        <f>AND(Onsite!#REF!,"AAAAAF5pt78=")</f>
        <v>#REF!</v>
      </c>
      <c r="GK258" t="e">
        <f>AND(Onsite!#REF!,"AAAAAF5pt8A=")</f>
        <v>#REF!</v>
      </c>
      <c r="GL258" t="e">
        <f>AND(Onsite!#REF!,"AAAAAF5pt8E=")</f>
        <v>#REF!</v>
      </c>
      <c r="GM258" t="e">
        <f>AND(Onsite!#REF!,"AAAAAF5pt8I=")</f>
        <v>#REF!</v>
      </c>
      <c r="GN258" t="e">
        <f>AND(Onsite!#REF!,"AAAAAF5pt8M=")</f>
        <v>#REF!</v>
      </c>
      <c r="GO258" t="e">
        <f>AND(Onsite!#REF!,"AAAAAF5pt8Q=")</f>
        <v>#REF!</v>
      </c>
      <c r="GP258" t="e">
        <f>AND(Onsite!#REF!,"AAAAAF5pt8U=")</f>
        <v>#REF!</v>
      </c>
      <c r="GQ258" t="e">
        <f>AND(Onsite!#REF!,"AAAAAF5pt8Y=")</f>
        <v>#REF!</v>
      </c>
      <c r="GR258" t="e">
        <f>AND(Onsite!#REF!,"AAAAAF5pt8c=")</f>
        <v>#REF!</v>
      </c>
      <c r="GS258" t="e">
        <f>IF(Onsite!#REF!,"AAAAAF5pt8g=",0)</f>
        <v>#REF!</v>
      </c>
      <c r="GT258" t="e">
        <f>AND(Onsite!#REF!,"AAAAAF5pt8k=")</f>
        <v>#REF!</v>
      </c>
      <c r="GU258" t="e">
        <f>AND(Onsite!#REF!,"AAAAAF5pt8o=")</f>
        <v>#REF!</v>
      </c>
      <c r="GV258" t="e">
        <f>AND(Onsite!#REF!,"AAAAAF5pt8s=")</f>
        <v>#REF!</v>
      </c>
      <c r="GW258" t="e">
        <f>AND(Onsite!#REF!,"AAAAAF5pt8w=")</f>
        <v>#REF!</v>
      </c>
      <c r="GX258" t="e">
        <f>AND(Onsite!#REF!,"AAAAAF5pt80=")</f>
        <v>#REF!</v>
      </c>
      <c r="GY258" t="e">
        <f>AND(Onsite!#REF!,"AAAAAF5pt84=")</f>
        <v>#REF!</v>
      </c>
      <c r="GZ258" t="e">
        <f>AND(Onsite!#REF!,"AAAAAF5pt88=")</f>
        <v>#REF!</v>
      </c>
      <c r="HA258" t="e">
        <f>AND(Onsite!#REF!,"AAAAAF5pt9A=")</f>
        <v>#REF!</v>
      </c>
      <c r="HB258" t="e">
        <f>AND(Onsite!#REF!,"AAAAAF5pt9E=")</f>
        <v>#REF!</v>
      </c>
      <c r="HC258" t="e">
        <f>AND(Onsite!#REF!,"AAAAAF5pt9I=")</f>
        <v>#REF!</v>
      </c>
      <c r="HD258" t="e">
        <f>AND(Onsite!#REF!,"AAAAAF5pt9M=")</f>
        <v>#REF!</v>
      </c>
      <c r="HE258" t="e">
        <f>AND(Onsite!#REF!,"AAAAAF5pt9Q=")</f>
        <v>#REF!</v>
      </c>
      <c r="HF258" t="e">
        <f>AND(Onsite!#REF!,"AAAAAF5pt9U=")</f>
        <v>#REF!</v>
      </c>
      <c r="HG258" t="e">
        <f>IF(Onsite!#REF!,"AAAAAF5pt9Y=",0)</f>
        <v>#REF!</v>
      </c>
      <c r="HH258" t="e">
        <f>AND(Onsite!#REF!,"AAAAAF5pt9c=")</f>
        <v>#REF!</v>
      </c>
      <c r="HI258" t="e">
        <f>AND(Onsite!#REF!,"AAAAAF5pt9g=")</f>
        <v>#REF!</v>
      </c>
      <c r="HJ258" t="e">
        <f>AND(Onsite!#REF!,"AAAAAF5pt9k=")</f>
        <v>#REF!</v>
      </c>
      <c r="HK258" t="e">
        <f>AND(Onsite!#REF!,"AAAAAF5pt9o=")</f>
        <v>#REF!</v>
      </c>
      <c r="HL258" t="e">
        <f>AND(Onsite!#REF!,"AAAAAF5pt9s=")</f>
        <v>#REF!</v>
      </c>
      <c r="HM258" t="e">
        <f>AND(Onsite!#REF!,"AAAAAF5pt9w=")</f>
        <v>#REF!</v>
      </c>
      <c r="HN258" t="e">
        <f>AND(Onsite!#REF!,"AAAAAF5pt90=")</f>
        <v>#REF!</v>
      </c>
      <c r="HO258" t="e">
        <f>AND(Onsite!#REF!,"AAAAAF5pt94=")</f>
        <v>#REF!</v>
      </c>
      <c r="HP258" t="e">
        <f>AND(Onsite!#REF!,"AAAAAF5pt98=")</f>
        <v>#REF!</v>
      </c>
      <c r="HQ258" t="e">
        <f>AND(Onsite!#REF!,"AAAAAF5pt+A=")</f>
        <v>#REF!</v>
      </c>
      <c r="HR258" t="e">
        <f>AND(Onsite!#REF!,"AAAAAF5pt+E=")</f>
        <v>#REF!</v>
      </c>
      <c r="HS258" t="e">
        <f>AND(Onsite!#REF!,"AAAAAF5pt+I=")</f>
        <v>#REF!</v>
      </c>
      <c r="HT258" t="e">
        <f>AND(Onsite!#REF!,"AAAAAF5pt+M=")</f>
        <v>#REF!</v>
      </c>
      <c r="HU258" t="e">
        <f>IF(Onsite!#REF!,"AAAAAF5pt+Q=",0)</f>
        <v>#REF!</v>
      </c>
      <c r="HV258" t="e">
        <f>AND(Onsite!#REF!,"AAAAAF5pt+U=")</f>
        <v>#REF!</v>
      </c>
      <c r="HW258" t="e">
        <f>AND(Onsite!#REF!,"AAAAAF5pt+Y=")</f>
        <v>#REF!</v>
      </c>
      <c r="HX258" t="e">
        <f>AND(Onsite!#REF!,"AAAAAF5pt+c=")</f>
        <v>#REF!</v>
      </c>
      <c r="HY258" t="e">
        <f>AND(Onsite!#REF!,"AAAAAF5pt+g=")</f>
        <v>#REF!</v>
      </c>
      <c r="HZ258" t="e">
        <f>AND(Onsite!#REF!,"AAAAAF5pt+k=")</f>
        <v>#REF!</v>
      </c>
      <c r="IA258" t="e">
        <f>AND(Onsite!#REF!,"AAAAAF5pt+o=")</f>
        <v>#REF!</v>
      </c>
      <c r="IB258" t="e">
        <f>AND(Onsite!#REF!,"AAAAAF5pt+s=")</f>
        <v>#REF!</v>
      </c>
      <c r="IC258" t="e">
        <f>AND(Onsite!#REF!,"AAAAAF5pt+w=")</f>
        <v>#REF!</v>
      </c>
      <c r="ID258" t="e">
        <f>AND(Onsite!#REF!,"AAAAAF5pt+0=")</f>
        <v>#REF!</v>
      </c>
      <c r="IE258" t="e">
        <f>AND(Onsite!#REF!,"AAAAAF5pt+4=")</f>
        <v>#REF!</v>
      </c>
      <c r="IF258" t="e">
        <f>AND(Onsite!#REF!,"AAAAAF5pt+8=")</f>
        <v>#REF!</v>
      </c>
      <c r="IG258" t="e">
        <f>AND(Onsite!#REF!,"AAAAAF5pt/A=")</f>
        <v>#REF!</v>
      </c>
      <c r="IH258" t="e">
        <f>AND(Onsite!#REF!,"AAAAAF5pt/E=")</f>
        <v>#REF!</v>
      </c>
      <c r="II258" t="e">
        <f>IF(Onsite!#REF!,"AAAAAF5pt/I=",0)</f>
        <v>#REF!</v>
      </c>
      <c r="IJ258" t="e">
        <f>AND(Onsite!#REF!,"AAAAAF5pt/M=")</f>
        <v>#REF!</v>
      </c>
      <c r="IK258" t="e">
        <f>AND(Onsite!#REF!,"AAAAAF5pt/Q=")</f>
        <v>#REF!</v>
      </c>
      <c r="IL258" t="e">
        <f>AND(Onsite!#REF!,"AAAAAF5pt/U=")</f>
        <v>#REF!</v>
      </c>
      <c r="IM258" t="e">
        <f>AND(Onsite!#REF!,"AAAAAF5pt/Y=")</f>
        <v>#REF!</v>
      </c>
      <c r="IN258" t="e">
        <f>AND(Onsite!#REF!,"AAAAAF5pt/c=")</f>
        <v>#REF!</v>
      </c>
      <c r="IO258" t="e">
        <f>AND(Onsite!#REF!,"AAAAAF5pt/g=")</f>
        <v>#REF!</v>
      </c>
      <c r="IP258" t="e">
        <f>AND(Onsite!#REF!,"AAAAAF5pt/k=")</f>
        <v>#REF!</v>
      </c>
      <c r="IQ258" t="e">
        <f>AND(Onsite!#REF!,"AAAAAF5pt/o=")</f>
        <v>#REF!</v>
      </c>
      <c r="IR258" t="e">
        <f>AND(Onsite!#REF!,"AAAAAF5pt/s=")</f>
        <v>#REF!</v>
      </c>
      <c r="IS258" t="e">
        <f>AND(Onsite!#REF!,"AAAAAF5pt/w=")</f>
        <v>#REF!</v>
      </c>
      <c r="IT258" t="e">
        <f>AND(Onsite!#REF!,"AAAAAF5pt/0=")</f>
        <v>#REF!</v>
      </c>
      <c r="IU258" t="e">
        <f>AND(Onsite!#REF!,"AAAAAF5pt/4=")</f>
        <v>#REF!</v>
      </c>
      <c r="IV258" t="e">
        <f>AND(Onsite!#REF!,"AAAAAF5pt/8=")</f>
        <v>#REF!</v>
      </c>
    </row>
    <row r="259" spans="1:256" x14ac:dyDescent="0.2">
      <c r="A259" t="e">
        <f>IF(Onsite!#REF!,"AAAAAF+b6wA=",0)</f>
        <v>#REF!</v>
      </c>
      <c r="B259" t="e">
        <f>AND(Onsite!#REF!,"AAAAAF+b6wE=")</f>
        <v>#REF!</v>
      </c>
      <c r="C259" t="e">
        <f>AND(Onsite!#REF!,"AAAAAF+b6wI=")</f>
        <v>#REF!</v>
      </c>
      <c r="D259" t="e">
        <f>AND(Onsite!#REF!,"AAAAAF+b6wM=")</f>
        <v>#REF!</v>
      </c>
      <c r="E259" t="e">
        <f>AND(Onsite!#REF!,"AAAAAF+b6wQ=")</f>
        <v>#REF!</v>
      </c>
      <c r="F259" t="e">
        <f>AND(Onsite!#REF!,"AAAAAF+b6wU=")</f>
        <v>#REF!</v>
      </c>
      <c r="G259" t="e">
        <f>AND(Onsite!#REF!,"AAAAAF+b6wY=")</f>
        <v>#REF!</v>
      </c>
      <c r="H259" t="e">
        <f>AND(Onsite!#REF!,"AAAAAF+b6wc=")</f>
        <v>#REF!</v>
      </c>
      <c r="I259" t="e">
        <f>AND(Onsite!#REF!,"AAAAAF+b6wg=")</f>
        <v>#REF!</v>
      </c>
      <c r="J259" t="e">
        <f>AND(Onsite!#REF!,"AAAAAF+b6wk=")</f>
        <v>#REF!</v>
      </c>
      <c r="K259" t="e">
        <f>AND(Onsite!#REF!,"AAAAAF+b6wo=")</f>
        <v>#REF!</v>
      </c>
      <c r="L259" t="e">
        <f>AND(Onsite!#REF!,"AAAAAF+b6ws=")</f>
        <v>#REF!</v>
      </c>
      <c r="M259" t="e">
        <f>AND(Onsite!#REF!,"AAAAAF+b6ww=")</f>
        <v>#REF!</v>
      </c>
      <c r="N259" t="e">
        <f>AND(Onsite!#REF!,"AAAAAF+b6w0=")</f>
        <v>#REF!</v>
      </c>
      <c r="O259" t="e">
        <f>IF(Onsite!#REF!,"AAAAAF+b6w4=",0)</f>
        <v>#REF!</v>
      </c>
      <c r="P259" t="e">
        <f>AND(Onsite!#REF!,"AAAAAF+b6w8=")</f>
        <v>#REF!</v>
      </c>
      <c r="Q259" t="e">
        <f>AND(Onsite!#REF!,"AAAAAF+b6xA=")</f>
        <v>#REF!</v>
      </c>
      <c r="R259" t="e">
        <f>AND(Onsite!#REF!,"AAAAAF+b6xE=")</f>
        <v>#REF!</v>
      </c>
      <c r="S259" t="e">
        <f>AND(Onsite!#REF!,"AAAAAF+b6xI=")</f>
        <v>#REF!</v>
      </c>
      <c r="T259" t="e">
        <f>AND(Onsite!#REF!,"AAAAAF+b6xM=")</f>
        <v>#REF!</v>
      </c>
      <c r="U259" t="e">
        <f>AND(Onsite!#REF!,"AAAAAF+b6xQ=")</f>
        <v>#REF!</v>
      </c>
      <c r="V259" t="e">
        <f>AND(Onsite!#REF!,"AAAAAF+b6xU=")</f>
        <v>#REF!</v>
      </c>
      <c r="W259" t="e">
        <f>AND(Onsite!#REF!,"AAAAAF+b6xY=")</f>
        <v>#REF!</v>
      </c>
      <c r="X259" t="e">
        <f>AND(Onsite!#REF!,"AAAAAF+b6xc=")</f>
        <v>#REF!</v>
      </c>
      <c r="Y259" t="e">
        <f>AND(Onsite!#REF!,"AAAAAF+b6xg=")</f>
        <v>#REF!</v>
      </c>
      <c r="Z259" t="e">
        <f>AND(Onsite!#REF!,"AAAAAF+b6xk=")</f>
        <v>#REF!</v>
      </c>
      <c r="AA259" t="e">
        <f>AND(Onsite!#REF!,"AAAAAF+b6xo=")</f>
        <v>#REF!</v>
      </c>
      <c r="AB259" t="e">
        <f>AND(Onsite!#REF!,"AAAAAF+b6xs=")</f>
        <v>#REF!</v>
      </c>
      <c r="AC259" t="e">
        <f>IF(Onsite!#REF!,"AAAAAF+b6xw=",0)</f>
        <v>#REF!</v>
      </c>
      <c r="AD259" t="e">
        <f>AND(Onsite!#REF!,"AAAAAF+b6x0=")</f>
        <v>#REF!</v>
      </c>
      <c r="AE259" t="e">
        <f>AND(Onsite!#REF!,"AAAAAF+b6x4=")</f>
        <v>#REF!</v>
      </c>
      <c r="AF259" t="e">
        <f>AND(Onsite!#REF!,"AAAAAF+b6x8=")</f>
        <v>#REF!</v>
      </c>
      <c r="AG259" t="e">
        <f>AND(Onsite!#REF!,"AAAAAF+b6yA=")</f>
        <v>#REF!</v>
      </c>
      <c r="AH259" t="e">
        <f>AND(Onsite!#REF!,"AAAAAF+b6yE=")</f>
        <v>#REF!</v>
      </c>
      <c r="AI259" t="e">
        <f>AND(Onsite!#REF!,"AAAAAF+b6yI=")</f>
        <v>#REF!</v>
      </c>
      <c r="AJ259" t="e">
        <f>AND(Onsite!#REF!,"AAAAAF+b6yM=")</f>
        <v>#REF!</v>
      </c>
      <c r="AK259" t="e">
        <f>AND(Onsite!#REF!,"AAAAAF+b6yQ=")</f>
        <v>#REF!</v>
      </c>
      <c r="AL259" t="e">
        <f>AND(Onsite!#REF!,"AAAAAF+b6yU=")</f>
        <v>#REF!</v>
      </c>
      <c r="AM259" t="e">
        <f>AND(Onsite!#REF!,"AAAAAF+b6yY=")</f>
        <v>#REF!</v>
      </c>
      <c r="AN259" t="e">
        <f>AND(Onsite!#REF!,"AAAAAF+b6yc=")</f>
        <v>#REF!</v>
      </c>
      <c r="AO259" t="e">
        <f>AND(Onsite!#REF!,"AAAAAF+b6yg=")</f>
        <v>#REF!</v>
      </c>
      <c r="AP259" t="e">
        <f>AND(Onsite!#REF!,"AAAAAF+b6yk=")</f>
        <v>#REF!</v>
      </c>
      <c r="AQ259" t="e">
        <f>IF(Onsite!#REF!,"AAAAAF+b6yo=",0)</f>
        <v>#REF!</v>
      </c>
      <c r="AR259" t="e">
        <f>AND(Onsite!#REF!,"AAAAAF+b6ys=")</f>
        <v>#REF!</v>
      </c>
      <c r="AS259" t="e">
        <f>AND(Onsite!#REF!,"AAAAAF+b6yw=")</f>
        <v>#REF!</v>
      </c>
      <c r="AT259" t="e">
        <f>AND(Onsite!#REF!,"AAAAAF+b6y0=")</f>
        <v>#REF!</v>
      </c>
      <c r="AU259" t="e">
        <f>AND(Onsite!#REF!,"AAAAAF+b6y4=")</f>
        <v>#REF!</v>
      </c>
      <c r="AV259" t="e">
        <f>AND(Onsite!#REF!,"AAAAAF+b6y8=")</f>
        <v>#REF!</v>
      </c>
      <c r="AW259" t="e">
        <f>AND(Onsite!#REF!,"AAAAAF+b6zA=")</f>
        <v>#REF!</v>
      </c>
      <c r="AX259" t="e">
        <f>AND(Onsite!#REF!,"AAAAAF+b6zE=")</f>
        <v>#REF!</v>
      </c>
      <c r="AY259" t="e">
        <f>AND(Onsite!#REF!,"AAAAAF+b6zI=")</f>
        <v>#REF!</v>
      </c>
      <c r="AZ259" t="e">
        <f>AND(Onsite!#REF!,"AAAAAF+b6zM=")</f>
        <v>#REF!</v>
      </c>
      <c r="BA259" t="e">
        <f>AND(Onsite!#REF!,"AAAAAF+b6zQ=")</f>
        <v>#REF!</v>
      </c>
      <c r="BB259" t="e">
        <f>AND(Onsite!#REF!,"AAAAAF+b6zU=")</f>
        <v>#REF!</v>
      </c>
      <c r="BC259" t="e">
        <f>AND(Onsite!#REF!,"AAAAAF+b6zY=")</f>
        <v>#REF!</v>
      </c>
      <c r="BD259" t="e">
        <f>AND(Onsite!#REF!,"AAAAAF+b6zc=")</f>
        <v>#REF!</v>
      </c>
      <c r="BE259" t="e">
        <f>IF(Onsite!#REF!,"AAAAAF+b6zg=",0)</f>
        <v>#REF!</v>
      </c>
      <c r="BF259" t="e">
        <f>AND(Onsite!#REF!,"AAAAAF+b6zk=")</f>
        <v>#REF!</v>
      </c>
      <c r="BG259" t="e">
        <f>AND(Onsite!#REF!,"AAAAAF+b6zo=")</f>
        <v>#REF!</v>
      </c>
      <c r="BH259" t="e">
        <f>AND(Onsite!#REF!,"AAAAAF+b6zs=")</f>
        <v>#REF!</v>
      </c>
      <c r="BI259" t="e">
        <f>AND(Onsite!#REF!,"AAAAAF+b6zw=")</f>
        <v>#REF!</v>
      </c>
      <c r="BJ259" t="e">
        <f>AND(Onsite!#REF!,"AAAAAF+b6z0=")</f>
        <v>#REF!</v>
      </c>
      <c r="BK259" t="e">
        <f>AND(Onsite!#REF!,"AAAAAF+b6z4=")</f>
        <v>#REF!</v>
      </c>
      <c r="BL259" t="e">
        <f>AND(Onsite!#REF!,"AAAAAF+b6z8=")</f>
        <v>#REF!</v>
      </c>
      <c r="BM259" t="e">
        <f>AND(Onsite!#REF!,"AAAAAF+b60A=")</f>
        <v>#REF!</v>
      </c>
      <c r="BN259" t="e">
        <f>AND(Onsite!#REF!,"AAAAAF+b60E=")</f>
        <v>#REF!</v>
      </c>
      <c r="BO259" t="e">
        <f>AND(Onsite!#REF!,"AAAAAF+b60I=")</f>
        <v>#REF!</v>
      </c>
      <c r="BP259" t="e">
        <f>AND(Onsite!#REF!,"AAAAAF+b60M=")</f>
        <v>#REF!</v>
      </c>
      <c r="BQ259" t="e">
        <f>AND(Onsite!#REF!,"AAAAAF+b60Q=")</f>
        <v>#REF!</v>
      </c>
      <c r="BR259" t="e">
        <f>AND(Onsite!#REF!,"AAAAAF+b60U=")</f>
        <v>#REF!</v>
      </c>
      <c r="BS259" t="e">
        <f>IF(Onsite!#REF!,"AAAAAF+b60Y=",0)</f>
        <v>#REF!</v>
      </c>
      <c r="BT259" t="e">
        <f>AND(Onsite!#REF!,"AAAAAF+b60c=")</f>
        <v>#REF!</v>
      </c>
      <c r="BU259" t="e">
        <f>AND(Onsite!#REF!,"AAAAAF+b60g=")</f>
        <v>#REF!</v>
      </c>
      <c r="BV259" t="e">
        <f>AND(Onsite!#REF!,"AAAAAF+b60k=")</f>
        <v>#REF!</v>
      </c>
      <c r="BW259" t="e">
        <f>AND(Onsite!#REF!,"AAAAAF+b60o=")</f>
        <v>#REF!</v>
      </c>
      <c r="BX259" t="e">
        <f>AND(Onsite!#REF!,"AAAAAF+b60s=")</f>
        <v>#REF!</v>
      </c>
      <c r="BY259" t="e">
        <f>AND(Onsite!#REF!,"AAAAAF+b60w=")</f>
        <v>#REF!</v>
      </c>
      <c r="BZ259" t="e">
        <f>AND(Onsite!#REF!,"AAAAAF+b600=")</f>
        <v>#REF!</v>
      </c>
      <c r="CA259" t="e">
        <f>AND(Onsite!#REF!,"AAAAAF+b604=")</f>
        <v>#REF!</v>
      </c>
      <c r="CB259" t="e">
        <f>AND(Onsite!#REF!,"AAAAAF+b608=")</f>
        <v>#REF!</v>
      </c>
      <c r="CC259" t="e">
        <f>AND(Onsite!#REF!,"AAAAAF+b61A=")</f>
        <v>#REF!</v>
      </c>
      <c r="CD259" t="e">
        <f>AND(Onsite!#REF!,"AAAAAF+b61E=")</f>
        <v>#REF!</v>
      </c>
      <c r="CE259" t="e">
        <f>AND(Onsite!#REF!,"AAAAAF+b61I=")</f>
        <v>#REF!</v>
      </c>
      <c r="CF259" t="e">
        <f>AND(Onsite!#REF!,"AAAAAF+b61M=")</f>
        <v>#REF!</v>
      </c>
      <c r="CG259" t="e">
        <f>IF(Onsite!#REF!,"AAAAAF+b61Q=",0)</f>
        <v>#REF!</v>
      </c>
      <c r="CH259" t="e">
        <f>AND(Onsite!#REF!,"AAAAAF+b61U=")</f>
        <v>#REF!</v>
      </c>
      <c r="CI259" t="e">
        <f>AND(Onsite!#REF!,"AAAAAF+b61Y=")</f>
        <v>#REF!</v>
      </c>
      <c r="CJ259" t="e">
        <f>AND(Onsite!#REF!,"AAAAAF+b61c=")</f>
        <v>#REF!</v>
      </c>
      <c r="CK259" t="e">
        <f>AND(Onsite!#REF!,"AAAAAF+b61g=")</f>
        <v>#REF!</v>
      </c>
      <c r="CL259" t="e">
        <f>AND(Onsite!#REF!,"AAAAAF+b61k=")</f>
        <v>#REF!</v>
      </c>
      <c r="CM259" t="e">
        <f>AND(Onsite!#REF!,"AAAAAF+b61o=")</f>
        <v>#REF!</v>
      </c>
      <c r="CN259" t="e">
        <f>AND(Onsite!#REF!,"AAAAAF+b61s=")</f>
        <v>#REF!</v>
      </c>
      <c r="CO259" t="e">
        <f>AND(Onsite!#REF!,"AAAAAF+b61w=")</f>
        <v>#REF!</v>
      </c>
      <c r="CP259" t="e">
        <f>AND(Onsite!#REF!,"AAAAAF+b610=")</f>
        <v>#REF!</v>
      </c>
      <c r="CQ259" t="e">
        <f>AND(Onsite!#REF!,"AAAAAF+b614=")</f>
        <v>#REF!</v>
      </c>
      <c r="CR259" t="e">
        <f>AND(Onsite!#REF!,"AAAAAF+b618=")</f>
        <v>#REF!</v>
      </c>
      <c r="CS259" t="e">
        <f>AND(Onsite!#REF!,"AAAAAF+b62A=")</f>
        <v>#REF!</v>
      </c>
      <c r="CT259" t="e">
        <f>AND(Onsite!#REF!,"AAAAAF+b62E=")</f>
        <v>#REF!</v>
      </c>
      <c r="CU259" t="e">
        <f>IF(Onsite!#REF!,"AAAAAF+b62I=",0)</f>
        <v>#REF!</v>
      </c>
      <c r="CV259" t="e">
        <f>AND(Onsite!#REF!,"AAAAAF+b62M=")</f>
        <v>#REF!</v>
      </c>
      <c r="CW259" t="e">
        <f>AND(Onsite!#REF!,"AAAAAF+b62Q=")</f>
        <v>#REF!</v>
      </c>
      <c r="CX259" t="e">
        <f>AND(Onsite!#REF!,"AAAAAF+b62U=")</f>
        <v>#REF!</v>
      </c>
      <c r="CY259" t="e">
        <f>AND(Onsite!#REF!,"AAAAAF+b62Y=")</f>
        <v>#REF!</v>
      </c>
      <c r="CZ259" t="e">
        <f>AND(Onsite!#REF!,"AAAAAF+b62c=")</f>
        <v>#REF!</v>
      </c>
      <c r="DA259" t="e">
        <f>AND(Onsite!#REF!,"AAAAAF+b62g=")</f>
        <v>#REF!</v>
      </c>
      <c r="DB259" t="e">
        <f>AND(Onsite!#REF!,"AAAAAF+b62k=")</f>
        <v>#REF!</v>
      </c>
      <c r="DC259" t="e">
        <f>AND(Onsite!#REF!,"AAAAAF+b62o=")</f>
        <v>#REF!</v>
      </c>
      <c r="DD259" t="e">
        <f>AND(Onsite!#REF!,"AAAAAF+b62s=")</f>
        <v>#REF!</v>
      </c>
      <c r="DE259" t="e">
        <f>AND(Onsite!#REF!,"AAAAAF+b62w=")</f>
        <v>#REF!</v>
      </c>
      <c r="DF259" t="e">
        <f>AND(Onsite!#REF!,"AAAAAF+b620=")</f>
        <v>#REF!</v>
      </c>
      <c r="DG259" t="e">
        <f>AND(Onsite!#REF!,"AAAAAF+b624=")</f>
        <v>#REF!</v>
      </c>
      <c r="DH259" t="e">
        <f>AND(Onsite!#REF!,"AAAAAF+b628=")</f>
        <v>#REF!</v>
      </c>
      <c r="DI259" t="e">
        <f>IF(Onsite!#REF!,"AAAAAF+b63A=",0)</f>
        <v>#REF!</v>
      </c>
      <c r="DJ259" t="e">
        <f>AND(Onsite!#REF!,"AAAAAF+b63E=")</f>
        <v>#REF!</v>
      </c>
      <c r="DK259" t="e">
        <f>AND(Onsite!#REF!,"AAAAAF+b63I=")</f>
        <v>#REF!</v>
      </c>
      <c r="DL259" t="e">
        <f>AND(Onsite!#REF!,"AAAAAF+b63M=")</f>
        <v>#REF!</v>
      </c>
      <c r="DM259" t="e">
        <f>AND(Onsite!#REF!,"AAAAAF+b63Q=")</f>
        <v>#REF!</v>
      </c>
      <c r="DN259" t="e">
        <f>AND(Onsite!#REF!,"AAAAAF+b63U=")</f>
        <v>#REF!</v>
      </c>
      <c r="DO259" t="e">
        <f>AND(Onsite!#REF!,"AAAAAF+b63Y=")</f>
        <v>#REF!</v>
      </c>
      <c r="DP259" t="e">
        <f>AND(Onsite!#REF!,"AAAAAF+b63c=")</f>
        <v>#REF!</v>
      </c>
      <c r="DQ259" t="e">
        <f>AND(Onsite!#REF!,"AAAAAF+b63g=")</f>
        <v>#REF!</v>
      </c>
      <c r="DR259" t="e">
        <f>AND(Onsite!#REF!,"AAAAAF+b63k=")</f>
        <v>#REF!</v>
      </c>
      <c r="DS259" t="e">
        <f>AND(Onsite!#REF!,"AAAAAF+b63o=")</f>
        <v>#REF!</v>
      </c>
      <c r="DT259" t="e">
        <f>AND(Onsite!#REF!,"AAAAAF+b63s=")</f>
        <v>#REF!</v>
      </c>
      <c r="DU259" t="e">
        <f>AND(Onsite!#REF!,"AAAAAF+b63w=")</f>
        <v>#REF!</v>
      </c>
      <c r="DV259" t="e">
        <f>AND(Onsite!#REF!,"AAAAAF+b630=")</f>
        <v>#REF!</v>
      </c>
      <c r="DW259" t="e">
        <f>IF(Onsite!#REF!,"AAAAAF+b634=",0)</f>
        <v>#REF!</v>
      </c>
      <c r="DX259" t="e">
        <f>AND(Onsite!#REF!,"AAAAAF+b638=")</f>
        <v>#REF!</v>
      </c>
      <c r="DY259" t="e">
        <f>AND(Onsite!#REF!,"AAAAAF+b64A=")</f>
        <v>#REF!</v>
      </c>
      <c r="DZ259" t="e">
        <f>AND(Onsite!#REF!,"AAAAAF+b64E=")</f>
        <v>#REF!</v>
      </c>
      <c r="EA259" t="e">
        <f>AND(Onsite!#REF!,"AAAAAF+b64I=")</f>
        <v>#REF!</v>
      </c>
      <c r="EB259" t="e">
        <f>AND(Onsite!#REF!,"AAAAAF+b64M=")</f>
        <v>#REF!</v>
      </c>
      <c r="EC259" t="e">
        <f>AND(Onsite!#REF!,"AAAAAF+b64Q=")</f>
        <v>#REF!</v>
      </c>
      <c r="ED259" t="e">
        <f>AND(Onsite!#REF!,"AAAAAF+b64U=")</f>
        <v>#REF!</v>
      </c>
      <c r="EE259" t="e">
        <f>AND(Onsite!#REF!,"AAAAAF+b64Y=")</f>
        <v>#REF!</v>
      </c>
      <c r="EF259" t="e">
        <f>AND(Onsite!#REF!,"AAAAAF+b64c=")</f>
        <v>#REF!</v>
      </c>
      <c r="EG259" t="e">
        <f>AND(Onsite!#REF!,"AAAAAF+b64g=")</f>
        <v>#REF!</v>
      </c>
      <c r="EH259" t="e">
        <f>AND(Onsite!#REF!,"AAAAAF+b64k=")</f>
        <v>#REF!</v>
      </c>
      <c r="EI259" t="e">
        <f>AND(Onsite!#REF!,"AAAAAF+b64o=")</f>
        <v>#REF!</v>
      </c>
      <c r="EJ259" t="e">
        <f>AND(Onsite!#REF!,"AAAAAF+b64s=")</f>
        <v>#REF!</v>
      </c>
      <c r="EK259" t="e">
        <f>IF(Onsite!#REF!,"AAAAAF+b64w=",0)</f>
        <v>#REF!</v>
      </c>
      <c r="EL259" t="e">
        <f>AND(Onsite!#REF!,"AAAAAF+b640=")</f>
        <v>#REF!</v>
      </c>
      <c r="EM259" t="e">
        <f>AND(Onsite!#REF!,"AAAAAF+b644=")</f>
        <v>#REF!</v>
      </c>
      <c r="EN259" t="e">
        <f>AND(Onsite!#REF!,"AAAAAF+b648=")</f>
        <v>#REF!</v>
      </c>
      <c r="EO259" t="e">
        <f>AND(Onsite!#REF!,"AAAAAF+b65A=")</f>
        <v>#REF!</v>
      </c>
      <c r="EP259" t="e">
        <f>AND(Onsite!#REF!,"AAAAAF+b65E=")</f>
        <v>#REF!</v>
      </c>
      <c r="EQ259" t="e">
        <f>AND(Onsite!#REF!,"AAAAAF+b65I=")</f>
        <v>#REF!</v>
      </c>
      <c r="ER259" t="e">
        <f>AND(Onsite!#REF!,"AAAAAF+b65M=")</f>
        <v>#REF!</v>
      </c>
      <c r="ES259" t="e">
        <f>AND(Onsite!#REF!,"AAAAAF+b65Q=")</f>
        <v>#REF!</v>
      </c>
      <c r="ET259" t="e">
        <f>AND(Onsite!#REF!,"AAAAAF+b65U=")</f>
        <v>#REF!</v>
      </c>
      <c r="EU259" t="e">
        <f>AND(Onsite!#REF!,"AAAAAF+b65Y=")</f>
        <v>#REF!</v>
      </c>
      <c r="EV259" t="e">
        <f>AND(Onsite!#REF!,"AAAAAF+b65c=")</f>
        <v>#REF!</v>
      </c>
      <c r="EW259" t="e">
        <f>AND(Onsite!#REF!,"AAAAAF+b65g=")</f>
        <v>#REF!</v>
      </c>
      <c r="EX259" t="e">
        <f>AND(Onsite!#REF!,"AAAAAF+b65k=")</f>
        <v>#REF!</v>
      </c>
      <c r="EY259" t="e">
        <f>IF(Onsite!#REF!,"AAAAAF+b65o=",0)</f>
        <v>#REF!</v>
      </c>
      <c r="EZ259" t="e">
        <f>AND(Onsite!#REF!,"AAAAAF+b65s=")</f>
        <v>#REF!</v>
      </c>
      <c r="FA259" t="e">
        <f>AND(Onsite!#REF!,"AAAAAF+b65w=")</f>
        <v>#REF!</v>
      </c>
      <c r="FB259" t="e">
        <f>AND(Onsite!#REF!,"AAAAAF+b650=")</f>
        <v>#REF!</v>
      </c>
      <c r="FC259" t="e">
        <f>AND(Onsite!#REF!,"AAAAAF+b654=")</f>
        <v>#REF!</v>
      </c>
      <c r="FD259" t="e">
        <f>AND(Onsite!#REF!,"AAAAAF+b658=")</f>
        <v>#REF!</v>
      </c>
      <c r="FE259" t="e">
        <f>AND(Onsite!#REF!,"AAAAAF+b66A=")</f>
        <v>#REF!</v>
      </c>
      <c r="FF259" t="e">
        <f>AND(Onsite!#REF!,"AAAAAF+b66E=")</f>
        <v>#REF!</v>
      </c>
      <c r="FG259" t="e">
        <f>AND(Onsite!#REF!,"AAAAAF+b66I=")</f>
        <v>#REF!</v>
      </c>
      <c r="FH259" t="e">
        <f>AND(Onsite!#REF!,"AAAAAF+b66M=")</f>
        <v>#REF!</v>
      </c>
      <c r="FI259" t="e">
        <f>AND(Onsite!#REF!,"AAAAAF+b66Q=")</f>
        <v>#REF!</v>
      </c>
      <c r="FJ259" t="e">
        <f>AND(Onsite!#REF!,"AAAAAF+b66U=")</f>
        <v>#REF!</v>
      </c>
      <c r="FK259" t="e">
        <f>AND(Onsite!#REF!,"AAAAAF+b66Y=")</f>
        <v>#REF!</v>
      </c>
      <c r="FL259" t="e">
        <f>AND(Onsite!#REF!,"AAAAAF+b66c=")</f>
        <v>#REF!</v>
      </c>
      <c r="FM259" t="e">
        <f>IF(Onsite!#REF!,"AAAAAF+b66g=",0)</f>
        <v>#REF!</v>
      </c>
      <c r="FN259" t="e">
        <f>AND(Onsite!#REF!,"AAAAAF+b66k=")</f>
        <v>#REF!</v>
      </c>
      <c r="FO259" t="e">
        <f>AND(Onsite!#REF!,"AAAAAF+b66o=")</f>
        <v>#REF!</v>
      </c>
      <c r="FP259" t="e">
        <f>AND(Onsite!#REF!,"AAAAAF+b66s=")</f>
        <v>#REF!</v>
      </c>
      <c r="FQ259" t="e">
        <f>AND(Onsite!#REF!,"AAAAAF+b66w=")</f>
        <v>#REF!</v>
      </c>
      <c r="FR259" t="e">
        <f>AND(Onsite!#REF!,"AAAAAF+b660=")</f>
        <v>#REF!</v>
      </c>
      <c r="FS259" t="e">
        <f>AND(Onsite!#REF!,"AAAAAF+b664=")</f>
        <v>#REF!</v>
      </c>
      <c r="FT259" t="e">
        <f>AND(Onsite!#REF!,"AAAAAF+b668=")</f>
        <v>#REF!</v>
      </c>
      <c r="FU259" t="e">
        <f>AND(Onsite!#REF!,"AAAAAF+b67A=")</f>
        <v>#REF!</v>
      </c>
      <c r="FV259" t="e">
        <f>AND(Onsite!#REF!,"AAAAAF+b67E=")</f>
        <v>#REF!</v>
      </c>
      <c r="FW259" t="e">
        <f>AND(Onsite!#REF!,"AAAAAF+b67I=")</f>
        <v>#REF!</v>
      </c>
      <c r="FX259" t="e">
        <f>AND(Onsite!#REF!,"AAAAAF+b67M=")</f>
        <v>#REF!</v>
      </c>
      <c r="FY259" t="e">
        <f>AND(Onsite!#REF!,"AAAAAF+b67Q=")</f>
        <v>#REF!</v>
      </c>
      <c r="FZ259" t="e">
        <f>AND(Onsite!#REF!,"AAAAAF+b67U=")</f>
        <v>#REF!</v>
      </c>
      <c r="GA259" t="e">
        <f>IF(Onsite!#REF!,"AAAAAF+b67Y=",0)</f>
        <v>#REF!</v>
      </c>
      <c r="GB259" t="e">
        <f>AND(Onsite!#REF!,"AAAAAF+b67c=")</f>
        <v>#REF!</v>
      </c>
      <c r="GC259" t="e">
        <f>AND(Onsite!#REF!,"AAAAAF+b67g=")</f>
        <v>#REF!</v>
      </c>
      <c r="GD259" t="e">
        <f>AND(Onsite!#REF!,"AAAAAF+b67k=")</f>
        <v>#REF!</v>
      </c>
      <c r="GE259" t="e">
        <f>AND(Onsite!#REF!,"AAAAAF+b67o=")</f>
        <v>#REF!</v>
      </c>
      <c r="GF259" t="e">
        <f>AND(Onsite!#REF!,"AAAAAF+b67s=")</f>
        <v>#REF!</v>
      </c>
      <c r="GG259" t="e">
        <f>AND(Onsite!#REF!,"AAAAAF+b67w=")</f>
        <v>#REF!</v>
      </c>
      <c r="GH259" t="e">
        <f>AND(Onsite!#REF!,"AAAAAF+b670=")</f>
        <v>#REF!</v>
      </c>
      <c r="GI259" t="e">
        <f>AND(Onsite!#REF!,"AAAAAF+b674=")</f>
        <v>#REF!</v>
      </c>
      <c r="GJ259" t="e">
        <f>AND(Onsite!#REF!,"AAAAAF+b678=")</f>
        <v>#REF!</v>
      </c>
      <c r="GK259" t="e">
        <f>AND(Onsite!#REF!,"AAAAAF+b68A=")</f>
        <v>#REF!</v>
      </c>
      <c r="GL259" t="e">
        <f>AND(Onsite!#REF!,"AAAAAF+b68E=")</f>
        <v>#REF!</v>
      </c>
      <c r="GM259" t="e">
        <f>AND(Onsite!#REF!,"AAAAAF+b68I=")</f>
        <v>#REF!</v>
      </c>
      <c r="GN259" t="e">
        <f>AND(Onsite!#REF!,"AAAAAF+b68M=")</f>
        <v>#REF!</v>
      </c>
      <c r="GO259" t="e">
        <f>IF(Onsite!#REF!,"AAAAAF+b68Q=",0)</f>
        <v>#REF!</v>
      </c>
      <c r="GP259" t="e">
        <f>AND(Onsite!#REF!,"AAAAAF+b68U=")</f>
        <v>#REF!</v>
      </c>
      <c r="GQ259" t="e">
        <f>AND(Onsite!#REF!,"AAAAAF+b68Y=")</f>
        <v>#REF!</v>
      </c>
      <c r="GR259" t="e">
        <f>AND(Onsite!#REF!,"AAAAAF+b68c=")</f>
        <v>#REF!</v>
      </c>
      <c r="GS259" t="e">
        <f>AND(Onsite!#REF!,"AAAAAF+b68g=")</f>
        <v>#REF!</v>
      </c>
      <c r="GT259" t="e">
        <f>AND(Onsite!#REF!,"AAAAAF+b68k=")</f>
        <v>#REF!</v>
      </c>
      <c r="GU259" t="e">
        <f>AND(Onsite!#REF!,"AAAAAF+b68o=")</f>
        <v>#REF!</v>
      </c>
      <c r="GV259" t="e">
        <f>AND(Onsite!#REF!,"AAAAAF+b68s=")</f>
        <v>#REF!</v>
      </c>
      <c r="GW259" t="e">
        <f>AND(Onsite!#REF!,"AAAAAF+b68w=")</f>
        <v>#REF!</v>
      </c>
      <c r="GX259" t="e">
        <f>AND(Onsite!#REF!,"AAAAAF+b680=")</f>
        <v>#REF!</v>
      </c>
      <c r="GY259" t="e">
        <f>AND(Onsite!#REF!,"AAAAAF+b684=")</f>
        <v>#REF!</v>
      </c>
      <c r="GZ259" t="e">
        <f>AND(Onsite!#REF!,"AAAAAF+b688=")</f>
        <v>#REF!</v>
      </c>
      <c r="HA259" t="e">
        <f>AND(Onsite!#REF!,"AAAAAF+b69A=")</f>
        <v>#REF!</v>
      </c>
      <c r="HB259" t="e">
        <f>AND(Onsite!#REF!,"AAAAAF+b69E=")</f>
        <v>#REF!</v>
      </c>
      <c r="HC259" t="e">
        <f>IF(Onsite!#REF!,"AAAAAF+b69I=",0)</f>
        <v>#REF!</v>
      </c>
      <c r="HD259" t="e">
        <f>AND(Onsite!#REF!,"AAAAAF+b69M=")</f>
        <v>#REF!</v>
      </c>
      <c r="HE259" t="e">
        <f>AND(Onsite!#REF!,"AAAAAF+b69Q=")</f>
        <v>#REF!</v>
      </c>
      <c r="HF259" t="e">
        <f>AND(Onsite!#REF!,"AAAAAF+b69U=")</f>
        <v>#REF!</v>
      </c>
      <c r="HG259" t="e">
        <f>AND(Onsite!#REF!,"AAAAAF+b69Y=")</f>
        <v>#REF!</v>
      </c>
      <c r="HH259" t="e">
        <f>AND(Onsite!#REF!,"AAAAAF+b69c=")</f>
        <v>#REF!</v>
      </c>
      <c r="HI259" t="e">
        <f>AND(Onsite!#REF!,"AAAAAF+b69g=")</f>
        <v>#REF!</v>
      </c>
      <c r="HJ259" t="e">
        <f>AND(Onsite!#REF!,"AAAAAF+b69k=")</f>
        <v>#REF!</v>
      </c>
      <c r="HK259" t="e">
        <f>AND(Onsite!#REF!,"AAAAAF+b69o=")</f>
        <v>#REF!</v>
      </c>
      <c r="HL259" t="e">
        <f>AND(Onsite!#REF!,"AAAAAF+b69s=")</f>
        <v>#REF!</v>
      </c>
      <c r="HM259" t="e">
        <f>AND(Onsite!#REF!,"AAAAAF+b69w=")</f>
        <v>#REF!</v>
      </c>
      <c r="HN259" t="e">
        <f>AND(Onsite!#REF!,"AAAAAF+b690=")</f>
        <v>#REF!</v>
      </c>
      <c r="HO259" t="e">
        <f>AND(Onsite!#REF!,"AAAAAF+b694=")</f>
        <v>#REF!</v>
      </c>
      <c r="HP259" t="e">
        <f>AND(Onsite!#REF!,"AAAAAF+b698=")</f>
        <v>#REF!</v>
      </c>
      <c r="HQ259" t="e">
        <f>IF(Onsite!#REF!,"AAAAAF+b6+A=",0)</f>
        <v>#REF!</v>
      </c>
      <c r="HR259" t="e">
        <f>AND(Onsite!#REF!,"AAAAAF+b6+E=")</f>
        <v>#REF!</v>
      </c>
      <c r="HS259" t="e">
        <f>AND(Onsite!#REF!,"AAAAAF+b6+I=")</f>
        <v>#REF!</v>
      </c>
      <c r="HT259" t="e">
        <f>AND(Onsite!#REF!,"AAAAAF+b6+M=")</f>
        <v>#REF!</v>
      </c>
      <c r="HU259" t="e">
        <f>AND(Onsite!#REF!,"AAAAAF+b6+Q=")</f>
        <v>#REF!</v>
      </c>
      <c r="HV259" t="e">
        <f>AND(Onsite!#REF!,"AAAAAF+b6+U=")</f>
        <v>#REF!</v>
      </c>
      <c r="HW259" t="e">
        <f>AND(Onsite!#REF!,"AAAAAF+b6+Y=")</f>
        <v>#REF!</v>
      </c>
      <c r="HX259" t="e">
        <f>AND(Onsite!#REF!,"AAAAAF+b6+c=")</f>
        <v>#REF!</v>
      </c>
      <c r="HY259" t="e">
        <f>AND(Onsite!#REF!,"AAAAAF+b6+g=")</f>
        <v>#REF!</v>
      </c>
      <c r="HZ259" t="e">
        <f>AND(Onsite!#REF!,"AAAAAF+b6+k=")</f>
        <v>#REF!</v>
      </c>
      <c r="IA259" t="e">
        <f>AND(Onsite!#REF!,"AAAAAF+b6+o=")</f>
        <v>#REF!</v>
      </c>
      <c r="IB259" t="e">
        <f>AND(Onsite!#REF!,"AAAAAF+b6+s=")</f>
        <v>#REF!</v>
      </c>
      <c r="IC259" t="e">
        <f>AND(Onsite!#REF!,"AAAAAF+b6+w=")</f>
        <v>#REF!</v>
      </c>
      <c r="ID259" t="e">
        <f>AND(Onsite!#REF!,"AAAAAF+b6+0=")</f>
        <v>#REF!</v>
      </c>
      <c r="IE259" t="e">
        <f>IF(Onsite!#REF!,"AAAAAF+b6+4=",0)</f>
        <v>#REF!</v>
      </c>
      <c r="IF259" t="e">
        <f>AND(Onsite!#REF!,"AAAAAF+b6+8=")</f>
        <v>#REF!</v>
      </c>
      <c r="IG259" t="e">
        <f>AND(Onsite!#REF!,"AAAAAF+b6/A=")</f>
        <v>#REF!</v>
      </c>
      <c r="IH259" t="e">
        <f>AND(Onsite!#REF!,"AAAAAF+b6/E=")</f>
        <v>#REF!</v>
      </c>
      <c r="II259" t="e">
        <f>AND(Onsite!#REF!,"AAAAAF+b6/I=")</f>
        <v>#REF!</v>
      </c>
      <c r="IJ259" t="e">
        <f>AND(Onsite!#REF!,"AAAAAF+b6/M=")</f>
        <v>#REF!</v>
      </c>
      <c r="IK259" t="e">
        <f>AND(Onsite!#REF!,"AAAAAF+b6/Q=")</f>
        <v>#REF!</v>
      </c>
      <c r="IL259" t="e">
        <f>AND(Onsite!#REF!,"AAAAAF+b6/U=")</f>
        <v>#REF!</v>
      </c>
      <c r="IM259" t="e">
        <f>AND(Onsite!#REF!,"AAAAAF+b6/Y=")</f>
        <v>#REF!</v>
      </c>
      <c r="IN259" t="e">
        <f>AND(Onsite!#REF!,"AAAAAF+b6/c=")</f>
        <v>#REF!</v>
      </c>
      <c r="IO259" t="e">
        <f>AND(Onsite!#REF!,"AAAAAF+b6/g=")</f>
        <v>#REF!</v>
      </c>
      <c r="IP259" t="e">
        <f>AND(Onsite!#REF!,"AAAAAF+b6/k=")</f>
        <v>#REF!</v>
      </c>
      <c r="IQ259" t="e">
        <f>AND(Onsite!#REF!,"AAAAAF+b6/o=")</f>
        <v>#REF!</v>
      </c>
      <c r="IR259" t="e">
        <f>AND(Onsite!#REF!,"AAAAAF+b6/s=")</f>
        <v>#REF!</v>
      </c>
      <c r="IS259" t="e">
        <f>IF(Onsite!#REF!,"AAAAAF+b6/w=",0)</f>
        <v>#REF!</v>
      </c>
      <c r="IT259" t="e">
        <f>AND(Onsite!#REF!,"AAAAAF+b6/0=")</f>
        <v>#REF!</v>
      </c>
      <c r="IU259" t="e">
        <f>AND(Onsite!#REF!,"AAAAAF+b6/4=")</f>
        <v>#REF!</v>
      </c>
      <c r="IV259" t="e">
        <f>AND(Onsite!#REF!,"AAAAAF+b6/8=")</f>
        <v>#REF!</v>
      </c>
    </row>
    <row r="260" spans="1:256" x14ac:dyDescent="0.2">
      <c r="A260" t="e">
        <f>AND(Onsite!#REF!,"AAAAAH/b/wA=")</f>
        <v>#REF!</v>
      </c>
      <c r="B260" t="e">
        <f>AND(Onsite!#REF!,"AAAAAH/b/wE=")</f>
        <v>#REF!</v>
      </c>
      <c r="C260" t="e">
        <f>AND(Onsite!#REF!,"AAAAAH/b/wI=")</f>
        <v>#REF!</v>
      </c>
      <c r="D260" t="e">
        <f>AND(Onsite!#REF!,"AAAAAH/b/wM=")</f>
        <v>#REF!</v>
      </c>
      <c r="E260" t="e">
        <f>AND(Onsite!#REF!,"AAAAAH/b/wQ=")</f>
        <v>#REF!</v>
      </c>
      <c r="F260" t="e">
        <f>AND(Onsite!#REF!,"AAAAAH/b/wU=")</f>
        <v>#REF!</v>
      </c>
      <c r="G260" t="e">
        <f>AND(Onsite!#REF!,"AAAAAH/b/wY=")</f>
        <v>#REF!</v>
      </c>
      <c r="H260" t="e">
        <f>AND(Onsite!#REF!,"AAAAAH/b/wc=")</f>
        <v>#REF!</v>
      </c>
      <c r="I260" t="e">
        <f>AND(Onsite!#REF!,"AAAAAH/b/wg=")</f>
        <v>#REF!</v>
      </c>
      <c r="J260" t="e">
        <f>AND(Onsite!#REF!,"AAAAAH/b/wk=")</f>
        <v>#REF!</v>
      </c>
      <c r="K260" t="e">
        <f>IF(Onsite!#REF!,"AAAAAH/b/wo=",0)</f>
        <v>#REF!</v>
      </c>
      <c r="L260" t="e">
        <f>AND(Onsite!#REF!,"AAAAAH/b/ws=")</f>
        <v>#REF!</v>
      </c>
      <c r="M260" t="e">
        <f>AND(Onsite!#REF!,"AAAAAH/b/ww=")</f>
        <v>#REF!</v>
      </c>
      <c r="N260" t="e">
        <f>AND(Onsite!#REF!,"AAAAAH/b/w0=")</f>
        <v>#REF!</v>
      </c>
      <c r="O260" t="e">
        <f>AND(Onsite!#REF!,"AAAAAH/b/w4=")</f>
        <v>#REF!</v>
      </c>
      <c r="P260" t="e">
        <f>AND(Onsite!#REF!,"AAAAAH/b/w8=")</f>
        <v>#REF!</v>
      </c>
      <c r="Q260" t="e">
        <f>AND(Onsite!#REF!,"AAAAAH/b/xA=")</f>
        <v>#REF!</v>
      </c>
      <c r="R260" t="e">
        <f>AND(Onsite!#REF!,"AAAAAH/b/xE=")</f>
        <v>#REF!</v>
      </c>
      <c r="S260" t="e">
        <f>AND(Onsite!#REF!,"AAAAAH/b/xI=")</f>
        <v>#REF!</v>
      </c>
      <c r="T260" t="e">
        <f>AND(Onsite!#REF!,"AAAAAH/b/xM=")</f>
        <v>#REF!</v>
      </c>
      <c r="U260" t="e">
        <f>AND(Onsite!#REF!,"AAAAAH/b/xQ=")</f>
        <v>#REF!</v>
      </c>
      <c r="V260" t="e">
        <f>AND(Onsite!#REF!,"AAAAAH/b/xU=")</f>
        <v>#REF!</v>
      </c>
      <c r="W260" t="e">
        <f>AND(Onsite!#REF!,"AAAAAH/b/xY=")</f>
        <v>#REF!</v>
      </c>
      <c r="X260" t="e">
        <f>AND(Onsite!#REF!,"AAAAAH/b/xc=")</f>
        <v>#REF!</v>
      </c>
      <c r="Y260" t="e">
        <f>IF(Onsite!#REF!,"AAAAAH/b/xg=",0)</f>
        <v>#REF!</v>
      </c>
      <c r="Z260" t="e">
        <f>AND(Onsite!#REF!,"AAAAAH/b/xk=")</f>
        <v>#REF!</v>
      </c>
      <c r="AA260" t="e">
        <f>AND(Onsite!#REF!,"AAAAAH/b/xo=")</f>
        <v>#REF!</v>
      </c>
      <c r="AB260" t="e">
        <f>AND(Onsite!#REF!,"AAAAAH/b/xs=")</f>
        <v>#REF!</v>
      </c>
      <c r="AC260" t="e">
        <f>AND(Onsite!#REF!,"AAAAAH/b/xw=")</f>
        <v>#REF!</v>
      </c>
      <c r="AD260" t="e">
        <f>AND(Onsite!#REF!,"AAAAAH/b/x0=")</f>
        <v>#REF!</v>
      </c>
      <c r="AE260" t="e">
        <f>AND(Onsite!#REF!,"AAAAAH/b/x4=")</f>
        <v>#REF!</v>
      </c>
      <c r="AF260" t="e">
        <f>AND(Onsite!#REF!,"AAAAAH/b/x8=")</f>
        <v>#REF!</v>
      </c>
      <c r="AG260" t="e">
        <f>AND(Onsite!#REF!,"AAAAAH/b/yA=")</f>
        <v>#REF!</v>
      </c>
      <c r="AH260" t="e">
        <f>AND(Onsite!#REF!,"AAAAAH/b/yE=")</f>
        <v>#REF!</v>
      </c>
      <c r="AI260" t="e">
        <f>AND(Onsite!#REF!,"AAAAAH/b/yI=")</f>
        <v>#REF!</v>
      </c>
      <c r="AJ260" t="e">
        <f>AND(Onsite!#REF!,"AAAAAH/b/yM=")</f>
        <v>#REF!</v>
      </c>
      <c r="AK260" t="e">
        <f>AND(Onsite!#REF!,"AAAAAH/b/yQ=")</f>
        <v>#REF!</v>
      </c>
      <c r="AL260" t="e">
        <f>AND(Onsite!#REF!,"AAAAAH/b/yU=")</f>
        <v>#REF!</v>
      </c>
      <c r="AM260" t="e">
        <f>IF(Onsite!#REF!,"AAAAAH/b/yY=",0)</f>
        <v>#REF!</v>
      </c>
      <c r="AN260" t="e">
        <f>AND(Onsite!#REF!,"AAAAAH/b/yc=")</f>
        <v>#REF!</v>
      </c>
      <c r="AO260" t="e">
        <f>AND(Onsite!#REF!,"AAAAAH/b/yg=")</f>
        <v>#REF!</v>
      </c>
      <c r="AP260" t="e">
        <f>AND(Onsite!#REF!,"AAAAAH/b/yk=")</f>
        <v>#REF!</v>
      </c>
      <c r="AQ260" t="e">
        <f>AND(Onsite!#REF!,"AAAAAH/b/yo=")</f>
        <v>#REF!</v>
      </c>
      <c r="AR260" t="e">
        <f>AND(Onsite!#REF!,"AAAAAH/b/ys=")</f>
        <v>#REF!</v>
      </c>
      <c r="AS260" t="e">
        <f>AND(Onsite!#REF!,"AAAAAH/b/yw=")</f>
        <v>#REF!</v>
      </c>
      <c r="AT260" t="e">
        <f>AND(Onsite!#REF!,"AAAAAH/b/y0=")</f>
        <v>#REF!</v>
      </c>
      <c r="AU260" t="e">
        <f>AND(Onsite!#REF!,"AAAAAH/b/y4=")</f>
        <v>#REF!</v>
      </c>
      <c r="AV260" t="e">
        <f>AND(Onsite!#REF!,"AAAAAH/b/y8=")</f>
        <v>#REF!</v>
      </c>
      <c r="AW260" t="e">
        <f>AND(Onsite!#REF!,"AAAAAH/b/zA=")</f>
        <v>#REF!</v>
      </c>
      <c r="AX260" t="e">
        <f>AND(Onsite!#REF!,"AAAAAH/b/zE=")</f>
        <v>#REF!</v>
      </c>
      <c r="AY260" t="e">
        <f>AND(Onsite!#REF!,"AAAAAH/b/zI=")</f>
        <v>#REF!</v>
      </c>
      <c r="AZ260" t="e">
        <f>AND(Onsite!#REF!,"AAAAAH/b/zM=")</f>
        <v>#REF!</v>
      </c>
      <c r="BA260" t="e">
        <f>IF(Onsite!#REF!,"AAAAAH/b/zQ=",0)</f>
        <v>#REF!</v>
      </c>
      <c r="BB260" t="e">
        <f>AND(Onsite!#REF!,"AAAAAH/b/zU=")</f>
        <v>#REF!</v>
      </c>
      <c r="BC260" t="e">
        <f>AND(Onsite!#REF!,"AAAAAH/b/zY=")</f>
        <v>#REF!</v>
      </c>
      <c r="BD260" t="e">
        <f>AND(Onsite!#REF!,"AAAAAH/b/zc=")</f>
        <v>#REF!</v>
      </c>
      <c r="BE260" t="e">
        <f>AND(Onsite!#REF!,"AAAAAH/b/zg=")</f>
        <v>#REF!</v>
      </c>
      <c r="BF260" t="e">
        <f>AND(Onsite!#REF!,"AAAAAH/b/zk=")</f>
        <v>#REF!</v>
      </c>
      <c r="BG260" t="e">
        <f>AND(Onsite!#REF!,"AAAAAH/b/zo=")</f>
        <v>#REF!</v>
      </c>
      <c r="BH260" t="e">
        <f>AND(Onsite!#REF!,"AAAAAH/b/zs=")</f>
        <v>#REF!</v>
      </c>
      <c r="BI260" t="e">
        <f>AND(Onsite!#REF!,"AAAAAH/b/zw=")</f>
        <v>#REF!</v>
      </c>
      <c r="BJ260" t="e">
        <f>AND(Onsite!#REF!,"AAAAAH/b/z0=")</f>
        <v>#REF!</v>
      </c>
      <c r="BK260" t="e">
        <f>AND(Onsite!#REF!,"AAAAAH/b/z4=")</f>
        <v>#REF!</v>
      </c>
      <c r="BL260" t="e">
        <f>AND(Onsite!#REF!,"AAAAAH/b/z8=")</f>
        <v>#REF!</v>
      </c>
      <c r="BM260" t="e">
        <f>AND(Onsite!#REF!,"AAAAAH/b/0A=")</f>
        <v>#REF!</v>
      </c>
      <c r="BN260" t="e">
        <f>AND(Onsite!#REF!,"AAAAAH/b/0E=")</f>
        <v>#REF!</v>
      </c>
      <c r="BO260" t="e">
        <f>IF(Onsite!#REF!,"AAAAAH/b/0I=",0)</f>
        <v>#REF!</v>
      </c>
      <c r="BP260" t="e">
        <f>AND(Onsite!#REF!,"AAAAAH/b/0M=")</f>
        <v>#REF!</v>
      </c>
      <c r="BQ260" t="e">
        <f>AND(Onsite!#REF!,"AAAAAH/b/0Q=")</f>
        <v>#REF!</v>
      </c>
      <c r="BR260" t="e">
        <f>AND(Onsite!#REF!,"AAAAAH/b/0U=")</f>
        <v>#REF!</v>
      </c>
      <c r="BS260" t="e">
        <f>AND(Onsite!#REF!,"AAAAAH/b/0Y=")</f>
        <v>#REF!</v>
      </c>
      <c r="BT260" t="e">
        <f>AND(Onsite!#REF!,"AAAAAH/b/0c=")</f>
        <v>#REF!</v>
      </c>
      <c r="BU260" t="e">
        <f>AND(Onsite!#REF!,"AAAAAH/b/0g=")</f>
        <v>#REF!</v>
      </c>
      <c r="BV260" t="e">
        <f>AND(Onsite!#REF!,"AAAAAH/b/0k=")</f>
        <v>#REF!</v>
      </c>
      <c r="BW260" t="e">
        <f>AND(Onsite!#REF!,"AAAAAH/b/0o=")</f>
        <v>#REF!</v>
      </c>
      <c r="BX260" t="e">
        <f>AND(Onsite!#REF!,"AAAAAH/b/0s=")</f>
        <v>#REF!</v>
      </c>
      <c r="BY260" t="e">
        <f>AND(Onsite!#REF!,"AAAAAH/b/0w=")</f>
        <v>#REF!</v>
      </c>
      <c r="BZ260" t="e">
        <f>AND(Onsite!#REF!,"AAAAAH/b/00=")</f>
        <v>#REF!</v>
      </c>
      <c r="CA260" t="e">
        <f>AND(Onsite!#REF!,"AAAAAH/b/04=")</f>
        <v>#REF!</v>
      </c>
      <c r="CB260" t="e">
        <f>AND(Onsite!#REF!,"AAAAAH/b/08=")</f>
        <v>#REF!</v>
      </c>
      <c r="CC260" t="e">
        <f>IF(Onsite!#REF!,"AAAAAH/b/1A=",0)</f>
        <v>#REF!</v>
      </c>
      <c r="CD260" t="e">
        <f>AND(Onsite!#REF!,"AAAAAH/b/1E=")</f>
        <v>#REF!</v>
      </c>
      <c r="CE260" t="e">
        <f>AND(Onsite!#REF!,"AAAAAH/b/1I=")</f>
        <v>#REF!</v>
      </c>
      <c r="CF260" t="e">
        <f>AND(Onsite!#REF!,"AAAAAH/b/1M=")</f>
        <v>#REF!</v>
      </c>
      <c r="CG260" t="e">
        <f>AND(Onsite!#REF!,"AAAAAH/b/1Q=")</f>
        <v>#REF!</v>
      </c>
      <c r="CH260" t="e">
        <f>AND(Onsite!#REF!,"AAAAAH/b/1U=")</f>
        <v>#REF!</v>
      </c>
      <c r="CI260" t="e">
        <f>AND(Onsite!#REF!,"AAAAAH/b/1Y=")</f>
        <v>#REF!</v>
      </c>
      <c r="CJ260" t="e">
        <f>AND(Onsite!#REF!,"AAAAAH/b/1c=")</f>
        <v>#REF!</v>
      </c>
      <c r="CK260" t="e">
        <f>AND(Onsite!#REF!,"AAAAAH/b/1g=")</f>
        <v>#REF!</v>
      </c>
      <c r="CL260" t="e">
        <f>AND(Onsite!#REF!,"AAAAAH/b/1k=")</f>
        <v>#REF!</v>
      </c>
      <c r="CM260" t="e">
        <f>AND(Onsite!#REF!,"AAAAAH/b/1o=")</f>
        <v>#REF!</v>
      </c>
      <c r="CN260" t="e">
        <f>AND(Onsite!#REF!,"AAAAAH/b/1s=")</f>
        <v>#REF!</v>
      </c>
      <c r="CO260" t="e">
        <f>AND(Onsite!#REF!,"AAAAAH/b/1w=")</f>
        <v>#REF!</v>
      </c>
      <c r="CP260" t="e">
        <f>AND(Onsite!#REF!,"AAAAAH/b/10=")</f>
        <v>#REF!</v>
      </c>
      <c r="CQ260" t="e">
        <f>IF(Onsite!#REF!,"AAAAAH/b/14=",0)</f>
        <v>#REF!</v>
      </c>
      <c r="CR260" t="e">
        <f>AND(Onsite!#REF!,"AAAAAH/b/18=")</f>
        <v>#REF!</v>
      </c>
      <c r="CS260" t="e">
        <f>AND(Onsite!#REF!,"AAAAAH/b/2A=")</f>
        <v>#REF!</v>
      </c>
      <c r="CT260" t="e">
        <f>AND(Onsite!#REF!,"AAAAAH/b/2E=")</f>
        <v>#REF!</v>
      </c>
      <c r="CU260" t="e">
        <f>AND(Onsite!#REF!,"AAAAAH/b/2I=")</f>
        <v>#REF!</v>
      </c>
      <c r="CV260" t="e">
        <f>AND(Onsite!#REF!,"AAAAAH/b/2M=")</f>
        <v>#REF!</v>
      </c>
      <c r="CW260" t="e">
        <f>AND(Onsite!#REF!,"AAAAAH/b/2Q=")</f>
        <v>#REF!</v>
      </c>
      <c r="CX260" t="e">
        <f>AND(Onsite!#REF!,"AAAAAH/b/2U=")</f>
        <v>#REF!</v>
      </c>
      <c r="CY260" t="e">
        <f>AND(Onsite!#REF!,"AAAAAH/b/2Y=")</f>
        <v>#REF!</v>
      </c>
      <c r="CZ260" t="e">
        <f>AND(Onsite!#REF!,"AAAAAH/b/2c=")</f>
        <v>#REF!</v>
      </c>
      <c r="DA260" t="e">
        <f>AND(Onsite!#REF!,"AAAAAH/b/2g=")</f>
        <v>#REF!</v>
      </c>
      <c r="DB260" t="e">
        <f>AND(Onsite!#REF!,"AAAAAH/b/2k=")</f>
        <v>#REF!</v>
      </c>
      <c r="DC260" t="e">
        <f>AND(Onsite!#REF!,"AAAAAH/b/2o=")</f>
        <v>#REF!</v>
      </c>
      <c r="DD260" t="e">
        <f>AND(Onsite!#REF!,"AAAAAH/b/2s=")</f>
        <v>#REF!</v>
      </c>
      <c r="DE260" t="e">
        <f>IF(Onsite!#REF!,"AAAAAH/b/2w=",0)</f>
        <v>#REF!</v>
      </c>
      <c r="DF260" t="e">
        <f>AND(Onsite!#REF!,"AAAAAH/b/20=")</f>
        <v>#REF!</v>
      </c>
      <c r="DG260" t="e">
        <f>AND(Onsite!#REF!,"AAAAAH/b/24=")</f>
        <v>#REF!</v>
      </c>
      <c r="DH260" t="e">
        <f>AND(Onsite!#REF!,"AAAAAH/b/28=")</f>
        <v>#REF!</v>
      </c>
      <c r="DI260" t="e">
        <f>AND(Onsite!#REF!,"AAAAAH/b/3A=")</f>
        <v>#REF!</v>
      </c>
      <c r="DJ260" t="e">
        <f>AND(Onsite!#REF!,"AAAAAH/b/3E=")</f>
        <v>#REF!</v>
      </c>
      <c r="DK260" t="e">
        <f>AND(Onsite!#REF!,"AAAAAH/b/3I=")</f>
        <v>#REF!</v>
      </c>
      <c r="DL260" t="e">
        <f>AND(Onsite!#REF!,"AAAAAH/b/3M=")</f>
        <v>#REF!</v>
      </c>
      <c r="DM260" t="e">
        <f>AND(Onsite!#REF!,"AAAAAH/b/3Q=")</f>
        <v>#REF!</v>
      </c>
      <c r="DN260" t="e">
        <f>AND(Onsite!#REF!,"AAAAAH/b/3U=")</f>
        <v>#REF!</v>
      </c>
      <c r="DO260" t="e">
        <f>AND(Onsite!#REF!,"AAAAAH/b/3Y=")</f>
        <v>#REF!</v>
      </c>
      <c r="DP260" t="e">
        <f>AND(Onsite!#REF!,"AAAAAH/b/3c=")</f>
        <v>#REF!</v>
      </c>
      <c r="DQ260" t="e">
        <f>AND(Onsite!#REF!,"AAAAAH/b/3g=")</f>
        <v>#REF!</v>
      </c>
      <c r="DR260" t="e">
        <f>AND(Onsite!#REF!,"AAAAAH/b/3k=")</f>
        <v>#REF!</v>
      </c>
      <c r="DS260" t="e">
        <f>IF(Onsite!#REF!,"AAAAAH/b/3o=",0)</f>
        <v>#REF!</v>
      </c>
      <c r="DT260" t="e">
        <f>AND(Onsite!#REF!,"AAAAAH/b/3s=")</f>
        <v>#REF!</v>
      </c>
      <c r="DU260" t="e">
        <f>AND(Onsite!#REF!,"AAAAAH/b/3w=")</f>
        <v>#REF!</v>
      </c>
      <c r="DV260" t="e">
        <f>AND(Onsite!#REF!,"AAAAAH/b/30=")</f>
        <v>#REF!</v>
      </c>
      <c r="DW260" t="e">
        <f>AND(Onsite!#REF!,"AAAAAH/b/34=")</f>
        <v>#REF!</v>
      </c>
      <c r="DX260" t="e">
        <f>AND(Onsite!#REF!,"AAAAAH/b/38=")</f>
        <v>#REF!</v>
      </c>
      <c r="DY260" t="e">
        <f>AND(Onsite!#REF!,"AAAAAH/b/4A=")</f>
        <v>#REF!</v>
      </c>
      <c r="DZ260" t="e">
        <f>AND(Onsite!#REF!,"AAAAAH/b/4E=")</f>
        <v>#REF!</v>
      </c>
      <c r="EA260" t="e">
        <f>AND(Onsite!#REF!,"AAAAAH/b/4I=")</f>
        <v>#REF!</v>
      </c>
      <c r="EB260" t="e">
        <f>AND(Onsite!#REF!,"AAAAAH/b/4M=")</f>
        <v>#REF!</v>
      </c>
      <c r="EC260" t="e">
        <f>AND(Onsite!#REF!,"AAAAAH/b/4Q=")</f>
        <v>#REF!</v>
      </c>
      <c r="ED260" t="e">
        <f>AND(Onsite!#REF!,"AAAAAH/b/4U=")</f>
        <v>#REF!</v>
      </c>
      <c r="EE260" t="e">
        <f>AND(Onsite!#REF!,"AAAAAH/b/4Y=")</f>
        <v>#REF!</v>
      </c>
      <c r="EF260" t="e">
        <f>AND(Onsite!#REF!,"AAAAAH/b/4c=")</f>
        <v>#REF!</v>
      </c>
      <c r="EG260" t="e">
        <f>IF(Onsite!#REF!,"AAAAAH/b/4g=",0)</f>
        <v>#REF!</v>
      </c>
      <c r="EH260" t="e">
        <f>AND(Onsite!#REF!,"AAAAAH/b/4k=")</f>
        <v>#REF!</v>
      </c>
      <c r="EI260" t="e">
        <f>AND(Onsite!#REF!,"AAAAAH/b/4o=")</f>
        <v>#REF!</v>
      </c>
      <c r="EJ260" t="e">
        <f>AND(Onsite!#REF!,"AAAAAH/b/4s=")</f>
        <v>#REF!</v>
      </c>
      <c r="EK260" t="e">
        <f>AND(Onsite!#REF!,"AAAAAH/b/4w=")</f>
        <v>#REF!</v>
      </c>
      <c r="EL260" t="e">
        <f>AND(Onsite!#REF!,"AAAAAH/b/40=")</f>
        <v>#REF!</v>
      </c>
      <c r="EM260" t="e">
        <f>AND(Onsite!#REF!,"AAAAAH/b/44=")</f>
        <v>#REF!</v>
      </c>
      <c r="EN260" t="e">
        <f>AND(Onsite!#REF!,"AAAAAH/b/48=")</f>
        <v>#REF!</v>
      </c>
      <c r="EO260" t="e">
        <f>AND(Onsite!#REF!,"AAAAAH/b/5A=")</f>
        <v>#REF!</v>
      </c>
      <c r="EP260" t="e">
        <f>AND(Onsite!#REF!,"AAAAAH/b/5E=")</f>
        <v>#REF!</v>
      </c>
      <c r="EQ260" t="e">
        <f>AND(Onsite!#REF!,"AAAAAH/b/5I=")</f>
        <v>#REF!</v>
      </c>
      <c r="ER260" t="e">
        <f>AND(Onsite!#REF!,"AAAAAH/b/5M=")</f>
        <v>#REF!</v>
      </c>
      <c r="ES260" t="e">
        <f>AND(Onsite!#REF!,"AAAAAH/b/5Q=")</f>
        <v>#REF!</v>
      </c>
      <c r="ET260" t="e">
        <f>AND(Onsite!#REF!,"AAAAAH/b/5U=")</f>
        <v>#REF!</v>
      </c>
      <c r="EU260" t="e">
        <f>IF(Onsite!#REF!,"AAAAAH/b/5Y=",0)</f>
        <v>#REF!</v>
      </c>
      <c r="EV260" t="e">
        <f>AND(Onsite!#REF!,"AAAAAH/b/5c=")</f>
        <v>#REF!</v>
      </c>
      <c r="EW260" t="e">
        <f>AND(Onsite!#REF!,"AAAAAH/b/5g=")</f>
        <v>#REF!</v>
      </c>
      <c r="EX260" t="e">
        <f>AND(Onsite!#REF!,"AAAAAH/b/5k=")</f>
        <v>#REF!</v>
      </c>
      <c r="EY260" t="e">
        <f>AND(Onsite!#REF!,"AAAAAH/b/5o=")</f>
        <v>#REF!</v>
      </c>
      <c r="EZ260" t="e">
        <f>AND(Onsite!#REF!,"AAAAAH/b/5s=")</f>
        <v>#REF!</v>
      </c>
      <c r="FA260" t="e">
        <f>AND(Onsite!#REF!,"AAAAAH/b/5w=")</f>
        <v>#REF!</v>
      </c>
      <c r="FB260" t="e">
        <f>AND(Onsite!#REF!,"AAAAAH/b/50=")</f>
        <v>#REF!</v>
      </c>
      <c r="FC260" t="e">
        <f>AND(Onsite!#REF!,"AAAAAH/b/54=")</f>
        <v>#REF!</v>
      </c>
      <c r="FD260" t="e">
        <f>AND(Onsite!#REF!,"AAAAAH/b/58=")</f>
        <v>#REF!</v>
      </c>
      <c r="FE260" t="e">
        <f>AND(Onsite!#REF!,"AAAAAH/b/6A=")</f>
        <v>#REF!</v>
      </c>
      <c r="FF260" t="e">
        <f>AND(Onsite!#REF!,"AAAAAH/b/6E=")</f>
        <v>#REF!</v>
      </c>
      <c r="FG260" t="e">
        <f>AND(Onsite!#REF!,"AAAAAH/b/6I=")</f>
        <v>#REF!</v>
      </c>
      <c r="FH260" t="e">
        <f>AND(Onsite!#REF!,"AAAAAH/b/6M=")</f>
        <v>#REF!</v>
      </c>
      <c r="FI260" t="e">
        <f>IF(Onsite!#REF!,"AAAAAH/b/6Q=",0)</f>
        <v>#REF!</v>
      </c>
      <c r="FJ260" t="e">
        <f>AND(Onsite!#REF!,"AAAAAH/b/6U=")</f>
        <v>#REF!</v>
      </c>
      <c r="FK260" t="e">
        <f>AND(Onsite!#REF!,"AAAAAH/b/6Y=")</f>
        <v>#REF!</v>
      </c>
      <c r="FL260" t="e">
        <f>AND(Onsite!#REF!,"AAAAAH/b/6c=")</f>
        <v>#REF!</v>
      </c>
      <c r="FM260" t="e">
        <f>AND(Onsite!#REF!,"AAAAAH/b/6g=")</f>
        <v>#REF!</v>
      </c>
      <c r="FN260" t="e">
        <f>AND(Onsite!#REF!,"AAAAAH/b/6k=")</f>
        <v>#REF!</v>
      </c>
      <c r="FO260" t="e">
        <f>AND(Onsite!#REF!,"AAAAAH/b/6o=")</f>
        <v>#REF!</v>
      </c>
      <c r="FP260" t="e">
        <f>AND(Onsite!#REF!,"AAAAAH/b/6s=")</f>
        <v>#REF!</v>
      </c>
      <c r="FQ260" t="e">
        <f>AND(Onsite!#REF!,"AAAAAH/b/6w=")</f>
        <v>#REF!</v>
      </c>
      <c r="FR260" t="e">
        <f>AND(Onsite!#REF!,"AAAAAH/b/60=")</f>
        <v>#REF!</v>
      </c>
      <c r="FS260" t="e">
        <f>AND(Onsite!#REF!,"AAAAAH/b/64=")</f>
        <v>#REF!</v>
      </c>
      <c r="FT260" t="e">
        <f>AND(Onsite!#REF!,"AAAAAH/b/68=")</f>
        <v>#REF!</v>
      </c>
      <c r="FU260" t="e">
        <f>AND(Onsite!#REF!,"AAAAAH/b/7A=")</f>
        <v>#REF!</v>
      </c>
      <c r="FV260" t="e">
        <f>AND(Onsite!#REF!,"AAAAAH/b/7E=")</f>
        <v>#REF!</v>
      </c>
      <c r="FW260" t="e">
        <f>IF(Onsite!#REF!,"AAAAAH/b/7I=",0)</f>
        <v>#REF!</v>
      </c>
      <c r="FX260" t="e">
        <f>AND(Onsite!#REF!,"AAAAAH/b/7M=")</f>
        <v>#REF!</v>
      </c>
      <c r="FY260" t="e">
        <f>AND(Onsite!#REF!,"AAAAAH/b/7Q=")</f>
        <v>#REF!</v>
      </c>
      <c r="FZ260" t="e">
        <f>AND(Onsite!#REF!,"AAAAAH/b/7U=")</f>
        <v>#REF!</v>
      </c>
      <c r="GA260" t="e">
        <f>AND(Onsite!#REF!,"AAAAAH/b/7Y=")</f>
        <v>#REF!</v>
      </c>
      <c r="GB260" t="e">
        <f>AND(Onsite!#REF!,"AAAAAH/b/7c=")</f>
        <v>#REF!</v>
      </c>
      <c r="GC260" t="e">
        <f>AND(Onsite!#REF!,"AAAAAH/b/7g=")</f>
        <v>#REF!</v>
      </c>
      <c r="GD260" t="e">
        <f>AND(Onsite!#REF!,"AAAAAH/b/7k=")</f>
        <v>#REF!</v>
      </c>
      <c r="GE260" t="e">
        <f>AND(Onsite!#REF!,"AAAAAH/b/7o=")</f>
        <v>#REF!</v>
      </c>
      <c r="GF260" t="e">
        <f>AND(Onsite!#REF!,"AAAAAH/b/7s=")</f>
        <v>#REF!</v>
      </c>
      <c r="GG260" t="e">
        <f>AND(Onsite!#REF!,"AAAAAH/b/7w=")</f>
        <v>#REF!</v>
      </c>
      <c r="GH260" t="e">
        <f>AND(Onsite!#REF!,"AAAAAH/b/70=")</f>
        <v>#REF!</v>
      </c>
      <c r="GI260" t="e">
        <f>AND(Onsite!#REF!,"AAAAAH/b/74=")</f>
        <v>#REF!</v>
      </c>
      <c r="GJ260" t="e">
        <f>AND(Onsite!#REF!,"AAAAAH/b/78=")</f>
        <v>#REF!</v>
      </c>
      <c r="GK260" t="e">
        <f>IF(Onsite!#REF!,"AAAAAH/b/8A=",0)</f>
        <v>#REF!</v>
      </c>
      <c r="GL260" t="e">
        <f>AND(Onsite!#REF!,"AAAAAH/b/8E=")</f>
        <v>#REF!</v>
      </c>
      <c r="GM260" t="e">
        <f>AND(Onsite!#REF!,"AAAAAH/b/8I=")</f>
        <v>#REF!</v>
      </c>
      <c r="GN260" t="e">
        <f>AND(Onsite!#REF!,"AAAAAH/b/8M=")</f>
        <v>#REF!</v>
      </c>
      <c r="GO260" t="e">
        <f>AND(Onsite!#REF!,"AAAAAH/b/8Q=")</f>
        <v>#REF!</v>
      </c>
      <c r="GP260" t="e">
        <f>AND(Onsite!#REF!,"AAAAAH/b/8U=")</f>
        <v>#REF!</v>
      </c>
      <c r="GQ260" t="e">
        <f>AND(Onsite!#REF!,"AAAAAH/b/8Y=")</f>
        <v>#REF!</v>
      </c>
      <c r="GR260" t="e">
        <f>AND(Onsite!#REF!,"AAAAAH/b/8c=")</f>
        <v>#REF!</v>
      </c>
      <c r="GS260" t="e">
        <f>AND(Onsite!#REF!,"AAAAAH/b/8g=")</f>
        <v>#REF!</v>
      </c>
      <c r="GT260" t="e">
        <f>AND(Onsite!#REF!,"AAAAAH/b/8k=")</f>
        <v>#REF!</v>
      </c>
      <c r="GU260" t="e">
        <f>AND(Onsite!#REF!,"AAAAAH/b/8o=")</f>
        <v>#REF!</v>
      </c>
      <c r="GV260" t="e">
        <f>AND(Onsite!#REF!,"AAAAAH/b/8s=")</f>
        <v>#REF!</v>
      </c>
      <c r="GW260" t="e">
        <f>AND(Onsite!#REF!,"AAAAAH/b/8w=")</f>
        <v>#REF!</v>
      </c>
      <c r="GX260" t="e">
        <f>AND(Onsite!#REF!,"AAAAAH/b/80=")</f>
        <v>#REF!</v>
      </c>
      <c r="GY260" t="e">
        <f>IF(Onsite!#REF!,"AAAAAH/b/84=",0)</f>
        <v>#REF!</v>
      </c>
      <c r="GZ260" t="e">
        <f>AND(Onsite!#REF!,"AAAAAH/b/88=")</f>
        <v>#REF!</v>
      </c>
      <c r="HA260" t="e">
        <f>AND(Onsite!#REF!,"AAAAAH/b/9A=")</f>
        <v>#REF!</v>
      </c>
      <c r="HB260" t="e">
        <f>AND(Onsite!#REF!,"AAAAAH/b/9E=")</f>
        <v>#REF!</v>
      </c>
      <c r="HC260" t="e">
        <f>AND(Onsite!#REF!,"AAAAAH/b/9I=")</f>
        <v>#REF!</v>
      </c>
      <c r="HD260" t="e">
        <f>AND(Onsite!#REF!,"AAAAAH/b/9M=")</f>
        <v>#REF!</v>
      </c>
      <c r="HE260" t="e">
        <f>AND(Onsite!#REF!,"AAAAAH/b/9Q=")</f>
        <v>#REF!</v>
      </c>
      <c r="HF260" t="e">
        <f>AND(Onsite!#REF!,"AAAAAH/b/9U=")</f>
        <v>#REF!</v>
      </c>
      <c r="HG260" t="e">
        <f>AND(Onsite!#REF!,"AAAAAH/b/9Y=")</f>
        <v>#REF!</v>
      </c>
      <c r="HH260" t="e">
        <f>AND(Onsite!#REF!,"AAAAAH/b/9c=")</f>
        <v>#REF!</v>
      </c>
      <c r="HI260" t="e">
        <f>AND(Onsite!#REF!,"AAAAAH/b/9g=")</f>
        <v>#REF!</v>
      </c>
      <c r="HJ260" t="e">
        <f>AND(Onsite!#REF!,"AAAAAH/b/9k=")</f>
        <v>#REF!</v>
      </c>
      <c r="HK260" t="e">
        <f>AND(Onsite!#REF!,"AAAAAH/b/9o=")</f>
        <v>#REF!</v>
      </c>
      <c r="HL260" t="e">
        <f>AND(Onsite!#REF!,"AAAAAH/b/9s=")</f>
        <v>#REF!</v>
      </c>
      <c r="HM260" t="e">
        <f>IF(Onsite!#REF!,"AAAAAH/b/9w=",0)</f>
        <v>#REF!</v>
      </c>
      <c r="HN260" t="e">
        <f>AND(Onsite!#REF!,"AAAAAH/b/90=")</f>
        <v>#REF!</v>
      </c>
      <c r="HO260" t="e">
        <f>AND(Onsite!#REF!,"AAAAAH/b/94=")</f>
        <v>#REF!</v>
      </c>
      <c r="HP260" t="e">
        <f>AND(Onsite!#REF!,"AAAAAH/b/98=")</f>
        <v>#REF!</v>
      </c>
      <c r="HQ260" t="e">
        <f>AND(Onsite!#REF!,"AAAAAH/b/+A=")</f>
        <v>#REF!</v>
      </c>
      <c r="HR260" t="e">
        <f>AND(Onsite!#REF!,"AAAAAH/b/+E=")</f>
        <v>#REF!</v>
      </c>
      <c r="HS260" t="e">
        <f>AND(Onsite!#REF!,"AAAAAH/b/+I=")</f>
        <v>#REF!</v>
      </c>
      <c r="HT260" t="e">
        <f>AND(Onsite!#REF!,"AAAAAH/b/+M=")</f>
        <v>#REF!</v>
      </c>
      <c r="HU260" t="e">
        <f>AND(Onsite!#REF!,"AAAAAH/b/+Q=")</f>
        <v>#REF!</v>
      </c>
      <c r="HV260" t="e">
        <f>AND(Onsite!#REF!,"AAAAAH/b/+U=")</f>
        <v>#REF!</v>
      </c>
      <c r="HW260" t="e">
        <f>AND(Onsite!#REF!,"AAAAAH/b/+Y=")</f>
        <v>#REF!</v>
      </c>
      <c r="HX260" t="e">
        <f>AND(Onsite!#REF!,"AAAAAH/b/+c=")</f>
        <v>#REF!</v>
      </c>
      <c r="HY260" t="e">
        <f>AND(Onsite!#REF!,"AAAAAH/b/+g=")</f>
        <v>#REF!</v>
      </c>
      <c r="HZ260" t="e">
        <f>AND(Onsite!#REF!,"AAAAAH/b/+k=")</f>
        <v>#REF!</v>
      </c>
      <c r="IA260" t="e">
        <f>IF(Onsite!#REF!,"AAAAAH/b/+o=",0)</f>
        <v>#REF!</v>
      </c>
      <c r="IB260" t="e">
        <f>AND(Onsite!#REF!,"AAAAAH/b/+s=")</f>
        <v>#REF!</v>
      </c>
      <c r="IC260" t="e">
        <f>AND(Onsite!#REF!,"AAAAAH/b/+w=")</f>
        <v>#REF!</v>
      </c>
      <c r="ID260" t="e">
        <f>AND(Onsite!#REF!,"AAAAAH/b/+0=")</f>
        <v>#REF!</v>
      </c>
      <c r="IE260" t="e">
        <f>AND(Onsite!#REF!,"AAAAAH/b/+4=")</f>
        <v>#REF!</v>
      </c>
      <c r="IF260" t="e">
        <f>AND(Onsite!#REF!,"AAAAAH/b/+8=")</f>
        <v>#REF!</v>
      </c>
      <c r="IG260" t="e">
        <f>AND(Onsite!#REF!,"AAAAAH/b//A=")</f>
        <v>#REF!</v>
      </c>
      <c r="IH260" t="e">
        <f>AND(Onsite!#REF!,"AAAAAH/b//E=")</f>
        <v>#REF!</v>
      </c>
      <c r="II260" t="e">
        <f>AND(Onsite!#REF!,"AAAAAH/b//I=")</f>
        <v>#REF!</v>
      </c>
      <c r="IJ260" t="e">
        <f>AND(Onsite!#REF!,"AAAAAH/b//M=")</f>
        <v>#REF!</v>
      </c>
      <c r="IK260" t="e">
        <f>AND(Onsite!#REF!,"AAAAAH/b//Q=")</f>
        <v>#REF!</v>
      </c>
      <c r="IL260" t="e">
        <f>AND(Onsite!#REF!,"AAAAAH/b//U=")</f>
        <v>#REF!</v>
      </c>
      <c r="IM260" t="e">
        <f>AND(Onsite!#REF!,"AAAAAH/b//Y=")</f>
        <v>#REF!</v>
      </c>
      <c r="IN260" t="e">
        <f>AND(Onsite!#REF!,"AAAAAH/b//c=")</f>
        <v>#REF!</v>
      </c>
      <c r="IO260" t="e">
        <f>IF(Onsite!#REF!,"AAAAAH/b//g=",0)</f>
        <v>#REF!</v>
      </c>
      <c r="IP260" t="e">
        <f>AND(Onsite!#REF!,"AAAAAH/b//k=")</f>
        <v>#REF!</v>
      </c>
      <c r="IQ260" t="e">
        <f>AND(Onsite!#REF!,"AAAAAH/b//o=")</f>
        <v>#REF!</v>
      </c>
      <c r="IR260" t="e">
        <f>AND(Onsite!#REF!,"AAAAAH/b//s=")</f>
        <v>#REF!</v>
      </c>
      <c r="IS260" t="e">
        <f>AND(Onsite!#REF!,"AAAAAH/b//w=")</f>
        <v>#REF!</v>
      </c>
      <c r="IT260" t="e">
        <f>AND(Onsite!#REF!,"AAAAAH/b//0=")</f>
        <v>#REF!</v>
      </c>
      <c r="IU260" t="e">
        <f>AND(Onsite!#REF!,"AAAAAH/b//4=")</f>
        <v>#REF!</v>
      </c>
      <c r="IV260" t="e">
        <f>AND(Onsite!#REF!,"AAAAAH/b//8=")</f>
        <v>#REF!</v>
      </c>
    </row>
    <row r="261" spans="1:256" x14ac:dyDescent="0.2">
      <c r="A261" t="e">
        <f>AND(Onsite!#REF!,"AAAAADNXswA=")</f>
        <v>#REF!</v>
      </c>
      <c r="B261" t="e">
        <f>AND(Onsite!#REF!,"AAAAADNXswE=")</f>
        <v>#REF!</v>
      </c>
      <c r="C261" t="e">
        <f>AND(Onsite!#REF!,"AAAAADNXswI=")</f>
        <v>#REF!</v>
      </c>
      <c r="D261" t="e">
        <f>AND(Onsite!#REF!,"AAAAADNXswM=")</f>
        <v>#REF!</v>
      </c>
      <c r="E261" t="e">
        <f>AND(Onsite!#REF!,"AAAAADNXswQ=")</f>
        <v>#REF!</v>
      </c>
      <c r="F261" t="e">
        <f>AND(Onsite!#REF!,"AAAAADNXswU=")</f>
        <v>#REF!</v>
      </c>
      <c r="G261" t="e">
        <f>IF(Onsite!#REF!,"AAAAADNXswY=",0)</f>
        <v>#REF!</v>
      </c>
      <c r="H261" t="e">
        <f>AND(Onsite!#REF!,"AAAAADNXswc=")</f>
        <v>#REF!</v>
      </c>
      <c r="I261" t="e">
        <f>AND(Onsite!#REF!,"AAAAADNXswg=")</f>
        <v>#REF!</v>
      </c>
      <c r="J261" t="e">
        <f>AND(Onsite!#REF!,"AAAAADNXswk=")</f>
        <v>#REF!</v>
      </c>
      <c r="K261" t="e">
        <f>AND(Onsite!#REF!,"AAAAADNXswo=")</f>
        <v>#REF!</v>
      </c>
      <c r="L261" t="e">
        <f>AND(Onsite!#REF!,"AAAAADNXsws=")</f>
        <v>#REF!</v>
      </c>
      <c r="M261" t="e">
        <f>AND(Onsite!#REF!,"AAAAADNXsww=")</f>
        <v>#REF!</v>
      </c>
      <c r="N261" t="e">
        <f>AND(Onsite!#REF!,"AAAAADNXsw0=")</f>
        <v>#REF!</v>
      </c>
      <c r="O261" t="e">
        <f>AND(Onsite!#REF!,"AAAAADNXsw4=")</f>
        <v>#REF!</v>
      </c>
      <c r="P261" t="e">
        <f>AND(Onsite!#REF!,"AAAAADNXsw8=")</f>
        <v>#REF!</v>
      </c>
      <c r="Q261" t="e">
        <f>AND(Onsite!#REF!,"AAAAADNXsxA=")</f>
        <v>#REF!</v>
      </c>
      <c r="R261" t="e">
        <f>AND(Onsite!#REF!,"AAAAADNXsxE=")</f>
        <v>#REF!</v>
      </c>
      <c r="S261" t="e">
        <f>AND(Onsite!#REF!,"AAAAADNXsxI=")</f>
        <v>#REF!</v>
      </c>
      <c r="T261" t="e">
        <f>AND(Onsite!#REF!,"AAAAADNXsxM=")</f>
        <v>#REF!</v>
      </c>
      <c r="U261" t="e">
        <f>IF(Onsite!#REF!,"AAAAADNXsxQ=",0)</f>
        <v>#REF!</v>
      </c>
      <c r="V261" t="e">
        <f>AND(Onsite!#REF!,"AAAAADNXsxU=")</f>
        <v>#REF!</v>
      </c>
      <c r="W261" t="e">
        <f>AND(Onsite!#REF!,"AAAAADNXsxY=")</f>
        <v>#REF!</v>
      </c>
      <c r="X261" t="e">
        <f>AND(Onsite!#REF!,"AAAAADNXsxc=")</f>
        <v>#REF!</v>
      </c>
      <c r="Y261" t="e">
        <f>AND(Onsite!#REF!,"AAAAADNXsxg=")</f>
        <v>#REF!</v>
      </c>
      <c r="Z261" t="e">
        <f>AND(Onsite!#REF!,"AAAAADNXsxk=")</f>
        <v>#REF!</v>
      </c>
      <c r="AA261" t="e">
        <f>AND(Onsite!#REF!,"AAAAADNXsxo=")</f>
        <v>#REF!</v>
      </c>
      <c r="AB261" t="e">
        <f>AND(Onsite!#REF!,"AAAAADNXsxs=")</f>
        <v>#REF!</v>
      </c>
      <c r="AC261" t="e">
        <f>AND(Onsite!#REF!,"AAAAADNXsxw=")</f>
        <v>#REF!</v>
      </c>
      <c r="AD261" t="e">
        <f>AND(Onsite!#REF!,"AAAAADNXsx0=")</f>
        <v>#REF!</v>
      </c>
      <c r="AE261" t="e">
        <f>AND(Onsite!#REF!,"AAAAADNXsx4=")</f>
        <v>#REF!</v>
      </c>
      <c r="AF261" t="e">
        <f>AND(Onsite!#REF!,"AAAAADNXsx8=")</f>
        <v>#REF!</v>
      </c>
      <c r="AG261" t="e">
        <f>AND(Onsite!#REF!,"AAAAADNXsyA=")</f>
        <v>#REF!</v>
      </c>
      <c r="AH261" t="e">
        <f>AND(Onsite!#REF!,"AAAAADNXsyE=")</f>
        <v>#REF!</v>
      </c>
      <c r="AI261" t="e">
        <f>IF(Onsite!#REF!,"AAAAADNXsyI=",0)</f>
        <v>#REF!</v>
      </c>
      <c r="AJ261" t="e">
        <f>AND(Onsite!#REF!,"AAAAADNXsyM=")</f>
        <v>#REF!</v>
      </c>
      <c r="AK261" t="e">
        <f>AND(Onsite!#REF!,"AAAAADNXsyQ=")</f>
        <v>#REF!</v>
      </c>
      <c r="AL261" t="e">
        <f>AND(Onsite!#REF!,"AAAAADNXsyU=")</f>
        <v>#REF!</v>
      </c>
      <c r="AM261" t="e">
        <f>AND(Onsite!#REF!,"AAAAADNXsyY=")</f>
        <v>#REF!</v>
      </c>
      <c r="AN261" t="e">
        <f>AND(Onsite!#REF!,"AAAAADNXsyc=")</f>
        <v>#REF!</v>
      </c>
      <c r="AO261" t="e">
        <f>AND(Onsite!#REF!,"AAAAADNXsyg=")</f>
        <v>#REF!</v>
      </c>
      <c r="AP261" t="e">
        <f>AND(Onsite!#REF!,"AAAAADNXsyk=")</f>
        <v>#REF!</v>
      </c>
      <c r="AQ261" t="e">
        <f>AND(Onsite!#REF!,"AAAAADNXsyo=")</f>
        <v>#REF!</v>
      </c>
      <c r="AR261" t="e">
        <f>AND(Onsite!#REF!,"AAAAADNXsys=")</f>
        <v>#REF!</v>
      </c>
      <c r="AS261" t="e">
        <f>AND(Onsite!#REF!,"AAAAADNXsyw=")</f>
        <v>#REF!</v>
      </c>
      <c r="AT261" t="e">
        <f>AND(Onsite!#REF!,"AAAAADNXsy0=")</f>
        <v>#REF!</v>
      </c>
      <c r="AU261" t="e">
        <f>AND(Onsite!#REF!,"AAAAADNXsy4=")</f>
        <v>#REF!</v>
      </c>
      <c r="AV261" t="e">
        <f>AND(Onsite!#REF!,"AAAAADNXsy8=")</f>
        <v>#REF!</v>
      </c>
      <c r="AW261" t="e">
        <f>IF(Onsite!#REF!,"AAAAADNXszA=",0)</f>
        <v>#REF!</v>
      </c>
      <c r="AX261" t="e">
        <f>AND(Onsite!#REF!,"AAAAADNXszE=")</f>
        <v>#REF!</v>
      </c>
      <c r="AY261" t="e">
        <f>AND(Onsite!#REF!,"AAAAADNXszI=")</f>
        <v>#REF!</v>
      </c>
      <c r="AZ261" t="e">
        <f>AND(Onsite!#REF!,"AAAAADNXszM=")</f>
        <v>#REF!</v>
      </c>
      <c r="BA261" t="e">
        <f>AND(Onsite!#REF!,"AAAAADNXszQ=")</f>
        <v>#REF!</v>
      </c>
      <c r="BB261" t="e">
        <f>AND(Onsite!#REF!,"AAAAADNXszU=")</f>
        <v>#REF!</v>
      </c>
      <c r="BC261" t="e">
        <f>AND(Onsite!#REF!,"AAAAADNXszY=")</f>
        <v>#REF!</v>
      </c>
      <c r="BD261" t="e">
        <f>AND(Onsite!#REF!,"AAAAADNXszc=")</f>
        <v>#REF!</v>
      </c>
      <c r="BE261" t="e">
        <f>AND(Onsite!#REF!,"AAAAADNXszg=")</f>
        <v>#REF!</v>
      </c>
      <c r="BF261" t="e">
        <f>AND(Onsite!#REF!,"AAAAADNXszk=")</f>
        <v>#REF!</v>
      </c>
      <c r="BG261" t="e">
        <f>AND(Onsite!#REF!,"AAAAADNXszo=")</f>
        <v>#REF!</v>
      </c>
      <c r="BH261" t="e">
        <f>AND(Onsite!#REF!,"AAAAADNXszs=")</f>
        <v>#REF!</v>
      </c>
      <c r="BI261" t="e">
        <f>AND(Onsite!#REF!,"AAAAADNXszw=")</f>
        <v>#REF!</v>
      </c>
      <c r="BJ261" t="e">
        <f>AND(Onsite!#REF!,"AAAAADNXsz0=")</f>
        <v>#REF!</v>
      </c>
      <c r="BK261" t="e">
        <f>IF(Onsite!#REF!,"AAAAADNXsz4=",0)</f>
        <v>#REF!</v>
      </c>
      <c r="BL261" t="e">
        <f>AND(Onsite!#REF!,"AAAAADNXsz8=")</f>
        <v>#REF!</v>
      </c>
      <c r="BM261" t="e">
        <f>AND(Onsite!#REF!,"AAAAADNXs0A=")</f>
        <v>#REF!</v>
      </c>
      <c r="BN261" t="e">
        <f>AND(Onsite!#REF!,"AAAAADNXs0E=")</f>
        <v>#REF!</v>
      </c>
      <c r="BO261" t="e">
        <f>AND(Onsite!#REF!,"AAAAADNXs0I=")</f>
        <v>#REF!</v>
      </c>
      <c r="BP261" t="e">
        <f>AND(Onsite!#REF!,"AAAAADNXs0M=")</f>
        <v>#REF!</v>
      </c>
      <c r="BQ261" t="e">
        <f>AND(Onsite!#REF!,"AAAAADNXs0Q=")</f>
        <v>#REF!</v>
      </c>
      <c r="BR261" t="e">
        <f>AND(Onsite!#REF!,"AAAAADNXs0U=")</f>
        <v>#REF!</v>
      </c>
      <c r="BS261" t="e">
        <f>AND(Onsite!#REF!,"AAAAADNXs0Y=")</f>
        <v>#REF!</v>
      </c>
      <c r="BT261" t="e">
        <f>AND(Onsite!#REF!,"AAAAADNXs0c=")</f>
        <v>#REF!</v>
      </c>
      <c r="BU261" t="e">
        <f>AND(Onsite!#REF!,"AAAAADNXs0g=")</f>
        <v>#REF!</v>
      </c>
      <c r="BV261" t="e">
        <f>AND(Onsite!#REF!,"AAAAADNXs0k=")</f>
        <v>#REF!</v>
      </c>
      <c r="BW261" t="e">
        <f>AND(Onsite!#REF!,"AAAAADNXs0o=")</f>
        <v>#REF!</v>
      </c>
      <c r="BX261" t="e">
        <f>AND(Onsite!#REF!,"AAAAADNXs0s=")</f>
        <v>#REF!</v>
      </c>
      <c r="BY261" t="e">
        <f>IF(Onsite!#REF!,"AAAAADNXs0w=",0)</f>
        <v>#REF!</v>
      </c>
      <c r="BZ261" t="e">
        <f>AND(Onsite!#REF!,"AAAAADNXs00=")</f>
        <v>#REF!</v>
      </c>
      <c r="CA261" t="e">
        <f>AND(Onsite!#REF!,"AAAAADNXs04=")</f>
        <v>#REF!</v>
      </c>
      <c r="CB261" t="e">
        <f>AND(Onsite!#REF!,"AAAAADNXs08=")</f>
        <v>#REF!</v>
      </c>
      <c r="CC261" t="e">
        <f>AND(Onsite!#REF!,"AAAAADNXs1A=")</f>
        <v>#REF!</v>
      </c>
      <c r="CD261" t="e">
        <f>AND(Onsite!#REF!,"AAAAADNXs1E=")</f>
        <v>#REF!</v>
      </c>
      <c r="CE261" t="e">
        <f>AND(Onsite!#REF!,"AAAAADNXs1I=")</f>
        <v>#REF!</v>
      </c>
      <c r="CF261" t="e">
        <f>AND(Onsite!#REF!,"AAAAADNXs1M=")</f>
        <v>#REF!</v>
      </c>
      <c r="CG261" t="e">
        <f>AND(Onsite!#REF!,"AAAAADNXs1Q=")</f>
        <v>#REF!</v>
      </c>
      <c r="CH261" t="e">
        <f>AND(Onsite!#REF!,"AAAAADNXs1U=")</f>
        <v>#REF!</v>
      </c>
      <c r="CI261" t="e">
        <f>AND(Onsite!#REF!,"AAAAADNXs1Y=")</f>
        <v>#REF!</v>
      </c>
      <c r="CJ261" t="e">
        <f>AND(Onsite!#REF!,"AAAAADNXs1c=")</f>
        <v>#REF!</v>
      </c>
      <c r="CK261" t="e">
        <f>AND(Onsite!#REF!,"AAAAADNXs1g=")</f>
        <v>#REF!</v>
      </c>
      <c r="CL261" t="e">
        <f>AND(Onsite!#REF!,"AAAAADNXs1k=")</f>
        <v>#REF!</v>
      </c>
      <c r="CM261" t="e">
        <f>IF(Onsite!#REF!,"AAAAADNXs1o=",0)</f>
        <v>#REF!</v>
      </c>
      <c r="CN261" t="e">
        <f>AND(Onsite!#REF!,"AAAAADNXs1s=")</f>
        <v>#REF!</v>
      </c>
      <c r="CO261" t="e">
        <f>AND(Onsite!#REF!,"AAAAADNXs1w=")</f>
        <v>#REF!</v>
      </c>
      <c r="CP261" t="e">
        <f>AND(Onsite!#REF!,"AAAAADNXs10=")</f>
        <v>#REF!</v>
      </c>
      <c r="CQ261" t="e">
        <f>AND(Onsite!#REF!,"AAAAADNXs14=")</f>
        <v>#REF!</v>
      </c>
      <c r="CR261" t="e">
        <f>AND(Onsite!#REF!,"AAAAADNXs18=")</f>
        <v>#REF!</v>
      </c>
      <c r="CS261" t="e">
        <f>AND(Onsite!#REF!,"AAAAADNXs2A=")</f>
        <v>#REF!</v>
      </c>
      <c r="CT261" t="e">
        <f>AND(Onsite!#REF!,"AAAAADNXs2E=")</f>
        <v>#REF!</v>
      </c>
      <c r="CU261" t="e">
        <f>AND(Onsite!#REF!,"AAAAADNXs2I=")</f>
        <v>#REF!</v>
      </c>
      <c r="CV261" t="e">
        <f>AND(Onsite!#REF!,"AAAAADNXs2M=")</f>
        <v>#REF!</v>
      </c>
      <c r="CW261" t="e">
        <f>AND(Onsite!#REF!,"AAAAADNXs2Q=")</f>
        <v>#REF!</v>
      </c>
      <c r="CX261" t="e">
        <f>AND(Onsite!#REF!,"AAAAADNXs2U=")</f>
        <v>#REF!</v>
      </c>
      <c r="CY261" t="e">
        <f>AND(Onsite!#REF!,"AAAAADNXs2Y=")</f>
        <v>#REF!</v>
      </c>
      <c r="CZ261" t="e">
        <f>AND(Onsite!#REF!,"AAAAADNXs2c=")</f>
        <v>#REF!</v>
      </c>
      <c r="DA261" t="e">
        <f>IF(Onsite!#REF!,"AAAAADNXs2g=",0)</f>
        <v>#REF!</v>
      </c>
      <c r="DB261" t="e">
        <f>AND(Onsite!#REF!,"AAAAADNXs2k=")</f>
        <v>#REF!</v>
      </c>
      <c r="DC261" t="e">
        <f>AND(Onsite!#REF!,"AAAAADNXs2o=")</f>
        <v>#REF!</v>
      </c>
      <c r="DD261" t="e">
        <f>AND(Onsite!#REF!,"AAAAADNXs2s=")</f>
        <v>#REF!</v>
      </c>
      <c r="DE261" t="e">
        <f>AND(Onsite!#REF!,"AAAAADNXs2w=")</f>
        <v>#REF!</v>
      </c>
      <c r="DF261" t="e">
        <f>AND(Onsite!#REF!,"AAAAADNXs20=")</f>
        <v>#REF!</v>
      </c>
      <c r="DG261" t="e">
        <f>AND(Onsite!#REF!,"AAAAADNXs24=")</f>
        <v>#REF!</v>
      </c>
      <c r="DH261" t="e">
        <f>AND(Onsite!#REF!,"AAAAADNXs28=")</f>
        <v>#REF!</v>
      </c>
      <c r="DI261" t="e">
        <f>AND(Onsite!#REF!,"AAAAADNXs3A=")</f>
        <v>#REF!</v>
      </c>
      <c r="DJ261" t="e">
        <f>AND(Onsite!#REF!,"AAAAADNXs3E=")</f>
        <v>#REF!</v>
      </c>
      <c r="DK261" t="e">
        <f>AND(Onsite!#REF!,"AAAAADNXs3I=")</f>
        <v>#REF!</v>
      </c>
      <c r="DL261" t="e">
        <f>AND(Onsite!#REF!,"AAAAADNXs3M=")</f>
        <v>#REF!</v>
      </c>
      <c r="DM261" t="e">
        <f>AND(Onsite!#REF!,"AAAAADNXs3Q=")</f>
        <v>#REF!</v>
      </c>
      <c r="DN261" t="e">
        <f>AND(Onsite!#REF!,"AAAAADNXs3U=")</f>
        <v>#REF!</v>
      </c>
      <c r="DO261" t="e">
        <f>IF(Onsite!#REF!,"AAAAADNXs3Y=",0)</f>
        <v>#REF!</v>
      </c>
      <c r="DP261" t="e">
        <f>AND(Onsite!#REF!,"AAAAADNXs3c=")</f>
        <v>#REF!</v>
      </c>
      <c r="DQ261" t="e">
        <f>AND(Onsite!#REF!,"AAAAADNXs3g=")</f>
        <v>#REF!</v>
      </c>
      <c r="DR261" t="e">
        <f>AND(Onsite!#REF!,"AAAAADNXs3k=")</f>
        <v>#REF!</v>
      </c>
      <c r="DS261" t="e">
        <f>AND(Onsite!#REF!,"AAAAADNXs3o=")</f>
        <v>#REF!</v>
      </c>
      <c r="DT261" t="e">
        <f>AND(Onsite!#REF!,"AAAAADNXs3s=")</f>
        <v>#REF!</v>
      </c>
      <c r="DU261" t="e">
        <f>AND(Onsite!#REF!,"AAAAADNXs3w=")</f>
        <v>#REF!</v>
      </c>
      <c r="DV261" t="e">
        <f>AND(Onsite!#REF!,"AAAAADNXs30=")</f>
        <v>#REF!</v>
      </c>
      <c r="DW261" t="e">
        <f>AND(Onsite!#REF!,"AAAAADNXs34=")</f>
        <v>#REF!</v>
      </c>
      <c r="DX261" t="e">
        <f>AND(Onsite!#REF!,"AAAAADNXs38=")</f>
        <v>#REF!</v>
      </c>
      <c r="DY261" t="e">
        <f>AND(Onsite!#REF!,"AAAAADNXs4A=")</f>
        <v>#REF!</v>
      </c>
      <c r="DZ261" t="e">
        <f>AND(Onsite!#REF!,"AAAAADNXs4E=")</f>
        <v>#REF!</v>
      </c>
      <c r="EA261" t="e">
        <f>AND(Onsite!#REF!,"AAAAADNXs4I=")</f>
        <v>#REF!</v>
      </c>
      <c r="EB261" t="e">
        <f>AND(Onsite!#REF!,"AAAAADNXs4M=")</f>
        <v>#REF!</v>
      </c>
      <c r="EC261" t="e">
        <f>IF(Onsite!#REF!,"AAAAADNXs4Q=",0)</f>
        <v>#REF!</v>
      </c>
      <c r="ED261" t="e">
        <f>AND(Onsite!#REF!,"AAAAADNXs4U=")</f>
        <v>#REF!</v>
      </c>
      <c r="EE261" t="e">
        <f>AND(Onsite!#REF!,"AAAAADNXs4Y=")</f>
        <v>#REF!</v>
      </c>
      <c r="EF261" t="e">
        <f>AND(Onsite!#REF!,"AAAAADNXs4c=")</f>
        <v>#REF!</v>
      </c>
      <c r="EG261" t="e">
        <f>AND(Onsite!#REF!,"AAAAADNXs4g=")</f>
        <v>#REF!</v>
      </c>
      <c r="EH261" t="e">
        <f>AND(Onsite!#REF!,"AAAAADNXs4k=")</f>
        <v>#REF!</v>
      </c>
      <c r="EI261" t="e">
        <f>AND(Onsite!#REF!,"AAAAADNXs4o=")</f>
        <v>#REF!</v>
      </c>
      <c r="EJ261" t="e">
        <f>AND(Onsite!#REF!,"AAAAADNXs4s=")</f>
        <v>#REF!</v>
      </c>
      <c r="EK261" t="e">
        <f>AND(Onsite!#REF!,"AAAAADNXs4w=")</f>
        <v>#REF!</v>
      </c>
      <c r="EL261" t="e">
        <f>AND(Onsite!#REF!,"AAAAADNXs40=")</f>
        <v>#REF!</v>
      </c>
      <c r="EM261" t="e">
        <f>AND(Onsite!#REF!,"AAAAADNXs44=")</f>
        <v>#REF!</v>
      </c>
      <c r="EN261" t="e">
        <f>AND(Onsite!#REF!,"AAAAADNXs48=")</f>
        <v>#REF!</v>
      </c>
      <c r="EO261" t="e">
        <f>AND(Onsite!#REF!,"AAAAADNXs5A=")</f>
        <v>#REF!</v>
      </c>
      <c r="EP261" t="e">
        <f>AND(Onsite!#REF!,"AAAAADNXs5E=")</f>
        <v>#REF!</v>
      </c>
      <c r="EQ261" t="e">
        <f>IF(Onsite!#REF!,"AAAAADNXs5I=",0)</f>
        <v>#REF!</v>
      </c>
      <c r="ER261" t="e">
        <f>AND(Onsite!#REF!,"AAAAADNXs5M=")</f>
        <v>#REF!</v>
      </c>
      <c r="ES261" t="e">
        <f>AND(Onsite!#REF!,"AAAAADNXs5Q=")</f>
        <v>#REF!</v>
      </c>
      <c r="ET261" t="e">
        <f>AND(Onsite!#REF!,"AAAAADNXs5U=")</f>
        <v>#REF!</v>
      </c>
      <c r="EU261" t="e">
        <f>AND(Onsite!#REF!,"AAAAADNXs5Y=")</f>
        <v>#REF!</v>
      </c>
      <c r="EV261" t="e">
        <f>AND(Onsite!#REF!,"AAAAADNXs5c=")</f>
        <v>#REF!</v>
      </c>
      <c r="EW261" t="e">
        <f>AND(Onsite!#REF!,"AAAAADNXs5g=")</f>
        <v>#REF!</v>
      </c>
      <c r="EX261" t="e">
        <f>AND(Onsite!#REF!,"AAAAADNXs5k=")</f>
        <v>#REF!</v>
      </c>
      <c r="EY261" t="e">
        <f>AND(Onsite!#REF!,"AAAAADNXs5o=")</f>
        <v>#REF!</v>
      </c>
      <c r="EZ261" t="e">
        <f>AND(Onsite!#REF!,"AAAAADNXs5s=")</f>
        <v>#REF!</v>
      </c>
      <c r="FA261" t="e">
        <f>AND(Onsite!#REF!,"AAAAADNXs5w=")</f>
        <v>#REF!</v>
      </c>
      <c r="FB261" t="e">
        <f>AND(Onsite!#REF!,"AAAAADNXs50=")</f>
        <v>#REF!</v>
      </c>
      <c r="FC261" t="e">
        <f>AND(Onsite!#REF!,"AAAAADNXs54=")</f>
        <v>#REF!</v>
      </c>
      <c r="FD261" t="e">
        <f>AND(Onsite!#REF!,"AAAAADNXs58=")</f>
        <v>#REF!</v>
      </c>
      <c r="FE261" t="e">
        <f>IF(Onsite!#REF!,"AAAAADNXs6A=",0)</f>
        <v>#REF!</v>
      </c>
      <c r="FF261" t="e">
        <f>AND(Onsite!#REF!,"AAAAADNXs6E=")</f>
        <v>#REF!</v>
      </c>
      <c r="FG261" t="e">
        <f>AND(Onsite!#REF!,"AAAAADNXs6I=")</f>
        <v>#REF!</v>
      </c>
      <c r="FH261" t="e">
        <f>AND(Onsite!#REF!,"AAAAADNXs6M=")</f>
        <v>#REF!</v>
      </c>
      <c r="FI261" t="e">
        <f>AND(Onsite!#REF!,"AAAAADNXs6Q=")</f>
        <v>#REF!</v>
      </c>
      <c r="FJ261" t="e">
        <f>AND(Onsite!#REF!,"AAAAADNXs6U=")</f>
        <v>#REF!</v>
      </c>
      <c r="FK261" t="e">
        <f>AND(Onsite!#REF!,"AAAAADNXs6Y=")</f>
        <v>#REF!</v>
      </c>
      <c r="FL261" t="e">
        <f>AND(Onsite!#REF!,"AAAAADNXs6c=")</f>
        <v>#REF!</v>
      </c>
      <c r="FM261" t="e">
        <f>AND(Onsite!#REF!,"AAAAADNXs6g=")</f>
        <v>#REF!</v>
      </c>
      <c r="FN261" t="e">
        <f>AND(Onsite!#REF!,"AAAAADNXs6k=")</f>
        <v>#REF!</v>
      </c>
      <c r="FO261" t="e">
        <f>AND(Onsite!#REF!,"AAAAADNXs6o=")</f>
        <v>#REF!</v>
      </c>
      <c r="FP261" t="e">
        <f>AND(Onsite!#REF!,"AAAAADNXs6s=")</f>
        <v>#REF!</v>
      </c>
      <c r="FQ261" t="e">
        <f>AND(Onsite!#REF!,"AAAAADNXs6w=")</f>
        <v>#REF!</v>
      </c>
      <c r="FR261" t="e">
        <f>AND(Onsite!#REF!,"AAAAADNXs60=")</f>
        <v>#REF!</v>
      </c>
      <c r="FS261" t="e">
        <f>IF(Onsite!#REF!,"AAAAADNXs64=",0)</f>
        <v>#REF!</v>
      </c>
      <c r="FT261" t="e">
        <f>AND(Onsite!#REF!,"AAAAADNXs68=")</f>
        <v>#REF!</v>
      </c>
      <c r="FU261" t="e">
        <f>AND(Onsite!#REF!,"AAAAADNXs7A=")</f>
        <v>#REF!</v>
      </c>
      <c r="FV261" t="e">
        <f>AND(Onsite!#REF!,"AAAAADNXs7E=")</f>
        <v>#REF!</v>
      </c>
      <c r="FW261" t="e">
        <f>AND(Onsite!#REF!,"AAAAADNXs7I=")</f>
        <v>#REF!</v>
      </c>
      <c r="FX261" t="e">
        <f>AND(Onsite!#REF!,"AAAAADNXs7M=")</f>
        <v>#REF!</v>
      </c>
      <c r="FY261" t="e">
        <f>AND(Onsite!#REF!,"AAAAADNXs7Q=")</f>
        <v>#REF!</v>
      </c>
      <c r="FZ261" t="e">
        <f>AND(Onsite!#REF!,"AAAAADNXs7U=")</f>
        <v>#REF!</v>
      </c>
      <c r="GA261" t="e">
        <f>AND(Onsite!#REF!,"AAAAADNXs7Y=")</f>
        <v>#REF!</v>
      </c>
      <c r="GB261" t="e">
        <f>AND(Onsite!#REF!,"AAAAADNXs7c=")</f>
        <v>#REF!</v>
      </c>
      <c r="GC261" t="e">
        <f>AND(Onsite!#REF!,"AAAAADNXs7g=")</f>
        <v>#REF!</v>
      </c>
      <c r="GD261" t="e">
        <f>AND(Onsite!#REF!,"AAAAADNXs7k=")</f>
        <v>#REF!</v>
      </c>
      <c r="GE261" t="e">
        <f>AND(Onsite!#REF!,"AAAAADNXs7o=")</f>
        <v>#REF!</v>
      </c>
      <c r="GF261" t="e">
        <f>AND(Onsite!#REF!,"AAAAADNXs7s=")</f>
        <v>#REF!</v>
      </c>
      <c r="GG261" t="e">
        <f>IF(Onsite!#REF!,"AAAAADNXs7w=",0)</f>
        <v>#REF!</v>
      </c>
      <c r="GH261" t="e">
        <f>AND(Onsite!#REF!,"AAAAADNXs70=")</f>
        <v>#REF!</v>
      </c>
      <c r="GI261" t="e">
        <f>AND(Onsite!#REF!,"AAAAADNXs74=")</f>
        <v>#REF!</v>
      </c>
      <c r="GJ261" t="e">
        <f>AND(Onsite!#REF!,"AAAAADNXs78=")</f>
        <v>#REF!</v>
      </c>
      <c r="GK261" t="e">
        <f>AND(Onsite!#REF!,"AAAAADNXs8A=")</f>
        <v>#REF!</v>
      </c>
      <c r="GL261" t="e">
        <f>AND(Onsite!#REF!,"AAAAADNXs8E=")</f>
        <v>#REF!</v>
      </c>
      <c r="GM261" t="e">
        <f>AND(Onsite!#REF!,"AAAAADNXs8I=")</f>
        <v>#REF!</v>
      </c>
      <c r="GN261" t="e">
        <f>AND(Onsite!#REF!,"AAAAADNXs8M=")</f>
        <v>#REF!</v>
      </c>
      <c r="GO261" t="e">
        <f>AND(Onsite!#REF!,"AAAAADNXs8Q=")</f>
        <v>#REF!</v>
      </c>
      <c r="GP261" t="e">
        <f>AND(Onsite!#REF!,"AAAAADNXs8U=")</f>
        <v>#REF!</v>
      </c>
      <c r="GQ261" t="e">
        <f>AND(Onsite!#REF!,"AAAAADNXs8Y=")</f>
        <v>#REF!</v>
      </c>
      <c r="GR261" t="e">
        <f>AND(Onsite!#REF!,"AAAAADNXs8c=")</f>
        <v>#REF!</v>
      </c>
      <c r="GS261" t="e">
        <f>AND(Onsite!#REF!,"AAAAADNXs8g=")</f>
        <v>#REF!</v>
      </c>
      <c r="GT261" t="e">
        <f>AND(Onsite!#REF!,"AAAAADNXs8k=")</f>
        <v>#REF!</v>
      </c>
      <c r="GU261" t="e">
        <f>IF(Onsite!#REF!,"AAAAADNXs8o=",0)</f>
        <v>#REF!</v>
      </c>
      <c r="GV261" t="e">
        <f>AND(Onsite!#REF!,"AAAAADNXs8s=")</f>
        <v>#REF!</v>
      </c>
      <c r="GW261" t="e">
        <f>AND(Onsite!#REF!,"AAAAADNXs8w=")</f>
        <v>#REF!</v>
      </c>
      <c r="GX261" t="e">
        <f>AND(Onsite!#REF!,"AAAAADNXs80=")</f>
        <v>#REF!</v>
      </c>
      <c r="GY261" t="e">
        <f>AND(Onsite!#REF!,"AAAAADNXs84=")</f>
        <v>#REF!</v>
      </c>
      <c r="GZ261" t="e">
        <f>AND(Onsite!#REF!,"AAAAADNXs88=")</f>
        <v>#REF!</v>
      </c>
      <c r="HA261" t="e">
        <f>AND(Onsite!#REF!,"AAAAADNXs9A=")</f>
        <v>#REF!</v>
      </c>
      <c r="HB261" t="e">
        <f>AND(Onsite!#REF!,"AAAAADNXs9E=")</f>
        <v>#REF!</v>
      </c>
      <c r="HC261" t="e">
        <f>AND(Onsite!#REF!,"AAAAADNXs9I=")</f>
        <v>#REF!</v>
      </c>
      <c r="HD261" t="e">
        <f>AND(Onsite!#REF!,"AAAAADNXs9M=")</f>
        <v>#REF!</v>
      </c>
      <c r="HE261" t="e">
        <f>AND(Onsite!#REF!,"AAAAADNXs9Q=")</f>
        <v>#REF!</v>
      </c>
      <c r="HF261" t="e">
        <f>AND(Onsite!#REF!,"AAAAADNXs9U=")</f>
        <v>#REF!</v>
      </c>
      <c r="HG261" t="e">
        <f>AND(Onsite!#REF!,"AAAAADNXs9Y=")</f>
        <v>#REF!</v>
      </c>
      <c r="HH261" t="e">
        <f>AND(Onsite!#REF!,"AAAAADNXs9c=")</f>
        <v>#REF!</v>
      </c>
      <c r="HI261" t="e">
        <f>IF(Onsite!#REF!,"AAAAADNXs9g=",0)</f>
        <v>#REF!</v>
      </c>
      <c r="HJ261" t="e">
        <f>AND(Onsite!#REF!,"AAAAADNXs9k=")</f>
        <v>#REF!</v>
      </c>
      <c r="HK261" t="e">
        <f>AND(Onsite!#REF!,"AAAAADNXs9o=")</f>
        <v>#REF!</v>
      </c>
      <c r="HL261" t="e">
        <f>AND(Onsite!#REF!,"AAAAADNXs9s=")</f>
        <v>#REF!</v>
      </c>
      <c r="HM261" t="e">
        <f>AND(Onsite!#REF!,"AAAAADNXs9w=")</f>
        <v>#REF!</v>
      </c>
      <c r="HN261" t="e">
        <f>AND(Onsite!#REF!,"AAAAADNXs90=")</f>
        <v>#REF!</v>
      </c>
      <c r="HO261" t="e">
        <f>AND(Onsite!#REF!,"AAAAADNXs94=")</f>
        <v>#REF!</v>
      </c>
      <c r="HP261" t="e">
        <f>AND(Onsite!#REF!,"AAAAADNXs98=")</f>
        <v>#REF!</v>
      </c>
      <c r="HQ261" t="e">
        <f>AND(Onsite!#REF!,"AAAAADNXs+A=")</f>
        <v>#REF!</v>
      </c>
      <c r="HR261" t="e">
        <f>AND(Onsite!#REF!,"AAAAADNXs+E=")</f>
        <v>#REF!</v>
      </c>
      <c r="HS261" t="e">
        <f>AND(Onsite!#REF!,"AAAAADNXs+I=")</f>
        <v>#REF!</v>
      </c>
      <c r="HT261" t="e">
        <f>AND(Onsite!#REF!,"AAAAADNXs+M=")</f>
        <v>#REF!</v>
      </c>
      <c r="HU261" t="e">
        <f>AND(Onsite!#REF!,"AAAAADNXs+Q=")</f>
        <v>#REF!</v>
      </c>
      <c r="HV261" t="e">
        <f>AND(Onsite!#REF!,"AAAAADNXs+U=")</f>
        <v>#REF!</v>
      </c>
      <c r="HW261" t="e">
        <f>IF(Onsite!#REF!,"AAAAADNXs+Y=",0)</f>
        <v>#REF!</v>
      </c>
      <c r="HX261" t="e">
        <f>AND(Onsite!#REF!,"AAAAADNXs+c=")</f>
        <v>#REF!</v>
      </c>
      <c r="HY261" t="e">
        <f>AND(Onsite!#REF!,"AAAAADNXs+g=")</f>
        <v>#REF!</v>
      </c>
      <c r="HZ261" t="e">
        <f>AND(Onsite!#REF!,"AAAAADNXs+k=")</f>
        <v>#REF!</v>
      </c>
      <c r="IA261" t="e">
        <f>AND(Onsite!#REF!,"AAAAADNXs+o=")</f>
        <v>#REF!</v>
      </c>
      <c r="IB261" t="e">
        <f>AND(Onsite!#REF!,"AAAAADNXs+s=")</f>
        <v>#REF!</v>
      </c>
      <c r="IC261" t="e">
        <f>AND(Onsite!#REF!,"AAAAADNXs+w=")</f>
        <v>#REF!</v>
      </c>
      <c r="ID261" t="e">
        <f>AND(Onsite!#REF!,"AAAAADNXs+0=")</f>
        <v>#REF!</v>
      </c>
      <c r="IE261" t="e">
        <f>AND(Onsite!#REF!,"AAAAADNXs+4=")</f>
        <v>#REF!</v>
      </c>
      <c r="IF261" t="e">
        <f>AND(Onsite!#REF!,"AAAAADNXs+8=")</f>
        <v>#REF!</v>
      </c>
      <c r="IG261" t="e">
        <f>AND(Onsite!#REF!,"AAAAADNXs/A=")</f>
        <v>#REF!</v>
      </c>
      <c r="IH261" t="e">
        <f>AND(Onsite!#REF!,"AAAAADNXs/E=")</f>
        <v>#REF!</v>
      </c>
      <c r="II261" t="e">
        <f>AND(Onsite!#REF!,"AAAAADNXs/I=")</f>
        <v>#REF!</v>
      </c>
      <c r="IJ261" t="e">
        <f>AND(Onsite!#REF!,"AAAAADNXs/M=")</f>
        <v>#REF!</v>
      </c>
      <c r="IK261" t="e">
        <f>IF(Onsite!#REF!,"AAAAADNXs/Q=",0)</f>
        <v>#REF!</v>
      </c>
      <c r="IL261" t="e">
        <f>AND(Onsite!#REF!,"AAAAADNXs/U=")</f>
        <v>#REF!</v>
      </c>
      <c r="IM261" t="e">
        <f>AND(Onsite!#REF!,"AAAAADNXs/Y=")</f>
        <v>#REF!</v>
      </c>
      <c r="IN261" t="e">
        <f>AND(Onsite!#REF!,"AAAAADNXs/c=")</f>
        <v>#REF!</v>
      </c>
      <c r="IO261" t="e">
        <f>AND(Onsite!#REF!,"AAAAADNXs/g=")</f>
        <v>#REF!</v>
      </c>
      <c r="IP261" t="e">
        <f>AND(Onsite!#REF!,"AAAAADNXs/k=")</f>
        <v>#REF!</v>
      </c>
      <c r="IQ261" t="e">
        <f>AND(Onsite!#REF!,"AAAAADNXs/o=")</f>
        <v>#REF!</v>
      </c>
      <c r="IR261" t="e">
        <f>AND(Onsite!#REF!,"AAAAADNXs/s=")</f>
        <v>#REF!</v>
      </c>
      <c r="IS261" t="e">
        <f>AND(Onsite!#REF!,"AAAAADNXs/w=")</f>
        <v>#REF!</v>
      </c>
      <c r="IT261" t="e">
        <f>AND(Onsite!#REF!,"AAAAADNXs/0=")</f>
        <v>#REF!</v>
      </c>
      <c r="IU261" t="e">
        <f>AND(Onsite!#REF!,"AAAAADNXs/4=")</f>
        <v>#REF!</v>
      </c>
      <c r="IV261" t="e">
        <f>AND(Onsite!#REF!,"AAAAADNXs/8=")</f>
        <v>#REF!</v>
      </c>
    </row>
    <row r="262" spans="1:256" x14ac:dyDescent="0.2">
      <c r="A262" t="e">
        <f>AND(Onsite!#REF!,"AAAAAH093wA=")</f>
        <v>#REF!</v>
      </c>
      <c r="B262" t="e">
        <f>AND(Onsite!#REF!,"AAAAAH093wE=")</f>
        <v>#REF!</v>
      </c>
      <c r="C262">
        <f>IF(Onsite!102:102,"AAAAAH093wI=",0)</f>
        <v>0</v>
      </c>
      <c r="D262" t="e">
        <f>AND(Onsite!A102,"AAAAAH093wM=")</f>
        <v>#VALUE!</v>
      </c>
      <c r="E262" t="e">
        <f>AND(Onsite!B102,"AAAAAH093wQ=")</f>
        <v>#VALUE!</v>
      </c>
      <c r="F262" t="e">
        <f>AND(Onsite!C102,"AAAAAH093wU=")</f>
        <v>#VALUE!</v>
      </c>
      <c r="G262" t="e">
        <f>AND(Onsite!D102,"AAAAAH093wY=")</f>
        <v>#VALUE!</v>
      </c>
      <c r="H262" t="e">
        <f>AND(Onsite!E102,"AAAAAH093wc=")</f>
        <v>#VALUE!</v>
      </c>
      <c r="I262" t="e">
        <f>AND(Onsite!#REF!,"AAAAAH093wg=")</f>
        <v>#REF!</v>
      </c>
      <c r="J262" t="e">
        <f>AND(Onsite!#REF!,"AAAAAH093wk=")</f>
        <v>#REF!</v>
      </c>
      <c r="K262" t="e">
        <f>AND(Onsite!#REF!,"AAAAAH093wo=")</f>
        <v>#REF!</v>
      </c>
      <c r="L262" t="e">
        <f>AND(Onsite!#REF!,"AAAAAH093ws=")</f>
        <v>#REF!</v>
      </c>
      <c r="M262" t="e">
        <f>AND(Onsite!#REF!,"AAAAAH093ww=")</f>
        <v>#REF!</v>
      </c>
      <c r="N262" t="e">
        <f>AND(Onsite!#REF!,"AAAAAH093w0=")</f>
        <v>#REF!</v>
      </c>
      <c r="O262" t="e">
        <f>AND(Onsite!F102,"AAAAAH093w4=")</f>
        <v>#VALUE!</v>
      </c>
      <c r="P262" t="e">
        <f>AND(Onsite!#REF!,"AAAAAH093w8=")</f>
        <v>#REF!</v>
      </c>
      <c r="Q262">
        <f>IF(Onsite!103:103,"AAAAAH093xA=",0)</f>
        <v>0</v>
      </c>
      <c r="R262" t="e">
        <f>AND(Onsite!A103,"AAAAAH093xE=")</f>
        <v>#VALUE!</v>
      </c>
      <c r="S262" t="e">
        <f>AND(Onsite!B103,"AAAAAH093xI=")</f>
        <v>#VALUE!</v>
      </c>
      <c r="T262" t="e">
        <f>AND(Onsite!C103,"AAAAAH093xM=")</f>
        <v>#VALUE!</v>
      </c>
      <c r="U262" t="e">
        <f>AND(Onsite!D103,"AAAAAH093xQ=")</f>
        <v>#VALUE!</v>
      </c>
      <c r="V262" t="e">
        <f>AND(Onsite!E103,"AAAAAH093xU=")</f>
        <v>#VALUE!</v>
      </c>
      <c r="W262" t="e">
        <f>AND(Onsite!#REF!,"AAAAAH093xY=")</f>
        <v>#REF!</v>
      </c>
      <c r="X262" t="e">
        <f>AND(Onsite!#REF!,"AAAAAH093xc=")</f>
        <v>#REF!</v>
      </c>
      <c r="Y262" t="e">
        <f>AND(Onsite!#REF!,"AAAAAH093xg=")</f>
        <v>#REF!</v>
      </c>
      <c r="Z262" t="e">
        <f>AND(Onsite!#REF!,"AAAAAH093xk=")</f>
        <v>#REF!</v>
      </c>
      <c r="AA262" t="e">
        <f>AND(Onsite!#REF!,"AAAAAH093xo=")</f>
        <v>#REF!</v>
      </c>
      <c r="AB262" t="e">
        <f>AND(Onsite!#REF!,"AAAAAH093xs=")</f>
        <v>#REF!</v>
      </c>
      <c r="AC262" t="e">
        <f>AND(Onsite!F103,"AAAAAH093xw=")</f>
        <v>#VALUE!</v>
      </c>
      <c r="AD262" t="e">
        <f>AND(Onsite!#REF!,"AAAAAH093x0=")</f>
        <v>#REF!</v>
      </c>
      <c r="AE262">
        <f>IF(Onsite!104:104,"AAAAAH093x4=",0)</f>
        <v>0</v>
      </c>
      <c r="AF262" t="e">
        <f>AND(Onsite!#REF!,"AAAAAH093x8=")</f>
        <v>#REF!</v>
      </c>
      <c r="AG262" t="e">
        <f>AND(Onsite!#REF!,"AAAAAH093yA=")</f>
        <v>#REF!</v>
      </c>
      <c r="AH262" t="e">
        <f>AND(Onsite!A104,"AAAAAH093yE=")</f>
        <v>#VALUE!</v>
      </c>
      <c r="AI262" t="e">
        <f>AND(Onsite!B104,"AAAAAH093yI=")</f>
        <v>#VALUE!</v>
      </c>
      <c r="AJ262" t="e">
        <f>AND(Onsite!C104,"AAAAAH093yM=")</f>
        <v>#VALUE!</v>
      </c>
      <c r="AK262" t="e">
        <f>AND(Onsite!D104,"AAAAAH093yQ=")</f>
        <v>#VALUE!</v>
      </c>
      <c r="AL262" t="e">
        <f>AND(Onsite!E104,"AAAAAH093yU=")</f>
        <v>#VALUE!</v>
      </c>
      <c r="AM262" t="e">
        <f>AND(Onsite!#REF!,"AAAAAH093yY=")</f>
        <v>#REF!</v>
      </c>
      <c r="AN262" t="e">
        <f>AND(Onsite!#REF!,"AAAAAH093yc=")</f>
        <v>#REF!</v>
      </c>
      <c r="AO262" t="e">
        <f>AND(Onsite!#REF!,"AAAAAH093yg=")</f>
        <v>#REF!</v>
      </c>
      <c r="AP262" t="e">
        <f>AND(Onsite!#REF!,"AAAAAH093yk=")</f>
        <v>#REF!</v>
      </c>
      <c r="AQ262" t="e">
        <f>AND(Onsite!#REF!,"AAAAAH093yo=")</f>
        <v>#REF!</v>
      </c>
      <c r="AR262" t="e">
        <f>AND(Onsite!#REF!,"AAAAAH093ys=")</f>
        <v>#REF!</v>
      </c>
      <c r="AS262">
        <f>IF(Onsite!105:105,"AAAAAH093yw=",0)</f>
        <v>0</v>
      </c>
      <c r="AT262" t="e">
        <f>AND(Onsite!A105,"AAAAAH093y0=")</f>
        <v>#VALUE!</v>
      </c>
      <c r="AU262" t="e">
        <f>AND(Onsite!B105,"AAAAAH093y4=")</f>
        <v>#VALUE!</v>
      </c>
      <c r="AV262" t="e">
        <f>AND(Onsite!C105,"AAAAAH093y8=")</f>
        <v>#VALUE!</v>
      </c>
      <c r="AW262" t="e">
        <f>AND(Onsite!D105,"AAAAAH093zA=")</f>
        <v>#VALUE!</v>
      </c>
      <c r="AX262" t="e">
        <f>AND(Onsite!E105,"AAAAAH093zE=")</f>
        <v>#VALUE!</v>
      </c>
      <c r="AY262" t="e">
        <f>AND(Onsite!#REF!,"AAAAAH093zI=")</f>
        <v>#REF!</v>
      </c>
      <c r="AZ262" t="e">
        <f>AND(Onsite!#REF!,"AAAAAH093zM=")</f>
        <v>#REF!</v>
      </c>
      <c r="BA262" t="e">
        <f>AND(Onsite!#REF!,"AAAAAH093zQ=")</f>
        <v>#REF!</v>
      </c>
      <c r="BB262" t="e">
        <f>AND(Onsite!#REF!,"AAAAAH093zU=")</f>
        <v>#REF!</v>
      </c>
      <c r="BC262" t="e">
        <f>AND(Onsite!#REF!,"AAAAAH093zY=")</f>
        <v>#REF!</v>
      </c>
      <c r="BD262" t="e">
        <f>AND(Onsite!#REF!,"AAAAAH093zc=")</f>
        <v>#REF!</v>
      </c>
      <c r="BE262" t="e">
        <f>AND(Onsite!F105,"AAAAAH093zg=")</f>
        <v>#VALUE!</v>
      </c>
      <c r="BF262" t="e">
        <f>AND(Onsite!#REF!,"AAAAAH093zk=")</f>
        <v>#REF!</v>
      </c>
      <c r="BG262">
        <f>IF(Onsite!106:106,"AAAAAH093zo=",0)</f>
        <v>0</v>
      </c>
      <c r="BH262" t="e">
        <f>AND(Onsite!#REF!,"AAAAAH093zs=")</f>
        <v>#REF!</v>
      </c>
      <c r="BI262" t="e">
        <f>AND(Onsite!A106,"AAAAAH093zw=")</f>
        <v>#VALUE!</v>
      </c>
      <c r="BJ262" t="e">
        <f>AND(Onsite!B106,"AAAAAH093z0=")</f>
        <v>#VALUE!</v>
      </c>
      <c r="BK262" t="e">
        <f>AND(Onsite!C106,"AAAAAH093z4=")</f>
        <v>#VALUE!</v>
      </c>
      <c r="BL262" t="e">
        <f>AND(Onsite!D106,"AAAAAH093z8=")</f>
        <v>#VALUE!</v>
      </c>
      <c r="BM262" t="e">
        <f>AND(Onsite!E106,"AAAAAH0930A=")</f>
        <v>#VALUE!</v>
      </c>
      <c r="BN262" t="e">
        <f>AND(Onsite!#REF!,"AAAAAH0930E=")</f>
        <v>#REF!</v>
      </c>
      <c r="BO262" t="e">
        <f>AND(Onsite!#REF!,"AAAAAH0930I=")</f>
        <v>#REF!</v>
      </c>
      <c r="BP262" t="e">
        <f>AND(Onsite!#REF!,"AAAAAH0930M=")</f>
        <v>#REF!</v>
      </c>
      <c r="BQ262" t="e">
        <f>AND(Onsite!#REF!,"AAAAAH0930Q=")</f>
        <v>#REF!</v>
      </c>
      <c r="BR262" t="e">
        <f>AND(Onsite!#REF!,"AAAAAH0930U=")</f>
        <v>#REF!</v>
      </c>
      <c r="BS262" t="e">
        <f>AND(Onsite!#REF!,"AAAAAH0930Y=")</f>
        <v>#REF!</v>
      </c>
      <c r="BT262" t="e">
        <f>AND(Onsite!F106,"AAAAAH0930c=")</f>
        <v>#VALUE!</v>
      </c>
      <c r="BU262">
        <f>IF(Onsite!107:107,"AAAAAH0930g=",0)</f>
        <v>0</v>
      </c>
      <c r="BV262" t="e">
        <f>AND(Onsite!#REF!,"AAAAAH0930k=")</f>
        <v>#REF!</v>
      </c>
      <c r="BW262" t="e">
        <f>AND(Onsite!A107,"AAAAAH0930o=")</f>
        <v>#VALUE!</v>
      </c>
      <c r="BX262" t="e">
        <f>AND(Onsite!B107,"AAAAAH0930s=")</f>
        <v>#VALUE!</v>
      </c>
      <c r="BY262" t="e">
        <f>AND(Onsite!C107,"AAAAAH0930w=")</f>
        <v>#VALUE!</v>
      </c>
      <c r="BZ262" t="e">
        <f>AND(Onsite!D107,"AAAAAH09300=")</f>
        <v>#VALUE!</v>
      </c>
      <c r="CA262" t="e">
        <f>AND(Onsite!E107,"AAAAAH09304=")</f>
        <v>#VALUE!</v>
      </c>
      <c r="CB262" t="e">
        <f>AND(Onsite!#REF!,"AAAAAH09308=")</f>
        <v>#REF!</v>
      </c>
      <c r="CC262" t="e">
        <f>AND(Onsite!#REF!,"AAAAAH0931A=")</f>
        <v>#REF!</v>
      </c>
      <c r="CD262" t="e">
        <f>AND(Onsite!#REF!,"AAAAAH0931E=")</f>
        <v>#REF!</v>
      </c>
      <c r="CE262" t="e">
        <f>AND(Onsite!#REF!,"AAAAAH0931I=")</f>
        <v>#REF!</v>
      </c>
      <c r="CF262" t="e">
        <f>AND(Onsite!#REF!,"AAAAAH0931M=")</f>
        <v>#REF!</v>
      </c>
      <c r="CG262" t="e">
        <f>AND(Onsite!#REF!,"AAAAAH0931Q=")</f>
        <v>#REF!</v>
      </c>
      <c r="CH262" t="e">
        <f>AND(Onsite!F107,"AAAAAH0931U=")</f>
        <v>#VALUE!</v>
      </c>
      <c r="CI262">
        <f>IF(Onsite!108:108,"AAAAAH0931Y=",0)</f>
        <v>0</v>
      </c>
      <c r="CJ262" t="e">
        <f>AND(Onsite!#REF!,"AAAAAH0931c=")</f>
        <v>#REF!</v>
      </c>
      <c r="CK262" t="e">
        <f>AND(Onsite!A108,"AAAAAH0931g=")</f>
        <v>#VALUE!</v>
      </c>
      <c r="CL262" t="e">
        <f>AND(Onsite!B108,"AAAAAH0931k=")</f>
        <v>#VALUE!</v>
      </c>
      <c r="CM262" t="e">
        <f>AND(Onsite!C108,"AAAAAH0931o=")</f>
        <v>#VALUE!</v>
      </c>
      <c r="CN262" t="e">
        <f>AND(Onsite!D108,"AAAAAH0931s=")</f>
        <v>#VALUE!</v>
      </c>
      <c r="CO262" t="e">
        <f>AND(Onsite!E108,"AAAAAH0931w=")</f>
        <v>#VALUE!</v>
      </c>
      <c r="CP262" t="e">
        <f>AND(Onsite!#REF!,"AAAAAH09310=")</f>
        <v>#REF!</v>
      </c>
      <c r="CQ262" t="e">
        <f>AND(Onsite!#REF!,"AAAAAH09314=")</f>
        <v>#REF!</v>
      </c>
      <c r="CR262" t="e">
        <f>AND(Onsite!#REF!,"AAAAAH09318=")</f>
        <v>#REF!</v>
      </c>
      <c r="CS262" t="e">
        <f>AND(Onsite!#REF!,"AAAAAH0932A=")</f>
        <v>#REF!</v>
      </c>
      <c r="CT262" t="e">
        <f>AND(Onsite!#REF!,"AAAAAH0932E=")</f>
        <v>#REF!</v>
      </c>
      <c r="CU262" t="e">
        <f>AND(Onsite!#REF!,"AAAAAH0932I=")</f>
        <v>#REF!</v>
      </c>
      <c r="CV262" t="e">
        <f>AND(Onsite!F108,"AAAAAH0932M=")</f>
        <v>#VALUE!</v>
      </c>
      <c r="CW262">
        <f>IF(Onsite!109:109,"AAAAAH0932Q=",0)</f>
        <v>0</v>
      </c>
      <c r="CX262" t="e">
        <f>AND(Onsite!#REF!,"AAAAAH0932U=")</f>
        <v>#REF!</v>
      </c>
      <c r="CY262" t="e">
        <f>AND(Onsite!A109,"AAAAAH0932Y=")</f>
        <v>#VALUE!</v>
      </c>
      <c r="CZ262" t="e">
        <f>AND(Onsite!B109,"AAAAAH0932c=")</f>
        <v>#VALUE!</v>
      </c>
      <c r="DA262" t="e">
        <f>AND(Onsite!C109,"AAAAAH0932g=")</f>
        <v>#VALUE!</v>
      </c>
      <c r="DB262" t="e">
        <f>AND(Onsite!D109,"AAAAAH0932k=")</f>
        <v>#VALUE!</v>
      </c>
      <c r="DC262" t="e">
        <f>AND(Onsite!E109,"AAAAAH0932o=")</f>
        <v>#VALUE!</v>
      </c>
      <c r="DD262" t="e">
        <f>AND(Onsite!#REF!,"AAAAAH0932s=")</f>
        <v>#REF!</v>
      </c>
      <c r="DE262" t="e">
        <f>AND(Onsite!#REF!,"AAAAAH0932w=")</f>
        <v>#REF!</v>
      </c>
      <c r="DF262" t="e">
        <f>AND(Onsite!#REF!,"AAAAAH09320=")</f>
        <v>#REF!</v>
      </c>
      <c r="DG262" t="e">
        <f>AND(Onsite!#REF!,"AAAAAH09324=")</f>
        <v>#REF!</v>
      </c>
      <c r="DH262" t="e">
        <f>AND(Onsite!#REF!,"AAAAAH09328=")</f>
        <v>#REF!</v>
      </c>
      <c r="DI262" t="e">
        <f>AND(Onsite!#REF!,"AAAAAH0933A=")</f>
        <v>#REF!</v>
      </c>
      <c r="DJ262" t="e">
        <f>AND(Onsite!F109,"AAAAAH0933E=")</f>
        <v>#VALUE!</v>
      </c>
      <c r="DK262">
        <f>IF(Onsite!110:110,"AAAAAH0933I=",0)</f>
        <v>0</v>
      </c>
      <c r="DL262" t="e">
        <f>AND(Onsite!#REF!,"AAAAAH0933M=")</f>
        <v>#REF!</v>
      </c>
      <c r="DM262" t="e">
        <f>AND(Onsite!A110,"AAAAAH0933Q=")</f>
        <v>#VALUE!</v>
      </c>
      <c r="DN262" t="e">
        <f>AND(Onsite!B110,"AAAAAH0933U=")</f>
        <v>#VALUE!</v>
      </c>
      <c r="DO262" t="e">
        <f>AND(Onsite!C110,"AAAAAH0933Y=")</f>
        <v>#VALUE!</v>
      </c>
      <c r="DP262" t="e">
        <f>AND(Onsite!D110,"AAAAAH0933c=")</f>
        <v>#VALUE!</v>
      </c>
      <c r="DQ262" t="e">
        <f>AND(Onsite!E110,"AAAAAH0933g=")</f>
        <v>#VALUE!</v>
      </c>
      <c r="DR262" t="e">
        <f>AND(Onsite!#REF!,"AAAAAH0933k=")</f>
        <v>#REF!</v>
      </c>
      <c r="DS262" t="e">
        <f>AND(Onsite!#REF!,"AAAAAH0933o=")</f>
        <v>#REF!</v>
      </c>
      <c r="DT262" t="e">
        <f>AND(Onsite!#REF!,"AAAAAH0933s=")</f>
        <v>#REF!</v>
      </c>
      <c r="DU262" t="e">
        <f>AND(Onsite!#REF!,"AAAAAH0933w=")</f>
        <v>#REF!</v>
      </c>
      <c r="DV262" t="e">
        <f>AND(Onsite!#REF!,"AAAAAH09330=")</f>
        <v>#REF!</v>
      </c>
      <c r="DW262" t="e">
        <f>AND(Onsite!#REF!,"AAAAAH09334=")</f>
        <v>#REF!</v>
      </c>
      <c r="DX262" t="e">
        <f>AND(Onsite!F110,"AAAAAH09338=")</f>
        <v>#VALUE!</v>
      </c>
      <c r="DY262">
        <f>IF(Onsite!111:111,"AAAAAH0934A=",0)</f>
        <v>0</v>
      </c>
      <c r="DZ262" t="e">
        <f>AND(Onsite!#REF!,"AAAAAH0934E=")</f>
        <v>#REF!</v>
      </c>
      <c r="EA262" t="e">
        <f>AND(Onsite!A111,"AAAAAH0934I=")</f>
        <v>#VALUE!</v>
      </c>
      <c r="EB262" t="e">
        <f>AND(Onsite!B111,"AAAAAH0934M=")</f>
        <v>#VALUE!</v>
      </c>
      <c r="EC262" t="e">
        <f>AND(Onsite!C111,"AAAAAH0934Q=")</f>
        <v>#VALUE!</v>
      </c>
      <c r="ED262" t="e">
        <f>AND(Onsite!D111,"AAAAAH0934U=")</f>
        <v>#VALUE!</v>
      </c>
      <c r="EE262" t="e">
        <f>AND(Onsite!E111,"AAAAAH0934Y=")</f>
        <v>#VALUE!</v>
      </c>
      <c r="EF262" t="e">
        <f>AND(Onsite!#REF!,"AAAAAH0934c=")</f>
        <v>#REF!</v>
      </c>
      <c r="EG262" t="e">
        <f>AND(Onsite!#REF!,"AAAAAH0934g=")</f>
        <v>#REF!</v>
      </c>
      <c r="EH262" t="e">
        <f>AND(Onsite!#REF!,"AAAAAH0934k=")</f>
        <v>#REF!</v>
      </c>
      <c r="EI262" t="e">
        <f>AND(Onsite!#REF!,"AAAAAH0934o=")</f>
        <v>#REF!</v>
      </c>
      <c r="EJ262" t="e">
        <f>AND(Onsite!#REF!,"AAAAAH0934s=")</f>
        <v>#REF!</v>
      </c>
      <c r="EK262" t="e">
        <f>AND(Onsite!#REF!,"AAAAAH0934w=")</f>
        <v>#REF!</v>
      </c>
      <c r="EL262" t="e">
        <f>AND(Onsite!F111,"AAAAAH09340=")</f>
        <v>#VALUE!</v>
      </c>
      <c r="EM262">
        <f>IF(Onsite!112:112,"AAAAAH09344=",0)</f>
        <v>0</v>
      </c>
      <c r="EN262" t="e">
        <f>AND(Onsite!#REF!,"AAAAAH09348=")</f>
        <v>#REF!</v>
      </c>
      <c r="EO262" t="e">
        <f>AND(Onsite!A112,"AAAAAH0935A=")</f>
        <v>#VALUE!</v>
      </c>
      <c r="EP262" t="e">
        <f>AND(Onsite!B112,"AAAAAH0935E=")</f>
        <v>#VALUE!</v>
      </c>
      <c r="EQ262" t="e">
        <f>AND(Onsite!C112,"AAAAAH0935I=")</f>
        <v>#VALUE!</v>
      </c>
      <c r="ER262" t="e">
        <f>AND(Onsite!D112,"AAAAAH0935M=")</f>
        <v>#VALUE!</v>
      </c>
      <c r="ES262" t="e">
        <f>AND(Onsite!E112,"AAAAAH0935Q=")</f>
        <v>#VALUE!</v>
      </c>
      <c r="ET262" t="e">
        <f>AND(Onsite!#REF!,"AAAAAH0935U=")</f>
        <v>#REF!</v>
      </c>
      <c r="EU262" t="e">
        <f>AND(Onsite!#REF!,"AAAAAH0935Y=")</f>
        <v>#REF!</v>
      </c>
      <c r="EV262" t="e">
        <f>AND(Onsite!#REF!,"AAAAAH0935c=")</f>
        <v>#REF!</v>
      </c>
      <c r="EW262" t="e">
        <f>AND(Onsite!#REF!,"AAAAAH0935g=")</f>
        <v>#REF!</v>
      </c>
      <c r="EX262" t="e">
        <f>AND(Onsite!#REF!,"AAAAAH0935k=")</f>
        <v>#REF!</v>
      </c>
      <c r="EY262" t="e">
        <f>AND(Onsite!#REF!,"AAAAAH0935o=")</f>
        <v>#REF!</v>
      </c>
      <c r="EZ262" t="e">
        <f>AND(Onsite!F112,"AAAAAH0935s=")</f>
        <v>#VALUE!</v>
      </c>
      <c r="FA262">
        <f>IF(Onsite!113:113,"AAAAAH0935w=",0)</f>
        <v>0</v>
      </c>
      <c r="FB262" t="e">
        <f>AND(Onsite!#REF!,"AAAAAH09350=")</f>
        <v>#REF!</v>
      </c>
      <c r="FC262" t="e">
        <f>AND(Onsite!A113,"AAAAAH09354=")</f>
        <v>#VALUE!</v>
      </c>
      <c r="FD262" t="e">
        <f>AND(Onsite!B113,"AAAAAH09358=")</f>
        <v>#VALUE!</v>
      </c>
      <c r="FE262" t="e">
        <f>AND(Onsite!C113,"AAAAAH0936A=")</f>
        <v>#VALUE!</v>
      </c>
      <c r="FF262" t="e">
        <f>AND(Onsite!D113,"AAAAAH0936E=")</f>
        <v>#VALUE!</v>
      </c>
      <c r="FG262" t="e">
        <f>AND(Onsite!E113,"AAAAAH0936I=")</f>
        <v>#VALUE!</v>
      </c>
      <c r="FH262" t="e">
        <f>AND(Onsite!#REF!,"AAAAAH0936M=")</f>
        <v>#REF!</v>
      </c>
      <c r="FI262" t="e">
        <f>AND(Onsite!#REF!,"AAAAAH0936Q=")</f>
        <v>#REF!</v>
      </c>
      <c r="FJ262" t="e">
        <f>AND(Onsite!#REF!,"AAAAAH0936U=")</f>
        <v>#REF!</v>
      </c>
      <c r="FK262" t="e">
        <f>AND(Onsite!#REF!,"AAAAAH0936Y=")</f>
        <v>#REF!</v>
      </c>
      <c r="FL262" t="e">
        <f>AND(Onsite!#REF!,"AAAAAH0936c=")</f>
        <v>#REF!</v>
      </c>
      <c r="FM262" t="e">
        <f>AND(Onsite!#REF!,"AAAAAH0936g=")</f>
        <v>#REF!</v>
      </c>
      <c r="FN262" t="e">
        <f>AND(Onsite!F113,"AAAAAH0936k=")</f>
        <v>#VALUE!</v>
      </c>
      <c r="FO262">
        <f>IF(Onsite!114:114,"AAAAAH0936o=",0)</f>
        <v>0</v>
      </c>
      <c r="FP262" t="e">
        <f>AND(Onsite!#REF!,"AAAAAH0936s=")</f>
        <v>#REF!</v>
      </c>
      <c r="FQ262" t="e">
        <f>AND(Onsite!A114,"AAAAAH0936w=")</f>
        <v>#VALUE!</v>
      </c>
      <c r="FR262" t="e">
        <f>AND(Onsite!B114,"AAAAAH09360=")</f>
        <v>#VALUE!</v>
      </c>
      <c r="FS262" t="e">
        <f>AND(Onsite!C114,"AAAAAH09364=")</f>
        <v>#VALUE!</v>
      </c>
      <c r="FT262" t="e">
        <f>AND(Onsite!D114,"AAAAAH09368=")</f>
        <v>#VALUE!</v>
      </c>
      <c r="FU262" t="e">
        <f>AND(Onsite!E114,"AAAAAH0937A=")</f>
        <v>#VALUE!</v>
      </c>
      <c r="FV262" t="e">
        <f>AND(Onsite!#REF!,"AAAAAH0937E=")</f>
        <v>#REF!</v>
      </c>
      <c r="FW262" t="e">
        <f>AND(Onsite!#REF!,"AAAAAH0937I=")</f>
        <v>#REF!</v>
      </c>
      <c r="FX262" t="e">
        <f>AND(Onsite!#REF!,"AAAAAH0937M=")</f>
        <v>#REF!</v>
      </c>
      <c r="FY262" t="e">
        <f>AND(Onsite!#REF!,"AAAAAH0937Q=")</f>
        <v>#REF!</v>
      </c>
      <c r="FZ262" t="e">
        <f>AND(Onsite!#REF!,"AAAAAH0937U=")</f>
        <v>#REF!</v>
      </c>
      <c r="GA262" t="e">
        <f>AND(Onsite!#REF!,"AAAAAH0937Y=")</f>
        <v>#REF!</v>
      </c>
      <c r="GB262" t="e">
        <f>AND(Onsite!F114,"AAAAAH0937c=")</f>
        <v>#VALUE!</v>
      </c>
      <c r="GC262">
        <f>IF(Onsite!115:115,"AAAAAH0937g=",0)</f>
        <v>0</v>
      </c>
      <c r="GD262" t="e">
        <f>AND(Onsite!#REF!,"AAAAAH0937k=")</f>
        <v>#REF!</v>
      </c>
      <c r="GE262" t="e">
        <f>AND(Onsite!A115,"AAAAAH0937o=")</f>
        <v>#VALUE!</v>
      </c>
      <c r="GF262" t="e">
        <f>AND(Onsite!B115,"AAAAAH0937s=")</f>
        <v>#VALUE!</v>
      </c>
      <c r="GG262" t="e">
        <f>AND(Onsite!C115,"AAAAAH0937w=")</f>
        <v>#VALUE!</v>
      </c>
      <c r="GH262" t="e">
        <f>AND(Onsite!D115,"AAAAAH09370=")</f>
        <v>#VALUE!</v>
      </c>
      <c r="GI262" t="e">
        <f>AND(Onsite!E115,"AAAAAH09374=")</f>
        <v>#VALUE!</v>
      </c>
      <c r="GJ262" t="e">
        <f>AND(Onsite!#REF!,"AAAAAH09378=")</f>
        <v>#REF!</v>
      </c>
      <c r="GK262" t="e">
        <f>AND(Onsite!#REF!,"AAAAAH0938A=")</f>
        <v>#REF!</v>
      </c>
      <c r="GL262" t="e">
        <f>AND(Onsite!#REF!,"AAAAAH0938E=")</f>
        <v>#REF!</v>
      </c>
      <c r="GM262" t="e">
        <f>AND(Onsite!#REF!,"AAAAAH0938I=")</f>
        <v>#REF!</v>
      </c>
      <c r="GN262" t="e">
        <f>AND(Onsite!#REF!,"AAAAAH0938M=")</f>
        <v>#REF!</v>
      </c>
      <c r="GO262" t="e">
        <f>AND(Onsite!#REF!,"AAAAAH0938Q=")</f>
        <v>#REF!</v>
      </c>
      <c r="GP262" t="e">
        <f>AND(Onsite!F115,"AAAAAH0938U=")</f>
        <v>#VALUE!</v>
      </c>
      <c r="GQ262">
        <f>IF(Onsite!116:116,"AAAAAH0938Y=",0)</f>
        <v>0</v>
      </c>
      <c r="GR262" t="e">
        <f>AND(Onsite!#REF!,"AAAAAH0938c=")</f>
        <v>#REF!</v>
      </c>
      <c r="GS262" t="e">
        <f>AND(Onsite!A116,"AAAAAH0938g=")</f>
        <v>#VALUE!</v>
      </c>
      <c r="GT262" t="e">
        <f>AND(Onsite!B116,"AAAAAH0938k=")</f>
        <v>#VALUE!</v>
      </c>
      <c r="GU262" t="e">
        <f>AND(Onsite!C116,"AAAAAH0938o=")</f>
        <v>#VALUE!</v>
      </c>
      <c r="GV262" t="e">
        <f>AND(Onsite!D116,"AAAAAH0938s=")</f>
        <v>#VALUE!</v>
      </c>
      <c r="GW262" t="e">
        <f>AND(Onsite!E116,"AAAAAH0938w=")</f>
        <v>#VALUE!</v>
      </c>
      <c r="GX262" t="e">
        <f>AND(Onsite!#REF!,"AAAAAH09380=")</f>
        <v>#REF!</v>
      </c>
      <c r="GY262" t="e">
        <f>AND(Onsite!#REF!,"AAAAAH09384=")</f>
        <v>#REF!</v>
      </c>
      <c r="GZ262" t="e">
        <f>AND(Onsite!#REF!,"AAAAAH09388=")</f>
        <v>#REF!</v>
      </c>
      <c r="HA262" t="e">
        <f>AND(Onsite!#REF!,"AAAAAH0939A=")</f>
        <v>#REF!</v>
      </c>
      <c r="HB262" t="e">
        <f>AND(Onsite!#REF!,"AAAAAH0939E=")</f>
        <v>#REF!</v>
      </c>
      <c r="HC262" t="e">
        <f>AND(Onsite!#REF!,"AAAAAH0939I=")</f>
        <v>#REF!</v>
      </c>
      <c r="HD262" t="e">
        <f>AND(Onsite!F116,"AAAAAH0939M=")</f>
        <v>#VALUE!</v>
      </c>
      <c r="HE262">
        <f>IF(Onsite!117:117,"AAAAAH0939Q=",0)</f>
        <v>0</v>
      </c>
      <c r="HF262" t="e">
        <f>AND(Onsite!#REF!,"AAAAAH0939U=")</f>
        <v>#REF!</v>
      </c>
      <c r="HG262" t="e">
        <f>AND(Onsite!A117,"AAAAAH0939Y=")</f>
        <v>#VALUE!</v>
      </c>
      <c r="HH262" t="e">
        <f>AND(Onsite!B117,"AAAAAH0939c=")</f>
        <v>#VALUE!</v>
      </c>
      <c r="HI262" t="e">
        <f>AND(Onsite!C117,"AAAAAH0939g=")</f>
        <v>#VALUE!</v>
      </c>
      <c r="HJ262" t="e">
        <f>AND(Onsite!D117,"AAAAAH0939k=")</f>
        <v>#VALUE!</v>
      </c>
      <c r="HK262" t="e">
        <f>AND(Onsite!E117,"AAAAAH0939o=")</f>
        <v>#VALUE!</v>
      </c>
      <c r="HL262" t="e">
        <f>AND(Onsite!#REF!,"AAAAAH0939s=")</f>
        <v>#REF!</v>
      </c>
      <c r="HM262" t="e">
        <f>AND(Onsite!#REF!,"AAAAAH0939w=")</f>
        <v>#REF!</v>
      </c>
      <c r="HN262" t="e">
        <f>AND(Onsite!#REF!,"AAAAAH09390=")</f>
        <v>#REF!</v>
      </c>
      <c r="HO262" t="e">
        <f>AND(Onsite!#REF!,"AAAAAH09394=")</f>
        <v>#REF!</v>
      </c>
      <c r="HP262" t="e">
        <f>AND(Onsite!#REF!,"AAAAAH09398=")</f>
        <v>#REF!</v>
      </c>
      <c r="HQ262" t="e">
        <f>AND(Onsite!#REF!,"AAAAAH093+A=")</f>
        <v>#REF!</v>
      </c>
      <c r="HR262" t="e">
        <f>AND(Onsite!F117,"AAAAAH093+E=")</f>
        <v>#VALUE!</v>
      </c>
      <c r="HS262">
        <f>IF(Onsite!118:118,"AAAAAH093+I=",0)</f>
        <v>0</v>
      </c>
      <c r="HT262" t="e">
        <f>AND(Onsite!#REF!,"AAAAAH093+M=")</f>
        <v>#REF!</v>
      </c>
      <c r="HU262" t="e">
        <f>AND(Onsite!A118,"AAAAAH093+Q=")</f>
        <v>#VALUE!</v>
      </c>
      <c r="HV262" t="e">
        <f>AND(Onsite!B118,"AAAAAH093+U=")</f>
        <v>#VALUE!</v>
      </c>
      <c r="HW262" t="e">
        <f>AND(Onsite!C118,"AAAAAH093+Y=")</f>
        <v>#VALUE!</v>
      </c>
      <c r="HX262" t="e">
        <f>AND(Onsite!D118,"AAAAAH093+c=")</f>
        <v>#VALUE!</v>
      </c>
      <c r="HY262" t="e">
        <f>AND(Onsite!E118,"AAAAAH093+g=")</f>
        <v>#VALUE!</v>
      </c>
      <c r="HZ262" t="e">
        <f>AND(Onsite!#REF!,"AAAAAH093+k=")</f>
        <v>#REF!</v>
      </c>
      <c r="IA262" t="e">
        <f>AND(Onsite!#REF!,"AAAAAH093+o=")</f>
        <v>#REF!</v>
      </c>
      <c r="IB262" t="e">
        <f>AND(Onsite!#REF!,"AAAAAH093+s=")</f>
        <v>#REF!</v>
      </c>
      <c r="IC262" t="e">
        <f>AND(Onsite!#REF!,"AAAAAH093+w=")</f>
        <v>#REF!</v>
      </c>
      <c r="ID262" t="e">
        <f>AND(Onsite!#REF!,"AAAAAH093+0=")</f>
        <v>#REF!</v>
      </c>
      <c r="IE262" t="e">
        <f>AND(Onsite!#REF!,"AAAAAH093+4=")</f>
        <v>#REF!</v>
      </c>
      <c r="IF262" t="e">
        <f>AND(Onsite!F118,"AAAAAH093+8=")</f>
        <v>#VALUE!</v>
      </c>
      <c r="IG262">
        <f>IF(Onsite!119:119,"AAAAAH093/A=",0)</f>
        <v>0</v>
      </c>
      <c r="IH262" t="e">
        <f>AND(Onsite!#REF!,"AAAAAH093/E=")</f>
        <v>#REF!</v>
      </c>
      <c r="II262" t="e">
        <f>AND(Onsite!A119,"AAAAAH093/I=")</f>
        <v>#VALUE!</v>
      </c>
      <c r="IJ262" t="e">
        <f>AND(Onsite!B119,"AAAAAH093/M=")</f>
        <v>#VALUE!</v>
      </c>
      <c r="IK262" t="e">
        <f>AND(Onsite!C119,"AAAAAH093/Q=")</f>
        <v>#VALUE!</v>
      </c>
      <c r="IL262" t="e">
        <f>AND(Onsite!D119,"AAAAAH093/U=")</f>
        <v>#VALUE!</v>
      </c>
      <c r="IM262" t="e">
        <f>AND(Onsite!E119,"AAAAAH093/Y=")</f>
        <v>#VALUE!</v>
      </c>
      <c r="IN262" t="e">
        <f>AND(Onsite!#REF!,"AAAAAH093/c=")</f>
        <v>#REF!</v>
      </c>
      <c r="IO262" t="e">
        <f>AND(Onsite!#REF!,"AAAAAH093/g=")</f>
        <v>#REF!</v>
      </c>
      <c r="IP262" t="e">
        <f>AND(Onsite!#REF!,"AAAAAH093/k=")</f>
        <v>#REF!</v>
      </c>
      <c r="IQ262" t="e">
        <f>AND(Onsite!#REF!,"AAAAAH093/o=")</f>
        <v>#REF!</v>
      </c>
      <c r="IR262" t="e">
        <f>AND(Onsite!#REF!,"AAAAAH093/s=")</f>
        <v>#REF!</v>
      </c>
      <c r="IS262" t="e">
        <f>AND(Onsite!#REF!,"AAAAAH093/w=")</f>
        <v>#REF!</v>
      </c>
      <c r="IT262" t="e">
        <f>AND(Onsite!F119,"AAAAAH093/0=")</f>
        <v>#VALUE!</v>
      </c>
      <c r="IU262">
        <f>IF(Onsite!120:120,"AAAAAH093/4=",0)</f>
        <v>0</v>
      </c>
      <c r="IV262" t="e">
        <f>AND(Onsite!#REF!,"AAAAAH093/8=")</f>
        <v>#REF!</v>
      </c>
    </row>
    <row r="263" spans="1:256" x14ac:dyDescent="0.2">
      <c r="A263" t="e">
        <f>AND(Onsite!A120,"AAAAAHf9vwA=")</f>
        <v>#VALUE!</v>
      </c>
      <c r="B263" t="e">
        <f>AND(Onsite!B120,"AAAAAHf9vwE=")</f>
        <v>#VALUE!</v>
      </c>
      <c r="C263" t="e">
        <f>AND(Onsite!C120,"AAAAAHf9vwI=")</f>
        <v>#VALUE!</v>
      </c>
      <c r="D263" t="e">
        <f>AND(Onsite!D120,"AAAAAHf9vwM=")</f>
        <v>#VALUE!</v>
      </c>
      <c r="E263" t="e">
        <f>AND(Onsite!E120,"AAAAAHf9vwQ=")</f>
        <v>#VALUE!</v>
      </c>
      <c r="F263" t="e">
        <f>AND(Onsite!#REF!,"AAAAAHf9vwU=")</f>
        <v>#REF!</v>
      </c>
      <c r="G263" t="e">
        <f>AND(Onsite!#REF!,"AAAAAHf9vwY=")</f>
        <v>#REF!</v>
      </c>
      <c r="H263" t="e">
        <f>AND(Onsite!#REF!,"AAAAAHf9vwc=")</f>
        <v>#REF!</v>
      </c>
      <c r="I263" t="e">
        <f>AND(Onsite!#REF!,"AAAAAHf9vwg=")</f>
        <v>#REF!</v>
      </c>
      <c r="J263" t="e">
        <f>AND(Onsite!#REF!,"AAAAAHf9vwk=")</f>
        <v>#REF!</v>
      </c>
      <c r="K263" t="e">
        <f>AND(Onsite!#REF!,"AAAAAHf9vwo=")</f>
        <v>#REF!</v>
      </c>
      <c r="L263" t="e">
        <f>AND(Onsite!F120,"AAAAAHf9vws=")</f>
        <v>#VALUE!</v>
      </c>
      <c r="M263">
        <f>IF(Onsite!121:121,"AAAAAHf9vww=",0)</f>
        <v>0</v>
      </c>
      <c r="N263" t="e">
        <f>AND(Onsite!#REF!,"AAAAAHf9vw0=")</f>
        <v>#REF!</v>
      </c>
      <c r="O263" t="e">
        <f>AND(Onsite!A121,"AAAAAHf9vw4=")</f>
        <v>#VALUE!</v>
      </c>
      <c r="P263" t="e">
        <f>AND(Onsite!B121,"AAAAAHf9vw8=")</f>
        <v>#VALUE!</v>
      </c>
      <c r="Q263" t="e">
        <f>AND(Onsite!C121,"AAAAAHf9vxA=")</f>
        <v>#VALUE!</v>
      </c>
      <c r="R263" t="e">
        <f>AND(Onsite!D121,"AAAAAHf9vxE=")</f>
        <v>#VALUE!</v>
      </c>
      <c r="S263" t="e">
        <f>AND(Onsite!E121,"AAAAAHf9vxI=")</f>
        <v>#VALUE!</v>
      </c>
      <c r="T263" t="e">
        <f>AND(Onsite!#REF!,"AAAAAHf9vxM=")</f>
        <v>#REF!</v>
      </c>
      <c r="U263" t="e">
        <f>AND(Onsite!#REF!,"AAAAAHf9vxQ=")</f>
        <v>#REF!</v>
      </c>
      <c r="V263" t="e">
        <f>AND(Onsite!#REF!,"AAAAAHf9vxU=")</f>
        <v>#REF!</v>
      </c>
      <c r="W263" t="e">
        <f>AND(Onsite!#REF!,"AAAAAHf9vxY=")</f>
        <v>#REF!</v>
      </c>
      <c r="X263" t="e">
        <f>AND(Onsite!#REF!,"AAAAAHf9vxc=")</f>
        <v>#REF!</v>
      </c>
      <c r="Y263" t="e">
        <f>AND(Onsite!#REF!,"AAAAAHf9vxg=")</f>
        <v>#REF!</v>
      </c>
      <c r="Z263" t="e">
        <f>AND(Onsite!F121,"AAAAAHf9vxk=")</f>
        <v>#VALUE!</v>
      </c>
      <c r="AA263">
        <f>IF(Onsite!122:122,"AAAAAHf9vxo=",0)</f>
        <v>0</v>
      </c>
      <c r="AB263" t="e">
        <f>AND(Onsite!#REF!,"AAAAAHf9vxs=")</f>
        <v>#REF!</v>
      </c>
      <c r="AC263" t="e">
        <f>AND(Onsite!A122,"AAAAAHf9vxw=")</f>
        <v>#VALUE!</v>
      </c>
      <c r="AD263" t="e">
        <f>AND(Onsite!B122,"AAAAAHf9vx0=")</f>
        <v>#VALUE!</v>
      </c>
      <c r="AE263" t="e">
        <f>AND(Onsite!C122,"AAAAAHf9vx4=")</f>
        <v>#VALUE!</v>
      </c>
      <c r="AF263" t="e">
        <f>AND(Onsite!D122,"AAAAAHf9vx8=")</f>
        <v>#VALUE!</v>
      </c>
      <c r="AG263" t="e">
        <f>AND(Onsite!E122,"AAAAAHf9vyA=")</f>
        <v>#VALUE!</v>
      </c>
      <c r="AH263" t="e">
        <f>AND(Onsite!#REF!,"AAAAAHf9vyE=")</f>
        <v>#REF!</v>
      </c>
      <c r="AI263" t="e">
        <f>AND(Onsite!#REF!,"AAAAAHf9vyI=")</f>
        <v>#REF!</v>
      </c>
      <c r="AJ263" t="e">
        <f>AND(Onsite!#REF!,"AAAAAHf9vyM=")</f>
        <v>#REF!</v>
      </c>
      <c r="AK263" t="e">
        <f>AND(Onsite!#REF!,"AAAAAHf9vyQ=")</f>
        <v>#REF!</v>
      </c>
      <c r="AL263" t="e">
        <f>AND(Onsite!#REF!,"AAAAAHf9vyU=")</f>
        <v>#REF!</v>
      </c>
      <c r="AM263" t="e">
        <f>AND(Onsite!#REF!,"AAAAAHf9vyY=")</f>
        <v>#REF!</v>
      </c>
      <c r="AN263" t="e">
        <f>AND(Onsite!F122,"AAAAAHf9vyc=")</f>
        <v>#VALUE!</v>
      </c>
      <c r="AO263">
        <f>IF(Onsite!123:123,"AAAAAHf9vyg=",0)</f>
        <v>0</v>
      </c>
      <c r="AP263" t="e">
        <f>AND(Onsite!#REF!,"AAAAAHf9vyk=")</f>
        <v>#REF!</v>
      </c>
      <c r="AQ263" t="e">
        <f>AND(Onsite!A123,"AAAAAHf9vyo=")</f>
        <v>#VALUE!</v>
      </c>
      <c r="AR263" t="e">
        <f>AND(Onsite!B123,"AAAAAHf9vys=")</f>
        <v>#VALUE!</v>
      </c>
      <c r="AS263" t="e">
        <f>AND(Onsite!C123,"AAAAAHf9vyw=")</f>
        <v>#VALUE!</v>
      </c>
      <c r="AT263" t="e">
        <f>AND(Onsite!D123,"AAAAAHf9vy0=")</f>
        <v>#VALUE!</v>
      </c>
      <c r="AU263" t="e">
        <f>AND(Onsite!E123,"AAAAAHf9vy4=")</f>
        <v>#VALUE!</v>
      </c>
      <c r="AV263" t="e">
        <f>AND(Onsite!#REF!,"AAAAAHf9vy8=")</f>
        <v>#REF!</v>
      </c>
      <c r="AW263" t="e">
        <f>AND(Onsite!#REF!,"AAAAAHf9vzA=")</f>
        <v>#REF!</v>
      </c>
      <c r="AX263" t="e">
        <f>AND(Onsite!#REF!,"AAAAAHf9vzE=")</f>
        <v>#REF!</v>
      </c>
      <c r="AY263" t="e">
        <f>AND(Onsite!#REF!,"AAAAAHf9vzI=")</f>
        <v>#REF!</v>
      </c>
      <c r="AZ263" t="e">
        <f>AND(Onsite!#REF!,"AAAAAHf9vzM=")</f>
        <v>#REF!</v>
      </c>
      <c r="BA263" t="e">
        <f>AND(Onsite!#REF!,"AAAAAHf9vzQ=")</f>
        <v>#REF!</v>
      </c>
      <c r="BB263" t="e">
        <f>AND(Onsite!F123,"AAAAAHf9vzU=")</f>
        <v>#VALUE!</v>
      </c>
      <c r="BC263">
        <f>IF(Onsite!124:124,"AAAAAHf9vzY=",0)</f>
        <v>0</v>
      </c>
      <c r="BD263" t="e">
        <f>AND(Onsite!#REF!,"AAAAAHf9vzc=")</f>
        <v>#REF!</v>
      </c>
      <c r="BE263" t="e">
        <f>AND(Onsite!A124,"AAAAAHf9vzg=")</f>
        <v>#VALUE!</v>
      </c>
      <c r="BF263" t="e">
        <f>AND(Onsite!B124,"AAAAAHf9vzk=")</f>
        <v>#VALUE!</v>
      </c>
      <c r="BG263" t="e">
        <f>AND(Onsite!C124,"AAAAAHf9vzo=")</f>
        <v>#VALUE!</v>
      </c>
      <c r="BH263" t="e">
        <f>AND(Onsite!D124,"AAAAAHf9vzs=")</f>
        <v>#VALUE!</v>
      </c>
      <c r="BI263" t="e">
        <f>AND(Onsite!E124,"AAAAAHf9vzw=")</f>
        <v>#VALUE!</v>
      </c>
      <c r="BJ263" t="e">
        <f>AND(Onsite!#REF!,"AAAAAHf9vz0=")</f>
        <v>#REF!</v>
      </c>
      <c r="BK263" t="e">
        <f>AND(Onsite!#REF!,"AAAAAHf9vz4=")</f>
        <v>#REF!</v>
      </c>
      <c r="BL263" t="e">
        <f>AND(Onsite!#REF!,"AAAAAHf9vz8=")</f>
        <v>#REF!</v>
      </c>
      <c r="BM263" t="e">
        <f>AND(Onsite!#REF!,"AAAAAHf9v0A=")</f>
        <v>#REF!</v>
      </c>
      <c r="BN263" t="e">
        <f>AND(Onsite!#REF!,"AAAAAHf9v0E=")</f>
        <v>#REF!</v>
      </c>
      <c r="BO263" t="e">
        <f>AND(Onsite!#REF!,"AAAAAHf9v0I=")</f>
        <v>#REF!</v>
      </c>
      <c r="BP263" t="e">
        <f>AND(Onsite!F124,"AAAAAHf9v0M=")</f>
        <v>#VALUE!</v>
      </c>
      <c r="BQ263">
        <f>IF(Onsite!125:125,"AAAAAHf9v0Q=",0)</f>
        <v>0</v>
      </c>
      <c r="BR263" t="e">
        <f>AND(Onsite!#REF!,"AAAAAHf9v0U=")</f>
        <v>#REF!</v>
      </c>
      <c r="BS263" t="e">
        <f>AND(Onsite!A125,"AAAAAHf9v0Y=")</f>
        <v>#VALUE!</v>
      </c>
      <c r="BT263" t="e">
        <f>AND(Onsite!B125,"AAAAAHf9v0c=")</f>
        <v>#VALUE!</v>
      </c>
      <c r="BU263" t="e">
        <f>AND(Onsite!C125,"AAAAAHf9v0g=")</f>
        <v>#VALUE!</v>
      </c>
      <c r="BV263" t="e">
        <f>AND(Onsite!D125,"AAAAAHf9v0k=")</f>
        <v>#VALUE!</v>
      </c>
      <c r="BW263" t="e">
        <f>AND(Onsite!E125,"AAAAAHf9v0o=")</f>
        <v>#VALUE!</v>
      </c>
      <c r="BX263" t="e">
        <f>AND(Onsite!#REF!,"AAAAAHf9v0s=")</f>
        <v>#REF!</v>
      </c>
      <c r="BY263" t="e">
        <f>AND(Onsite!#REF!,"AAAAAHf9v0w=")</f>
        <v>#REF!</v>
      </c>
      <c r="BZ263" t="e">
        <f>AND(Onsite!#REF!,"AAAAAHf9v00=")</f>
        <v>#REF!</v>
      </c>
      <c r="CA263" t="e">
        <f>AND(Onsite!#REF!,"AAAAAHf9v04=")</f>
        <v>#REF!</v>
      </c>
      <c r="CB263" t="e">
        <f>AND(Onsite!#REF!,"AAAAAHf9v08=")</f>
        <v>#REF!</v>
      </c>
      <c r="CC263" t="e">
        <f>AND(Onsite!#REF!,"AAAAAHf9v1A=")</f>
        <v>#REF!</v>
      </c>
      <c r="CD263" t="e">
        <f>AND(Onsite!F125,"AAAAAHf9v1E=")</f>
        <v>#VALUE!</v>
      </c>
      <c r="CE263">
        <f>IF(Onsite!126:126,"AAAAAHf9v1I=",0)</f>
        <v>0</v>
      </c>
      <c r="CF263" t="e">
        <f>AND(Onsite!#REF!,"AAAAAHf9v1M=")</f>
        <v>#REF!</v>
      </c>
      <c r="CG263" t="e">
        <f>AND(Onsite!A126,"AAAAAHf9v1Q=")</f>
        <v>#VALUE!</v>
      </c>
      <c r="CH263" t="e">
        <f>AND(Onsite!B126,"AAAAAHf9v1U=")</f>
        <v>#VALUE!</v>
      </c>
      <c r="CI263" t="e">
        <f>AND(Onsite!C126,"AAAAAHf9v1Y=")</f>
        <v>#VALUE!</v>
      </c>
      <c r="CJ263" t="e">
        <f>AND(Onsite!D126,"AAAAAHf9v1c=")</f>
        <v>#VALUE!</v>
      </c>
      <c r="CK263" t="e">
        <f>AND(Onsite!E126,"AAAAAHf9v1g=")</f>
        <v>#VALUE!</v>
      </c>
      <c r="CL263" t="e">
        <f>AND(Onsite!#REF!,"AAAAAHf9v1k=")</f>
        <v>#REF!</v>
      </c>
      <c r="CM263" t="e">
        <f>AND(Onsite!#REF!,"AAAAAHf9v1o=")</f>
        <v>#REF!</v>
      </c>
      <c r="CN263" t="e">
        <f>AND(Onsite!#REF!,"AAAAAHf9v1s=")</f>
        <v>#REF!</v>
      </c>
      <c r="CO263" t="e">
        <f>AND(Onsite!#REF!,"AAAAAHf9v1w=")</f>
        <v>#REF!</v>
      </c>
      <c r="CP263" t="e">
        <f>AND(Onsite!#REF!,"AAAAAHf9v10=")</f>
        <v>#REF!</v>
      </c>
      <c r="CQ263" t="e">
        <f>AND(Onsite!#REF!,"AAAAAHf9v14=")</f>
        <v>#REF!</v>
      </c>
      <c r="CR263" t="e">
        <f>AND(Onsite!F126,"AAAAAHf9v18=")</f>
        <v>#VALUE!</v>
      </c>
      <c r="CS263">
        <f>IF(Onsite!127:127,"AAAAAHf9v2A=",0)</f>
        <v>0</v>
      </c>
      <c r="CT263" t="e">
        <f>AND(Onsite!#REF!,"AAAAAHf9v2E=")</f>
        <v>#REF!</v>
      </c>
      <c r="CU263" t="e">
        <f>AND(Onsite!A127,"AAAAAHf9v2I=")</f>
        <v>#VALUE!</v>
      </c>
      <c r="CV263" t="e">
        <f>AND(Onsite!B127,"AAAAAHf9v2M=")</f>
        <v>#VALUE!</v>
      </c>
      <c r="CW263" t="e">
        <f>AND(Onsite!C127,"AAAAAHf9v2Q=")</f>
        <v>#VALUE!</v>
      </c>
      <c r="CX263" t="e">
        <f>AND(Onsite!D127,"AAAAAHf9v2U=")</f>
        <v>#VALUE!</v>
      </c>
      <c r="CY263" t="e">
        <f>AND(Onsite!E127,"AAAAAHf9v2Y=")</f>
        <v>#VALUE!</v>
      </c>
      <c r="CZ263" t="e">
        <f>AND(Onsite!#REF!,"AAAAAHf9v2c=")</f>
        <v>#REF!</v>
      </c>
      <c r="DA263" t="e">
        <f>AND(Onsite!#REF!,"AAAAAHf9v2g=")</f>
        <v>#REF!</v>
      </c>
      <c r="DB263" t="e">
        <f>AND(Onsite!#REF!,"AAAAAHf9v2k=")</f>
        <v>#REF!</v>
      </c>
      <c r="DC263" t="e">
        <f>AND(Onsite!#REF!,"AAAAAHf9v2o=")</f>
        <v>#REF!</v>
      </c>
      <c r="DD263" t="e">
        <f>AND(Onsite!#REF!,"AAAAAHf9v2s=")</f>
        <v>#REF!</v>
      </c>
      <c r="DE263" t="e">
        <f>AND(Onsite!#REF!,"AAAAAHf9v2w=")</f>
        <v>#REF!</v>
      </c>
      <c r="DF263" t="e">
        <f>AND(Onsite!F127,"AAAAAHf9v20=")</f>
        <v>#VALUE!</v>
      </c>
      <c r="DG263">
        <f>IF(Onsite!128:128,"AAAAAHf9v24=",0)</f>
        <v>0</v>
      </c>
      <c r="DH263" t="e">
        <f>AND(Onsite!#REF!,"AAAAAHf9v28=")</f>
        <v>#REF!</v>
      </c>
      <c r="DI263" t="e">
        <f>AND(Onsite!A128,"AAAAAHf9v3A=")</f>
        <v>#VALUE!</v>
      </c>
      <c r="DJ263" t="e">
        <f>AND(Onsite!B128,"AAAAAHf9v3E=")</f>
        <v>#VALUE!</v>
      </c>
      <c r="DK263" t="e">
        <f>AND(Onsite!C128,"AAAAAHf9v3I=")</f>
        <v>#VALUE!</v>
      </c>
      <c r="DL263" t="e">
        <f>AND(Onsite!D128,"AAAAAHf9v3M=")</f>
        <v>#VALUE!</v>
      </c>
      <c r="DM263" t="e">
        <f>AND(Onsite!E128,"AAAAAHf9v3Q=")</f>
        <v>#VALUE!</v>
      </c>
      <c r="DN263" t="e">
        <f>AND(Onsite!#REF!,"AAAAAHf9v3U=")</f>
        <v>#REF!</v>
      </c>
      <c r="DO263" t="e">
        <f>AND(Onsite!#REF!,"AAAAAHf9v3Y=")</f>
        <v>#REF!</v>
      </c>
      <c r="DP263" t="e">
        <f>AND(Onsite!#REF!,"AAAAAHf9v3c=")</f>
        <v>#REF!</v>
      </c>
      <c r="DQ263" t="e">
        <f>AND(Onsite!#REF!,"AAAAAHf9v3g=")</f>
        <v>#REF!</v>
      </c>
      <c r="DR263" t="e">
        <f>AND(Onsite!#REF!,"AAAAAHf9v3k=")</f>
        <v>#REF!</v>
      </c>
      <c r="DS263" t="e">
        <f>AND(Onsite!#REF!,"AAAAAHf9v3o=")</f>
        <v>#REF!</v>
      </c>
      <c r="DT263" t="e">
        <f>AND(Onsite!F128,"AAAAAHf9v3s=")</f>
        <v>#VALUE!</v>
      </c>
      <c r="DU263">
        <f>IF(Onsite!129:129,"AAAAAHf9v3w=",0)</f>
        <v>0</v>
      </c>
      <c r="DV263" t="e">
        <f>AND(Onsite!#REF!,"AAAAAHf9v30=")</f>
        <v>#REF!</v>
      </c>
      <c r="DW263" t="e">
        <f>AND(Onsite!A129,"AAAAAHf9v34=")</f>
        <v>#VALUE!</v>
      </c>
      <c r="DX263" t="e">
        <f>AND(Onsite!B129,"AAAAAHf9v38=")</f>
        <v>#VALUE!</v>
      </c>
      <c r="DY263" t="e">
        <f>AND(Onsite!C129,"AAAAAHf9v4A=")</f>
        <v>#VALUE!</v>
      </c>
      <c r="DZ263" t="e">
        <f>AND(Onsite!D129,"AAAAAHf9v4E=")</f>
        <v>#VALUE!</v>
      </c>
      <c r="EA263" t="e">
        <f>AND(Onsite!E129,"AAAAAHf9v4I=")</f>
        <v>#VALUE!</v>
      </c>
      <c r="EB263" t="e">
        <f>AND(Onsite!#REF!,"AAAAAHf9v4M=")</f>
        <v>#REF!</v>
      </c>
      <c r="EC263" t="e">
        <f>AND(Onsite!#REF!,"AAAAAHf9v4Q=")</f>
        <v>#REF!</v>
      </c>
      <c r="ED263" t="e">
        <f>AND(Onsite!#REF!,"AAAAAHf9v4U=")</f>
        <v>#REF!</v>
      </c>
      <c r="EE263" t="e">
        <f>AND(Onsite!#REF!,"AAAAAHf9v4Y=")</f>
        <v>#REF!</v>
      </c>
      <c r="EF263" t="e">
        <f>AND(Onsite!#REF!,"AAAAAHf9v4c=")</f>
        <v>#REF!</v>
      </c>
      <c r="EG263" t="e">
        <f>AND(Onsite!#REF!,"AAAAAHf9v4g=")</f>
        <v>#REF!</v>
      </c>
      <c r="EH263" t="e">
        <f>AND(Onsite!F129,"AAAAAHf9v4k=")</f>
        <v>#VALUE!</v>
      </c>
      <c r="EI263" t="e">
        <f>IF(Onsite!#REF!,"AAAAAHf9v4o=",0)</f>
        <v>#REF!</v>
      </c>
      <c r="EJ263" t="e">
        <f>AND(Onsite!#REF!,"AAAAAHf9v4s=")</f>
        <v>#REF!</v>
      </c>
      <c r="EK263" t="e">
        <f>AND(Onsite!#REF!,"AAAAAHf9v4w=")</f>
        <v>#REF!</v>
      </c>
      <c r="EL263" t="e">
        <f>AND(Onsite!#REF!,"AAAAAHf9v40=")</f>
        <v>#REF!</v>
      </c>
      <c r="EM263" t="e">
        <f>AND(Onsite!#REF!,"AAAAAHf9v44=")</f>
        <v>#REF!</v>
      </c>
      <c r="EN263" t="e">
        <f>AND(Onsite!#REF!,"AAAAAHf9v48=")</f>
        <v>#REF!</v>
      </c>
      <c r="EO263" t="e">
        <f>AND(Onsite!#REF!,"AAAAAHf9v5A=")</f>
        <v>#REF!</v>
      </c>
      <c r="EP263" t="e">
        <f>AND(Onsite!#REF!,"AAAAAHf9v5E=")</f>
        <v>#REF!</v>
      </c>
      <c r="EQ263" t="e">
        <f>AND(Onsite!#REF!,"AAAAAHf9v5I=")</f>
        <v>#REF!</v>
      </c>
      <c r="ER263" t="e">
        <f>AND(Onsite!#REF!,"AAAAAHf9v5M=")</f>
        <v>#REF!</v>
      </c>
      <c r="ES263" t="e">
        <f>AND(Onsite!#REF!,"AAAAAHf9v5Q=")</f>
        <v>#REF!</v>
      </c>
      <c r="ET263" t="e">
        <f>AND(Onsite!#REF!,"AAAAAHf9v5U=")</f>
        <v>#REF!</v>
      </c>
      <c r="EU263" t="e">
        <f>AND(Onsite!#REF!,"AAAAAHf9v5Y=")</f>
        <v>#REF!</v>
      </c>
      <c r="EV263" t="e">
        <f>AND(Onsite!#REF!,"AAAAAHf9v5c=")</f>
        <v>#REF!</v>
      </c>
      <c r="EW263" t="e">
        <f>IF(Onsite!#REF!,"AAAAAHf9v5g=",0)</f>
        <v>#REF!</v>
      </c>
      <c r="EX263" t="e">
        <f>AND(Onsite!#REF!,"AAAAAHf9v5k=")</f>
        <v>#REF!</v>
      </c>
      <c r="EY263" t="e">
        <f>AND(Onsite!#REF!,"AAAAAHf9v5o=")</f>
        <v>#REF!</v>
      </c>
      <c r="EZ263" t="e">
        <f>AND(Onsite!#REF!,"AAAAAHf9v5s=")</f>
        <v>#REF!</v>
      </c>
      <c r="FA263" t="e">
        <f>AND(Onsite!#REF!,"AAAAAHf9v5w=")</f>
        <v>#REF!</v>
      </c>
      <c r="FB263" t="e">
        <f>AND(Onsite!#REF!,"AAAAAHf9v50=")</f>
        <v>#REF!</v>
      </c>
      <c r="FC263" t="e">
        <f>AND(Onsite!#REF!,"AAAAAHf9v54=")</f>
        <v>#REF!</v>
      </c>
      <c r="FD263" t="e">
        <f>AND(Onsite!#REF!,"AAAAAHf9v58=")</f>
        <v>#REF!</v>
      </c>
      <c r="FE263" t="e">
        <f>AND(Onsite!#REF!,"AAAAAHf9v6A=")</f>
        <v>#REF!</v>
      </c>
      <c r="FF263" t="e">
        <f>AND(Onsite!#REF!,"AAAAAHf9v6E=")</f>
        <v>#REF!</v>
      </c>
      <c r="FG263" t="e">
        <f>AND(Onsite!#REF!,"AAAAAHf9v6I=")</f>
        <v>#REF!</v>
      </c>
      <c r="FH263" t="e">
        <f>AND(Onsite!#REF!,"AAAAAHf9v6M=")</f>
        <v>#REF!</v>
      </c>
      <c r="FI263" t="e">
        <f>AND(Onsite!#REF!,"AAAAAHf9v6Q=")</f>
        <v>#REF!</v>
      </c>
      <c r="FJ263" t="e">
        <f>AND(Onsite!#REF!,"AAAAAHf9v6U=")</f>
        <v>#REF!</v>
      </c>
      <c r="FK263" t="e">
        <f>IF(Onsite!#REF!,"AAAAAHf9v6Y=",0)</f>
        <v>#REF!</v>
      </c>
      <c r="FL263" t="e">
        <f>AND(Onsite!#REF!,"AAAAAHf9v6c=")</f>
        <v>#REF!</v>
      </c>
      <c r="FM263" t="e">
        <f>AND(Onsite!#REF!,"AAAAAHf9v6g=")</f>
        <v>#REF!</v>
      </c>
      <c r="FN263" t="e">
        <f>AND(Onsite!#REF!,"AAAAAHf9v6k=")</f>
        <v>#REF!</v>
      </c>
      <c r="FO263" t="e">
        <f>AND(Onsite!#REF!,"AAAAAHf9v6o=")</f>
        <v>#REF!</v>
      </c>
      <c r="FP263" t="e">
        <f>AND(Onsite!#REF!,"AAAAAHf9v6s=")</f>
        <v>#REF!</v>
      </c>
      <c r="FQ263" t="e">
        <f>AND(Onsite!#REF!,"AAAAAHf9v6w=")</f>
        <v>#REF!</v>
      </c>
      <c r="FR263" t="e">
        <f>AND(Onsite!#REF!,"AAAAAHf9v60=")</f>
        <v>#REF!</v>
      </c>
      <c r="FS263" t="e">
        <f>AND(Onsite!#REF!,"AAAAAHf9v64=")</f>
        <v>#REF!</v>
      </c>
      <c r="FT263" t="e">
        <f>AND(Onsite!#REF!,"AAAAAHf9v68=")</f>
        <v>#REF!</v>
      </c>
      <c r="FU263" t="e">
        <f>AND(Onsite!#REF!,"AAAAAHf9v7A=")</f>
        <v>#REF!</v>
      </c>
      <c r="FV263" t="e">
        <f>AND(Onsite!#REF!,"AAAAAHf9v7E=")</f>
        <v>#REF!</v>
      </c>
      <c r="FW263" t="e">
        <f>AND(Onsite!#REF!,"AAAAAHf9v7I=")</f>
        <v>#REF!</v>
      </c>
      <c r="FX263" t="e">
        <f>AND(Onsite!#REF!,"AAAAAHf9v7M=")</f>
        <v>#REF!</v>
      </c>
      <c r="FY263" t="e">
        <f>IF(Onsite!#REF!,"AAAAAHf9v7Q=",0)</f>
        <v>#REF!</v>
      </c>
      <c r="FZ263" t="e">
        <f>AND(Onsite!#REF!,"AAAAAHf9v7U=")</f>
        <v>#REF!</v>
      </c>
      <c r="GA263" t="e">
        <f>AND(Onsite!#REF!,"AAAAAHf9v7Y=")</f>
        <v>#REF!</v>
      </c>
      <c r="GB263" t="e">
        <f>AND(Onsite!#REF!,"AAAAAHf9v7c=")</f>
        <v>#REF!</v>
      </c>
      <c r="GC263" t="e">
        <f>AND(Onsite!#REF!,"AAAAAHf9v7g=")</f>
        <v>#REF!</v>
      </c>
      <c r="GD263" t="e">
        <f>AND(Onsite!#REF!,"AAAAAHf9v7k=")</f>
        <v>#REF!</v>
      </c>
      <c r="GE263" t="e">
        <f>AND(Onsite!#REF!,"AAAAAHf9v7o=")</f>
        <v>#REF!</v>
      </c>
      <c r="GF263" t="e">
        <f>AND(Onsite!#REF!,"AAAAAHf9v7s=")</f>
        <v>#REF!</v>
      </c>
      <c r="GG263" t="e">
        <f>AND(Onsite!#REF!,"AAAAAHf9v7w=")</f>
        <v>#REF!</v>
      </c>
      <c r="GH263" t="e">
        <f>AND(Onsite!#REF!,"AAAAAHf9v70=")</f>
        <v>#REF!</v>
      </c>
      <c r="GI263" t="e">
        <f>AND(Onsite!#REF!,"AAAAAHf9v74=")</f>
        <v>#REF!</v>
      </c>
      <c r="GJ263" t="e">
        <f>AND(Onsite!#REF!,"AAAAAHf9v78=")</f>
        <v>#REF!</v>
      </c>
      <c r="GK263" t="e">
        <f>AND(Onsite!#REF!,"AAAAAHf9v8A=")</f>
        <v>#REF!</v>
      </c>
      <c r="GL263" t="e">
        <f>AND(Onsite!#REF!,"AAAAAHf9v8E=")</f>
        <v>#REF!</v>
      </c>
      <c r="GM263" t="e">
        <f>IF(Onsite!#REF!,"AAAAAHf9v8I=",0)</f>
        <v>#REF!</v>
      </c>
      <c r="GN263" t="e">
        <f>AND(Onsite!#REF!,"AAAAAHf9v8M=")</f>
        <v>#REF!</v>
      </c>
      <c r="GO263" t="e">
        <f>AND(Onsite!#REF!,"AAAAAHf9v8Q=")</f>
        <v>#REF!</v>
      </c>
      <c r="GP263" t="e">
        <f>AND(Onsite!#REF!,"AAAAAHf9v8U=")</f>
        <v>#REF!</v>
      </c>
      <c r="GQ263" t="e">
        <f>AND(Onsite!#REF!,"AAAAAHf9v8Y=")</f>
        <v>#REF!</v>
      </c>
      <c r="GR263" t="e">
        <f>AND(Onsite!#REF!,"AAAAAHf9v8c=")</f>
        <v>#REF!</v>
      </c>
      <c r="GS263" t="e">
        <f>AND(Onsite!#REF!,"AAAAAHf9v8g=")</f>
        <v>#REF!</v>
      </c>
      <c r="GT263" t="e">
        <f>AND(Onsite!#REF!,"AAAAAHf9v8k=")</f>
        <v>#REF!</v>
      </c>
      <c r="GU263" t="e">
        <f>AND(Onsite!#REF!,"AAAAAHf9v8o=")</f>
        <v>#REF!</v>
      </c>
      <c r="GV263" t="e">
        <f>AND(Onsite!#REF!,"AAAAAHf9v8s=")</f>
        <v>#REF!</v>
      </c>
      <c r="GW263" t="e">
        <f>AND(Onsite!#REF!,"AAAAAHf9v8w=")</f>
        <v>#REF!</v>
      </c>
      <c r="GX263" t="e">
        <f>AND(Onsite!#REF!,"AAAAAHf9v80=")</f>
        <v>#REF!</v>
      </c>
      <c r="GY263" t="e">
        <f>AND(Onsite!#REF!,"AAAAAHf9v84=")</f>
        <v>#REF!</v>
      </c>
      <c r="GZ263" t="e">
        <f>AND(Onsite!#REF!,"AAAAAHf9v88=")</f>
        <v>#REF!</v>
      </c>
      <c r="HA263" t="e">
        <f>IF(Onsite!#REF!,"AAAAAHf9v9A=",0)</f>
        <v>#REF!</v>
      </c>
      <c r="HB263" t="e">
        <f>AND(Onsite!#REF!,"AAAAAHf9v9E=")</f>
        <v>#REF!</v>
      </c>
      <c r="HC263" t="e">
        <f>AND(Onsite!#REF!,"AAAAAHf9v9I=")</f>
        <v>#REF!</v>
      </c>
      <c r="HD263" t="e">
        <f>AND(Onsite!#REF!,"AAAAAHf9v9M=")</f>
        <v>#REF!</v>
      </c>
      <c r="HE263" t="e">
        <f>AND(Onsite!#REF!,"AAAAAHf9v9Q=")</f>
        <v>#REF!</v>
      </c>
      <c r="HF263" t="e">
        <f>AND(Onsite!#REF!,"AAAAAHf9v9U=")</f>
        <v>#REF!</v>
      </c>
      <c r="HG263" t="e">
        <f>AND(Onsite!#REF!,"AAAAAHf9v9Y=")</f>
        <v>#REF!</v>
      </c>
      <c r="HH263" t="e">
        <f>AND(Onsite!#REF!,"AAAAAHf9v9c=")</f>
        <v>#REF!</v>
      </c>
      <c r="HI263" t="e">
        <f>AND(Onsite!#REF!,"AAAAAHf9v9g=")</f>
        <v>#REF!</v>
      </c>
      <c r="HJ263" t="e">
        <f>AND(Onsite!#REF!,"AAAAAHf9v9k=")</f>
        <v>#REF!</v>
      </c>
      <c r="HK263" t="e">
        <f>AND(Onsite!#REF!,"AAAAAHf9v9o=")</f>
        <v>#REF!</v>
      </c>
      <c r="HL263" t="e">
        <f>AND(Onsite!#REF!,"AAAAAHf9v9s=")</f>
        <v>#REF!</v>
      </c>
      <c r="HM263" t="e">
        <f>AND(Onsite!#REF!,"AAAAAHf9v9w=")</f>
        <v>#REF!</v>
      </c>
      <c r="HN263" t="e">
        <f>AND(Onsite!#REF!,"AAAAAHf9v90=")</f>
        <v>#REF!</v>
      </c>
      <c r="HO263">
        <f>IF(Onsite!135:135,"AAAAAHf9v94=",0)</f>
        <v>0</v>
      </c>
      <c r="HP263" t="e">
        <f>AND(Onsite!A135,"AAAAAHf9v98=")</f>
        <v>#VALUE!</v>
      </c>
      <c r="HQ263" t="e">
        <f>AND(Onsite!B135,"AAAAAHf9v+A=")</f>
        <v>#VALUE!</v>
      </c>
      <c r="HR263" t="e">
        <f>AND(Onsite!C135,"AAAAAHf9v+E=")</f>
        <v>#VALUE!</v>
      </c>
      <c r="HS263" t="e">
        <f>AND(Onsite!D135,"AAAAAHf9v+I=")</f>
        <v>#VALUE!</v>
      </c>
      <c r="HT263" t="e">
        <f>AND(Onsite!E135,"AAAAAHf9v+M=")</f>
        <v>#VALUE!</v>
      </c>
      <c r="HU263" t="e">
        <f>AND(Onsite!#REF!,"AAAAAHf9v+Q=")</f>
        <v>#REF!</v>
      </c>
      <c r="HV263" t="e">
        <f>AND(Onsite!#REF!,"AAAAAHf9v+U=")</f>
        <v>#REF!</v>
      </c>
      <c r="HW263" t="e">
        <f>AND(Onsite!#REF!,"AAAAAHf9v+Y=")</f>
        <v>#REF!</v>
      </c>
      <c r="HX263" t="e">
        <f>AND(Onsite!#REF!,"AAAAAHf9v+c=")</f>
        <v>#REF!</v>
      </c>
      <c r="HY263" t="e">
        <f>AND(Onsite!#REF!,"AAAAAHf9v+g=")</f>
        <v>#REF!</v>
      </c>
      <c r="HZ263" t="e">
        <f>AND(Onsite!#REF!,"AAAAAHf9v+k=")</f>
        <v>#REF!</v>
      </c>
      <c r="IA263" t="e">
        <f>AND(Onsite!F135,"AAAAAHf9v+o=")</f>
        <v>#VALUE!</v>
      </c>
      <c r="IB263" t="e">
        <f>AND(Onsite!#REF!,"AAAAAHf9v+s=")</f>
        <v>#REF!</v>
      </c>
      <c r="IC263">
        <f>IF(Onsite!143:143,"AAAAAHf9v+w=",0)</f>
        <v>0</v>
      </c>
      <c r="ID263" t="e">
        <f>AND(Onsite!A143,"AAAAAHf9v+0=")</f>
        <v>#VALUE!</v>
      </c>
      <c r="IE263" t="e">
        <f>AND(Onsite!B143,"AAAAAHf9v+4=")</f>
        <v>#VALUE!</v>
      </c>
      <c r="IF263" t="e">
        <f>AND(Onsite!C143,"AAAAAHf9v+8=")</f>
        <v>#VALUE!</v>
      </c>
      <c r="IG263" t="e">
        <f>AND(Onsite!D143,"AAAAAHf9v/A=")</f>
        <v>#VALUE!</v>
      </c>
      <c r="IH263" t="e">
        <f>AND(Onsite!E143,"AAAAAHf9v/E=")</f>
        <v>#VALUE!</v>
      </c>
      <c r="II263" t="e">
        <f>AND(Onsite!#REF!,"AAAAAHf9v/I=")</f>
        <v>#REF!</v>
      </c>
      <c r="IJ263" t="e">
        <f>AND(Onsite!#REF!,"AAAAAHf9v/M=")</f>
        <v>#REF!</v>
      </c>
      <c r="IK263" t="e">
        <f>AND(Onsite!#REF!,"AAAAAHf9v/Q=")</f>
        <v>#REF!</v>
      </c>
      <c r="IL263" t="e">
        <f>AND(Onsite!#REF!,"AAAAAHf9v/U=")</f>
        <v>#REF!</v>
      </c>
      <c r="IM263" t="e">
        <f>AND(Onsite!#REF!,"AAAAAHf9v/Y=")</f>
        <v>#REF!</v>
      </c>
      <c r="IN263" t="e">
        <f>AND(Onsite!#REF!,"AAAAAHf9v/c=")</f>
        <v>#REF!</v>
      </c>
      <c r="IO263" t="e">
        <f>AND(Onsite!F143,"AAAAAHf9v/g=")</f>
        <v>#VALUE!</v>
      </c>
      <c r="IP263" t="e">
        <f>AND(Onsite!#REF!,"AAAAAHf9v/k=")</f>
        <v>#REF!</v>
      </c>
      <c r="IQ263" t="e">
        <f>IF(Onsite!#REF!,"AAAAAHf9v/o=",0)</f>
        <v>#REF!</v>
      </c>
      <c r="IR263" t="e">
        <f>AND(Onsite!#REF!,"AAAAAHf9v/s=")</f>
        <v>#REF!</v>
      </c>
      <c r="IS263" t="e">
        <f>AND(Onsite!#REF!,"AAAAAHf9v/w=")</f>
        <v>#REF!</v>
      </c>
      <c r="IT263" t="e">
        <f>AND(Onsite!#REF!,"AAAAAHf9v/0=")</f>
        <v>#REF!</v>
      </c>
      <c r="IU263" t="e">
        <f>AND(Onsite!#REF!,"AAAAAHf9v/4=")</f>
        <v>#REF!</v>
      </c>
      <c r="IV263" t="e">
        <f>AND(Onsite!#REF!,"AAAAAHf9v/8=")</f>
        <v>#REF!</v>
      </c>
    </row>
    <row r="264" spans="1:256" x14ac:dyDescent="0.2">
      <c r="A264" t="e">
        <f>AND(Onsite!#REF!,"AAAAAA2/7QA=")</f>
        <v>#REF!</v>
      </c>
      <c r="B264" t="e">
        <f>AND(Onsite!#REF!,"AAAAAA2/7QE=")</f>
        <v>#REF!</v>
      </c>
      <c r="C264" t="e">
        <f>AND(Onsite!#REF!,"AAAAAA2/7QI=")</f>
        <v>#REF!</v>
      </c>
      <c r="D264" t="e">
        <f>AND(Onsite!#REF!,"AAAAAA2/7QM=")</f>
        <v>#REF!</v>
      </c>
      <c r="E264" t="e">
        <f>AND(Onsite!#REF!,"AAAAAA2/7QQ=")</f>
        <v>#REF!</v>
      </c>
      <c r="F264" t="e">
        <f>AND(Onsite!#REF!,"AAAAAA2/7QU=")</f>
        <v>#REF!</v>
      </c>
      <c r="G264" t="e">
        <f>AND(Onsite!#REF!,"AAAAAA2/7QY=")</f>
        <v>#REF!</v>
      </c>
      <c r="H264" t="e">
        <f>AND(Onsite!#REF!,"AAAAAA2/7Qc=")</f>
        <v>#REF!</v>
      </c>
      <c r="I264" t="e">
        <f>IF(Onsite!#REF!,"AAAAAA2/7Qg=",0)</f>
        <v>#REF!</v>
      </c>
      <c r="J264" t="e">
        <f>AND(Onsite!#REF!,"AAAAAA2/7Qk=")</f>
        <v>#REF!</v>
      </c>
      <c r="K264" t="e">
        <f>AND(Onsite!#REF!,"AAAAAA2/7Qo=")</f>
        <v>#REF!</v>
      </c>
      <c r="L264" t="e">
        <f>AND(Onsite!#REF!,"AAAAAA2/7Qs=")</f>
        <v>#REF!</v>
      </c>
      <c r="M264" t="e">
        <f>AND(Onsite!#REF!,"AAAAAA2/7Qw=")</f>
        <v>#REF!</v>
      </c>
      <c r="N264" t="e">
        <f>AND(Onsite!#REF!,"AAAAAA2/7Q0=")</f>
        <v>#REF!</v>
      </c>
      <c r="O264" t="e">
        <f>AND(Onsite!#REF!,"AAAAAA2/7Q4=")</f>
        <v>#REF!</v>
      </c>
      <c r="P264" t="e">
        <f>AND(Onsite!#REF!,"AAAAAA2/7Q8=")</f>
        <v>#REF!</v>
      </c>
      <c r="Q264" t="e">
        <f>AND(Onsite!#REF!,"AAAAAA2/7RA=")</f>
        <v>#REF!</v>
      </c>
      <c r="R264" t="e">
        <f>AND(Onsite!#REF!,"AAAAAA2/7RE=")</f>
        <v>#REF!</v>
      </c>
      <c r="S264" t="e">
        <f>AND(Onsite!#REF!,"AAAAAA2/7RI=")</f>
        <v>#REF!</v>
      </c>
      <c r="T264" t="e">
        <f>AND(Onsite!#REF!,"AAAAAA2/7RM=")</f>
        <v>#REF!</v>
      </c>
      <c r="U264" t="e">
        <f>AND(Onsite!#REF!,"AAAAAA2/7RQ=")</f>
        <v>#REF!</v>
      </c>
      <c r="V264" t="e">
        <f>AND(Onsite!#REF!,"AAAAAA2/7RU=")</f>
        <v>#REF!</v>
      </c>
      <c r="W264" t="e">
        <f>IF(Onsite!#REF!,"AAAAAA2/7RY=",0)</f>
        <v>#REF!</v>
      </c>
      <c r="X264" t="e">
        <f>AND(Onsite!#REF!,"AAAAAA2/7Rc=")</f>
        <v>#REF!</v>
      </c>
      <c r="Y264" t="e">
        <f>AND(Onsite!#REF!,"AAAAAA2/7Rg=")</f>
        <v>#REF!</v>
      </c>
      <c r="Z264" t="e">
        <f>AND(Onsite!#REF!,"AAAAAA2/7Rk=")</f>
        <v>#REF!</v>
      </c>
      <c r="AA264" t="e">
        <f>AND(Onsite!#REF!,"AAAAAA2/7Ro=")</f>
        <v>#REF!</v>
      </c>
      <c r="AB264" t="e">
        <f>AND(Onsite!#REF!,"AAAAAA2/7Rs=")</f>
        <v>#REF!</v>
      </c>
      <c r="AC264" t="e">
        <f>AND(Onsite!#REF!,"AAAAAA2/7Rw=")</f>
        <v>#REF!</v>
      </c>
      <c r="AD264" t="e">
        <f>AND(Onsite!#REF!,"AAAAAA2/7R0=")</f>
        <v>#REF!</v>
      </c>
      <c r="AE264" t="e">
        <f>AND(Onsite!#REF!,"AAAAAA2/7R4=")</f>
        <v>#REF!</v>
      </c>
      <c r="AF264" t="e">
        <f>AND(Onsite!#REF!,"AAAAAA2/7R8=")</f>
        <v>#REF!</v>
      </c>
      <c r="AG264" t="e">
        <f>AND(Onsite!#REF!,"AAAAAA2/7SA=")</f>
        <v>#REF!</v>
      </c>
      <c r="AH264" t="e">
        <f>AND(Onsite!#REF!,"AAAAAA2/7SE=")</f>
        <v>#REF!</v>
      </c>
      <c r="AI264" t="e">
        <f>AND(Onsite!#REF!,"AAAAAA2/7SI=")</f>
        <v>#REF!</v>
      </c>
      <c r="AJ264" t="e">
        <f>AND(Onsite!#REF!,"AAAAAA2/7SM=")</f>
        <v>#REF!</v>
      </c>
      <c r="AK264" t="e">
        <f>IF(Onsite!#REF!,"AAAAAA2/7SQ=",0)</f>
        <v>#REF!</v>
      </c>
      <c r="AL264" t="e">
        <f>AND(Onsite!#REF!,"AAAAAA2/7SU=")</f>
        <v>#REF!</v>
      </c>
      <c r="AM264" t="e">
        <f>AND(Onsite!#REF!,"AAAAAA2/7SY=")</f>
        <v>#REF!</v>
      </c>
      <c r="AN264" t="e">
        <f>AND(Onsite!#REF!,"AAAAAA2/7Sc=")</f>
        <v>#REF!</v>
      </c>
      <c r="AO264" t="e">
        <f>AND(Onsite!#REF!,"AAAAAA2/7Sg=")</f>
        <v>#REF!</v>
      </c>
      <c r="AP264" t="e">
        <f>AND(Onsite!#REF!,"AAAAAA2/7Sk=")</f>
        <v>#REF!</v>
      </c>
      <c r="AQ264" t="e">
        <f>AND(Onsite!#REF!,"AAAAAA2/7So=")</f>
        <v>#REF!</v>
      </c>
      <c r="AR264" t="e">
        <f>AND(Onsite!#REF!,"AAAAAA2/7Ss=")</f>
        <v>#REF!</v>
      </c>
      <c r="AS264" t="e">
        <f>AND(Onsite!#REF!,"AAAAAA2/7Sw=")</f>
        <v>#REF!</v>
      </c>
      <c r="AT264" t="e">
        <f>AND(Onsite!#REF!,"AAAAAA2/7S0=")</f>
        <v>#REF!</v>
      </c>
      <c r="AU264" t="e">
        <f>AND(Onsite!#REF!,"AAAAAA2/7S4=")</f>
        <v>#REF!</v>
      </c>
      <c r="AV264" t="e">
        <f>AND(Onsite!#REF!,"AAAAAA2/7S8=")</f>
        <v>#REF!</v>
      </c>
      <c r="AW264" t="e">
        <f>AND(Onsite!#REF!,"AAAAAA2/7TA=")</f>
        <v>#REF!</v>
      </c>
      <c r="AX264" t="e">
        <f>AND(Onsite!#REF!,"AAAAAA2/7TE=")</f>
        <v>#REF!</v>
      </c>
      <c r="AY264" t="e">
        <f>IF(Onsite!#REF!,"AAAAAA2/7TI=",0)</f>
        <v>#REF!</v>
      </c>
      <c r="AZ264" t="e">
        <f>AND(Onsite!#REF!,"AAAAAA2/7TM=")</f>
        <v>#REF!</v>
      </c>
      <c r="BA264" t="e">
        <f>AND(Onsite!#REF!,"AAAAAA2/7TQ=")</f>
        <v>#REF!</v>
      </c>
      <c r="BB264" t="e">
        <f>AND(Onsite!#REF!,"AAAAAA2/7TU=")</f>
        <v>#REF!</v>
      </c>
      <c r="BC264" t="e">
        <f>AND(Onsite!#REF!,"AAAAAA2/7TY=")</f>
        <v>#REF!</v>
      </c>
      <c r="BD264" t="e">
        <f>AND(Onsite!#REF!,"AAAAAA2/7Tc=")</f>
        <v>#REF!</v>
      </c>
      <c r="BE264" t="e">
        <f>AND(Onsite!#REF!,"AAAAAA2/7Tg=")</f>
        <v>#REF!</v>
      </c>
      <c r="BF264" t="e">
        <f>AND(Onsite!#REF!,"AAAAAA2/7Tk=")</f>
        <v>#REF!</v>
      </c>
      <c r="BG264" t="e">
        <f>AND(Onsite!#REF!,"AAAAAA2/7To=")</f>
        <v>#REF!</v>
      </c>
      <c r="BH264" t="e">
        <f>AND(Onsite!#REF!,"AAAAAA2/7Ts=")</f>
        <v>#REF!</v>
      </c>
      <c r="BI264" t="e">
        <f>AND(Onsite!#REF!,"AAAAAA2/7Tw=")</f>
        <v>#REF!</v>
      </c>
      <c r="BJ264" t="e">
        <f>AND(Onsite!#REF!,"AAAAAA2/7T0=")</f>
        <v>#REF!</v>
      </c>
      <c r="BK264" t="e">
        <f>AND(Onsite!#REF!,"AAAAAA2/7T4=")</f>
        <v>#REF!</v>
      </c>
      <c r="BL264" t="e">
        <f>AND(Onsite!#REF!,"AAAAAA2/7T8=")</f>
        <v>#REF!</v>
      </c>
      <c r="BM264" t="e">
        <f>IF(Onsite!#REF!,"AAAAAA2/7UA=",0)</f>
        <v>#REF!</v>
      </c>
      <c r="BN264" t="e">
        <f>AND(Onsite!#REF!,"AAAAAA2/7UE=")</f>
        <v>#REF!</v>
      </c>
      <c r="BO264" t="e">
        <f>AND(Onsite!#REF!,"AAAAAA2/7UI=")</f>
        <v>#REF!</v>
      </c>
      <c r="BP264" t="e">
        <f>AND(Onsite!#REF!,"AAAAAA2/7UM=")</f>
        <v>#REF!</v>
      </c>
      <c r="BQ264" t="e">
        <f>AND(Onsite!#REF!,"AAAAAA2/7UQ=")</f>
        <v>#REF!</v>
      </c>
      <c r="BR264" t="e">
        <f>AND(Onsite!#REF!,"AAAAAA2/7UU=")</f>
        <v>#REF!</v>
      </c>
      <c r="BS264" t="e">
        <f>AND(Onsite!#REF!,"AAAAAA2/7UY=")</f>
        <v>#REF!</v>
      </c>
      <c r="BT264" t="e">
        <f>AND(Onsite!#REF!,"AAAAAA2/7Uc=")</f>
        <v>#REF!</v>
      </c>
      <c r="BU264" t="e">
        <f>AND(Onsite!#REF!,"AAAAAA2/7Ug=")</f>
        <v>#REF!</v>
      </c>
      <c r="BV264" t="e">
        <f>AND(Onsite!#REF!,"AAAAAA2/7Uk=")</f>
        <v>#REF!</v>
      </c>
      <c r="BW264" t="e">
        <f>AND(Onsite!#REF!,"AAAAAA2/7Uo=")</f>
        <v>#REF!</v>
      </c>
      <c r="BX264" t="e">
        <f>AND(Onsite!#REF!,"AAAAAA2/7Us=")</f>
        <v>#REF!</v>
      </c>
      <c r="BY264" t="e">
        <f>AND(Onsite!#REF!,"AAAAAA2/7Uw=")</f>
        <v>#REF!</v>
      </c>
      <c r="BZ264" t="e">
        <f>AND(Onsite!#REF!,"AAAAAA2/7U0=")</f>
        <v>#REF!</v>
      </c>
      <c r="CA264" t="e">
        <f>IF(Onsite!#REF!,"AAAAAA2/7U4=",0)</f>
        <v>#REF!</v>
      </c>
      <c r="CB264" t="e">
        <f>AND(Onsite!#REF!,"AAAAAA2/7U8=")</f>
        <v>#REF!</v>
      </c>
      <c r="CC264" t="e">
        <f>AND(Onsite!#REF!,"AAAAAA2/7VA=")</f>
        <v>#REF!</v>
      </c>
      <c r="CD264" t="e">
        <f>AND(Onsite!#REF!,"AAAAAA2/7VE=")</f>
        <v>#REF!</v>
      </c>
      <c r="CE264" t="e">
        <f>AND(Onsite!#REF!,"AAAAAA2/7VI=")</f>
        <v>#REF!</v>
      </c>
      <c r="CF264" t="e">
        <f>AND(Onsite!#REF!,"AAAAAA2/7VM=")</f>
        <v>#REF!</v>
      </c>
      <c r="CG264" t="e">
        <f>AND(Onsite!#REF!,"AAAAAA2/7VQ=")</f>
        <v>#REF!</v>
      </c>
      <c r="CH264" t="e">
        <f>AND(Onsite!#REF!,"AAAAAA2/7VU=")</f>
        <v>#REF!</v>
      </c>
      <c r="CI264" t="e">
        <f>AND(Onsite!#REF!,"AAAAAA2/7VY=")</f>
        <v>#REF!</v>
      </c>
      <c r="CJ264" t="e">
        <f>AND(Onsite!#REF!,"AAAAAA2/7Vc=")</f>
        <v>#REF!</v>
      </c>
      <c r="CK264" t="e">
        <f>AND(Onsite!#REF!,"AAAAAA2/7Vg=")</f>
        <v>#REF!</v>
      </c>
      <c r="CL264" t="e">
        <f>AND(Onsite!#REF!,"AAAAAA2/7Vk=")</f>
        <v>#REF!</v>
      </c>
      <c r="CM264" t="e">
        <f>AND(Onsite!#REF!,"AAAAAA2/7Vo=")</f>
        <v>#REF!</v>
      </c>
      <c r="CN264" t="e">
        <f>AND(Onsite!#REF!,"AAAAAA2/7Vs=")</f>
        <v>#REF!</v>
      </c>
      <c r="CO264" t="e">
        <f>IF(Onsite!#REF!,"AAAAAA2/7Vw=",0)</f>
        <v>#REF!</v>
      </c>
      <c r="CP264" t="e">
        <f>AND(Onsite!#REF!,"AAAAAA2/7V0=")</f>
        <v>#REF!</v>
      </c>
      <c r="CQ264" t="e">
        <f>AND(Onsite!#REF!,"AAAAAA2/7V4=")</f>
        <v>#REF!</v>
      </c>
      <c r="CR264" t="e">
        <f>AND(Onsite!#REF!,"AAAAAA2/7V8=")</f>
        <v>#REF!</v>
      </c>
      <c r="CS264" t="e">
        <f>AND(Onsite!#REF!,"AAAAAA2/7WA=")</f>
        <v>#REF!</v>
      </c>
      <c r="CT264" t="e">
        <f>AND(Onsite!#REF!,"AAAAAA2/7WE=")</f>
        <v>#REF!</v>
      </c>
      <c r="CU264" t="e">
        <f>AND(Onsite!#REF!,"AAAAAA2/7WI=")</f>
        <v>#REF!</v>
      </c>
      <c r="CV264" t="e">
        <f>AND(Onsite!#REF!,"AAAAAA2/7WM=")</f>
        <v>#REF!</v>
      </c>
      <c r="CW264" t="e">
        <f>AND(Onsite!#REF!,"AAAAAA2/7WQ=")</f>
        <v>#REF!</v>
      </c>
      <c r="CX264" t="e">
        <f>AND(Onsite!#REF!,"AAAAAA2/7WU=")</f>
        <v>#REF!</v>
      </c>
      <c r="CY264" t="e">
        <f>AND(Onsite!#REF!,"AAAAAA2/7WY=")</f>
        <v>#REF!</v>
      </c>
      <c r="CZ264" t="e">
        <f>AND(Onsite!#REF!,"AAAAAA2/7Wc=")</f>
        <v>#REF!</v>
      </c>
      <c r="DA264" t="e">
        <f>AND(Onsite!#REF!,"AAAAAA2/7Wg=")</f>
        <v>#REF!</v>
      </c>
      <c r="DB264" t="e">
        <f>AND(Onsite!#REF!,"AAAAAA2/7Wk=")</f>
        <v>#REF!</v>
      </c>
      <c r="DC264">
        <f>IF(Onsite!138:138,"AAAAAA2/7Wo=",0)</f>
        <v>0</v>
      </c>
      <c r="DD264" t="e">
        <f>AND(Onsite!A138,"AAAAAA2/7Ws=")</f>
        <v>#VALUE!</v>
      </c>
      <c r="DE264" t="e">
        <f>AND(Onsite!B138,"AAAAAA2/7Ww=")</f>
        <v>#VALUE!</v>
      </c>
      <c r="DF264" t="e">
        <f>AND(Onsite!C138,"AAAAAA2/7W0=")</f>
        <v>#VALUE!</v>
      </c>
      <c r="DG264" t="e">
        <f>AND(Onsite!D138,"AAAAAA2/7W4=")</f>
        <v>#VALUE!</v>
      </c>
      <c r="DH264" t="e">
        <f>AND(Onsite!E138,"AAAAAA2/7W8=")</f>
        <v>#VALUE!</v>
      </c>
      <c r="DI264" t="e">
        <f>AND(Onsite!#REF!,"AAAAAA2/7XA=")</f>
        <v>#REF!</v>
      </c>
      <c r="DJ264" t="e">
        <f>AND(Onsite!#REF!,"AAAAAA2/7XE=")</f>
        <v>#REF!</v>
      </c>
      <c r="DK264" t="e">
        <f>AND(Onsite!#REF!,"AAAAAA2/7XI=")</f>
        <v>#REF!</v>
      </c>
      <c r="DL264" t="e">
        <f>AND(Onsite!#REF!,"AAAAAA2/7XM=")</f>
        <v>#REF!</v>
      </c>
      <c r="DM264" t="e">
        <f>AND(Onsite!#REF!,"AAAAAA2/7XQ=")</f>
        <v>#REF!</v>
      </c>
      <c r="DN264" t="e">
        <f>AND(Onsite!#REF!,"AAAAAA2/7XU=")</f>
        <v>#REF!</v>
      </c>
      <c r="DO264" t="e">
        <f>AND(Onsite!F138,"AAAAAA2/7XY=")</f>
        <v>#VALUE!</v>
      </c>
      <c r="DP264" t="e">
        <f>AND(Onsite!#REF!,"AAAAAA2/7Xc=")</f>
        <v>#REF!</v>
      </c>
      <c r="DQ264">
        <f>IF(Onsite!140:140,"AAAAAA2/7Xg=",0)</f>
        <v>0</v>
      </c>
      <c r="DR264" t="e">
        <f>AND(Onsite!A140,"AAAAAA2/7Xk=")</f>
        <v>#VALUE!</v>
      </c>
      <c r="DS264" t="e">
        <f>AND(Onsite!B140,"AAAAAA2/7Xo=")</f>
        <v>#VALUE!</v>
      </c>
      <c r="DT264" t="e">
        <f>AND(Onsite!C140,"AAAAAA2/7Xs=")</f>
        <v>#VALUE!</v>
      </c>
      <c r="DU264" t="e">
        <f>AND(Onsite!D140,"AAAAAA2/7Xw=")</f>
        <v>#VALUE!</v>
      </c>
      <c r="DV264" t="e">
        <f>AND(Onsite!E140,"AAAAAA2/7X0=")</f>
        <v>#VALUE!</v>
      </c>
      <c r="DW264" t="e">
        <f>AND(Onsite!#REF!,"AAAAAA2/7X4=")</f>
        <v>#REF!</v>
      </c>
      <c r="DX264" t="e">
        <f>AND(Onsite!#REF!,"AAAAAA2/7X8=")</f>
        <v>#REF!</v>
      </c>
      <c r="DY264" t="e">
        <f>AND(Onsite!#REF!,"AAAAAA2/7YA=")</f>
        <v>#REF!</v>
      </c>
      <c r="DZ264" t="e">
        <f>AND(Onsite!#REF!,"AAAAAA2/7YE=")</f>
        <v>#REF!</v>
      </c>
      <c r="EA264" t="e">
        <f>AND(Onsite!#REF!,"AAAAAA2/7YI=")</f>
        <v>#REF!</v>
      </c>
      <c r="EB264" t="e">
        <f>AND(Onsite!#REF!,"AAAAAA2/7YM=")</f>
        <v>#REF!</v>
      </c>
      <c r="EC264" t="e">
        <f>AND(Onsite!F140,"AAAAAA2/7YQ=")</f>
        <v>#VALUE!</v>
      </c>
      <c r="ED264" t="e">
        <f>AND(Onsite!#REF!,"AAAAAA2/7YU=")</f>
        <v>#REF!</v>
      </c>
      <c r="EE264">
        <f>IF(Onsite!141:141,"AAAAAA2/7YY=",0)</f>
        <v>0</v>
      </c>
      <c r="EF264" t="e">
        <f>AND(Onsite!#REF!,"AAAAAA2/7Yc=")</f>
        <v>#REF!</v>
      </c>
      <c r="EG264" t="e">
        <f>AND(Onsite!#REF!,"AAAAAA2/7Yg=")</f>
        <v>#REF!</v>
      </c>
      <c r="EH264" t="e">
        <f>AND(Onsite!A141,"AAAAAA2/7Yk=")</f>
        <v>#VALUE!</v>
      </c>
      <c r="EI264" t="e">
        <f>AND(Onsite!B141,"AAAAAA2/7Yo=")</f>
        <v>#VALUE!</v>
      </c>
      <c r="EJ264" t="e">
        <f>AND(Onsite!C141,"AAAAAA2/7Ys=")</f>
        <v>#VALUE!</v>
      </c>
      <c r="EK264" t="e">
        <f>AND(Onsite!D141,"AAAAAA2/7Yw=")</f>
        <v>#VALUE!</v>
      </c>
      <c r="EL264" t="e">
        <f>AND(Onsite!E141,"AAAAAA2/7Y0=")</f>
        <v>#VALUE!</v>
      </c>
      <c r="EM264" t="e">
        <f>AND(Onsite!#REF!,"AAAAAA2/7Y4=")</f>
        <v>#REF!</v>
      </c>
      <c r="EN264" t="e">
        <f>AND(Onsite!#REF!,"AAAAAA2/7Y8=")</f>
        <v>#REF!</v>
      </c>
      <c r="EO264" t="e">
        <f>AND(Onsite!#REF!,"AAAAAA2/7ZA=")</f>
        <v>#REF!</v>
      </c>
      <c r="EP264" t="e">
        <f>AND(Onsite!#REF!,"AAAAAA2/7ZE=")</f>
        <v>#REF!</v>
      </c>
      <c r="EQ264" t="e">
        <f>AND(Onsite!#REF!,"AAAAAA2/7ZI=")</f>
        <v>#REF!</v>
      </c>
      <c r="ER264" t="e">
        <f>AND(Onsite!#REF!,"AAAAAA2/7ZM=")</f>
        <v>#REF!</v>
      </c>
      <c r="ES264" t="e">
        <f>IF(Onsite!#REF!,"AAAAAA2/7ZQ=",0)</f>
        <v>#REF!</v>
      </c>
      <c r="ET264" t="e">
        <f>AND(Onsite!#REF!,"AAAAAA2/7ZU=")</f>
        <v>#REF!</v>
      </c>
      <c r="EU264" t="e">
        <f>AND(Onsite!#REF!,"AAAAAA2/7ZY=")</f>
        <v>#REF!</v>
      </c>
      <c r="EV264" t="e">
        <f>AND(Onsite!#REF!,"AAAAAA2/7Zc=")</f>
        <v>#REF!</v>
      </c>
      <c r="EW264" t="e">
        <f>AND(Onsite!#REF!,"AAAAAA2/7Zg=")</f>
        <v>#REF!</v>
      </c>
      <c r="EX264" t="e">
        <f>AND(Onsite!#REF!,"AAAAAA2/7Zk=")</f>
        <v>#REF!</v>
      </c>
      <c r="EY264" t="e">
        <f>AND(Onsite!#REF!,"AAAAAA2/7Zo=")</f>
        <v>#REF!</v>
      </c>
      <c r="EZ264" t="e">
        <f>AND(Onsite!#REF!,"AAAAAA2/7Zs=")</f>
        <v>#REF!</v>
      </c>
      <c r="FA264" t="e">
        <f>AND(Onsite!#REF!,"AAAAAA2/7Zw=")</f>
        <v>#REF!</v>
      </c>
      <c r="FB264" t="e">
        <f>AND(Onsite!#REF!,"AAAAAA2/7Z0=")</f>
        <v>#REF!</v>
      </c>
      <c r="FC264" t="e">
        <f>AND(Onsite!#REF!,"AAAAAA2/7Z4=")</f>
        <v>#REF!</v>
      </c>
      <c r="FD264" t="e">
        <f>AND(Onsite!#REF!,"AAAAAA2/7Z8=")</f>
        <v>#REF!</v>
      </c>
      <c r="FE264" t="e">
        <f>AND(Onsite!#REF!,"AAAAAA2/7aA=")</f>
        <v>#REF!</v>
      </c>
      <c r="FF264" t="e">
        <f>AND(Onsite!#REF!,"AAAAAA2/7aE=")</f>
        <v>#REF!</v>
      </c>
      <c r="FG264">
        <f>IF(Onsite!139:139,"AAAAAA2/7aI=",0)</f>
        <v>0</v>
      </c>
      <c r="FH264" t="e">
        <f>AND(Onsite!#REF!,"AAAAAA2/7aM=")</f>
        <v>#REF!</v>
      </c>
      <c r="FI264" t="e">
        <f>AND(Onsite!#REF!,"AAAAAA2/7aQ=")</f>
        <v>#REF!</v>
      </c>
      <c r="FJ264" t="e">
        <f>AND(Onsite!A139,"AAAAAA2/7aU=")</f>
        <v>#VALUE!</v>
      </c>
      <c r="FK264" t="e">
        <f>AND(Onsite!B139,"AAAAAA2/7aY=")</f>
        <v>#VALUE!</v>
      </c>
      <c r="FL264" t="e">
        <f>AND(Onsite!C139,"AAAAAA2/7ac=")</f>
        <v>#VALUE!</v>
      </c>
      <c r="FM264" t="e">
        <f>AND(Onsite!D139,"AAAAAA2/7ag=")</f>
        <v>#VALUE!</v>
      </c>
      <c r="FN264" t="e">
        <f>AND(Onsite!E139,"AAAAAA2/7ak=")</f>
        <v>#VALUE!</v>
      </c>
      <c r="FO264" t="e">
        <f>AND(Onsite!#REF!,"AAAAAA2/7ao=")</f>
        <v>#REF!</v>
      </c>
      <c r="FP264" t="e">
        <f>AND(Onsite!#REF!,"AAAAAA2/7as=")</f>
        <v>#REF!</v>
      </c>
      <c r="FQ264" t="e">
        <f>AND(Onsite!#REF!,"AAAAAA2/7aw=")</f>
        <v>#REF!</v>
      </c>
      <c r="FR264" t="e">
        <f>AND(Onsite!#REF!,"AAAAAA2/7a0=")</f>
        <v>#REF!</v>
      </c>
      <c r="FS264" t="e">
        <f>AND(Onsite!#REF!,"AAAAAA2/7a4=")</f>
        <v>#REF!</v>
      </c>
      <c r="FT264" t="e">
        <f>AND(Onsite!#REF!,"AAAAAA2/7a8=")</f>
        <v>#REF!</v>
      </c>
      <c r="FU264" t="e">
        <f>IF(Onsite!#REF!,"AAAAAA2/7bA=",0)</f>
        <v>#REF!</v>
      </c>
      <c r="FV264" t="e">
        <f>AND(Onsite!#REF!,"AAAAAA2/7bE=")</f>
        <v>#REF!</v>
      </c>
      <c r="FW264" t="e">
        <f>AND(Onsite!#REF!,"AAAAAA2/7bI=")</f>
        <v>#REF!</v>
      </c>
      <c r="FX264" t="e">
        <f>AND(Onsite!#REF!,"AAAAAA2/7bM=")</f>
        <v>#REF!</v>
      </c>
      <c r="FY264" t="e">
        <f>AND(Onsite!#REF!,"AAAAAA2/7bQ=")</f>
        <v>#REF!</v>
      </c>
      <c r="FZ264" t="e">
        <f>AND(Onsite!#REF!,"AAAAAA2/7bU=")</f>
        <v>#REF!</v>
      </c>
      <c r="GA264" t="e">
        <f>AND(Onsite!#REF!,"AAAAAA2/7bY=")</f>
        <v>#REF!</v>
      </c>
      <c r="GB264" t="e">
        <f>AND(Onsite!#REF!,"AAAAAA2/7bc=")</f>
        <v>#REF!</v>
      </c>
      <c r="GC264" t="e">
        <f>AND(Onsite!#REF!,"AAAAAA2/7bg=")</f>
        <v>#REF!</v>
      </c>
      <c r="GD264" t="e">
        <f>AND(Onsite!#REF!,"AAAAAA2/7bk=")</f>
        <v>#REF!</v>
      </c>
      <c r="GE264" t="e">
        <f>AND(Onsite!#REF!,"AAAAAA2/7bo=")</f>
        <v>#REF!</v>
      </c>
      <c r="GF264" t="e">
        <f>AND(Onsite!#REF!,"AAAAAA2/7bs=")</f>
        <v>#REF!</v>
      </c>
      <c r="GG264" t="e">
        <f>AND(Onsite!#REF!,"AAAAAA2/7bw=")</f>
        <v>#REF!</v>
      </c>
      <c r="GH264" t="e">
        <f>AND(Onsite!#REF!,"AAAAAA2/7b0=")</f>
        <v>#REF!</v>
      </c>
      <c r="GI264">
        <f>IF(Onsite!142:142,"AAAAAA2/7b4=",0)</f>
        <v>0</v>
      </c>
      <c r="GJ264" t="e">
        <f>AND(Onsite!#REF!,"AAAAAA2/7b8=")</f>
        <v>#REF!</v>
      </c>
      <c r="GK264" t="e">
        <f>AND(Onsite!#REF!,"AAAAAA2/7cA=")</f>
        <v>#REF!</v>
      </c>
      <c r="GL264" t="e">
        <f>AND(Onsite!A142,"AAAAAA2/7cE=")</f>
        <v>#VALUE!</v>
      </c>
      <c r="GM264" t="e">
        <f>AND(Onsite!B142,"AAAAAA2/7cI=")</f>
        <v>#VALUE!</v>
      </c>
      <c r="GN264" t="e">
        <f>AND(Onsite!C142,"AAAAAA2/7cM=")</f>
        <v>#VALUE!</v>
      </c>
      <c r="GO264" t="e">
        <f>AND(Onsite!D142,"AAAAAA2/7cQ=")</f>
        <v>#VALUE!</v>
      </c>
      <c r="GP264" t="e">
        <f>AND(Onsite!E142,"AAAAAA2/7cU=")</f>
        <v>#VALUE!</v>
      </c>
      <c r="GQ264" t="e">
        <f>AND(Onsite!#REF!,"AAAAAA2/7cY=")</f>
        <v>#REF!</v>
      </c>
      <c r="GR264" t="e">
        <f>AND(Onsite!#REF!,"AAAAAA2/7cc=")</f>
        <v>#REF!</v>
      </c>
      <c r="GS264" t="e">
        <f>AND(Onsite!#REF!,"AAAAAA2/7cg=")</f>
        <v>#REF!</v>
      </c>
      <c r="GT264" t="e">
        <f>AND(Onsite!#REF!,"AAAAAA2/7ck=")</f>
        <v>#REF!</v>
      </c>
      <c r="GU264" t="e">
        <f>AND(Onsite!#REF!,"AAAAAA2/7co=")</f>
        <v>#REF!</v>
      </c>
      <c r="GV264" t="e">
        <f>AND(Onsite!#REF!,"AAAAAA2/7cs=")</f>
        <v>#REF!</v>
      </c>
      <c r="GW264" t="e">
        <f>IF(Onsite!#REF!,"AAAAAA2/7cw=",0)</f>
        <v>#REF!</v>
      </c>
      <c r="GX264" t="e">
        <f>AND(Onsite!#REF!,"AAAAAA2/7c0=")</f>
        <v>#REF!</v>
      </c>
      <c r="GY264" t="e">
        <f>AND(Onsite!#REF!,"AAAAAA2/7c4=")</f>
        <v>#REF!</v>
      </c>
      <c r="GZ264" t="e">
        <f>AND(Onsite!#REF!,"AAAAAA2/7c8=")</f>
        <v>#REF!</v>
      </c>
      <c r="HA264" t="e">
        <f>AND(Onsite!#REF!,"AAAAAA2/7dA=")</f>
        <v>#REF!</v>
      </c>
      <c r="HB264" t="e">
        <f>AND(Onsite!#REF!,"AAAAAA2/7dE=")</f>
        <v>#REF!</v>
      </c>
      <c r="HC264" t="e">
        <f>AND(Onsite!#REF!,"AAAAAA2/7dI=")</f>
        <v>#REF!</v>
      </c>
      <c r="HD264" t="e">
        <f>AND(Onsite!#REF!,"AAAAAA2/7dM=")</f>
        <v>#REF!</v>
      </c>
      <c r="HE264" t="e">
        <f>AND(Onsite!#REF!,"AAAAAA2/7dQ=")</f>
        <v>#REF!</v>
      </c>
      <c r="HF264" t="e">
        <f>AND(Onsite!#REF!,"AAAAAA2/7dU=")</f>
        <v>#REF!</v>
      </c>
      <c r="HG264" t="e">
        <f>AND(Onsite!#REF!,"AAAAAA2/7dY=")</f>
        <v>#REF!</v>
      </c>
      <c r="HH264" t="e">
        <f>AND(Onsite!#REF!,"AAAAAA2/7dc=")</f>
        <v>#REF!</v>
      </c>
      <c r="HI264" t="e">
        <f>AND(Onsite!#REF!,"AAAAAA2/7dg=")</f>
        <v>#REF!</v>
      </c>
      <c r="HJ264" t="e">
        <f>AND(Onsite!#REF!,"AAAAAA2/7dk=")</f>
        <v>#REF!</v>
      </c>
      <c r="HK264" t="e">
        <f>IF(Onsite!#REF!,"AAAAAA2/7do=",0)</f>
        <v>#REF!</v>
      </c>
      <c r="HL264" t="e">
        <f>AND(Onsite!#REF!,"AAAAAA2/7ds=")</f>
        <v>#REF!</v>
      </c>
      <c r="HM264" t="e">
        <f>AND(Onsite!#REF!,"AAAAAA2/7dw=")</f>
        <v>#REF!</v>
      </c>
      <c r="HN264" t="e">
        <f>AND(Onsite!#REF!,"AAAAAA2/7d0=")</f>
        <v>#REF!</v>
      </c>
      <c r="HO264" t="e">
        <f>AND(Onsite!#REF!,"AAAAAA2/7d4=")</f>
        <v>#REF!</v>
      </c>
      <c r="HP264" t="e">
        <f>AND(Onsite!#REF!,"AAAAAA2/7d8=")</f>
        <v>#REF!</v>
      </c>
      <c r="HQ264" t="e">
        <f>AND(Onsite!#REF!,"AAAAAA2/7eA=")</f>
        <v>#REF!</v>
      </c>
      <c r="HR264" t="e">
        <f>AND(Onsite!#REF!,"AAAAAA2/7eE=")</f>
        <v>#REF!</v>
      </c>
      <c r="HS264" t="e">
        <f>AND(Onsite!#REF!,"AAAAAA2/7eI=")</f>
        <v>#REF!</v>
      </c>
      <c r="HT264" t="e">
        <f>AND(Onsite!#REF!,"AAAAAA2/7eM=")</f>
        <v>#REF!</v>
      </c>
      <c r="HU264" t="e">
        <f>AND(Onsite!#REF!,"AAAAAA2/7eQ=")</f>
        <v>#REF!</v>
      </c>
      <c r="HV264" t="e">
        <f>AND(Onsite!#REF!,"AAAAAA2/7eU=")</f>
        <v>#REF!</v>
      </c>
      <c r="HW264" t="e">
        <f>AND(Onsite!#REF!,"AAAAAA2/7eY=")</f>
        <v>#REF!</v>
      </c>
      <c r="HX264" t="e">
        <f>AND(Onsite!#REF!,"AAAAAA2/7ec=")</f>
        <v>#REF!</v>
      </c>
      <c r="HY264" t="e">
        <f>IF(Onsite!#REF!,"AAAAAA2/7eg=",0)</f>
        <v>#REF!</v>
      </c>
      <c r="HZ264" t="e">
        <f>AND(Onsite!#REF!,"AAAAAA2/7ek=")</f>
        <v>#REF!</v>
      </c>
      <c r="IA264" t="e">
        <f>AND(Onsite!#REF!,"AAAAAA2/7eo=")</f>
        <v>#REF!</v>
      </c>
      <c r="IB264" t="e">
        <f>AND(Onsite!#REF!,"AAAAAA2/7es=")</f>
        <v>#REF!</v>
      </c>
      <c r="IC264" t="e">
        <f>AND(Onsite!#REF!,"AAAAAA2/7ew=")</f>
        <v>#REF!</v>
      </c>
      <c r="ID264" t="e">
        <f>AND(Onsite!#REF!,"AAAAAA2/7e0=")</f>
        <v>#REF!</v>
      </c>
      <c r="IE264" t="e">
        <f>AND(Onsite!#REF!,"AAAAAA2/7e4=")</f>
        <v>#REF!</v>
      </c>
      <c r="IF264" t="e">
        <f>AND(Onsite!#REF!,"AAAAAA2/7e8=")</f>
        <v>#REF!</v>
      </c>
      <c r="IG264" t="e">
        <f>AND(Onsite!#REF!,"AAAAAA2/7fA=")</f>
        <v>#REF!</v>
      </c>
      <c r="IH264" t="e">
        <f>AND(Onsite!#REF!,"AAAAAA2/7fE=")</f>
        <v>#REF!</v>
      </c>
      <c r="II264" t="e">
        <f>AND(Onsite!#REF!,"AAAAAA2/7fI=")</f>
        <v>#REF!</v>
      </c>
      <c r="IJ264" t="e">
        <f>AND(Onsite!#REF!,"AAAAAA2/7fM=")</f>
        <v>#REF!</v>
      </c>
      <c r="IK264" t="e">
        <f>AND(Onsite!#REF!,"AAAAAA2/7fQ=")</f>
        <v>#REF!</v>
      </c>
      <c r="IL264" t="e">
        <f>AND(Onsite!#REF!,"AAAAAA2/7fU=")</f>
        <v>#REF!</v>
      </c>
      <c r="IM264" t="e">
        <f>IF(Onsite!#REF!,"AAAAAA2/7fY=",0)</f>
        <v>#REF!</v>
      </c>
      <c r="IN264" t="e">
        <f>AND(Onsite!#REF!,"AAAAAA2/7fc=")</f>
        <v>#REF!</v>
      </c>
      <c r="IO264" t="e">
        <f>AND(Onsite!#REF!,"AAAAAA2/7fg=")</f>
        <v>#REF!</v>
      </c>
      <c r="IP264" t="e">
        <f>AND(Onsite!#REF!,"AAAAAA2/7fk=")</f>
        <v>#REF!</v>
      </c>
      <c r="IQ264" t="e">
        <f>AND(Onsite!#REF!,"AAAAAA2/7fo=")</f>
        <v>#REF!</v>
      </c>
      <c r="IR264" t="e">
        <f>AND(Onsite!#REF!,"AAAAAA2/7fs=")</f>
        <v>#REF!</v>
      </c>
      <c r="IS264" t="e">
        <f>AND(Onsite!#REF!,"AAAAAA2/7fw=")</f>
        <v>#REF!</v>
      </c>
      <c r="IT264" t="e">
        <f>AND(Onsite!#REF!,"AAAAAA2/7f0=")</f>
        <v>#REF!</v>
      </c>
      <c r="IU264" t="e">
        <f>AND(Onsite!#REF!,"AAAAAA2/7f4=")</f>
        <v>#REF!</v>
      </c>
      <c r="IV264" t="e">
        <f>AND(Onsite!#REF!,"AAAAAA2/7f8=")</f>
        <v>#REF!</v>
      </c>
    </row>
    <row r="265" spans="1:256" x14ac:dyDescent="0.2">
      <c r="A265" t="e">
        <f>AND(Onsite!#REF!,"AAAAAHuf3gA=")</f>
        <v>#REF!</v>
      </c>
      <c r="B265" t="e">
        <f>AND(Onsite!#REF!,"AAAAAHuf3gE=")</f>
        <v>#REF!</v>
      </c>
      <c r="C265" t="e">
        <f>AND(Onsite!#REF!,"AAAAAHuf3gI=")</f>
        <v>#REF!</v>
      </c>
      <c r="D265" t="e">
        <f>AND(Onsite!#REF!,"AAAAAHuf3gM=")</f>
        <v>#REF!</v>
      </c>
      <c r="E265" t="e">
        <f>IF(Onsite!#REF!,"AAAAAHuf3gQ=",0)</f>
        <v>#REF!</v>
      </c>
      <c r="F265" t="e">
        <f>AND(Onsite!#REF!,"AAAAAHuf3gU=")</f>
        <v>#REF!</v>
      </c>
      <c r="G265" t="e">
        <f>AND(Onsite!#REF!,"AAAAAHuf3gY=")</f>
        <v>#REF!</v>
      </c>
      <c r="H265" t="e">
        <f>AND(Onsite!#REF!,"AAAAAHuf3gc=")</f>
        <v>#REF!</v>
      </c>
      <c r="I265" t="e">
        <f>AND(Onsite!#REF!,"AAAAAHuf3gg=")</f>
        <v>#REF!</v>
      </c>
      <c r="J265" t="e">
        <f>AND(Onsite!#REF!,"AAAAAHuf3gk=")</f>
        <v>#REF!</v>
      </c>
      <c r="K265" t="e">
        <f>AND(Onsite!#REF!,"AAAAAHuf3go=")</f>
        <v>#REF!</v>
      </c>
      <c r="L265" t="e">
        <f>AND(Onsite!#REF!,"AAAAAHuf3gs=")</f>
        <v>#REF!</v>
      </c>
      <c r="M265" t="e">
        <f>AND(Onsite!#REF!,"AAAAAHuf3gw=")</f>
        <v>#REF!</v>
      </c>
      <c r="N265" t="e">
        <f>AND(Onsite!#REF!,"AAAAAHuf3g0=")</f>
        <v>#REF!</v>
      </c>
      <c r="O265" t="e">
        <f>AND(Onsite!#REF!,"AAAAAHuf3g4=")</f>
        <v>#REF!</v>
      </c>
      <c r="P265" t="e">
        <f>AND(Onsite!#REF!,"AAAAAHuf3g8=")</f>
        <v>#REF!</v>
      </c>
      <c r="Q265" t="e">
        <f>AND(Onsite!#REF!,"AAAAAHuf3hA=")</f>
        <v>#REF!</v>
      </c>
      <c r="R265" t="e">
        <f>AND(Onsite!#REF!,"AAAAAHuf3hE=")</f>
        <v>#REF!</v>
      </c>
      <c r="S265" t="e">
        <f>IF(Onsite!#REF!,"AAAAAHuf3hI=",0)</f>
        <v>#REF!</v>
      </c>
      <c r="T265" t="e">
        <f>AND(Onsite!#REF!,"AAAAAHuf3hM=")</f>
        <v>#REF!</v>
      </c>
      <c r="U265" t="e">
        <f>AND(Onsite!#REF!,"AAAAAHuf3hQ=")</f>
        <v>#REF!</v>
      </c>
      <c r="V265" t="e">
        <f>AND(Onsite!#REF!,"AAAAAHuf3hU=")</f>
        <v>#REF!</v>
      </c>
      <c r="W265" t="e">
        <f>AND(Onsite!#REF!,"AAAAAHuf3hY=")</f>
        <v>#REF!</v>
      </c>
      <c r="X265" t="e">
        <f>AND(Onsite!#REF!,"AAAAAHuf3hc=")</f>
        <v>#REF!</v>
      </c>
      <c r="Y265" t="e">
        <f>AND(Onsite!#REF!,"AAAAAHuf3hg=")</f>
        <v>#REF!</v>
      </c>
      <c r="Z265" t="e">
        <f>AND(Onsite!#REF!,"AAAAAHuf3hk=")</f>
        <v>#REF!</v>
      </c>
      <c r="AA265" t="e">
        <f>AND(Onsite!#REF!,"AAAAAHuf3ho=")</f>
        <v>#REF!</v>
      </c>
      <c r="AB265" t="e">
        <f>AND(Onsite!#REF!,"AAAAAHuf3hs=")</f>
        <v>#REF!</v>
      </c>
      <c r="AC265" t="e">
        <f>AND(Onsite!#REF!,"AAAAAHuf3hw=")</f>
        <v>#REF!</v>
      </c>
      <c r="AD265" t="e">
        <f>AND(Onsite!#REF!,"AAAAAHuf3h0=")</f>
        <v>#REF!</v>
      </c>
      <c r="AE265" t="e">
        <f>AND(Onsite!#REF!,"AAAAAHuf3h4=")</f>
        <v>#REF!</v>
      </c>
      <c r="AF265" t="e">
        <f>AND(Onsite!#REF!,"AAAAAHuf3h8=")</f>
        <v>#REF!</v>
      </c>
      <c r="AG265" t="e">
        <f>IF(Onsite!#REF!,"AAAAAHuf3iA=",0)</f>
        <v>#REF!</v>
      </c>
      <c r="AH265" t="e">
        <f>AND(Onsite!#REF!,"AAAAAHuf3iE=")</f>
        <v>#REF!</v>
      </c>
      <c r="AI265" t="e">
        <f>AND(Onsite!#REF!,"AAAAAHuf3iI=")</f>
        <v>#REF!</v>
      </c>
      <c r="AJ265" t="e">
        <f>AND(Onsite!#REF!,"AAAAAHuf3iM=")</f>
        <v>#REF!</v>
      </c>
      <c r="AK265" t="e">
        <f>AND(Onsite!#REF!,"AAAAAHuf3iQ=")</f>
        <v>#REF!</v>
      </c>
      <c r="AL265" t="e">
        <f>AND(Onsite!#REF!,"AAAAAHuf3iU=")</f>
        <v>#REF!</v>
      </c>
      <c r="AM265" t="e">
        <f>AND(Onsite!#REF!,"AAAAAHuf3iY=")</f>
        <v>#REF!</v>
      </c>
      <c r="AN265" t="e">
        <f>AND(Onsite!#REF!,"AAAAAHuf3ic=")</f>
        <v>#REF!</v>
      </c>
      <c r="AO265" t="e">
        <f>AND(Onsite!#REF!,"AAAAAHuf3ig=")</f>
        <v>#REF!</v>
      </c>
      <c r="AP265" t="e">
        <f>AND(Onsite!#REF!,"AAAAAHuf3ik=")</f>
        <v>#REF!</v>
      </c>
      <c r="AQ265" t="e">
        <f>AND(Onsite!#REF!,"AAAAAHuf3io=")</f>
        <v>#REF!</v>
      </c>
      <c r="AR265" t="e">
        <f>AND(Onsite!#REF!,"AAAAAHuf3is=")</f>
        <v>#REF!</v>
      </c>
      <c r="AS265" t="e">
        <f>AND(Onsite!#REF!,"AAAAAHuf3iw=")</f>
        <v>#REF!</v>
      </c>
      <c r="AT265" t="e">
        <f>AND(Onsite!#REF!,"AAAAAHuf3i0=")</f>
        <v>#REF!</v>
      </c>
      <c r="AU265" t="e">
        <f>IF(Onsite!#REF!,"AAAAAHuf3i4=",0)</f>
        <v>#REF!</v>
      </c>
      <c r="AV265" t="e">
        <f>AND(Onsite!#REF!,"AAAAAHuf3i8=")</f>
        <v>#REF!</v>
      </c>
      <c r="AW265" t="e">
        <f>AND(Onsite!#REF!,"AAAAAHuf3jA=")</f>
        <v>#REF!</v>
      </c>
      <c r="AX265" t="e">
        <f>AND(Onsite!#REF!,"AAAAAHuf3jE=")</f>
        <v>#REF!</v>
      </c>
      <c r="AY265" t="e">
        <f>AND(Onsite!#REF!,"AAAAAHuf3jI=")</f>
        <v>#REF!</v>
      </c>
      <c r="AZ265" t="e">
        <f>AND(Onsite!#REF!,"AAAAAHuf3jM=")</f>
        <v>#REF!</v>
      </c>
      <c r="BA265" t="e">
        <f>AND(Onsite!#REF!,"AAAAAHuf3jQ=")</f>
        <v>#REF!</v>
      </c>
      <c r="BB265" t="e">
        <f>AND(Onsite!#REF!,"AAAAAHuf3jU=")</f>
        <v>#REF!</v>
      </c>
      <c r="BC265" t="e">
        <f>AND(Onsite!#REF!,"AAAAAHuf3jY=")</f>
        <v>#REF!</v>
      </c>
      <c r="BD265" t="e">
        <f>AND(Onsite!#REF!,"AAAAAHuf3jc=")</f>
        <v>#REF!</v>
      </c>
      <c r="BE265" t="e">
        <f>AND(Onsite!#REF!,"AAAAAHuf3jg=")</f>
        <v>#REF!</v>
      </c>
      <c r="BF265" t="e">
        <f>AND(Onsite!#REF!,"AAAAAHuf3jk=")</f>
        <v>#REF!</v>
      </c>
      <c r="BG265" t="e">
        <f>AND(Onsite!#REF!,"AAAAAHuf3jo=")</f>
        <v>#REF!</v>
      </c>
      <c r="BH265" t="e">
        <f>AND(Onsite!#REF!,"AAAAAHuf3js=")</f>
        <v>#REF!</v>
      </c>
      <c r="BI265" t="e">
        <f>IF(Onsite!#REF!,"AAAAAHuf3jw=",0)</f>
        <v>#REF!</v>
      </c>
      <c r="BJ265" t="e">
        <f>AND(Onsite!#REF!,"AAAAAHuf3j0=")</f>
        <v>#REF!</v>
      </c>
      <c r="BK265" t="e">
        <f>AND(Onsite!#REF!,"AAAAAHuf3j4=")</f>
        <v>#REF!</v>
      </c>
      <c r="BL265" t="e">
        <f>AND(Onsite!#REF!,"AAAAAHuf3j8=")</f>
        <v>#REF!</v>
      </c>
      <c r="BM265" t="e">
        <f>AND(Onsite!#REF!,"AAAAAHuf3kA=")</f>
        <v>#REF!</v>
      </c>
      <c r="BN265" t="e">
        <f>AND(Onsite!#REF!,"AAAAAHuf3kE=")</f>
        <v>#REF!</v>
      </c>
      <c r="BO265" t="e">
        <f>AND(Onsite!#REF!,"AAAAAHuf3kI=")</f>
        <v>#REF!</v>
      </c>
      <c r="BP265" t="e">
        <f>AND(Onsite!#REF!,"AAAAAHuf3kM=")</f>
        <v>#REF!</v>
      </c>
      <c r="BQ265" t="e">
        <f>AND(Onsite!#REF!,"AAAAAHuf3kQ=")</f>
        <v>#REF!</v>
      </c>
      <c r="BR265" t="e">
        <f>AND(Onsite!#REF!,"AAAAAHuf3kU=")</f>
        <v>#REF!</v>
      </c>
      <c r="BS265" t="e">
        <f>AND(Onsite!#REF!,"AAAAAHuf3kY=")</f>
        <v>#REF!</v>
      </c>
      <c r="BT265" t="e">
        <f>AND(Onsite!#REF!,"AAAAAHuf3kc=")</f>
        <v>#REF!</v>
      </c>
      <c r="BU265" t="e">
        <f>AND(Onsite!#REF!,"AAAAAHuf3kg=")</f>
        <v>#REF!</v>
      </c>
      <c r="BV265" t="e">
        <f>AND(Onsite!#REF!,"AAAAAHuf3kk=")</f>
        <v>#REF!</v>
      </c>
      <c r="BW265" t="e">
        <f>IF(Onsite!#REF!,"AAAAAHuf3ko=",0)</f>
        <v>#REF!</v>
      </c>
      <c r="BX265" t="e">
        <f>AND(Onsite!#REF!,"AAAAAHuf3ks=")</f>
        <v>#REF!</v>
      </c>
      <c r="BY265" t="e">
        <f>AND(Onsite!#REF!,"AAAAAHuf3kw=")</f>
        <v>#REF!</v>
      </c>
      <c r="BZ265" t="e">
        <f>AND(Onsite!#REF!,"AAAAAHuf3k0=")</f>
        <v>#REF!</v>
      </c>
      <c r="CA265" t="e">
        <f>AND(Onsite!#REF!,"AAAAAHuf3k4=")</f>
        <v>#REF!</v>
      </c>
      <c r="CB265" t="e">
        <f>AND(Onsite!#REF!,"AAAAAHuf3k8=")</f>
        <v>#REF!</v>
      </c>
      <c r="CC265" t="e">
        <f>AND(Onsite!#REF!,"AAAAAHuf3lA=")</f>
        <v>#REF!</v>
      </c>
      <c r="CD265" t="e">
        <f>AND(Onsite!#REF!,"AAAAAHuf3lE=")</f>
        <v>#REF!</v>
      </c>
      <c r="CE265" t="e">
        <f>AND(Onsite!#REF!,"AAAAAHuf3lI=")</f>
        <v>#REF!</v>
      </c>
      <c r="CF265" t="e">
        <f>AND(Onsite!#REF!,"AAAAAHuf3lM=")</f>
        <v>#REF!</v>
      </c>
      <c r="CG265" t="e">
        <f>AND(Onsite!#REF!,"AAAAAHuf3lQ=")</f>
        <v>#REF!</v>
      </c>
      <c r="CH265" t="e">
        <f>AND(Onsite!#REF!,"AAAAAHuf3lU=")</f>
        <v>#REF!</v>
      </c>
      <c r="CI265" t="e">
        <f>AND(Onsite!#REF!,"AAAAAHuf3lY=")</f>
        <v>#REF!</v>
      </c>
      <c r="CJ265" t="e">
        <f>AND(Onsite!#REF!,"AAAAAHuf3lc=")</f>
        <v>#REF!</v>
      </c>
      <c r="CK265" t="e">
        <f>IF(Onsite!#REF!,"AAAAAHuf3lg=",0)</f>
        <v>#REF!</v>
      </c>
      <c r="CL265" t="e">
        <f>AND(Onsite!#REF!,"AAAAAHuf3lk=")</f>
        <v>#REF!</v>
      </c>
      <c r="CM265" t="e">
        <f>AND(Onsite!#REF!,"AAAAAHuf3lo=")</f>
        <v>#REF!</v>
      </c>
      <c r="CN265" t="e">
        <f>AND(Onsite!#REF!,"AAAAAHuf3ls=")</f>
        <v>#REF!</v>
      </c>
      <c r="CO265" t="e">
        <f>AND(Onsite!#REF!,"AAAAAHuf3lw=")</f>
        <v>#REF!</v>
      </c>
      <c r="CP265" t="e">
        <f>AND(Onsite!#REF!,"AAAAAHuf3l0=")</f>
        <v>#REF!</v>
      </c>
      <c r="CQ265" t="e">
        <f>AND(Onsite!#REF!,"AAAAAHuf3l4=")</f>
        <v>#REF!</v>
      </c>
      <c r="CR265" t="e">
        <f>AND(Onsite!#REF!,"AAAAAHuf3l8=")</f>
        <v>#REF!</v>
      </c>
      <c r="CS265" t="e">
        <f>AND(Onsite!#REF!,"AAAAAHuf3mA=")</f>
        <v>#REF!</v>
      </c>
      <c r="CT265" t="e">
        <f>AND(Onsite!#REF!,"AAAAAHuf3mE=")</f>
        <v>#REF!</v>
      </c>
      <c r="CU265" t="e">
        <f>AND(Onsite!#REF!,"AAAAAHuf3mI=")</f>
        <v>#REF!</v>
      </c>
      <c r="CV265" t="e">
        <f>AND(Onsite!#REF!,"AAAAAHuf3mM=")</f>
        <v>#REF!</v>
      </c>
      <c r="CW265" t="e">
        <f>AND(Onsite!#REF!,"AAAAAHuf3mQ=")</f>
        <v>#REF!</v>
      </c>
      <c r="CX265" t="e">
        <f>AND(Onsite!#REF!,"AAAAAHuf3mU=")</f>
        <v>#REF!</v>
      </c>
      <c r="CY265" t="e">
        <f>IF(Onsite!#REF!,"AAAAAHuf3mY=",0)</f>
        <v>#REF!</v>
      </c>
      <c r="CZ265" t="e">
        <f>AND(Onsite!#REF!,"AAAAAHuf3mc=")</f>
        <v>#REF!</v>
      </c>
      <c r="DA265" t="e">
        <f>AND(Onsite!#REF!,"AAAAAHuf3mg=")</f>
        <v>#REF!</v>
      </c>
      <c r="DB265" t="e">
        <f>AND(Onsite!#REF!,"AAAAAHuf3mk=")</f>
        <v>#REF!</v>
      </c>
      <c r="DC265" t="e">
        <f>AND(Onsite!#REF!,"AAAAAHuf3mo=")</f>
        <v>#REF!</v>
      </c>
      <c r="DD265" t="e">
        <f>AND(Onsite!#REF!,"AAAAAHuf3ms=")</f>
        <v>#REF!</v>
      </c>
      <c r="DE265" t="e">
        <f>AND(Onsite!#REF!,"AAAAAHuf3mw=")</f>
        <v>#REF!</v>
      </c>
      <c r="DF265" t="e">
        <f>AND(Onsite!#REF!,"AAAAAHuf3m0=")</f>
        <v>#REF!</v>
      </c>
      <c r="DG265" t="e">
        <f>AND(Onsite!#REF!,"AAAAAHuf3m4=")</f>
        <v>#REF!</v>
      </c>
      <c r="DH265" t="e">
        <f>AND(Onsite!#REF!,"AAAAAHuf3m8=")</f>
        <v>#REF!</v>
      </c>
      <c r="DI265" t="e">
        <f>AND(Onsite!#REF!,"AAAAAHuf3nA=")</f>
        <v>#REF!</v>
      </c>
      <c r="DJ265" t="e">
        <f>AND(Onsite!#REF!,"AAAAAHuf3nE=")</f>
        <v>#REF!</v>
      </c>
      <c r="DK265" t="e">
        <f>AND(Onsite!#REF!,"AAAAAHuf3nI=")</f>
        <v>#REF!</v>
      </c>
      <c r="DL265" t="e">
        <f>AND(Onsite!#REF!,"AAAAAHuf3nM=")</f>
        <v>#REF!</v>
      </c>
      <c r="DM265" t="e">
        <f>IF(Onsite!#REF!,"AAAAAHuf3nQ=",0)</f>
        <v>#REF!</v>
      </c>
      <c r="DN265" t="e">
        <f>AND(Onsite!#REF!,"AAAAAHuf3nU=")</f>
        <v>#REF!</v>
      </c>
      <c r="DO265" t="e">
        <f>AND(Onsite!#REF!,"AAAAAHuf3nY=")</f>
        <v>#REF!</v>
      </c>
      <c r="DP265" t="e">
        <f>AND(Onsite!#REF!,"AAAAAHuf3nc=")</f>
        <v>#REF!</v>
      </c>
      <c r="DQ265" t="e">
        <f>AND(Onsite!#REF!,"AAAAAHuf3ng=")</f>
        <v>#REF!</v>
      </c>
      <c r="DR265" t="e">
        <f>AND(Onsite!#REF!,"AAAAAHuf3nk=")</f>
        <v>#REF!</v>
      </c>
      <c r="DS265" t="e">
        <f>AND(Onsite!#REF!,"AAAAAHuf3no=")</f>
        <v>#REF!</v>
      </c>
      <c r="DT265" t="e">
        <f>AND(Onsite!#REF!,"AAAAAHuf3ns=")</f>
        <v>#REF!</v>
      </c>
      <c r="DU265" t="e">
        <f>AND(Onsite!#REF!,"AAAAAHuf3nw=")</f>
        <v>#REF!</v>
      </c>
      <c r="DV265" t="e">
        <f>AND(Onsite!#REF!,"AAAAAHuf3n0=")</f>
        <v>#REF!</v>
      </c>
      <c r="DW265" t="e">
        <f>AND(Onsite!#REF!,"AAAAAHuf3n4=")</f>
        <v>#REF!</v>
      </c>
      <c r="DX265" t="e">
        <f>AND(Onsite!#REF!,"AAAAAHuf3n8=")</f>
        <v>#REF!</v>
      </c>
      <c r="DY265" t="e">
        <f>AND(Onsite!#REF!,"AAAAAHuf3oA=")</f>
        <v>#REF!</v>
      </c>
      <c r="DZ265" t="e">
        <f>AND(Onsite!#REF!,"AAAAAHuf3oE=")</f>
        <v>#REF!</v>
      </c>
      <c r="EA265" t="e">
        <f>IF(Onsite!#REF!,"AAAAAHuf3oI=",0)</f>
        <v>#REF!</v>
      </c>
      <c r="EB265" t="e">
        <f>AND(Onsite!#REF!,"AAAAAHuf3oM=")</f>
        <v>#REF!</v>
      </c>
      <c r="EC265" t="e">
        <f>AND(Onsite!#REF!,"AAAAAHuf3oQ=")</f>
        <v>#REF!</v>
      </c>
      <c r="ED265" t="e">
        <f>AND(Onsite!#REF!,"AAAAAHuf3oU=")</f>
        <v>#REF!</v>
      </c>
      <c r="EE265" t="e">
        <f>AND(Onsite!#REF!,"AAAAAHuf3oY=")</f>
        <v>#REF!</v>
      </c>
      <c r="EF265" t="e">
        <f>AND(Onsite!#REF!,"AAAAAHuf3oc=")</f>
        <v>#REF!</v>
      </c>
      <c r="EG265" t="e">
        <f>AND(Onsite!#REF!,"AAAAAHuf3og=")</f>
        <v>#REF!</v>
      </c>
      <c r="EH265" t="e">
        <f>AND(Onsite!#REF!,"AAAAAHuf3ok=")</f>
        <v>#REF!</v>
      </c>
      <c r="EI265" t="e">
        <f>AND(Onsite!#REF!,"AAAAAHuf3oo=")</f>
        <v>#REF!</v>
      </c>
      <c r="EJ265" t="e">
        <f>AND(Onsite!#REF!,"AAAAAHuf3os=")</f>
        <v>#REF!</v>
      </c>
      <c r="EK265" t="e">
        <f>AND(Onsite!#REF!,"AAAAAHuf3ow=")</f>
        <v>#REF!</v>
      </c>
      <c r="EL265" t="e">
        <f>AND(Onsite!#REF!,"AAAAAHuf3o0=")</f>
        <v>#REF!</v>
      </c>
      <c r="EM265" t="e">
        <f>AND(Onsite!#REF!,"AAAAAHuf3o4=")</f>
        <v>#REF!</v>
      </c>
      <c r="EN265" t="e">
        <f>AND(Onsite!#REF!,"AAAAAHuf3o8=")</f>
        <v>#REF!</v>
      </c>
      <c r="EO265" t="e">
        <f>IF(Onsite!#REF!,"AAAAAHuf3pA=",0)</f>
        <v>#REF!</v>
      </c>
      <c r="EP265" t="e">
        <f>AND(Onsite!#REF!,"AAAAAHuf3pE=")</f>
        <v>#REF!</v>
      </c>
      <c r="EQ265" t="e">
        <f>AND(Onsite!#REF!,"AAAAAHuf3pI=")</f>
        <v>#REF!</v>
      </c>
      <c r="ER265" t="e">
        <f>AND(Onsite!#REF!,"AAAAAHuf3pM=")</f>
        <v>#REF!</v>
      </c>
      <c r="ES265" t="e">
        <f>AND(Onsite!#REF!,"AAAAAHuf3pQ=")</f>
        <v>#REF!</v>
      </c>
      <c r="ET265" t="e">
        <f>AND(Onsite!#REF!,"AAAAAHuf3pU=")</f>
        <v>#REF!</v>
      </c>
      <c r="EU265" t="e">
        <f>AND(Onsite!#REF!,"AAAAAHuf3pY=")</f>
        <v>#REF!</v>
      </c>
      <c r="EV265" t="e">
        <f>AND(Onsite!#REF!,"AAAAAHuf3pc=")</f>
        <v>#REF!</v>
      </c>
      <c r="EW265" t="e">
        <f>AND(Onsite!#REF!,"AAAAAHuf3pg=")</f>
        <v>#REF!</v>
      </c>
      <c r="EX265" t="e">
        <f>AND(Onsite!#REF!,"AAAAAHuf3pk=")</f>
        <v>#REF!</v>
      </c>
      <c r="EY265" t="e">
        <f>AND(Onsite!#REF!,"AAAAAHuf3po=")</f>
        <v>#REF!</v>
      </c>
      <c r="EZ265" t="e">
        <f>AND(Onsite!#REF!,"AAAAAHuf3ps=")</f>
        <v>#REF!</v>
      </c>
      <c r="FA265" t="e">
        <f>AND(Onsite!#REF!,"AAAAAHuf3pw=")</f>
        <v>#REF!</v>
      </c>
      <c r="FB265" t="e">
        <f>AND(Onsite!#REF!,"AAAAAHuf3p0=")</f>
        <v>#REF!</v>
      </c>
      <c r="FC265" t="e">
        <f>IF(Onsite!#REF!,"AAAAAHuf3p4=",0)</f>
        <v>#REF!</v>
      </c>
      <c r="FD265" t="e">
        <f>AND(Onsite!#REF!,"AAAAAHuf3p8=")</f>
        <v>#REF!</v>
      </c>
      <c r="FE265" t="e">
        <f>AND(Onsite!#REF!,"AAAAAHuf3qA=")</f>
        <v>#REF!</v>
      </c>
      <c r="FF265" t="e">
        <f>AND(Onsite!#REF!,"AAAAAHuf3qE=")</f>
        <v>#REF!</v>
      </c>
      <c r="FG265" t="e">
        <f>AND(Onsite!#REF!,"AAAAAHuf3qI=")</f>
        <v>#REF!</v>
      </c>
      <c r="FH265" t="e">
        <f>AND(Onsite!#REF!,"AAAAAHuf3qM=")</f>
        <v>#REF!</v>
      </c>
      <c r="FI265" t="e">
        <f>AND(Onsite!#REF!,"AAAAAHuf3qQ=")</f>
        <v>#REF!</v>
      </c>
      <c r="FJ265" t="e">
        <f>AND(Onsite!#REF!,"AAAAAHuf3qU=")</f>
        <v>#REF!</v>
      </c>
      <c r="FK265" t="e">
        <f>AND(Onsite!#REF!,"AAAAAHuf3qY=")</f>
        <v>#REF!</v>
      </c>
      <c r="FL265" t="e">
        <f>AND(Onsite!#REF!,"AAAAAHuf3qc=")</f>
        <v>#REF!</v>
      </c>
      <c r="FM265" t="e">
        <f>AND(Onsite!#REF!,"AAAAAHuf3qg=")</f>
        <v>#REF!</v>
      </c>
      <c r="FN265" t="e">
        <f>AND(Onsite!#REF!,"AAAAAHuf3qk=")</f>
        <v>#REF!</v>
      </c>
      <c r="FO265" t="e">
        <f>AND(Onsite!#REF!,"AAAAAHuf3qo=")</f>
        <v>#REF!</v>
      </c>
      <c r="FP265" t="e">
        <f>AND(Onsite!#REF!,"AAAAAHuf3qs=")</f>
        <v>#REF!</v>
      </c>
      <c r="FQ265" t="e">
        <f>IF(Onsite!#REF!,"AAAAAHuf3qw=",0)</f>
        <v>#REF!</v>
      </c>
      <c r="FR265" t="e">
        <f>AND(Onsite!#REF!,"AAAAAHuf3q0=")</f>
        <v>#REF!</v>
      </c>
      <c r="FS265" t="e">
        <f>AND(Onsite!#REF!,"AAAAAHuf3q4=")</f>
        <v>#REF!</v>
      </c>
      <c r="FT265" t="e">
        <f>AND(Onsite!#REF!,"AAAAAHuf3q8=")</f>
        <v>#REF!</v>
      </c>
      <c r="FU265" t="e">
        <f>AND(Onsite!#REF!,"AAAAAHuf3rA=")</f>
        <v>#REF!</v>
      </c>
      <c r="FV265" t="e">
        <f>AND(Onsite!#REF!,"AAAAAHuf3rE=")</f>
        <v>#REF!</v>
      </c>
      <c r="FW265" t="e">
        <f>AND(Onsite!#REF!,"AAAAAHuf3rI=")</f>
        <v>#REF!</v>
      </c>
      <c r="FX265" t="e">
        <f>AND(Onsite!#REF!,"AAAAAHuf3rM=")</f>
        <v>#REF!</v>
      </c>
      <c r="FY265" t="e">
        <f>AND(Onsite!#REF!,"AAAAAHuf3rQ=")</f>
        <v>#REF!</v>
      </c>
      <c r="FZ265" t="e">
        <f>AND(Onsite!#REF!,"AAAAAHuf3rU=")</f>
        <v>#REF!</v>
      </c>
      <c r="GA265" t="e">
        <f>AND(Onsite!#REF!,"AAAAAHuf3rY=")</f>
        <v>#REF!</v>
      </c>
      <c r="GB265" t="e">
        <f>AND(Onsite!#REF!,"AAAAAHuf3rc=")</f>
        <v>#REF!</v>
      </c>
      <c r="GC265" t="e">
        <f>AND(Onsite!#REF!,"AAAAAHuf3rg=")</f>
        <v>#REF!</v>
      </c>
      <c r="GD265" t="e">
        <f>AND(Onsite!#REF!,"AAAAAHuf3rk=")</f>
        <v>#REF!</v>
      </c>
      <c r="GE265" t="e">
        <f>IF(Onsite!#REF!,"AAAAAHuf3ro=",0)</f>
        <v>#REF!</v>
      </c>
      <c r="GF265" t="e">
        <f>AND(Onsite!#REF!,"AAAAAHuf3rs=")</f>
        <v>#REF!</v>
      </c>
      <c r="GG265" t="e">
        <f>AND(Onsite!#REF!,"AAAAAHuf3rw=")</f>
        <v>#REF!</v>
      </c>
      <c r="GH265" t="e">
        <f>AND(Onsite!#REF!,"AAAAAHuf3r0=")</f>
        <v>#REF!</v>
      </c>
      <c r="GI265" t="e">
        <f>AND(Onsite!#REF!,"AAAAAHuf3r4=")</f>
        <v>#REF!</v>
      </c>
      <c r="GJ265" t="e">
        <f>AND(Onsite!#REF!,"AAAAAHuf3r8=")</f>
        <v>#REF!</v>
      </c>
      <c r="GK265" t="e">
        <f>AND(Onsite!#REF!,"AAAAAHuf3sA=")</f>
        <v>#REF!</v>
      </c>
      <c r="GL265" t="e">
        <f>AND(Onsite!#REF!,"AAAAAHuf3sE=")</f>
        <v>#REF!</v>
      </c>
      <c r="GM265" t="e">
        <f>AND(Onsite!#REF!,"AAAAAHuf3sI=")</f>
        <v>#REF!</v>
      </c>
      <c r="GN265" t="e">
        <f>AND(Onsite!#REF!,"AAAAAHuf3sM=")</f>
        <v>#REF!</v>
      </c>
      <c r="GO265" t="e">
        <f>AND(Onsite!#REF!,"AAAAAHuf3sQ=")</f>
        <v>#REF!</v>
      </c>
      <c r="GP265" t="e">
        <f>AND(Onsite!#REF!,"AAAAAHuf3sU=")</f>
        <v>#REF!</v>
      </c>
      <c r="GQ265" t="e">
        <f>AND(Onsite!#REF!,"AAAAAHuf3sY=")</f>
        <v>#REF!</v>
      </c>
      <c r="GR265" t="e">
        <f>AND(Onsite!#REF!,"AAAAAHuf3sc=")</f>
        <v>#REF!</v>
      </c>
      <c r="GS265" t="e">
        <f>IF(Onsite!#REF!,"AAAAAHuf3sg=",0)</f>
        <v>#REF!</v>
      </c>
      <c r="GT265" t="e">
        <f>AND(Onsite!#REF!,"AAAAAHuf3sk=")</f>
        <v>#REF!</v>
      </c>
      <c r="GU265" t="e">
        <f>AND(Onsite!#REF!,"AAAAAHuf3so=")</f>
        <v>#REF!</v>
      </c>
      <c r="GV265" t="e">
        <f>AND(Onsite!#REF!,"AAAAAHuf3ss=")</f>
        <v>#REF!</v>
      </c>
      <c r="GW265" t="e">
        <f>AND(Onsite!#REF!,"AAAAAHuf3sw=")</f>
        <v>#REF!</v>
      </c>
      <c r="GX265" t="e">
        <f>AND(Onsite!#REF!,"AAAAAHuf3s0=")</f>
        <v>#REF!</v>
      </c>
      <c r="GY265" t="e">
        <f>AND(Onsite!#REF!,"AAAAAHuf3s4=")</f>
        <v>#REF!</v>
      </c>
      <c r="GZ265" t="e">
        <f>AND(Onsite!#REF!,"AAAAAHuf3s8=")</f>
        <v>#REF!</v>
      </c>
      <c r="HA265" t="e">
        <f>AND(Onsite!#REF!,"AAAAAHuf3tA=")</f>
        <v>#REF!</v>
      </c>
      <c r="HB265" t="e">
        <f>AND(Onsite!#REF!,"AAAAAHuf3tE=")</f>
        <v>#REF!</v>
      </c>
      <c r="HC265" t="e">
        <f>AND(Onsite!#REF!,"AAAAAHuf3tI=")</f>
        <v>#REF!</v>
      </c>
      <c r="HD265" t="e">
        <f>AND(Onsite!#REF!,"AAAAAHuf3tM=")</f>
        <v>#REF!</v>
      </c>
      <c r="HE265" t="e">
        <f>AND(Onsite!#REF!,"AAAAAHuf3tQ=")</f>
        <v>#REF!</v>
      </c>
      <c r="HF265" t="e">
        <f>AND(Onsite!#REF!,"AAAAAHuf3tU=")</f>
        <v>#REF!</v>
      </c>
      <c r="HG265" t="e">
        <f>IF(Onsite!#REF!,"AAAAAHuf3tY=",0)</f>
        <v>#REF!</v>
      </c>
      <c r="HH265" t="e">
        <f>AND(Onsite!#REF!,"AAAAAHuf3tc=")</f>
        <v>#REF!</v>
      </c>
      <c r="HI265" t="e">
        <f>AND(Onsite!#REF!,"AAAAAHuf3tg=")</f>
        <v>#REF!</v>
      </c>
      <c r="HJ265" t="e">
        <f>AND(Onsite!#REF!,"AAAAAHuf3tk=")</f>
        <v>#REF!</v>
      </c>
      <c r="HK265" t="e">
        <f>AND(Onsite!#REF!,"AAAAAHuf3to=")</f>
        <v>#REF!</v>
      </c>
      <c r="HL265" t="e">
        <f>AND(Onsite!#REF!,"AAAAAHuf3ts=")</f>
        <v>#REF!</v>
      </c>
      <c r="HM265" t="e">
        <f>AND(Onsite!#REF!,"AAAAAHuf3tw=")</f>
        <v>#REF!</v>
      </c>
      <c r="HN265" t="e">
        <f>AND(Onsite!#REF!,"AAAAAHuf3t0=")</f>
        <v>#REF!</v>
      </c>
      <c r="HO265" t="e">
        <f>AND(Onsite!#REF!,"AAAAAHuf3t4=")</f>
        <v>#REF!</v>
      </c>
      <c r="HP265" t="e">
        <f>AND(Onsite!#REF!,"AAAAAHuf3t8=")</f>
        <v>#REF!</v>
      </c>
      <c r="HQ265" t="e">
        <f>AND(Onsite!#REF!,"AAAAAHuf3uA=")</f>
        <v>#REF!</v>
      </c>
      <c r="HR265" t="e">
        <f>AND(Onsite!#REF!,"AAAAAHuf3uE=")</f>
        <v>#REF!</v>
      </c>
      <c r="HS265" t="e">
        <f>AND(Onsite!#REF!,"AAAAAHuf3uI=")</f>
        <v>#REF!</v>
      </c>
      <c r="HT265" t="e">
        <f>AND(Onsite!#REF!,"AAAAAHuf3uM=")</f>
        <v>#REF!</v>
      </c>
      <c r="HU265" t="e">
        <f>IF(Onsite!#REF!,"AAAAAHuf3uQ=",0)</f>
        <v>#REF!</v>
      </c>
      <c r="HV265" t="e">
        <f>AND(Onsite!#REF!,"AAAAAHuf3uU=")</f>
        <v>#REF!</v>
      </c>
      <c r="HW265" t="e">
        <f>AND(Onsite!#REF!,"AAAAAHuf3uY=")</f>
        <v>#REF!</v>
      </c>
      <c r="HX265" t="e">
        <f>AND(Onsite!#REF!,"AAAAAHuf3uc=")</f>
        <v>#REF!</v>
      </c>
      <c r="HY265" t="e">
        <f>AND(Onsite!#REF!,"AAAAAHuf3ug=")</f>
        <v>#REF!</v>
      </c>
      <c r="HZ265" t="e">
        <f>AND(Onsite!#REF!,"AAAAAHuf3uk=")</f>
        <v>#REF!</v>
      </c>
      <c r="IA265" t="e">
        <f>AND(Onsite!#REF!,"AAAAAHuf3uo=")</f>
        <v>#REF!</v>
      </c>
      <c r="IB265" t="e">
        <f>AND(Onsite!#REF!,"AAAAAHuf3us=")</f>
        <v>#REF!</v>
      </c>
      <c r="IC265" t="e">
        <f>AND(Onsite!#REF!,"AAAAAHuf3uw=")</f>
        <v>#REF!</v>
      </c>
      <c r="ID265" t="e">
        <f>AND(Onsite!#REF!,"AAAAAHuf3u0=")</f>
        <v>#REF!</v>
      </c>
      <c r="IE265" t="e">
        <f>AND(Onsite!#REF!,"AAAAAHuf3u4=")</f>
        <v>#REF!</v>
      </c>
      <c r="IF265" t="e">
        <f>AND(Onsite!#REF!,"AAAAAHuf3u8=")</f>
        <v>#REF!</v>
      </c>
      <c r="IG265" t="e">
        <f>AND(Onsite!#REF!,"AAAAAHuf3vA=")</f>
        <v>#REF!</v>
      </c>
      <c r="IH265" t="e">
        <f>AND(Onsite!#REF!,"AAAAAHuf3vE=")</f>
        <v>#REF!</v>
      </c>
      <c r="II265" t="e">
        <f>IF(Onsite!#REF!,"AAAAAHuf3vI=",0)</f>
        <v>#REF!</v>
      </c>
      <c r="IJ265" t="e">
        <f>AND(Onsite!#REF!,"AAAAAHuf3vM=")</f>
        <v>#REF!</v>
      </c>
      <c r="IK265" t="e">
        <f>AND(Onsite!#REF!,"AAAAAHuf3vQ=")</f>
        <v>#REF!</v>
      </c>
      <c r="IL265" t="e">
        <f>AND(Onsite!#REF!,"AAAAAHuf3vU=")</f>
        <v>#REF!</v>
      </c>
      <c r="IM265" t="e">
        <f>AND(Onsite!#REF!,"AAAAAHuf3vY=")</f>
        <v>#REF!</v>
      </c>
      <c r="IN265" t="e">
        <f>AND(Onsite!#REF!,"AAAAAHuf3vc=")</f>
        <v>#REF!</v>
      </c>
      <c r="IO265" t="e">
        <f>AND(Onsite!#REF!,"AAAAAHuf3vg=")</f>
        <v>#REF!</v>
      </c>
      <c r="IP265" t="e">
        <f>AND(Onsite!#REF!,"AAAAAHuf3vk=")</f>
        <v>#REF!</v>
      </c>
      <c r="IQ265" t="e">
        <f>AND(Onsite!#REF!,"AAAAAHuf3vo=")</f>
        <v>#REF!</v>
      </c>
      <c r="IR265" t="e">
        <f>AND(Onsite!#REF!,"AAAAAHuf3vs=")</f>
        <v>#REF!</v>
      </c>
      <c r="IS265" t="e">
        <f>AND(Onsite!#REF!,"AAAAAHuf3vw=")</f>
        <v>#REF!</v>
      </c>
      <c r="IT265" t="e">
        <f>AND(Onsite!#REF!,"AAAAAHuf3v0=")</f>
        <v>#REF!</v>
      </c>
      <c r="IU265" t="e">
        <f>AND(Onsite!#REF!,"AAAAAHuf3v4=")</f>
        <v>#REF!</v>
      </c>
      <c r="IV265" t="e">
        <f>AND(Onsite!#REF!,"AAAAAHuf3v8=")</f>
        <v>#REF!</v>
      </c>
    </row>
    <row r="266" spans="1:256" x14ac:dyDescent="0.2">
      <c r="A266" t="e">
        <f>IF(Onsite!#REF!,"AAAAAHO3HgA=",0)</f>
        <v>#REF!</v>
      </c>
      <c r="B266" t="e">
        <f>AND(Onsite!#REF!,"AAAAAHO3HgE=")</f>
        <v>#REF!</v>
      </c>
      <c r="C266" t="e">
        <f>AND(Onsite!#REF!,"AAAAAHO3HgI=")</f>
        <v>#REF!</v>
      </c>
      <c r="D266" t="e">
        <f>AND(Onsite!#REF!,"AAAAAHO3HgM=")</f>
        <v>#REF!</v>
      </c>
      <c r="E266" t="e">
        <f>AND(Onsite!#REF!,"AAAAAHO3HgQ=")</f>
        <v>#REF!</v>
      </c>
      <c r="F266" t="e">
        <f>AND(Onsite!#REF!,"AAAAAHO3HgU=")</f>
        <v>#REF!</v>
      </c>
      <c r="G266" t="e">
        <f>AND(Onsite!#REF!,"AAAAAHO3HgY=")</f>
        <v>#REF!</v>
      </c>
      <c r="H266" t="e">
        <f>AND(Onsite!#REF!,"AAAAAHO3Hgc=")</f>
        <v>#REF!</v>
      </c>
      <c r="I266" t="e">
        <f>AND(Onsite!#REF!,"AAAAAHO3Hgg=")</f>
        <v>#REF!</v>
      </c>
      <c r="J266" t="e">
        <f>AND(Onsite!#REF!,"AAAAAHO3Hgk=")</f>
        <v>#REF!</v>
      </c>
      <c r="K266" t="e">
        <f>AND(Onsite!#REF!,"AAAAAHO3Hgo=")</f>
        <v>#REF!</v>
      </c>
      <c r="L266" t="e">
        <f>AND(Onsite!#REF!,"AAAAAHO3Hgs=")</f>
        <v>#REF!</v>
      </c>
      <c r="M266" t="e">
        <f>AND(Onsite!#REF!,"AAAAAHO3Hgw=")</f>
        <v>#REF!</v>
      </c>
      <c r="N266" t="e">
        <f>AND(Onsite!#REF!,"AAAAAHO3Hg0=")</f>
        <v>#REF!</v>
      </c>
      <c r="O266" t="e">
        <f>IF(Onsite!#REF!,"AAAAAHO3Hg4=",0)</f>
        <v>#REF!</v>
      </c>
      <c r="P266" t="e">
        <f>AND(Onsite!#REF!,"AAAAAHO3Hg8=")</f>
        <v>#REF!</v>
      </c>
      <c r="Q266" t="e">
        <f>AND(Onsite!#REF!,"AAAAAHO3HhA=")</f>
        <v>#REF!</v>
      </c>
      <c r="R266" t="e">
        <f>AND(Onsite!#REF!,"AAAAAHO3HhE=")</f>
        <v>#REF!</v>
      </c>
      <c r="S266" t="e">
        <f>AND(Onsite!#REF!,"AAAAAHO3HhI=")</f>
        <v>#REF!</v>
      </c>
      <c r="T266" t="e">
        <f>AND(Onsite!#REF!,"AAAAAHO3HhM=")</f>
        <v>#REF!</v>
      </c>
      <c r="U266" t="e">
        <f>AND(Onsite!#REF!,"AAAAAHO3HhQ=")</f>
        <v>#REF!</v>
      </c>
      <c r="V266" t="e">
        <f>AND(Onsite!#REF!,"AAAAAHO3HhU=")</f>
        <v>#REF!</v>
      </c>
      <c r="W266" t="e">
        <f>AND(Onsite!#REF!,"AAAAAHO3HhY=")</f>
        <v>#REF!</v>
      </c>
      <c r="X266" t="e">
        <f>AND(Onsite!#REF!,"AAAAAHO3Hhc=")</f>
        <v>#REF!</v>
      </c>
      <c r="Y266" t="e">
        <f>AND(Onsite!#REF!,"AAAAAHO3Hhg=")</f>
        <v>#REF!</v>
      </c>
      <c r="Z266" t="e">
        <f>AND(Onsite!#REF!,"AAAAAHO3Hhk=")</f>
        <v>#REF!</v>
      </c>
      <c r="AA266" t="e">
        <f>AND(Onsite!#REF!,"AAAAAHO3Hho=")</f>
        <v>#REF!</v>
      </c>
      <c r="AB266" t="e">
        <f>AND(Onsite!#REF!,"AAAAAHO3Hhs=")</f>
        <v>#REF!</v>
      </c>
      <c r="AC266" t="e">
        <f>IF(Onsite!#REF!,"AAAAAHO3Hhw=",0)</f>
        <v>#REF!</v>
      </c>
      <c r="AD266" t="e">
        <f>AND(Onsite!#REF!,"AAAAAHO3Hh0=")</f>
        <v>#REF!</v>
      </c>
      <c r="AE266" t="e">
        <f>AND(Onsite!#REF!,"AAAAAHO3Hh4=")</f>
        <v>#REF!</v>
      </c>
      <c r="AF266" t="e">
        <f>AND(Onsite!#REF!,"AAAAAHO3Hh8=")</f>
        <v>#REF!</v>
      </c>
      <c r="AG266" t="e">
        <f>AND(Onsite!#REF!,"AAAAAHO3HiA=")</f>
        <v>#REF!</v>
      </c>
      <c r="AH266" t="e">
        <f>AND(Onsite!#REF!,"AAAAAHO3HiE=")</f>
        <v>#REF!</v>
      </c>
      <c r="AI266" t="e">
        <f>AND(Onsite!#REF!,"AAAAAHO3HiI=")</f>
        <v>#REF!</v>
      </c>
      <c r="AJ266" t="e">
        <f>AND(Onsite!#REF!,"AAAAAHO3HiM=")</f>
        <v>#REF!</v>
      </c>
      <c r="AK266" t="e">
        <f>AND(Onsite!#REF!,"AAAAAHO3HiQ=")</f>
        <v>#REF!</v>
      </c>
      <c r="AL266" t="e">
        <f>AND(Onsite!#REF!,"AAAAAHO3HiU=")</f>
        <v>#REF!</v>
      </c>
      <c r="AM266" t="e">
        <f>AND(Onsite!#REF!,"AAAAAHO3HiY=")</f>
        <v>#REF!</v>
      </c>
      <c r="AN266" t="e">
        <f>AND(Onsite!#REF!,"AAAAAHO3Hic=")</f>
        <v>#REF!</v>
      </c>
      <c r="AO266" t="e">
        <f>AND(Onsite!#REF!,"AAAAAHO3Hig=")</f>
        <v>#REF!</v>
      </c>
      <c r="AP266" t="e">
        <f>AND(Onsite!#REF!,"AAAAAHO3Hik=")</f>
        <v>#REF!</v>
      </c>
      <c r="AQ266" t="e">
        <f>IF(Onsite!#REF!,"AAAAAHO3Hio=",0)</f>
        <v>#REF!</v>
      </c>
      <c r="AR266" t="e">
        <f>AND(Onsite!#REF!,"AAAAAHO3His=")</f>
        <v>#REF!</v>
      </c>
      <c r="AS266" t="e">
        <f>AND(Onsite!#REF!,"AAAAAHO3Hiw=")</f>
        <v>#REF!</v>
      </c>
      <c r="AT266" t="e">
        <f>AND(Onsite!#REF!,"AAAAAHO3Hi0=")</f>
        <v>#REF!</v>
      </c>
      <c r="AU266" t="e">
        <f>AND(Onsite!#REF!,"AAAAAHO3Hi4=")</f>
        <v>#REF!</v>
      </c>
      <c r="AV266" t="e">
        <f>AND(Onsite!#REF!,"AAAAAHO3Hi8=")</f>
        <v>#REF!</v>
      </c>
      <c r="AW266" t="e">
        <f>AND(Onsite!#REF!,"AAAAAHO3HjA=")</f>
        <v>#REF!</v>
      </c>
      <c r="AX266" t="e">
        <f>AND(Onsite!#REF!,"AAAAAHO3HjE=")</f>
        <v>#REF!</v>
      </c>
      <c r="AY266" t="e">
        <f>AND(Onsite!#REF!,"AAAAAHO3HjI=")</f>
        <v>#REF!</v>
      </c>
      <c r="AZ266" t="e">
        <f>AND(Onsite!#REF!,"AAAAAHO3HjM=")</f>
        <v>#REF!</v>
      </c>
      <c r="BA266" t="e">
        <f>AND(Onsite!#REF!,"AAAAAHO3HjQ=")</f>
        <v>#REF!</v>
      </c>
      <c r="BB266" t="e">
        <f>AND(Onsite!#REF!,"AAAAAHO3HjU=")</f>
        <v>#REF!</v>
      </c>
      <c r="BC266" t="e">
        <f>AND(Onsite!#REF!,"AAAAAHO3HjY=")</f>
        <v>#REF!</v>
      </c>
      <c r="BD266" t="e">
        <f>AND(Onsite!#REF!,"AAAAAHO3Hjc=")</f>
        <v>#REF!</v>
      </c>
      <c r="BE266" t="e">
        <f>IF(Onsite!#REF!,"AAAAAHO3Hjg=",0)</f>
        <v>#REF!</v>
      </c>
      <c r="BF266" t="e">
        <f>AND(Onsite!#REF!,"AAAAAHO3Hjk=")</f>
        <v>#REF!</v>
      </c>
      <c r="BG266" t="e">
        <f>AND(Onsite!#REF!,"AAAAAHO3Hjo=")</f>
        <v>#REF!</v>
      </c>
      <c r="BH266" t="e">
        <f>AND(Onsite!#REF!,"AAAAAHO3Hjs=")</f>
        <v>#REF!</v>
      </c>
      <c r="BI266" t="e">
        <f>AND(Onsite!#REF!,"AAAAAHO3Hjw=")</f>
        <v>#REF!</v>
      </c>
      <c r="BJ266" t="e">
        <f>AND(Onsite!#REF!,"AAAAAHO3Hj0=")</f>
        <v>#REF!</v>
      </c>
      <c r="BK266" t="e">
        <f>AND(Onsite!#REF!,"AAAAAHO3Hj4=")</f>
        <v>#REF!</v>
      </c>
      <c r="BL266" t="e">
        <f>AND(Onsite!#REF!,"AAAAAHO3Hj8=")</f>
        <v>#REF!</v>
      </c>
      <c r="BM266" t="e">
        <f>AND(Onsite!#REF!,"AAAAAHO3HkA=")</f>
        <v>#REF!</v>
      </c>
      <c r="BN266" t="e">
        <f>AND(Onsite!#REF!,"AAAAAHO3HkE=")</f>
        <v>#REF!</v>
      </c>
      <c r="BO266" t="e">
        <f>AND(Onsite!#REF!,"AAAAAHO3HkI=")</f>
        <v>#REF!</v>
      </c>
      <c r="BP266" t="e">
        <f>AND(Onsite!#REF!,"AAAAAHO3HkM=")</f>
        <v>#REF!</v>
      </c>
      <c r="BQ266" t="e">
        <f>AND(Onsite!#REF!,"AAAAAHO3HkQ=")</f>
        <v>#REF!</v>
      </c>
      <c r="BR266" t="e">
        <f>AND(Onsite!#REF!,"AAAAAHO3HkU=")</f>
        <v>#REF!</v>
      </c>
      <c r="BS266" t="e">
        <f>IF(Onsite!#REF!,"AAAAAHO3HkY=",0)</f>
        <v>#REF!</v>
      </c>
      <c r="BT266" t="e">
        <f>AND(Onsite!#REF!,"AAAAAHO3Hkc=")</f>
        <v>#REF!</v>
      </c>
      <c r="BU266" t="e">
        <f>AND(Onsite!#REF!,"AAAAAHO3Hkg=")</f>
        <v>#REF!</v>
      </c>
      <c r="BV266" t="e">
        <f>AND(Onsite!#REF!,"AAAAAHO3Hkk=")</f>
        <v>#REF!</v>
      </c>
      <c r="BW266" t="e">
        <f>AND(Onsite!#REF!,"AAAAAHO3Hko=")</f>
        <v>#REF!</v>
      </c>
      <c r="BX266" t="e">
        <f>AND(Onsite!#REF!,"AAAAAHO3Hks=")</f>
        <v>#REF!</v>
      </c>
      <c r="BY266" t="e">
        <f>AND(Onsite!#REF!,"AAAAAHO3Hkw=")</f>
        <v>#REF!</v>
      </c>
      <c r="BZ266" t="e">
        <f>AND(Onsite!#REF!,"AAAAAHO3Hk0=")</f>
        <v>#REF!</v>
      </c>
      <c r="CA266" t="e">
        <f>AND(Onsite!#REF!,"AAAAAHO3Hk4=")</f>
        <v>#REF!</v>
      </c>
      <c r="CB266" t="e">
        <f>AND(Onsite!#REF!,"AAAAAHO3Hk8=")</f>
        <v>#REF!</v>
      </c>
      <c r="CC266" t="e">
        <f>AND(Onsite!#REF!,"AAAAAHO3HlA=")</f>
        <v>#REF!</v>
      </c>
      <c r="CD266" t="e">
        <f>AND(Onsite!#REF!,"AAAAAHO3HlE=")</f>
        <v>#REF!</v>
      </c>
      <c r="CE266" t="e">
        <f>AND(Onsite!#REF!,"AAAAAHO3HlI=")</f>
        <v>#REF!</v>
      </c>
      <c r="CF266" t="e">
        <f>AND(Onsite!#REF!,"AAAAAHO3HlM=")</f>
        <v>#REF!</v>
      </c>
      <c r="CG266" t="e">
        <f>IF(Onsite!#REF!,"AAAAAHO3HlQ=",0)</f>
        <v>#REF!</v>
      </c>
      <c r="CH266" t="e">
        <f>AND(Onsite!#REF!,"AAAAAHO3HlU=")</f>
        <v>#REF!</v>
      </c>
      <c r="CI266" t="e">
        <f>AND(Onsite!#REF!,"AAAAAHO3HlY=")</f>
        <v>#REF!</v>
      </c>
      <c r="CJ266" t="e">
        <f>AND(Onsite!#REF!,"AAAAAHO3Hlc=")</f>
        <v>#REF!</v>
      </c>
      <c r="CK266" t="e">
        <f>AND(Onsite!#REF!,"AAAAAHO3Hlg=")</f>
        <v>#REF!</v>
      </c>
      <c r="CL266" t="e">
        <f>AND(Onsite!#REF!,"AAAAAHO3Hlk=")</f>
        <v>#REF!</v>
      </c>
      <c r="CM266" t="e">
        <f>AND(Onsite!#REF!,"AAAAAHO3Hlo=")</f>
        <v>#REF!</v>
      </c>
      <c r="CN266" t="e">
        <f>AND(Onsite!#REF!,"AAAAAHO3Hls=")</f>
        <v>#REF!</v>
      </c>
      <c r="CO266" t="e">
        <f>AND(Onsite!#REF!,"AAAAAHO3Hlw=")</f>
        <v>#REF!</v>
      </c>
      <c r="CP266" t="e">
        <f>AND(Onsite!#REF!,"AAAAAHO3Hl0=")</f>
        <v>#REF!</v>
      </c>
      <c r="CQ266" t="e">
        <f>AND(Onsite!#REF!,"AAAAAHO3Hl4=")</f>
        <v>#REF!</v>
      </c>
      <c r="CR266" t="e">
        <f>AND(Onsite!#REF!,"AAAAAHO3Hl8=")</f>
        <v>#REF!</v>
      </c>
      <c r="CS266" t="e">
        <f>AND(Onsite!#REF!,"AAAAAHO3HmA=")</f>
        <v>#REF!</v>
      </c>
      <c r="CT266" t="e">
        <f>AND(Onsite!#REF!,"AAAAAHO3HmE=")</f>
        <v>#REF!</v>
      </c>
      <c r="CU266" t="e">
        <f>IF(Onsite!#REF!,"AAAAAHO3HmI=",0)</f>
        <v>#REF!</v>
      </c>
      <c r="CV266" t="e">
        <f>AND(Onsite!#REF!,"AAAAAHO3HmM=")</f>
        <v>#REF!</v>
      </c>
      <c r="CW266" t="e">
        <f>AND(Onsite!#REF!,"AAAAAHO3HmQ=")</f>
        <v>#REF!</v>
      </c>
      <c r="CX266" t="e">
        <f>AND(Onsite!#REF!,"AAAAAHO3HmU=")</f>
        <v>#REF!</v>
      </c>
      <c r="CY266" t="e">
        <f>AND(Onsite!#REF!,"AAAAAHO3HmY=")</f>
        <v>#REF!</v>
      </c>
      <c r="CZ266" t="e">
        <f>AND(Onsite!#REF!,"AAAAAHO3Hmc=")</f>
        <v>#REF!</v>
      </c>
      <c r="DA266" t="e">
        <f>AND(Onsite!#REF!,"AAAAAHO3Hmg=")</f>
        <v>#REF!</v>
      </c>
      <c r="DB266" t="e">
        <f>AND(Onsite!#REF!,"AAAAAHO3Hmk=")</f>
        <v>#REF!</v>
      </c>
      <c r="DC266" t="e">
        <f>AND(Onsite!#REF!,"AAAAAHO3Hmo=")</f>
        <v>#REF!</v>
      </c>
      <c r="DD266" t="e">
        <f>AND(Onsite!#REF!,"AAAAAHO3Hms=")</f>
        <v>#REF!</v>
      </c>
      <c r="DE266" t="e">
        <f>AND(Onsite!#REF!,"AAAAAHO3Hmw=")</f>
        <v>#REF!</v>
      </c>
      <c r="DF266" t="e">
        <f>AND(Onsite!#REF!,"AAAAAHO3Hm0=")</f>
        <v>#REF!</v>
      </c>
      <c r="DG266" t="e">
        <f>AND(Onsite!#REF!,"AAAAAHO3Hm4=")</f>
        <v>#REF!</v>
      </c>
      <c r="DH266" t="e">
        <f>AND(Onsite!#REF!,"AAAAAHO3Hm8=")</f>
        <v>#REF!</v>
      </c>
      <c r="DI266" t="e">
        <f>IF(Onsite!#REF!,"AAAAAHO3HnA=",0)</f>
        <v>#REF!</v>
      </c>
      <c r="DJ266" t="e">
        <f>AND(Onsite!#REF!,"AAAAAHO3HnE=")</f>
        <v>#REF!</v>
      </c>
      <c r="DK266" t="e">
        <f>AND(Onsite!#REF!,"AAAAAHO3HnI=")</f>
        <v>#REF!</v>
      </c>
      <c r="DL266" t="e">
        <f>AND(Onsite!#REF!,"AAAAAHO3HnM=")</f>
        <v>#REF!</v>
      </c>
      <c r="DM266" t="e">
        <f>AND(Onsite!#REF!,"AAAAAHO3HnQ=")</f>
        <v>#REF!</v>
      </c>
      <c r="DN266" t="e">
        <f>AND(Onsite!#REF!,"AAAAAHO3HnU=")</f>
        <v>#REF!</v>
      </c>
      <c r="DO266" t="e">
        <f>AND(Onsite!#REF!,"AAAAAHO3HnY=")</f>
        <v>#REF!</v>
      </c>
      <c r="DP266" t="e">
        <f>AND(Onsite!#REF!,"AAAAAHO3Hnc=")</f>
        <v>#REF!</v>
      </c>
      <c r="DQ266" t="e">
        <f>AND(Onsite!#REF!,"AAAAAHO3Hng=")</f>
        <v>#REF!</v>
      </c>
      <c r="DR266" t="e">
        <f>AND(Onsite!#REF!,"AAAAAHO3Hnk=")</f>
        <v>#REF!</v>
      </c>
      <c r="DS266" t="e">
        <f>AND(Onsite!#REF!,"AAAAAHO3Hno=")</f>
        <v>#REF!</v>
      </c>
      <c r="DT266" t="e">
        <f>AND(Onsite!#REF!,"AAAAAHO3Hns=")</f>
        <v>#REF!</v>
      </c>
      <c r="DU266" t="e">
        <f>AND(Onsite!#REF!,"AAAAAHO3Hnw=")</f>
        <v>#REF!</v>
      </c>
      <c r="DV266" t="e">
        <f>AND(Onsite!#REF!,"AAAAAHO3Hn0=")</f>
        <v>#REF!</v>
      </c>
      <c r="DW266" t="e">
        <f>IF(Onsite!#REF!,"AAAAAHO3Hn4=",0)</f>
        <v>#REF!</v>
      </c>
      <c r="DX266" t="e">
        <f>AND(Onsite!#REF!,"AAAAAHO3Hn8=")</f>
        <v>#REF!</v>
      </c>
      <c r="DY266" t="e">
        <f>AND(Onsite!#REF!,"AAAAAHO3HoA=")</f>
        <v>#REF!</v>
      </c>
      <c r="DZ266" t="e">
        <f>AND(Onsite!#REF!,"AAAAAHO3HoE=")</f>
        <v>#REF!</v>
      </c>
      <c r="EA266" t="e">
        <f>AND(Onsite!#REF!,"AAAAAHO3HoI=")</f>
        <v>#REF!</v>
      </c>
      <c r="EB266" t="e">
        <f>AND(Onsite!#REF!,"AAAAAHO3HoM=")</f>
        <v>#REF!</v>
      </c>
      <c r="EC266" t="e">
        <f>AND(Onsite!#REF!,"AAAAAHO3HoQ=")</f>
        <v>#REF!</v>
      </c>
      <c r="ED266" t="e">
        <f>AND(Onsite!#REF!,"AAAAAHO3HoU=")</f>
        <v>#REF!</v>
      </c>
      <c r="EE266" t="e">
        <f>AND(Onsite!#REF!,"AAAAAHO3HoY=")</f>
        <v>#REF!</v>
      </c>
      <c r="EF266" t="e">
        <f>AND(Onsite!#REF!,"AAAAAHO3Hoc=")</f>
        <v>#REF!</v>
      </c>
      <c r="EG266" t="e">
        <f>AND(Onsite!#REF!,"AAAAAHO3Hog=")</f>
        <v>#REF!</v>
      </c>
      <c r="EH266" t="e">
        <f>AND(Onsite!#REF!,"AAAAAHO3Hok=")</f>
        <v>#REF!</v>
      </c>
      <c r="EI266" t="e">
        <f>AND(Onsite!#REF!,"AAAAAHO3Hoo=")</f>
        <v>#REF!</v>
      </c>
      <c r="EJ266" t="e">
        <f>AND(Onsite!#REF!,"AAAAAHO3Hos=")</f>
        <v>#REF!</v>
      </c>
      <c r="EK266" t="e">
        <f>IF(Onsite!#REF!,"AAAAAHO3How=",0)</f>
        <v>#REF!</v>
      </c>
      <c r="EL266" t="e">
        <f>AND(Onsite!#REF!,"AAAAAHO3Ho0=")</f>
        <v>#REF!</v>
      </c>
      <c r="EM266" t="e">
        <f>AND(Onsite!#REF!,"AAAAAHO3Ho4=")</f>
        <v>#REF!</v>
      </c>
      <c r="EN266" t="e">
        <f>AND(Onsite!#REF!,"AAAAAHO3Ho8=")</f>
        <v>#REF!</v>
      </c>
      <c r="EO266" t="e">
        <f>AND(Onsite!#REF!,"AAAAAHO3HpA=")</f>
        <v>#REF!</v>
      </c>
      <c r="EP266" t="e">
        <f>AND(Onsite!#REF!,"AAAAAHO3HpE=")</f>
        <v>#REF!</v>
      </c>
      <c r="EQ266" t="e">
        <f>AND(Onsite!#REF!,"AAAAAHO3HpI=")</f>
        <v>#REF!</v>
      </c>
      <c r="ER266" t="e">
        <f>AND(Onsite!#REF!,"AAAAAHO3HpM=")</f>
        <v>#REF!</v>
      </c>
      <c r="ES266" t="e">
        <f>AND(Onsite!#REF!,"AAAAAHO3HpQ=")</f>
        <v>#REF!</v>
      </c>
      <c r="ET266" t="e">
        <f>AND(Onsite!#REF!,"AAAAAHO3HpU=")</f>
        <v>#REF!</v>
      </c>
      <c r="EU266" t="e">
        <f>AND(Onsite!#REF!,"AAAAAHO3HpY=")</f>
        <v>#REF!</v>
      </c>
      <c r="EV266" t="e">
        <f>AND(Onsite!#REF!,"AAAAAHO3Hpc=")</f>
        <v>#REF!</v>
      </c>
      <c r="EW266" t="e">
        <f>AND(Onsite!#REF!,"AAAAAHO3Hpg=")</f>
        <v>#REF!</v>
      </c>
      <c r="EX266" t="e">
        <f>AND(Onsite!#REF!,"AAAAAHO3Hpk=")</f>
        <v>#REF!</v>
      </c>
      <c r="EY266" t="e">
        <f>IF(Onsite!#REF!,"AAAAAHO3Hpo=",0)</f>
        <v>#REF!</v>
      </c>
      <c r="EZ266" t="e">
        <f>AND(Onsite!#REF!,"AAAAAHO3Hps=")</f>
        <v>#REF!</v>
      </c>
      <c r="FA266" t="e">
        <f>AND(Onsite!#REF!,"AAAAAHO3Hpw=")</f>
        <v>#REF!</v>
      </c>
      <c r="FB266" t="e">
        <f>AND(Onsite!#REF!,"AAAAAHO3Hp0=")</f>
        <v>#REF!</v>
      </c>
      <c r="FC266" t="e">
        <f>AND(Onsite!#REF!,"AAAAAHO3Hp4=")</f>
        <v>#REF!</v>
      </c>
      <c r="FD266" t="e">
        <f>AND(Onsite!#REF!,"AAAAAHO3Hp8=")</f>
        <v>#REF!</v>
      </c>
      <c r="FE266" t="e">
        <f>AND(Onsite!#REF!,"AAAAAHO3HqA=")</f>
        <v>#REF!</v>
      </c>
      <c r="FF266" t="e">
        <f>AND(Onsite!#REF!,"AAAAAHO3HqE=")</f>
        <v>#REF!</v>
      </c>
      <c r="FG266" t="e">
        <f>AND(Onsite!#REF!,"AAAAAHO3HqI=")</f>
        <v>#REF!</v>
      </c>
      <c r="FH266" t="e">
        <f>AND(Onsite!#REF!,"AAAAAHO3HqM=")</f>
        <v>#REF!</v>
      </c>
      <c r="FI266" t="e">
        <f>AND(Onsite!#REF!,"AAAAAHO3HqQ=")</f>
        <v>#REF!</v>
      </c>
      <c r="FJ266" t="e">
        <f>AND(Onsite!#REF!,"AAAAAHO3HqU=")</f>
        <v>#REF!</v>
      </c>
      <c r="FK266" t="e">
        <f>AND(Onsite!#REF!,"AAAAAHO3HqY=")</f>
        <v>#REF!</v>
      </c>
      <c r="FL266" t="e">
        <f>AND(Onsite!#REF!,"AAAAAHO3Hqc=")</f>
        <v>#REF!</v>
      </c>
      <c r="FM266" t="e">
        <f>IF(Onsite!#REF!,"AAAAAHO3Hqg=",0)</f>
        <v>#REF!</v>
      </c>
      <c r="FN266" t="e">
        <f>AND(Onsite!#REF!,"AAAAAHO3Hqk=")</f>
        <v>#REF!</v>
      </c>
      <c r="FO266" t="e">
        <f>AND(Onsite!#REF!,"AAAAAHO3Hqo=")</f>
        <v>#REF!</v>
      </c>
      <c r="FP266" t="e">
        <f>AND(Onsite!#REF!,"AAAAAHO3Hqs=")</f>
        <v>#REF!</v>
      </c>
      <c r="FQ266" t="e">
        <f>AND(Onsite!#REF!,"AAAAAHO3Hqw=")</f>
        <v>#REF!</v>
      </c>
      <c r="FR266" t="e">
        <f>AND(Onsite!#REF!,"AAAAAHO3Hq0=")</f>
        <v>#REF!</v>
      </c>
      <c r="FS266" t="e">
        <f>AND(Onsite!#REF!,"AAAAAHO3Hq4=")</f>
        <v>#REF!</v>
      </c>
      <c r="FT266" t="e">
        <f>AND(Onsite!#REF!,"AAAAAHO3Hq8=")</f>
        <v>#REF!</v>
      </c>
      <c r="FU266" t="e">
        <f>AND(Onsite!#REF!,"AAAAAHO3HrA=")</f>
        <v>#REF!</v>
      </c>
      <c r="FV266" t="e">
        <f>AND(Onsite!#REF!,"AAAAAHO3HrE=")</f>
        <v>#REF!</v>
      </c>
      <c r="FW266" t="e">
        <f>AND(Onsite!#REF!,"AAAAAHO3HrI=")</f>
        <v>#REF!</v>
      </c>
      <c r="FX266" t="e">
        <f>AND(Onsite!#REF!,"AAAAAHO3HrM=")</f>
        <v>#REF!</v>
      </c>
      <c r="FY266" t="e">
        <f>AND(Onsite!#REF!,"AAAAAHO3HrQ=")</f>
        <v>#REF!</v>
      </c>
      <c r="FZ266" t="e">
        <f>AND(Onsite!#REF!,"AAAAAHO3HrU=")</f>
        <v>#REF!</v>
      </c>
      <c r="GA266" t="e">
        <f>IF(Onsite!#REF!,"AAAAAHO3HrY=",0)</f>
        <v>#REF!</v>
      </c>
      <c r="GB266" t="e">
        <f>AND(Onsite!#REF!,"AAAAAHO3Hrc=")</f>
        <v>#REF!</v>
      </c>
      <c r="GC266" t="e">
        <f>AND(Onsite!#REF!,"AAAAAHO3Hrg=")</f>
        <v>#REF!</v>
      </c>
      <c r="GD266" t="e">
        <f>AND(Onsite!#REF!,"AAAAAHO3Hrk=")</f>
        <v>#REF!</v>
      </c>
      <c r="GE266" t="e">
        <f>AND(Onsite!#REF!,"AAAAAHO3Hro=")</f>
        <v>#REF!</v>
      </c>
      <c r="GF266" t="e">
        <f>AND(Onsite!#REF!,"AAAAAHO3Hrs=")</f>
        <v>#REF!</v>
      </c>
      <c r="GG266" t="e">
        <f>AND(Onsite!#REF!,"AAAAAHO3Hrw=")</f>
        <v>#REF!</v>
      </c>
      <c r="GH266" t="e">
        <f>AND(Onsite!#REF!,"AAAAAHO3Hr0=")</f>
        <v>#REF!</v>
      </c>
      <c r="GI266" t="e">
        <f>AND(Onsite!#REF!,"AAAAAHO3Hr4=")</f>
        <v>#REF!</v>
      </c>
      <c r="GJ266" t="e">
        <f>AND(Onsite!#REF!,"AAAAAHO3Hr8=")</f>
        <v>#REF!</v>
      </c>
      <c r="GK266" t="e">
        <f>AND(Onsite!#REF!,"AAAAAHO3HsA=")</f>
        <v>#REF!</v>
      </c>
      <c r="GL266" t="e">
        <f>AND(Onsite!#REF!,"AAAAAHO3HsE=")</f>
        <v>#REF!</v>
      </c>
      <c r="GM266" t="e">
        <f>AND(Onsite!#REF!,"AAAAAHO3HsI=")</f>
        <v>#REF!</v>
      </c>
      <c r="GN266" t="e">
        <f>AND(Onsite!#REF!,"AAAAAHO3HsM=")</f>
        <v>#REF!</v>
      </c>
      <c r="GO266" t="e">
        <f>IF(Onsite!#REF!,"AAAAAHO3HsQ=",0)</f>
        <v>#REF!</v>
      </c>
      <c r="GP266" t="e">
        <f>AND(Onsite!#REF!,"AAAAAHO3HsU=")</f>
        <v>#REF!</v>
      </c>
      <c r="GQ266" t="e">
        <f>AND(Onsite!#REF!,"AAAAAHO3HsY=")</f>
        <v>#REF!</v>
      </c>
      <c r="GR266" t="e">
        <f>AND(Onsite!#REF!,"AAAAAHO3Hsc=")</f>
        <v>#REF!</v>
      </c>
      <c r="GS266" t="e">
        <f>AND(Onsite!#REF!,"AAAAAHO3Hsg=")</f>
        <v>#REF!</v>
      </c>
      <c r="GT266" t="e">
        <f>AND(Onsite!#REF!,"AAAAAHO3Hsk=")</f>
        <v>#REF!</v>
      </c>
      <c r="GU266" t="e">
        <f>AND(Onsite!#REF!,"AAAAAHO3Hso=")</f>
        <v>#REF!</v>
      </c>
      <c r="GV266" t="e">
        <f>AND(Onsite!#REF!,"AAAAAHO3Hss=")</f>
        <v>#REF!</v>
      </c>
      <c r="GW266" t="e">
        <f>AND(Onsite!#REF!,"AAAAAHO3Hsw=")</f>
        <v>#REF!</v>
      </c>
      <c r="GX266" t="e">
        <f>AND(Onsite!#REF!,"AAAAAHO3Hs0=")</f>
        <v>#REF!</v>
      </c>
      <c r="GY266" t="e">
        <f>AND(Onsite!#REF!,"AAAAAHO3Hs4=")</f>
        <v>#REF!</v>
      </c>
      <c r="GZ266" t="e">
        <f>AND(Onsite!#REF!,"AAAAAHO3Hs8=")</f>
        <v>#REF!</v>
      </c>
      <c r="HA266" t="e">
        <f>AND(Onsite!#REF!,"AAAAAHO3HtA=")</f>
        <v>#REF!</v>
      </c>
      <c r="HB266" t="e">
        <f>AND(Onsite!#REF!,"AAAAAHO3HtE=")</f>
        <v>#REF!</v>
      </c>
      <c r="HC266" t="e">
        <f>IF(Onsite!#REF!,"AAAAAHO3HtI=",0)</f>
        <v>#REF!</v>
      </c>
      <c r="HD266" t="e">
        <f>AND(Onsite!#REF!,"AAAAAHO3HtM=")</f>
        <v>#REF!</v>
      </c>
      <c r="HE266" t="e">
        <f>AND(Onsite!#REF!,"AAAAAHO3HtQ=")</f>
        <v>#REF!</v>
      </c>
      <c r="HF266" t="e">
        <f>AND(Onsite!#REF!,"AAAAAHO3HtU=")</f>
        <v>#REF!</v>
      </c>
      <c r="HG266" t="e">
        <f>AND(Onsite!#REF!,"AAAAAHO3HtY=")</f>
        <v>#REF!</v>
      </c>
      <c r="HH266" t="e">
        <f>AND(Onsite!#REF!,"AAAAAHO3Htc=")</f>
        <v>#REF!</v>
      </c>
      <c r="HI266" t="e">
        <f>AND(Onsite!#REF!,"AAAAAHO3Htg=")</f>
        <v>#REF!</v>
      </c>
      <c r="HJ266" t="e">
        <f>AND(Onsite!#REF!,"AAAAAHO3Htk=")</f>
        <v>#REF!</v>
      </c>
      <c r="HK266" t="e">
        <f>AND(Onsite!#REF!,"AAAAAHO3Hto=")</f>
        <v>#REF!</v>
      </c>
      <c r="HL266" t="e">
        <f>AND(Onsite!#REF!,"AAAAAHO3Hts=")</f>
        <v>#REF!</v>
      </c>
      <c r="HM266" t="e">
        <f>AND(Onsite!#REF!,"AAAAAHO3Htw=")</f>
        <v>#REF!</v>
      </c>
      <c r="HN266" t="e">
        <f>AND(Onsite!#REF!,"AAAAAHO3Ht0=")</f>
        <v>#REF!</v>
      </c>
      <c r="HO266" t="e">
        <f>AND(Onsite!#REF!,"AAAAAHO3Ht4=")</f>
        <v>#REF!</v>
      </c>
      <c r="HP266" t="e">
        <f>AND(Onsite!#REF!,"AAAAAHO3Ht8=")</f>
        <v>#REF!</v>
      </c>
      <c r="HQ266" t="e">
        <f>IF(Onsite!#REF!,"AAAAAHO3HuA=",0)</f>
        <v>#REF!</v>
      </c>
      <c r="HR266" t="e">
        <f>AND(Onsite!#REF!,"AAAAAHO3HuE=")</f>
        <v>#REF!</v>
      </c>
      <c r="HS266" t="e">
        <f>AND(Onsite!#REF!,"AAAAAHO3HuI=")</f>
        <v>#REF!</v>
      </c>
      <c r="HT266" t="e">
        <f>AND(Onsite!#REF!,"AAAAAHO3HuM=")</f>
        <v>#REF!</v>
      </c>
      <c r="HU266" t="e">
        <f>AND(Onsite!#REF!,"AAAAAHO3HuQ=")</f>
        <v>#REF!</v>
      </c>
      <c r="HV266" t="e">
        <f>AND(Onsite!#REF!,"AAAAAHO3HuU=")</f>
        <v>#REF!</v>
      </c>
      <c r="HW266" t="e">
        <f>AND(Onsite!#REF!,"AAAAAHO3HuY=")</f>
        <v>#REF!</v>
      </c>
      <c r="HX266" t="e">
        <f>AND(Onsite!#REF!,"AAAAAHO3Huc=")</f>
        <v>#REF!</v>
      </c>
      <c r="HY266" t="e">
        <f>AND(Onsite!#REF!,"AAAAAHO3Hug=")</f>
        <v>#REF!</v>
      </c>
      <c r="HZ266" t="e">
        <f>AND(Onsite!#REF!,"AAAAAHO3Huk=")</f>
        <v>#REF!</v>
      </c>
      <c r="IA266" t="e">
        <f>AND(Onsite!#REF!,"AAAAAHO3Huo=")</f>
        <v>#REF!</v>
      </c>
      <c r="IB266" t="e">
        <f>AND(Onsite!#REF!,"AAAAAHO3Hus=")</f>
        <v>#REF!</v>
      </c>
      <c r="IC266" t="e">
        <f>AND(Onsite!#REF!,"AAAAAHO3Huw=")</f>
        <v>#REF!</v>
      </c>
      <c r="ID266" t="e">
        <f>AND(Onsite!#REF!,"AAAAAHO3Hu0=")</f>
        <v>#REF!</v>
      </c>
      <c r="IE266" t="e">
        <f>IF(Onsite!#REF!,"AAAAAHO3Hu4=",0)</f>
        <v>#REF!</v>
      </c>
      <c r="IF266" t="e">
        <f>AND(Onsite!#REF!,"AAAAAHO3Hu8=")</f>
        <v>#REF!</v>
      </c>
      <c r="IG266" t="e">
        <f>AND(Onsite!#REF!,"AAAAAHO3HvA=")</f>
        <v>#REF!</v>
      </c>
      <c r="IH266" t="e">
        <f>AND(Onsite!#REF!,"AAAAAHO3HvE=")</f>
        <v>#REF!</v>
      </c>
      <c r="II266" t="e">
        <f>AND(Onsite!#REF!,"AAAAAHO3HvI=")</f>
        <v>#REF!</v>
      </c>
      <c r="IJ266" t="e">
        <f>AND(Onsite!#REF!,"AAAAAHO3HvM=")</f>
        <v>#REF!</v>
      </c>
      <c r="IK266" t="e">
        <f>AND(Onsite!#REF!,"AAAAAHO3HvQ=")</f>
        <v>#REF!</v>
      </c>
      <c r="IL266" t="e">
        <f>AND(Onsite!#REF!,"AAAAAHO3HvU=")</f>
        <v>#REF!</v>
      </c>
      <c r="IM266" t="e">
        <f>AND(Onsite!#REF!,"AAAAAHO3HvY=")</f>
        <v>#REF!</v>
      </c>
      <c r="IN266" t="e">
        <f>AND(Onsite!#REF!,"AAAAAHO3Hvc=")</f>
        <v>#REF!</v>
      </c>
      <c r="IO266" t="e">
        <f>AND(Onsite!#REF!,"AAAAAHO3Hvg=")</f>
        <v>#REF!</v>
      </c>
      <c r="IP266" t="e">
        <f>AND(Onsite!#REF!,"AAAAAHO3Hvk=")</f>
        <v>#REF!</v>
      </c>
      <c r="IQ266" t="e">
        <f>AND(Onsite!#REF!,"AAAAAHO3Hvo=")</f>
        <v>#REF!</v>
      </c>
      <c r="IR266" t="e">
        <f>AND(Onsite!#REF!,"AAAAAHO3Hvs=")</f>
        <v>#REF!</v>
      </c>
      <c r="IS266" t="e">
        <f>IF(Onsite!#REF!,"AAAAAHO3Hvw=",0)</f>
        <v>#REF!</v>
      </c>
      <c r="IT266" t="e">
        <f>AND(Onsite!#REF!,"AAAAAHO3Hv0=")</f>
        <v>#REF!</v>
      </c>
      <c r="IU266" t="e">
        <f>AND(Onsite!#REF!,"AAAAAHO3Hv4=")</f>
        <v>#REF!</v>
      </c>
      <c r="IV266" t="e">
        <f>AND(Onsite!#REF!,"AAAAAHO3Hv8=")</f>
        <v>#REF!</v>
      </c>
    </row>
    <row r="267" spans="1:256" x14ac:dyDescent="0.2">
      <c r="A267" t="e">
        <f>AND(Onsite!#REF!,"AAAAAD6f7QA=")</f>
        <v>#REF!</v>
      </c>
      <c r="B267" t="e">
        <f>AND(Onsite!#REF!,"AAAAAD6f7QE=")</f>
        <v>#REF!</v>
      </c>
      <c r="C267" t="e">
        <f>AND(Onsite!#REF!,"AAAAAD6f7QI=")</f>
        <v>#REF!</v>
      </c>
      <c r="D267" t="e">
        <f>AND(Onsite!#REF!,"AAAAAD6f7QM=")</f>
        <v>#REF!</v>
      </c>
      <c r="E267" t="e">
        <f>AND(Onsite!#REF!,"AAAAAD6f7QQ=")</f>
        <v>#REF!</v>
      </c>
      <c r="F267" t="e">
        <f>AND(Onsite!#REF!,"AAAAAD6f7QU=")</f>
        <v>#REF!</v>
      </c>
      <c r="G267" t="e">
        <f>AND(Onsite!#REF!,"AAAAAD6f7QY=")</f>
        <v>#REF!</v>
      </c>
      <c r="H267" t="e">
        <f>AND(Onsite!#REF!,"AAAAAD6f7Qc=")</f>
        <v>#REF!</v>
      </c>
      <c r="I267" t="e">
        <f>AND(Onsite!#REF!,"AAAAAD6f7Qg=")</f>
        <v>#REF!</v>
      </c>
      <c r="J267" t="e">
        <f>AND(Onsite!#REF!,"AAAAAD6f7Qk=")</f>
        <v>#REF!</v>
      </c>
      <c r="K267" t="e">
        <f>IF(Onsite!#REF!,"AAAAAD6f7Qo=",0)</f>
        <v>#REF!</v>
      </c>
      <c r="L267" t="e">
        <f>AND(Onsite!#REF!,"AAAAAD6f7Qs=")</f>
        <v>#REF!</v>
      </c>
      <c r="M267" t="e">
        <f>AND(Onsite!#REF!,"AAAAAD6f7Qw=")</f>
        <v>#REF!</v>
      </c>
      <c r="N267" t="e">
        <f>AND(Onsite!#REF!,"AAAAAD6f7Q0=")</f>
        <v>#REF!</v>
      </c>
      <c r="O267" t="e">
        <f>AND(Onsite!#REF!,"AAAAAD6f7Q4=")</f>
        <v>#REF!</v>
      </c>
      <c r="P267" t="e">
        <f>AND(Onsite!#REF!,"AAAAAD6f7Q8=")</f>
        <v>#REF!</v>
      </c>
      <c r="Q267" t="e">
        <f>AND(Onsite!#REF!,"AAAAAD6f7RA=")</f>
        <v>#REF!</v>
      </c>
      <c r="R267" t="e">
        <f>AND(Onsite!#REF!,"AAAAAD6f7RE=")</f>
        <v>#REF!</v>
      </c>
      <c r="S267" t="e">
        <f>AND(Onsite!#REF!,"AAAAAD6f7RI=")</f>
        <v>#REF!</v>
      </c>
      <c r="T267" t="e">
        <f>AND(Onsite!#REF!,"AAAAAD6f7RM=")</f>
        <v>#REF!</v>
      </c>
      <c r="U267" t="e">
        <f>AND(Onsite!#REF!,"AAAAAD6f7RQ=")</f>
        <v>#REF!</v>
      </c>
      <c r="V267" t="e">
        <f>AND(Onsite!#REF!,"AAAAAD6f7RU=")</f>
        <v>#REF!</v>
      </c>
      <c r="W267" t="e">
        <f>AND(Onsite!#REF!,"AAAAAD6f7RY=")</f>
        <v>#REF!</v>
      </c>
      <c r="X267" t="e">
        <f>AND(Onsite!#REF!,"AAAAAD6f7Rc=")</f>
        <v>#REF!</v>
      </c>
      <c r="Y267" t="e">
        <f>IF(Onsite!#REF!,"AAAAAD6f7Rg=",0)</f>
        <v>#REF!</v>
      </c>
      <c r="Z267" t="e">
        <f>AND(Onsite!#REF!,"AAAAAD6f7Rk=")</f>
        <v>#REF!</v>
      </c>
      <c r="AA267" t="e">
        <f>AND(Onsite!#REF!,"AAAAAD6f7Ro=")</f>
        <v>#REF!</v>
      </c>
      <c r="AB267" t="e">
        <f>AND(Onsite!#REF!,"AAAAAD6f7Rs=")</f>
        <v>#REF!</v>
      </c>
      <c r="AC267" t="e">
        <f>AND(Onsite!#REF!,"AAAAAD6f7Rw=")</f>
        <v>#REF!</v>
      </c>
      <c r="AD267" t="e">
        <f>AND(Onsite!#REF!,"AAAAAD6f7R0=")</f>
        <v>#REF!</v>
      </c>
      <c r="AE267" t="e">
        <f>AND(Onsite!#REF!,"AAAAAD6f7R4=")</f>
        <v>#REF!</v>
      </c>
      <c r="AF267" t="e">
        <f>AND(Onsite!#REF!,"AAAAAD6f7R8=")</f>
        <v>#REF!</v>
      </c>
      <c r="AG267" t="e">
        <f>AND(Onsite!#REF!,"AAAAAD6f7SA=")</f>
        <v>#REF!</v>
      </c>
      <c r="AH267" t="e">
        <f>AND(Onsite!#REF!,"AAAAAD6f7SE=")</f>
        <v>#REF!</v>
      </c>
      <c r="AI267" t="e">
        <f>AND(Onsite!#REF!,"AAAAAD6f7SI=")</f>
        <v>#REF!</v>
      </c>
      <c r="AJ267" t="e">
        <f>AND(Onsite!#REF!,"AAAAAD6f7SM=")</f>
        <v>#REF!</v>
      </c>
      <c r="AK267" t="e">
        <f>AND(Onsite!#REF!,"AAAAAD6f7SQ=")</f>
        <v>#REF!</v>
      </c>
      <c r="AL267" t="e">
        <f>AND(Onsite!#REF!,"AAAAAD6f7SU=")</f>
        <v>#REF!</v>
      </c>
      <c r="AM267" t="e">
        <f>IF(Onsite!#REF!,"AAAAAD6f7SY=",0)</f>
        <v>#REF!</v>
      </c>
      <c r="AN267" t="e">
        <f>AND(Onsite!#REF!,"AAAAAD6f7Sc=")</f>
        <v>#REF!</v>
      </c>
      <c r="AO267" t="e">
        <f>AND(Onsite!#REF!,"AAAAAD6f7Sg=")</f>
        <v>#REF!</v>
      </c>
      <c r="AP267" t="e">
        <f>AND(Onsite!#REF!,"AAAAAD6f7Sk=")</f>
        <v>#REF!</v>
      </c>
      <c r="AQ267" t="e">
        <f>AND(Onsite!#REF!,"AAAAAD6f7So=")</f>
        <v>#REF!</v>
      </c>
      <c r="AR267" t="e">
        <f>AND(Onsite!#REF!,"AAAAAD6f7Ss=")</f>
        <v>#REF!</v>
      </c>
      <c r="AS267" t="e">
        <f>AND(Onsite!#REF!,"AAAAAD6f7Sw=")</f>
        <v>#REF!</v>
      </c>
      <c r="AT267" t="e">
        <f>AND(Onsite!#REF!,"AAAAAD6f7S0=")</f>
        <v>#REF!</v>
      </c>
      <c r="AU267" t="e">
        <f>AND(Onsite!#REF!,"AAAAAD6f7S4=")</f>
        <v>#REF!</v>
      </c>
      <c r="AV267" t="e">
        <f>AND(Onsite!#REF!,"AAAAAD6f7S8=")</f>
        <v>#REF!</v>
      </c>
      <c r="AW267" t="e">
        <f>AND(Onsite!#REF!,"AAAAAD6f7TA=")</f>
        <v>#REF!</v>
      </c>
      <c r="AX267" t="e">
        <f>AND(Onsite!#REF!,"AAAAAD6f7TE=")</f>
        <v>#REF!</v>
      </c>
      <c r="AY267" t="e">
        <f>AND(Onsite!#REF!,"AAAAAD6f7TI=")</f>
        <v>#REF!</v>
      </c>
      <c r="AZ267" t="e">
        <f>AND(Onsite!#REF!,"AAAAAD6f7TM=")</f>
        <v>#REF!</v>
      </c>
      <c r="BA267" t="e">
        <f>IF(Onsite!#REF!,"AAAAAD6f7TQ=",0)</f>
        <v>#REF!</v>
      </c>
      <c r="BB267" t="e">
        <f>AND(Onsite!#REF!,"AAAAAD6f7TU=")</f>
        <v>#REF!</v>
      </c>
      <c r="BC267" t="e">
        <f>AND(Onsite!#REF!,"AAAAAD6f7TY=")</f>
        <v>#REF!</v>
      </c>
      <c r="BD267" t="e">
        <f>AND(Onsite!#REF!,"AAAAAD6f7Tc=")</f>
        <v>#REF!</v>
      </c>
      <c r="BE267" t="e">
        <f>AND(Onsite!#REF!,"AAAAAD6f7Tg=")</f>
        <v>#REF!</v>
      </c>
      <c r="BF267" t="e">
        <f>AND(Onsite!#REF!,"AAAAAD6f7Tk=")</f>
        <v>#REF!</v>
      </c>
      <c r="BG267" t="e">
        <f>AND(Onsite!#REF!,"AAAAAD6f7To=")</f>
        <v>#REF!</v>
      </c>
      <c r="BH267" t="e">
        <f>AND(Onsite!#REF!,"AAAAAD6f7Ts=")</f>
        <v>#REF!</v>
      </c>
      <c r="BI267" t="e">
        <f>AND(Onsite!#REF!,"AAAAAD6f7Tw=")</f>
        <v>#REF!</v>
      </c>
      <c r="BJ267" t="e">
        <f>AND(Onsite!#REF!,"AAAAAD6f7T0=")</f>
        <v>#REF!</v>
      </c>
      <c r="BK267" t="e">
        <f>AND(Onsite!#REF!,"AAAAAD6f7T4=")</f>
        <v>#REF!</v>
      </c>
      <c r="BL267" t="e">
        <f>AND(Onsite!#REF!,"AAAAAD6f7T8=")</f>
        <v>#REF!</v>
      </c>
      <c r="BM267" t="e">
        <f>AND(Onsite!#REF!,"AAAAAD6f7UA=")</f>
        <v>#REF!</v>
      </c>
      <c r="BN267" t="e">
        <f>AND(Onsite!#REF!,"AAAAAD6f7UE=")</f>
        <v>#REF!</v>
      </c>
      <c r="BO267">
        <f>IF(Onsite!A:A,"AAAAAD6f7UI=",0)</f>
        <v>0</v>
      </c>
      <c r="BP267">
        <f>IF(Onsite!B:B,"AAAAAD6f7UM=",0)</f>
        <v>0</v>
      </c>
      <c r="BQ267">
        <f>IF(Onsite!C:C,"AAAAAD6f7UQ=",0)</f>
        <v>0</v>
      </c>
      <c r="BR267">
        <f>IF(Onsite!D:D,"AAAAAD6f7UU=",0)</f>
        <v>0</v>
      </c>
      <c r="BS267">
        <f>IF(Onsite!E:E,"AAAAAD6f7UY=",0)</f>
        <v>0</v>
      </c>
      <c r="BT267" t="e">
        <f>IF(Onsite!#REF!,"AAAAAD6f7Uc=",0)</f>
        <v>#REF!</v>
      </c>
      <c r="BU267" t="e">
        <f>IF(Onsite!#REF!,"AAAAAD6f7Ug=",0)</f>
        <v>#REF!</v>
      </c>
      <c r="BV267" t="e">
        <f>IF(Onsite!#REF!,"AAAAAD6f7Uk=",0)</f>
        <v>#REF!</v>
      </c>
      <c r="BW267" t="e">
        <f>IF(Onsite!#REF!,"AAAAAD6f7Uo=",0)</f>
        <v>#REF!</v>
      </c>
      <c r="BX267" t="e">
        <f>IF(Onsite!#REF!,"AAAAAD6f7Us=",0)</f>
        <v>#REF!</v>
      </c>
      <c r="BY267" t="e">
        <f>IF(Onsite!#REF!,"AAAAAD6f7Uw=",0)</f>
        <v>#REF!</v>
      </c>
      <c r="BZ267">
        <f>IF(Onsite!F:F,"AAAAAD6f7U0=",0)</f>
        <v>0</v>
      </c>
      <c r="CA267" t="e">
        <f>IF(Onsite!#REF!,"AAAAAD6f7U4=",0)</f>
        <v>#REF!</v>
      </c>
      <c r="CB267" t="e">
        <f>IF(#REF!,"AAAAAD6f7U8=",0)</f>
        <v>#REF!</v>
      </c>
      <c r="CC267" t="e">
        <f>AND(#REF!,"AAAAAD6f7VA=")</f>
        <v>#REF!</v>
      </c>
      <c r="CD267" t="e">
        <f>AND(#REF!,"AAAAAD6f7VE=")</f>
        <v>#REF!</v>
      </c>
      <c r="CE267" t="e">
        <f>AND(#REF!,"AAAAAD6f7VI=")</f>
        <v>#REF!</v>
      </c>
      <c r="CF267" t="e">
        <f>AND(#REF!,"AAAAAD6f7VM=")</f>
        <v>#REF!</v>
      </c>
      <c r="CG267" t="e">
        <f>AND(#REF!,"AAAAAD6f7VQ=")</f>
        <v>#REF!</v>
      </c>
      <c r="CH267" t="e">
        <f>AND(#REF!,"AAAAAD6f7VU=")</f>
        <v>#REF!</v>
      </c>
      <c r="CI267" t="e">
        <f>AND(#REF!,"AAAAAD6f7VY=")</f>
        <v>#REF!</v>
      </c>
      <c r="CJ267" t="e">
        <f>AND(#REF!,"AAAAAD6f7Vc=")</f>
        <v>#REF!</v>
      </c>
      <c r="CK267" t="e">
        <f>AND(#REF!,"AAAAAD6f7Vg=")</f>
        <v>#REF!</v>
      </c>
      <c r="CL267" t="e">
        <f>AND(#REF!,"AAAAAD6f7Vk=")</f>
        <v>#REF!</v>
      </c>
      <c r="CM267" t="e">
        <f>AND(#REF!,"AAAAAD6f7Vo=")</f>
        <v>#REF!</v>
      </c>
      <c r="CN267" t="e">
        <f>AND(#REF!,"AAAAAD6f7Vs=")</f>
        <v>#REF!</v>
      </c>
      <c r="CO267" t="e">
        <f>AND(#REF!,"AAAAAD6f7Vw=")</f>
        <v>#REF!</v>
      </c>
      <c r="CP267" t="e">
        <f>IF(#REF!,"AAAAAD6f7V0=",0)</f>
        <v>#REF!</v>
      </c>
      <c r="CQ267" t="e">
        <f>AND(#REF!,"AAAAAD6f7V4=")</f>
        <v>#REF!</v>
      </c>
      <c r="CR267" t="e">
        <f>AND(#REF!,"AAAAAD6f7V8=")</f>
        <v>#REF!</v>
      </c>
      <c r="CS267" t="e">
        <f>AND(#REF!,"AAAAAD6f7WA=")</f>
        <v>#REF!</v>
      </c>
      <c r="CT267" t="e">
        <f>AND(#REF!,"AAAAAD6f7WE=")</f>
        <v>#REF!</v>
      </c>
      <c r="CU267" t="e">
        <f>AND(#REF!,"AAAAAD6f7WI=")</f>
        <v>#REF!</v>
      </c>
      <c r="CV267" t="e">
        <f>AND(#REF!,"AAAAAD6f7WM=")</f>
        <v>#REF!</v>
      </c>
      <c r="CW267" t="e">
        <f>AND(#REF!,"AAAAAD6f7WQ=")</f>
        <v>#REF!</v>
      </c>
      <c r="CX267" t="e">
        <f>AND(#REF!,"AAAAAD6f7WU=")</f>
        <v>#REF!</v>
      </c>
      <c r="CY267" t="e">
        <f>AND(#REF!,"AAAAAD6f7WY=")</f>
        <v>#REF!</v>
      </c>
      <c r="CZ267" t="e">
        <f>AND(#REF!,"AAAAAD6f7Wc=")</f>
        <v>#REF!</v>
      </c>
      <c r="DA267" t="e">
        <f>AND(#REF!,"AAAAAD6f7Wg=")</f>
        <v>#REF!</v>
      </c>
      <c r="DB267" t="e">
        <f>AND(#REF!,"AAAAAD6f7Wk=")</f>
        <v>#REF!</v>
      </c>
      <c r="DC267" t="e">
        <f>AND(#REF!,"AAAAAD6f7Wo=")</f>
        <v>#REF!</v>
      </c>
      <c r="DD267" t="e">
        <f>IF(#REF!,"AAAAAD6f7Ws=",0)</f>
        <v>#REF!</v>
      </c>
      <c r="DE267" t="e">
        <f>AND(#REF!,"AAAAAD6f7Ww=")</f>
        <v>#REF!</v>
      </c>
      <c r="DF267" t="e">
        <f>AND(#REF!,"AAAAAD6f7W0=")</f>
        <v>#REF!</v>
      </c>
      <c r="DG267" t="e">
        <f>AND(#REF!,"AAAAAD6f7W4=")</f>
        <v>#REF!</v>
      </c>
      <c r="DH267" t="e">
        <f>AND(#REF!,"AAAAAD6f7W8=")</f>
        <v>#REF!</v>
      </c>
      <c r="DI267" t="e">
        <f>AND(#REF!,"AAAAAD6f7XA=")</f>
        <v>#REF!</v>
      </c>
      <c r="DJ267" t="e">
        <f>AND(#REF!,"AAAAAD6f7XE=")</f>
        <v>#REF!</v>
      </c>
      <c r="DK267" t="e">
        <f>AND(#REF!,"AAAAAD6f7XI=")</f>
        <v>#REF!</v>
      </c>
      <c r="DL267" t="e">
        <f>AND(#REF!,"AAAAAD6f7XM=")</f>
        <v>#REF!</v>
      </c>
      <c r="DM267" t="e">
        <f>AND(#REF!,"AAAAAD6f7XQ=")</f>
        <v>#REF!</v>
      </c>
      <c r="DN267" t="e">
        <f>AND(#REF!,"AAAAAD6f7XU=")</f>
        <v>#REF!</v>
      </c>
      <c r="DO267" t="e">
        <f>AND(#REF!,"AAAAAD6f7XY=")</f>
        <v>#REF!</v>
      </c>
      <c r="DP267" t="e">
        <f>AND(#REF!,"AAAAAD6f7Xc=")</f>
        <v>#REF!</v>
      </c>
      <c r="DQ267" t="e">
        <f>AND(#REF!,"AAAAAD6f7Xg=")</f>
        <v>#REF!</v>
      </c>
      <c r="DR267" t="e">
        <f>IF(#REF!,"AAAAAD6f7Xk=",0)</f>
        <v>#REF!</v>
      </c>
      <c r="DS267" t="e">
        <f>AND(#REF!,"AAAAAD6f7Xo=")</f>
        <v>#REF!</v>
      </c>
      <c r="DT267" t="e">
        <f>AND(#REF!,"AAAAAD6f7Xs=")</f>
        <v>#REF!</v>
      </c>
      <c r="DU267" t="e">
        <f>AND(#REF!,"AAAAAD6f7Xw=")</f>
        <v>#REF!</v>
      </c>
      <c r="DV267" t="e">
        <f>AND(#REF!,"AAAAAD6f7X0=")</f>
        <v>#REF!</v>
      </c>
      <c r="DW267" t="e">
        <f>AND(#REF!,"AAAAAD6f7X4=")</f>
        <v>#REF!</v>
      </c>
      <c r="DX267" t="e">
        <f>AND(#REF!,"AAAAAD6f7X8=")</f>
        <v>#REF!</v>
      </c>
      <c r="DY267" t="e">
        <f>AND(#REF!,"AAAAAD6f7YA=")</f>
        <v>#REF!</v>
      </c>
      <c r="DZ267" t="e">
        <f>AND(#REF!,"AAAAAD6f7YE=")</f>
        <v>#REF!</v>
      </c>
      <c r="EA267" t="e">
        <f>AND(#REF!,"AAAAAD6f7YI=")</f>
        <v>#REF!</v>
      </c>
      <c r="EB267" t="e">
        <f>AND(#REF!,"AAAAAD6f7YM=")</f>
        <v>#REF!</v>
      </c>
      <c r="EC267" t="e">
        <f>AND(#REF!,"AAAAAD6f7YQ=")</f>
        <v>#REF!</v>
      </c>
      <c r="ED267" t="e">
        <f>AND(#REF!,"AAAAAD6f7YU=")</f>
        <v>#REF!</v>
      </c>
      <c r="EE267" t="e">
        <f>AND(#REF!,"AAAAAD6f7YY=")</f>
        <v>#REF!</v>
      </c>
      <c r="EF267" t="e">
        <f>IF(#REF!,"AAAAAD6f7Yc=",0)</f>
        <v>#REF!</v>
      </c>
      <c r="EG267" t="e">
        <f>AND(#REF!,"AAAAAD6f7Yg=")</f>
        <v>#REF!</v>
      </c>
      <c r="EH267" t="e">
        <f>AND(#REF!,"AAAAAD6f7Yk=")</f>
        <v>#REF!</v>
      </c>
      <c r="EI267" t="e">
        <f>AND(#REF!,"AAAAAD6f7Yo=")</f>
        <v>#REF!</v>
      </c>
      <c r="EJ267" t="e">
        <f>AND(#REF!,"AAAAAD6f7Ys=")</f>
        <v>#REF!</v>
      </c>
      <c r="EK267" t="e">
        <f>AND(#REF!,"AAAAAD6f7Yw=")</f>
        <v>#REF!</v>
      </c>
      <c r="EL267" t="e">
        <f>AND(#REF!,"AAAAAD6f7Y0=")</f>
        <v>#REF!</v>
      </c>
      <c r="EM267" t="e">
        <f>AND(#REF!,"AAAAAD6f7Y4=")</f>
        <v>#REF!</v>
      </c>
      <c r="EN267" t="e">
        <f>AND(#REF!,"AAAAAD6f7Y8=")</f>
        <v>#REF!</v>
      </c>
      <c r="EO267" t="e">
        <f>AND(#REF!,"AAAAAD6f7ZA=")</f>
        <v>#REF!</v>
      </c>
      <c r="EP267" t="e">
        <f>AND(#REF!,"AAAAAD6f7ZE=")</f>
        <v>#REF!</v>
      </c>
      <c r="EQ267" t="e">
        <f>AND(#REF!,"AAAAAD6f7ZI=")</f>
        <v>#REF!</v>
      </c>
      <c r="ER267" t="e">
        <f>AND(#REF!,"AAAAAD6f7ZM=")</f>
        <v>#REF!</v>
      </c>
      <c r="ES267" t="e">
        <f>AND(#REF!,"AAAAAD6f7ZQ=")</f>
        <v>#REF!</v>
      </c>
      <c r="ET267" t="e">
        <f>IF(#REF!,"AAAAAD6f7ZU=",0)</f>
        <v>#REF!</v>
      </c>
      <c r="EU267" t="e">
        <f>AND(#REF!,"AAAAAD6f7ZY=")</f>
        <v>#REF!</v>
      </c>
      <c r="EV267" t="e">
        <f>AND(#REF!,"AAAAAD6f7Zc=")</f>
        <v>#REF!</v>
      </c>
      <c r="EW267" t="e">
        <f>AND(#REF!,"AAAAAD6f7Zg=")</f>
        <v>#REF!</v>
      </c>
      <c r="EX267" t="e">
        <f>AND(#REF!,"AAAAAD6f7Zk=")</f>
        <v>#REF!</v>
      </c>
      <c r="EY267" t="e">
        <f>AND(#REF!,"AAAAAD6f7Zo=")</f>
        <v>#REF!</v>
      </c>
      <c r="EZ267" t="e">
        <f>AND(#REF!,"AAAAAD6f7Zs=")</f>
        <v>#REF!</v>
      </c>
      <c r="FA267" t="e">
        <f>AND(#REF!,"AAAAAD6f7Zw=")</f>
        <v>#REF!</v>
      </c>
      <c r="FB267" t="e">
        <f>AND(#REF!,"AAAAAD6f7Z0=")</f>
        <v>#REF!</v>
      </c>
      <c r="FC267" t="e">
        <f>AND(#REF!,"AAAAAD6f7Z4=")</f>
        <v>#REF!</v>
      </c>
      <c r="FD267" t="e">
        <f>AND(#REF!,"AAAAAD6f7Z8=")</f>
        <v>#REF!</v>
      </c>
      <c r="FE267" t="e">
        <f>AND(#REF!,"AAAAAD6f7aA=")</f>
        <v>#REF!</v>
      </c>
      <c r="FF267" t="e">
        <f>AND(#REF!,"AAAAAD6f7aE=")</f>
        <v>#REF!</v>
      </c>
      <c r="FG267" t="e">
        <f>AND(#REF!,"AAAAAD6f7aI=")</f>
        <v>#REF!</v>
      </c>
      <c r="FH267" t="e">
        <f>IF(#REF!,"AAAAAD6f7aM=",0)</f>
        <v>#REF!</v>
      </c>
      <c r="FI267" t="e">
        <f>AND(#REF!,"AAAAAD6f7aQ=")</f>
        <v>#REF!</v>
      </c>
      <c r="FJ267" t="e">
        <f>AND(#REF!,"AAAAAD6f7aU=")</f>
        <v>#REF!</v>
      </c>
      <c r="FK267" t="e">
        <f>AND(#REF!,"AAAAAD6f7aY=")</f>
        <v>#REF!</v>
      </c>
      <c r="FL267" t="e">
        <f>AND(#REF!,"AAAAAD6f7ac=")</f>
        <v>#REF!</v>
      </c>
      <c r="FM267" t="e">
        <f>AND(#REF!,"AAAAAD6f7ag=")</f>
        <v>#REF!</v>
      </c>
      <c r="FN267" t="e">
        <f>AND(#REF!,"AAAAAD6f7ak=")</f>
        <v>#REF!</v>
      </c>
      <c r="FO267" t="e">
        <f>AND(#REF!,"AAAAAD6f7ao=")</f>
        <v>#REF!</v>
      </c>
      <c r="FP267" t="e">
        <f>AND(#REF!,"AAAAAD6f7as=")</f>
        <v>#REF!</v>
      </c>
      <c r="FQ267" t="e">
        <f>AND(#REF!,"AAAAAD6f7aw=")</f>
        <v>#REF!</v>
      </c>
      <c r="FR267" t="e">
        <f>AND(#REF!,"AAAAAD6f7a0=")</f>
        <v>#REF!</v>
      </c>
      <c r="FS267" t="e">
        <f>AND(#REF!,"AAAAAD6f7a4=")</f>
        <v>#REF!</v>
      </c>
      <c r="FT267" t="e">
        <f>AND(#REF!,"AAAAAD6f7a8=")</f>
        <v>#REF!</v>
      </c>
      <c r="FU267" t="e">
        <f>AND(#REF!,"AAAAAD6f7bA=")</f>
        <v>#REF!</v>
      </c>
      <c r="FV267" t="e">
        <f>IF(#REF!,"AAAAAD6f7bE=",0)</f>
        <v>#REF!</v>
      </c>
      <c r="FW267" t="e">
        <f>AND(#REF!,"AAAAAD6f7bI=")</f>
        <v>#REF!</v>
      </c>
      <c r="FX267" t="e">
        <f>AND(#REF!,"AAAAAD6f7bM=")</f>
        <v>#REF!</v>
      </c>
      <c r="FY267" t="e">
        <f>AND(#REF!,"AAAAAD6f7bQ=")</f>
        <v>#REF!</v>
      </c>
      <c r="FZ267" t="e">
        <f>AND(#REF!,"AAAAAD6f7bU=")</f>
        <v>#REF!</v>
      </c>
      <c r="GA267" t="e">
        <f>AND(#REF!,"AAAAAD6f7bY=")</f>
        <v>#REF!</v>
      </c>
      <c r="GB267" t="e">
        <f>AND(#REF!,"AAAAAD6f7bc=")</f>
        <v>#REF!</v>
      </c>
      <c r="GC267" t="e">
        <f>AND(#REF!,"AAAAAD6f7bg=")</f>
        <v>#REF!</v>
      </c>
      <c r="GD267" t="e">
        <f>AND(#REF!,"AAAAAD6f7bk=")</f>
        <v>#REF!</v>
      </c>
      <c r="GE267" t="e">
        <f>AND(#REF!,"AAAAAD6f7bo=")</f>
        <v>#REF!</v>
      </c>
      <c r="GF267" t="e">
        <f>AND(#REF!,"AAAAAD6f7bs=")</f>
        <v>#REF!</v>
      </c>
      <c r="GG267" t="e">
        <f>AND(#REF!,"AAAAAD6f7bw=")</f>
        <v>#REF!</v>
      </c>
      <c r="GH267" t="e">
        <f>AND(#REF!,"AAAAAD6f7b0=")</f>
        <v>#REF!</v>
      </c>
      <c r="GI267" t="e">
        <f>AND(#REF!,"AAAAAD6f7b4=")</f>
        <v>#REF!</v>
      </c>
      <c r="GJ267" t="e">
        <f>IF(#REF!,"AAAAAD6f7b8=",0)</f>
        <v>#REF!</v>
      </c>
      <c r="GK267" t="e">
        <f>AND(#REF!,"AAAAAD6f7cA=")</f>
        <v>#REF!</v>
      </c>
      <c r="GL267" t="e">
        <f>AND(#REF!,"AAAAAD6f7cE=")</f>
        <v>#REF!</v>
      </c>
      <c r="GM267" t="e">
        <f>AND(#REF!,"AAAAAD6f7cI=")</f>
        <v>#REF!</v>
      </c>
      <c r="GN267" t="e">
        <f>AND(#REF!,"AAAAAD6f7cM=")</f>
        <v>#REF!</v>
      </c>
      <c r="GO267" t="e">
        <f>AND(#REF!,"AAAAAD6f7cQ=")</f>
        <v>#REF!</v>
      </c>
      <c r="GP267" t="e">
        <f>AND(#REF!,"AAAAAD6f7cU=")</f>
        <v>#REF!</v>
      </c>
      <c r="GQ267" t="e">
        <f>AND(#REF!,"AAAAAD6f7cY=")</f>
        <v>#REF!</v>
      </c>
      <c r="GR267" t="e">
        <f>AND(#REF!,"AAAAAD6f7cc=")</f>
        <v>#REF!</v>
      </c>
      <c r="GS267" t="e">
        <f>AND(#REF!,"AAAAAD6f7cg=")</f>
        <v>#REF!</v>
      </c>
      <c r="GT267" t="e">
        <f>AND(#REF!,"AAAAAD6f7ck=")</f>
        <v>#REF!</v>
      </c>
      <c r="GU267" t="e">
        <f>AND(#REF!,"AAAAAD6f7co=")</f>
        <v>#REF!</v>
      </c>
      <c r="GV267" t="e">
        <f>AND(#REF!,"AAAAAD6f7cs=")</f>
        <v>#REF!</v>
      </c>
      <c r="GW267" t="e">
        <f>AND(#REF!,"AAAAAD6f7cw=")</f>
        <v>#REF!</v>
      </c>
      <c r="GX267" t="e">
        <f>IF(#REF!,"AAAAAD6f7c0=",0)</f>
        <v>#REF!</v>
      </c>
      <c r="GY267" t="e">
        <f>AND(#REF!,"AAAAAD6f7c4=")</f>
        <v>#REF!</v>
      </c>
      <c r="GZ267" t="e">
        <f>AND(#REF!,"AAAAAD6f7c8=")</f>
        <v>#REF!</v>
      </c>
      <c r="HA267" t="e">
        <f>AND(#REF!,"AAAAAD6f7dA=")</f>
        <v>#REF!</v>
      </c>
      <c r="HB267" t="e">
        <f>AND(#REF!,"AAAAAD6f7dE=")</f>
        <v>#REF!</v>
      </c>
      <c r="HC267" t="e">
        <f>AND(#REF!,"AAAAAD6f7dI=")</f>
        <v>#REF!</v>
      </c>
      <c r="HD267" t="e">
        <f>AND(#REF!,"AAAAAD6f7dM=")</f>
        <v>#REF!</v>
      </c>
      <c r="HE267" t="e">
        <f>AND(#REF!,"AAAAAD6f7dQ=")</f>
        <v>#REF!</v>
      </c>
      <c r="HF267" t="e">
        <f>AND(#REF!,"AAAAAD6f7dU=")</f>
        <v>#REF!</v>
      </c>
      <c r="HG267" t="e">
        <f>AND(#REF!,"AAAAAD6f7dY=")</f>
        <v>#REF!</v>
      </c>
      <c r="HH267" t="e">
        <f>AND(#REF!,"AAAAAD6f7dc=")</f>
        <v>#REF!</v>
      </c>
      <c r="HI267" t="e">
        <f>AND(#REF!,"AAAAAD6f7dg=")</f>
        <v>#REF!</v>
      </c>
      <c r="HJ267" t="e">
        <f>AND(#REF!,"AAAAAD6f7dk=")</f>
        <v>#REF!</v>
      </c>
      <c r="HK267" t="e">
        <f>AND(#REF!,"AAAAAD6f7do=")</f>
        <v>#REF!</v>
      </c>
      <c r="HL267" t="e">
        <f>IF(#REF!,"AAAAAD6f7ds=",0)</f>
        <v>#REF!</v>
      </c>
      <c r="HM267" t="e">
        <f>AND(#REF!,"AAAAAD6f7dw=")</f>
        <v>#REF!</v>
      </c>
      <c r="HN267" t="e">
        <f>AND(#REF!,"AAAAAD6f7d0=")</f>
        <v>#REF!</v>
      </c>
      <c r="HO267" t="e">
        <f>AND(#REF!,"AAAAAD6f7d4=")</f>
        <v>#REF!</v>
      </c>
      <c r="HP267" t="e">
        <f>AND(#REF!,"AAAAAD6f7d8=")</f>
        <v>#REF!</v>
      </c>
      <c r="HQ267" t="e">
        <f>AND(#REF!,"AAAAAD6f7eA=")</f>
        <v>#REF!</v>
      </c>
      <c r="HR267" t="e">
        <f>AND(#REF!,"AAAAAD6f7eE=")</f>
        <v>#REF!</v>
      </c>
      <c r="HS267" t="e">
        <f>AND(#REF!,"AAAAAD6f7eI=")</f>
        <v>#REF!</v>
      </c>
      <c r="HT267" t="e">
        <f>AND(#REF!,"AAAAAD6f7eM=")</f>
        <v>#REF!</v>
      </c>
      <c r="HU267" t="e">
        <f>AND(#REF!,"AAAAAD6f7eQ=")</f>
        <v>#REF!</v>
      </c>
      <c r="HV267" t="e">
        <f>AND(#REF!,"AAAAAD6f7eU=")</f>
        <v>#REF!</v>
      </c>
      <c r="HW267" t="e">
        <f>AND(#REF!,"AAAAAD6f7eY=")</f>
        <v>#REF!</v>
      </c>
      <c r="HX267" t="e">
        <f>AND(#REF!,"AAAAAD6f7ec=")</f>
        <v>#REF!</v>
      </c>
      <c r="HY267" t="e">
        <f>AND(#REF!,"AAAAAD6f7eg=")</f>
        <v>#REF!</v>
      </c>
      <c r="HZ267" t="e">
        <f>IF(#REF!,"AAAAAD6f7ek=",0)</f>
        <v>#REF!</v>
      </c>
      <c r="IA267" t="e">
        <f>AND(#REF!,"AAAAAD6f7eo=")</f>
        <v>#REF!</v>
      </c>
      <c r="IB267" t="e">
        <f>AND(#REF!,"AAAAAD6f7es=")</f>
        <v>#REF!</v>
      </c>
      <c r="IC267" t="e">
        <f>AND(#REF!,"AAAAAD6f7ew=")</f>
        <v>#REF!</v>
      </c>
      <c r="ID267" t="e">
        <f>AND(#REF!,"AAAAAD6f7e0=")</f>
        <v>#REF!</v>
      </c>
      <c r="IE267" t="e">
        <f>AND(#REF!,"AAAAAD6f7e4=")</f>
        <v>#REF!</v>
      </c>
      <c r="IF267" t="e">
        <f>AND(#REF!,"AAAAAD6f7e8=")</f>
        <v>#REF!</v>
      </c>
      <c r="IG267" t="e">
        <f>AND(#REF!,"AAAAAD6f7fA=")</f>
        <v>#REF!</v>
      </c>
      <c r="IH267" t="e">
        <f>AND(#REF!,"AAAAAD6f7fE=")</f>
        <v>#REF!</v>
      </c>
      <c r="II267" t="e">
        <f>AND(#REF!,"AAAAAD6f7fI=")</f>
        <v>#REF!</v>
      </c>
      <c r="IJ267" t="e">
        <f>AND(#REF!,"AAAAAD6f7fM=")</f>
        <v>#REF!</v>
      </c>
      <c r="IK267" t="e">
        <f>AND(#REF!,"AAAAAD6f7fQ=")</f>
        <v>#REF!</v>
      </c>
      <c r="IL267" t="e">
        <f>AND(#REF!,"AAAAAD6f7fU=")</f>
        <v>#REF!</v>
      </c>
      <c r="IM267" t="e">
        <f>AND(#REF!,"AAAAAD6f7fY=")</f>
        <v>#REF!</v>
      </c>
      <c r="IN267" t="e">
        <f>IF(#REF!,"AAAAAD6f7fc=",0)</f>
        <v>#REF!</v>
      </c>
      <c r="IO267" t="e">
        <f>AND(#REF!,"AAAAAD6f7fg=")</f>
        <v>#REF!</v>
      </c>
      <c r="IP267" t="e">
        <f>AND(#REF!,"AAAAAD6f7fk=")</f>
        <v>#REF!</v>
      </c>
      <c r="IQ267" t="e">
        <f>AND(#REF!,"AAAAAD6f7fo=")</f>
        <v>#REF!</v>
      </c>
      <c r="IR267" t="e">
        <f>AND(#REF!,"AAAAAD6f7fs=")</f>
        <v>#REF!</v>
      </c>
      <c r="IS267" t="e">
        <f>AND(#REF!,"AAAAAD6f7fw=")</f>
        <v>#REF!</v>
      </c>
      <c r="IT267" t="e">
        <f>AND(#REF!,"AAAAAD6f7f0=")</f>
        <v>#REF!</v>
      </c>
      <c r="IU267" t="e">
        <f>AND(#REF!,"AAAAAD6f7f4=")</f>
        <v>#REF!</v>
      </c>
      <c r="IV267" t="e">
        <f>AND(#REF!,"AAAAAD6f7f8=")</f>
        <v>#REF!</v>
      </c>
    </row>
    <row r="268" spans="1:256" x14ac:dyDescent="0.2">
      <c r="A268" t="e">
        <f>AND(#REF!,"AAAAAH+vvQA=")</f>
        <v>#REF!</v>
      </c>
      <c r="B268" t="e">
        <f>AND(#REF!,"AAAAAH+vvQE=")</f>
        <v>#REF!</v>
      </c>
      <c r="C268" t="e">
        <f>AND(#REF!,"AAAAAH+vvQI=")</f>
        <v>#REF!</v>
      </c>
      <c r="D268" t="e">
        <f>AND(#REF!,"AAAAAH+vvQM=")</f>
        <v>#REF!</v>
      </c>
      <c r="E268" t="e">
        <f>AND(#REF!,"AAAAAH+vvQQ=")</f>
        <v>#REF!</v>
      </c>
      <c r="F268" t="e">
        <f>IF(#REF!,"AAAAAH+vvQU=",0)</f>
        <v>#REF!</v>
      </c>
      <c r="G268" t="e">
        <f>AND(#REF!,"AAAAAH+vvQY=")</f>
        <v>#REF!</v>
      </c>
      <c r="H268" t="e">
        <f>AND(#REF!,"AAAAAH+vvQc=")</f>
        <v>#REF!</v>
      </c>
      <c r="I268" t="e">
        <f>AND(#REF!,"AAAAAH+vvQg=")</f>
        <v>#REF!</v>
      </c>
      <c r="J268" t="e">
        <f>AND(#REF!,"AAAAAH+vvQk=")</f>
        <v>#REF!</v>
      </c>
      <c r="K268" t="e">
        <f>AND(#REF!,"AAAAAH+vvQo=")</f>
        <v>#REF!</v>
      </c>
      <c r="L268" t="e">
        <f>AND(#REF!,"AAAAAH+vvQs=")</f>
        <v>#REF!</v>
      </c>
      <c r="M268" t="e">
        <f>AND(#REF!,"AAAAAH+vvQw=")</f>
        <v>#REF!</v>
      </c>
      <c r="N268" t="e">
        <f>AND(#REF!,"AAAAAH+vvQ0=")</f>
        <v>#REF!</v>
      </c>
      <c r="O268" t="e">
        <f>AND(#REF!,"AAAAAH+vvQ4=")</f>
        <v>#REF!</v>
      </c>
      <c r="P268" t="e">
        <f>AND(#REF!,"AAAAAH+vvQ8=")</f>
        <v>#REF!</v>
      </c>
      <c r="Q268" t="e">
        <f>AND(#REF!,"AAAAAH+vvRA=")</f>
        <v>#REF!</v>
      </c>
      <c r="R268" t="e">
        <f>AND(#REF!,"AAAAAH+vvRE=")</f>
        <v>#REF!</v>
      </c>
      <c r="S268" t="e">
        <f>AND(#REF!,"AAAAAH+vvRI=")</f>
        <v>#REF!</v>
      </c>
      <c r="T268" t="e">
        <f>IF(#REF!,"AAAAAH+vvRM=",0)</f>
        <v>#REF!</v>
      </c>
      <c r="U268" t="e">
        <f>AND(#REF!,"AAAAAH+vvRQ=")</f>
        <v>#REF!</v>
      </c>
      <c r="V268" t="e">
        <f>AND(#REF!,"AAAAAH+vvRU=")</f>
        <v>#REF!</v>
      </c>
      <c r="W268" t="e">
        <f>AND(#REF!,"AAAAAH+vvRY=")</f>
        <v>#REF!</v>
      </c>
      <c r="X268" t="e">
        <f>AND(#REF!,"AAAAAH+vvRc=")</f>
        <v>#REF!</v>
      </c>
      <c r="Y268" t="e">
        <f>AND(#REF!,"AAAAAH+vvRg=")</f>
        <v>#REF!</v>
      </c>
      <c r="Z268" t="e">
        <f>AND(#REF!,"AAAAAH+vvRk=")</f>
        <v>#REF!</v>
      </c>
      <c r="AA268" t="e">
        <f>AND(#REF!,"AAAAAH+vvRo=")</f>
        <v>#REF!</v>
      </c>
      <c r="AB268" t="e">
        <f>AND(#REF!,"AAAAAH+vvRs=")</f>
        <v>#REF!</v>
      </c>
      <c r="AC268" t="e">
        <f>AND(#REF!,"AAAAAH+vvRw=")</f>
        <v>#REF!</v>
      </c>
      <c r="AD268" t="e">
        <f>AND(#REF!,"AAAAAH+vvR0=")</f>
        <v>#REF!</v>
      </c>
      <c r="AE268" t="e">
        <f>AND(#REF!,"AAAAAH+vvR4=")</f>
        <v>#REF!</v>
      </c>
      <c r="AF268" t="e">
        <f>AND(#REF!,"AAAAAH+vvR8=")</f>
        <v>#REF!</v>
      </c>
      <c r="AG268" t="e">
        <f>AND(#REF!,"AAAAAH+vvSA=")</f>
        <v>#REF!</v>
      </c>
      <c r="AH268" t="e">
        <f>IF(#REF!,"AAAAAH+vvSE=",0)</f>
        <v>#REF!</v>
      </c>
      <c r="AI268" t="e">
        <f>AND(#REF!,"AAAAAH+vvSI=")</f>
        <v>#REF!</v>
      </c>
      <c r="AJ268" t="e">
        <f>AND(#REF!,"AAAAAH+vvSM=")</f>
        <v>#REF!</v>
      </c>
      <c r="AK268" t="e">
        <f>AND(#REF!,"AAAAAH+vvSQ=")</f>
        <v>#REF!</v>
      </c>
      <c r="AL268" t="e">
        <f>AND(#REF!,"AAAAAH+vvSU=")</f>
        <v>#REF!</v>
      </c>
      <c r="AM268" t="e">
        <f>AND(#REF!,"AAAAAH+vvSY=")</f>
        <v>#REF!</v>
      </c>
      <c r="AN268" t="e">
        <f>AND(#REF!,"AAAAAH+vvSc=")</f>
        <v>#REF!</v>
      </c>
      <c r="AO268" t="e">
        <f>AND(#REF!,"AAAAAH+vvSg=")</f>
        <v>#REF!</v>
      </c>
      <c r="AP268" t="e">
        <f>AND(#REF!,"AAAAAH+vvSk=")</f>
        <v>#REF!</v>
      </c>
      <c r="AQ268" t="e">
        <f>AND(#REF!,"AAAAAH+vvSo=")</f>
        <v>#REF!</v>
      </c>
      <c r="AR268" t="e">
        <f>AND(#REF!,"AAAAAH+vvSs=")</f>
        <v>#REF!</v>
      </c>
      <c r="AS268" t="e">
        <f>AND(#REF!,"AAAAAH+vvSw=")</f>
        <v>#REF!</v>
      </c>
      <c r="AT268" t="e">
        <f>AND(#REF!,"AAAAAH+vvS0=")</f>
        <v>#REF!</v>
      </c>
      <c r="AU268" t="e">
        <f>AND(#REF!,"AAAAAH+vvS4=")</f>
        <v>#REF!</v>
      </c>
      <c r="AV268" t="e">
        <f>IF(#REF!,"AAAAAH+vvS8=",0)</f>
        <v>#REF!</v>
      </c>
      <c r="AW268" t="e">
        <f>AND(#REF!,"AAAAAH+vvTA=")</f>
        <v>#REF!</v>
      </c>
      <c r="AX268" t="e">
        <f>AND(#REF!,"AAAAAH+vvTE=")</f>
        <v>#REF!</v>
      </c>
      <c r="AY268" t="e">
        <f>AND(#REF!,"AAAAAH+vvTI=")</f>
        <v>#REF!</v>
      </c>
      <c r="AZ268" t="e">
        <f>AND(#REF!,"AAAAAH+vvTM=")</f>
        <v>#REF!</v>
      </c>
      <c r="BA268" t="e">
        <f>AND(#REF!,"AAAAAH+vvTQ=")</f>
        <v>#REF!</v>
      </c>
      <c r="BB268" t="e">
        <f>AND(#REF!,"AAAAAH+vvTU=")</f>
        <v>#REF!</v>
      </c>
      <c r="BC268" t="e">
        <f>AND(#REF!,"AAAAAH+vvTY=")</f>
        <v>#REF!</v>
      </c>
      <c r="BD268" t="e">
        <f>AND(#REF!,"AAAAAH+vvTc=")</f>
        <v>#REF!</v>
      </c>
      <c r="BE268" t="e">
        <f>AND(#REF!,"AAAAAH+vvTg=")</f>
        <v>#REF!</v>
      </c>
      <c r="BF268" t="e">
        <f>AND(#REF!,"AAAAAH+vvTk=")</f>
        <v>#REF!</v>
      </c>
      <c r="BG268" t="e">
        <f>AND(#REF!,"AAAAAH+vvTo=")</f>
        <v>#REF!</v>
      </c>
      <c r="BH268" t="e">
        <f>AND(#REF!,"AAAAAH+vvTs=")</f>
        <v>#REF!</v>
      </c>
      <c r="BI268" t="e">
        <f>AND(#REF!,"AAAAAH+vvTw=")</f>
        <v>#REF!</v>
      </c>
      <c r="BJ268" t="e">
        <f>IF(#REF!,"AAAAAH+vvT0=",0)</f>
        <v>#REF!</v>
      </c>
      <c r="BK268" t="e">
        <f>AND(#REF!,"AAAAAH+vvT4=")</f>
        <v>#REF!</v>
      </c>
      <c r="BL268" t="e">
        <f>AND(#REF!,"AAAAAH+vvT8=")</f>
        <v>#REF!</v>
      </c>
      <c r="BM268" t="e">
        <f>AND(#REF!,"AAAAAH+vvUA=")</f>
        <v>#REF!</v>
      </c>
      <c r="BN268" t="e">
        <f>AND(#REF!,"AAAAAH+vvUE=")</f>
        <v>#REF!</v>
      </c>
      <c r="BO268" t="e">
        <f>AND(#REF!,"AAAAAH+vvUI=")</f>
        <v>#REF!</v>
      </c>
      <c r="BP268" t="e">
        <f>AND(#REF!,"AAAAAH+vvUM=")</f>
        <v>#REF!</v>
      </c>
      <c r="BQ268" t="e">
        <f>AND(#REF!,"AAAAAH+vvUQ=")</f>
        <v>#REF!</v>
      </c>
      <c r="BR268" t="e">
        <f>AND(#REF!,"AAAAAH+vvUU=")</f>
        <v>#REF!</v>
      </c>
      <c r="BS268" t="e">
        <f>AND(#REF!,"AAAAAH+vvUY=")</f>
        <v>#REF!</v>
      </c>
      <c r="BT268" t="e">
        <f>AND(#REF!,"AAAAAH+vvUc=")</f>
        <v>#REF!</v>
      </c>
      <c r="BU268" t="e">
        <f>AND(#REF!,"AAAAAH+vvUg=")</f>
        <v>#REF!</v>
      </c>
      <c r="BV268" t="e">
        <f>AND(#REF!,"AAAAAH+vvUk=")</f>
        <v>#REF!</v>
      </c>
      <c r="BW268" t="e">
        <f>AND(#REF!,"AAAAAH+vvUo=")</f>
        <v>#REF!</v>
      </c>
      <c r="BX268" t="e">
        <f>IF(#REF!,"AAAAAH+vvUs=",0)</f>
        <v>#REF!</v>
      </c>
      <c r="BY268" t="e">
        <f>AND(#REF!,"AAAAAH+vvUw=")</f>
        <v>#REF!</v>
      </c>
      <c r="BZ268" t="e">
        <f>AND(#REF!,"AAAAAH+vvU0=")</f>
        <v>#REF!</v>
      </c>
      <c r="CA268" t="e">
        <f>AND(#REF!,"AAAAAH+vvU4=")</f>
        <v>#REF!</v>
      </c>
      <c r="CB268" t="e">
        <f>AND(#REF!,"AAAAAH+vvU8=")</f>
        <v>#REF!</v>
      </c>
      <c r="CC268" t="e">
        <f>AND(#REF!,"AAAAAH+vvVA=")</f>
        <v>#REF!</v>
      </c>
      <c r="CD268" t="e">
        <f>AND(#REF!,"AAAAAH+vvVE=")</f>
        <v>#REF!</v>
      </c>
      <c r="CE268" t="e">
        <f>AND(#REF!,"AAAAAH+vvVI=")</f>
        <v>#REF!</v>
      </c>
      <c r="CF268" t="e">
        <f>AND(#REF!,"AAAAAH+vvVM=")</f>
        <v>#REF!</v>
      </c>
      <c r="CG268" t="e">
        <f>AND(#REF!,"AAAAAH+vvVQ=")</f>
        <v>#REF!</v>
      </c>
      <c r="CH268" t="e">
        <f>AND(#REF!,"AAAAAH+vvVU=")</f>
        <v>#REF!</v>
      </c>
      <c r="CI268" t="e">
        <f>AND(#REF!,"AAAAAH+vvVY=")</f>
        <v>#REF!</v>
      </c>
      <c r="CJ268" t="e">
        <f>AND(#REF!,"AAAAAH+vvVc=")</f>
        <v>#REF!</v>
      </c>
      <c r="CK268" t="e">
        <f>AND(#REF!,"AAAAAH+vvVg=")</f>
        <v>#REF!</v>
      </c>
      <c r="CL268" t="e">
        <f>IF(#REF!,"AAAAAH+vvVk=",0)</f>
        <v>#REF!</v>
      </c>
      <c r="CM268" t="e">
        <f>AND(#REF!,"AAAAAH+vvVo=")</f>
        <v>#REF!</v>
      </c>
      <c r="CN268" t="e">
        <f>AND(#REF!,"AAAAAH+vvVs=")</f>
        <v>#REF!</v>
      </c>
      <c r="CO268" t="e">
        <f>AND(#REF!,"AAAAAH+vvVw=")</f>
        <v>#REF!</v>
      </c>
      <c r="CP268" t="e">
        <f>AND(#REF!,"AAAAAH+vvV0=")</f>
        <v>#REF!</v>
      </c>
      <c r="CQ268" t="e">
        <f>AND(#REF!,"AAAAAH+vvV4=")</f>
        <v>#REF!</v>
      </c>
      <c r="CR268" t="e">
        <f>AND(#REF!,"AAAAAH+vvV8=")</f>
        <v>#REF!</v>
      </c>
      <c r="CS268" t="e">
        <f>AND(#REF!,"AAAAAH+vvWA=")</f>
        <v>#REF!</v>
      </c>
      <c r="CT268" t="e">
        <f>AND(#REF!,"AAAAAH+vvWE=")</f>
        <v>#REF!</v>
      </c>
      <c r="CU268" t="e">
        <f>AND(#REF!,"AAAAAH+vvWI=")</f>
        <v>#REF!</v>
      </c>
      <c r="CV268" t="e">
        <f>AND(#REF!,"AAAAAH+vvWM=")</f>
        <v>#REF!</v>
      </c>
      <c r="CW268" t="e">
        <f>AND(#REF!,"AAAAAH+vvWQ=")</f>
        <v>#REF!</v>
      </c>
      <c r="CX268" t="e">
        <f>AND(#REF!,"AAAAAH+vvWU=")</f>
        <v>#REF!</v>
      </c>
      <c r="CY268" t="e">
        <f>AND(#REF!,"AAAAAH+vvWY=")</f>
        <v>#REF!</v>
      </c>
      <c r="CZ268" t="e">
        <f>IF(#REF!,"AAAAAH+vvWc=",0)</f>
        <v>#REF!</v>
      </c>
      <c r="DA268" t="e">
        <f>AND(#REF!,"AAAAAH+vvWg=")</f>
        <v>#REF!</v>
      </c>
      <c r="DB268" t="e">
        <f>AND(#REF!,"AAAAAH+vvWk=")</f>
        <v>#REF!</v>
      </c>
      <c r="DC268" t="e">
        <f>AND(#REF!,"AAAAAH+vvWo=")</f>
        <v>#REF!</v>
      </c>
      <c r="DD268" t="e">
        <f>AND(#REF!,"AAAAAH+vvWs=")</f>
        <v>#REF!</v>
      </c>
      <c r="DE268" t="e">
        <f>AND(#REF!,"AAAAAH+vvWw=")</f>
        <v>#REF!</v>
      </c>
      <c r="DF268" t="e">
        <f>AND(#REF!,"AAAAAH+vvW0=")</f>
        <v>#REF!</v>
      </c>
      <c r="DG268" t="e">
        <f>AND(#REF!,"AAAAAH+vvW4=")</f>
        <v>#REF!</v>
      </c>
      <c r="DH268" t="e">
        <f>AND(#REF!,"AAAAAH+vvW8=")</f>
        <v>#REF!</v>
      </c>
      <c r="DI268" t="e">
        <f>AND(#REF!,"AAAAAH+vvXA=")</f>
        <v>#REF!</v>
      </c>
      <c r="DJ268" t="e">
        <f>AND(#REF!,"AAAAAH+vvXE=")</f>
        <v>#REF!</v>
      </c>
      <c r="DK268" t="e">
        <f>AND(#REF!,"AAAAAH+vvXI=")</f>
        <v>#REF!</v>
      </c>
      <c r="DL268" t="e">
        <f>AND(#REF!,"AAAAAH+vvXM=")</f>
        <v>#REF!</v>
      </c>
      <c r="DM268" t="e">
        <f>AND(#REF!,"AAAAAH+vvXQ=")</f>
        <v>#REF!</v>
      </c>
      <c r="DN268" t="e">
        <f>IF(#REF!,"AAAAAH+vvXU=",0)</f>
        <v>#REF!</v>
      </c>
      <c r="DO268" t="e">
        <f>AND(#REF!,"AAAAAH+vvXY=")</f>
        <v>#REF!</v>
      </c>
      <c r="DP268" t="e">
        <f>AND(#REF!,"AAAAAH+vvXc=")</f>
        <v>#REF!</v>
      </c>
      <c r="DQ268" t="e">
        <f>AND(#REF!,"AAAAAH+vvXg=")</f>
        <v>#REF!</v>
      </c>
      <c r="DR268" t="e">
        <f>AND(#REF!,"AAAAAH+vvXk=")</f>
        <v>#REF!</v>
      </c>
      <c r="DS268" t="e">
        <f>AND(#REF!,"AAAAAH+vvXo=")</f>
        <v>#REF!</v>
      </c>
      <c r="DT268" t="e">
        <f>AND(#REF!,"AAAAAH+vvXs=")</f>
        <v>#REF!</v>
      </c>
      <c r="DU268" t="e">
        <f>AND(#REF!,"AAAAAH+vvXw=")</f>
        <v>#REF!</v>
      </c>
      <c r="DV268" t="e">
        <f>AND(#REF!,"AAAAAH+vvX0=")</f>
        <v>#REF!</v>
      </c>
      <c r="DW268" t="e">
        <f>AND(#REF!,"AAAAAH+vvX4=")</f>
        <v>#REF!</v>
      </c>
      <c r="DX268" t="e">
        <f>AND(#REF!,"AAAAAH+vvX8=")</f>
        <v>#REF!</v>
      </c>
      <c r="DY268" t="e">
        <f>AND(#REF!,"AAAAAH+vvYA=")</f>
        <v>#REF!</v>
      </c>
      <c r="DZ268" t="e">
        <f>AND(#REF!,"AAAAAH+vvYE=")</f>
        <v>#REF!</v>
      </c>
      <c r="EA268" t="e">
        <f>AND(#REF!,"AAAAAH+vvYI=")</f>
        <v>#REF!</v>
      </c>
      <c r="EB268" t="e">
        <f>IF(#REF!,"AAAAAH+vvYM=",0)</f>
        <v>#REF!</v>
      </c>
      <c r="EC268" t="e">
        <f>AND(#REF!,"AAAAAH+vvYQ=")</f>
        <v>#REF!</v>
      </c>
      <c r="ED268" t="e">
        <f>AND(#REF!,"AAAAAH+vvYU=")</f>
        <v>#REF!</v>
      </c>
      <c r="EE268" t="e">
        <f>AND(#REF!,"AAAAAH+vvYY=")</f>
        <v>#REF!</v>
      </c>
      <c r="EF268" t="e">
        <f>AND(#REF!,"AAAAAH+vvYc=")</f>
        <v>#REF!</v>
      </c>
      <c r="EG268" t="e">
        <f>AND(#REF!,"AAAAAH+vvYg=")</f>
        <v>#REF!</v>
      </c>
      <c r="EH268" t="e">
        <f>AND(#REF!,"AAAAAH+vvYk=")</f>
        <v>#REF!</v>
      </c>
      <c r="EI268" t="e">
        <f>AND(#REF!,"AAAAAH+vvYo=")</f>
        <v>#REF!</v>
      </c>
      <c r="EJ268" t="e">
        <f>AND(#REF!,"AAAAAH+vvYs=")</f>
        <v>#REF!</v>
      </c>
      <c r="EK268" t="e">
        <f>AND(#REF!,"AAAAAH+vvYw=")</f>
        <v>#REF!</v>
      </c>
      <c r="EL268" t="e">
        <f>AND(#REF!,"AAAAAH+vvY0=")</f>
        <v>#REF!</v>
      </c>
      <c r="EM268" t="e">
        <f>AND(#REF!,"AAAAAH+vvY4=")</f>
        <v>#REF!</v>
      </c>
      <c r="EN268" t="e">
        <f>AND(#REF!,"AAAAAH+vvY8=")</f>
        <v>#REF!</v>
      </c>
      <c r="EO268" t="e">
        <f>AND(#REF!,"AAAAAH+vvZA=")</f>
        <v>#REF!</v>
      </c>
      <c r="EP268" t="e">
        <f>IF(#REF!,"AAAAAH+vvZE=",0)</f>
        <v>#REF!</v>
      </c>
      <c r="EQ268" t="e">
        <f>AND(#REF!,"AAAAAH+vvZI=")</f>
        <v>#REF!</v>
      </c>
      <c r="ER268" t="e">
        <f>AND(#REF!,"AAAAAH+vvZM=")</f>
        <v>#REF!</v>
      </c>
      <c r="ES268" t="e">
        <f>AND(#REF!,"AAAAAH+vvZQ=")</f>
        <v>#REF!</v>
      </c>
      <c r="ET268" t="e">
        <f>AND(#REF!,"AAAAAH+vvZU=")</f>
        <v>#REF!</v>
      </c>
      <c r="EU268" t="e">
        <f>AND(#REF!,"AAAAAH+vvZY=")</f>
        <v>#REF!</v>
      </c>
      <c r="EV268" t="e">
        <f>AND(#REF!,"AAAAAH+vvZc=")</f>
        <v>#REF!</v>
      </c>
      <c r="EW268" t="e">
        <f>AND(#REF!,"AAAAAH+vvZg=")</f>
        <v>#REF!</v>
      </c>
      <c r="EX268" t="e">
        <f>AND(#REF!,"AAAAAH+vvZk=")</f>
        <v>#REF!</v>
      </c>
      <c r="EY268" t="e">
        <f>AND(#REF!,"AAAAAH+vvZo=")</f>
        <v>#REF!</v>
      </c>
      <c r="EZ268" t="e">
        <f>AND(#REF!,"AAAAAH+vvZs=")</f>
        <v>#REF!</v>
      </c>
      <c r="FA268" t="e">
        <f>AND(#REF!,"AAAAAH+vvZw=")</f>
        <v>#REF!</v>
      </c>
      <c r="FB268" t="e">
        <f>AND(#REF!,"AAAAAH+vvZ0=")</f>
        <v>#REF!</v>
      </c>
      <c r="FC268" t="e">
        <f>AND(#REF!,"AAAAAH+vvZ4=")</f>
        <v>#REF!</v>
      </c>
      <c r="FD268" t="e">
        <f>IF(#REF!,"AAAAAH+vvZ8=",0)</f>
        <v>#REF!</v>
      </c>
      <c r="FE268" t="e">
        <f>AND(#REF!,"AAAAAH+vvaA=")</f>
        <v>#REF!</v>
      </c>
      <c r="FF268" t="e">
        <f>AND(#REF!,"AAAAAH+vvaE=")</f>
        <v>#REF!</v>
      </c>
      <c r="FG268" t="e">
        <f>AND(#REF!,"AAAAAH+vvaI=")</f>
        <v>#REF!</v>
      </c>
      <c r="FH268" t="e">
        <f>AND(#REF!,"AAAAAH+vvaM=")</f>
        <v>#REF!</v>
      </c>
      <c r="FI268" t="e">
        <f>AND(#REF!,"AAAAAH+vvaQ=")</f>
        <v>#REF!</v>
      </c>
      <c r="FJ268" t="e">
        <f>AND(#REF!,"AAAAAH+vvaU=")</f>
        <v>#REF!</v>
      </c>
      <c r="FK268" t="e">
        <f>AND(#REF!,"AAAAAH+vvaY=")</f>
        <v>#REF!</v>
      </c>
      <c r="FL268" t="e">
        <f>AND(#REF!,"AAAAAH+vvac=")</f>
        <v>#REF!</v>
      </c>
      <c r="FM268" t="e">
        <f>AND(#REF!,"AAAAAH+vvag=")</f>
        <v>#REF!</v>
      </c>
      <c r="FN268" t="e">
        <f>AND(#REF!,"AAAAAH+vvak=")</f>
        <v>#REF!</v>
      </c>
      <c r="FO268" t="e">
        <f>AND(#REF!,"AAAAAH+vvao=")</f>
        <v>#REF!</v>
      </c>
      <c r="FP268" t="e">
        <f>AND(#REF!,"AAAAAH+vvas=")</f>
        <v>#REF!</v>
      </c>
      <c r="FQ268" t="e">
        <f>AND(#REF!,"AAAAAH+vvaw=")</f>
        <v>#REF!</v>
      </c>
      <c r="FR268" t="e">
        <f>IF(#REF!,"AAAAAH+vva0=",0)</f>
        <v>#REF!</v>
      </c>
      <c r="FS268" t="e">
        <f>AND(#REF!,"AAAAAH+vva4=")</f>
        <v>#REF!</v>
      </c>
      <c r="FT268" t="e">
        <f>AND(#REF!,"AAAAAH+vva8=")</f>
        <v>#REF!</v>
      </c>
      <c r="FU268" t="e">
        <f>AND(#REF!,"AAAAAH+vvbA=")</f>
        <v>#REF!</v>
      </c>
      <c r="FV268" t="e">
        <f>AND(#REF!,"AAAAAH+vvbE=")</f>
        <v>#REF!</v>
      </c>
      <c r="FW268" t="e">
        <f>AND(#REF!,"AAAAAH+vvbI=")</f>
        <v>#REF!</v>
      </c>
      <c r="FX268" t="e">
        <f>AND(#REF!,"AAAAAH+vvbM=")</f>
        <v>#REF!</v>
      </c>
      <c r="FY268" t="e">
        <f>AND(#REF!,"AAAAAH+vvbQ=")</f>
        <v>#REF!</v>
      </c>
      <c r="FZ268" t="e">
        <f>AND(#REF!,"AAAAAH+vvbU=")</f>
        <v>#REF!</v>
      </c>
      <c r="GA268" t="e">
        <f>AND(#REF!,"AAAAAH+vvbY=")</f>
        <v>#REF!</v>
      </c>
      <c r="GB268" t="e">
        <f>AND(#REF!,"AAAAAH+vvbc=")</f>
        <v>#REF!</v>
      </c>
      <c r="GC268" t="e">
        <f>AND(#REF!,"AAAAAH+vvbg=")</f>
        <v>#REF!</v>
      </c>
      <c r="GD268" t="e">
        <f>AND(#REF!,"AAAAAH+vvbk=")</f>
        <v>#REF!</v>
      </c>
      <c r="GE268" t="e">
        <f>AND(#REF!,"AAAAAH+vvbo=")</f>
        <v>#REF!</v>
      </c>
      <c r="GF268" t="e">
        <f>IF(#REF!,"AAAAAH+vvbs=",0)</f>
        <v>#REF!</v>
      </c>
      <c r="GG268" t="e">
        <f>AND(#REF!,"AAAAAH+vvbw=")</f>
        <v>#REF!</v>
      </c>
      <c r="GH268" t="e">
        <f>AND(#REF!,"AAAAAH+vvb0=")</f>
        <v>#REF!</v>
      </c>
      <c r="GI268" t="e">
        <f>AND(#REF!,"AAAAAH+vvb4=")</f>
        <v>#REF!</v>
      </c>
      <c r="GJ268" t="e">
        <f>AND(#REF!,"AAAAAH+vvb8=")</f>
        <v>#REF!</v>
      </c>
      <c r="GK268" t="e">
        <f>AND(#REF!,"AAAAAH+vvcA=")</f>
        <v>#REF!</v>
      </c>
      <c r="GL268" t="e">
        <f>AND(#REF!,"AAAAAH+vvcE=")</f>
        <v>#REF!</v>
      </c>
      <c r="GM268" t="e">
        <f>AND(#REF!,"AAAAAH+vvcI=")</f>
        <v>#REF!</v>
      </c>
      <c r="GN268" t="e">
        <f>AND(#REF!,"AAAAAH+vvcM=")</f>
        <v>#REF!</v>
      </c>
      <c r="GO268" t="e">
        <f>AND(#REF!,"AAAAAH+vvcQ=")</f>
        <v>#REF!</v>
      </c>
      <c r="GP268" t="e">
        <f>AND(#REF!,"AAAAAH+vvcU=")</f>
        <v>#REF!</v>
      </c>
      <c r="GQ268" t="e">
        <f>AND(#REF!,"AAAAAH+vvcY=")</f>
        <v>#REF!</v>
      </c>
      <c r="GR268" t="e">
        <f>AND(#REF!,"AAAAAH+vvcc=")</f>
        <v>#REF!</v>
      </c>
      <c r="GS268" t="e">
        <f>AND(#REF!,"AAAAAH+vvcg=")</f>
        <v>#REF!</v>
      </c>
      <c r="GT268" t="e">
        <f>IF(#REF!,"AAAAAH+vvck=",0)</f>
        <v>#REF!</v>
      </c>
      <c r="GU268" t="e">
        <f>AND(#REF!,"AAAAAH+vvco=")</f>
        <v>#REF!</v>
      </c>
      <c r="GV268" t="e">
        <f>AND(#REF!,"AAAAAH+vvcs=")</f>
        <v>#REF!</v>
      </c>
      <c r="GW268" t="e">
        <f>AND(#REF!,"AAAAAH+vvcw=")</f>
        <v>#REF!</v>
      </c>
      <c r="GX268" t="e">
        <f>AND(#REF!,"AAAAAH+vvc0=")</f>
        <v>#REF!</v>
      </c>
      <c r="GY268" t="e">
        <f>AND(#REF!,"AAAAAH+vvc4=")</f>
        <v>#REF!</v>
      </c>
      <c r="GZ268" t="e">
        <f>AND(#REF!,"AAAAAH+vvc8=")</f>
        <v>#REF!</v>
      </c>
      <c r="HA268" t="e">
        <f>AND(#REF!,"AAAAAH+vvdA=")</f>
        <v>#REF!</v>
      </c>
      <c r="HB268" t="e">
        <f>AND(#REF!,"AAAAAH+vvdE=")</f>
        <v>#REF!</v>
      </c>
      <c r="HC268" t="e">
        <f>AND(#REF!,"AAAAAH+vvdI=")</f>
        <v>#REF!</v>
      </c>
      <c r="HD268" t="e">
        <f>AND(#REF!,"AAAAAH+vvdM=")</f>
        <v>#REF!</v>
      </c>
      <c r="HE268" t="e">
        <f>AND(#REF!,"AAAAAH+vvdQ=")</f>
        <v>#REF!</v>
      </c>
      <c r="HF268" t="e">
        <f>AND(#REF!,"AAAAAH+vvdU=")</f>
        <v>#REF!</v>
      </c>
      <c r="HG268" t="e">
        <f>AND(#REF!,"AAAAAH+vvdY=")</f>
        <v>#REF!</v>
      </c>
      <c r="HH268" t="e">
        <f>IF(#REF!,"AAAAAH+vvdc=",0)</f>
        <v>#REF!</v>
      </c>
      <c r="HI268" t="e">
        <f>AND(#REF!,"AAAAAH+vvdg=")</f>
        <v>#REF!</v>
      </c>
      <c r="HJ268" t="e">
        <f>AND(#REF!,"AAAAAH+vvdk=")</f>
        <v>#REF!</v>
      </c>
      <c r="HK268" t="e">
        <f>AND(#REF!,"AAAAAH+vvdo=")</f>
        <v>#REF!</v>
      </c>
      <c r="HL268" t="e">
        <f>AND(#REF!,"AAAAAH+vvds=")</f>
        <v>#REF!</v>
      </c>
      <c r="HM268" t="e">
        <f>AND(#REF!,"AAAAAH+vvdw=")</f>
        <v>#REF!</v>
      </c>
      <c r="HN268" t="e">
        <f>AND(#REF!,"AAAAAH+vvd0=")</f>
        <v>#REF!</v>
      </c>
      <c r="HO268" t="e">
        <f>AND(#REF!,"AAAAAH+vvd4=")</f>
        <v>#REF!</v>
      </c>
      <c r="HP268" t="e">
        <f>AND(#REF!,"AAAAAH+vvd8=")</f>
        <v>#REF!</v>
      </c>
      <c r="HQ268" t="e">
        <f>AND(#REF!,"AAAAAH+vveA=")</f>
        <v>#REF!</v>
      </c>
      <c r="HR268" t="e">
        <f>AND(#REF!,"AAAAAH+vveE=")</f>
        <v>#REF!</v>
      </c>
      <c r="HS268" t="e">
        <f>AND(#REF!,"AAAAAH+vveI=")</f>
        <v>#REF!</v>
      </c>
      <c r="HT268" t="e">
        <f>AND(#REF!,"AAAAAH+vveM=")</f>
        <v>#REF!</v>
      </c>
      <c r="HU268" t="e">
        <f>AND(#REF!,"AAAAAH+vveQ=")</f>
        <v>#REF!</v>
      </c>
      <c r="HV268" t="e">
        <f>IF(#REF!,"AAAAAH+vveU=",0)</f>
        <v>#REF!</v>
      </c>
      <c r="HW268" t="e">
        <f>AND(#REF!,"AAAAAH+vveY=")</f>
        <v>#REF!</v>
      </c>
      <c r="HX268" t="e">
        <f>AND(#REF!,"AAAAAH+vvec=")</f>
        <v>#REF!</v>
      </c>
      <c r="HY268" t="e">
        <f>AND(#REF!,"AAAAAH+vveg=")</f>
        <v>#REF!</v>
      </c>
      <c r="HZ268" t="e">
        <f>AND(#REF!,"AAAAAH+vvek=")</f>
        <v>#REF!</v>
      </c>
      <c r="IA268" t="e">
        <f>AND(#REF!,"AAAAAH+vveo=")</f>
        <v>#REF!</v>
      </c>
      <c r="IB268" t="e">
        <f>AND(#REF!,"AAAAAH+vves=")</f>
        <v>#REF!</v>
      </c>
      <c r="IC268" t="e">
        <f>AND(#REF!,"AAAAAH+vvew=")</f>
        <v>#REF!</v>
      </c>
      <c r="ID268" t="e">
        <f>AND(#REF!,"AAAAAH+vve0=")</f>
        <v>#REF!</v>
      </c>
      <c r="IE268" t="e">
        <f>AND(#REF!,"AAAAAH+vve4=")</f>
        <v>#REF!</v>
      </c>
      <c r="IF268" t="e">
        <f>AND(#REF!,"AAAAAH+vve8=")</f>
        <v>#REF!</v>
      </c>
      <c r="IG268" t="e">
        <f>AND(#REF!,"AAAAAH+vvfA=")</f>
        <v>#REF!</v>
      </c>
      <c r="IH268" t="e">
        <f>AND(#REF!,"AAAAAH+vvfE=")</f>
        <v>#REF!</v>
      </c>
      <c r="II268" t="e">
        <f>AND(#REF!,"AAAAAH+vvfI=")</f>
        <v>#REF!</v>
      </c>
      <c r="IJ268" t="e">
        <f>IF(#REF!,"AAAAAH+vvfM=",0)</f>
        <v>#REF!</v>
      </c>
      <c r="IK268" t="e">
        <f>AND(#REF!,"AAAAAH+vvfQ=")</f>
        <v>#REF!</v>
      </c>
      <c r="IL268" t="e">
        <f>AND(#REF!,"AAAAAH+vvfU=")</f>
        <v>#REF!</v>
      </c>
      <c r="IM268" t="e">
        <f>AND(#REF!,"AAAAAH+vvfY=")</f>
        <v>#REF!</v>
      </c>
      <c r="IN268" t="e">
        <f>AND(#REF!,"AAAAAH+vvfc=")</f>
        <v>#REF!</v>
      </c>
      <c r="IO268" t="e">
        <f>AND(#REF!,"AAAAAH+vvfg=")</f>
        <v>#REF!</v>
      </c>
      <c r="IP268" t="e">
        <f>AND(#REF!,"AAAAAH+vvfk=")</f>
        <v>#REF!</v>
      </c>
      <c r="IQ268" t="e">
        <f>AND(#REF!,"AAAAAH+vvfo=")</f>
        <v>#REF!</v>
      </c>
      <c r="IR268" t="e">
        <f>AND(#REF!,"AAAAAH+vvfs=")</f>
        <v>#REF!</v>
      </c>
      <c r="IS268" t="e">
        <f>AND(#REF!,"AAAAAH+vvfw=")</f>
        <v>#REF!</v>
      </c>
      <c r="IT268" t="e">
        <f>AND(#REF!,"AAAAAH+vvf0=")</f>
        <v>#REF!</v>
      </c>
      <c r="IU268" t="e">
        <f>AND(#REF!,"AAAAAH+vvf4=")</f>
        <v>#REF!</v>
      </c>
      <c r="IV268" t="e">
        <f>AND(#REF!,"AAAAAH+vvf8=")</f>
        <v>#REF!</v>
      </c>
    </row>
    <row r="269" spans="1:256" x14ac:dyDescent="0.2">
      <c r="A269" t="e">
        <f>AND(#REF!,"AAAAAD3HvwA=")</f>
        <v>#REF!</v>
      </c>
      <c r="B269" t="e">
        <f>IF(#REF!,"AAAAAD3HvwE=",0)</f>
        <v>#REF!</v>
      </c>
      <c r="C269" t="e">
        <f>AND(#REF!,"AAAAAD3HvwI=")</f>
        <v>#REF!</v>
      </c>
      <c r="D269" t="e">
        <f>AND(#REF!,"AAAAAD3HvwM=")</f>
        <v>#REF!</v>
      </c>
      <c r="E269" t="e">
        <f>AND(#REF!,"AAAAAD3HvwQ=")</f>
        <v>#REF!</v>
      </c>
      <c r="F269" t="e">
        <f>AND(#REF!,"AAAAAD3HvwU=")</f>
        <v>#REF!</v>
      </c>
      <c r="G269" t="e">
        <f>AND(#REF!,"AAAAAD3HvwY=")</f>
        <v>#REF!</v>
      </c>
      <c r="H269" t="e">
        <f>AND(#REF!,"AAAAAD3Hvwc=")</f>
        <v>#REF!</v>
      </c>
      <c r="I269" t="e">
        <f>AND(#REF!,"AAAAAD3Hvwg=")</f>
        <v>#REF!</v>
      </c>
      <c r="J269" t="e">
        <f>AND(#REF!,"AAAAAD3Hvwk=")</f>
        <v>#REF!</v>
      </c>
      <c r="K269" t="e">
        <f>AND(#REF!,"AAAAAD3Hvwo=")</f>
        <v>#REF!</v>
      </c>
      <c r="L269" t="e">
        <f>AND(#REF!,"AAAAAD3Hvws=")</f>
        <v>#REF!</v>
      </c>
      <c r="M269" t="e">
        <f>AND(#REF!,"AAAAAD3Hvww=")</f>
        <v>#REF!</v>
      </c>
      <c r="N269" t="e">
        <f>AND(#REF!,"AAAAAD3Hvw0=")</f>
        <v>#REF!</v>
      </c>
      <c r="O269" t="e">
        <f>AND(#REF!,"AAAAAD3Hvw4=")</f>
        <v>#REF!</v>
      </c>
      <c r="P269" t="e">
        <f>IF(#REF!,"AAAAAD3Hvw8=",0)</f>
        <v>#REF!</v>
      </c>
      <c r="Q269" t="e">
        <f>AND(#REF!,"AAAAAD3HvxA=")</f>
        <v>#REF!</v>
      </c>
      <c r="R269" t="e">
        <f>AND(#REF!,"AAAAAD3HvxE=")</f>
        <v>#REF!</v>
      </c>
      <c r="S269" t="e">
        <f>AND(#REF!,"AAAAAD3HvxI=")</f>
        <v>#REF!</v>
      </c>
      <c r="T269" t="e">
        <f>AND(#REF!,"AAAAAD3HvxM=")</f>
        <v>#REF!</v>
      </c>
      <c r="U269" t="e">
        <f>AND(#REF!,"AAAAAD3HvxQ=")</f>
        <v>#REF!</v>
      </c>
      <c r="V269" t="e">
        <f>AND(#REF!,"AAAAAD3HvxU=")</f>
        <v>#REF!</v>
      </c>
      <c r="W269" t="e">
        <f>AND(#REF!,"AAAAAD3HvxY=")</f>
        <v>#REF!</v>
      </c>
      <c r="X269" t="e">
        <f>AND(#REF!,"AAAAAD3Hvxc=")</f>
        <v>#REF!</v>
      </c>
      <c r="Y269" t="e">
        <f>AND(#REF!,"AAAAAD3Hvxg=")</f>
        <v>#REF!</v>
      </c>
      <c r="Z269" t="e">
        <f>AND(#REF!,"AAAAAD3Hvxk=")</f>
        <v>#REF!</v>
      </c>
      <c r="AA269" t="e">
        <f>AND(#REF!,"AAAAAD3Hvxo=")</f>
        <v>#REF!</v>
      </c>
      <c r="AB269" t="e">
        <f>AND(#REF!,"AAAAAD3Hvxs=")</f>
        <v>#REF!</v>
      </c>
      <c r="AC269" t="e">
        <f>AND(#REF!,"AAAAAD3Hvxw=")</f>
        <v>#REF!</v>
      </c>
      <c r="AD269" t="e">
        <f>IF(#REF!,"AAAAAD3Hvx0=",0)</f>
        <v>#REF!</v>
      </c>
      <c r="AE269" t="e">
        <f>AND(#REF!,"AAAAAD3Hvx4=")</f>
        <v>#REF!</v>
      </c>
      <c r="AF269" t="e">
        <f>AND(#REF!,"AAAAAD3Hvx8=")</f>
        <v>#REF!</v>
      </c>
      <c r="AG269" t="e">
        <f>AND(#REF!,"AAAAAD3HvyA=")</f>
        <v>#REF!</v>
      </c>
      <c r="AH269" t="e">
        <f>AND(#REF!,"AAAAAD3HvyE=")</f>
        <v>#REF!</v>
      </c>
      <c r="AI269" t="e">
        <f>AND(#REF!,"AAAAAD3HvyI=")</f>
        <v>#REF!</v>
      </c>
      <c r="AJ269" t="e">
        <f>AND(#REF!,"AAAAAD3HvyM=")</f>
        <v>#REF!</v>
      </c>
      <c r="AK269" t="e">
        <f>AND(#REF!,"AAAAAD3HvyQ=")</f>
        <v>#REF!</v>
      </c>
      <c r="AL269" t="e">
        <f>AND(#REF!,"AAAAAD3HvyU=")</f>
        <v>#REF!</v>
      </c>
      <c r="AM269" t="e">
        <f>AND(#REF!,"AAAAAD3HvyY=")</f>
        <v>#REF!</v>
      </c>
      <c r="AN269" t="e">
        <f>AND(#REF!,"AAAAAD3Hvyc=")</f>
        <v>#REF!</v>
      </c>
      <c r="AO269" t="e">
        <f>AND(#REF!,"AAAAAD3Hvyg=")</f>
        <v>#REF!</v>
      </c>
      <c r="AP269" t="e">
        <f>AND(#REF!,"AAAAAD3Hvyk=")</f>
        <v>#REF!</v>
      </c>
      <c r="AQ269" t="e">
        <f>AND(#REF!,"AAAAAD3Hvyo=")</f>
        <v>#REF!</v>
      </c>
      <c r="AR269" t="e">
        <f>IF(#REF!,"AAAAAD3Hvys=",0)</f>
        <v>#REF!</v>
      </c>
      <c r="AS269" t="e">
        <f>AND(#REF!,"AAAAAD3Hvyw=")</f>
        <v>#REF!</v>
      </c>
      <c r="AT269" t="e">
        <f>AND(#REF!,"AAAAAD3Hvy0=")</f>
        <v>#REF!</v>
      </c>
      <c r="AU269" t="e">
        <f>AND(#REF!,"AAAAAD3Hvy4=")</f>
        <v>#REF!</v>
      </c>
      <c r="AV269" t="e">
        <f>AND(#REF!,"AAAAAD3Hvy8=")</f>
        <v>#REF!</v>
      </c>
      <c r="AW269" t="e">
        <f>AND(#REF!,"AAAAAD3HvzA=")</f>
        <v>#REF!</v>
      </c>
      <c r="AX269" t="e">
        <f>AND(#REF!,"AAAAAD3HvzE=")</f>
        <v>#REF!</v>
      </c>
      <c r="AY269" t="e">
        <f>AND(#REF!,"AAAAAD3HvzI=")</f>
        <v>#REF!</v>
      </c>
      <c r="AZ269" t="e">
        <f>AND(#REF!,"AAAAAD3HvzM=")</f>
        <v>#REF!</v>
      </c>
      <c r="BA269" t="e">
        <f>AND(#REF!,"AAAAAD3HvzQ=")</f>
        <v>#REF!</v>
      </c>
      <c r="BB269" t="e">
        <f>AND(#REF!,"AAAAAD3HvzU=")</f>
        <v>#REF!</v>
      </c>
      <c r="BC269" t="e">
        <f>AND(#REF!,"AAAAAD3HvzY=")</f>
        <v>#REF!</v>
      </c>
      <c r="BD269" t="e">
        <f>AND(#REF!,"AAAAAD3Hvzc=")</f>
        <v>#REF!</v>
      </c>
      <c r="BE269" t="e">
        <f>AND(#REF!,"AAAAAD3Hvzg=")</f>
        <v>#REF!</v>
      </c>
      <c r="BF269" t="e">
        <f>IF(#REF!,"AAAAAD3Hvzk=",0)</f>
        <v>#REF!</v>
      </c>
      <c r="BG269" t="e">
        <f>AND(#REF!,"AAAAAD3Hvzo=")</f>
        <v>#REF!</v>
      </c>
      <c r="BH269" t="e">
        <f>AND(#REF!,"AAAAAD3Hvzs=")</f>
        <v>#REF!</v>
      </c>
      <c r="BI269" t="e">
        <f>AND(#REF!,"AAAAAD3Hvzw=")</f>
        <v>#REF!</v>
      </c>
      <c r="BJ269" t="e">
        <f>AND(#REF!,"AAAAAD3Hvz0=")</f>
        <v>#REF!</v>
      </c>
      <c r="BK269" t="e">
        <f>AND(#REF!,"AAAAAD3Hvz4=")</f>
        <v>#REF!</v>
      </c>
      <c r="BL269" t="e">
        <f>AND(#REF!,"AAAAAD3Hvz8=")</f>
        <v>#REF!</v>
      </c>
      <c r="BM269" t="e">
        <f>AND(#REF!,"AAAAAD3Hv0A=")</f>
        <v>#REF!</v>
      </c>
      <c r="BN269" t="e">
        <f>AND(#REF!,"AAAAAD3Hv0E=")</f>
        <v>#REF!</v>
      </c>
      <c r="BO269" t="e">
        <f>AND(#REF!,"AAAAAD3Hv0I=")</f>
        <v>#REF!</v>
      </c>
      <c r="BP269" t="e">
        <f>AND(#REF!,"AAAAAD3Hv0M=")</f>
        <v>#REF!</v>
      </c>
      <c r="BQ269" t="e">
        <f>AND(#REF!,"AAAAAD3Hv0Q=")</f>
        <v>#REF!</v>
      </c>
      <c r="BR269" t="e">
        <f>AND(#REF!,"AAAAAD3Hv0U=")</f>
        <v>#REF!</v>
      </c>
      <c r="BS269" t="e">
        <f>AND(#REF!,"AAAAAD3Hv0Y=")</f>
        <v>#REF!</v>
      </c>
      <c r="BT269" t="e">
        <f>IF(#REF!,"AAAAAD3Hv0c=",0)</f>
        <v>#REF!</v>
      </c>
      <c r="BU269" t="e">
        <f>AND(#REF!,"AAAAAD3Hv0g=")</f>
        <v>#REF!</v>
      </c>
      <c r="BV269" t="e">
        <f>AND(#REF!,"AAAAAD3Hv0k=")</f>
        <v>#REF!</v>
      </c>
      <c r="BW269" t="e">
        <f>AND(#REF!,"AAAAAD3Hv0o=")</f>
        <v>#REF!</v>
      </c>
      <c r="BX269" t="e">
        <f>AND(#REF!,"AAAAAD3Hv0s=")</f>
        <v>#REF!</v>
      </c>
      <c r="BY269" t="e">
        <f>AND(#REF!,"AAAAAD3Hv0w=")</f>
        <v>#REF!</v>
      </c>
      <c r="BZ269" t="e">
        <f>AND(#REF!,"AAAAAD3Hv00=")</f>
        <v>#REF!</v>
      </c>
      <c r="CA269" t="e">
        <f>AND(#REF!,"AAAAAD3Hv04=")</f>
        <v>#REF!</v>
      </c>
      <c r="CB269" t="e">
        <f>AND(#REF!,"AAAAAD3Hv08=")</f>
        <v>#REF!</v>
      </c>
      <c r="CC269" t="e">
        <f>AND(#REF!,"AAAAAD3Hv1A=")</f>
        <v>#REF!</v>
      </c>
      <c r="CD269" t="e">
        <f>AND(#REF!,"AAAAAD3Hv1E=")</f>
        <v>#REF!</v>
      </c>
      <c r="CE269" t="e">
        <f>AND(#REF!,"AAAAAD3Hv1I=")</f>
        <v>#REF!</v>
      </c>
      <c r="CF269" t="e">
        <f>AND(#REF!,"AAAAAD3Hv1M=")</f>
        <v>#REF!</v>
      </c>
      <c r="CG269" t="e">
        <f>AND(#REF!,"AAAAAD3Hv1Q=")</f>
        <v>#REF!</v>
      </c>
      <c r="CH269" t="e">
        <f>IF(#REF!,"AAAAAD3Hv1U=",0)</f>
        <v>#REF!</v>
      </c>
      <c r="CI269" t="e">
        <f>AND(#REF!,"AAAAAD3Hv1Y=")</f>
        <v>#REF!</v>
      </c>
      <c r="CJ269" t="e">
        <f>AND(#REF!,"AAAAAD3Hv1c=")</f>
        <v>#REF!</v>
      </c>
      <c r="CK269" t="e">
        <f>AND(#REF!,"AAAAAD3Hv1g=")</f>
        <v>#REF!</v>
      </c>
      <c r="CL269" t="e">
        <f>AND(#REF!,"AAAAAD3Hv1k=")</f>
        <v>#REF!</v>
      </c>
      <c r="CM269" t="e">
        <f>AND(#REF!,"AAAAAD3Hv1o=")</f>
        <v>#REF!</v>
      </c>
      <c r="CN269" t="e">
        <f>AND(#REF!,"AAAAAD3Hv1s=")</f>
        <v>#REF!</v>
      </c>
      <c r="CO269" t="e">
        <f>AND(#REF!,"AAAAAD3Hv1w=")</f>
        <v>#REF!</v>
      </c>
      <c r="CP269" t="e">
        <f>AND(#REF!,"AAAAAD3Hv10=")</f>
        <v>#REF!</v>
      </c>
      <c r="CQ269" t="e">
        <f>AND(#REF!,"AAAAAD3Hv14=")</f>
        <v>#REF!</v>
      </c>
      <c r="CR269" t="e">
        <f>AND(#REF!,"AAAAAD3Hv18=")</f>
        <v>#REF!</v>
      </c>
      <c r="CS269" t="e">
        <f>AND(#REF!,"AAAAAD3Hv2A=")</f>
        <v>#REF!</v>
      </c>
      <c r="CT269" t="e">
        <f>AND(#REF!,"AAAAAD3Hv2E=")</f>
        <v>#REF!</v>
      </c>
      <c r="CU269" t="e">
        <f>AND(#REF!,"AAAAAD3Hv2I=")</f>
        <v>#REF!</v>
      </c>
      <c r="CV269" t="e">
        <f>IF(#REF!,"AAAAAD3Hv2M=",0)</f>
        <v>#REF!</v>
      </c>
      <c r="CW269" t="e">
        <f>AND(#REF!,"AAAAAD3Hv2Q=")</f>
        <v>#REF!</v>
      </c>
      <c r="CX269" t="e">
        <f>AND(#REF!,"AAAAAD3Hv2U=")</f>
        <v>#REF!</v>
      </c>
      <c r="CY269" t="e">
        <f>AND(#REF!,"AAAAAD3Hv2Y=")</f>
        <v>#REF!</v>
      </c>
      <c r="CZ269" t="e">
        <f>AND(#REF!,"AAAAAD3Hv2c=")</f>
        <v>#REF!</v>
      </c>
      <c r="DA269" t="e">
        <f>AND(#REF!,"AAAAAD3Hv2g=")</f>
        <v>#REF!</v>
      </c>
      <c r="DB269" t="e">
        <f>AND(#REF!,"AAAAAD3Hv2k=")</f>
        <v>#REF!</v>
      </c>
      <c r="DC269" t="e">
        <f>AND(#REF!,"AAAAAD3Hv2o=")</f>
        <v>#REF!</v>
      </c>
      <c r="DD269" t="e">
        <f>AND(#REF!,"AAAAAD3Hv2s=")</f>
        <v>#REF!</v>
      </c>
      <c r="DE269" t="e">
        <f>AND(#REF!,"AAAAAD3Hv2w=")</f>
        <v>#REF!</v>
      </c>
      <c r="DF269" t="e">
        <f>AND(#REF!,"AAAAAD3Hv20=")</f>
        <v>#REF!</v>
      </c>
      <c r="DG269" t="e">
        <f>AND(#REF!,"AAAAAD3Hv24=")</f>
        <v>#REF!</v>
      </c>
      <c r="DH269" t="e">
        <f>AND(#REF!,"AAAAAD3Hv28=")</f>
        <v>#REF!</v>
      </c>
      <c r="DI269" t="e">
        <f>AND(#REF!,"AAAAAD3Hv3A=")</f>
        <v>#REF!</v>
      </c>
      <c r="DJ269" t="e">
        <f>IF(#REF!,"AAAAAD3Hv3E=",0)</f>
        <v>#REF!</v>
      </c>
      <c r="DK269" t="e">
        <f>AND(#REF!,"AAAAAD3Hv3I=")</f>
        <v>#REF!</v>
      </c>
      <c r="DL269" t="e">
        <f>AND(#REF!,"AAAAAD3Hv3M=")</f>
        <v>#REF!</v>
      </c>
      <c r="DM269" t="e">
        <f>AND(#REF!,"AAAAAD3Hv3Q=")</f>
        <v>#REF!</v>
      </c>
      <c r="DN269" t="e">
        <f>AND(#REF!,"AAAAAD3Hv3U=")</f>
        <v>#REF!</v>
      </c>
      <c r="DO269" t="e">
        <f>AND(#REF!,"AAAAAD3Hv3Y=")</f>
        <v>#REF!</v>
      </c>
      <c r="DP269" t="e">
        <f>AND(#REF!,"AAAAAD3Hv3c=")</f>
        <v>#REF!</v>
      </c>
      <c r="DQ269" t="e">
        <f>AND(#REF!,"AAAAAD3Hv3g=")</f>
        <v>#REF!</v>
      </c>
      <c r="DR269" t="e">
        <f>AND(#REF!,"AAAAAD3Hv3k=")</f>
        <v>#REF!</v>
      </c>
      <c r="DS269" t="e">
        <f>AND(#REF!,"AAAAAD3Hv3o=")</f>
        <v>#REF!</v>
      </c>
      <c r="DT269" t="e">
        <f>AND(#REF!,"AAAAAD3Hv3s=")</f>
        <v>#REF!</v>
      </c>
      <c r="DU269" t="e">
        <f>AND(#REF!,"AAAAAD3Hv3w=")</f>
        <v>#REF!</v>
      </c>
      <c r="DV269" t="e">
        <f>AND(#REF!,"AAAAAD3Hv30=")</f>
        <v>#REF!</v>
      </c>
      <c r="DW269" t="e">
        <f>AND(#REF!,"AAAAAD3Hv34=")</f>
        <v>#REF!</v>
      </c>
      <c r="DX269" t="e">
        <f>IF(#REF!,"AAAAAD3Hv38=",0)</f>
        <v>#REF!</v>
      </c>
      <c r="DY269" t="e">
        <f>AND(#REF!,"AAAAAD3Hv4A=")</f>
        <v>#REF!</v>
      </c>
      <c r="DZ269" t="e">
        <f>AND(#REF!,"AAAAAD3Hv4E=")</f>
        <v>#REF!</v>
      </c>
      <c r="EA269" t="e">
        <f>AND(#REF!,"AAAAAD3Hv4I=")</f>
        <v>#REF!</v>
      </c>
      <c r="EB269" t="e">
        <f>AND(#REF!,"AAAAAD3Hv4M=")</f>
        <v>#REF!</v>
      </c>
      <c r="EC269" t="e">
        <f>AND(#REF!,"AAAAAD3Hv4Q=")</f>
        <v>#REF!</v>
      </c>
      <c r="ED269" t="e">
        <f>AND(#REF!,"AAAAAD3Hv4U=")</f>
        <v>#REF!</v>
      </c>
      <c r="EE269" t="e">
        <f>AND(#REF!,"AAAAAD3Hv4Y=")</f>
        <v>#REF!</v>
      </c>
      <c r="EF269" t="e">
        <f>AND(#REF!,"AAAAAD3Hv4c=")</f>
        <v>#REF!</v>
      </c>
      <c r="EG269" t="e">
        <f>AND(#REF!,"AAAAAD3Hv4g=")</f>
        <v>#REF!</v>
      </c>
      <c r="EH269" t="e">
        <f>AND(#REF!,"AAAAAD3Hv4k=")</f>
        <v>#REF!</v>
      </c>
      <c r="EI269" t="e">
        <f>AND(#REF!,"AAAAAD3Hv4o=")</f>
        <v>#REF!</v>
      </c>
      <c r="EJ269" t="e">
        <f>AND(#REF!,"AAAAAD3Hv4s=")</f>
        <v>#REF!</v>
      </c>
      <c r="EK269" t="e">
        <f>AND(#REF!,"AAAAAD3Hv4w=")</f>
        <v>#REF!</v>
      </c>
      <c r="EL269" t="e">
        <f>IF(#REF!,"AAAAAD3Hv40=",0)</f>
        <v>#REF!</v>
      </c>
      <c r="EM269" t="e">
        <f>AND(#REF!,"AAAAAD3Hv44=")</f>
        <v>#REF!</v>
      </c>
      <c r="EN269" t="e">
        <f>AND(#REF!,"AAAAAD3Hv48=")</f>
        <v>#REF!</v>
      </c>
      <c r="EO269" t="e">
        <f>AND(#REF!,"AAAAAD3Hv5A=")</f>
        <v>#REF!</v>
      </c>
      <c r="EP269" t="e">
        <f>AND(#REF!,"AAAAAD3Hv5E=")</f>
        <v>#REF!</v>
      </c>
      <c r="EQ269" t="e">
        <f>AND(#REF!,"AAAAAD3Hv5I=")</f>
        <v>#REF!</v>
      </c>
      <c r="ER269" t="e">
        <f>AND(#REF!,"AAAAAD3Hv5M=")</f>
        <v>#REF!</v>
      </c>
      <c r="ES269" t="e">
        <f>AND(#REF!,"AAAAAD3Hv5Q=")</f>
        <v>#REF!</v>
      </c>
      <c r="ET269" t="e">
        <f>AND(#REF!,"AAAAAD3Hv5U=")</f>
        <v>#REF!</v>
      </c>
      <c r="EU269" t="e">
        <f>AND(#REF!,"AAAAAD3Hv5Y=")</f>
        <v>#REF!</v>
      </c>
      <c r="EV269" t="e">
        <f>AND(#REF!,"AAAAAD3Hv5c=")</f>
        <v>#REF!</v>
      </c>
      <c r="EW269" t="e">
        <f>AND(#REF!,"AAAAAD3Hv5g=")</f>
        <v>#REF!</v>
      </c>
      <c r="EX269" t="e">
        <f>AND(#REF!,"AAAAAD3Hv5k=")</f>
        <v>#REF!</v>
      </c>
      <c r="EY269" t="e">
        <f>AND(#REF!,"AAAAAD3Hv5o=")</f>
        <v>#REF!</v>
      </c>
      <c r="EZ269" t="e">
        <f>IF(#REF!,"AAAAAD3Hv5s=",0)</f>
        <v>#REF!</v>
      </c>
      <c r="FA269" t="e">
        <f>AND(#REF!,"AAAAAD3Hv5w=")</f>
        <v>#REF!</v>
      </c>
      <c r="FB269" t="e">
        <f>AND(#REF!,"AAAAAD3Hv50=")</f>
        <v>#REF!</v>
      </c>
      <c r="FC269" t="e">
        <f>AND(#REF!,"AAAAAD3Hv54=")</f>
        <v>#REF!</v>
      </c>
      <c r="FD269" t="e">
        <f>AND(#REF!,"AAAAAD3Hv58=")</f>
        <v>#REF!</v>
      </c>
      <c r="FE269" t="e">
        <f>AND(#REF!,"AAAAAD3Hv6A=")</f>
        <v>#REF!</v>
      </c>
      <c r="FF269" t="e">
        <f>AND(#REF!,"AAAAAD3Hv6E=")</f>
        <v>#REF!</v>
      </c>
      <c r="FG269" t="e">
        <f>AND(#REF!,"AAAAAD3Hv6I=")</f>
        <v>#REF!</v>
      </c>
      <c r="FH269" t="e">
        <f>AND(#REF!,"AAAAAD3Hv6M=")</f>
        <v>#REF!</v>
      </c>
      <c r="FI269" t="e">
        <f>AND(#REF!,"AAAAAD3Hv6Q=")</f>
        <v>#REF!</v>
      </c>
      <c r="FJ269" t="e">
        <f>AND(#REF!,"AAAAAD3Hv6U=")</f>
        <v>#REF!</v>
      </c>
      <c r="FK269" t="e">
        <f>AND(#REF!,"AAAAAD3Hv6Y=")</f>
        <v>#REF!</v>
      </c>
      <c r="FL269" t="e">
        <f>AND(#REF!,"AAAAAD3Hv6c=")</f>
        <v>#REF!</v>
      </c>
      <c r="FM269" t="e">
        <f>AND(#REF!,"AAAAAD3Hv6g=")</f>
        <v>#REF!</v>
      </c>
      <c r="FN269" t="e">
        <f>IF(#REF!,"AAAAAD3Hv6k=",0)</f>
        <v>#REF!</v>
      </c>
      <c r="FO269" t="e">
        <f>AND(#REF!,"AAAAAD3Hv6o=")</f>
        <v>#REF!</v>
      </c>
      <c r="FP269" t="e">
        <f>AND(#REF!,"AAAAAD3Hv6s=")</f>
        <v>#REF!</v>
      </c>
      <c r="FQ269" t="e">
        <f>AND(#REF!,"AAAAAD3Hv6w=")</f>
        <v>#REF!</v>
      </c>
      <c r="FR269" t="e">
        <f>AND(#REF!,"AAAAAD3Hv60=")</f>
        <v>#REF!</v>
      </c>
      <c r="FS269" t="e">
        <f>AND(#REF!,"AAAAAD3Hv64=")</f>
        <v>#REF!</v>
      </c>
      <c r="FT269" t="e">
        <f>AND(#REF!,"AAAAAD3Hv68=")</f>
        <v>#REF!</v>
      </c>
      <c r="FU269" t="e">
        <f>AND(#REF!,"AAAAAD3Hv7A=")</f>
        <v>#REF!</v>
      </c>
      <c r="FV269" t="e">
        <f>AND(#REF!,"AAAAAD3Hv7E=")</f>
        <v>#REF!</v>
      </c>
      <c r="FW269" t="e">
        <f>AND(#REF!,"AAAAAD3Hv7I=")</f>
        <v>#REF!</v>
      </c>
      <c r="FX269" t="e">
        <f>AND(#REF!,"AAAAAD3Hv7M=")</f>
        <v>#REF!</v>
      </c>
      <c r="FY269" t="e">
        <f>AND(#REF!,"AAAAAD3Hv7Q=")</f>
        <v>#REF!</v>
      </c>
      <c r="FZ269" t="e">
        <f>AND(#REF!,"AAAAAD3Hv7U=")</f>
        <v>#REF!</v>
      </c>
      <c r="GA269" t="e">
        <f>AND(#REF!,"AAAAAD3Hv7Y=")</f>
        <v>#REF!</v>
      </c>
      <c r="GB269" t="e">
        <f>IF(#REF!,"AAAAAD3Hv7c=",0)</f>
        <v>#REF!</v>
      </c>
      <c r="GC269" t="e">
        <f>AND(#REF!,"AAAAAD3Hv7g=")</f>
        <v>#REF!</v>
      </c>
      <c r="GD269" t="e">
        <f>AND(#REF!,"AAAAAD3Hv7k=")</f>
        <v>#REF!</v>
      </c>
      <c r="GE269" t="e">
        <f>AND(#REF!,"AAAAAD3Hv7o=")</f>
        <v>#REF!</v>
      </c>
      <c r="GF269" t="e">
        <f>AND(#REF!,"AAAAAD3Hv7s=")</f>
        <v>#REF!</v>
      </c>
      <c r="GG269" t="e">
        <f>AND(#REF!,"AAAAAD3Hv7w=")</f>
        <v>#REF!</v>
      </c>
      <c r="GH269" t="e">
        <f>AND(#REF!,"AAAAAD3Hv70=")</f>
        <v>#REF!</v>
      </c>
      <c r="GI269" t="e">
        <f>AND(#REF!,"AAAAAD3Hv74=")</f>
        <v>#REF!</v>
      </c>
      <c r="GJ269" t="e">
        <f>AND(#REF!,"AAAAAD3Hv78=")</f>
        <v>#REF!</v>
      </c>
      <c r="GK269" t="e">
        <f>AND(#REF!,"AAAAAD3Hv8A=")</f>
        <v>#REF!</v>
      </c>
      <c r="GL269" t="e">
        <f>AND(#REF!,"AAAAAD3Hv8E=")</f>
        <v>#REF!</v>
      </c>
      <c r="GM269" t="e">
        <f>AND(#REF!,"AAAAAD3Hv8I=")</f>
        <v>#REF!</v>
      </c>
      <c r="GN269" t="e">
        <f>AND(#REF!,"AAAAAD3Hv8M=")</f>
        <v>#REF!</v>
      </c>
      <c r="GO269" t="e">
        <f>AND(#REF!,"AAAAAD3Hv8Q=")</f>
        <v>#REF!</v>
      </c>
      <c r="GP269" t="e">
        <f>IF(#REF!,"AAAAAD3Hv8U=",0)</f>
        <v>#REF!</v>
      </c>
      <c r="GQ269" t="e">
        <f>AND(#REF!,"AAAAAD3Hv8Y=")</f>
        <v>#REF!</v>
      </c>
      <c r="GR269" t="e">
        <f>AND(#REF!,"AAAAAD3Hv8c=")</f>
        <v>#REF!</v>
      </c>
      <c r="GS269" t="e">
        <f>AND(#REF!,"AAAAAD3Hv8g=")</f>
        <v>#REF!</v>
      </c>
      <c r="GT269" t="e">
        <f>AND(#REF!,"AAAAAD3Hv8k=")</f>
        <v>#REF!</v>
      </c>
      <c r="GU269" t="e">
        <f>AND(#REF!,"AAAAAD3Hv8o=")</f>
        <v>#REF!</v>
      </c>
      <c r="GV269" t="e">
        <f>AND(#REF!,"AAAAAD3Hv8s=")</f>
        <v>#REF!</v>
      </c>
      <c r="GW269" t="e">
        <f>AND(#REF!,"AAAAAD3Hv8w=")</f>
        <v>#REF!</v>
      </c>
      <c r="GX269" t="e">
        <f>AND(#REF!,"AAAAAD3Hv80=")</f>
        <v>#REF!</v>
      </c>
      <c r="GY269" t="e">
        <f>AND(#REF!,"AAAAAD3Hv84=")</f>
        <v>#REF!</v>
      </c>
      <c r="GZ269" t="e">
        <f>AND(#REF!,"AAAAAD3Hv88=")</f>
        <v>#REF!</v>
      </c>
      <c r="HA269" t="e">
        <f>AND(#REF!,"AAAAAD3Hv9A=")</f>
        <v>#REF!</v>
      </c>
      <c r="HB269" t="e">
        <f>AND(#REF!,"AAAAAD3Hv9E=")</f>
        <v>#REF!</v>
      </c>
      <c r="HC269" t="e">
        <f>AND(#REF!,"AAAAAD3Hv9I=")</f>
        <v>#REF!</v>
      </c>
      <c r="HD269" t="e">
        <f>IF(#REF!,"AAAAAD3Hv9M=",0)</f>
        <v>#REF!</v>
      </c>
      <c r="HE269" t="e">
        <f>AND(#REF!,"AAAAAD3Hv9Q=")</f>
        <v>#REF!</v>
      </c>
      <c r="HF269" t="e">
        <f>AND(#REF!,"AAAAAD3Hv9U=")</f>
        <v>#REF!</v>
      </c>
      <c r="HG269" t="e">
        <f>AND(#REF!,"AAAAAD3Hv9Y=")</f>
        <v>#REF!</v>
      </c>
      <c r="HH269" t="e">
        <f>AND(#REF!,"AAAAAD3Hv9c=")</f>
        <v>#REF!</v>
      </c>
      <c r="HI269" t="e">
        <f>AND(#REF!,"AAAAAD3Hv9g=")</f>
        <v>#REF!</v>
      </c>
      <c r="HJ269" t="e">
        <f>AND(#REF!,"AAAAAD3Hv9k=")</f>
        <v>#REF!</v>
      </c>
      <c r="HK269" t="e">
        <f>AND(#REF!,"AAAAAD3Hv9o=")</f>
        <v>#REF!</v>
      </c>
      <c r="HL269" t="e">
        <f>AND(#REF!,"AAAAAD3Hv9s=")</f>
        <v>#REF!</v>
      </c>
      <c r="HM269" t="e">
        <f>AND(#REF!,"AAAAAD3Hv9w=")</f>
        <v>#REF!</v>
      </c>
      <c r="HN269" t="e">
        <f>AND(#REF!,"AAAAAD3Hv90=")</f>
        <v>#REF!</v>
      </c>
      <c r="HO269" t="e">
        <f>AND(#REF!,"AAAAAD3Hv94=")</f>
        <v>#REF!</v>
      </c>
      <c r="HP269" t="e">
        <f>AND(#REF!,"AAAAAD3Hv98=")</f>
        <v>#REF!</v>
      </c>
      <c r="HQ269" t="e">
        <f>AND(#REF!,"AAAAAD3Hv+A=")</f>
        <v>#REF!</v>
      </c>
      <c r="HR269" t="e">
        <f>IF(#REF!,"AAAAAD3Hv+E=",0)</f>
        <v>#REF!</v>
      </c>
      <c r="HS269" t="e">
        <f>AND(#REF!,"AAAAAD3Hv+I=")</f>
        <v>#REF!</v>
      </c>
      <c r="HT269" t="e">
        <f>AND(#REF!,"AAAAAD3Hv+M=")</f>
        <v>#REF!</v>
      </c>
      <c r="HU269" t="e">
        <f>AND(#REF!,"AAAAAD3Hv+Q=")</f>
        <v>#REF!</v>
      </c>
      <c r="HV269" t="e">
        <f>AND(#REF!,"AAAAAD3Hv+U=")</f>
        <v>#REF!</v>
      </c>
      <c r="HW269" t="e">
        <f>AND(#REF!,"AAAAAD3Hv+Y=")</f>
        <v>#REF!</v>
      </c>
      <c r="HX269" t="e">
        <f>AND(#REF!,"AAAAAD3Hv+c=")</f>
        <v>#REF!</v>
      </c>
      <c r="HY269" t="e">
        <f>AND(#REF!,"AAAAAD3Hv+g=")</f>
        <v>#REF!</v>
      </c>
      <c r="HZ269" t="e">
        <f>AND(#REF!,"AAAAAD3Hv+k=")</f>
        <v>#REF!</v>
      </c>
      <c r="IA269" t="e">
        <f>AND(#REF!,"AAAAAD3Hv+o=")</f>
        <v>#REF!</v>
      </c>
      <c r="IB269" t="e">
        <f>AND(#REF!,"AAAAAD3Hv+s=")</f>
        <v>#REF!</v>
      </c>
      <c r="IC269" t="e">
        <f>AND(#REF!,"AAAAAD3Hv+w=")</f>
        <v>#REF!</v>
      </c>
      <c r="ID269" t="e">
        <f>AND(#REF!,"AAAAAD3Hv+0=")</f>
        <v>#REF!</v>
      </c>
      <c r="IE269" t="e">
        <f>AND(#REF!,"AAAAAD3Hv+4=")</f>
        <v>#REF!</v>
      </c>
      <c r="IF269" t="e">
        <f>IF(#REF!,"AAAAAD3Hv+8=",0)</f>
        <v>#REF!</v>
      </c>
      <c r="IG269" t="e">
        <f>AND(#REF!,"AAAAAD3Hv/A=")</f>
        <v>#REF!</v>
      </c>
      <c r="IH269" t="e">
        <f>AND(#REF!,"AAAAAD3Hv/E=")</f>
        <v>#REF!</v>
      </c>
      <c r="II269" t="e">
        <f>AND(#REF!,"AAAAAD3Hv/I=")</f>
        <v>#REF!</v>
      </c>
      <c r="IJ269" t="e">
        <f>AND(#REF!,"AAAAAD3Hv/M=")</f>
        <v>#REF!</v>
      </c>
      <c r="IK269" t="e">
        <f>AND(#REF!,"AAAAAD3Hv/Q=")</f>
        <v>#REF!</v>
      </c>
      <c r="IL269" t="e">
        <f>AND(#REF!,"AAAAAD3Hv/U=")</f>
        <v>#REF!</v>
      </c>
      <c r="IM269" t="e">
        <f>AND(#REF!,"AAAAAD3Hv/Y=")</f>
        <v>#REF!</v>
      </c>
      <c r="IN269" t="e">
        <f>AND(#REF!,"AAAAAD3Hv/c=")</f>
        <v>#REF!</v>
      </c>
      <c r="IO269" t="e">
        <f>AND(#REF!,"AAAAAD3Hv/g=")</f>
        <v>#REF!</v>
      </c>
      <c r="IP269" t="e">
        <f>AND(#REF!,"AAAAAD3Hv/k=")</f>
        <v>#REF!</v>
      </c>
      <c r="IQ269" t="e">
        <f>AND(#REF!,"AAAAAD3Hv/o=")</f>
        <v>#REF!</v>
      </c>
      <c r="IR269" t="e">
        <f>AND(#REF!,"AAAAAD3Hv/s=")</f>
        <v>#REF!</v>
      </c>
      <c r="IS269" t="e">
        <f>AND(#REF!,"AAAAAD3Hv/w=")</f>
        <v>#REF!</v>
      </c>
      <c r="IT269" t="e">
        <f>IF(#REF!,"AAAAAD3Hv/0=",0)</f>
        <v>#REF!</v>
      </c>
      <c r="IU269" t="e">
        <f>AND(#REF!,"AAAAAD3Hv/4=")</f>
        <v>#REF!</v>
      </c>
      <c r="IV269" t="e">
        <f>AND(#REF!,"AAAAAD3Hv/8=")</f>
        <v>#REF!</v>
      </c>
    </row>
    <row r="270" spans="1:256" x14ac:dyDescent="0.2">
      <c r="A270" t="e">
        <f>AND(#REF!,"AAAAAG7/bgA=")</f>
        <v>#REF!</v>
      </c>
      <c r="B270" t="e">
        <f>AND(#REF!,"AAAAAG7/bgE=")</f>
        <v>#REF!</v>
      </c>
      <c r="C270" t="e">
        <f>AND(#REF!,"AAAAAG7/bgI=")</f>
        <v>#REF!</v>
      </c>
      <c r="D270" t="e">
        <f>AND(#REF!,"AAAAAG7/bgM=")</f>
        <v>#REF!</v>
      </c>
      <c r="E270" t="e">
        <f>AND(#REF!,"AAAAAG7/bgQ=")</f>
        <v>#REF!</v>
      </c>
      <c r="F270" t="e">
        <f>AND(#REF!,"AAAAAG7/bgU=")</f>
        <v>#REF!</v>
      </c>
      <c r="G270" t="e">
        <f>AND(#REF!,"AAAAAG7/bgY=")</f>
        <v>#REF!</v>
      </c>
      <c r="H270" t="e">
        <f>AND(#REF!,"AAAAAG7/bgc=")</f>
        <v>#REF!</v>
      </c>
      <c r="I270" t="e">
        <f>AND(#REF!,"AAAAAG7/bgg=")</f>
        <v>#REF!</v>
      </c>
      <c r="J270" t="e">
        <f>AND(#REF!,"AAAAAG7/bgk=")</f>
        <v>#REF!</v>
      </c>
      <c r="K270" t="e">
        <f>AND(#REF!,"AAAAAG7/bgo=")</f>
        <v>#REF!</v>
      </c>
      <c r="L270" t="e">
        <f>IF(#REF!,"AAAAAG7/bgs=",0)</f>
        <v>#REF!</v>
      </c>
      <c r="M270" t="e">
        <f>AND(#REF!,"AAAAAG7/bgw=")</f>
        <v>#REF!</v>
      </c>
      <c r="N270" t="e">
        <f>AND(#REF!,"AAAAAG7/bg0=")</f>
        <v>#REF!</v>
      </c>
      <c r="O270" t="e">
        <f>AND(#REF!,"AAAAAG7/bg4=")</f>
        <v>#REF!</v>
      </c>
      <c r="P270" t="e">
        <f>AND(#REF!,"AAAAAG7/bg8=")</f>
        <v>#REF!</v>
      </c>
      <c r="Q270" t="e">
        <f>AND(#REF!,"AAAAAG7/bhA=")</f>
        <v>#REF!</v>
      </c>
      <c r="R270" t="e">
        <f>AND(#REF!,"AAAAAG7/bhE=")</f>
        <v>#REF!</v>
      </c>
      <c r="S270" t="e">
        <f>AND(#REF!,"AAAAAG7/bhI=")</f>
        <v>#REF!</v>
      </c>
      <c r="T270" t="e">
        <f>AND(#REF!,"AAAAAG7/bhM=")</f>
        <v>#REF!</v>
      </c>
      <c r="U270" t="e">
        <f>AND(#REF!,"AAAAAG7/bhQ=")</f>
        <v>#REF!</v>
      </c>
      <c r="V270" t="e">
        <f>AND(#REF!,"AAAAAG7/bhU=")</f>
        <v>#REF!</v>
      </c>
      <c r="W270" t="e">
        <f>AND(#REF!,"AAAAAG7/bhY=")</f>
        <v>#REF!</v>
      </c>
      <c r="X270" t="e">
        <f>AND(#REF!,"AAAAAG7/bhc=")</f>
        <v>#REF!</v>
      </c>
      <c r="Y270" t="e">
        <f>AND(#REF!,"AAAAAG7/bhg=")</f>
        <v>#REF!</v>
      </c>
      <c r="Z270" t="e">
        <f>IF(#REF!,"AAAAAG7/bhk=",0)</f>
        <v>#REF!</v>
      </c>
      <c r="AA270" t="e">
        <f>AND(#REF!,"AAAAAG7/bho=")</f>
        <v>#REF!</v>
      </c>
      <c r="AB270" t="e">
        <f>AND(#REF!,"AAAAAG7/bhs=")</f>
        <v>#REF!</v>
      </c>
      <c r="AC270" t="e">
        <f>AND(#REF!,"AAAAAG7/bhw=")</f>
        <v>#REF!</v>
      </c>
      <c r="AD270" t="e">
        <f>AND(#REF!,"AAAAAG7/bh0=")</f>
        <v>#REF!</v>
      </c>
      <c r="AE270" t="e">
        <f>AND(#REF!,"AAAAAG7/bh4=")</f>
        <v>#REF!</v>
      </c>
      <c r="AF270" t="e">
        <f>AND(#REF!,"AAAAAG7/bh8=")</f>
        <v>#REF!</v>
      </c>
      <c r="AG270" t="e">
        <f>AND(#REF!,"AAAAAG7/biA=")</f>
        <v>#REF!</v>
      </c>
      <c r="AH270" t="e">
        <f>AND(#REF!,"AAAAAG7/biE=")</f>
        <v>#REF!</v>
      </c>
      <c r="AI270" t="e">
        <f>AND(#REF!,"AAAAAG7/biI=")</f>
        <v>#REF!</v>
      </c>
      <c r="AJ270" t="e">
        <f>AND(#REF!,"AAAAAG7/biM=")</f>
        <v>#REF!</v>
      </c>
      <c r="AK270" t="e">
        <f>AND(#REF!,"AAAAAG7/biQ=")</f>
        <v>#REF!</v>
      </c>
      <c r="AL270" t="e">
        <f>AND(#REF!,"AAAAAG7/biU=")</f>
        <v>#REF!</v>
      </c>
      <c r="AM270" t="e">
        <f>AND(#REF!,"AAAAAG7/biY=")</f>
        <v>#REF!</v>
      </c>
      <c r="AN270" t="e">
        <f>IF(#REF!,"AAAAAG7/bic=",0)</f>
        <v>#REF!</v>
      </c>
      <c r="AO270" t="e">
        <f>AND(#REF!,"AAAAAG7/big=")</f>
        <v>#REF!</v>
      </c>
      <c r="AP270" t="e">
        <f>AND(#REF!,"AAAAAG7/bik=")</f>
        <v>#REF!</v>
      </c>
      <c r="AQ270" t="e">
        <f>AND(#REF!,"AAAAAG7/bio=")</f>
        <v>#REF!</v>
      </c>
      <c r="AR270" t="e">
        <f>AND(#REF!,"AAAAAG7/bis=")</f>
        <v>#REF!</v>
      </c>
      <c r="AS270" t="e">
        <f>AND(#REF!,"AAAAAG7/biw=")</f>
        <v>#REF!</v>
      </c>
      <c r="AT270" t="e">
        <f>AND(#REF!,"AAAAAG7/bi0=")</f>
        <v>#REF!</v>
      </c>
      <c r="AU270" t="e">
        <f>AND(#REF!,"AAAAAG7/bi4=")</f>
        <v>#REF!</v>
      </c>
      <c r="AV270" t="e">
        <f>AND(#REF!,"AAAAAG7/bi8=")</f>
        <v>#REF!</v>
      </c>
      <c r="AW270" t="e">
        <f>AND(#REF!,"AAAAAG7/bjA=")</f>
        <v>#REF!</v>
      </c>
      <c r="AX270" t="e">
        <f>AND(#REF!,"AAAAAG7/bjE=")</f>
        <v>#REF!</v>
      </c>
      <c r="AY270" t="e">
        <f>AND(#REF!,"AAAAAG7/bjI=")</f>
        <v>#REF!</v>
      </c>
      <c r="AZ270" t="e">
        <f>AND(#REF!,"AAAAAG7/bjM=")</f>
        <v>#REF!</v>
      </c>
      <c r="BA270" t="e">
        <f>AND(#REF!,"AAAAAG7/bjQ=")</f>
        <v>#REF!</v>
      </c>
      <c r="BB270" t="e">
        <f>IF(#REF!,"AAAAAG7/bjU=",0)</f>
        <v>#REF!</v>
      </c>
      <c r="BC270" t="e">
        <f>AND(#REF!,"AAAAAG7/bjY=")</f>
        <v>#REF!</v>
      </c>
      <c r="BD270" t="e">
        <f>AND(#REF!,"AAAAAG7/bjc=")</f>
        <v>#REF!</v>
      </c>
      <c r="BE270" t="e">
        <f>AND(#REF!,"AAAAAG7/bjg=")</f>
        <v>#REF!</v>
      </c>
      <c r="BF270" t="e">
        <f>AND(#REF!,"AAAAAG7/bjk=")</f>
        <v>#REF!</v>
      </c>
      <c r="BG270" t="e">
        <f>AND(#REF!,"AAAAAG7/bjo=")</f>
        <v>#REF!</v>
      </c>
      <c r="BH270" t="e">
        <f>AND(#REF!,"AAAAAG7/bjs=")</f>
        <v>#REF!</v>
      </c>
      <c r="BI270" t="e">
        <f>AND(#REF!,"AAAAAG7/bjw=")</f>
        <v>#REF!</v>
      </c>
      <c r="BJ270" t="e">
        <f>AND(#REF!,"AAAAAG7/bj0=")</f>
        <v>#REF!</v>
      </c>
      <c r="BK270" t="e">
        <f>AND(#REF!,"AAAAAG7/bj4=")</f>
        <v>#REF!</v>
      </c>
      <c r="BL270" t="e">
        <f>AND(#REF!,"AAAAAG7/bj8=")</f>
        <v>#REF!</v>
      </c>
      <c r="BM270" t="e">
        <f>AND(#REF!,"AAAAAG7/bkA=")</f>
        <v>#REF!</v>
      </c>
      <c r="BN270" t="e">
        <f>AND(#REF!,"AAAAAG7/bkE=")</f>
        <v>#REF!</v>
      </c>
      <c r="BO270" t="e">
        <f>AND(#REF!,"AAAAAG7/bkI=")</f>
        <v>#REF!</v>
      </c>
      <c r="BP270" t="e">
        <f>IF(#REF!,"AAAAAG7/bkM=",0)</f>
        <v>#REF!</v>
      </c>
      <c r="BQ270" t="e">
        <f>AND(#REF!,"AAAAAG7/bkQ=")</f>
        <v>#REF!</v>
      </c>
      <c r="BR270" t="e">
        <f>AND(#REF!,"AAAAAG7/bkU=")</f>
        <v>#REF!</v>
      </c>
      <c r="BS270" t="e">
        <f>AND(#REF!,"AAAAAG7/bkY=")</f>
        <v>#REF!</v>
      </c>
      <c r="BT270" t="e">
        <f>AND(#REF!,"AAAAAG7/bkc=")</f>
        <v>#REF!</v>
      </c>
      <c r="BU270" t="e">
        <f>AND(#REF!,"AAAAAG7/bkg=")</f>
        <v>#REF!</v>
      </c>
      <c r="BV270" t="e">
        <f>AND(#REF!,"AAAAAG7/bkk=")</f>
        <v>#REF!</v>
      </c>
      <c r="BW270" t="e">
        <f>AND(#REF!,"AAAAAG7/bko=")</f>
        <v>#REF!</v>
      </c>
      <c r="BX270" t="e">
        <f>AND(#REF!,"AAAAAG7/bks=")</f>
        <v>#REF!</v>
      </c>
      <c r="BY270" t="e">
        <f>AND(#REF!,"AAAAAG7/bkw=")</f>
        <v>#REF!</v>
      </c>
      <c r="BZ270" t="e">
        <f>AND(#REF!,"AAAAAG7/bk0=")</f>
        <v>#REF!</v>
      </c>
      <c r="CA270" t="e">
        <f>AND(#REF!,"AAAAAG7/bk4=")</f>
        <v>#REF!</v>
      </c>
      <c r="CB270" t="e">
        <f>AND(#REF!,"AAAAAG7/bk8=")</f>
        <v>#REF!</v>
      </c>
      <c r="CC270" t="e">
        <f>AND(#REF!,"AAAAAG7/blA=")</f>
        <v>#REF!</v>
      </c>
      <c r="CD270" t="e">
        <f>IF(#REF!,"AAAAAG7/blE=",0)</f>
        <v>#REF!</v>
      </c>
      <c r="CE270" t="e">
        <f>AND(#REF!,"AAAAAG7/blI=")</f>
        <v>#REF!</v>
      </c>
      <c r="CF270" t="e">
        <f>AND(#REF!,"AAAAAG7/blM=")</f>
        <v>#REF!</v>
      </c>
      <c r="CG270" t="e">
        <f>AND(#REF!,"AAAAAG7/blQ=")</f>
        <v>#REF!</v>
      </c>
      <c r="CH270" t="e">
        <f>AND(#REF!,"AAAAAG7/blU=")</f>
        <v>#REF!</v>
      </c>
      <c r="CI270" t="e">
        <f>AND(#REF!,"AAAAAG7/blY=")</f>
        <v>#REF!</v>
      </c>
      <c r="CJ270" t="e">
        <f>AND(#REF!,"AAAAAG7/blc=")</f>
        <v>#REF!</v>
      </c>
      <c r="CK270" t="e">
        <f>AND(#REF!,"AAAAAG7/blg=")</f>
        <v>#REF!</v>
      </c>
      <c r="CL270" t="e">
        <f>AND(#REF!,"AAAAAG7/blk=")</f>
        <v>#REF!</v>
      </c>
      <c r="CM270" t="e">
        <f>AND(#REF!,"AAAAAG7/blo=")</f>
        <v>#REF!</v>
      </c>
      <c r="CN270" t="e">
        <f>AND(#REF!,"AAAAAG7/bls=")</f>
        <v>#REF!</v>
      </c>
      <c r="CO270" t="e">
        <f>AND(#REF!,"AAAAAG7/blw=")</f>
        <v>#REF!</v>
      </c>
      <c r="CP270" t="e">
        <f>AND(#REF!,"AAAAAG7/bl0=")</f>
        <v>#REF!</v>
      </c>
      <c r="CQ270" t="e">
        <f>AND(#REF!,"AAAAAG7/bl4=")</f>
        <v>#REF!</v>
      </c>
      <c r="CR270" t="e">
        <f>IF(#REF!,"AAAAAG7/bl8=",0)</f>
        <v>#REF!</v>
      </c>
      <c r="CS270" t="e">
        <f>AND(#REF!,"AAAAAG7/bmA=")</f>
        <v>#REF!</v>
      </c>
      <c r="CT270" t="e">
        <f>AND(#REF!,"AAAAAG7/bmE=")</f>
        <v>#REF!</v>
      </c>
      <c r="CU270" t="e">
        <f>AND(#REF!,"AAAAAG7/bmI=")</f>
        <v>#REF!</v>
      </c>
      <c r="CV270" t="e">
        <f>AND(#REF!,"AAAAAG7/bmM=")</f>
        <v>#REF!</v>
      </c>
      <c r="CW270" t="e">
        <f>AND(#REF!,"AAAAAG7/bmQ=")</f>
        <v>#REF!</v>
      </c>
      <c r="CX270" t="e">
        <f>AND(#REF!,"AAAAAG7/bmU=")</f>
        <v>#REF!</v>
      </c>
      <c r="CY270" t="e">
        <f>AND(#REF!,"AAAAAG7/bmY=")</f>
        <v>#REF!</v>
      </c>
      <c r="CZ270" t="e">
        <f>AND(#REF!,"AAAAAG7/bmc=")</f>
        <v>#REF!</v>
      </c>
      <c r="DA270" t="e">
        <f>AND(#REF!,"AAAAAG7/bmg=")</f>
        <v>#REF!</v>
      </c>
      <c r="DB270" t="e">
        <f>AND(#REF!,"AAAAAG7/bmk=")</f>
        <v>#REF!</v>
      </c>
      <c r="DC270" t="e">
        <f>AND(#REF!,"AAAAAG7/bmo=")</f>
        <v>#REF!</v>
      </c>
      <c r="DD270" t="e">
        <f>AND(#REF!,"AAAAAG7/bms=")</f>
        <v>#REF!</v>
      </c>
      <c r="DE270" t="e">
        <f>AND(#REF!,"AAAAAG7/bmw=")</f>
        <v>#REF!</v>
      </c>
      <c r="DF270" t="e">
        <f>IF(#REF!,"AAAAAG7/bm0=",0)</f>
        <v>#REF!</v>
      </c>
      <c r="DG270" t="e">
        <f>AND(#REF!,"AAAAAG7/bm4=")</f>
        <v>#REF!</v>
      </c>
      <c r="DH270" t="e">
        <f>AND(#REF!,"AAAAAG7/bm8=")</f>
        <v>#REF!</v>
      </c>
      <c r="DI270" t="e">
        <f>AND(#REF!,"AAAAAG7/bnA=")</f>
        <v>#REF!</v>
      </c>
      <c r="DJ270" t="e">
        <f>AND(#REF!,"AAAAAG7/bnE=")</f>
        <v>#REF!</v>
      </c>
      <c r="DK270" t="e">
        <f>AND(#REF!,"AAAAAG7/bnI=")</f>
        <v>#REF!</v>
      </c>
      <c r="DL270" t="e">
        <f>AND(#REF!,"AAAAAG7/bnM=")</f>
        <v>#REF!</v>
      </c>
      <c r="DM270" t="e">
        <f>AND(#REF!,"AAAAAG7/bnQ=")</f>
        <v>#REF!</v>
      </c>
      <c r="DN270" t="e">
        <f>AND(#REF!,"AAAAAG7/bnU=")</f>
        <v>#REF!</v>
      </c>
      <c r="DO270" t="e">
        <f>AND(#REF!,"AAAAAG7/bnY=")</f>
        <v>#REF!</v>
      </c>
      <c r="DP270" t="e">
        <f>AND(#REF!,"AAAAAG7/bnc=")</f>
        <v>#REF!</v>
      </c>
      <c r="DQ270" t="e">
        <f>AND(#REF!,"AAAAAG7/bng=")</f>
        <v>#REF!</v>
      </c>
      <c r="DR270" t="e">
        <f>AND(#REF!,"AAAAAG7/bnk=")</f>
        <v>#REF!</v>
      </c>
      <c r="DS270" t="e">
        <f>AND(#REF!,"AAAAAG7/bno=")</f>
        <v>#REF!</v>
      </c>
      <c r="DT270" t="e">
        <f>IF(#REF!,"AAAAAG7/bns=",0)</f>
        <v>#REF!</v>
      </c>
      <c r="DU270" t="e">
        <f>AND(#REF!,"AAAAAG7/bnw=")</f>
        <v>#REF!</v>
      </c>
      <c r="DV270" t="e">
        <f>AND(#REF!,"AAAAAG7/bn0=")</f>
        <v>#REF!</v>
      </c>
      <c r="DW270" t="e">
        <f>AND(#REF!,"AAAAAG7/bn4=")</f>
        <v>#REF!</v>
      </c>
      <c r="DX270" t="e">
        <f>AND(#REF!,"AAAAAG7/bn8=")</f>
        <v>#REF!</v>
      </c>
      <c r="DY270" t="e">
        <f>AND(#REF!,"AAAAAG7/boA=")</f>
        <v>#REF!</v>
      </c>
      <c r="DZ270" t="e">
        <f>AND(#REF!,"AAAAAG7/boE=")</f>
        <v>#REF!</v>
      </c>
      <c r="EA270" t="e">
        <f>AND(#REF!,"AAAAAG7/boI=")</f>
        <v>#REF!</v>
      </c>
      <c r="EB270" t="e">
        <f>AND(#REF!,"AAAAAG7/boM=")</f>
        <v>#REF!</v>
      </c>
      <c r="EC270" t="e">
        <f>AND(#REF!,"AAAAAG7/boQ=")</f>
        <v>#REF!</v>
      </c>
      <c r="ED270" t="e">
        <f>AND(#REF!,"AAAAAG7/boU=")</f>
        <v>#REF!</v>
      </c>
      <c r="EE270" t="e">
        <f>AND(#REF!,"AAAAAG7/boY=")</f>
        <v>#REF!</v>
      </c>
      <c r="EF270" t="e">
        <f>AND(#REF!,"AAAAAG7/boc=")</f>
        <v>#REF!</v>
      </c>
      <c r="EG270" t="e">
        <f>AND(#REF!,"AAAAAG7/bog=")</f>
        <v>#REF!</v>
      </c>
      <c r="EH270" t="e">
        <f>IF(#REF!,"AAAAAG7/bok=",0)</f>
        <v>#REF!</v>
      </c>
      <c r="EI270" t="e">
        <f>AND(#REF!,"AAAAAG7/boo=")</f>
        <v>#REF!</v>
      </c>
      <c r="EJ270" t="e">
        <f>AND(#REF!,"AAAAAG7/bos=")</f>
        <v>#REF!</v>
      </c>
      <c r="EK270" t="e">
        <f>AND(#REF!,"AAAAAG7/bow=")</f>
        <v>#REF!</v>
      </c>
      <c r="EL270" t="e">
        <f>AND(#REF!,"AAAAAG7/bo0=")</f>
        <v>#REF!</v>
      </c>
      <c r="EM270" t="e">
        <f>AND(#REF!,"AAAAAG7/bo4=")</f>
        <v>#REF!</v>
      </c>
      <c r="EN270" t="e">
        <f>AND(#REF!,"AAAAAG7/bo8=")</f>
        <v>#REF!</v>
      </c>
      <c r="EO270" t="e">
        <f>AND(#REF!,"AAAAAG7/bpA=")</f>
        <v>#REF!</v>
      </c>
      <c r="EP270" t="e">
        <f>AND(#REF!,"AAAAAG7/bpE=")</f>
        <v>#REF!</v>
      </c>
      <c r="EQ270" t="e">
        <f>AND(#REF!,"AAAAAG7/bpI=")</f>
        <v>#REF!</v>
      </c>
      <c r="ER270" t="e">
        <f>AND(#REF!,"AAAAAG7/bpM=")</f>
        <v>#REF!</v>
      </c>
      <c r="ES270" t="e">
        <f>AND(#REF!,"AAAAAG7/bpQ=")</f>
        <v>#REF!</v>
      </c>
      <c r="ET270" t="e">
        <f>AND(#REF!,"AAAAAG7/bpU=")</f>
        <v>#REF!</v>
      </c>
      <c r="EU270" t="e">
        <f>AND(#REF!,"AAAAAG7/bpY=")</f>
        <v>#REF!</v>
      </c>
      <c r="EV270" t="e">
        <f>IF(#REF!,"AAAAAG7/bpc=",0)</f>
        <v>#REF!</v>
      </c>
      <c r="EW270" t="e">
        <f>AND(#REF!,"AAAAAG7/bpg=")</f>
        <v>#REF!</v>
      </c>
      <c r="EX270" t="e">
        <f>AND(#REF!,"AAAAAG7/bpk=")</f>
        <v>#REF!</v>
      </c>
      <c r="EY270" t="e">
        <f>AND(#REF!,"AAAAAG7/bpo=")</f>
        <v>#REF!</v>
      </c>
      <c r="EZ270" t="e">
        <f>AND(#REF!,"AAAAAG7/bps=")</f>
        <v>#REF!</v>
      </c>
      <c r="FA270" t="e">
        <f>AND(#REF!,"AAAAAG7/bpw=")</f>
        <v>#REF!</v>
      </c>
      <c r="FB270" t="e">
        <f>AND(#REF!,"AAAAAG7/bp0=")</f>
        <v>#REF!</v>
      </c>
      <c r="FC270" t="e">
        <f>AND(#REF!,"AAAAAG7/bp4=")</f>
        <v>#REF!</v>
      </c>
      <c r="FD270" t="e">
        <f>AND(#REF!,"AAAAAG7/bp8=")</f>
        <v>#REF!</v>
      </c>
      <c r="FE270" t="e">
        <f>AND(#REF!,"AAAAAG7/bqA=")</f>
        <v>#REF!</v>
      </c>
      <c r="FF270" t="e">
        <f>AND(#REF!,"AAAAAG7/bqE=")</f>
        <v>#REF!</v>
      </c>
      <c r="FG270" t="e">
        <f>AND(#REF!,"AAAAAG7/bqI=")</f>
        <v>#REF!</v>
      </c>
      <c r="FH270" t="e">
        <f>AND(#REF!,"AAAAAG7/bqM=")</f>
        <v>#REF!</v>
      </c>
      <c r="FI270" t="e">
        <f>AND(#REF!,"AAAAAG7/bqQ=")</f>
        <v>#REF!</v>
      </c>
      <c r="FJ270" t="e">
        <f>IF(#REF!,"AAAAAG7/bqU=",0)</f>
        <v>#REF!</v>
      </c>
      <c r="FK270" t="e">
        <f>AND(#REF!,"AAAAAG7/bqY=")</f>
        <v>#REF!</v>
      </c>
      <c r="FL270" t="e">
        <f>AND(#REF!,"AAAAAG7/bqc=")</f>
        <v>#REF!</v>
      </c>
      <c r="FM270" t="e">
        <f>AND(#REF!,"AAAAAG7/bqg=")</f>
        <v>#REF!</v>
      </c>
      <c r="FN270" t="e">
        <f>AND(#REF!,"AAAAAG7/bqk=")</f>
        <v>#REF!</v>
      </c>
      <c r="FO270" t="e">
        <f>AND(#REF!,"AAAAAG7/bqo=")</f>
        <v>#REF!</v>
      </c>
      <c r="FP270" t="e">
        <f>AND(#REF!,"AAAAAG7/bqs=")</f>
        <v>#REF!</v>
      </c>
      <c r="FQ270" t="e">
        <f>AND(#REF!,"AAAAAG7/bqw=")</f>
        <v>#REF!</v>
      </c>
      <c r="FR270" t="e">
        <f>AND(#REF!,"AAAAAG7/bq0=")</f>
        <v>#REF!</v>
      </c>
      <c r="FS270" t="e">
        <f>AND(#REF!,"AAAAAG7/bq4=")</f>
        <v>#REF!</v>
      </c>
      <c r="FT270" t="e">
        <f>AND(#REF!,"AAAAAG7/bq8=")</f>
        <v>#REF!</v>
      </c>
      <c r="FU270" t="e">
        <f>AND(#REF!,"AAAAAG7/brA=")</f>
        <v>#REF!</v>
      </c>
      <c r="FV270" t="e">
        <f>AND(#REF!,"AAAAAG7/brE=")</f>
        <v>#REF!</v>
      </c>
      <c r="FW270" t="e">
        <f>AND(#REF!,"AAAAAG7/brI=")</f>
        <v>#REF!</v>
      </c>
      <c r="FX270" t="e">
        <f>IF(#REF!,"AAAAAG7/brM=",0)</f>
        <v>#REF!</v>
      </c>
      <c r="FY270" t="e">
        <f>AND(#REF!,"AAAAAG7/brQ=")</f>
        <v>#REF!</v>
      </c>
      <c r="FZ270" t="e">
        <f>AND(#REF!,"AAAAAG7/brU=")</f>
        <v>#REF!</v>
      </c>
      <c r="GA270" t="e">
        <f>AND(#REF!,"AAAAAG7/brY=")</f>
        <v>#REF!</v>
      </c>
      <c r="GB270" t="e">
        <f>AND(#REF!,"AAAAAG7/brc=")</f>
        <v>#REF!</v>
      </c>
      <c r="GC270" t="e">
        <f>AND(#REF!,"AAAAAG7/brg=")</f>
        <v>#REF!</v>
      </c>
      <c r="GD270" t="e">
        <f>AND(#REF!,"AAAAAG7/brk=")</f>
        <v>#REF!</v>
      </c>
      <c r="GE270" t="e">
        <f>AND(#REF!,"AAAAAG7/bro=")</f>
        <v>#REF!</v>
      </c>
      <c r="GF270" t="e">
        <f>AND(#REF!,"AAAAAG7/brs=")</f>
        <v>#REF!</v>
      </c>
      <c r="GG270" t="e">
        <f>AND(#REF!,"AAAAAG7/brw=")</f>
        <v>#REF!</v>
      </c>
      <c r="GH270" t="e">
        <f>AND(#REF!,"AAAAAG7/br0=")</f>
        <v>#REF!</v>
      </c>
      <c r="GI270" t="e">
        <f>AND(#REF!,"AAAAAG7/br4=")</f>
        <v>#REF!</v>
      </c>
      <c r="GJ270" t="e">
        <f>AND(#REF!,"AAAAAG7/br8=")</f>
        <v>#REF!</v>
      </c>
      <c r="GK270" t="e">
        <f>AND(#REF!,"AAAAAG7/bsA=")</f>
        <v>#REF!</v>
      </c>
      <c r="GL270" t="e">
        <f>IF(#REF!,"AAAAAG7/bsE=",0)</f>
        <v>#REF!</v>
      </c>
      <c r="GM270" t="e">
        <f>AND(#REF!,"AAAAAG7/bsI=")</f>
        <v>#REF!</v>
      </c>
      <c r="GN270" t="e">
        <f>AND(#REF!,"AAAAAG7/bsM=")</f>
        <v>#REF!</v>
      </c>
      <c r="GO270" t="e">
        <f>AND(#REF!,"AAAAAG7/bsQ=")</f>
        <v>#REF!</v>
      </c>
      <c r="GP270" t="e">
        <f>AND(#REF!,"AAAAAG7/bsU=")</f>
        <v>#REF!</v>
      </c>
      <c r="GQ270" t="e">
        <f>AND(#REF!,"AAAAAG7/bsY=")</f>
        <v>#REF!</v>
      </c>
      <c r="GR270" t="e">
        <f>AND(#REF!,"AAAAAG7/bsc=")</f>
        <v>#REF!</v>
      </c>
      <c r="GS270" t="e">
        <f>AND(#REF!,"AAAAAG7/bsg=")</f>
        <v>#REF!</v>
      </c>
      <c r="GT270" t="e">
        <f>AND(#REF!,"AAAAAG7/bsk=")</f>
        <v>#REF!</v>
      </c>
      <c r="GU270" t="e">
        <f>AND(#REF!,"AAAAAG7/bso=")</f>
        <v>#REF!</v>
      </c>
      <c r="GV270" t="e">
        <f>AND(#REF!,"AAAAAG7/bss=")</f>
        <v>#REF!</v>
      </c>
      <c r="GW270" t="e">
        <f>AND(#REF!,"AAAAAG7/bsw=")</f>
        <v>#REF!</v>
      </c>
      <c r="GX270" t="e">
        <f>AND(#REF!,"AAAAAG7/bs0=")</f>
        <v>#REF!</v>
      </c>
      <c r="GY270" t="e">
        <f>AND(#REF!,"AAAAAG7/bs4=")</f>
        <v>#REF!</v>
      </c>
      <c r="GZ270" t="e">
        <f>IF(#REF!,"AAAAAG7/bs8=",0)</f>
        <v>#REF!</v>
      </c>
      <c r="HA270" t="e">
        <f>AND(#REF!,"AAAAAG7/btA=")</f>
        <v>#REF!</v>
      </c>
      <c r="HB270" t="e">
        <f>AND(#REF!,"AAAAAG7/btE=")</f>
        <v>#REF!</v>
      </c>
      <c r="HC270" t="e">
        <f>AND(#REF!,"AAAAAG7/btI=")</f>
        <v>#REF!</v>
      </c>
      <c r="HD270" t="e">
        <f>AND(#REF!,"AAAAAG7/btM=")</f>
        <v>#REF!</v>
      </c>
      <c r="HE270" t="e">
        <f>AND(#REF!,"AAAAAG7/btQ=")</f>
        <v>#REF!</v>
      </c>
      <c r="HF270" t="e">
        <f>AND(#REF!,"AAAAAG7/btU=")</f>
        <v>#REF!</v>
      </c>
      <c r="HG270" t="e">
        <f>AND(#REF!,"AAAAAG7/btY=")</f>
        <v>#REF!</v>
      </c>
      <c r="HH270" t="e">
        <f>AND(#REF!,"AAAAAG7/btc=")</f>
        <v>#REF!</v>
      </c>
      <c r="HI270" t="e">
        <f>AND(#REF!,"AAAAAG7/btg=")</f>
        <v>#REF!</v>
      </c>
      <c r="HJ270" t="e">
        <f>AND(#REF!,"AAAAAG7/btk=")</f>
        <v>#REF!</v>
      </c>
      <c r="HK270" t="e">
        <f>AND(#REF!,"AAAAAG7/bto=")</f>
        <v>#REF!</v>
      </c>
      <c r="HL270" t="e">
        <f>AND(#REF!,"AAAAAG7/bts=")</f>
        <v>#REF!</v>
      </c>
      <c r="HM270" t="e">
        <f>AND(#REF!,"AAAAAG7/btw=")</f>
        <v>#REF!</v>
      </c>
      <c r="HN270" t="e">
        <f>IF(#REF!,"AAAAAG7/bt0=",0)</f>
        <v>#REF!</v>
      </c>
      <c r="HO270" t="e">
        <f>AND(#REF!,"AAAAAG7/bt4=")</f>
        <v>#REF!</v>
      </c>
      <c r="HP270" t="e">
        <f>AND(#REF!,"AAAAAG7/bt8=")</f>
        <v>#REF!</v>
      </c>
      <c r="HQ270" t="e">
        <f>AND(#REF!,"AAAAAG7/buA=")</f>
        <v>#REF!</v>
      </c>
      <c r="HR270" t="e">
        <f>AND(#REF!,"AAAAAG7/buE=")</f>
        <v>#REF!</v>
      </c>
      <c r="HS270" t="e">
        <f>AND(#REF!,"AAAAAG7/buI=")</f>
        <v>#REF!</v>
      </c>
      <c r="HT270" t="e">
        <f>AND(#REF!,"AAAAAG7/buM=")</f>
        <v>#REF!</v>
      </c>
      <c r="HU270" t="e">
        <f>AND(#REF!,"AAAAAG7/buQ=")</f>
        <v>#REF!</v>
      </c>
      <c r="HV270" t="e">
        <f>AND(#REF!,"AAAAAG7/buU=")</f>
        <v>#REF!</v>
      </c>
      <c r="HW270" t="e">
        <f>AND(#REF!,"AAAAAG7/buY=")</f>
        <v>#REF!</v>
      </c>
      <c r="HX270" t="e">
        <f>AND(#REF!,"AAAAAG7/buc=")</f>
        <v>#REF!</v>
      </c>
      <c r="HY270" t="e">
        <f>AND(#REF!,"AAAAAG7/bug=")</f>
        <v>#REF!</v>
      </c>
      <c r="HZ270" t="e">
        <f>AND(#REF!,"AAAAAG7/buk=")</f>
        <v>#REF!</v>
      </c>
      <c r="IA270" t="e">
        <f>AND(#REF!,"AAAAAG7/buo=")</f>
        <v>#REF!</v>
      </c>
      <c r="IB270" t="e">
        <f>IF(#REF!,"AAAAAG7/bus=",0)</f>
        <v>#REF!</v>
      </c>
      <c r="IC270" t="e">
        <f>AND(#REF!,"AAAAAG7/buw=")</f>
        <v>#REF!</v>
      </c>
      <c r="ID270" t="e">
        <f>AND(#REF!,"AAAAAG7/bu0=")</f>
        <v>#REF!</v>
      </c>
      <c r="IE270" t="e">
        <f>AND(#REF!,"AAAAAG7/bu4=")</f>
        <v>#REF!</v>
      </c>
      <c r="IF270" t="e">
        <f>AND(#REF!,"AAAAAG7/bu8=")</f>
        <v>#REF!</v>
      </c>
      <c r="IG270" t="e">
        <f>AND(#REF!,"AAAAAG7/bvA=")</f>
        <v>#REF!</v>
      </c>
      <c r="IH270" t="e">
        <f>AND(#REF!,"AAAAAG7/bvE=")</f>
        <v>#REF!</v>
      </c>
      <c r="II270" t="e">
        <f>AND(#REF!,"AAAAAG7/bvI=")</f>
        <v>#REF!</v>
      </c>
      <c r="IJ270" t="e">
        <f>AND(#REF!,"AAAAAG7/bvM=")</f>
        <v>#REF!</v>
      </c>
      <c r="IK270" t="e">
        <f>AND(#REF!,"AAAAAG7/bvQ=")</f>
        <v>#REF!</v>
      </c>
      <c r="IL270" t="e">
        <f>AND(#REF!,"AAAAAG7/bvU=")</f>
        <v>#REF!</v>
      </c>
      <c r="IM270" t="e">
        <f>AND(#REF!,"AAAAAG7/bvY=")</f>
        <v>#REF!</v>
      </c>
      <c r="IN270" t="e">
        <f>AND(#REF!,"AAAAAG7/bvc=")</f>
        <v>#REF!</v>
      </c>
      <c r="IO270" t="e">
        <f>AND(#REF!,"AAAAAG7/bvg=")</f>
        <v>#REF!</v>
      </c>
      <c r="IP270" t="e">
        <f>IF(#REF!,"AAAAAG7/bvk=",0)</f>
        <v>#REF!</v>
      </c>
      <c r="IQ270" t="e">
        <f>AND(#REF!,"AAAAAG7/bvo=")</f>
        <v>#REF!</v>
      </c>
      <c r="IR270" t="e">
        <f>AND(#REF!,"AAAAAG7/bvs=")</f>
        <v>#REF!</v>
      </c>
      <c r="IS270" t="e">
        <f>AND(#REF!,"AAAAAG7/bvw=")</f>
        <v>#REF!</v>
      </c>
      <c r="IT270" t="e">
        <f>AND(#REF!,"AAAAAG7/bv0=")</f>
        <v>#REF!</v>
      </c>
      <c r="IU270" t="e">
        <f>AND(#REF!,"AAAAAG7/bv4=")</f>
        <v>#REF!</v>
      </c>
      <c r="IV270" t="e">
        <f>AND(#REF!,"AAAAAG7/bv8=")</f>
        <v>#REF!</v>
      </c>
    </row>
    <row r="271" spans="1:256" x14ac:dyDescent="0.2">
      <c r="A271" t="e">
        <f>AND(#REF!,"AAAAAH/9dAA=")</f>
        <v>#REF!</v>
      </c>
      <c r="B271" t="e">
        <f>AND(#REF!,"AAAAAH/9dAE=")</f>
        <v>#REF!</v>
      </c>
      <c r="C271" t="e">
        <f>AND(#REF!,"AAAAAH/9dAI=")</f>
        <v>#REF!</v>
      </c>
      <c r="D271" t="e">
        <f>AND(#REF!,"AAAAAH/9dAM=")</f>
        <v>#REF!</v>
      </c>
      <c r="E271" t="e">
        <f>AND(#REF!,"AAAAAH/9dAQ=")</f>
        <v>#REF!</v>
      </c>
      <c r="F271" t="e">
        <f>AND(#REF!,"AAAAAH/9dAU=")</f>
        <v>#REF!</v>
      </c>
      <c r="G271" t="e">
        <f>AND(#REF!,"AAAAAH/9dAY=")</f>
        <v>#REF!</v>
      </c>
      <c r="H271" t="e">
        <f>IF(#REF!,"AAAAAH/9dAc=",0)</f>
        <v>#REF!</v>
      </c>
      <c r="I271" t="e">
        <f>AND(#REF!,"AAAAAH/9dAg=")</f>
        <v>#REF!</v>
      </c>
      <c r="J271" t="e">
        <f>AND(#REF!,"AAAAAH/9dAk=")</f>
        <v>#REF!</v>
      </c>
      <c r="K271" t="e">
        <f>AND(#REF!,"AAAAAH/9dAo=")</f>
        <v>#REF!</v>
      </c>
      <c r="L271" t="e">
        <f>AND(#REF!,"AAAAAH/9dAs=")</f>
        <v>#REF!</v>
      </c>
      <c r="M271" t="e">
        <f>AND(#REF!,"AAAAAH/9dAw=")</f>
        <v>#REF!</v>
      </c>
      <c r="N271" t="e">
        <f>AND(#REF!,"AAAAAH/9dA0=")</f>
        <v>#REF!</v>
      </c>
      <c r="O271" t="e">
        <f>AND(#REF!,"AAAAAH/9dA4=")</f>
        <v>#REF!</v>
      </c>
      <c r="P271" t="e">
        <f>AND(#REF!,"AAAAAH/9dA8=")</f>
        <v>#REF!</v>
      </c>
      <c r="Q271" t="e">
        <f>AND(#REF!,"AAAAAH/9dBA=")</f>
        <v>#REF!</v>
      </c>
      <c r="R271" t="e">
        <f>AND(#REF!,"AAAAAH/9dBE=")</f>
        <v>#REF!</v>
      </c>
      <c r="S271" t="e">
        <f>AND(#REF!,"AAAAAH/9dBI=")</f>
        <v>#REF!</v>
      </c>
      <c r="T271" t="e">
        <f>AND(#REF!,"AAAAAH/9dBM=")</f>
        <v>#REF!</v>
      </c>
      <c r="U271" t="e">
        <f>AND(#REF!,"AAAAAH/9dBQ=")</f>
        <v>#REF!</v>
      </c>
      <c r="V271" t="e">
        <f>IF(#REF!,"AAAAAH/9dBU=",0)</f>
        <v>#REF!</v>
      </c>
      <c r="W271" t="e">
        <f>AND(#REF!,"AAAAAH/9dBY=")</f>
        <v>#REF!</v>
      </c>
      <c r="X271" t="e">
        <f>AND(#REF!,"AAAAAH/9dBc=")</f>
        <v>#REF!</v>
      </c>
      <c r="Y271" t="e">
        <f>AND(#REF!,"AAAAAH/9dBg=")</f>
        <v>#REF!</v>
      </c>
      <c r="Z271" t="e">
        <f>AND(#REF!,"AAAAAH/9dBk=")</f>
        <v>#REF!</v>
      </c>
      <c r="AA271" t="e">
        <f>AND(#REF!,"AAAAAH/9dBo=")</f>
        <v>#REF!</v>
      </c>
      <c r="AB271" t="e">
        <f>AND(#REF!,"AAAAAH/9dBs=")</f>
        <v>#REF!</v>
      </c>
      <c r="AC271" t="e">
        <f>AND(#REF!,"AAAAAH/9dBw=")</f>
        <v>#REF!</v>
      </c>
      <c r="AD271" t="e">
        <f>AND(#REF!,"AAAAAH/9dB0=")</f>
        <v>#REF!</v>
      </c>
      <c r="AE271" t="e">
        <f>AND(#REF!,"AAAAAH/9dB4=")</f>
        <v>#REF!</v>
      </c>
      <c r="AF271" t="e">
        <f>AND(#REF!,"AAAAAH/9dB8=")</f>
        <v>#REF!</v>
      </c>
      <c r="AG271" t="e">
        <f>AND(#REF!,"AAAAAH/9dCA=")</f>
        <v>#REF!</v>
      </c>
      <c r="AH271" t="e">
        <f>AND(#REF!,"AAAAAH/9dCE=")</f>
        <v>#REF!</v>
      </c>
      <c r="AI271" t="e">
        <f>AND(#REF!,"AAAAAH/9dCI=")</f>
        <v>#REF!</v>
      </c>
      <c r="AJ271" t="e">
        <f>IF(#REF!,"AAAAAH/9dCM=",0)</f>
        <v>#REF!</v>
      </c>
      <c r="AK271" t="e">
        <f>AND(#REF!,"AAAAAH/9dCQ=")</f>
        <v>#REF!</v>
      </c>
      <c r="AL271" t="e">
        <f>AND(#REF!,"AAAAAH/9dCU=")</f>
        <v>#REF!</v>
      </c>
      <c r="AM271" t="e">
        <f>AND(#REF!,"AAAAAH/9dCY=")</f>
        <v>#REF!</v>
      </c>
      <c r="AN271" t="e">
        <f>AND(#REF!,"AAAAAH/9dCc=")</f>
        <v>#REF!</v>
      </c>
      <c r="AO271" t="e">
        <f>AND(#REF!,"AAAAAH/9dCg=")</f>
        <v>#REF!</v>
      </c>
      <c r="AP271" t="e">
        <f>AND(#REF!,"AAAAAH/9dCk=")</f>
        <v>#REF!</v>
      </c>
      <c r="AQ271" t="e">
        <f>AND(#REF!,"AAAAAH/9dCo=")</f>
        <v>#REF!</v>
      </c>
      <c r="AR271" t="e">
        <f>AND(#REF!,"AAAAAH/9dCs=")</f>
        <v>#REF!</v>
      </c>
      <c r="AS271" t="e">
        <f>AND(#REF!,"AAAAAH/9dCw=")</f>
        <v>#REF!</v>
      </c>
      <c r="AT271" t="e">
        <f>AND(#REF!,"AAAAAH/9dC0=")</f>
        <v>#REF!</v>
      </c>
      <c r="AU271" t="e">
        <f>AND(#REF!,"AAAAAH/9dC4=")</f>
        <v>#REF!</v>
      </c>
      <c r="AV271" t="e">
        <f>AND(#REF!,"AAAAAH/9dC8=")</f>
        <v>#REF!</v>
      </c>
      <c r="AW271" t="e">
        <f>AND(#REF!,"AAAAAH/9dDA=")</f>
        <v>#REF!</v>
      </c>
      <c r="AX271" t="e">
        <f>IF(#REF!,"AAAAAH/9dDE=",0)</f>
        <v>#REF!</v>
      </c>
      <c r="AY271" t="e">
        <f>AND(#REF!,"AAAAAH/9dDI=")</f>
        <v>#REF!</v>
      </c>
      <c r="AZ271" t="e">
        <f>AND(#REF!,"AAAAAH/9dDM=")</f>
        <v>#REF!</v>
      </c>
      <c r="BA271" t="e">
        <f>AND(#REF!,"AAAAAH/9dDQ=")</f>
        <v>#REF!</v>
      </c>
      <c r="BB271" t="e">
        <f>AND(#REF!,"AAAAAH/9dDU=")</f>
        <v>#REF!</v>
      </c>
      <c r="BC271" t="e">
        <f>AND(#REF!,"AAAAAH/9dDY=")</f>
        <v>#REF!</v>
      </c>
      <c r="BD271" t="e">
        <f>AND(#REF!,"AAAAAH/9dDc=")</f>
        <v>#REF!</v>
      </c>
      <c r="BE271" t="e">
        <f>AND(#REF!,"AAAAAH/9dDg=")</f>
        <v>#REF!</v>
      </c>
      <c r="BF271" t="e">
        <f>AND(#REF!,"AAAAAH/9dDk=")</f>
        <v>#REF!</v>
      </c>
      <c r="BG271" t="e">
        <f>AND(#REF!,"AAAAAH/9dDo=")</f>
        <v>#REF!</v>
      </c>
      <c r="BH271" t="e">
        <f>AND(#REF!,"AAAAAH/9dDs=")</f>
        <v>#REF!</v>
      </c>
      <c r="BI271" t="e">
        <f>AND(#REF!,"AAAAAH/9dDw=")</f>
        <v>#REF!</v>
      </c>
      <c r="BJ271" t="e">
        <f>AND(#REF!,"AAAAAH/9dD0=")</f>
        <v>#REF!</v>
      </c>
      <c r="BK271" t="e">
        <f>AND(#REF!,"AAAAAH/9dD4=")</f>
        <v>#REF!</v>
      </c>
      <c r="BL271" t="e">
        <f>IF(#REF!,"AAAAAH/9dD8=",0)</f>
        <v>#REF!</v>
      </c>
      <c r="BM271" t="e">
        <f>AND(#REF!,"AAAAAH/9dEA=")</f>
        <v>#REF!</v>
      </c>
      <c r="BN271" t="e">
        <f>AND(#REF!,"AAAAAH/9dEE=")</f>
        <v>#REF!</v>
      </c>
      <c r="BO271" t="e">
        <f>AND(#REF!,"AAAAAH/9dEI=")</f>
        <v>#REF!</v>
      </c>
      <c r="BP271" t="e">
        <f>AND(#REF!,"AAAAAH/9dEM=")</f>
        <v>#REF!</v>
      </c>
      <c r="BQ271" t="e">
        <f>AND(#REF!,"AAAAAH/9dEQ=")</f>
        <v>#REF!</v>
      </c>
      <c r="BR271" t="e">
        <f>AND(#REF!,"AAAAAH/9dEU=")</f>
        <v>#REF!</v>
      </c>
      <c r="BS271" t="e">
        <f>AND(#REF!,"AAAAAH/9dEY=")</f>
        <v>#REF!</v>
      </c>
      <c r="BT271" t="e">
        <f>AND(#REF!,"AAAAAH/9dEc=")</f>
        <v>#REF!</v>
      </c>
      <c r="BU271" t="e">
        <f>AND(#REF!,"AAAAAH/9dEg=")</f>
        <v>#REF!</v>
      </c>
      <c r="BV271" t="e">
        <f>AND(#REF!,"AAAAAH/9dEk=")</f>
        <v>#REF!</v>
      </c>
      <c r="BW271" t="e">
        <f>AND(#REF!,"AAAAAH/9dEo=")</f>
        <v>#REF!</v>
      </c>
      <c r="BX271" t="e">
        <f>AND(#REF!,"AAAAAH/9dEs=")</f>
        <v>#REF!</v>
      </c>
      <c r="BY271" t="e">
        <f>AND(#REF!,"AAAAAH/9dEw=")</f>
        <v>#REF!</v>
      </c>
      <c r="BZ271" t="e">
        <f>IF(#REF!,"AAAAAH/9dE0=",0)</f>
        <v>#REF!</v>
      </c>
      <c r="CA271" t="e">
        <f>AND(#REF!,"AAAAAH/9dE4=")</f>
        <v>#REF!</v>
      </c>
      <c r="CB271" t="e">
        <f>AND(#REF!,"AAAAAH/9dE8=")</f>
        <v>#REF!</v>
      </c>
      <c r="CC271" t="e">
        <f>AND(#REF!,"AAAAAH/9dFA=")</f>
        <v>#REF!</v>
      </c>
      <c r="CD271" t="e">
        <f>AND(#REF!,"AAAAAH/9dFE=")</f>
        <v>#REF!</v>
      </c>
      <c r="CE271" t="e">
        <f>AND(#REF!,"AAAAAH/9dFI=")</f>
        <v>#REF!</v>
      </c>
      <c r="CF271" t="e">
        <f>AND(#REF!,"AAAAAH/9dFM=")</f>
        <v>#REF!</v>
      </c>
      <c r="CG271" t="e">
        <f>AND(#REF!,"AAAAAH/9dFQ=")</f>
        <v>#REF!</v>
      </c>
      <c r="CH271" t="e">
        <f>AND(#REF!,"AAAAAH/9dFU=")</f>
        <v>#REF!</v>
      </c>
      <c r="CI271" t="e">
        <f>AND(#REF!,"AAAAAH/9dFY=")</f>
        <v>#REF!</v>
      </c>
      <c r="CJ271" t="e">
        <f>AND(#REF!,"AAAAAH/9dFc=")</f>
        <v>#REF!</v>
      </c>
      <c r="CK271" t="e">
        <f>AND(#REF!,"AAAAAH/9dFg=")</f>
        <v>#REF!</v>
      </c>
      <c r="CL271" t="e">
        <f>AND(#REF!,"AAAAAH/9dFk=")</f>
        <v>#REF!</v>
      </c>
      <c r="CM271" t="e">
        <f>AND(#REF!,"AAAAAH/9dFo=")</f>
        <v>#REF!</v>
      </c>
      <c r="CN271" t="e">
        <f>IF(#REF!,"AAAAAH/9dFs=",0)</f>
        <v>#REF!</v>
      </c>
      <c r="CO271" t="e">
        <f>AND(#REF!,"AAAAAH/9dFw=")</f>
        <v>#REF!</v>
      </c>
      <c r="CP271" t="e">
        <f>AND(#REF!,"AAAAAH/9dF0=")</f>
        <v>#REF!</v>
      </c>
      <c r="CQ271" t="e">
        <f>AND(#REF!,"AAAAAH/9dF4=")</f>
        <v>#REF!</v>
      </c>
      <c r="CR271" t="e">
        <f>AND(#REF!,"AAAAAH/9dF8=")</f>
        <v>#REF!</v>
      </c>
      <c r="CS271" t="e">
        <f>AND(#REF!,"AAAAAH/9dGA=")</f>
        <v>#REF!</v>
      </c>
      <c r="CT271" t="e">
        <f>AND(#REF!,"AAAAAH/9dGE=")</f>
        <v>#REF!</v>
      </c>
      <c r="CU271" t="e">
        <f>AND(#REF!,"AAAAAH/9dGI=")</f>
        <v>#REF!</v>
      </c>
      <c r="CV271" t="e">
        <f>AND(#REF!,"AAAAAH/9dGM=")</f>
        <v>#REF!</v>
      </c>
      <c r="CW271" t="e">
        <f>AND(#REF!,"AAAAAH/9dGQ=")</f>
        <v>#REF!</v>
      </c>
      <c r="CX271" t="e">
        <f>AND(#REF!,"AAAAAH/9dGU=")</f>
        <v>#REF!</v>
      </c>
      <c r="CY271" t="e">
        <f>AND(#REF!,"AAAAAH/9dGY=")</f>
        <v>#REF!</v>
      </c>
      <c r="CZ271" t="e">
        <f>AND(#REF!,"AAAAAH/9dGc=")</f>
        <v>#REF!</v>
      </c>
      <c r="DA271" t="e">
        <f>AND(#REF!,"AAAAAH/9dGg=")</f>
        <v>#REF!</v>
      </c>
      <c r="DB271" t="e">
        <f>IF(#REF!,"AAAAAH/9dGk=",0)</f>
        <v>#REF!</v>
      </c>
      <c r="DC271" t="e">
        <f>AND(#REF!,"AAAAAH/9dGo=")</f>
        <v>#REF!</v>
      </c>
      <c r="DD271" t="e">
        <f>AND(#REF!,"AAAAAH/9dGs=")</f>
        <v>#REF!</v>
      </c>
      <c r="DE271" t="e">
        <f>AND(#REF!,"AAAAAH/9dGw=")</f>
        <v>#REF!</v>
      </c>
      <c r="DF271" t="e">
        <f>AND(#REF!,"AAAAAH/9dG0=")</f>
        <v>#REF!</v>
      </c>
      <c r="DG271" t="e">
        <f>AND(#REF!,"AAAAAH/9dG4=")</f>
        <v>#REF!</v>
      </c>
      <c r="DH271" t="e">
        <f>AND(#REF!,"AAAAAH/9dG8=")</f>
        <v>#REF!</v>
      </c>
      <c r="DI271" t="e">
        <f>AND(#REF!,"AAAAAH/9dHA=")</f>
        <v>#REF!</v>
      </c>
      <c r="DJ271" t="e">
        <f>AND(#REF!,"AAAAAH/9dHE=")</f>
        <v>#REF!</v>
      </c>
      <c r="DK271" t="e">
        <f>AND(#REF!,"AAAAAH/9dHI=")</f>
        <v>#REF!</v>
      </c>
      <c r="DL271" t="e">
        <f>AND(#REF!,"AAAAAH/9dHM=")</f>
        <v>#REF!</v>
      </c>
      <c r="DM271" t="e">
        <f>AND(#REF!,"AAAAAH/9dHQ=")</f>
        <v>#REF!</v>
      </c>
      <c r="DN271" t="e">
        <f>AND(#REF!,"AAAAAH/9dHU=")</f>
        <v>#REF!</v>
      </c>
      <c r="DO271" t="e">
        <f>AND(#REF!,"AAAAAH/9dHY=")</f>
        <v>#REF!</v>
      </c>
      <c r="DP271" t="e">
        <f>IF(#REF!,"AAAAAH/9dHc=",0)</f>
        <v>#REF!</v>
      </c>
      <c r="DQ271" t="e">
        <f>AND(#REF!,"AAAAAH/9dHg=")</f>
        <v>#REF!</v>
      </c>
      <c r="DR271" t="e">
        <f>AND(#REF!,"AAAAAH/9dHk=")</f>
        <v>#REF!</v>
      </c>
      <c r="DS271" t="e">
        <f>AND(#REF!,"AAAAAH/9dHo=")</f>
        <v>#REF!</v>
      </c>
      <c r="DT271" t="e">
        <f>AND(#REF!,"AAAAAH/9dHs=")</f>
        <v>#REF!</v>
      </c>
      <c r="DU271" t="e">
        <f>AND(#REF!,"AAAAAH/9dHw=")</f>
        <v>#REF!</v>
      </c>
      <c r="DV271" t="e">
        <f>AND(#REF!,"AAAAAH/9dH0=")</f>
        <v>#REF!</v>
      </c>
      <c r="DW271" t="e">
        <f>AND(#REF!,"AAAAAH/9dH4=")</f>
        <v>#REF!</v>
      </c>
      <c r="DX271" t="e">
        <f>AND(#REF!,"AAAAAH/9dH8=")</f>
        <v>#REF!</v>
      </c>
      <c r="DY271" t="e">
        <f>AND(#REF!,"AAAAAH/9dIA=")</f>
        <v>#REF!</v>
      </c>
      <c r="DZ271" t="e">
        <f>AND(#REF!,"AAAAAH/9dIE=")</f>
        <v>#REF!</v>
      </c>
      <c r="EA271" t="e">
        <f>AND(#REF!,"AAAAAH/9dII=")</f>
        <v>#REF!</v>
      </c>
      <c r="EB271" t="e">
        <f>AND(#REF!,"AAAAAH/9dIM=")</f>
        <v>#REF!</v>
      </c>
      <c r="EC271" t="e">
        <f>AND(#REF!,"AAAAAH/9dIQ=")</f>
        <v>#REF!</v>
      </c>
      <c r="ED271" t="e">
        <f>IF(#REF!,"AAAAAH/9dIU=",0)</f>
        <v>#REF!</v>
      </c>
      <c r="EE271" t="e">
        <f>AND(#REF!,"AAAAAH/9dIY=")</f>
        <v>#REF!</v>
      </c>
      <c r="EF271" t="e">
        <f>AND(#REF!,"AAAAAH/9dIc=")</f>
        <v>#REF!</v>
      </c>
      <c r="EG271" t="e">
        <f>AND(#REF!,"AAAAAH/9dIg=")</f>
        <v>#REF!</v>
      </c>
      <c r="EH271" t="e">
        <f>AND(#REF!,"AAAAAH/9dIk=")</f>
        <v>#REF!</v>
      </c>
      <c r="EI271" t="e">
        <f>AND(#REF!,"AAAAAH/9dIo=")</f>
        <v>#REF!</v>
      </c>
      <c r="EJ271" t="e">
        <f>AND(#REF!,"AAAAAH/9dIs=")</f>
        <v>#REF!</v>
      </c>
      <c r="EK271" t="e">
        <f>AND(#REF!,"AAAAAH/9dIw=")</f>
        <v>#REF!</v>
      </c>
      <c r="EL271" t="e">
        <f>AND(#REF!,"AAAAAH/9dI0=")</f>
        <v>#REF!</v>
      </c>
      <c r="EM271" t="e">
        <f>AND(#REF!,"AAAAAH/9dI4=")</f>
        <v>#REF!</v>
      </c>
      <c r="EN271" t="e">
        <f>AND(#REF!,"AAAAAH/9dI8=")</f>
        <v>#REF!</v>
      </c>
      <c r="EO271" t="e">
        <f>AND(#REF!,"AAAAAH/9dJA=")</f>
        <v>#REF!</v>
      </c>
      <c r="EP271" t="e">
        <f>AND(#REF!,"AAAAAH/9dJE=")</f>
        <v>#REF!</v>
      </c>
      <c r="EQ271" t="e">
        <f>AND(#REF!,"AAAAAH/9dJI=")</f>
        <v>#REF!</v>
      </c>
      <c r="ER271" t="e">
        <f>IF(#REF!,"AAAAAH/9dJM=",0)</f>
        <v>#REF!</v>
      </c>
      <c r="ES271" t="e">
        <f>IF(#REF!,"AAAAAH/9dJQ=",0)</f>
        <v>#REF!</v>
      </c>
      <c r="ET271" t="e">
        <f>IF(#REF!,"AAAAAH/9dJU=",0)</f>
        <v>#REF!</v>
      </c>
      <c r="EU271" t="e">
        <f>IF(#REF!,"AAAAAH/9dJY=",0)</f>
        <v>#REF!</v>
      </c>
      <c r="EV271" t="e">
        <f>IF(#REF!,"AAAAAH/9dJc=",0)</f>
        <v>#REF!</v>
      </c>
      <c r="EW271" t="e">
        <f>IF(#REF!,"AAAAAH/9dJg=",0)</f>
        <v>#REF!</v>
      </c>
      <c r="EX271" t="e">
        <f>IF(#REF!,"AAAAAH/9dJk=",0)</f>
        <v>#REF!</v>
      </c>
      <c r="EY271" t="e">
        <f>IF(#REF!,"AAAAAH/9dJo=",0)</f>
        <v>#REF!</v>
      </c>
      <c r="EZ271" t="e">
        <f>IF(#REF!,"AAAAAH/9dJs=",0)</f>
        <v>#REF!</v>
      </c>
      <c r="FA271" t="e">
        <f>IF(#REF!,"AAAAAH/9dJw=",0)</f>
        <v>#REF!</v>
      </c>
      <c r="FB271" t="e">
        <f>IF(#REF!,"AAAAAH/9dJ0=",0)</f>
        <v>#REF!</v>
      </c>
      <c r="FC271" t="e">
        <f>IF(#REF!,"AAAAAH/9dJ4=",0)</f>
        <v>#REF!</v>
      </c>
      <c r="FD271" t="e">
        <f>IF(#REF!,"AAAAAH/9dJ8=",0)</f>
        <v>#REF!</v>
      </c>
      <c r="FE271" t="e">
        <f>IF(#REF!,"AAAAAH/9dKA=",0)</f>
        <v>#REF!</v>
      </c>
      <c r="FF271" t="e">
        <f>AND(#REF!,"AAAAAH/9dKE=")</f>
        <v>#REF!</v>
      </c>
      <c r="FG271" t="e">
        <f>AND(#REF!,"AAAAAH/9dKI=")</f>
        <v>#REF!</v>
      </c>
      <c r="FH271" t="e">
        <f>AND(#REF!,"AAAAAH/9dKM=")</f>
        <v>#REF!</v>
      </c>
      <c r="FI271" t="e">
        <f>AND(#REF!,"AAAAAH/9dKQ=")</f>
        <v>#REF!</v>
      </c>
      <c r="FJ271" t="e">
        <f>AND(#REF!,"AAAAAH/9dKU=")</f>
        <v>#REF!</v>
      </c>
      <c r="FK271" t="e">
        <f>AND(#REF!,"AAAAAH/9dKY=")</f>
        <v>#REF!</v>
      </c>
      <c r="FL271" t="e">
        <f>AND(#REF!,"AAAAAH/9dKc=")</f>
        <v>#REF!</v>
      </c>
      <c r="FM271" t="e">
        <f>AND(#REF!,"AAAAAH/9dKg=")</f>
        <v>#REF!</v>
      </c>
      <c r="FN271" t="e">
        <f>AND(#REF!,"AAAAAH/9dKk=")</f>
        <v>#REF!</v>
      </c>
      <c r="FO271" t="e">
        <f>AND(#REF!,"AAAAAH/9dKo=")</f>
        <v>#REF!</v>
      </c>
      <c r="FP271" t="e">
        <f>AND(#REF!,"AAAAAH/9dKs=")</f>
        <v>#REF!</v>
      </c>
      <c r="FQ271" t="e">
        <f>AND(#REF!,"AAAAAH/9dKw=")</f>
        <v>#REF!</v>
      </c>
      <c r="FR271" t="e">
        <f>AND(#REF!,"AAAAAH/9dK0=")</f>
        <v>#REF!</v>
      </c>
      <c r="FS271" t="e">
        <f>IF(#REF!,"AAAAAH/9dK4=",0)</f>
        <v>#REF!</v>
      </c>
      <c r="FT271" t="e">
        <f>AND(#REF!,"AAAAAH/9dK8=")</f>
        <v>#REF!</v>
      </c>
      <c r="FU271" t="e">
        <f>AND(#REF!,"AAAAAH/9dLA=")</f>
        <v>#REF!</v>
      </c>
      <c r="FV271" t="e">
        <f>AND(#REF!,"AAAAAH/9dLE=")</f>
        <v>#REF!</v>
      </c>
      <c r="FW271" t="e">
        <f>AND(#REF!,"AAAAAH/9dLI=")</f>
        <v>#REF!</v>
      </c>
      <c r="FX271" t="e">
        <f>AND(#REF!,"AAAAAH/9dLM=")</f>
        <v>#REF!</v>
      </c>
      <c r="FY271" t="e">
        <f>AND(#REF!,"AAAAAH/9dLQ=")</f>
        <v>#REF!</v>
      </c>
      <c r="FZ271" t="e">
        <f>AND(#REF!,"AAAAAH/9dLU=")</f>
        <v>#REF!</v>
      </c>
      <c r="GA271" t="e">
        <f>AND(#REF!,"AAAAAH/9dLY=")</f>
        <v>#REF!</v>
      </c>
      <c r="GB271" t="e">
        <f>AND(#REF!,"AAAAAH/9dLc=")</f>
        <v>#REF!</v>
      </c>
      <c r="GC271" t="e">
        <f>AND(#REF!,"AAAAAH/9dLg=")</f>
        <v>#REF!</v>
      </c>
      <c r="GD271" t="e">
        <f>AND(#REF!,"AAAAAH/9dLk=")</f>
        <v>#REF!</v>
      </c>
      <c r="GE271" t="e">
        <f>AND(#REF!,"AAAAAH/9dLo=")</f>
        <v>#REF!</v>
      </c>
      <c r="GF271" t="e">
        <f>AND(#REF!,"AAAAAH/9dLs=")</f>
        <v>#REF!</v>
      </c>
      <c r="GG271" t="e">
        <f>IF(#REF!,"AAAAAH/9dLw=",0)</f>
        <v>#REF!</v>
      </c>
      <c r="GH271" t="e">
        <f>AND(#REF!,"AAAAAH/9dL0=")</f>
        <v>#REF!</v>
      </c>
      <c r="GI271" t="e">
        <f>AND(#REF!,"AAAAAH/9dL4=")</f>
        <v>#REF!</v>
      </c>
      <c r="GJ271" t="e">
        <f>AND(#REF!,"AAAAAH/9dL8=")</f>
        <v>#REF!</v>
      </c>
      <c r="GK271" t="e">
        <f>AND(#REF!,"AAAAAH/9dMA=")</f>
        <v>#REF!</v>
      </c>
      <c r="GL271" t="e">
        <f>AND(#REF!,"AAAAAH/9dME=")</f>
        <v>#REF!</v>
      </c>
      <c r="GM271" t="e">
        <f>AND(#REF!,"AAAAAH/9dMI=")</f>
        <v>#REF!</v>
      </c>
      <c r="GN271" t="e">
        <f>AND(#REF!,"AAAAAH/9dMM=")</f>
        <v>#REF!</v>
      </c>
      <c r="GO271" t="e">
        <f>AND(#REF!,"AAAAAH/9dMQ=")</f>
        <v>#REF!</v>
      </c>
      <c r="GP271" t="e">
        <f>AND(#REF!,"AAAAAH/9dMU=")</f>
        <v>#REF!</v>
      </c>
      <c r="GQ271" t="e">
        <f>AND(#REF!,"AAAAAH/9dMY=")</f>
        <v>#REF!</v>
      </c>
      <c r="GR271" t="e">
        <f>AND(#REF!,"AAAAAH/9dMc=")</f>
        <v>#REF!</v>
      </c>
      <c r="GS271" t="e">
        <f>AND(#REF!,"AAAAAH/9dMg=")</f>
        <v>#REF!</v>
      </c>
      <c r="GT271" t="e">
        <f>AND(#REF!,"AAAAAH/9dMk=")</f>
        <v>#REF!</v>
      </c>
      <c r="GU271" t="e">
        <f>IF(#REF!,"AAAAAH/9dMo=",0)</f>
        <v>#REF!</v>
      </c>
      <c r="GV271" t="e">
        <f>AND(#REF!,"AAAAAH/9dMs=")</f>
        <v>#REF!</v>
      </c>
      <c r="GW271" t="e">
        <f>AND(#REF!,"AAAAAH/9dMw=")</f>
        <v>#REF!</v>
      </c>
      <c r="GX271" t="e">
        <f>AND(#REF!,"AAAAAH/9dM0=")</f>
        <v>#REF!</v>
      </c>
      <c r="GY271" t="e">
        <f>AND(#REF!,"AAAAAH/9dM4=")</f>
        <v>#REF!</v>
      </c>
      <c r="GZ271" t="e">
        <f>AND(#REF!,"AAAAAH/9dM8=")</f>
        <v>#REF!</v>
      </c>
      <c r="HA271" t="e">
        <f>AND(#REF!,"AAAAAH/9dNA=")</f>
        <v>#REF!</v>
      </c>
      <c r="HB271" t="e">
        <f>AND(#REF!,"AAAAAH/9dNE=")</f>
        <v>#REF!</v>
      </c>
      <c r="HC271" t="e">
        <f>AND(#REF!,"AAAAAH/9dNI=")</f>
        <v>#REF!</v>
      </c>
      <c r="HD271" t="e">
        <f>AND(#REF!,"AAAAAH/9dNM=")</f>
        <v>#REF!</v>
      </c>
      <c r="HE271" t="e">
        <f>AND(#REF!,"AAAAAH/9dNQ=")</f>
        <v>#REF!</v>
      </c>
      <c r="HF271" t="e">
        <f>AND(#REF!,"AAAAAH/9dNU=")</f>
        <v>#REF!</v>
      </c>
      <c r="HG271" t="e">
        <f>AND(#REF!,"AAAAAH/9dNY=")</f>
        <v>#REF!</v>
      </c>
      <c r="HH271" t="e">
        <f>AND(#REF!,"AAAAAH/9dNc=")</f>
        <v>#REF!</v>
      </c>
      <c r="HI271" t="e">
        <f>IF(#REF!,"AAAAAH/9dNg=",0)</f>
        <v>#REF!</v>
      </c>
      <c r="HJ271" t="e">
        <f>AND(#REF!,"AAAAAH/9dNk=")</f>
        <v>#REF!</v>
      </c>
      <c r="HK271" t="e">
        <f>AND(#REF!,"AAAAAH/9dNo=")</f>
        <v>#REF!</v>
      </c>
      <c r="HL271" t="e">
        <f>AND(#REF!,"AAAAAH/9dNs=")</f>
        <v>#REF!</v>
      </c>
      <c r="HM271" t="e">
        <f>AND(#REF!,"AAAAAH/9dNw=")</f>
        <v>#REF!</v>
      </c>
      <c r="HN271" t="e">
        <f>AND(#REF!,"AAAAAH/9dN0=")</f>
        <v>#REF!</v>
      </c>
      <c r="HO271" t="e">
        <f>AND(#REF!,"AAAAAH/9dN4=")</f>
        <v>#REF!</v>
      </c>
      <c r="HP271" t="e">
        <f>AND(#REF!,"AAAAAH/9dN8=")</f>
        <v>#REF!</v>
      </c>
      <c r="HQ271" t="e">
        <f>AND(#REF!,"AAAAAH/9dOA=")</f>
        <v>#REF!</v>
      </c>
      <c r="HR271" t="e">
        <f>AND(#REF!,"AAAAAH/9dOE=")</f>
        <v>#REF!</v>
      </c>
      <c r="HS271" t="e">
        <f>AND(#REF!,"AAAAAH/9dOI=")</f>
        <v>#REF!</v>
      </c>
      <c r="HT271" t="e">
        <f>AND(#REF!,"AAAAAH/9dOM=")</f>
        <v>#REF!</v>
      </c>
      <c r="HU271" t="e">
        <f>AND(#REF!,"AAAAAH/9dOQ=")</f>
        <v>#REF!</v>
      </c>
      <c r="HV271" t="e">
        <f>AND(#REF!,"AAAAAH/9dOU=")</f>
        <v>#REF!</v>
      </c>
      <c r="HW271" t="e">
        <f>IF(#REF!,"AAAAAH/9dOY=",0)</f>
        <v>#REF!</v>
      </c>
      <c r="HX271" t="e">
        <f>AND(#REF!,"AAAAAH/9dOc=")</f>
        <v>#REF!</v>
      </c>
      <c r="HY271" t="e">
        <f>AND(#REF!,"AAAAAH/9dOg=")</f>
        <v>#REF!</v>
      </c>
      <c r="HZ271" t="e">
        <f>AND(#REF!,"AAAAAH/9dOk=")</f>
        <v>#REF!</v>
      </c>
      <c r="IA271" t="e">
        <f>AND(#REF!,"AAAAAH/9dOo=")</f>
        <v>#REF!</v>
      </c>
      <c r="IB271" t="e">
        <f>AND(#REF!,"AAAAAH/9dOs=")</f>
        <v>#REF!</v>
      </c>
      <c r="IC271" t="e">
        <f>AND(#REF!,"AAAAAH/9dOw=")</f>
        <v>#REF!</v>
      </c>
      <c r="ID271" t="e">
        <f>AND(#REF!,"AAAAAH/9dO0=")</f>
        <v>#REF!</v>
      </c>
      <c r="IE271" t="e">
        <f>AND(#REF!,"AAAAAH/9dO4=")</f>
        <v>#REF!</v>
      </c>
      <c r="IF271" t="e">
        <f>AND(#REF!,"AAAAAH/9dO8=")</f>
        <v>#REF!</v>
      </c>
      <c r="IG271" t="e">
        <f>AND(#REF!,"AAAAAH/9dPA=")</f>
        <v>#REF!</v>
      </c>
      <c r="IH271" t="e">
        <f>AND(#REF!,"AAAAAH/9dPE=")</f>
        <v>#REF!</v>
      </c>
      <c r="II271" t="e">
        <f>AND(#REF!,"AAAAAH/9dPI=")</f>
        <v>#REF!</v>
      </c>
      <c r="IJ271" t="e">
        <f>AND(#REF!,"AAAAAH/9dPM=")</f>
        <v>#REF!</v>
      </c>
      <c r="IK271" t="e">
        <f>IF(#REF!,"AAAAAH/9dPQ=",0)</f>
        <v>#REF!</v>
      </c>
      <c r="IL271" t="e">
        <f>AND(#REF!,"AAAAAH/9dPU=")</f>
        <v>#REF!</v>
      </c>
      <c r="IM271" t="e">
        <f>AND(#REF!,"AAAAAH/9dPY=")</f>
        <v>#REF!</v>
      </c>
      <c r="IN271" t="e">
        <f>AND(#REF!,"AAAAAH/9dPc=")</f>
        <v>#REF!</v>
      </c>
      <c r="IO271" t="e">
        <f>AND(#REF!,"AAAAAH/9dPg=")</f>
        <v>#REF!</v>
      </c>
      <c r="IP271" t="e">
        <f>AND(#REF!,"AAAAAH/9dPk=")</f>
        <v>#REF!</v>
      </c>
      <c r="IQ271" t="e">
        <f>AND(#REF!,"AAAAAH/9dPo=")</f>
        <v>#REF!</v>
      </c>
      <c r="IR271" t="e">
        <f>AND(#REF!,"AAAAAH/9dPs=")</f>
        <v>#REF!</v>
      </c>
      <c r="IS271" t="e">
        <f>AND(#REF!,"AAAAAH/9dPw=")</f>
        <v>#REF!</v>
      </c>
      <c r="IT271" t="e">
        <f>AND(#REF!,"AAAAAH/9dP0=")</f>
        <v>#REF!</v>
      </c>
      <c r="IU271" t="e">
        <f>AND(#REF!,"AAAAAH/9dP4=")</f>
        <v>#REF!</v>
      </c>
      <c r="IV271" t="e">
        <f>AND(#REF!,"AAAAAH/9dP8=")</f>
        <v>#REF!</v>
      </c>
    </row>
    <row r="272" spans="1:256" x14ac:dyDescent="0.2">
      <c r="A272" t="e">
        <f>AND(#REF!,"AAAAAD/u7wA=")</f>
        <v>#REF!</v>
      </c>
      <c r="B272" t="e">
        <f>AND(#REF!,"AAAAAD/u7wE=")</f>
        <v>#REF!</v>
      </c>
      <c r="C272" t="e">
        <f>IF(#REF!,"AAAAAD/u7wI=",0)</f>
        <v>#REF!</v>
      </c>
      <c r="D272" t="e">
        <f>AND(#REF!,"AAAAAD/u7wM=")</f>
        <v>#REF!</v>
      </c>
      <c r="E272" t="e">
        <f>AND(#REF!,"AAAAAD/u7wQ=")</f>
        <v>#REF!</v>
      </c>
      <c r="F272" t="e">
        <f>AND(#REF!,"AAAAAD/u7wU=")</f>
        <v>#REF!</v>
      </c>
      <c r="G272" t="e">
        <f>AND(#REF!,"AAAAAD/u7wY=")</f>
        <v>#REF!</v>
      </c>
      <c r="H272" t="e">
        <f>AND(#REF!,"AAAAAD/u7wc=")</f>
        <v>#REF!</v>
      </c>
      <c r="I272" t="e">
        <f>AND(#REF!,"AAAAAD/u7wg=")</f>
        <v>#REF!</v>
      </c>
      <c r="J272" t="e">
        <f>AND(#REF!,"AAAAAD/u7wk=")</f>
        <v>#REF!</v>
      </c>
      <c r="K272" t="e">
        <f>AND(#REF!,"AAAAAD/u7wo=")</f>
        <v>#REF!</v>
      </c>
      <c r="L272" t="e">
        <f>AND(#REF!,"AAAAAD/u7ws=")</f>
        <v>#REF!</v>
      </c>
      <c r="M272" t="e">
        <f>AND(#REF!,"AAAAAD/u7ww=")</f>
        <v>#REF!</v>
      </c>
      <c r="N272" t="e">
        <f>AND(#REF!,"AAAAAD/u7w0=")</f>
        <v>#REF!</v>
      </c>
      <c r="O272" t="e">
        <f>AND(#REF!,"AAAAAD/u7w4=")</f>
        <v>#REF!</v>
      </c>
      <c r="P272" t="e">
        <f>AND(#REF!,"AAAAAD/u7w8=")</f>
        <v>#REF!</v>
      </c>
      <c r="Q272" t="e">
        <f>IF(#REF!,"AAAAAD/u7xA=",0)</f>
        <v>#REF!</v>
      </c>
      <c r="R272" t="e">
        <f>AND(#REF!,"AAAAAD/u7xE=")</f>
        <v>#REF!</v>
      </c>
      <c r="S272" t="e">
        <f>AND(#REF!,"AAAAAD/u7xI=")</f>
        <v>#REF!</v>
      </c>
      <c r="T272" t="e">
        <f>AND(#REF!,"AAAAAD/u7xM=")</f>
        <v>#REF!</v>
      </c>
      <c r="U272" t="e">
        <f>AND(#REF!,"AAAAAD/u7xQ=")</f>
        <v>#REF!</v>
      </c>
      <c r="V272" t="e">
        <f>AND(#REF!,"AAAAAD/u7xU=")</f>
        <v>#REF!</v>
      </c>
      <c r="W272" t="e">
        <f>AND(#REF!,"AAAAAD/u7xY=")</f>
        <v>#REF!</v>
      </c>
      <c r="X272" t="e">
        <f>AND(#REF!,"AAAAAD/u7xc=")</f>
        <v>#REF!</v>
      </c>
      <c r="Y272" t="e">
        <f>AND(#REF!,"AAAAAD/u7xg=")</f>
        <v>#REF!</v>
      </c>
      <c r="Z272" t="e">
        <f>AND(#REF!,"AAAAAD/u7xk=")</f>
        <v>#REF!</v>
      </c>
      <c r="AA272" t="e">
        <f>AND(#REF!,"AAAAAD/u7xo=")</f>
        <v>#REF!</v>
      </c>
      <c r="AB272" t="e">
        <f>AND(#REF!,"AAAAAD/u7xs=")</f>
        <v>#REF!</v>
      </c>
      <c r="AC272" t="e">
        <f>AND(#REF!,"AAAAAD/u7xw=")</f>
        <v>#REF!</v>
      </c>
      <c r="AD272" t="e">
        <f>AND(#REF!,"AAAAAD/u7x0=")</f>
        <v>#REF!</v>
      </c>
      <c r="AE272" t="e">
        <f>IF(#REF!,"AAAAAD/u7x4=",0)</f>
        <v>#REF!</v>
      </c>
      <c r="AF272" t="e">
        <f>AND(#REF!,"AAAAAD/u7x8=")</f>
        <v>#REF!</v>
      </c>
      <c r="AG272" t="e">
        <f>AND(#REF!,"AAAAAD/u7yA=")</f>
        <v>#REF!</v>
      </c>
      <c r="AH272" t="e">
        <f>AND(#REF!,"AAAAAD/u7yE=")</f>
        <v>#REF!</v>
      </c>
      <c r="AI272" t="e">
        <f>AND(#REF!,"AAAAAD/u7yI=")</f>
        <v>#REF!</v>
      </c>
      <c r="AJ272" t="e">
        <f>AND(#REF!,"AAAAAD/u7yM=")</f>
        <v>#REF!</v>
      </c>
      <c r="AK272" t="e">
        <f>AND(#REF!,"AAAAAD/u7yQ=")</f>
        <v>#REF!</v>
      </c>
      <c r="AL272" t="e">
        <f>AND(#REF!,"AAAAAD/u7yU=")</f>
        <v>#REF!</v>
      </c>
      <c r="AM272" t="e">
        <f>AND(#REF!,"AAAAAD/u7yY=")</f>
        <v>#REF!</v>
      </c>
      <c r="AN272" t="e">
        <f>AND(#REF!,"AAAAAD/u7yc=")</f>
        <v>#REF!</v>
      </c>
      <c r="AO272" t="e">
        <f>AND(#REF!,"AAAAAD/u7yg=")</f>
        <v>#REF!</v>
      </c>
      <c r="AP272" t="e">
        <f>AND(#REF!,"AAAAAD/u7yk=")</f>
        <v>#REF!</v>
      </c>
      <c r="AQ272" t="e">
        <f>AND(#REF!,"AAAAAD/u7yo=")</f>
        <v>#REF!</v>
      </c>
      <c r="AR272" t="e">
        <f>AND(#REF!,"AAAAAD/u7ys=")</f>
        <v>#REF!</v>
      </c>
      <c r="AS272" t="e">
        <f>IF(#REF!,"AAAAAD/u7yw=",0)</f>
        <v>#REF!</v>
      </c>
      <c r="AT272" t="e">
        <f>AND(#REF!,"AAAAAD/u7y0=")</f>
        <v>#REF!</v>
      </c>
      <c r="AU272" t="e">
        <f>AND(#REF!,"AAAAAD/u7y4=")</f>
        <v>#REF!</v>
      </c>
      <c r="AV272" t="e">
        <f>AND(#REF!,"AAAAAD/u7y8=")</f>
        <v>#REF!</v>
      </c>
      <c r="AW272" t="e">
        <f>AND(#REF!,"AAAAAD/u7zA=")</f>
        <v>#REF!</v>
      </c>
      <c r="AX272" t="e">
        <f>AND(#REF!,"AAAAAD/u7zE=")</f>
        <v>#REF!</v>
      </c>
      <c r="AY272" t="e">
        <f>AND(#REF!,"AAAAAD/u7zI=")</f>
        <v>#REF!</v>
      </c>
      <c r="AZ272" t="e">
        <f>AND(#REF!,"AAAAAD/u7zM=")</f>
        <v>#REF!</v>
      </c>
      <c r="BA272" t="e">
        <f>AND(#REF!,"AAAAAD/u7zQ=")</f>
        <v>#REF!</v>
      </c>
      <c r="BB272" t="e">
        <f>AND(#REF!,"AAAAAD/u7zU=")</f>
        <v>#REF!</v>
      </c>
      <c r="BC272" t="e">
        <f>AND(#REF!,"AAAAAD/u7zY=")</f>
        <v>#REF!</v>
      </c>
      <c r="BD272" t="e">
        <f>AND(#REF!,"AAAAAD/u7zc=")</f>
        <v>#REF!</v>
      </c>
      <c r="BE272" t="e">
        <f>AND(#REF!,"AAAAAD/u7zg=")</f>
        <v>#REF!</v>
      </c>
      <c r="BF272" t="e">
        <f>AND(#REF!,"AAAAAD/u7zk=")</f>
        <v>#REF!</v>
      </c>
      <c r="BG272" t="e">
        <f>IF(#REF!,"AAAAAD/u7zo=",0)</f>
        <v>#REF!</v>
      </c>
      <c r="BH272" t="e">
        <f>AND(#REF!,"AAAAAD/u7zs=")</f>
        <v>#REF!</v>
      </c>
      <c r="BI272" t="e">
        <f>AND(#REF!,"AAAAAD/u7zw=")</f>
        <v>#REF!</v>
      </c>
      <c r="BJ272" t="e">
        <f>AND(#REF!,"AAAAAD/u7z0=")</f>
        <v>#REF!</v>
      </c>
      <c r="BK272" t="e">
        <f>AND(#REF!,"AAAAAD/u7z4=")</f>
        <v>#REF!</v>
      </c>
      <c r="BL272" t="e">
        <f>AND(#REF!,"AAAAAD/u7z8=")</f>
        <v>#REF!</v>
      </c>
      <c r="BM272" t="e">
        <f>AND(#REF!,"AAAAAD/u70A=")</f>
        <v>#REF!</v>
      </c>
      <c r="BN272" t="e">
        <f>AND(#REF!,"AAAAAD/u70E=")</f>
        <v>#REF!</v>
      </c>
      <c r="BO272" t="e">
        <f>AND(#REF!,"AAAAAD/u70I=")</f>
        <v>#REF!</v>
      </c>
      <c r="BP272" t="e">
        <f>AND(#REF!,"AAAAAD/u70M=")</f>
        <v>#REF!</v>
      </c>
      <c r="BQ272" t="e">
        <f>AND(#REF!,"AAAAAD/u70Q=")</f>
        <v>#REF!</v>
      </c>
      <c r="BR272" t="e">
        <f>AND(#REF!,"AAAAAD/u70U=")</f>
        <v>#REF!</v>
      </c>
      <c r="BS272" t="e">
        <f>AND(#REF!,"AAAAAD/u70Y=")</f>
        <v>#REF!</v>
      </c>
      <c r="BT272" t="e">
        <f>AND(#REF!,"AAAAAD/u70c=")</f>
        <v>#REF!</v>
      </c>
      <c r="BU272" t="e">
        <f>IF(#REF!,"AAAAAD/u70g=",0)</f>
        <v>#REF!</v>
      </c>
      <c r="BV272" t="e">
        <f>AND(#REF!,"AAAAAD/u70k=")</f>
        <v>#REF!</v>
      </c>
      <c r="BW272" t="e">
        <f>AND(#REF!,"AAAAAD/u70o=")</f>
        <v>#REF!</v>
      </c>
      <c r="BX272" t="e">
        <f>AND(#REF!,"AAAAAD/u70s=")</f>
        <v>#REF!</v>
      </c>
      <c r="BY272" t="e">
        <f>AND(#REF!,"AAAAAD/u70w=")</f>
        <v>#REF!</v>
      </c>
      <c r="BZ272" t="e">
        <f>AND(#REF!,"AAAAAD/u700=")</f>
        <v>#REF!</v>
      </c>
      <c r="CA272" t="e">
        <f>AND(#REF!,"AAAAAD/u704=")</f>
        <v>#REF!</v>
      </c>
      <c r="CB272" t="e">
        <f>AND(#REF!,"AAAAAD/u708=")</f>
        <v>#REF!</v>
      </c>
      <c r="CC272" t="e">
        <f>AND(#REF!,"AAAAAD/u71A=")</f>
        <v>#REF!</v>
      </c>
      <c r="CD272" t="e">
        <f>AND(#REF!,"AAAAAD/u71E=")</f>
        <v>#REF!</v>
      </c>
      <c r="CE272" t="e">
        <f>AND(#REF!,"AAAAAD/u71I=")</f>
        <v>#REF!</v>
      </c>
      <c r="CF272" t="e">
        <f>AND(#REF!,"AAAAAD/u71M=")</f>
        <v>#REF!</v>
      </c>
      <c r="CG272" t="e">
        <f>AND(#REF!,"AAAAAD/u71Q=")</f>
        <v>#REF!</v>
      </c>
      <c r="CH272" t="e">
        <f>AND(#REF!,"AAAAAD/u71U=")</f>
        <v>#REF!</v>
      </c>
      <c r="CI272" t="e">
        <f>IF(#REF!,"AAAAAD/u71Y=",0)</f>
        <v>#REF!</v>
      </c>
      <c r="CJ272" t="e">
        <f>AND(#REF!,"AAAAAD/u71c=")</f>
        <v>#REF!</v>
      </c>
      <c r="CK272" t="e">
        <f>AND(#REF!,"AAAAAD/u71g=")</f>
        <v>#REF!</v>
      </c>
      <c r="CL272" t="e">
        <f>AND(#REF!,"AAAAAD/u71k=")</f>
        <v>#REF!</v>
      </c>
      <c r="CM272" t="e">
        <f>AND(#REF!,"AAAAAD/u71o=")</f>
        <v>#REF!</v>
      </c>
      <c r="CN272" t="e">
        <f>AND(#REF!,"AAAAAD/u71s=")</f>
        <v>#REF!</v>
      </c>
      <c r="CO272" t="e">
        <f>AND(#REF!,"AAAAAD/u71w=")</f>
        <v>#REF!</v>
      </c>
      <c r="CP272" t="e">
        <f>AND(#REF!,"AAAAAD/u710=")</f>
        <v>#REF!</v>
      </c>
      <c r="CQ272" t="e">
        <f>AND(#REF!,"AAAAAD/u714=")</f>
        <v>#REF!</v>
      </c>
      <c r="CR272" t="e">
        <f>AND(#REF!,"AAAAAD/u718=")</f>
        <v>#REF!</v>
      </c>
      <c r="CS272" t="e">
        <f>AND(#REF!,"AAAAAD/u72A=")</f>
        <v>#REF!</v>
      </c>
      <c r="CT272" t="e">
        <f>AND(#REF!,"AAAAAD/u72E=")</f>
        <v>#REF!</v>
      </c>
      <c r="CU272" t="e">
        <f>AND(#REF!,"AAAAAD/u72I=")</f>
        <v>#REF!</v>
      </c>
      <c r="CV272" t="e">
        <f>AND(#REF!,"AAAAAD/u72M=")</f>
        <v>#REF!</v>
      </c>
      <c r="CW272" t="e">
        <f>IF(#REF!,"AAAAAD/u72Q=",0)</f>
        <v>#REF!</v>
      </c>
      <c r="CX272" t="e">
        <f>AND(#REF!,"AAAAAD/u72U=")</f>
        <v>#REF!</v>
      </c>
      <c r="CY272" t="e">
        <f>AND(#REF!,"AAAAAD/u72Y=")</f>
        <v>#REF!</v>
      </c>
      <c r="CZ272" t="e">
        <f>AND(#REF!,"AAAAAD/u72c=")</f>
        <v>#REF!</v>
      </c>
      <c r="DA272" t="e">
        <f>AND(#REF!,"AAAAAD/u72g=")</f>
        <v>#REF!</v>
      </c>
      <c r="DB272" t="e">
        <f>AND(#REF!,"AAAAAD/u72k=")</f>
        <v>#REF!</v>
      </c>
      <c r="DC272" t="e">
        <f>AND(#REF!,"AAAAAD/u72o=")</f>
        <v>#REF!</v>
      </c>
      <c r="DD272" t="e">
        <f>AND(#REF!,"AAAAAD/u72s=")</f>
        <v>#REF!</v>
      </c>
      <c r="DE272" t="e">
        <f>AND(#REF!,"AAAAAD/u72w=")</f>
        <v>#REF!</v>
      </c>
      <c r="DF272" t="e">
        <f>AND(#REF!,"AAAAAD/u720=")</f>
        <v>#REF!</v>
      </c>
      <c r="DG272" t="e">
        <f>AND(#REF!,"AAAAAD/u724=")</f>
        <v>#REF!</v>
      </c>
      <c r="DH272" t="e">
        <f>AND(#REF!,"AAAAAD/u728=")</f>
        <v>#REF!</v>
      </c>
      <c r="DI272" t="e">
        <f>AND(#REF!,"AAAAAD/u73A=")</f>
        <v>#REF!</v>
      </c>
      <c r="DJ272" t="e">
        <f>AND(#REF!,"AAAAAD/u73E=")</f>
        <v>#REF!</v>
      </c>
      <c r="DK272" t="e">
        <f>IF(#REF!,"AAAAAD/u73I=",0)</f>
        <v>#REF!</v>
      </c>
      <c r="DL272" t="e">
        <f>AND(#REF!,"AAAAAD/u73M=")</f>
        <v>#REF!</v>
      </c>
      <c r="DM272" t="e">
        <f>AND(#REF!,"AAAAAD/u73Q=")</f>
        <v>#REF!</v>
      </c>
      <c r="DN272" t="e">
        <f>AND(#REF!,"AAAAAD/u73U=")</f>
        <v>#REF!</v>
      </c>
      <c r="DO272" t="e">
        <f>AND(#REF!,"AAAAAD/u73Y=")</f>
        <v>#REF!</v>
      </c>
      <c r="DP272" t="e">
        <f>AND(#REF!,"AAAAAD/u73c=")</f>
        <v>#REF!</v>
      </c>
      <c r="DQ272" t="e">
        <f>AND(#REF!,"AAAAAD/u73g=")</f>
        <v>#REF!</v>
      </c>
      <c r="DR272" t="e">
        <f>AND(#REF!,"AAAAAD/u73k=")</f>
        <v>#REF!</v>
      </c>
      <c r="DS272" t="e">
        <f>AND(#REF!,"AAAAAD/u73o=")</f>
        <v>#REF!</v>
      </c>
      <c r="DT272" t="e">
        <f>AND(#REF!,"AAAAAD/u73s=")</f>
        <v>#REF!</v>
      </c>
      <c r="DU272" t="e">
        <f>AND(#REF!,"AAAAAD/u73w=")</f>
        <v>#REF!</v>
      </c>
      <c r="DV272" t="e">
        <f>AND(#REF!,"AAAAAD/u730=")</f>
        <v>#REF!</v>
      </c>
      <c r="DW272" t="e">
        <f>AND(#REF!,"AAAAAD/u734=")</f>
        <v>#REF!</v>
      </c>
      <c r="DX272" t="e">
        <f>AND(#REF!,"AAAAAD/u738=")</f>
        <v>#REF!</v>
      </c>
      <c r="DY272" t="e">
        <f>IF(#REF!,"AAAAAD/u74A=",0)</f>
        <v>#REF!</v>
      </c>
      <c r="DZ272" t="e">
        <f>AND(#REF!,"AAAAAD/u74E=")</f>
        <v>#REF!</v>
      </c>
      <c r="EA272" t="e">
        <f>AND(#REF!,"AAAAAD/u74I=")</f>
        <v>#REF!</v>
      </c>
      <c r="EB272" t="e">
        <f>AND(#REF!,"AAAAAD/u74M=")</f>
        <v>#REF!</v>
      </c>
      <c r="EC272" t="e">
        <f>AND(#REF!,"AAAAAD/u74Q=")</f>
        <v>#REF!</v>
      </c>
      <c r="ED272" t="e">
        <f>AND(#REF!,"AAAAAD/u74U=")</f>
        <v>#REF!</v>
      </c>
      <c r="EE272" t="e">
        <f>AND(#REF!,"AAAAAD/u74Y=")</f>
        <v>#REF!</v>
      </c>
      <c r="EF272" t="e">
        <f>AND(#REF!,"AAAAAD/u74c=")</f>
        <v>#REF!</v>
      </c>
      <c r="EG272" t="e">
        <f>AND(#REF!,"AAAAAD/u74g=")</f>
        <v>#REF!</v>
      </c>
      <c r="EH272" t="e">
        <f>AND(#REF!,"AAAAAD/u74k=")</f>
        <v>#REF!</v>
      </c>
      <c r="EI272" t="e">
        <f>AND(#REF!,"AAAAAD/u74o=")</f>
        <v>#REF!</v>
      </c>
      <c r="EJ272" t="e">
        <f>AND(#REF!,"AAAAAD/u74s=")</f>
        <v>#REF!</v>
      </c>
      <c r="EK272" t="e">
        <f>AND(#REF!,"AAAAAD/u74w=")</f>
        <v>#REF!</v>
      </c>
      <c r="EL272" t="e">
        <f>AND(#REF!,"AAAAAD/u740=")</f>
        <v>#REF!</v>
      </c>
      <c r="EM272" t="e">
        <f>IF(#REF!,"AAAAAD/u744=",0)</f>
        <v>#REF!</v>
      </c>
      <c r="EN272" t="e">
        <f>AND(#REF!,"AAAAAD/u748=")</f>
        <v>#REF!</v>
      </c>
      <c r="EO272" t="e">
        <f>AND(#REF!,"AAAAAD/u75A=")</f>
        <v>#REF!</v>
      </c>
      <c r="EP272" t="e">
        <f>AND(#REF!,"AAAAAD/u75E=")</f>
        <v>#REF!</v>
      </c>
      <c r="EQ272" t="e">
        <f>AND(#REF!,"AAAAAD/u75I=")</f>
        <v>#REF!</v>
      </c>
      <c r="ER272" t="e">
        <f>AND(#REF!,"AAAAAD/u75M=")</f>
        <v>#REF!</v>
      </c>
      <c r="ES272" t="e">
        <f>AND(#REF!,"AAAAAD/u75Q=")</f>
        <v>#REF!</v>
      </c>
      <c r="ET272" t="e">
        <f>AND(#REF!,"AAAAAD/u75U=")</f>
        <v>#REF!</v>
      </c>
      <c r="EU272" t="e">
        <f>AND(#REF!,"AAAAAD/u75Y=")</f>
        <v>#REF!</v>
      </c>
      <c r="EV272" t="e">
        <f>AND(#REF!,"AAAAAD/u75c=")</f>
        <v>#REF!</v>
      </c>
      <c r="EW272" t="e">
        <f>AND(#REF!,"AAAAAD/u75g=")</f>
        <v>#REF!</v>
      </c>
      <c r="EX272" t="e">
        <f>AND(#REF!,"AAAAAD/u75k=")</f>
        <v>#REF!</v>
      </c>
      <c r="EY272" t="e">
        <f>AND(#REF!,"AAAAAD/u75o=")</f>
        <v>#REF!</v>
      </c>
      <c r="EZ272" t="e">
        <f>AND(#REF!,"AAAAAD/u75s=")</f>
        <v>#REF!</v>
      </c>
      <c r="FA272" t="e">
        <f>IF(#REF!,"AAAAAD/u75w=",0)</f>
        <v>#REF!</v>
      </c>
      <c r="FB272" t="e">
        <f>AND(#REF!,"AAAAAD/u750=")</f>
        <v>#REF!</v>
      </c>
      <c r="FC272" t="e">
        <f>AND(#REF!,"AAAAAD/u754=")</f>
        <v>#REF!</v>
      </c>
      <c r="FD272" t="e">
        <f>AND(#REF!,"AAAAAD/u758=")</f>
        <v>#REF!</v>
      </c>
      <c r="FE272" t="e">
        <f>AND(#REF!,"AAAAAD/u76A=")</f>
        <v>#REF!</v>
      </c>
      <c r="FF272" t="e">
        <f>AND(#REF!,"AAAAAD/u76E=")</f>
        <v>#REF!</v>
      </c>
      <c r="FG272" t="e">
        <f>AND(#REF!,"AAAAAD/u76I=")</f>
        <v>#REF!</v>
      </c>
      <c r="FH272" t="e">
        <f>AND(#REF!,"AAAAAD/u76M=")</f>
        <v>#REF!</v>
      </c>
      <c r="FI272" t="e">
        <f>AND(#REF!,"AAAAAD/u76Q=")</f>
        <v>#REF!</v>
      </c>
      <c r="FJ272" t="e">
        <f>AND(#REF!,"AAAAAD/u76U=")</f>
        <v>#REF!</v>
      </c>
      <c r="FK272" t="e">
        <f>AND(#REF!,"AAAAAD/u76Y=")</f>
        <v>#REF!</v>
      </c>
      <c r="FL272" t="e">
        <f>AND(#REF!,"AAAAAD/u76c=")</f>
        <v>#REF!</v>
      </c>
      <c r="FM272" t="e">
        <f>AND(#REF!,"AAAAAD/u76g=")</f>
        <v>#REF!</v>
      </c>
      <c r="FN272" t="e">
        <f>AND(#REF!,"AAAAAD/u76k=")</f>
        <v>#REF!</v>
      </c>
      <c r="FO272" t="e">
        <f>IF(#REF!,"AAAAAD/u76o=",0)</f>
        <v>#REF!</v>
      </c>
      <c r="FP272" t="e">
        <f>AND(#REF!,"AAAAAD/u76s=")</f>
        <v>#REF!</v>
      </c>
      <c r="FQ272" t="e">
        <f>AND(#REF!,"AAAAAD/u76w=")</f>
        <v>#REF!</v>
      </c>
      <c r="FR272" t="e">
        <f>AND(#REF!,"AAAAAD/u760=")</f>
        <v>#REF!</v>
      </c>
      <c r="FS272" t="e">
        <f>AND(#REF!,"AAAAAD/u764=")</f>
        <v>#REF!</v>
      </c>
      <c r="FT272" t="e">
        <f>AND(#REF!,"AAAAAD/u768=")</f>
        <v>#REF!</v>
      </c>
      <c r="FU272" t="e">
        <f>AND(#REF!,"AAAAAD/u77A=")</f>
        <v>#REF!</v>
      </c>
      <c r="FV272" t="e">
        <f>AND(#REF!,"AAAAAD/u77E=")</f>
        <v>#REF!</v>
      </c>
      <c r="FW272" t="e">
        <f>AND(#REF!,"AAAAAD/u77I=")</f>
        <v>#REF!</v>
      </c>
      <c r="FX272" t="e">
        <f>AND(#REF!,"AAAAAD/u77M=")</f>
        <v>#REF!</v>
      </c>
      <c r="FY272" t="e">
        <f>AND(#REF!,"AAAAAD/u77Q=")</f>
        <v>#REF!</v>
      </c>
      <c r="FZ272" t="e">
        <f>AND(#REF!,"AAAAAD/u77U=")</f>
        <v>#REF!</v>
      </c>
      <c r="GA272" t="e">
        <f>AND(#REF!,"AAAAAD/u77Y=")</f>
        <v>#REF!</v>
      </c>
      <c r="GB272" t="e">
        <f>AND(#REF!,"AAAAAD/u77c=")</f>
        <v>#REF!</v>
      </c>
      <c r="GC272" t="e">
        <f>IF(#REF!,"AAAAAD/u77g=",0)</f>
        <v>#REF!</v>
      </c>
      <c r="GD272" t="e">
        <f>AND(#REF!,"AAAAAD/u77k=")</f>
        <v>#REF!</v>
      </c>
      <c r="GE272" t="e">
        <f>AND(#REF!,"AAAAAD/u77o=")</f>
        <v>#REF!</v>
      </c>
      <c r="GF272" t="e">
        <f>AND(#REF!,"AAAAAD/u77s=")</f>
        <v>#REF!</v>
      </c>
      <c r="GG272" t="e">
        <f>AND(#REF!,"AAAAAD/u77w=")</f>
        <v>#REF!</v>
      </c>
      <c r="GH272" t="e">
        <f>AND(#REF!,"AAAAAD/u770=")</f>
        <v>#REF!</v>
      </c>
      <c r="GI272" t="e">
        <f>AND(#REF!,"AAAAAD/u774=")</f>
        <v>#REF!</v>
      </c>
      <c r="GJ272" t="e">
        <f>AND(#REF!,"AAAAAD/u778=")</f>
        <v>#REF!</v>
      </c>
      <c r="GK272" t="e">
        <f>AND(#REF!,"AAAAAD/u78A=")</f>
        <v>#REF!</v>
      </c>
      <c r="GL272" t="e">
        <f>AND(#REF!,"AAAAAD/u78E=")</f>
        <v>#REF!</v>
      </c>
      <c r="GM272" t="e">
        <f>AND(#REF!,"AAAAAD/u78I=")</f>
        <v>#REF!</v>
      </c>
      <c r="GN272" t="e">
        <f>AND(#REF!,"AAAAAD/u78M=")</f>
        <v>#REF!</v>
      </c>
      <c r="GO272" t="e">
        <f>AND(#REF!,"AAAAAD/u78Q=")</f>
        <v>#REF!</v>
      </c>
      <c r="GP272" t="e">
        <f>AND(#REF!,"AAAAAD/u78U=")</f>
        <v>#REF!</v>
      </c>
      <c r="GQ272" t="e">
        <f>IF(#REF!,"AAAAAD/u78Y=",0)</f>
        <v>#REF!</v>
      </c>
      <c r="GR272" t="e">
        <f>AND(#REF!,"AAAAAD/u78c=")</f>
        <v>#REF!</v>
      </c>
      <c r="GS272" t="e">
        <f>AND(#REF!,"AAAAAD/u78g=")</f>
        <v>#REF!</v>
      </c>
      <c r="GT272" t="e">
        <f>AND(#REF!,"AAAAAD/u78k=")</f>
        <v>#REF!</v>
      </c>
      <c r="GU272" t="e">
        <f>AND(#REF!,"AAAAAD/u78o=")</f>
        <v>#REF!</v>
      </c>
      <c r="GV272" t="e">
        <f>AND(#REF!,"AAAAAD/u78s=")</f>
        <v>#REF!</v>
      </c>
      <c r="GW272" t="e">
        <f>AND(#REF!,"AAAAAD/u78w=")</f>
        <v>#REF!</v>
      </c>
      <c r="GX272" t="e">
        <f>AND(#REF!,"AAAAAD/u780=")</f>
        <v>#REF!</v>
      </c>
      <c r="GY272" t="e">
        <f>AND(#REF!,"AAAAAD/u784=")</f>
        <v>#REF!</v>
      </c>
      <c r="GZ272" t="e">
        <f>AND(#REF!,"AAAAAD/u788=")</f>
        <v>#REF!</v>
      </c>
      <c r="HA272" t="e">
        <f>AND(#REF!,"AAAAAD/u79A=")</f>
        <v>#REF!</v>
      </c>
      <c r="HB272" t="e">
        <f>AND(#REF!,"AAAAAD/u79E=")</f>
        <v>#REF!</v>
      </c>
      <c r="HC272" t="e">
        <f>AND(#REF!,"AAAAAD/u79I=")</f>
        <v>#REF!</v>
      </c>
      <c r="HD272" t="e">
        <f>AND(#REF!,"AAAAAD/u79M=")</f>
        <v>#REF!</v>
      </c>
      <c r="HE272" t="e">
        <f>IF(#REF!,"AAAAAD/u79Q=",0)</f>
        <v>#REF!</v>
      </c>
      <c r="HF272" t="e">
        <f>AND(#REF!,"AAAAAD/u79U=")</f>
        <v>#REF!</v>
      </c>
      <c r="HG272" t="e">
        <f>AND(#REF!,"AAAAAD/u79Y=")</f>
        <v>#REF!</v>
      </c>
      <c r="HH272" t="e">
        <f>AND(#REF!,"AAAAAD/u79c=")</f>
        <v>#REF!</v>
      </c>
      <c r="HI272" t="e">
        <f>AND(#REF!,"AAAAAD/u79g=")</f>
        <v>#REF!</v>
      </c>
      <c r="HJ272" t="e">
        <f>AND(#REF!,"AAAAAD/u79k=")</f>
        <v>#REF!</v>
      </c>
      <c r="HK272" t="e">
        <f>AND(#REF!,"AAAAAD/u79o=")</f>
        <v>#REF!</v>
      </c>
      <c r="HL272" t="e">
        <f>AND(#REF!,"AAAAAD/u79s=")</f>
        <v>#REF!</v>
      </c>
      <c r="HM272" t="e">
        <f>AND(#REF!,"AAAAAD/u79w=")</f>
        <v>#REF!</v>
      </c>
      <c r="HN272" t="e">
        <f>AND(#REF!,"AAAAAD/u790=")</f>
        <v>#REF!</v>
      </c>
      <c r="HO272" t="e">
        <f>AND(#REF!,"AAAAAD/u794=")</f>
        <v>#REF!</v>
      </c>
      <c r="HP272" t="e">
        <f>AND(#REF!,"AAAAAD/u798=")</f>
        <v>#REF!</v>
      </c>
      <c r="HQ272" t="e">
        <f>AND(#REF!,"AAAAAD/u7+A=")</f>
        <v>#REF!</v>
      </c>
      <c r="HR272" t="e">
        <f>AND(#REF!,"AAAAAD/u7+E=")</f>
        <v>#REF!</v>
      </c>
      <c r="HS272" t="e">
        <f>IF(#REF!,"AAAAAD/u7+I=",0)</f>
        <v>#REF!</v>
      </c>
      <c r="HT272" t="e">
        <f>AND(#REF!,"AAAAAD/u7+M=")</f>
        <v>#REF!</v>
      </c>
      <c r="HU272" t="e">
        <f>AND(#REF!,"AAAAAD/u7+Q=")</f>
        <v>#REF!</v>
      </c>
      <c r="HV272" t="e">
        <f>AND(#REF!,"AAAAAD/u7+U=")</f>
        <v>#REF!</v>
      </c>
      <c r="HW272" t="e">
        <f>AND(#REF!,"AAAAAD/u7+Y=")</f>
        <v>#REF!</v>
      </c>
      <c r="HX272" t="e">
        <f>AND(#REF!,"AAAAAD/u7+c=")</f>
        <v>#REF!</v>
      </c>
      <c r="HY272" t="e">
        <f>AND(#REF!,"AAAAAD/u7+g=")</f>
        <v>#REF!</v>
      </c>
      <c r="HZ272" t="e">
        <f>AND(#REF!,"AAAAAD/u7+k=")</f>
        <v>#REF!</v>
      </c>
      <c r="IA272" t="e">
        <f>AND(#REF!,"AAAAAD/u7+o=")</f>
        <v>#REF!</v>
      </c>
      <c r="IB272" t="e">
        <f>AND(#REF!,"AAAAAD/u7+s=")</f>
        <v>#REF!</v>
      </c>
      <c r="IC272" t="e">
        <f>AND(#REF!,"AAAAAD/u7+w=")</f>
        <v>#REF!</v>
      </c>
      <c r="ID272" t="e">
        <f>AND(#REF!,"AAAAAD/u7+0=")</f>
        <v>#REF!</v>
      </c>
      <c r="IE272" t="e">
        <f>AND(#REF!,"AAAAAD/u7+4=")</f>
        <v>#REF!</v>
      </c>
      <c r="IF272" t="e">
        <f>AND(#REF!,"AAAAAD/u7+8=")</f>
        <v>#REF!</v>
      </c>
      <c r="IG272" t="e">
        <f>IF(#REF!,"AAAAAD/u7/A=",0)</f>
        <v>#REF!</v>
      </c>
      <c r="IH272" t="e">
        <f>AND(#REF!,"AAAAAD/u7/E=")</f>
        <v>#REF!</v>
      </c>
      <c r="II272" t="e">
        <f>AND(#REF!,"AAAAAD/u7/I=")</f>
        <v>#REF!</v>
      </c>
      <c r="IJ272" t="e">
        <f>AND(#REF!,"AAAAAD/u7/M=")</f>
        <v>#REF!</v>
      </c>
      <c r="IK272" t="e">
        <f>AND(#REF!,"AAAAAD/u7/Q=")</f>
        <v>#REF!</v>
      </c>
      <c r="IL272" t="e">
        <f>AND(#REF!,"AAAAAD/u7/U=")</f>
        <v>#REF!</v>
      </c>
      <c r="IM272" t="e">
        <f>AND(#REF!,"AAAAAD/u7/Y=")</f>
        <v>#REF!</v>
      </c>
      <c r="IN272" t="e">
        <f>AND(#REF!,"AAAAAD/u7/c=")</f>
        <v>#REF!</v>
      </c>
      <c r="IO272" t="e">
        <f>AND(#REF!,"AAAAAD/u7/g=")</f>
        <v>#REF!</v>
      </c>
      <c r="IP272" t="e">
        <f>AND(#REF!,"AAAAAD/u7/k=")</f>
        <v>#REF!</v>
      </c>
      <c r="IQ272" t="e">
        <f>AND(#REF!,"AAAAAD/u7/o=")</f>
        <v>#REF!</v>
      </c>
      <c r="IR272" t="e">
        <f>AND(#REF!,"AAAAAD/u7/s=")</f>
        <v>#REF!</v>
      </c>
      <c r="IS272" t="e">
        <f>AND(#REF!,"AAAAAD/u7/w=")</f>
        <v>#REF!</v>
      </c>
      <c r="IT272" t="e">
        <f>AND(#REF!,"AAAAAD/u7/0=")</f>
        <v>#REF!</v>
      </c>
      <c r="IU272" t="e">
        <f>IF(#REF!,"AAAAAD/u7/4=",0)</f>
        <v>#REF!</v>
      </c>
      <c r="IV272" t="e">
        <f>AND(#REF!,"AAAAAD/u7/8=")</f>
        <v>#REF!</v>
      </c>
    </row>
    <row r="273" spans="1:256" x14ac:dyDescent="0.2">
      <c r="A273" t="e">
        <f>AND(#REF!,"AAAAADb+zwA=")</f>
        <v>#REF!</v>
      </c>
      <c r="B273" t="e">
        <f>AND(#REF!,"AAAAADb+zwE=")</f>
        <v>#REF!</v>
      </c>
      <c r="C273" t="e">
        <f>AND(#REF!,"AAAAADb+zwI=")</f>
        <v>#REF!</v>
      </c>
      <c r="D273" t="e">
        <f>AND(#REF!,"AAAAADb+zwM=")</f>
        <v>#REF!</v>
      </c>
      <c r="E273" t="e">
        <f>AND(#REF!,"AAAAADb+zwQ=")</f>
        <v>#REF!</v>
      </c>
      <c r="F273" t="e">
        <f>AND(#REF!,"AAAAADb+zwU=")</f>
        <v>#REF!</v>
      </c>
      <c r="G273" t="e">
        <f>AND(#REF!,"AAAAADb+zwY=")</f>
        <v>#REF!</v>
      </c>
      <c r="H273" t="e">
        <f>AND(#REF!,"AAAAADb+zwc=")</f>
        <v>#REF!</v>
      </c>
      <c r="I273" t="e">
        <f>AND(#REF!,"AAAAADb+zwg=")</f>
        <v>#REF!</v>
      </c>
      <c r="J273" t="e">
        <f>AND(#REF!,"AAAAADb+zwk=")</f>
        <v>#REF!</v>
      </c>
      <c r="K273" t="e">
        <f>AND(#REF!,"AAAAADb+zwo=")</f>
        <v>#REF!</v>
      </c>
      <c r="L273" t="e">
        <f>AND(#REF!,"AAAAADb+zws=")</f>
        <v>#REF!</v>
      </c>
      <c r="M273" t="e">
        <f>IF(#REF!,"AAAAADb+zww=",0)</f>
        <v>#REF!</v>
      </c>
      <c r="N273" t="e">
        <f>AND(#REF!,"AAAAADb+zw0=")</f>
        <v>#REF!</v>
      </c>
      <c r="O273" t="e">
        <f>AND(#REF!,"AAAAADb+zw4=")</f>
        <v>#REF!</v>
      </c>
      <c r="P273" t="e">
        <f>AND(#REF!,"AAAAADb+zw8=")</f>
        <v>#REF!</v>
      </c>
      <c r="Q273" t="e">
        <f>AND(#REF!,"AAAAADb+zxA=")</f>
        <v>#REF!</v>
      </c>
      <c r="R273" t="e">
        <f>AND(#REF!,"AAAAADb+zxE=")</f>
        <v>#REF!</v>
      </c>
      <c r="S273" t="e">
        <f>AND(#REF!,"AAAAADb+zxI=")</f>
        <v>#REF!</v>
      </c>
      <c r="T273" t="e">
        <f>AND(#REF!,"AAAAADb+zxM=")</f>
        <v>#REF!</v>
      </c>
      <c r="U273" t="e">
        <f>AND(#REF!,"AAAAADb+zxQ=")</f>
        <v>#REF!</v>
      </c>
      <c r="V273" t="e">
        <f>AND(#REF!,"AAAAADb+zxU=")</f>
        <v>#REF!</v>
      </c>
      <c r="W273" t="e">
        <f>AND(#REF!,"AAAAADb+zxY=")</f>
        <v>#REF!</v>
      </c>
      <c r="X273" t="e">
        <f>AND(#REF!,"AAAAADb+zxc=")</f>
        <v>#REF!</v>
      </c>
      <c r="Y273" t="e">
        <f>AND(#REF!,"AAAAADb+zxg=")</f>
        <v>#REF!</v>
      </c>
      <c r="Z273" t="e">
        <f>AND(#REF!,"AAAAADb+zxk=")</f>
        <v>#REF!</v>
      </c>
      <c r="AA273" t="e">
        <f>IF(#REF!,"AAAAADb+zxo=",0)</f>
        <v>#REF!</v>
      </c>
      <c r="AB273" t="e">
        <f>AND(#REF!,"AAAAADb+zxs=")</f>
        <v>#REF!</v>
      </c>
      <c r="AC273" t="e">
        <f>AND(#REF!,"AAAAADb+zxw=")</f>
        <v>#REF!</v>
      </c>
      <c r="AD273" t="e">
        <f>AND(#REF!,"AAAAADb+zx0=")</f>
        <v>#REF!</v>
      </c>
      <c r="AE273" t="e">
        <f>AND(#REF!,"AAAAADb+zx4=")</f>
        <v>#REF!</v>
      </c>
      <c r="AF273" t="e">
        <f>AND(#REF!,"AAAAADb+zx8=")</f>
        <v>#REF!</v>
      </c>
      <c r="AG273" t="e">
        <f>AND(#REF!,"AAAAADb+zyA=")</f>
        <v>#REF!</v>
      </c>
      <c r="AH273" t="e">
        <f>AND(#REF!,"AAAAADb+zyE=")</f>
        <v>#REF!</v>
      </c>
      <c r="AI273" t="e">
        <f>AND(#REF!,"AAAAADb+zyI=")</f>
        <v>#REF!</v>
      </c>
      <c r="AJ273" t="e">
        <f>AND(#REF!,"AAAAADb+zyM=")</f>
        <v>#REF!</v>
      </c>
      <c r="AK273" t="e">
        <f>AND(#REF!,"AAAAADb+zyQ=")</f>
        <v>#REF!</v>
      </c>
      <c r="AL273" t="e">
        <f>AND(#REF!,"AAAAADb+zyU=")</f>
        <v>#REF!</v>
      </c>
      <c r="AM273" t="e">
        <f>AND(#REF!,"AAAAADb+zyY=")</f>
        <v>#REF!</v>
      </c>
      <c r="AN273" t="e">
        <f>AND(#REF!,"AAAAADb+zyc=")</f>
        <v>#REF!</v>
      </c>
      <c r="AO273" t="e">
        <f>IF(#REF!,"AAAAADb+zyg=",0)</f>
        <v>#REF!</v>
      </c>
      <c r="AP273" t="e">
        <f>AND(#REF!,"AAAAADb+zyk=")</f>
        <v>#REF!</v>
      </c>
      <c r="AQ273" t="e">
        <f>AND(#REF!,"AAAAADb+zyo=")</f>
        <v>#REF!</v>
      </c>
      <c r="AR273" t="e">
        <f>AND(#REF!,"AAAAADb+zys=")</f>
        <v>#REF!</v>
      </c>
      <c r="AS273" t="e">
        <f>AND(#REF!,"AAAAADb+zyw=")</f>
        <v>#REF!</v>
      </c>
      <c r="AT273" t="e">
        <f>AND(#REF!,"AAAAADb+zy0=")</f>
        <v>#REF!</v>
      </c>
      <c r="AU273" t="e">
        <f>AND(#REF!,"AAAAADb+zy4=")</f>
        <v>#REF!</v>
      </c>
      <c r="AV273" t="e">
        <f>AND(#REF!,"AAAAADb+zy8=")</f>
        <v>#REF!</v>
      </c>
      <c r="AW273" t="e">
        <f>AND(#REF!,"AAAAADb+zzA=")</f>
        <v>#REF!</v>
      </c>
      <c r="AX273" t="e">
        <f>AND(#REF!,"AAAAADb+zzE=")</f>
        <v>#REF!</v>
      </c>
      <c r="AY273" t="e">
        <f>AND(#REF!,"AAAAADb+zzI=")</f>
        <v>#REF!</v>
      </c>
      <c r="AZ273" t="e">
        <f>AND(#REF!,"AAAAADb+zzM=")</f>
        <v>#REF!</v>
      </c>
      <c r="BA273" t="e">
        <f>AND(#REF!,"AAAAADb+zzQ=")</f>
        <v>#REF!</v>
      </c>
      <c r="BB273" t="e">
        <f>AND(#REF!,"AAAAADb+zzU=")</f>
        <v>#REF!</v>
      </c>
      <c r="BC273" t="e">
        <f>IF(#REF!,"AAAAADb+zzY=",0)</f>
        <v>#REF!</v>
      </c>
      <c r="BD273" t="e">
        <f>AND(#REF!,"AAAAADb+zzc=")</f>
        <v>#REF!</v>
      </c>
      <c r="BE273" t="e">
        <f>AND(#REF!,"AAAAADb+zzg=")</f>
        <v>#REF!</v>
      </c>
      <c r="BF273" t="e">
        <f>AND(#REF!,"AAAAADb+zzk=")</f>
        <v>#REF!</v>
      </c>
      <c r="BG273" t="e">
        <f>AND(#REF!,"AAAAADb+zzo=")</f>
        <v>#REF!</v>
      </c>
      <c r="BH273" t="e">
        <f>AND(#REF!,"AAAAADb+zzs=")</f>
        <v>#REF!</v>
      </c>
      <c r="BI273" t="e">
        <f>AND(#REF!,"AAAAADb+zzw=")</f>
        <v>#REF!</v>
      </c>
      <c r="BJ273" t="e">
        <f>AND(#REF!,"AAAAADb+zz0=")</f>
        <v>#REF!</v>
      </c>
      <c r="BK273" t="e">
        <f>AND(#REF!,"AAAAADb+zz4=")</f>
        <v>#REF!</v>
      </c>
      <c r="BL273" t="e">
        <f>AND(#REF!,"AAAAADb+zz8=")</f>
        <v>#REF!</v>
      </c>
      <c r="BM273" t="e">
        <f>AND(#REF!,"AAAAADb+z0A=")</f>
        <v>#REF!</v>
      </c>
      <c r="BN273" t="e">
        <f>AND(#REF!,"AAAAADb+z0E=")</f>
        <v>#REF!</v>
      </c>
      <c r="BO273" t="e">
        <f>AND(#REF!,"AAAAADb+z0I=")</f>
        <v>#REF!</v>
      </c>
      <c r="BP273" t="e">
        <f>AND(#REF!,"AAAAADb+z0M=")</f>
        <v>#REF!</v>
      </c>
      <c r="BQ273" t="e">
        <f>IF(#REF!,"AAAAADb+z0Q=",0)</f>
        <v>#REF!</v>
      </c>
      <c r="BR273" t="e">
        <f>AND(#REF!,"AAAAADb+z0U=")</f>
        <v>#REF!</v>
      </c>
      <c r="BS273" t="e">
        <f>AND(#REF!,"AAAAADb+z0Y=")</f>
        <v>#REF!</v>
      </c>
      <c r="BT273" t="e">
        <f>AND(#REF!,"AAAAADb+z0c=")</f>
        <v>#REF!</v>
      </c>
      <c r="BU273" t="e">
        <f>AND(#REF!,"AAAAADb+z0g=")</f>
        <v>#REF!</v>
      </c>
      <c r="BV273" t="e">
        <f>AND(#REF!,"AAAAADb+z0k=")</f>
        <v>#REF!</v>
      </c>
      <c r="BW273" t="e">
        <f>AND(#REF!,"AAAAADb+z0o=")</f>
        <v>#REF!</v>
      </c>
      <c r="BX273" t="e">
        <f>AND(#REF!,"AAAAADb+z0s=")</f>
        <v>#REF!</v>
      </c>
      <c r="BY273" t="e">
        <f>AND(#REF!,"AAAAADb+z0w=")</f>
        <v>#REF!</v>
      </c>
      <c r="BZ273" t="e">
        <f>AND(#REF!,"AAAAADb+z00=")</f>
        <v>#REF!</v>
      </c>
      <c r="CA273" t="e">
        <f>AND(#REF!,"AAAAADb+z04=")</f>
        <v>#REF!</v>
      </c>
      <c r="CB273" t="e">
        <f>AND(#REF!,"AAAAADb+z08=")</f>
        <v>#REF!</v>
      </c>
      <c r="CC273" t="e">
        <f>AND(#REF!,"AAAAADb+z1A=")</f>
        <v>#REF!</v>
      </c>
      <c r="CD273" t="e">
        <f>AND(#REF!,"AAAAADb+z1E=")</f>
        <v>#REF!</v>
      </c>
      <c r="CE273" t="e">
        <f>IF(#REF!,"AAAAADb+z1I=",0)</f>
        <v>#REF!</v>
      </c>
      <c r="CF273" t="e">
        <f>AND(#REF!,"AAAAADb+z1M=")</f>
        <v>#REF!</v>
      </c>
      <c r="CG273" t="e">
        <f>AND(#REF!,"AAAAADb+z1Q=")</f>
        <v>#REF!</v>
      </c>
      <c r="CH273" t="e">
        <f>AND(#REF!,"AAAAADb+z1U=")</f>
        <v>#REF!</v>
      </c>
      <c r="CI273" t="e">
        <f>AND(#REF!,"AAAAADb+z1Y=")</f>
        <v>#REF!</v>
      </c>
      <c r="CJ273" t="e">
        <f>AND(#REF!,"AAAAADb+z1c=")</f>
        <v>#REF!</v>
      </c>
      <c r="CK273" t="e">
        <f>AND(#REF!,"AAAAADb+z1g=")</f>
        <v>#REF!</v>
      </c>
      <c r="CL273" t="e">
        <f>AND(#REF!,"AAAAADb+z1k=")</f>
        <v>#REF!</v>
      </c>
      <c r="CM273" t="e">
        <f>AND(#REF!,"AAAAADb+z1o=")</f>
        <v>#REF!</v>
      </c>
      <c r="CN273" t="e">
        <f>AND(#REF!,"AAAAADb+z1s=")</f>
        <v>#REF!</v>
      </c>
      <c r="CO273" t="e">
        <f>AND(#REF!,"AAAAADb+z1w=")</f>
        <v>#REF!</v>
      </c>
      <c r="CP273" t="e">
        <f>AND(#REF!,"AAAAADb+z10=")</f>
        <v>#REF!</v>
      </c>
      <c r="CQ273" t="e">
        <f>AND(#REF!,"AAAAADb+z14=")</f>
        <v>#REF!</v>
      </c>
      <c r="CR273" t="e">
        <f>AND(#REF!,"AAAAADb+z18=")</f>
        <v>#REF!</v>
      </c>
      <c r="CS273" t="e">
        <f>IF(#REF!,"AAAAADb+z2A=",0)</f>
        <v>#REF!</v>
      </c>
      <c r="CT273" t="e">
        <f>AND(#REF!,"AAAAADb+z2E=")</f>
        <v>#REF!</v>
      </c>
      <c r="CU273" t="e">
        <f>AND(#REF!,"AAAAADb+z2I=")</f>
        <v>#REF!</v>
      </c>
      <c r="CV273" t="e">
        <f>AND(#REF!,"AAAAADb+z2M=")</f>
        <v>#REF!</v>
      </c>
      <c r="CW273" t="e">
        <f>AND(#REF!,"AAAAADb+z2Q=")</f>
        <v>#REF!</v>
      </c>
      <c r="CX273" t="e">
        <f>AND(#REF!,"AAAAADb+z2U=")</f>
        <v>#REF!</v>
      </c>
      <c r="CY273" t="e">
        <f>AND(#REF!,"AAAAADb+z2Y=")</f>
        <v>#REF!</v>
      </c>
      <c r="CZ273" t="e">
        <f>AND(#REF!,"AAAAADb+z2c=")</f>
        <v>#REF!</v>
      </c>
      <c r="DA273" t="e">
        <f>AND(#REF!,"AAAAADb+z2g=")</f>
        <v>#REF!</v>
      </c>
      <c r="DB273" t="e">
        <f>AND(#REF!,"AAAAADb+z2k=")</f>
        <v>#REF!</v>
      </c>
      <c r="DC273" t="e">
        <f>AND(#REF!,"AAAAADb+z2o=")</f>
        <v>#REF!</v>
      </c>
      <c r="DD273" t="e">
        <f>AND(#REF!,"AAAAADb+z2s=")</f>
        <v>#REF!</v>
      </c>
      <c r="DE273" t="e">
        <f>AND(#REF!,"AAAAADb+z2w=")</f>
        <v>#REF!</v>
      </c>
      <c r="DF273" t="e">
        <f>AND(#REF!,"AAAAADb+z20=")</f>
        <v>#REF!</v>
      </c>
      <c r="DG273" t="e">
        <f>IF(#REF!,"AAAAADb+z24=",0)</f>
        <v>#REF!</v>
      </c>
      <c r="DH273" t="e">
        <f>AND(#REF!,"AAAAADb+z28=")</f>
        <v>#REF!</v>
      </c>
      <c r="DI273" t="e">
        <f>AND(#REF!,"AAAAADb+z3A=")</f>
        <v>#REF!</v>
      </c>
      <c r="DJ273" t="e">
        <f>AND(#REF!,"AAAAADb+z3E=")</f>
        <v>#REF!</v>
      </c>
      <c r="DK273" t="e">
        <f>AND(#REF!,"AAAAADb+z3I=")</f>
        <v>#REF!</v>
      </c>
      <c r="DL273" t="e">
        <f>AND(#REF!,"AAAAADb+z3M=")</f>
        <v>#REF!</v>
      </c>
      <c r="DM273" t="e">
        <f>AND(#REF!,"AAAAADb+z3Q=")</f>
        <v>#REF!</v>
      </c>
      <c r="DN273" t="e">
        <f>AND(#REF!,"AAAAADb+z3U=")</f>
        <v>#REF!</v>
      </c>
      <c r="DO273" t="e">
        <f>AND(#REF!,"AAAAADb+z3Y=")</f>
        <v>#REF!</v>
      </c>
      <c r="DP273" t="e">
        <f>AND(#REF!,"AAAAADb+z3c=")</f>
        <v>#REF!</v>
      </c>
      <c r="DQ273" t="e">
        <f>AND(#REF!,"AAAAADb+z3g=")</f>
        <v>#REF!</v>
      </c>
      <c r="DR273" t="e">
        <f>AND(#REF!,"AAAAADb+z3k=")</f>
        <v>#REF!</v>
      </c>
      <c r="DS273" t="e">
        <f>AND(#REF!,"AAAAADb+z3o=")</f>
        <v>#REF!</v>
      </c>
      <c r="DT273" t="e">
        <f>AND(#REF!,"AAAAADb+z3s=")</f>
        <v>#REF!</v>
      </c>
      <c r="DU273">
        <f>IF('Additional Services'!18:18,"AAAAADb+z3w=",0)</f>
        <v>0</v>
      </c>
      <c r="DV273" t="e">
        <f>AND('Additional Services'!#REF!,"AAAAADb+z30=")</f>
        <v>#REF!</v>
      </c>
      <c r="DW273" t="e">
        <f>AND('Additional Services'!A18,"AAAAADb+z34=")</f>
        <v>#VALUE!</v>
      </c>
      <c r="DX273" t="e">
        <f>AND('Additional Services'!B18,"AAAAADb+z38=")</f>
        <v>#VALUE!</v>
      </c>
      <c r="DY273" t="e">
        <f>AND('Additional Services'!C18,"AAAAADb+z4A=")</f>
        <v>#VALUE!</v>
      </c>
      <c r="DZ273" t="e">
        <f>AND('Additional Services'!D18,"AAAAADb+z4E=")</f>
        <v>#VALUE!</v>
      </c>
      <c r="EA273" t="e">
        <f>AND('Additional Services'!E18,"AAAAADb+z4I=")</f>
        <v>#VALUE!</v>
      </c>
      <c r="EB273" t="e">
        <f>AND('Additional Services'!F18,"AAAAADb+z4M=")</f>
        <v>#VALUE!</v>
      </c>
      <c r="EC273" t="e">
        <f>AND('Additional Services'!G18,"AAAAADb+z4Q=")</f>
        <v>#VALUE!</v>
      </c>
      <c r="ED273" t="e">
        <f>AND('Additional Services'!H18,"AAAAADb+z4U=")</f>
        <v>#VALUE!</v>
      </c>
      <c r="EE273" t="e">
        <f>AND('Additional Services'!I18,"AAAAADb+z4Y=")</f>
        <v>#VALUE!</v>
      </c>
      <c r="EF273" t="e">
        <f>AND('Additional Services'!J18,"AAAAADb+z4c=")</f>
        <v>#VALUE!</v>
      </c>
      <c r="EG273" t="e">
        <f>AND('Additional Services'!K18,"AAAAADb+z4g=")</f>
        <v>#VALUE!</v>
      </c>
      <c r="EH273" t="e">
        <f>AND('Additional Services'!L18,"AAAAADb+z4k=")</f>
        <v>#VALUE!</v>
      </c>
      <c r="EI273">
        <f>IF('Additional Services'!19:19,"AAAAADb+z4o=",0)</f>
        <v>0</v>
      </c>
      <c r="EJ273" t="e">
        <f>AND('Additional Services'!#REF!,"AAAAADb+z4s=")</f>
        <v>#REF!</v>
      </c>
      <c r="EK273" t="e">
        <f>AND('Additional Services'!#REF!,"AAAAADb+z4w=")</f>
        <v>#REF!</v>
      </c>
      <c r="EL273" t="e">
        <f>AND('Additional Services'!A19,"AAAAADb+z40=")</f>
        <v>#VALUE!</v>
      </c>
      <c r="EM273" t="e">
        <f>AND('Additional Services'!B19,"AAAAADb+z44=")</f>
        <v>#VALUE!</v>
      </c>
      <c r="EN273" t="e">
        <f>AND('Additional Services'!C19,"AAAAADb+z48=")</f>
        <v>#VALUE!</v>
      </c>
      <c r="EO273" t="e">
        <f>AND('Additional Services'!D19,"AAAAADb+z5A=")</f>
        <v>#VALUE!</v>
      </c>
      <c r="EP273" t="e">
        <f>AND('Additional Services'!E19,"AAAAADb+z5E=")</f>
        <v>#VALUE!</v>
      </c>
      <c r="EQ273" t="e">
        <f>AND('Additional Services'!F19,"AAAAADb+z5I=")</f>
        <v>#VALUE!</v>
      </c>
      <c r="ER273" t="e">
        <f>AND('Additional Services'!G19,"AAAAADb+z5M=")</f>
        <v>#VALUE!</v>
      </c>
      <c r="ES273" t="e">
        <f>AND('Additional Services'!H19,"AAAAADb+z5Q=")</f>
        <v>#VALUE!</v>
      </c>
      <c r="ET273" t="e">
        <f>AND('Additional Services'!I19,"AAAAADb+z5U=")</f>
        <v>#VALUE!</v>
      </c>
      <c r="EU273" t="e">
        <f>AND('Additional Services'!J19,"AAAAADb+z5Y=")</f>
        <v>#VALUE!</v>
      </c>
      <c r="EV273" t="e">
        <f>AND('Additional Services'!K19,"AAAAADb+z5c=")</f>
        <v>#VALUE!</v>
      </c>
      <c r="EW273">
        <f>IF('Additional Services'!20:20,"AAAAADb+z5g=",0)</f>
        <v>0</v>
      </c>
      <c r="EX273" t="e">
        <f>AND('Additional Services'!#REF!,"AAAAADb+z5k=")</f>
        <v>#REF!</v>
      </c>
      <c r="EY273" t="e">
        <f>AND('Additional Services'!#REF!,"AAAAADb+z5o=")</f>
        <v>#REF!</v>
      </c>
      <c r="EZ273" t="e">
        <f>AND('Additional Services'!A20,"AAAAADb+z5s=")</f>
        <v>#VALUE!</v>
      </c>
      <c r="FA273" t="e">
        <f>AND('Additional Services'!B20,"AAAAADb+z5w=")</f>
        <v>#VALUE!</v>
      </c>
      <c r="FB273" t="e">
        <f>AND('Additional Services'!C20,"AAAAADb+z50=")</f>
        <v>#VALUE!</v>
      </c>
      <c r="FC273" t="e">
        <f>AND('Additional Services'!D20,"AAAAADb+z54=")</f>
        <v>#VALUE!</v>
      </c>
      <c r="FD273" t="e">
        <f>AND('Additional Services'!E20,"AAAAADb+z58=")</f>
        <v>#VALUE!</v>
      </c>
      <c r="FE273" t="e">
        <f>AND('Additional Services'!F20,"AAAAADb+z6A=")</f>
        <v>#VALUE!</v>
      </c>
      <c r="FF273" t="e">
        <f>AND('Additional Services'!G20,"AAAAADb+z6E=")</f>
        <v>#VALUE!</v>
      </c>
      <c r="FG273" t="e">
        <f>AND('Additional Services'!H20,"AAAAADb+z6I=")</f>
        <v>#VALUE!</v>
      </c>
      <c r="FH273" t="e">
        <f>AND('Additional Services'!I20,"AAAAADb+z6M=")</f>
        <v>#VALUE!</v>
      </c>
      <c r="FI273" t="e">
        <f>AND('Additional Services'!J20,"AAAAADb+z6Q=")</f>
        <v>#VALUE!</v>
      </c>
      <c r="FJ273" t="e">
        <f>AND('Additional Services'!K20,"AAAAADb+z6U=")</f>
        <v>#VALUE!</v>
      </c>
      <c r="FK273">
        <f>IF('Additional Services'!21:21,"AAAAADb+z6Y=",0)</f>
        <v>0</v>
      </c>
      <c r="FL273" t="e">
        <f>AND('Additional Services'!#REF!,"AAAAADb+z6c=")</f>
        <v>#REF!</v>
      </c>
      <c r="FM273" t="e">
        <f>AND('Additional Services'!#REF!,"AAAAADb+z6g=")</f>
        <v>#REF!</v>
      </c>
      <c r="FN273" t="e">
        <f>AND('Additional Services'!A21,"AAAAADb+z6k=")</f>
        <v>#VALUE!</v>
      </c>
      <c r="FO273" t="e">
        <f>AND('Additional Services'!B21,"AAAAADb+z6o=")</f>
        <v>#VALUE!</v>
      </c>
      <c r="FP273" t="e">
        <f>AND('Additional Services'!C21,"AAAAADb+z6s=")</f>
        <v>#VALUE!</v>
      </c>
      <c r="FQ273" t="e">
        <f>AND('Additional Services'!D21,"AAAAADb+z6w=")</f>
        <v>#VALUE!</v>
      </c>
      <c r="FR273" t="e">
        <f>AND('Additional Services'!E21,"AAAAADb+z60=")</f>
        <v>#VALUE!</v>
      </c>
      <c r="FS273" t="e">
        <f>AND('Additional Services'!F21,"AAAAADb+z64=")</f>
        <v>#VALUE!</v>
      </c>
      <c r="FT273" t="e">
        <f>AND('Additional Services'!G21,"AAAAADb+z68=")</f>
        <v>#VALUE!</v>
      </c>
      <c r="FU273" t="e">
        <f>AND('Additional Services'!H21,"AAAAADb+z7A=")</f>
        <v>#VALUE!</v>
      </c>
      <c r="FV273" t="e">
        <f>AND('Additional Services'!I21,"AAAAADb+z7E=")</f>
        <v>#VALUE!</v>
      </c>
      <c r="FW273" t="e">
        <f>AND('Additional Services'!J21,"AAAAADb+z7I=")</f>
        <v>#VALUE!</v>
      </c>
      <c r="FX273" t="e">
        <f>AND('Additional Services'!K21,"AAAAADb+z7M=")</f>
        <v>#VALUE!</v>
      </c>
      <c r="FY273">
        <f>IF('Additional Services'!22:22,"AAAAADb+z7Q=",0)</f>
        <v>0</v>
      </c>
      <c r="FZ273" t="e">
        <f>AND('Additional Services'!#REF!,"AAAAADb+z7U=")</f>
        <v>#REF!</v>
      </c>
      <c r="GA273" t="e">
        <f>AND('Additional Services'!#REF!,"AAAAADb+z7Y=")</f>
        <v>#REF!</v>
      </c>
      <c r="GB273" t="e">
        <f>AND('Additional Services'!A22,"AAAAADb+z7c=")</f>
        <v>#VALUE!</v>
      </c>
      <c r="GC273" t="e">
        <f>AND('Additional Services'!B22,"AAAAADb+z7g=")</f>
        <v>#VALUE!</v>
      </c>
      <c r="GD273" t="e">
        <f>AND('Additional Services'!C22,"AAAAADb+z7k=")</f>
        <v>#VALUE!</v>
      </c>
      <c r="GE273" t="e">
        <f>AND('Additional Services'!D22,"AAAAADb+z7o=")</f>
        <v>#VALUE!</v>
      </c>
      <c r="GF273" t="e">
        <f>AND('Additional Services'!E22,"AAAAADb+z7s=")</f>
        <v>#VALUE!</v>
      </c>
      <c r="GG273" t="e">
        <f>AND('Additional Services'!F22,"AAAAADb+z7w=")</f>
        <v>#VALUE!</v>
      </c>
      <c r="GH273" t="e">
        <f>AND('Additional Services'!G22,"AAAAADb+z70=")</f>
        <v>#VALUE!</v>
      </c>
      <c r="GI273" t="e">
        <f>AND('Additional Services'!H22,"AAAAADb+z74=")</f>
        <v>#VALUE!</v>
      </c>
      <c r="GJ273" t="e">
        <f>AND('Additional Services'!I22,"AAAAADb+z78=")</f>
        <v>#VALUE!</v>
      </c>
      <c r="GK273" t="e">
        <f>AND('Additional Services'!J22,"AAAAADb+z8A=")</f>
        <v>#VALUE!</v>
      </c>
      <c r="GL273" t="e">
        <f>AND('Additional Services'!K22,"AAAAADb+z8E=")</f>
        <v>#VALUE!</v>
      </c>
      <c r="GM273">
        <f>IF('Additional Services'!23:23,"AAAAADb+z8I=",0)</f>
        <v>0</v>
      </c>
      <c r="GN273" t="e">
        <f>AND('Additional Services'!#REF!,"AAAAADb+z8M=")</f>
        <v>#REF!</v>
      </c>
      <c r="GO273" t="e">
        <f>AND('Additional Services'!#REF!,"AAAAADb+z8Q=")</f>
        <v>#REF!</v>
      </c>
      <c r="GP273" t="e">
        <f>AND('Additional Services'!A23,"AAAAADb+z8U=")</f>
        <v>#VALUE!</v>
      </c>
      <c r="GQ273" t="e">
        <f>AND('Additional Services'!B23,"AAAAADb+z8Y=")</f>
        <v>#VALUE!</v>
      </c>
      <c r="GR273" t="e">
        <f>AND('Additional Services'!C23,"AAAAADb+z8c=")</f>
        <v>#VALUE!</v>
      </c>
      <c r="GS273" t="e">
        <f>AND('Additional Services'!D23,"AAAAADb+z8g=")</f>
        <v>#VALUE!</v>
      </c>
      <c r="GT273" t="e">
        <f>AND('Additional Services'!E23,"AAAAADb+z8k=")</f>
        <v>#VALUE!</v>
      </c>
      <c r="GU273" t="e">
        <f>AND('Additional Services'!F23,"AAAAADb+z8o=")</f>
        <v>#VALUE!</v>
      </c>
      <c r="GV273" t="e">
        <f>AND('Additional Services'!G23,"AAAAADb+z8s=")</f>
        <v>#VALUE!</v>
      </c>
      <c r="GW273" t="e">
        <f>AND('Additional Services'!H23,"AAAAADb+z8w=")</f>
        <v>#VALUE!</v>
      </c>
      <c r="GX273" t="e">
        <f>AND('Additional Services'!I23,"AAAAADb+z80=")</f>
        <v>#VALUE!</v>
      </c>
      <c r="GY273" t="e">
        <f>AND('Additional Services'!J23,"AAAAADb+z84=")</f>
        <v>#VALUE!</v>
      </c>
      <c r="GZ273" t="e">
        <f>AND('Additional Services'!K23,"AAAAADb+z88=")</f>
        <v>#VALUE!</v>
      </c>
      <c r="HA273">
        <f>IF('Additional Services'!24:24,"AAAAADb+z9A=",0)</f>
        <v>0</v>
      </c>
      <c r="HB273" t="e">
        <f>AND('Additional Services'!#REF!,"AAAAADb+z9E=")</f>
        <v>#REF!</v>
      </c>
      <c r="HC273" t="e">
        <f>AND('Additional Services'!#REF!,"AAAAADb+z9I=")</f>
        <v>#REF!</v>
      </c>
      <c r="HD273" t="e">
        <f>AND('Additional Services'!A24,"AAAAADb+z9M=")</f>
        <v>#VALUE!</v>
      </c>
      <c r="HE273" t="e">
        <f>AND('Additional Services'!B24,"AAAAADb+z9Q=")</f>
        <v>#VALUE!</v>
      </c>
      <c r="HF273" t="e">
        <f>AND('Additional Services'!C24,"AAAAADb+z9U=")</f>
        <v>#VALUE!</v>
      </c>
      <c r="HG273" t="e">
        <f>AND('Additional Services'!D24,"AAAAADb+z9Y=")</f>
        <v>#VALUE!</v>
      </c>
      <c r="HH273" t="e">
        <f>AND('Additional Services'!E24,"AAAAADb+z9c=")</f>
        <v>#VALUE!</v>
      </c>
      <c r="HI273" t="e">
        <f>AND('Additional Services'!F24,"AAAAADb+z9g=")</f>
        <v>#VALUE!</v>
      </c>
      <c r="HJ273" t="e">
        <f>AND('Additional Services'!G24,"AAAAADb+z9k=")</f>
        <v>#VALUE!</v>
      </c>
      <c r="HK273" t="e">
        <f>AND('Additional Services'!H24,"AAAAADb+z9o=")</f>
        <v>#VALUE!</v>
      </c>
      <c r="HL273" t="e">
        <f>AND('Additional Services'!I24,"AAAAADb+z9s=")</f>
        <v>#VALUE!</v>
      </c>
      <c r="HM273" t="e">
        <f>AND('Additional Services'!J24,"AAAAADb+z9w=")</f>
        <v>#VALUE!</v>
      </c>
      <c r="HN273" t="e">
        <f>AND('Additional Services'!K24,"AAAAADb+z90=")</f>
        <v>#VALUE!</v>
      </c>
      <c r="HO273" t="e">
        <f>IF(#REF!,"AAAAADb+z94=",0)</f>
        <v>#REF!</v>
      </c>
      <c r="HP273" t="e">
        <f>AND(#REF!,"AAAAADb+z98=")</f>
        <v>#REF!</v>
      </c>
      <c r="HQ273" t="e">
        <f>AND(#REF!,"AAAAADb+z+A=")</f>
        <v>#REF!</v>
      </c>
      <c r="HR273" t="e">
        <f>AND(#REF!,"AAAAADb+z+E=")</f>
        <v>#REF!</v>
      </c>
      <c r="HS273" t="e">
        <f>AND(#REF!,"AAAAADb+z+I=")</f>
        <v>#REF!</v>
      </c>
      <c r="HT273" t="e">
        <f>AND(#REF!,"AAAAADb+z+M=")</f>
        <v>#REF!</v>
      </c>
      <c r="HU273" t="e">
        <f>AND(#REF!,"AAAAADb+z+Q=")</f>
        <v>#REF!</v>
      </c>
      <c r="HV273" t="e">
        <f>AND(#REF!,"AAAAADb+z+U=")</f>
        <v>#REF!</v>
      </c>
      <c r="HW273" t="e">
        <f>AND(#REF!,"AAAAADb+z+Y=")</f>
        <v>#REF!</v>
      </c>
      <c r="HX273" t="e">
        <f>AND(#REF!,"AAAAADb+z+c=")</f>
        <v>#REF!</v>
      </c>
      <c r="HY273" t="e">
        <f>AND(#REF!,"AAAAADb+z+g=")</f>
        <v>#REF!</v>
      </c>
      <c r="HZ273" t="e">
        <f>AND(#REF!,"AAAAADb+z+k=")</f>
        <v>#REF!</v>
      </c>
      <c r="IA273" t="e">
        <f>AND(#REF!,"AAAAADb+z+o=")</f>
        <v>#REF!</v>
      </c>
      <c r="IB273" t="e">
        <f>AND(#REF!,"AAAAADb+z+s=")</f>
        <v>#REF!</v>
      </c>
      <c r="IC273" t="e">
        <f>IF(#REF!,"AAAAADb+z+w=",0)</f>
        <v>#REF!</v>
      </c>
      <c r="ID273" t="e">
        <f>AND(#REF!,"AAAAADb+z+0=")</f>
        <v>#REF!</v>
      </c>
      <c r="IE273" t="e">
        <f>AND(#REF!,"AAAAADb+z+4=")</f>
        <v>#REF!</v>
      </c>
      <c r="IF273" t="e">
        <f>AND(#REF!,"AAAAADb+z+8=")</f>
        <v>#REF!</v>
      </c>
      <c r="IG273" t="e">
        <f>AND(#REF!,"AAAAADb+z/A=")</f>
        <v>#REF!</v>
      </c>
      <c r="IH273" t="e">
        <f>AND(#REF!,"AAAAADb+z/E=")</f>
        <v>#REF!</v>
      </c>
      <c r="II273" t="e">
        <f>AND(#REF!,"AAAAADb+z/I=")</f>
        <v>#REF!</v>
      </c>
      <c r="IJ273" t="e">
        <f>AND(#REF!,"AAAAADb+z/M=")</f>
        <v>#REF!</v>
      </c>
      <c r="IK273" t="e">
        <f>AND(#REF!,"AAAAADb+z/Q=")</f>
        <v>#REF!</v>
      </c>
      <c r="IL273" t="e">
        <f>AND(#REF!,"AAAAADb+z/U=")</f>
        <v>#REF!</v>
      </c>
      <c r="IM273" t="e">
        <f>AND(#REF!,"AAAAADb+z/Y=")</f>
        <v>#REF!</v>
      </c>
      <c r="IN273" t="e">
        <f>AND(#REF!,"AAAAADb+z/c=")</f>
        <v>#REF!</v>
      </c>
      <c r="IO273" t="e">
        <f>AND(#REF!,"AAAAADb+z/g=")</f>
        <v>#REF!</v>
      </c>
      <c r="IP273" t="e">
        <f>AND(#REF!,"AAAAADb+z/k=")</f>
        <v>#REF!</v>
      </c>
      <c r="IQ273" t="e">
        <f>IF(#REF!,"AAAAADb+z/o=",0)</f>
        <v>#REF!</v>
      </c>
      <c r="IR273" t="e">
        <f>AND(#REF!,"AAAAADb+z/s=")</f>
        <v>#REF!</v>
      </c>
      <c r="IS273" t="e">
        <f>AND(#REF!,"AAAAADb+z/w=")</f>
        <v>#REF!</v>
      </c>
      <c r="IT273" t="e">
        <f>AND(#REF!,"AAAAADb+z/0=")</f>
        <v>#REF!</v>
      </c>
      <c r="IU273" t="e">
        <f>AND(#REF!,"AAAAADb+z/4=")</f>
        <v>#REF!</v>
      </c>
      <c r="IV273" t="e">
        <f>AND(#REF!,"AAAAADb+z/8=")</f>
        <v>#REF!</v>
      </c>
    </row>
    <row r="274" spans="1:256" x14ac:dyDescent="0.2">
      <c r="A274" t="e">
        <f>AND(#REF!,"AAAAAH3u/wA=")</f>
        <v>#REF!</v>
      </c>
      <c r="B274" t="e">
        <f>AND(#REF!,"AAAAAH3u/wE=")</f>
        <v>#REF!</v>
      </c>
      <c r="C274" t="e">
        <f>AND(#REF!,"AAAAAH3u/wI=")</f>
        <v>#REF!</v>
      </c>
      <c r="D274" t="e">
        <f>AND(#REF!,"AAAAAH3u/wM=")</f>
        <v>#REF!</v>
      </c>
      <c r="E274" t="e">
        <f>AND(#REF!,"AAAAAH3u/wQ=")</f>
        <v>#REF!</v>
      </c>
      <c r="F274" t="e">
        <f>AND(#REF!,"AAAAAH3u/wU=")</f>
        <v>#REF!</v>
      </c>
      <c r="G274" t="e">
        <f>AND(#REF!,"AAAAAH3u/wY=")</f>
        <v>#REF!</v>
      </c>
      <c r="H274" t="e">
        <f>AND(#REF!,"AAAAAH3u/wc=")</f>
        <v>#REF!</v>
      </c>
      <c r="I274" t="e">
        <f>IF(#REF!,"AAAAAH3u/wg=",0)</f>
        <v>#REF!</v>
      </c>
      <c r="J274" t="e">
        <f>AND(#REF!,"AAAAAH3u/wk=")</f>
        <v>#REF!</v>
      </c>
      <c r="K274" t="e">
        <f>AND(#REF!,"AAAAAH3u/wo=")</f>
        <v>#REF!</v>
      </c>
      <c r="L274" t="e">
        <f>AND(#REF!,"AAAAAH3u/ws=")</f>
        <v>#REF!</v>
      </c>
      <c r="M274" t="e">
        <f>AND(#REF!,"AAAAAH3u/ww=")</f>
        <v>#REF!</v>
      </c>
      <c r="N274" t="e">
        <f>AND(#REF!,"AAAAAH3u/w0=")</f>
        <v>#REF!</v>
      </c>
      <c r="O274" t="e">
        <f>AND(#REF!,"AAAAAH3u/w4=")</f>
        <v>#REF!</v>
      </c>
      <c r="P274" t="e">
        <f>AND(#REF!,"AAAAAH3u/w8=")</f>
        <v>#REF!</v>
      </c>
      <c r="Q274" t="e">
        <f>AND(#REF!,"AAAAAH3u/xA=")</f>
        <v>#REF!</v>
      </c>
      <c r="R274" t="e">
        <f>AND(#REF!,"AAAAAH3u/xE=")</f>
        <v>#REF!</v>
      </c>
      <c r="S274" t="e">
        <f>AND(#REF!,"AAAAAH3u/xI=")</f>
        <v>#REF!</v>
      </c>
      <c r="T274" t="e">
        <f>AND(#REF!,"AAAAAH3u/xM=")</f>
        <v>#REF!</v>
      </c>
      <c r="U274" t="e">
        <f>AND(#REF!,"AAAAAH3u/xQ=")</f>
        <v>#REF!</v>
      </c>
      <c r="V274" t="e">
        <f>AND(#REF!,"AAAAAH3u/xU=")</f>
        <v>#REF!</v>
      </c>
      <c r="W274" t="e">
        <f>IF(#REF!,"AAAAAH3u/xY=",0)</f>
        <v>#REF!</v>
      </c>
      <c r="X274" t="e">
        <f>AND(#REF!,"AAAAAH3u/xc=")</f>
        <v>#REF!</v>
      </c>
      <c r="Y274" t="e">
        <f>AND(#REF!,"AAAAAH3u/xg=")</f>
        <v>#REF!</v>
      </c>
      <c r="Z274" t="e">
        <f>AND(#REF!,"AAAAAH3u/xk=")</f>
        <v>#REF!</v>
      </c>
      <c r="AA274" t="e">
        <f>AND(#REF!,"AAAAAH3u/xo=")</f>
        <v>#REF!</v>
      </c>
      <c r="AB274" t="e">
        <f>AND(#REF!,"AAAAAH3u/xs=")</f>
        <v>#REF!</v>
      </c>
      <c r="AC274" t="e">
        <f>AND(#REF!,"AAAAAH3u/xw=")</f>
        <v>#REF!</v>
      </c>
      <c r="AD274" t="e">
        <f>AND(#REF!,"AAAAAH3u/x0=")</f>
        <v>#REF!</v>
      </c>
      <c r="AE274" t="e">
        <f>AND(#REF!,"AAAAAH3u/x4=")</f>
        <v>#REF!</v>
      </c>
      <c r="AF274" t="e">
        <f>AND(#REF!,"AAAAAH3u/x8=")</f>
        <v>#REF!</v>
      </c>
      <c r="AG274" t="e">
        <f>AND(#REF!,"AAAAAH3u/yA=")</f>
        <v>#REF!</v>
      </c>
      <c r="AH274" t="e">
        <f>AND(#REF!,"AAAAAH3u/yE=")</f>
        <v>#REF!</v>
      </c>
      <c r="AI274" t="e">
        <f>AND(#REF!,"AAAAAH3u/yI=")</f>
        <v>#REF!</v>
      </c>
      <c r="AJ274" t="e">
        <f>AND(#REF!,"AAAAAH3u/yM=")</f>
        <v>#REF!</v>
      </c>
      <c r="AK274" t="e">
        <f>IF(#REF!,"AAAAAH3u/yQ=",0)</f>
        <v>#REF!</v>
      </c>
      <c r="AL274" t="e">
        <f>AND(#REF!,"AAAAAH3u/yU=")</f>
        <v>#REF!</v>
      </c>
      <c r="AM274" t="e">
        <f>AND(#REF!,"AAAAAH3u/yY=")</f>
        <v>#REF!</v>
      </c>
      <c r="AN274" t="e">
        <f>AND(#REF!,"AAAAAH3u/yc=")</f>
        <v>#REF!</v>
      </c>
      <c r="AO274" t="e">
        <f>AND(#REF!,"AAAAAH3u/yg=")</f>
        <v>#REF!</v>
      </c>
      <c r="AP274" t="e">
        <f>AND(#REF!,"AAAAAH3u/yk=")</f>
        <v>#REF!</v>
      </c>
      <c r="AQ274" t="e">
        <f>AND(#REF!,"AAAAAH3u/yo=")</f>
        <v>#REF!</v>
      </c>
      <c r="AR274" t="e">
        <f>AND(#REF!,"AAAAAH3u/ys=")</f>
        <v>#REF!</v>
      </c>
      <c r="AS274" t="e">
        <f>AND(#REF!,"AAAAAH3u/yw=")</f>
        <v>#REF!</v>
      </c>
      <c r="AT274" t="e">
        <f>AND(#REF!,"AAAAAH3u/y0=")</f>
        <v>#REF!</v>
      </c>
      <c r="AU274" t="e">
        <f>AND(#REF!,"AAAAAH3u/y4=")</f>
        <v>#REF!</v>
      </c>
      <c r="AV274" t="e">
        <f>AND(#REF!,"AAAAAH3u/y8=")</f>
        <v>#REF!</v>
      </c>
      <c r="AW274" t="e">
        <f>AND(#REF!,"AAAAAH3u/zA=")</f>
        <v>#REF!</v>
      </c>
      <c r="AX274" t="e">
        <f>AND(#REF!,"AAAAAH3u/zE=")</f>
        <v>#REF!</v>
      </c>
      <c r="AY274" t="e">
        <f>IF(#REF!,"AAAAAH3u/zI=",0)</f>
        <v>#REF!</v>
      </c>
      <c r="AZ274" t="e">
        <f>AND(#REF!,"AAAAAH3u/zM=")</f>
        <v>#REF!</v>
      </c>
      <c r="BA274" t="e">
        <f>AND(#REF!,"AAAAAH3u/zQ=")</f>
        <v>#REF!</v>
      </c>
      <c r="BB274" t="e">
        <f>AND(#REF!,"AAAAAH3u/zU=")</f>
        <v>#REF!</v>
      </c>
      <c r="BC274" t="e">
        <f>AND(#REF!,"AAAAAH3u/zY=")</f>
        <v>#REF!</v>
      </c>
      <c r="BD274" t="e">
        <f>AND(#REF!,"AAAAAH3u/zc=")</f>
        <v>#REF!</v>
      </c>
      <c r="BE274" t="e">
        <f>AND(#REF!,"AAAAAH3u/zg=")</f>
        <v>#REF!</v>
      </c>
      <c r="BF274" t="e">
        <f>AND(#REF!,"AAAAAH3u/zk=")</f>
        <v>#REF!</v>
      </c>
      <c r="BG274" t="e">
        <f>AND(#REF!,"AAAAAH3u/zo=")</f>
        <v>#REF!</v>
      </c>
      <c r="BH274" t="e">
        <f>AND(#REF!,"AAAAAH3u/zs=")</f>
        <v>#REF!</v>
      </c>
      <c r="BI274" t="e">
        <f>AND(#REF!,"AAAAAH3u/zw=")</f>
        <v>#REF!</v>
      </c>
      <c r="BJ274" t="e">
        <f>AND(#REF!,"AAAAAH3u/z0=")</f>
        <v>#REF!</v>
      </c>
      <c r="BK274" t="e">
        <f>AND(#REF!,"AAAAAH3u/z4=")</f>
        <v>#REF!</v>
      </c>
      <c r="BL274" t="e">
        <f>AND(#REF!,"AAAAAH3u/z8=")</f>
        <v>#REF!</v>
      </c>
      <c r="BM274" t="e">
        <f>IF(#REF!,"AAAAAH3u/0A=",0)</f>
        <v>#REF!</v>
      </c>
      <c r="BN274" t="e">
        <f>AND(#REF!,"AAAAAH3u/0E=")</f>
        <v>#REF!</v>
      </c>
      <c r="BO274" t="e">
        <f>AND(#REF!,"AAAAAH3u/0I=")</f>
        <v>#REF!</v>
      </c>
      <c r="BP274" t="e">
        <f>AND(#REF!,"AAAAAH3u/0M=")</f>
        <v>#REF!</v>
      </c>
      <c r="BQ274" t="e">
        <f>AND(#REF!,"AAAAAH3u/0Q=")</f>
        <v>#REF!</v>
      </c>
      <c r="BR274" t="e">
        <f>AND(#REF!,"AAAAAH3u/0U=")</f>
        <v>#REF!</v>
      </c>
      <c r="BS274" t="e">
        <f>AND(#REF!,"AAAAAH3u/0Y=")</f>
        <v>#REF!</v>
      </c>
      <c r="BT274" t="e">
        <f>AND(#REF!,"AAAAAH3u/0c=")</f>
        <v>#REF!</v>
      </c>
      <c r="BU274" t="e">
        <f>AND(#REF!,"AAAAAH3u/0g=")</f>
        <v>#REF!</v>
      </c>
      <c r="BV274" t="e">
        <f>AND(#REF!,"AAAAAH3u/0k=")</f>
        <v>#REF!</v>
      </c>
      <c r="BW274" t="e">
        <f>AND(#REF!,"AAAAAH3u/0o=")</f>
        <v>#REF!</v>
      </c>
      <c r="BX274" t="e">
        <f>AND(#REF!,"AAAAAH3u/0s=")</f>
        <v>#REF!</v>
      </c>
      <c r="BY274" t="e">
        <f>AND(#REF!,"AAAAAH3u/0w=")</f>
        <v>#REF!</v>
      </c>
      <c r="BZ274" t="e">
        <f>AND(#REF!,"AAAAAH3u/00=")</f>
        <v>#REF!</v>
      </c>
      <c r="CA274" t="e">
        <f>IF(#REF!,"AAAAAH3u/04=",0)</f>
        <v>#REF!</v>
      </c>
      <c r="CB274" t="e">
        <f>AND(#REF!,"AAAAAH3u/08=")</f>
        <v>#REF!</v>
      </c>
      <c r="CC274" t="e">
        <f>AND(#REF!,"AAAAAH3u/1A=")</f>
        <v>#REF!</v>
      </c>
      <c r="CD274" t="e">
        <f>AND(#REF!,"AAAAAH3u/1E=")</f>
        <v>#REF!</v>
      </c>
      <c r="CE274" t="e">
        <f>AND(#REF!,"AAAAAH3u/1I=")</f>
        <v>#REF!</v>
      </c>
      <c r="CF274" t="e">
        <f>AND(#REF!,"AAAAAH3u/1M=")</f>
        <v>#REF!</v>
      </c>
      <c r="CG274" t="e">
        <f>AND(#REF!,"AAAAAH3u/1Q=")</f>
        <v>#REF!</v>
      </c>
      <c r="CH274" t="e">
        <f>AND(#REF!,"AAAAAH3u/1U=")</f>
        <v>#REF!</v>
      </c>
      <c r="CI274" t="e">
        <f>AND(#REF!,"AAAAAH3u/1Y=")</f>
        <v>#REF!</v>
      </c>
      <c r="CJ274" t="e">
        <f>AND(#REF!,"AAAAAH3u/1c=")</f>
        <v>#REF!</v>
      </c>
      <c r="CK274" t="e">
        <f>AND(#REF!,"AAAAAH3u/1g=")</f>
        <v>#REF!</v>
      </c>
      <c r="CL274" t="e">
        <f>AND(#REF!,"AAAAAH3u/1k=")</f>
        <v>#REF!</v>
      </c>
      <c r="CM274" t="e">
        <f>AND(#REF!,"AAAAAH3u/1o=")</f>
        <v>#REF!</v>
      </c>
      <c r="CN274" t="e">
        <f>AND(#REF!,"AAAAAH3u/1s=")</f>
        <v>#REF!</v>
      </c>
      <c r="CO274" t="e">
        <f>IF(#REF!,"AAAAAH3u/1w=",0)</f>
        <v>#REF!</v>
      </c>
      <c r="CP274" t="e">
        <f>AND(#REF!,"AAAAAH3u/10=")</f>
        <v>#REF!</v>
      </c>
      <c r="CQ274" t="e">
        <f>AND(#REF!,"AAAAAH3u/14=")</f>
        <v>#REF!</v>
      </c>
      <c r="CR274" t="e">
        <f>AND(#REF!,"AAAAAH3u/18=")</f>
        <v>#REF!</v>
      </c>
      <c r="CS274" t="e">
        <f>AND(#REF!,"AAAAAH3u/2A=")</f>
        <v>#REF!</v>
      </c>
      <c r="CT274" t="e">
        <f>AND(#REF!,"AAAAAH3u/2E=")</f>
        <v>#REF!</v>
      </c>
      <c r="CU274" t="e">
        <f>AND(#REF!,"AAAAAH3u/2I=")</f>
        <v>#REF!</v>
      </c>
      <c r="CV274" t="e">
        <f>AND(#REF!,"AAAAAH3u/2M=")</f>
        <v>#REF!</v>
      </c>
      <c r="CW274" t="e">
        <f>AND(#REF!,"AAAAAH3u/2Q=")</f>
        <v>#REF!</v>
      </c>
      <c r="CX274" t="e">
        <f>AND(#REF!,"AAAAAH3u/2U=")</f>
        <v>#REF!</v>
      </c>
      <c r="CY274" t="e">
        <f>AND(#REF!,"AAAAAH3u/2Y=")</f>
        <v>#REF!</v>
      </c>
      <c r="CZ274" t="e">
        <f>AND(#REF!,"AAAAAH3u/2c=")</f>
        <v>#REF!</v>
      </c>
      <c r="DA274" t="e">
        <f>AND(#REF!,"AAAAAH3u/2g=")</f>
        <v>#REF!</v>
      </c>
      <c r="DB274" t="e">
        <f>AND(#REF!,"AAAAAH3u/2k=")</f>
        <v>#REF!</v>
      </c>
      <c r="DC274" t="e">
        <f>IF(#REF!,"AAAAAH3u/2o=",0)</f>
        <v>#REF!</v>
      </c>
      <c r="DD274" t="e">
        <f>AND(#REF!,"AAAAAH3u/2s=")</f>
        <v>#REF!</v>
      </c>
      <c r="DE274" t="e">
        <f>AND(#REF!,"AAAAAH3u/2w=")</f>
        <v>#REF!</v>
      </c>
      <c r="DF274" t="e">
        <f>AND(#REF!,"AAAAAH3u/20=")</f>
        <v>#REF!</v>
      </c>
      <c r="DG274" t="e">
        <f>AND(#REF!,"AAAAAH3u/24=")</f>
        <v>#REF!</v>
      </c>
      <c r="DH274" t="e">
        <f>AND(#REF!,"AAAAAH3u/28=")</f>
        <v>#REF!</v>
      </c>
      <c r="DI274" t="e">
        <f>AND(#REF!,"AAAAAH3u/3A=")</f>
        <v>#REF!</v>
      </c>
      <c r="DJ274" t="e">
        <f>AND(#REF!,"AAAAAH3u/3E=")</f>
        <v>#REF!</v>
      </c>
      <c r="DK274" t="e">
        <f>AND(#REF!,"AAAAAH3u/3I=")</f>
        <v>#REF!</v>
      </c>
      <c r="DL274" t="e">
        <f>AND(#REF!,"AAAAAH3u/3M=")</f>
        <v>#REF!</v>
      </c>
      <c r="DM274" t="e">
        <f>AND(#REF!,"AAAAAH3u/3Q=")</f>
        <v>#REF!</v>
      </c>
      <c r="DN274" t="e">
        <f>AND(#REF!,"AAAAAH3u/3U=")</f>
        <v>#REF!</v>
      </c>
      <c r="DO274" t="e">
        <f>AND(#REF!,"AAAAAH3u/3Y=")</f>
        <v>#REF!</v>
      </c>
      <c r="DP274" t="e">
        <f>AND(#REF!,"AAAAAH3u/3c=")</f>
        <v>#REF!</v>
      </c>
      <c r="DQ274" t="e">
        <f>IF(#REF!,"AAAAAH3u/3g=",0)</f>
        <v>#REF!</v>
      </c>
      <c r="DR274" t="e">
        <f>AND(#REF!,"AAAAAH3u/3k=")</f>
        <v>#REF!</v>
      </c>
      <c r="DS274" t="e">
        <f>AND(#REF!,"AAAAAH3u/3o=")</f>
        <v>#REF!</v>
      </c>
      <c r="DT274" t="e">
        <f>AND(#REF!,"AAAAAH3u/3s=")</f>
        <v>#REF!</v>
      </c>
      <c r="DU274" t="e">
        <f>AND(#REF!,"AAAAAH3u/3w=")</f>
        <v>#REF!</v>
      </c>
      <c r="DV274" t="e">
        <f>AND(#REF!,"AAAAAH3u/30=")</f>
        <v>#REF!</v>
      </c>
      <c r="DW274" t="e">
        <f>AND(#REF!,"AAAAAH3u/34=")</f>
        <v>#REF!</v>
      </c>
      <c r="DX274" t="e">
        <f>AND(#REF!,"AAAAAH3u/38=")</f>
        <v>#REF!</v>
      </c>
      <c r="DY274" t="e">
        <f>AND(#REF!,"AAAAAH3u/4A=")</f>
        <v>#REF!</v>
      </c>
      <c r="DZ274" t="e">
        <f>AND(#REF!,"AAAAAH3u/4E=")</f>
        <v>#REF!</v>
      </c>
      <c r="EA274" t="e">
        <f>AND(#REF!,"AAAAAH3u/4I=")</f>
        <v>#REF!</v>
      </c>
      <c r="EB274" t="e">
        <f>AND(#REF!,"AAAAAH3u/4M=")</f>
        <v>#REF!</v>
      </c>
      <c r="EC274" t="e">
        <f>AND(#REF!,"AAAAAH3u/4Q=")</f>
        <v>#REF!</v>
      </c>
      <c r="ED274" t="e">
        <f>AND(#REF!,"AAAAAH3u/4U=")</f>
        <v>#REF!</v>
      </c>
      <c r="EE274" t="e">
        <f>IF(#REF!,"AAAAAH3u/4Y=",0)</f>
        <v>#REF!</v>
      </c>
      <c r="EF274" t="e">
        <f>AND(#REF!,"AAAAAH3u/4c=")</f>
        <v>#REF!</v>
      </c>
      <c r="EG274" t="e">
        <f>AND(#REF!,"AAAAAH3u/4g=")</f>
        <v>#REF!</v>
      </c>
      <c r="EH274" t="e">
        <f>AND(#REF!,"AAAAAH3u/4k=")</f>
        <v>#REF!</v>
      </c>
      <c r="EI274" t="e">
        <f>AND(#REF!,"AAAAAH3u/4o=")</f>
        <v>#REF!</v>
      </c>
      <c r="EJ274" t="e">
        <f>AND(#REF!,"AAAAAH3u/4s=")</f>
        <v>#REF!</v>
      </c>
      <c r="EK274" t="e">
        <f>AND(#REF!,"AAAAAH3u/4w=")</f>
        <v>#REF!</v>
      </c>
      <c r="EL274" t="e">
        <f>AND(#REF!,"AAAAAH3u/40=")</f>
        <v>#REF!</v>
      </c>
      <c r="EM274" t="e">
        <f>AND(#REF!,"AAAAAH3u/44=")</f>
        <v>#REF!</v>
      </c>
      <c r="EN274" t="e">
        <f>AND(#REF!,"AAAAAH3u/48=")</f>
        <v>#REF!</v>
      </c>
      <c r="EO274" t="e">
        <f>AND(#REF!,"AAAAAH3u/5A=")</f>
        <v>#REF!</v>
      </c>
      <c r="EP274" t="e">
        <f>AND(#REF!,"AAAAAH3u/5E=")</f>
        <v>#REF!</v>
      </c>
      <c r="EQ274" t="e">
        <f>AND(#REF!,"AAAAAH3u/5I=")</f>
        <v>#REF!</v>
      </c>
      <c r="ER274" t="e">
        <f>AND(#REF!,"AAAAAH3u/5M=")</f>
        <v>#REF!</v>
      </c>
      <c r="ES274" t="e">
        <f>IF(#REF!,"AAAAAH3u/5Q=",0)</f>
        <v>#REF!</v>
      </c>
      <c r="ET274" t="e">
        <f>AND(#REF!,"AAAAAH3u/5U=")</f>
        <v>#REF!</v>
      </c>
      <c r="EU274" t="e">
        <f>AND(#REF!,"AAAAAH3u/5Y=")</f>
        <v>#REF!</v>
      </c>
      <c r="EV274" t="e">
        <f>AND(#REF!,"AAAAAH3u/5c=")</f>
        <v>#REF!</v>
      </c>
      <c r="EW274" t="e">
        <f>AND(#REF!,"AAAAAH3u/5g=")</f>
        <v>#REF!</v>
      </c>
      <c r="EX274" t="e">
        <f>AND(#REF!,"AAAAAH3u/5k=")</f>
        <v>#REF!</v>
      </c>
      <c r="EY274" t="e">
        <f>AND(#REF!,"AAAAAH3u/5o=")</f>
        <v>#REF!</v>
      </c>
      <c r="EZ274" t="e">
        <f>AND(#REF!,"AAAAAH3u/5s=")</f>
        <v>#REF!</v>
      </c>
      <c r="FA274" t="e">
        <f>AND(#REF!,"AAAAAH3u/5w=")</f>
        <v>#REF!</v>
      </c>
      <c r="FB274" t="e">
        <f>AND(#REF!,"AAAAAH3u/50=")</f>
        <v>#REF!</v>
      </c>
      <c r="FC274" t="e">
        <f>AND(#REF!,"AAAAAH3u/54=")</f>
        <v>#REF!</v>
      </c>
      <c r="FD274" t="e">
        <f>AND(#REF!,"AAAAAH3u/58=")</f>
        <v>#REF!</v>
      </c>
      <c r="FE274" t="e">
        <f>AND(#REF!,"AAAAAH3u/6A=")</f>
        <v>#REF!</v>
      </c>
      <c r="FF274" t="e">
        <f>AND(#REF!,"AAAAAH3u/6E=")</f>
        <v>#REF!</v>
      </c>
      <c r="FG274" t="e">
        <f>IF(#REF!,"AAAAAH3u/6I=",0)</f>
        <v>#REF!</v>
      </c>
      <c r="FH274" t="e">
        <f>IF(#REF!,"AAAAAH3u/6M=",0)</f>
        <v>#REF!</v>
      </c>
      <c r="FI274" t="e">
        <f>IF(#REF!,"AAAAAH3u/6Q=",0)</f>
        <v>#REF!</v>
      </c>
      <c r="FJ274" t="e">
        <f>IF(#REF!,"AAAAAH3u/6U=",0)</f>
        <v>#REF!</v>
      </c>
      <c r="FK274" t="e">
        <f>IF(#REF!,"AAAAAH3u/6Y=",0)</f>
        <v>#REF!</v>
      </c>
      <c r="FL274" t="e">
        <f>IF(#REF!,"AAAAAH3u/6c=",0)</f>
        <v>#REF!</v>
      </c>
      <c r="FM274" t="e">
        <f>IF(#REF!,"AAAAAH3u/6g=",0)</f>
        <v>#REF!</v>
      </c>
      <c r="FN274" t="e">
        <f>IF(#REF!,"AAAAAH3u/6k=",0)</f>
        <v>#REF!</v>
      </c>
      <c r="FO274" t="e">
        <f>IF(#REF!,"AAAAAH3u/6o=",0)</f>
        <v>#REF!</v>
      </c>
      <c r="FP274" t="e">
        <f>IF(#REF!,"AAAAAH3u/6s=",0)</f>
        <v>#REF!</v>
      </c>
      <c r="FQ274" t="e">
        <f>IF(#REF!,"AAAAAH3u/6w=",0)</f>
        <v>#REF!</v>
      </c>
      <c r="FR274" t="e">
        <f>IF(#REF!,"AAAAAH3u/60=",0)</f>
        <v>#REF!</v>
      </c>
      <c r="FS274" t="e">
        <f>IF(#REF!,"AAAAAH3u/64=",0)</f>
        <v>#REF!</v>
      </c>
      <c r="FT274" t="e">
        <f>IF(#REF!,"AAAAAH3u/68=",0)</f>
        <v>#REF!</v>
      </c>
      <c r="FU274" t="e">
        <f>AND(#REF!,"AAAAAH3u/7A=")</f>
        <v>#REF!</v>
      </c>
      <c r="FV274" t="e">
        <f>AND(#REF!,"AAAAAH3u/7E=")</f>
        <v>#REF!</v>
      </c>
      <c r="FW274" t="e">
        <f>AND(#REF!,"AAAAAH3u/7I=")</f>
        <v>#REF!</v>
      </c>
      <c r="FX274" t="e">
        <f>AND(#REF!,"AAAAAH3u/7M=")</f>
        <v>#REF!</v>
      </c>
      <c r="FY274" t="e">
        <f>AND(#REF!,"AAAAAH3u/7Q=")</f>
        <v>#REF!</v>
      </c>
      <c r="FZ274" t="e">
        <f>AND(#REF!,"AAAAAH3u/7U=")</f>
        <v>#REF!</v>
      </c>
      <c r="GA274" t="e">
        <f>AND(#REF!,"AAAAAH3u/7Y=")</f>
        <v>#REF!</v>
      </c>
      <c r="GB274" t="e">
        <f>AND(#REF!,"AAAAAH3u/7c=")</f>
        <v>#REF!</v>
      </c>
      <c r="GC274" t="e">
        <f>AND(#REF!,"AAAAAH3u/7g=")</f>
        <v>#REF!</v>
      </c>
      <c r="GD274" t="e">
        <f>AND(#REF!,"AAAAAH3u/7k=")</f>
        <v>#REF!</v>
      </c>
      <c r="GE274" t="e">
        <f>AND(#REF!,"AAAAAH3u/7o=")</f>
        <v>#REF!</v>
      </c>
      <c r="GF274" t="e">
        <f>IF(#REF!,"AAAAAH3u/7s=",0)</f>
        <v>#REF!</v>
      </c>
      <c r="GG274" t="e">
        <f>AND(#REF!,"AAAAAH3u/7w=")</f>
        <v>#REF!</v>
      </c>
      <c r="GH274" t="e">
        <f>AND(#REF!,"AAAAAH3u/70=")</f>
        <v>#REF!</v>
      </c>
      <c r="GI274" t="e">
        <f>AND(#REF!,"AAAAAH3u/74=")</f>
        <v>#REF!</v>
      </c>
      <c r="GJ274" t="e">
        <f>AND(#REF!,"AAAAAH3u/78=")</f>
        <v>#REF!</v>
      </c>
      <c r="GK274" t="e">
        <f>AND(#REF!,"AAAAAH3u/8A=")</f>
        <v>#REF!</v>
      </c>
      <c r="GL274" t="e">
        <f>AND(#REF!,"AAAAAH3u/8E=")</f>
        <v>#REF!</v>
      </c>
      <c r="GM274" t="e">
        <f>AND(#REF!,"AAAAAH3u/8I=")</f>
        <v>#REF!</v>
      </c>
      <c r="GN274" t="e">
        <f>AND(#REF!,"AAAAAH3u/8M=")</f>
        <v>#REF!</v>
      </c>
      <c r="GO274" t="e">
        <f>AND(#REF!,"AAAAAH3u/8Q=")</f>
        <v>#REF!</v>
      </c>
      <c r="GP274" t="e">
        <f>AND(#REF!,"AAAAAH3u/8U=")</f>
        <v>#REF!</v>
      </c>
      <c r="GQ274" t="e">
        <f>AND(#REF!,"AAAAAH3u/8Y=")</f>
        <v>#REF!</v>
      </c>
      <c r="GR274" t="e">
        <f>IF(#REF!,"AAAAAH3u/8c=",0)</f>
        <v>#REF!</v>
      </c>
      <c r="GS274" t="e">
        <f>AND(#REF!,"AAAAAH3u/8g=")</f>
        <v>#REF!</v>
      </c>
      <c r="GT274" t="e">
        <f>AND(#REF!,"AAAAAH3u/8k=")</f>
        <v>#REF!</v>
      </c>
      <c r="GU274" t="e">
        <f>AND(#REF!,"AAAAAH3u/8o=")</f>
        <v>#REF!</v>
      </c>
      <c r="GV274" t="e">
        <f>AND(#REF!,"AAAAAH3u/8s=")</f>
        <v>#REF!</v>
      </c>
      <c r="GW274" t="e">
        <f>AND(#REF!,"AAAAAH3u/8w=")</f>
        <v>#REF!</v>
      </c>
      <c r="GX274" t="e">
        <f>AND(#REF!,"AAAAAH3u/80=")</f>
        <v>#REF!</v>
      </c>
      <c r="GY274" t="e">
        <f>AND(#REF!,"AAAAAH3u/84=")</f>
        <v>#REF!</v>
      </c>
      <c r="GZ274" t="e">
        <f>AND(#REF!,"AAAAAH3u/88=")</f>
        <v>#REF!</v>
      </c>
      <c r="HA274" t="e">
        <f>AND(#REF!,"AAAAAH3u/9A=")</f>
        <v>#REF!</v>
      </c>
      <c r="HB274" t="e">
        <f>AND(#REF!,"AAAAAH3u/9E=")</f>
        <v>#REF!</v>
      </c>
      <c r="HC274" t="e">
        <f>AND(#REF!,"AAAAAH3u/9I=")</f>
        <v>#REF!</v>
      </c>
      <c r="HD274" t="e">
        <f>IF(#REF!,"AAAAAH3u/9M=",0)</f>
        <v>#REF!</v>
      </c>
      <c r="HE274" t="e">
        <f>AND(#REF!,"AAAAAH3u/9Q=")</f>
        <v>#REF!</v>
      </c>
      <c r="HF274" t="e">
        <f>AND(#REF!,"AAAAAH3u/9U=")</f>
        <v>#REF!</v>
      </c>
      <c r="HG274" t="e">
        <f>AND(#REF!,"AAAAAH3u/9Y=")</f>
        <v>#REF!</v>
      </c>
      <c r="HH274" t="e">
        <f>AND(#REF!,"AAAAAH3u/9c=")</f>
        <v>#REF!</v>
      </c>
      <c r="HI274" t="e">
        <f>AND(#REF!,"AAAAAH3u/9g=")</f>
        <v>#REF!</v>
      </c>
      <c r="HJ274" t="e">
        <f>AND(#REF!,"AAAAAH3u/9k=")</f>
        <v>#REF!</v>
      </c>
      <c r="HK274" t="e">
        <f>AND(#REF!,"AAAAAH3u/9o=")</f>
        <v>#REF!</v>
      </c>
      <c r="HL274" t="e">
        <f>AND(#REF!,"AAAAAH3u/9s=")</f>
        <v>#REF!</v>
      </c>
      <c r="HM274" t="e">
        <f>AND(#REF!,"AAAAAH3u/9w=")</f>
        <v>#REF!</v>
      </c>
      <c r="HN274" t="e">
        <f>AND(#REF!,"AAAAAH3u/90=")</f>
        <v>#REF!</v>
      </c>
      <c r="HO274" t="e">
        <f>AND(#REF!,"AAAAAH3u/94=")</f>
        <v>#REF!</v>
      </c>
      <c r="HP274" t="e">
        <f>IF(#REF!,"AAAAAH3u/98=",0)</f>
        <v>#REF!</v>
      </c>
      <c r="HQ274" t="e">
        <f>AND(#REF!,"AAAAAH3u/+A=")</f>
        <v>#REF!</v>
      </c>
      <c r="HR274" t="e">
        <f>AND(#REF!,"AAAAAH3u/+E=")</f>
        <v>#REF!</v>
      </c>
      <c r="HS274" t="e">
        <f>AND(#REF!,"AAAAAH3u/+I=")</f>
        <v>#REF!</v>
      </c>
      <c r="HT274" t="e">
        <f>AND(#REF!,"AAAAAH3u/+M=")</f>
        <v>#REF!</v>
      </c>
      <c r="HU274" t="e">
        <f>AND(#REF!,"AAAAAH3u/+Q=")</f>
        <v>#REF!</v>
      </c>
      <c r="HV274" t="e">
        <f>AND(#REF!,"AAAAAH3u/+U=")</f>
        <v>#REF!</v>
      </c>
      <c r="HW274" t="e">
        <f>AND(#REF!,"AAAAAH3u/+Y=")</f>
        <v>#REF!</v>
      </c>
      <c r="HX274" t="e">
        <f>AND(#REF!,"AAAAAH3u/+c=")</f>
        <v>#REF!</v>
      </c>
      <c r="HY274" t="e">
        <f>AND(#REF!,"AAAAAH3u/+g=")</f>
        <v>#REF!</v>
      </c>
      <c r="HZ274" t="e">
        <f>AND(#REF!,"AAAAAH3u/+k=")</f>
        <v>#REF!</v>
      </c>
      <c r="IA274" t="e">
        <f>AND(#REF!,"AAAAAH3u/+o=")</f>
        <v>#REF!</v>
      </c>
      <c r="IB274" t="e">
        <f>IF(#REF!,"AAAAAH3u/+s=",0)</f>
        <v>#REF!</v>
      </c>
      <c r="IC274" t="e">
        <f>AND(#REF!,"AAAAAH3u/+w=")</f>
        <v>#REF!</v>
      </c>
      <c r="ID274" t="e">
        <f>AND(#REF!,"AAAAAH3u/+0=")</f>
        <v>#REF!</v>
      </c>
      <c r="IE274" t="e">
        <f>AND(#REF!,"AAAAAH3u/+4=")</f>
        <v>#REF!</v>
      </c>
      <c r="IF274" t="e">
        <f>AND(#REF!,"AAAAAH3u/+8=")</f>
        <v>#REF!</v>
      </c>
      <c r="IG274" t="e">
        <f>AND(#REF!,"AAAAAH3u//A=")</f>
        <v>#REF!</v>
      </c>
      <c r="IH274" t="e">
        <f>AND(#REF!,"AAAAAH3u//E=")</f>
        <v>#REF!</v>
      </c>
      <c r="II274" t="e">
        <f>AND(#REF!,"AAAAAH3u//I=")</f>
        <v>#REF!</v>
      </c>
      <c r="IJ274" t="e">
        <f>AND(#REF!,"AAAAAH3u//M=")</f>
        <v>#REF!</v>
      </c>
      <c r="IK274" t="e">
        <f>AND(#REF!,"AAAAAH3u//Q=")</f>
        <v>#REF!</v>
      </c>
      <c r="IL274" t="e">
        <f>AND(#REF!,"AAAAAH3u//U=")</f>
        <v>#REF!</v>
      </c>
      <c r="IM274" t="e">
        <f>AND(#REF!,"AAAAAH3u//Y=")</f>
        <v>#REF!</v>
      </c>
      <c r="IN274" t="e">
        <f>IF(#REF!,"AAAAAH3u//c=",0)</f>
        <v>#REF!</v>
      </c>
      <c r="IO274" t="e">
        <f>AND(#REF!,"AAAAAH3u//g=")</f>
        <v>#REF!</v>
      </c>
      <c r="IP274" t="e">
        <f>AND(#REF!,"AAAAAH3u//k=")</f>
        <v>#REF!</v>
      </c>
      <c r="IQ274" t="e">
        <f>AND(#REF!,"AAAAAH3u//o=")</f>
        <v>#REF!</v>
      </c>
      <c r="IR274" t="e">
        <f>AND(#REF!,"AAAAAH3u//s=")</f>
        <v>#REF!</v>
      </c>
      <c r="IS274" t="e">
        <f>AND(#REF!,"AAAAAH3u//w=")</f>
        <v>#REF!</v>
      </c>
      <c r="IT274" t="e">
        <f>AND(#REF!,"AAAAAH3u//0=")</f>
        <v>#REF!</v>
      </c>
      <c r="IU274" t="e">
        <f>AND(#REF!,"AAAAAH3u//4=")</f>
        <v>#REF!</v>
      </c>
      <c r="IV274" t="e">
        <f>AND(#REF!,"AAAAAH3u//8=")</f>
        <v>#REF!</v>
      </c>
    </row>
    <row r="275" spans="1:256" x14ac:dyDescent="0.2">
      <c r="A275" t="e">
        <f>AND(#REF!,"AAAAAG64ngA=")</f>
        <v>#REF!</v>
      </c>
      <c r="B275" t="e">
        <f>AND(#REF!,"AAAAAG64ngE=")</f>
        <v>#REF!</v>
      </c>
      <c r="C275" t="e">
        <f>AND(#REF!,"AAAAAG64ngI=")</f>
        <v>#REF!</v>
      </c>
      <c r="D275" t="e">
        <f>IF(#REF!,"AAAAAG64ngM=",0)</f>
        <v>#REF!</v>
      </c>
      <c r="E275" t="e">
        <f>AND(#REF!,"AAAAAG64ngQ=")</f>
        <v>#REF!</v>
      </c>
      <c r="F275" t="e">
        <f>AND(#REF!,"AAAAAG64ngU=")</f>
        <v>#REF!</v>
      </c>
      <c r="G275" t="e">
        <f>AND(#REF!,"AAAAAG64ngY=")</f>
        <v>#REF!</v>
      </c>
      <c r="H275" t="e">
        <f>AND(#REF!,"AAAAAG64ngc=")</f>
        <v>#REF!</v>
      </c>
      <c r="I275" t="e">
        <f>AND(#REF!,"AAAAAG64ngg=")</f>
        <v>#REF!</v>
      </c>
      <c r="J275" t="e">
        <f>AND(#REF!,"AAAAAG64ngk=")</f>
        <v>#REF!</v>
      </c>
      <c r="K275" t="e">
        <f>AND(#REF!,"AAAAAG64ngo=")</f>
        <v>#REF!</v>
      </c>
      <c r="L275" t="e">
        <f>AND(#REF!,"AAAAAG64ngs=")</f>
        <v>#REF!</v>
      </c>
      <c r="M275" t="e">
        <f>AND(#REF!,"AAAAAG64ngw=")</f>
        <v>#REF!</v>
      </c>
      <c r="N275" t="e">
        <f>AND(#REF!,"AAAAAG64ng0=")</f>
        <v>#REF!</v>
      </c>
      <c r="O275" t="e">
        <f>AND(#REF!,"AAAAAG64ng4=")</f>
        <v>#REF!</v>
      </c>
      <c r="P275" t="e">
        <f>IF(#REF!,"AAAAAG64ng8=",0)</f>
        <v>#REF!</v>
      </c>
      <c r="Q275" t="e">
        <f>AND(#REF!,"AAAAAG64nhA=")</f>
        <v>#REF!</v>
      </c>
      <c r="R275" t="e">
        <f>AND(#REF!,"AAAAAG64nhE=")</f>
        <v>#REF!</v>
      </c>
      <c r="S275" t="e">
        <f>AND(#REF!,"AAAAAG64nhI=")</f>
        <v>#REF!</v>
      </c>
      <c r="T275" t="e">
        <f>AND(#REF!,"AAAAAG64nhM=")</f>
        <v>#REF!</v>
      </c>
      <c r="U275" t="e">
        <f>AND(#REF!,"AAAAAG64nhQ=")</f>
        <v>#REF!</v>
      </c>
      <c r="V275" t="e">
        <f>AND(#REF!,"AAAAAG64nhU=")</f>
        <v>#REF!</v>
      </c>
      <c r="W275" t="e">
        <f>AND(#REF!,"AAAAAG64nhY=")</f>
        <v>#REF!</v>
      </c>
      <c r="X275" t="e">
        <f>AND(#REF!,"AAAAAG64nhc=")</f>
        <v>#REF!</v>
      </c>
      <c r="Y275" t="e">
        <f>AND(#REF!,"AAAAAG64nhg=")</f>
        <v>#REF!</v>
      </c>
      <c r="Z275" t="e">
        <f>AND(#REF!,"AAAAAG64nhk=")</f>
        <v>#REF!</v>
      </c>
      <c r="AA275" t="e">
        <f>AND(#REF!,"AAAAAG64nho=")</f>
        <v>#REF!</v>
      </c>
      <c r="AB275" t="e">
        <f>IF(#REF!,"AAAAAG64nhs=",0)</f>
        <v>#REF!</v>
      </c>
      <c r="AC275" t="e">
        <f>AND(#REF!,"AAAAAG64nhw=")</f>
        <v>#REF!</v>
      </c>
      <c r="AD275" t="e">
        <f>AND(#REF!,"AAAAAG64nh0=")</f>
        <v>#REF!</v>
      </c>
      <c r="AE275" t="e">
        <f>AND(#REF!,"AAAAAG64nh4=")</f>
        <v>#REF!</v>
      </c>
      <c r="AF275" t="e">
        <f>AND(#REF!,"AAAAAG64nh8=")</f>
        <v>#REF!</v>
      </c>
      <c r="AG275" t="e">
        <f>AND(#REF!,"AAAAAG64niA=")</f>
        <v>#REF!</v>
      </c>
      <c r="AH275" t="e">
        <f>AND(#REF!,"AAAAAG64niE=")</f>
        <v>#REF!</v>
      </c>
      <c r="AI275" t="e">
        <f>AND(#REF!,"AAAAAG64niI=")</f>
        <v>#REF!</v>
      </c>
      <c r="AJ275" t="e">
        <f>AND(#REF!,"AAAAAG64niM=")</f>
        <v>#REF!</v>
      </c>
      <c r="AK275" t="e">
        <f>AND(#REF!,"AAAAAG64niQ=")</f>
        <v>#REF!</v>
      </c>
      <c r="AL275" t="e">
        <f>AND(#REF!,"AAAAAG64niU=")</f>
        <v>#REF!</v>
      </c>
      <c r="AM275" t="e">
        <f>AND(#REF!,"AAAAAG64niY=")</f>
        <v>#REF!</v>
      </c>
      <c r="AN275" t="e">
        <f>IF(#REF!,"AAAAAG64nic=",0)</f>
        <v>#REF!</v>
      </c>
      <c r="AO275" t="e">
        <f>AND(#REF!,"AAAAAG64nig=")</f>
        <v>#REF!</v>
      </c>
      <c r="AP275" t="e">
        <f>AND(#REF!,"AAAAAG64nik=")</f>
        <v>#REF!</v>
      </c>
      <c r="AQ275" t="e">
        <f>AND(#REF!,"AAAAAG64nio=")</f>
        <v>#REF!</v>
      </c>
      <c r="AR275" t="e">
        <f>AND(#REF!,"AAAAAG64nis=")</f>
        <v>#REF!</v>
      </c>
      <c r="AS275" t="e">
        <f>AND(#REF!,"AAAAAG64niw=")</f>
        <v>#REF!</v>
      </c>
      <c r="AT275" t="e">
        <f>AND(#REF!,"AAAAAG64ni0=")</f>
        <v>#REF!</v>
      </c>
      <c r="AU275" t="e">
        <f>AND(#REF!,"AAAAAG64ni4=")</f>
        <v>#REF!</v>
      </c>
      <c r="AV275" t="e">
        <f>AND(#REF!,"AAAAAG64ni8=")</f>
        <v>#REF!</v>
      </c>
      <c r="AW275" t="e">
        <f>AND(#REF!,"AAAAAG64njA=")</f>
        <v>#REF!</v>
      </c>
      <c r="AX275" t="e">
        <f>AND(#REF!,"AAAAAG64njE=")</f>
        <v>#REF!</v>
      </c>
      <c r="AY275" t="e">
        <f>AND(#REF!,"AAAAAG64njI=")</f>
        <v>#REF!</v>
      </c>
      <c r="AZ275" t="e">
        <f>IF(#REF!,"AAAAAG64njM=",0)</f>
        <v>#REF!</v>
      </c>
      <c r="BA275" t="e">
        <f>AND(#REF!,"AAAAAG64njQ=")</f>
        <v>#REF!</v>
      </c>
      <c r="BB275" t="e">
        <f>AND(#REF!,"AAAAAG64njU=")</f>
        <v>#REF!</v>
      </c>
      <c r="BC275" t="e">
        <f>AND(#REF!,"AAAAAG64njY=")</f>
        <v>#REF!</v>
      </c>
      <c r="BD275" t="e">
        <f>AND(#REF!,"AAAAAG64njc=")</f>
        <v>#REF!</v>
      </c>
      <c r="BE275" t="e">
        <f>AND(#REF!,"AAAAAG64njg=")</f>
        <v>#REF!</v>
      </c>
      <c r="BF275" t="e">
        <f>AND(#REF!,"AAAAAG64njk=")</f>
        <v>#REF!</v>
      </c>
      <c r="BG275" t="e">
        <f>AND(#REF!,"AAAAAG64njo=")</f>
        <v>#REF!</v>
      </c>
      <c r="BH275" t="e">
        <f>AND(#REF!,"AAAAAG64njs=")</f>
        <v>#REF!</v>
      </c>
      <c r="BI275" t="e">
        <f>AND(#REF!,"AAAAAG64njw=")</f>
        <v>#REF!</v>
      </c>
      <c r="BJ275" t="e">
        <f>AND(#REF!,"AAAAAG64nj0=")</f>
        <v>#REF!</v>
      </c>
      <c r="BK275" t="e">
        <f>AND(#REF!,"AAAAAG64nj4=")</f>
        <v>#REF!</v>
      </c>
      <c r="BL275" t="e">
        <f>IF(#REF!,"AAAAAG64nj8=",0)</f>
        <v>#REF!</v>
      </c>
      <c r="BM275" t="e">
        <f>AND(#REF!,"AAAAAG64nkA=")</f>
        <v>#REF!</v>
      </c>
      <c r="BN275" t="e">
        <f>AND(#REF!,"AAAAAG64nkE=")</f>
        <v>#REF!</v>
      </c>
      <c r="BO275" t="e">
        <f>AND(#REF!,"AAAAAG64nkI=")</f>
        <v>#REF!</v>
      </c>
      <c r="BP275" t="e">
        <f>AND(#REF!,"AAAAAG64nkM=")</f>
        <v>#REF!</v>
      </c>
      <c r="BQ275" t="e">
        <f>AND(#REF!,"AAAAAG64nkQ=")</f>
        <v>#REF!</v>
      </c>
      <c r="BR275" t="e">
        <f>AND(#REF!,"AAAAAG64nkU=")</f>
        <v>#REF!</v>
      </c>
      <c r="BS275" t="e">
        <f>AND(#REF!,"AAAAAG64nkY=")</f>
        <v>#REF!</v>
      </c>
      <c r="BT275" t="e">
        <f>AND(#REF!,"AAAAAG64nkc=")</f>
        <v>#REF!</v>
      </c>
      <c r="BU275" t="e">
        <f>AND(#REF!,"AAAAAG64nkg=")</f>
        <v>#REF!</v>
      </c>
      <c r="BV275" t="e">
        <f>AND(#REF!,"AAAAAG64nkk=")</f>
        <v>#REF!</v>
      </c>
      <c r="BW275" t="e">
        <f>AND(#REF!,"AAAAAG64nko=")</f>
        <v>#REF!</v>
      </c>
      <c r="BX275" t="e">
        <f>IF(#REF!,"AAAAAG64nks=",0)</f>
        <v>#REF!</v>
      </c>
      <c r="BY275" t="e">
        <f>AND(#REF!,"AAAAAG64nkw=")</f>
        <v>#REF!</v>
      </c>
      <c r="BZ275" t="e">
        <f>AND(#REF!,"AAAAAG64nk0=")</f>
        <v>#REF!</v>
      </c>
      <c r="CA275" t="e">
        <f>AND(#REF!,"AAAAAG64nk4=")</f>
        <v>#REF!</v>
      </c>
      <c r="CB275" t="e">
        <f>AND(#REF!,"AAAAAG64nk8=")</f>
        <v>#REF!</v>
      </c>
      <c r="CC275" t="e">
        <f>AND(#REF!,"AAAAAG64nlA=")</f>
        <v>#REF!</v>
      </c>
      <c r="CD275" t="e">
        <f>AND(#REF!,"AAAAAG64nlE=")</f>
        <v>#REF!</v>
      </c>
      <c r="CE275" t="e">
        <f>AND(#REF!,"AAAAAG64nlI=")</f>
        <v>#REF!</v>
      </c>
      <c r="CF275" t="e">
        <f>AND(#REF!,"AAAAAG64nlM=")</f>
        <v>#REF!</v>
      </c>
      <c r="CG275" t="e">
        <f>AND(#REF!,"AAAAAG64nlQ=")</f>
        <v>#REF!</v>
      </c>
      <c r="CH275" t="e">
        <f>AND(#REF!,"AAAAAG64nlU=")</f>
        <v>#REF!</v>
      </c>
      <c r="CI275" t="e">
        <f>AND(#REF!,"AAAAAG64nlY=")</f>
        <v>#REF!</v>
      </c>
      <c r="CJ275" t="e">
        <f>IF(#REF!,"AAAAAG64nlc=",0)</f>
        <v>#REF!</v>
      </c>
      <c r="CK275" t="e">
        <f>AND(#REF!,"AAAAAG64nlg=")</f>
        <v>#REF!</v>
      </c>
      <c r="CL275" t="e">
        <f>AND(#REF!,"AAAAAG64nlk=")</f>
        <v>#REF!</v>
      </c>
      <c r="CM275" t="e">
        <f>AND(#REF!,"AAAAAG64nlo=")</f>
        <v>#REF!</v>
      </c>
      <c r="CN275" t="e">
        <f>AND(#REF!,"AAAAAG64nls=")</f>
        <v>#REF!</v>
      </c>
      <c r="CO275" t="e">
        <f>AND(#REF!,"AAAAAG64nlw=")</f>
        <v>#REF!</v>
      </c>
      <c r="CP275" t="e">
        <f>AND(#REF!,"AAAAAG64nl0=")</f>
        <v>#REF!</v>
      </c>
      <c r="CQ275" t="e">
        <f>AND(#REF!,"AAAAAG64nl4=")</f>
        <v>#REF!</v>
      </c>
      <c r="CR275" t="e">
        <f>AND(#REF!,"AAAAAG64nl8=")</f>
        <v>#REF!</v>
      </c>
      <c r="CS275" t="e">
        <f>AND(#REF!,"AAAAAG64nmA=")</f>
        <v>#REF!</v>
      </c>
      <c r="CT275" t="e">
        <f>AND(#REF!,"AAAAAG64nmE=")</f>
        <v>#REF!</v>
      </c>
      <c r="CU275" t="e">
        <f>AND(#REF!,"AAAAAG64nmI=")</f>
        <v>#REF!</v>
      </c>
      <c r="CV275" t="e">
        <f>IF(#REF!,"AAAAAG64nmM=",0)</f>
        <v>#REF!</v>
      </c>
      <c r="CW275" t="e">
        <f>AND(#REF!,"AAAAAG64nmQ=")</f>
        <v>#REF!</v>
      </c>
      <c r="CX275" t="e">
        <f>AND(#REF!,"AAAAAG64nmU=")</f>
        <v>#REF!</v>
      </c>
      <c r="CY275" t="e">
        <f>AND(#REF!,"AAAAAG64nmY=")</f>
        <v>#REF!</v>
      </c>
      <c r="CZ275" t="e">
        <f>AND(#REF!,"AAAAAG64nmc=")</f>
        <v>#REF!</v>
      </c>
      <c r="DA275" t="e">
        <f>AND(#REF!,"AAAAAG64nmg=")</f>
        <v>#REF!</v>
      </c>
      <c r="DB275" t="e">
        <f>AND(#REF!,"AAAAAG64nmk=")</f>
        <v>#REF!</v>
      </c>
      <c r="DC275" t="e">
        <f>AND(#REF!,"AAAAAG64nmo=")</f>
        <v>#REF!</v>
      </c>
      <c r="DD275" t="e">
        <f>AND(#REF!,"AAAAAG64nms=")</f>
        <v>#REF!</v>
      </c>
      <c r="DE275" t="e">
        <f>AND(#REF!,"AAAAAG64nmw=")</f>
        <v>#REF!</v>
      </c>
      <c r="DF275" t="e">
        <f>AND(#REF!,"AAAAAG64nm0=")</f>
        <v>#REF!</v>
      </c>
      <c r="DG275" t="e">
        <f>AND(#REF!,"AAAAAG64nm4=")</f>
        <v>#REF!</v>
      </c>
      <c r="DH275" t="e">
        <f>IF(#REF!,"AAAAAG64nm8=",0)</f>
        <v>#REF!</v>
      </c>
      <c r="DI275" t="e">
        <f>AND(#REF!,"AAAAAG64nnA=")</f>
        <v>#REF!</v>
      </c>
      <c r="DJ275" t="e">
        <f>AND(#REF!,"AAAAAG64nnE=")</f>
        <v>#REF!</v>
      </c>
      <c r="DK275" t="e">
        <f>AND(#REF!,"AAAAAG64nnI=")</f>
        <v>#REF!</v>
      </c>
      <c r="DL275" t="e">
        <f>AND(#REF!,"AAAAAG64nnM=")</f>
        <v>#REF!</v>
      </c>
      <c r="DM275" t="e">
        <f>AND(#REF!,"AAAAAG64nnQ=")</f>
        <v>#REF!</v>
      </c>
      <c r="DN275" t="e">
        <f>AND(#REF!,"AAAAAG64nnU=")</f>
        <v>#REF!</v>
      </c>
      <c r="DO275" t="e">
        <f>AND(#REF!,"AAAAAG64nnY=")</f>
        <v>#REF!</v>
      </c>
      <c r="DP275" t="e">
        <f>AND(#REF!,"AAAAAG64nnc=")</f>
        <v>#REF!</v>
      </c>
      <c r="DQ275" t="e">
        <f>AND(#REF!,"AAAAAG64nng=")</f>
        <v>#REF!</v>
      </c>
      <c r="DR275" t="e">
        <f>AND(#REF!,"AAAAAG64nnk=")</f>
        <v>#REF!</v>
      </c>
      <c r="DS275" t="e">
        <f>AND(#REF!,"AAAAAG64nno=")</f>
        <v>#REF!</v>
      </c>
      <c r="DT275" t="e">
        <f>IF(#REF!,"AAAAAG64nns=",0)</f>
        <v>#REF!</v>
      </c>
      <c r="DU275" t="e">
        <f>AND(#REF!,"AAAAAG64nnw=")</f>
        <v>#REF!</v>
      </c>
      <c r="DV275" t="e">
        <f>AND(#REF!,"AAAAAG64nn0=")</f>
        <v>#REF!</v>
      </c>
      <c r="DW275" t="e">
        <f>AND(#REF!,"AAAAAG64nn4=")</f>
        <v>#REF!</v>
      </c>
      <c r="DX275" t="e">
        <f>AND(#REF!,"AAAAAG64nn8=")</f>
        <v>#REF!</v>
      </c>
      <c r="DY275" t="e">
        <f>AND(#REF!,"AAAAAG64noA=")</f>
        <v>#REF!</v>
      </c>
      <c r="DZ275" t="e">
        <f>AND(#REF!,"AAAAAG64noE=")</f>
        <v>#REF!</v>
      </c>
      <c r="EA275" t="e">
        <f>AND(#REF!,"AAAAAG64noI=")</f>
        <v>#REF!</v>
      </c>
      <c r="EB275" t="e">
        <f>AND(#REF!,"AAAAAG64noM=")</f>
        <v>#REF!</v>
      </c>
      <c r="EC275" t="e">
        <f>AND(#REF!,"AAAAAG64noQ=")</f>
        <v>#REF!</v>
      </c>
      <c r="ED275" t="e">
        <f>AND(#REF!,"AAAAAG64noU=")</f>
        <v>#REF!</v>
      </c>
      <c r="EE275" t="e">
        <f>AND(#REF!,"AAAAAG64noY=")</f>
        <v>#REF!</v>
      </c>
      <c r="EF275" t="e">
        <f>IF(#REF!,"AAAAAG64noc=",0)</f>
        <v>#REF!</v>
      </c>
      <c r="EG275" t="e">
        <f>AND(#REF!,"AAAAAG64nog=")</f>
        <v>#REF!</v>
      </c>
      <c r="EH275" t="e">
        <f>AND(#REF!,"AAAAAG64nok=")</f>
        <v>#REF!</v>
      </c>
      <c r="EI275" t="e">
        <f>AND(#REF!,"AAAAAG64noo=")</f>
        <v>#REF!</v>
      </c>
      <c r="EJ275" t="e">
        <f>AND(#REF!,"AAAAAG64nos=")</f>
        <v>#REF!</v>
      </c>
      <c r="EK275" t="e">
        <f>AND(#REF!,"AAAAAG64now=")</f>
        <v>#REF!</v>
      </c>
      <c r="EL275" t="e">
        <f>AND(#REF!,"AAAAAG64no0=")</f>
        <v>#REF!</v>
      </c>
      <c r="EM275" t="e">
        <f>AND(#REF!,"AAAAAG64no4=")</f>
        <v>#REF!</v>
      </c>
      <c r="EN275" t="e">
        <f>AND(#REF!,"AAAAAG64no8=")</f>
        <v>#REF!</v>
      </c>
      <c r="EO275" t="e">
        <f>AND(#REF!,"AAAAAG64npA=")</f>
        <v>#REF!</v>
      </c>
      <c r="EP275" t="e">
        <f>AND(#REF!,"AAAAAG64npE=")</f>
        <v>#REF!</v>
      </c>
      <c r="EQ275" t="e">
        <f>AND(#REF!,"AAAAAG64npI=")</f>
        <v>#REF!</v>
      </c>
      <c r="ER275" t="e">
        <f>IF(#REF!,"AAAAAG64npM=",0)</f>
        <v>#REF!</v>
      </c>
      <c r="ES275" t="e">
        <f>AND(#REF!,"AAAAAG64npQ=")</f>
        <v>#REF!</v>
      </c>
      <c r="ET275" t="e">
        <f>AND(#REF!,"AAAAAG64npU=")</f>
        <v>#REF!</v>
      </c>
      <c r="EU275" t="e">
        <f>AND(#REF!,"AAAAAG64npY=")</f>
        <v>#REF!</v>
      </c>
      <c r="EV275" t="e">
        <f>AND(#REF!,"AAAAAG64npc=")</f>
        <v>#REF!</v>
      </c>
      <c r="EW275" t="e">
        <f>AND(#REF!,"AAAAAG64npg=")</f>
        <v>#REF!</v>
      </c>
      <c r="EX275" t="e">
        <f>AND(#REF!,"AAAAAG64npk=")</f>
        <v>#REF!</v>
      </c>
      <c r="EY275" t="e">
        <f>AND(#REF!,"AAAAAG64npo=")</f>
        <v>#REF!</v>
      </c>
      <c r="EZ275" t="e">
        <f>AND(#REF!,"AAAAAG64nps=")</f>
        <v>#REF!</v>
      </c>
      <c r="FA275" t="e">
        <f>AND(#REF!,"AAAAAG64npw=")</f>
        <v>#REF!</v>
      </c>
      <c r="FB275" t="e">
        <f>AND(#REF!,"AAAAAG64np0=")</f>
        <v>#REF!</v>
      </c>
      <c r="FC275" t="e">
        <f>AND(#REF!,"AAAAAG64np4=")</f>
        <v>#REF!</v>
      </c>
      <c r="FD275" t="e">
        <f>IF(#REF!,"AAAAAG64np8=",0)</f>
        <v>#REF!</v>
      </c>
      <c r="FE275" t="e">
        <f>AND(#REF!,"AAAAAG64nqA=")</f>
        <v>#REF!</v>
      </c>
      <c r="FF275" t="e">
        <f>AND(#REF!,"AAAAAG64nqE=")</f>
        <v>#REF!</v>
      </c>
      <c r="FG275" t="e">
        <f>AND(#REF!,"AAAAAG64nqI=")</f>
        <v>#REF!</v>
      </c>
      <c r="FH275" t="e">
        <f>AND(#REF!,"AAAAAG64nqM=")</f>
        <v>#REF!</v>
      </c>
      <c r="FI275" t="e">
        <f>AND(#REF!,"AAAAAG64nqQ=")</f>
        <v>#REF!</v>
      </c>
      <c r="FJ275" t="e">
        <f>AND(#REF!,"AAAAAG64nqU=")</f>
        <v>#REF!</v>
      </c>
      <c r="FK275" t="e">
        <f>AND(#REF!,"AAAAAG64nqY=")</f>
        <v>#REF!</v>
      </c>
      <c r="FL275" t="e">
        <f>AND(#REF!,"AAAAAG64nqc=")</f>
        <v>#REF!</v>
      </c>
      <c r="FM275" t="e">
        <f>AND(#REF!,"AAAAAG64nqg=")</f>
        <v>#REF!</v>
      </c>
      <c r="FN275" t="e">
        <f>AND(#REF!,"AAAAAG64nqk=")</f>
        <v>#REF!</v>
      </c>
      <c r="FO275" t="e">
        <f>AND(#REF!,"AAAAAG64nqo=")</f>
        <v>#REF!</v>
      </c>
      <c r="FP275" t="e">
        <f>IF(#REF!,"AAAAAG64nqs=",0)</f>
        <v>#REF!</v>
      </c>
      <c r="FQ275" t="e">
        <f>AND(#REF!,"AAAAAG64nqw=")</f>
        <v>#REF!</v>
      </c>
      <c r="FR275" t="e">
        <f>AND(#REF!,"AAAAAG64nq0=")</f>
        <v>#REF!</v>
      </c>
      <c r="FS275" t="e">
        <f>AND(#REF!,"AAAAAG64nq4=")</f>
        <v>#REF!</v>
      </c>
      <c r="FT275" t="e">
        <f>AND(#REF!,"AAAAAG64nq8=")</f>
        <v>#REF!</v>
      </c>
      <c r="FU275" t="e">
        <f>AND(#REF!,"AAAAAG64nrA=")</f>
        <v>#REF!</v>
      </c>
      <c r="FV275" t="e">
        <f>AND(#REF!,"AAAAAG64nrE=")</f>
        <v>#REF!</v>
      </c>
      <c r="FW275" t="e">
        <f>AND(#REF!,"AAAAAG64nrI=")</f>
        <v>#REF!</v>
      </c>
      <c r="FX275" t="e">
        <f>AND(#REF!,"AAAAAG64nrM=")</f>
        <v>#REF!</v>
      </c>
      <c r="FY275" t="e">
        <f>AND(#REF!,"AAAAAG64nrQ=")</f>
        <v>#REF!</v>
      </c>
      <c r="FZ275" t="e">
        <f>AND(#REF!,"AAAAAG64nrU=")</f>
        <v>#REF!</v>
      </c>
      <c r="GA275" t="e">
        <f>AND(#REF!,"AAAAAG64nrY=")</f>
        <v>#REF!</v>
      </c>
      <c r="GB275" t="e">
        <f>IF(#REF!,"AAAAAG64nrc=",0)</f>
        <v>#REF!</v>
      </c>
      <c r="GC275" t="e">
        <f>AND(#REF!,"AAAAAG64nrg=")</f>
        <v>#REF!</v>
      </c>
      <c r="GD275" t="e">
        <f>AND(#REF!,"AAAAAG64nrk=")</f>
        <v>#REF!</v>
      </c>
      <c r="GE275" t="e">
        <f>AND(#REF!,"AAAAAG64nro=")</f>
        <v>#REF!</v>
      </c>
      <c r="GF275" t="e">
        <f>AND(#REF!,"AAAAAG64nrs=")</f>
        <v>#REF!</v>
      </c>
      <c r="GG275" t="e">
        <f>AND(#REF!,"AAAAAG64nrw=")</f>
        <v>#REF!</v>
      </c>
      <c r="GH275" t="e">
        <f>AND(#REF!,"AAAAAG64nr0=")</f>
        <v>#REF!</v>
      </c>
      <c r="GI275" t="e">
        <f>AND(#REF!,"AAAAAG64nr4=")</f>
        <v>#REF!</v>
      </c>
      <c r="GJ275" t="e">
        <f>AND(#REF!,"AAAAAG64nr8=")</f>
        <v>#REF!</v>
      </c>
      <c r="GK275" t="e">
        <f>AND(#REF!,"AAAAAG64nsA=")</f>
        <v>#REF!</v>
      </c>
      <c r="GL275" t="e">
        <f>AND(#REF!,"AAAAAG64nsE=")</f>
        <v>#REF!</v>
      </c>
      <c r="GM275" t="e">
        <f>AND(#REF!,"AAAAAG64nsI=")</f>
        <v>#REF!</v>
      </c>
      <c r="GN275" t="e">
        <f>IF(#REF!,"AAAAAG64nsM=",0)</f>
        <v>#REF!</v>
      </c>
      <c r="GO275" t="e">
        <f>AND(#REF!,"AAAAAG64nsQ=")</f>
        <v>#REF!</v>
      </c>
      <c r="GP275" t="e">
        <f>AND(#REF!,"AAAAAG64nsU=")</f>
        <v>#REF!</v>
      </c>
      <c r="GQ275" t="e">
        <f>AND(#REF!,"AAAAAG64nsY=")</f>
        <v>#REF!</v>
      </c>
      <c r="GR275" t="e">
        <f>AND(#REF!,"AAAAAG64nsc=")</f>
        <v>#REF!</v>
      </c>
      <c r="GS275" t="e">
        <f>AND(#REF!,"AAAAAG64nsg=")</f>
        <v>#REF!</v>
      </c>
      <c r="GT275" t="e">
        <f>AND(#REF!,"AAAAAG64nsk=")</f>
        <v>#REF!</v>
      </c>
      <c r="GU275" t="e">
        <f>AND(#REF!,"AAAAAG64nso=")</f>
        <v>#REF!</v>
      </c>
      <c r="GV275" t="e">
        <f>AND(#REF!,"AAAAAG64nss=")</f>
        <v>#REF!</v>
      </c>
      <c r="GW275" t="e">
        <f>AND(#REF!,"AAAAAG64nsw=")</f>
        <v>#REF!</v>
      </c>
      <c r="GX275" t="e">
        <f>AND(#REF!,"AAAAAG64ns0=")</f>
        <v>#REF!</v>
      </c>
      <c r="GY275" t="e">
        <f>AND(#REF!,"AAAAAG64ns4=")</f>
        <v>#REF!</v>
      </c>
      <c r="GZ275" t="e">
        <f>IF(#REF!,"AAAAAG64ns8=",0)</f>
        <v>#REF!</v>
      </c>
      <c r="HA275" t="e">
        <f>AND(#REF!,"AAAAAG64ntA=")</f>
        <v>#REF!</v>
      </c>
      <c r="HB275" t="e">
        <f>AND(#REF!,"AAAAAG64ntE=")</f>
        <v>#REF!</v>
      </c>
      <c r="HC275" t="e">
        <f>AND(#REF!,"AAAAAG64ntI=")</f>
        <v>#REF!</v>
      </c>
      <c r="HD275" t="e">
        <f>AND(#REF!,"AAAAAG64ntM=")</f>
        <v>#REF!</v>
      </c>
      <c r="HE275" t="e">
        <f>AND(#REF!,"AAAAAG64ntQ=")</f>
        <v>#REF!</v>
      </c>
      <c r="HF275" t="e">
        <f>AND(#REF!,"AAAAAG64ntU=")</f>
        <v>#REF!</v>
      </c>
      <c r="HG275" t="e">
        <f>AND(#REF!,"AAAAAG64ntY=")</f>
        <v>#REF!</v>
      </c>
      <c r="HH275" t="e">
        <f>AND(#REF!,"AAAAAG64ntc=")</f>
        <v>#REF!</v>
      </c>
      <c r="HI275" t="e">
        <f>AND(#REF!,"AAAAAG64ntg=")</f>
        <v>#REF!</v>
      </c>
      <c r="HJ275" t="e">
        <f>AND(#REF!,"AAAAAG64ntk=")</f>
        <v>#REF!</v>
      </c>
      <c r="HK275" t="e">
        <f>AND(#REF!,"AAAAAG64nto=")</f>
        <v>#REF!</v>
      </c>
      <c r="HL275" t="e">
        <f>IF(#REF!,"AAAAAG64nts=",0)</f>
        <v>#REF!</v>
      </c>
      <c r="HM275" t="e">
        <f>AND(#REF!,"AAAAAG64ntw=")</f>
        <v>#REF!</v>
      </c>
      <c r="HN275" t="e">
        <f>AND(#REF!,"AAAAAG64nt0=")</f>
        <v>#REF!</v>
      </c>
      <c r="HO275" t="e">
        <f>AND(#REF!,"AAAAAG64nt4=")</f>
        <v>#REF!</v>
      </c>
      <c r="HP275" t="e">
        <f>AND(#REF!,"AAAAAG64nt8=")</f>
        <v>#REF!</v>
      </c>
      <c r="HQ275" t="e">
        <f>AND(#REF!,"AAAAAG64nuA=")</f>
        <v>#REF!</v>
      </c>
      <c r="HR275" t="e">
        <f>AND(#REF!,"AAAAAG64nuE=")</f>
        <v>#REF!</v>
      </c>
      <c r="HS275" t="e">
        <f>AND(#REF!,"AAAAAG64nuI=")</f>
        <v>#REF!</v>
      </c>
      <c r="HT275" t="e">
        <f>AND(#REF!,"AAAAAG64nuM=")</f>
        <v>#REF!</v>
      </c>
      <c r="HU275" t="e">
        <f>AND(#REF!,"AAAAAG64nuQ=")</f>
        <v>#REF!</v>
      </c>
      <c r="HV275" t="e">
        <f>AND(#REF!,"AAAAAG64nuU=")</f>
        <v>#REF!</v>
      </c>
      <c r="HW275" t="e">
        <f>AND(#REF!,"AAAAAG64nuY=")</f>
        <v>#REF!</v>
      </c>
      <c r="HX275" t="e">
        <f>IF(#REF!,"AAAAAG64nuc=",0)</f>
        <v>#REF!</v>
      </c>
      <c r="HY275" t="e">
        <f>AND(#REF!,"AAAAAG64nug=")</f>
        <v>#REF!</v>
      </c>
      <c r="HZ275" t="e">
        <f>AND(#REF!,"AAAAAG64nuk=")</f>
        <v>#REF!</v>
      </c>
      <c r="IA275" t="e">
        <f>AND(#REF!,"AAAAAG64nuo=")</f>
        <v>#REF!</v>
      </c>
      <c r="IB275" t="e">
        <f>AND(#REF!,"AAAAAG64nus=")</f>
        <v>#REF!</v>
      </c>
      <c r="IC275" t="e">
        <f>AND(#REF!,"AAAAAG64nuw=")</f>
        <v>#REF!</v>
      </c>
      <c r="ID275" t="e">
        <f>AND(#REF!,"AAAAAG64nu0=")</f>
        <v>#REF!</v>
      </c>
      <c r="IE275" t="e">
        <f>AND(#REF!,"AAAAAG64nu4=")</f>
        <v>#REF!</v>
      </c>
      <c r="IF275" t="e">
        <f>AND(#REF!,"AAAAAG64nu8=")</f>
        <v>#REF!</v>
      </c>
      <c r="IG275" t="e">
        <f>AND(#REF!,"AAAAAG64nvA=")</f>
        <v>#REF!</v>
      </c>
      <c r="IH275" t="e">
        <f>AND(#REF!,"AAAAAG64nvE=")</f>
        <v>#REF!</v>
      </c>
      <c r="II275" t="e">
        <f>AND(#REF!,"AAAAAG64nvI=")</f>
        <v>#REF!</v>
      </c>
      <c r="IJ275" t="e">
        <f>IF(#REF!,"AAAAAG64nvM=",0)</f>
        <v>#REF!</v>
      </c>
      <c r="IK275" t="e">
        <f>AND(#REF!,"AAAAAG64nvQ=")</f>
        <v>#REF!</v>
      </c>
      <c r="IL275" t="e">
        <f>AND(#REF!,"AAAAAG64nvU=")</f>
        <v>#REF!</v>
      </c>
      <c r="IM275" t="e">
        <f>AND(#REF!,"AAAAAG64nvY=")</f>
        <v>#REF!</v>
      </c>
      <c r="IN275" t="e">
        <f>AND(#REF!,"AAAAAG64nvc=")</f>
        <v>#REF!</v>
      </c>
      <c r="IO275" t="e">
        <f>AND(#REF!,"AAAAAG64nvg=")</f>
        <v>#REF!</v>
      </c>
      <c r="IP275" t="e">
        <f>AND(#REF!,"AAAAAG64nvk=")</f>
        <v>#REF!</v>
      </c>
      <c r="IQ275" t="e">
        <f>AND(#REF!,"AAAAAG64nvo=")</f>
        <v>#REF!</v>
      </c>
      <c r="IR275" t="e">
        <f>AND(#REF!,"AAAAAG64nvs=")</f>
        <v>#REF!</v>
      </c>
      <c r="IS275" t="e">
        <f>AND(#REF!,"AAAAAG64nvw=")</f>
        <v>#REF!</v>
      </c>
      <c r="IT275" t="e">
        <f>AND(#REF!,"AAAAAG64nv0=")</f>
        <v>#REF!</v>
      </c>
      <c r="IU275" t="e">
        <f>AND(#REF!,"AAAAAG64nv4=")</f>
        <v>#REF!</v>
      </c>
      <c r="IV275" t="e">
        <f>IF(#REF!,"AAAAAG64nv8=",0)</f>
        <v>#REF!</v>
      </c>
    </row>
    <row r="276" spans="1:256" x14ac:dyDescent="0.2">
      <c r="A276" t="e">
        <f>AND(#REF!,"AAAAAFbzZQA=")</f>
        <v>#REF!</v>
      </c>
      <c r="B276" t="e">
        <f>AND(#REF!,"AAAAAFbzZQE=")</f>
        <v>#REF!</v>
      </c>
      <c r="C276" t="e">
        <f>AND(#REF!,"AAAAAFbzZQI=")</f>
        <v>#REF!</v>
      </c>
      <c r="D276" t="e">
        <f>AND(#REF!,"AAAAAFbzZQM=")</f>
        <v>#REF!</v>
      </c>
      <c r="E276" t="e">
        <f>AND(#REF!,"AAAAAFbzZQQ=")</f>
        <v>#REF!</v>
      </c>
      <c r="F276" t="e">
        <f>AND(#REF!,"AAAAAFbzZQU=")</f>
        <v>#REF!</v>
      </c>
      <c r="G276" t="e">
        <f>AND(#REF!,"AAAAAFbzZQY=")</f>
        <v>#REF!</v>
      </c>
      <c r="H276" t="e">
        <f>AND(#REF!,"AAAAAFbzZQc=")</f>
        <v>#REF!</v>
      </c>
      <c r="I276" t="e">
        <f>AND(#REF!,"AAAAAFbzZQg=")</f>
        <v>#REF!</v>
      </c>
      <c r="J276" t="e">
        <f>AND(#REF!,"AAAAAFbzZQk=")</f>
        <v>#REF!</v>
      </c>
      <c r="K276" t="e">
        <f>AND(#REF!,"AAAAAFbzZQo=")</f>
        <v>#REF!</v>
      </c>
      <c r="L276" t="e">
        <f>IF(#REF!,"AAAAAFbzZQs=",0)</f>
        <v>#REF!</v>
      </c>
      <c r="M276" t="e">
        <f>AND(#REF!,"AAAAAFbzZQw=")</f>
        <v>#REF!</v>
      </c>
      <c r="N276" t="e">
        <f>AND(#REF!,"AAAAAFbzZQ0=")</f>
        <v>#REF!</v>
      </c>
      <c r="O276" t="e">
        <f>AND(#REF!,"AAAAAFbzZQ4=")</f>
        <v>#REF!</v>
      </c>
      <c r="P276" t="e">
        <f>AND(#REF!,"AAAAAFbzZQ8=")</f>
        <v>#REF!</v>
      </c>
      <c r="Q276" t="e">
        <f>AND(#REF!,"AAAAAFbzZRA=")</f>
        <v>#REF!</v>
      </c>
      <c r="R276" t="e">
        <f>AND(#REF!,"AAAAAFbzZRE=")</f>
        <v>#REF!</v>
      </c>
      <c r="S276" t="e">
        <f>AND(#REF!,"AAAAAFbzZRI=")</f>
        <v>#REF!</v>
      </c>
      <c r="T276" t="e">
        <f>AND(#REF!,"AAAAAFbzZRM=")</f>
        <v>#REF!</v>
      </c>
      <c r="U276" t="e">
        <f>AND(#REF!,"AAAAAFbzZRQ=")</f>
        <v>#REF!</v>
      </c>
      <c r="V276" t="e">
        <f>AND(#REF!,"AAAAAFbzZRU=")</f>
        <v>#REF!</v>
      </c>
      <c r="W276" t="e">
        <f>AND(#REF!,"AAAAAFbzZRY=")</f>
        <v>#REF!</v>
      </c>
      <c r="X276" t="e">
        <f>IF(#REF!,"AAAAAFbzZRc=",0)</f>
        <v>#REF!</v>
      </c>
      <c r="Y276" t="e">
        <f>AND(#REF!,"AAAAAFbzZRg=")</f>
        <v>#REF!</v>
      </c>
      <c r="Z276" t="e">
        <f>AND(#REF!,"AAAAAFbzZRk=")</f>
        <v>#REF!</v>
      </c>
      <c r="AA276" t="e">
        <f>AND(#REF!,"AAAAAFbzZRo=")</f>
        <v>#REF!</v>
      </c>
      <c r="AB276" t="e">
        <f>AND(#REF!,"AAAAAFbzZRs=")</f>
        <v>#REF!</v>
      </c>
      <c r="AC276" t="e">
        <f>AND(#REF!,"AAAAAFbzZRw=")</f>
        <v>#REF!</v>
      </c>
      <c r="AD276" t="e">
        <f>AND(#REF!,"AAAAAFbzZR0=")</f>
        <v>#REF!</v>
      </c>
      <c r="AE276" t="e">
        <f>AND(#REF!,"AAAAAFbzZR4=")</f>
        <v>#REF!</v>
      </c>
      <c r="AF276" t="e">
        <f>AND(#REF!,"AAAAAFbzZR8=")</f>
        <v>#REF!</v>
      </c>
      <c r="AG276" t="e">
        <f>AND(#REF!,"AAAAAFbzZSA=")</f>
        <v>#REF!</v>
      </c>
      <c r="AH276" t="e">
        <f>AND(#REF!,"AAAAAFbzZSE=")</f>
        <v>#REF!</v>
      </c>
      <c r="AI276" t="e">
        <f>AND(#REF!,"AAAAAFbzZSI=")</f>
        <v>#REF!</v>
      </c>
      <c r="AJ276" t="e">
        <f>IF(#REF!,"AAAAAFbzZSM=",0)</f>
        <v>#REF!</v>
      </c>
      <c r="AK276" t="e">
        <f>AND(#REF!,"AAAAAFbzZSQ=")</f>
        <v>#REF!</v>
      </c>
      <c r="AL276" t="e">
        <f>AND(#REF!,"AAAAAFbzZSU=")</f>
        <v>#REF!</v>
      </c>
      <c r="AM276" t="e">
        <f>AND(#REF!,"AAAAAFbzZSY=")</f>
        <v>#REF!</v>
      </c>
      <c r="AN276" t="e">
        <f>AND(#REF!,"AAAAAFbzZSc=")</f>
        <v>#REF!</v>
      </c>
      <c r="AO276" t="e">
        <f>AND(#REF!,"AAAAAFbzZSg=")</f>
        <v>#REF!</v>
      </c>
      <c r="AP276" t="e">
        <f>AND(#REF!,"AAAAAFbzZSk=")</f>
        <v>#REF!</v>
      </c>
      <c r="AQ276" t="e">
        <f>AND(#REF!,"AAAAAFbzZSo=")</f>
        <v>#REF!</v>
      </c>
      <c r="AR276" t="e">
        <f>AND(#REF!,"AAAAAFbzZSs=")</f>
        <v>#REF!</v>
      </c>
      <c r="AS276" t="e">
        <f>IF(#REF!,"AAAAAFbzZSw=",0)</f>
        <v>#REF!</v>
      </c>
      <c r="AT276" t="e">
        <f>AND(#REF!,"AAAAAFbzZS0=")</f>
        <v>#REF!</v>
      </c>
      <c r="AU276" t="e">
        <f>AND(#REF!,"AAAAAFbzZS4=")</f>
        <v>#REF!</v>
      </c>
      <c r="AV276" t="e">
        <f>AND(#REF!,"AAAAAFbzZS8=")</f>
        <v>#REF!</v>
      </c>
      <c r="AW276" t="e">
        <f>AND(#REF!,"AAAAAFbzZTA=")</f>
        <v>#REF!</v>
      </c>
      <c r="AX276" t="e">
        <f>AND(#REF!,"AAAAAFbzZTE=")</f>
        <v>#REF!</v>
      </c>
      <c r="AY276" t="e">
        <f>AND(#REF!,"AAAAAFbzZTI=")</f>
        <v>#REF!</v>
      </c>
      <c r="AZ276" t="e">
        <f>AND(#REF!,"AAAAAFbzZTM=")</f>
        <v>#REF!</v>
      </c>
      <c r="BA276" t="e">
        <f>AND(#REF!,"AAAAAFbzZTQ=")</f>
        <v>#REF!</v>
      </c>
      <c r="BB276" t="e">
        <f>IF(#REF!,"AAAAAFbzZTU=",0)</f>
        <v>#REF!</v>
      </c>
      <c r="BC276" t="e">
        <f>IF(#REF!,"AAAAAFbzZTY=",0)</f>
        <v>#REF!</v>
      </c>
      <c r="BD276" t="e">
        <f>IF(#REF!,"AAAAAFbzZTc=",0)</f>
        <v>#REF!</v>
      </c>
      <c r="BE276" t="e">
        <f>IF(#REF!,"AAAAAFbzZTg=",0)</f>
        <v>#REF!</v>
      </c>
      <c r="BF276" t="e">
        <f>IF(#REF!,"AAAAAFbzZTk=",0)</f>
        <v>#REF!</v>
      </c>
      <c r="BG276" t="e">
        <f>IF(#REF!,"AAAAAFbzZTo=",0)</f>
        <v>#REF!</v>
      </c>
      <c r="BH276" t="e">
        <f>IF(#REF!,"AAAAAFbzZTs=",0)</f>
        <v>#REF!</v>
      </c>
      <c r="BI276" t="e">
        <f>IF(#REF!,"AAAAAFbzZTw=",0)</f>
        <v>#REF!</v>
      </c>
      <c r="BJ276" t="e">
        <f>IF(#REF!,"AAAAAFbzZT0=",0)</f>
        <v>#REF!</v>
      </c>
      <c r="BK276" t="e">
        <f>IF(#REF!,"AAAAAFbzZT4=",0)</f>
        <v>#REF!</v>
      </c>
      <c r="BL276" t="e">
        <f>IF(#REF!,"AAAAAFbzZT8=",0)</f>
        <v>#REF!</v>
      </c>
      <c r="BM276">
        <f>IF(ESG!1:1,"AAAAAFbzZUA=",0)</f>
        <v>0</v>
      </c>
      <c r="BN276" t="e">
        <f>AND(ESG!#REF!,"AAAAAFbzZUE=")</f>
        <v>#REF!</v>
      </c>
      <c r="BO276" t="e">
        <f>AND(ESG!A1,"AAAAAFbzZUI=")</f>
        <v>#VALUE!</v>
      </c>
      <c r="BP276" t="e">
        <f>AND(ESG!C1,"AAAAAFbzZUM=")</f>
        <v>#VALUE!</v>
      </c>
      <c r="BQ276" t="e">
        <f>AND(ESG!D1,"AAAAAFbzZUQ=")</f>
        <v>#VALUE!</v>
      </c>
      <c r="BR276" t="e">
        <f>AND(ESG!E1,"AAAAAFbzZUU=")</f>
        <v>#VALUE!</v>
      </c>
      <c r="BS276" t="e">
        <f>AND(ESG!F1,"AAAAAFbzZUY=")</f>
        <v>#VALUE!</v>
      </c>
      <c r="BT276" t="e">
        <f>AND(ESG!G1,"AAAAAFbzZUc=")</f>
        <v>#VALUE!</v>
      </c>
      <c r="BU276" t="e">
        <f>AND(ESG!H1,"AAAAAFbzZUg=")</f>
        <v>#VALUE!</v>
      </c>
      <c r="BV276" t="e">
        <f>AND(ESG!I1,"AAAAAFbzZUk=")</f>
        <v>#VALUE!</v>
      </c>
      <c r="BW276" t="e">
        <f>AND(ESG!J1,"AAAAAFbzZUo=")</f>
        <v>#VALUE!</v>
      </c>
      <c r="BX276" t="e">
        <f>AND(ESG!K1,"AAAAAFbzZUs=")</f>
        <v>#VALUE!</v>
      </c>
      <c r="BY276" t="e">
        <f>AND(ESG!L1,"AAAAAFbzZUw=")</f>
        <v>#VALUE!</v>
      </c>
      <c r="BZ276" t="e">
        <f>AND(ESG!M1,"AAAAAFbzZU0=")</f>
        <v>#VALUE!</v>
      </c>
      <c r="CA276" t="e">
        <f>AND(ESG!N1,"AAAAAFbzZU4=")</f>
        <v>#VALUE!</v>
      </c>
      <c r="CB276">
        <f>IF(ESG!2:2,"AAAAAFbzZU8=",0)</f>
        <v>0</v>
      </c>
      <c r="CC276" t="e">
        <f>AND(ESG!A2,"AAAAAFbzZVA=")</f>
        <v>#VALUE!</v>
      </c>
      <c r="CD276" t="e">
        <f>AND(ESG!B2,"AAAAAFbzZVE=")</f>
        <v>#VALUE!</v>
      </c>
      <c r="CE276" t="e">
        <f>AND(ESG!C2,"AAAAAFbzZVI=")</f>
        <v>#VALUE!</v>
      </c>
      <c r="CF276" t="e">
        <f>AND(ESG!D2,"AAAAAFbzZVM=")</f>
        <v>#VALUE!</v>
      </c>
      <c r="CG276" t="e">
        <f>AND(ESG!E2,"AAAAAFbzZVQ=")</f>
        <v>#VALUE!</v>
      </c>
      <c r="CH276" t="e">
        <f>AND(ESG!F2,"AAAAAFbzZVU=")</f>
        <v>#VALUE!</v>
      </c>
      <c r="CI276" t="e">
        <f>AND(ESG!G2,"AAAAAFbzZVY=")</f>
        <v>#VALUE!</v>
      </c>
      <c r="CJ276" t="e">
        <f>AND(ESG!H2,"AAAAAFbzZVc=")</f>
        <v>#VALUE!</v>
      </c>
      <c r="CK276" t="e">
        <f>AND(ESG!I2,"AAAAAFbzZVg=")</f>
        <v>#VALUE!</v>
      </c>
      <c r="CL276" t="e">
        <f>AND(ESG!J2,"AAAAAFbzZVk=")</f>
        <v>#VALUE!</v>
      </c>
      <c r="CM276" t="e">
        <f>AND(ESG!K2,"AAAAAFbzZVo=")</f>
        <v>#VALUE!</v>
      </c>
      <c r="CN276" t="e">
        <f>AND(ESG!L2,"AAAAAFbzZVs=")</f>
        <v>#VALUE!</v>
      </c>
      <c r="CO276" t="e">
        <f>AND(ESG!M2,"AAAAAFbzZVw=")</f>
        <v>#VALUE!</v>
      </c>
      <c r="CP276" t="e">
        <f>AND(ESG!N2,"AAAAAFbzZV0=")</f>
        <v>#VALUE!</v>
      </c>
      <c r="CQ276">
        <f>IF(ESG!3:3,"AAAAAFbzZV4=",0)</f>
        <v>0</v>
      </c>
      <c r="CR276" t="e">
        <f>AND(ESG!#REF!,"AAAAAFbzZV8=")</f>
        <v>#REF!</v>
      </c>
      <c r="CS276" t="e">
        <f>AND(ESG!A3,"AAAAAFbzZWA=")</f>
        <v>#VALUE!</v>
      </c>
      <c r="CT276" t="e">
        <f>AND(ESG!B3,"AAAAAFbzZWE=")</f>
        <v>#VALUE!</v>
      </c>
      <c r="CU276" t="e">
        <f>AND(ESG!C3,"AAAAAFbzZWI=")</f>
        <v>#VALUE!</v>
      </c>
      <c r="CV276" t="e">
        <f>AND(ESG!D3,"AAAAAFbzZWM=")</f>
        <v>#VALUE!</v>
      </c>
      <c r="CW276" t="e">
        <f>AND(ESG!E3,"AAAAAFbzZWQ=")</f>
        <v>#VALUE!</v>
      </c>
      <c r="CX276" t="e">
        <f>AND(ESG!F3,"AAAAAFbzZWU=")</f>
        <v>#VALUE!</v>
      </c>
      <c r="CY276" t="e">
        <f>AND(ESG!G3,"AAAAAFbzZWY=")</f>
        <v>#VALUE!</v>
      </c>
      <c r="CZ276" t="e">
        <f>AND(ESG!H3,"AAAAAFbzZWc=")</f>
        <v>#VALUE!</v>
      </c>
      <c r="DA276" t="e">
        <f>AND(ESG!I3,"AAAAAFbzZWg=")</f>
        <v>#VALUE!</v>
      </c>
      <c r="DB276" t="e">
        <f>AND(ESG!J3,"AAAAAFbzZWk=")</f>
        <v>#VALUE!</v>
      </c>
      <c r="DC276" t="e">
        <f>AND(ESG!K3,"AAAAAFbzZWo=")</f>
        <v>#VALUE!</v>
      </c>
      <c r="DD276" t="e">
        <f>AND(ESG!L3,"AAAAAFbzZWs=")</f>
        <v>#VALUE!</v>
      </c>
      <c r="DE276" t="e">
        <f>AND(ESG!M3,"AAAAAFbzZWw=")</f>
        <v>#VALUE!</v>
      </c>
      <c r="DF276" t="e">
        <f>IF(ESG!#REF!,"AAAAAFbzZW0=",0)</f>
        <v>#REF!</v>
      </c>
      <c r="DG276" t="e">
        <f>AND(ESG!#REF!,"AAAAAFbzZW4=")</f>
        <v>#REF!</v>
      </c>
      <c r="DH276" t="e">
        <f>AND(ESG!#REF!,"AAAAAFbzZW8=")</f>
        <v>#REF!</v>
      </c>
      <c r="DI276" t="e">
        <f>AND(ESG!#REF!,"AAAAAFbzZXA=")</f>
        <v>#REF!</v>
      </c>
      <c r="DJ276" t="e">
        <f>AND(ESG!#REF!,"AAAAAFbzZXE=")</f>
        <v>#REF!</v>
      </c>
      <c r="DK276" t="e">
        <f>AND(ESG!#REF!,"AAAAAFbzZXI=")</f>
        <v>#REF!</v>
      </c>
      <c r="DL276" t="e">
        <f>AND(ESG!#REF!,"AAAAAFbzZXM=")</f>
        <v>#REF!</v>
      </c>
      <c r="DM276" t="e">
        <f>AND(ESG!#REF!,"AAAAAFbzZXQ=")</f>
        <v>#REF!</v>
      </c>
      <c r="DN276" t="e">
        <f>AND(ESG!#REF!,"AAAAAFbzZXU=")</f>
        <v>#REF!</v>
      </c>
      <c r="DO276" t="e">
        <f>AND(ESG!#REF!,"AAAAAFbzZXY=")</f>
        <v>#REF!</v>
      </c>
      <c r="DP276" t="e">
        <f>AND(ESG!#REF!,"AAAAAFbzZXc=")</f>
        <v>#REF!</v>
      </c>
      <c r="DQ276" t="e">
        <f>AND(ESG!#REF!,"AAAAAFbzZXg=")</f>
        <v>#REF!</v>
      </c>
      <c r="DR276" t="e">
        <f>AND(ESG!#REF!,"AAAAAFbzZXk=")</f>
        <v>#REF!</v>
      </c>
      <c r="DS276" t="e">
        <f>AND(ESG!#REF!,"AAAAAFbzZXo=")</f>
        <v>#REF!</v>
      </c>
      <c r="DT276" t="e">
        <f>AND(ESG!#REF!,"AAAAAFbzZXs=")</f>
        <v>#REF!</v>
      </c>
      <c r="DU276" t="e">
        <f>IF(ESG!#REF!,"AAAAAFbzZXw=",0)</f>
        <v>#REF!</v>
      </c>
      <c r="DV276" t="e">
        <f>AND(ESG!#REF!,"AAAAAFbzZX0=")</f>
        <v>#REF!</v>
      </c>
      <c r="DW276" t="e">
        <f>AND(ESG!#REF!,"AAAAAFbzZX4=")</f>
        <v>#REF!</v>
      </c>
      <c r="DX276" t="e">
        <f>AND(ESG!#REF!,"AAAAAFbzZX8=")</f>
        <v>#REF!</v>
      </c>
      <c r="DY276" t="e">
        <f>AND(ESG!#REF!,"AAAAAFbzZYA=")</f>
        <v>#REF!</v>
      </c>
      <c r="DZ276" t="e">
        <f>AND(ESG!#REF!,"AAAAAFbzZYE=")</f>
        <v>#REF!</v>
      </c>
      <c r="EA276" t="e">
        <f>AND(ESG!#REF!,"AAAAAFbzZYI=")</f>
        <v>#REF!</v>
      </c>
      <c r="EB276" t="e">
        <f>AND(ESG!#REF!,"AAAAAFbzZYM=")</f>
        <v>#REF!</v>
      </c>
      <c r="EC276" t="e">
        <f>AND(ESG!#REF!,"AAAAAFbzZYQ=")</f>
        <v>#REF!</v>
      </c>
      <c r="ED276" t="e">
        <f>AND(ESG!#REF!,"AAAAAFbzZYU=")</f>
        <v>#REF!</v>
      </c>
      <c r="EE276" t="e">
        <f>AND(ESG!#REF!,"AAAAAFbzZYY=")</f>
        <v>#REF!</v>
      </c>
      <c r="EF276" t="e">
        <f>AND(ESG!#REF!,"AAAAAFbzZYc=")</f>
        <v>#REF!</v>
      </c>
      <c r="EG276" t="e">
        <f>AND(ESG!#REF!,"AAAAAFbzZYg=")</f>
        <v>#REF!</v>
      </c>
      <c r="EH276" t="e">
        <f>AND(ESG!#REF!,"AAAAAFbzZYk=")</f>
        <v>#REF!</v>
      </c>
      <c r="EI276" t="e">
        <f>AND(ESG!#REF!,"AAAAAFbzZYo=")</f>
        <v>#REF!</v>
      </c>
      <c r="EJ276" t="e">
        <f>IF(ESG!#REF!,"AAAAAFbzZYs=",0)</f>
        <v>#REF!</v>
      </c>
      <c r="EK276" t="e">
        <f>AND(ESG!#REF!,"AAAAAFbzZYw=")</f>
        <v>#REF!</v>
      </c>
      <c r="EL276" t="e">
        <f>AND(ESG!#REF!,"AAAAAFbzZY0=")</f>
        <v>#REF!</v>
      </c>
      <c r="EM276" t="e">
        <f>AND(ESG!#REF!,"AAAAAFbzZY4=")</f>
        <v>#REF!</v>
      </c>
      <c r="EN276" t="e">
        <f>AND(ESG!#REF!,"AAAAAFbzZY8=")</f>
        <v>#REF!</v>
      </c>
      <c r="EO276" t="e">
        <f>AND(ESG!#REF!,"AAAAAFbzZZA=")</f>
        <v>#REF!</v>
      </c>
      <c r="EP276" t="e">
        <f>AND(ESG!#REF!,"AAAAAFbzZZE=")</f>
        <v>#REF!</v>
      </c>
      <c r="EQ276" t="e">
        <f>AND(ESG!#REF!,"AAAAAFbzZZI=")</f>
        <v>#REF!</v>
      </c>
      <c r="ER276" t="e">
        <f>AND(ESG!#REF!,"AAAAAFbzZZM=")</f>
        <v>#REF!</v>
      </c>
      <c r="ES276" t="e">
        <f>AND(ESG!#REF!,"AAAAAFbzZZQ=")</f>
        <v>#REF!</v>
      </c>
      <c r="ET276" t="e">
        <f>AND(ESG!#REF!,"AAAAAFbzZZU=")</f>
        <v>#REF!</v>
      </c>
      <c r="EU276" t="e">
        <f>AND(ESG!#REF!,"AAAAAFbzZZY=")</f>
        <v>#REF!</v>
      </c>
      <c r="EV276" t="e">
        <f>AND(ESG!#REF!,"AAAAAFbzZZc=")</f>
        <v>#REF!</v>
      </c>
      <c r="EW276" t="e">
        <f>AND(ESG!#REF!,"AAAAAFbzZZg=")</f>
        <v>#REF!</v>
      </c>
      <c r="EX276" t="e">
        <f>AND(ESG!#REF!,"AAAAAFbzZZk=")</f>
        <v>#REF!</v>
      </c>
      <c r="EY276">
        <f>IF(ESG!6:6,"AAAAAFbzZZo=",0)</f>
        <v>0</v>
      </c>
      <c r="EZ276" t="e">
        <f>AND(ESG!#REF!,"AAAAAFbzZZs=")</f>
        <v>#REF!</v>
      </c>
      <c r="FA276" t="e">
        <f>AND(ESG!A6,"AAAAAFbzZZw=")</f>
        <v>#VALUE!</v>
      </c>
      <c r="FB276" t="e">
        <f>AND(ESG!B6,"AAAAAFbzZZ0=")</f>
        <v>#VALUE!</v>
      </c>
      <c r="FC276" t="e">
        <f>AND(ESG!C6,"AAAAAFbzZZ4=")</f>
        <v>#VALUE!</v>
      </c>
      <c r="FD276" t="e">
        <f>AND(ESG!D6,"AAAAAFbzZZ8=")</f>
        <v>#VALUE!</v>
      </c>
      <c r="FE276" t="e">
        <f>AND(ESG!E6,"AAAAAFbzZaA=")</f>
        <v>#VALUE!</v>
      </c>
      <c r="FF276" t="e">
        <f>AND(ESG!F6,"AAAAAFbzZaE=")</f>
        <v>#VALUE!</v>
      </c>
      <c r="FG276" t="e">
        <f>AND(ESG!G6,"AAAAAFbzZaI=")</f>
        <v>#VALUE!</v>
      </c>
      <c r="FH276" t="e">
        <f>AND(ESG!H6,"AAAAAFbzZaM=")</f>
        <v>#VALUE!</v>
      </c>
      <c r="FI276" t="e">
        <f>AND(ESG!I6,"AAAAAFbzZaQ=")</f>
        <v>#VALUE!</v>
      </c>
      <c r="FJ276" t="e">
        <f>AND(ESG!J6,"AAAAAFbzZaU=")</f>
        <v>#VALUE!</v>
      </c>
      <c r="FK276" t="e">
        <f>AND(ESG!K6,"AAAAAFbzZaY=")</f>
        <v>#VALUE!</v>
      </c>
      <c r="FL276" t="e">
        <f>AND(ESG!L6,"AAAAAFbzZac=")</f>
        <v>#VALUE!</v>
      </c>
      <c r="FM276" t="e">
        <f>AND(ESG!M6,"AAAAAFbzZag=")</f>
        <v>#VALUE!</v>
      </c>
      <c r="FN276" t="e">
        <f>IF(ESG!#REF!,"AAAAAFbzZak=",0)</f>
        <v>#REF!</v>
      </c>
      <c r="FO276" t="e">
        <f>AND(ESG!#REF!,"AAAAAFbzZao=")</f>
        <v>#REF!</v>
      </c>
      <c r="FP276" t="e">
        <f>AND(ESG!#REF!,"AAAAAFbzZas=")</f>
        <v>#REF!</v>
      </c>
      <c r="FQ276" t="e">
        <f>AND(ESG!#REF!,"AAAAAFbzZaw=")</f>
        <v>#REF!</v>
      </c>
      <c r="FR276" t="e">
        <f>AND(ESG!#REF!,"AAAAAFbzZa0=")</f>
        <v>#REF!</v>
      </c>
      <c r="FS276" t="e">
        <f>AND(ESG!#REF!,"AAAAAFbzZa4=")</f>
        <v>#REF!</v>
      </c>
      <c r="FT276" t="e">
        <f>AND(ESG!#REF!,"AAAAAFbzZa8=")</f>
        <v>#REF!</v>
      </c>
      <c r="FU276" t="e">
        <f>AND(ESG!#REF!,"AAAAAFbzZbA=")</f>
        <v>#REF!</v>
      </c>
      <c r="FV276" t="e">
        <f>AND(ESG!#REF!,"AAAAAFbzZbE=")</f>
        <v>#REF!</v>
      </c>
      <c r="FW276" t="e">
        <f>AND(ESG!#REF!,"AAAAAFbzZbI=")</f>
        <v>#REF!</v>
      </c>
      <c r="FX276" t="e">
        <f>AND(ESG!#REF!,"AAAAAFbzZbM=")</f>
        <v>#REF!</v>
      </c>
      <c r="FY276" t="e">
        <f>AND(ESG!#REF!,"AAAAAFbzZbQ=")</f>
        <v>#REF!</v>
      </c>
      <c r="FZ276" t="e">
        <f>AND(ESG!#REF!,"AAAAAFbzZbU=")</f>
        <v>#REF!</v>
      </c>
      <c r="GA276" t="e">
        <f>AND(ESG!#REF!,"AAAAAFbzZbY=")</f>
        <v>#REF!</v>
      </c>
      <c r="GB276" t="e">
        <f>AND(ESG!#REF!,"AAAAAFbzZbc=")</f>
        <v>#REF!</v>
      </c>
      <c r="GC276" t="e">
        <f>IF(ESG!#REF!,"AAAAAFbzZbg=",0)</f>
        <v>#REF!</v>
      </c>
      <c r="GD276" t="e">
        <f>AND(ESG!#REF!,"AAAAAFbzZbk=")</f>
        <v>#REF!</v>
      </c>
      <c r="GE276" t="e">
        <f>AND(ESG!#REF!,"AAAAAFbzZbo=")</f>
        <v>#REF!</v>
      </c>
      <c r="GF276" t="e">
        <f>AND(ESG!#REF!,"AAAAAFbzZbs=")</f>
        <v>#REF!</v>
      </c>
      <c r="GG276" t="e">
        <f>AND(ESG!#REF!,"AAAAAFbzZbw=")</f>
        <v>#REF!</v>
      </c>
      <c r="GH276" t="e">
        <f>AND(ESG!#REF!,"AAAAAFbzZb0=")</f>
        <v>#REF!</v>
      </c>
      <c r="GI276" t="e">
        <f>AND(ESG!#REF!,"AAAAAFbzZb4=")</f>
        <v>#REF!</v>
      </c>
      <c r="GJ276" t="e">
        <f>AND(ESG!#REF!,"AAAAAFbzZb8=")</f>
        <v>#REF!</v>
      </c>
      <c r="GK276" t="e">
        <f>AND(ESG!#REF!,"AAAAAFbzZcA=")</f>
        <v>#REF!</v>
      </c>
      <c r="GL276" t="e">
        <f>AND(ESG!#REF!,"AAAAAFbzZcE=")</f>
        <v>#REF!</v>
      </c>
      <c r="GM276" t="e">
        <f>AND(ESG!#REF!,"AAAAAFbzZcI=")</f>
        <v>#REF!</v>
      </c>
      <c r="GN276" t="e">
        <f>AND(ESG!#REF!,"AAAAAFbzZcM=")</f>
        <v>#REF!</v>
      </c>
      <c r="GO276" t="e">
        <f>AND(ESG!#REF!,"AAAAAFbzZcQ=")</f>
        <v>#REF!</v>
      </c>
      <c r="GP276" t="e">
        <f>AND(ESG!#REF!,"AAAAAFbzZcU=")</f>
        <v>#REF!</v>
      </c>
      <c r="GQ276" t="e">
        <f>AND(ESG!#REF!,"AAAAAFbzZcY=")</f>
        <v>#REF!</v>
      </c>
      <c r="GR276" t="e">
        <f>IF(ESG!#REF!,"AAAAAFbzZcc=",0)</f>
        <v>#REF!</v>
      </c>
      <c r="GS276" t="e">
        <f>AND(ESG!#REF!,"AAAAAFbzZcg=")</f>
        <v>#REF!</v>
      </c>
      <c r="GT276" t="e">
        <f>AND(ESG!#REF!,"AAAAAFbzZck=")</f>
        <v>#REF!</v>
      </c>
      <c r="GU276" t="e">
        <f>AND(ESG!#REF!,"AAAAAFbzZco=")</f>
        <v>#REF!</v>
      </c>
      <c r="GV276" t="e">
        <f>AND(ESG!#REF!,"AAAAAFbzZcs=")</f>
        <v>#REF!</v>
      </c>
      <c r="GW276" t="e">
        <f>AND(ESG!#REF!,"AAAAAFbzZcw=")</f>
        <v>#REF!</v>
      </c>
      <c r="GX276" t="e">
        <f>AND(ESG!#REF!,"AAAAAFbzZc0=")</f>
        <v>#REF!</v>
      </c>
      <c r="GY276" t="e">
        <f>AND(ESG!#REF!,"AAAAAFbzZc4=")</f>
        <v>#REF!</v>
      </c>
      <c r="GZ276" t="e">
        <f>AND(ESG!#REF!,"AAAAAFbzZc8=")</f>
        <v>#REF!</v>
      </c>
      <c r="HA276" t="e">
        <f>AND(ESG!#REF!,"AAAAAFbzZdA=")</f>
        <v>#REF!</v>
      </c>
      <c r="HB276" t="e">
        <f>AND(ESG!#REF!,"AAAAAFbzZdE=")</f>
        <v>#REF!</v>
      </c>
      <c r="HC276" t="e">
        <f>AND(ESG!#REF!,"AAAAAFbzZdI=")</f>
        <v>#REF!</v>
      </c>
      <c r="HD276" t="e">
        <f>AND(ESG!#REF!,"AAAAAFbzZdM=")</f>
        <v>#REF!</v>
      </c>
      <c r="HE276" t="e">
        <f>AND(ESG!#REF!,"AAAAAFbzZdQ=")</f>
        <v>#REF!</v>
      </c>
      <c r="HF276" t="e">
        <f>AND(ESG!#REF!,"AAAAAFbzZdU=")</f>
        <v>#REF!</v>
      </c>
      <c r="HG276" t="e">
        <f>IF(ESG!#REF!,"AAAAAFbzZdY=",0)</f>
        <v>#REF!</v>
      </c>
      <c r="HH276" t="e">
        <f>AND(ESG!#REF!,"AAAAAFbzZdc=")</f>
        <v>#REF!</v>
      </c>
      <c r="HI276" t="e">
        <f>AND(ESG!#REF!,"AAAAAFbzZdg=")</f>
        <v>#REF!</v>
      </c>
      <c r="HJ276" t="e">
        <f>AND(ESG!#REF!,"AAAAAFbzZdk=")</f>
        <v>#REF!</v>
      </c>
      <c r="HK276" t="e">
        <f>AND(ESG!#REF!,"AAAAAFbzZdo=")</f>
        <v>#REF!</v>
      </c>
      <c r="HL276" t="e">
        <f>AND(ESG!#REF!,"AAAAAFbzZds=")</f>
        <v>#REF!</v>
      </c>
      <c r="HM276" t="e">
        <f>AND(ESG!#REF!,"AAAAAFbzZdw=")</f>
        <v>#REF!</v>
      </c>
      <c r="HN276" t="e">
        <f>AND(ESG!#REF!,"AAAAAFbzZd0=")</f>
        <v>#REF!</v>
      </c>
      <c r="HO276" t="e">
        <f>AND(ESG!#REF!,"AAAAAFbzZd4=")</f>
        <v>#REF!</v>
      </c>
      <c r="HP276" t="e">
        <f>AND(ESG!#REF!,"AAAAAFbzZd8=")</f>
        <v>#REF!</v>
      </c>
      <c r="HQ276" t="e">
        <f>AND(ESG!#REF!,"AAAAAFbzZeA=")</f>
        <v>#REF!</v>
      </c>
      <c r="HR276" t="e">
        <f>AND(ESG!#REF!,"AAAAAFbzZeE=")</f>
        <v>#REF!</v>
      </c>
      <c r="HS276" t="e">
        <f>AND(ESG!#REF!,"AAAAAFbzZeI=")</f>
        <v>#REF!</v>
      </c>
      <c r="HT276" t="e">
        <f>AND(ESG!#REF!,"AAAAAFbzZeM=")</f>
        <v>#REF!</v>
      </c>
      <c r="HU276" t="e">
        <f>AND(ESG!#REF!,"AAAAAFbzZeQ=")</f>
        <v>#REF!</v>
      </c>
      <c r="HV276" t="e">
        <f>IF(ESG!#REF!,"AAAAAFbzZeU=",0)</f>
        <v>#REF!</v>
      </c>
      <c r="HW276" t="e">
        <f>AND(ESG!#REF!,"AAAAAFbzZeY=")</f>
        <v>#REF!</v>
      </c>
      <c r="HX276" t="e">
        <f>AND(ESG!#REF!,"AAAAAFbzZec=")</f>
        <v>#REF!</v>
      </c>
      <c r="HY276" t="e">
        <f>AND(ESG!#REF!,"AAAAAFbzZeg=")</f>
        <v>#REF!</v>
      </c>
      <c r="HZ276" t="e">
        <f>AND(ESG!#REF!,"AAAAAFbzZek=")</f>
        <v>#REF!</v>
      </c>
      <c r="IA276" t="e">
        <f>AND(ESG!#REF!,"AAAAAFbzZeo=")</f>
        <v>#REF!</v>
      </c>
      <c r="IB276" t="e">
        <f>AND(ESG!#REF!,"AAAAAFbzZes=")</f>
        <v>#REF!</v>
      </c>
      <c r="IC276" t="e">
        <f>AND(ESG!#REF!,"AAAAAFbzZew=")</f>
        <v>#REF!</v>
      </c>
      <c r="ID276" t="e">
        <f>AND(ESG!#REF!,"AAAAAFbzZe0=")</f>
        <v>#REF!</v>
      </c>
      <c r="IE276" t="e">
        <f>AND(ESG!#REF!,"AAAAAFbzZe4=")</f>
        <v>#REF!</v>
      </c>
      <c r="IF276" t="e">
        <f>AND(ESG!#REF!,"AAAAAFbzZe8=")</f>
        <v>#REF!</v>
      </c>
      <c r="IG276" t="e">
        <f>AND(ESG!#REF!,"AAAAAFbzZfA=")</f>
        <v>#REF!</v>
      </c>
      <c r="IH276" t="e">
        <f>AND(ESG!#REF!,"AAAAAFbzZfE=")</f>
        <v>#REF!</v>
      </c>
      <c r="II276" t="e">
        <f>AND(ESG!#REF!,"AAAAAFbzZfI=")</f>
        <v>#REF!</v>
      </c>
      <c r="IJ276" t="e">
        <f>AND(ESG!#REF!,"AAAAAFbzZfM=")</f>
        <v>#REF!</v>
      </c>
      <c r="IK276" t="e">
        <f>IF(ESG!#REF!,"AAAAAFbzZfQ=",0)</f>
        <v>#REF!</v>
      </c>
      <c r="IL276" t="e">
        <f>AND(ESG!#REF!,"AAAAAFbzZfU=")</f>
        <v>#REF!</v>
      </c>
      <c r="IM276" t="e">
        <f>AND(ESG!#REF!,"AAAAAFbzZfY=")</f>
        <v>#REF!</v>
      </c>
      <c r="IN276" t="e">
        <f>AND(ESG!#REF!,"AAAAAFbzZfc=")</f>
        <v>#REF!</v>
      </c>
      <c r="IO276" t="e">
        <f>AND(ESG!#REF!,"AAAAAFbzZfg=")</f>
        <v>#REF!</v>
      </c>
      <c r="IP276" t="e">
        <f>AND(ESG!#REF!,"AAAAAFbzZfk=")</f>
        <v>#REF!</v>
      </c>
      <c r="IQ276" t="e">
        <f>AND(ESG!#REF!,"AAAAAFbzZfo=")</f>
        <v>#REF!</v>
      </c>
      <c r="IR276" t="e">
        <f>AND(ESG!#REF!,"AAAAAFbzZfs=")</f>
        <v>#REF!</v>
      </c>
      <c r="IS276" t="e">
        <f>AND(ESG!#REF!,"AAAAAFbzZfw=")</f>
        <v>#REF!</v>
      </c>
      <c r="IT276" t="e">
        <f>AND(ESG!#REF!,"AAAAAFbzZf0=")</f>
        <v>#REF!</v>
      </c>
      <c r="IU276" t="e">
        <f>AND(ESG!#REF!,"AAAAAFbzZf4=")</f>
        <v>#REF!</v>
      </c>
      <c r="IV276" t="e">
        <f>AND(ESG!#REF!,"AAAAAFbzZf8=")</f>
        <v>#REF!</v>
      </c>
    </row>
    <row r="277" spans="1:256" x14ac:dyDescent="0.2">
      <c r="A277" t="e">
        <f>AND(ESG!#REF!,"AAAAAH/vuwA=")</f>
        <v>#REF!</v>
      </c>
      <c r="B277" t="e">
        <f>AND(ESG!#REF!,"AAAAAH/vuwE=")</f>
        <v>#REF!</v>
      </c>
      <c r="C277" t="e">
        <f>AND(ESG!#REF!,"AAAAAH/vuwI=")</f>
        <v>#REF!</v>
      </c>
      <c r="D277" t="e">
        <f>IF(ESG!#REF!,"AAAAAH/vuwM=",0)</f>
        <v>#REF!</v>
      </c>
      <c r="E277" t="e">
        <f>AND(ESG!#REF!,"AAAAAH/vuwQ=")</f>
        <v>#REF!</v>
      </c>
      <c r="F277" t="e">
        <f>AND(ESG!#REF!,"AAAAAH/vuwU=")</f>
        <v>#REF!</v>
      </c>
      <c r="G277" t="e">
        <f>AND(ESG!#REF!,"AAAAAH/vuwY=")</f>
        <v>#REF!</v>
      </c>
      <c r="H277" t="e">
        <f>AND(ESG!#REF!,"AAAAAH/vuwc=")</f>
        <v>#REF!</v>
      </c>
      <c r="I277" t="e">
        <f>AND(ESG!#REF!,"AAAAAH/vuwg=")</f>
        <v>#REF!</v>
      </c>
      <c r="J277" t="e">
        <f>AND(ESG!#REF!,"AAAAAH/vuwk=")</f>
        <v>#REF!</v>
      </c>
      <c r="K277" t="e">
        <f>AND(ESG!#REF!,"AAAAAH/vuwo=")</f>
        <v>#REF!</v>
      </c>
      <c r="L277" t="e">
        <f>AND(ESG!#REF!,"AAAAAH/vuws=")</f>
        <v>#REF!</v>
      </c>
      <c r="M277" t="e">
        <f>AND(ESG!#REF!,"AAAAAH/vuww=")</f>
        <v>#REF!</v>
      </c>
      <c r="N277" t="e">
        <f>AND(ESG!#REF!,"AAAAAH/vuw0=")</f>
        <v>#REF!</v>
      </c>
      <c r="O277" t="e">
        <f>AND(ESG!#REF!,"AAAAAH/vuw4=")</f>
        <v>#REF!</v>
      </c>
      <c r="P277" t="e">
        <f>AND(ESG!#REF!,"AAAAAH/vuw8=")</f>
        <v>#REF!</v>
      </c>
      <c r="Q277" t="e">
        <f>AND(ESG!#REF!,"AAAAAH/vuxA=")</f>
        <v>#REF!</v>
      </c>
      <c r="R277" t="e">
        <f>AND(ESG!#REF!,"AAAAAH/vuxE=")</f>
        <v>#REF!</v>
      </c>
      <c r="S277" t="e">
        <f>IF(ESG!#REF!,"AAAAAH/vuxI=",0)</f>
        <v>#REF!</v>
      </c>
      <c r="T277" t="e">
        <f>AND(ESG!#REF!,"AAAAAH/vuxM=")</f>
        <v>#REF!</v>
      </c>
      <c r="U277" t="e">
        <f>AND(ESG!#REF!,"AAAAAH/vuxQ=")</f>
        <v>#REF!</v>
      </c>
      <c r="V277" t="e">
        <f>AND(ESG!#REF!,"AAAAAH/vuxU=")</f>
        <v>#REF!</v>
      </c>
      <c r="W277" t="e">
        <f>AND(ESG!#REF!,"AAAAAH/vuxY=")</f>
        <v>#REF!</v>
      </c>
      <c r="X277" t="e">
        <f>AND(ESG!#REF!,"AAAAAH/vuxc=")</f>
        <v>#REF!</v>
      </c>
      <c r="Y277" t="e">
        <f>AND(ESG!#REF!,"AAAAAH/vuxg=")</f>
        <v>#REF!</v>
      </c>
      <c r="Z277" t="e">
        <f>AND(ESG!#REF!,"AAAAAH/vuxk=")</f>
        <v>#REF!</v>
      </c>
      <c r="AA277" t="e">
        <f>AND(ESG!#REF!,"AAAAAH/vuxo=")</f>
        <v>#REF!</v>
      </c>
      <c r="AB277" t="e">
        <f>AND(ESG!#REF!,"AAAAAH/vuxs=")</f>
        <v>#REF!</v>
      </c>
      <c r="AC277" t="e">
        <f>AND(ESG!#REF!,"AAAAAH/vuxw=")</f>
        <v>#REF!</v>
      </c>
      <c r="AD277" t="e">
        <f>AND(ESG!#REF!,"AAAAAH/vux0=")</f>
        <v>#REF!</v>
      </c>
      <c r="AE277" t="e">
        <f>AND(ESG!#REF!,"AAAAAH/vux4=")</f>
        <v>#REF!</v>
      </c>
      <c r="AF277" t="e">
        <f>AND(ESG!#REF!,"AAAAAH/vux8=")</f>
        <v>#REF!</v>
      </c>
      <c r="AG277" t="e">
        <f>AND(ESG!#REF!,"AAAAAH/vuyA=")</f>
        <v>#REF!</v>
      </c>
      <c r="AH277" t="e">
        <f>IF(ESG!#REF!,"AAAAAH/vuyE=",0)</f>
        <v>#REF!</v>
      </c>
      <c r="AI277" t="e">
        <f>AND(ESG!#REF!,"AAAAAH/vuyI=")</f>
        <v>#REF!</v>
      </c>
      <c r="AJ277" t="e">
        <f>AND(ESG!#REF!,"AAAAAH/vuyM=")</f>
        <v>#REF!</v>
      </c>
      <c r="AK277" t="e">
        <f>AND(ESG!#REF!,"AAAAAH/vuyQ=")</f>
        <v>#REF!</v>
      </c>
      <c r="AL277" t="e">
        <f>AND(ESG!#REF!,"AAAAAH/vuyU=")</f>
        <v>#REF!</v>
      </c>
      <c r="AM277" t="e">
        <f>AND(ESG!#REF!,"AAAAAH/vuyY=")</f>
        <v>#REF!</v>
      </c>
      <c r="AN277" t="e">
        <f>AND(ESG!#REF!,"AAAAAH/vuyc=")</f>
        <v>#REF!</v>
      </c>
      <c r="AO277" t="e">
        <f>AND(ESG!#REF!,"AAAAAH/vuyg=")</f>
        <v>#REF!</v>
      </c>
      <c r="AP277" t="e">
        <f>AND(ESG!#REF!,"AAAAAH/vuyk=")</f>
        <v>#REF!</v>
      </c>
      <c r="AQ277" t="e">
        <f>AND(ESG!#REF!,"AAAAAH/vuyo=")</f>
        <v>#REF!</v>
      </c>
      <c r="AR277" t="e">
        <f>AND(ESG!#REF!,"AAAAAH/vuys=")</f>
        <v>#REF!</v>
      </c>
      <c r="AS277" t="e">
        <f>AND(ESG!#REF!,"AAAAAH/vuyw=")</f>
        <v>#REF!</v>
      </c>
      <c r="AT277" t="e">
        <f>AND(ESG!#REF!,"AAAAAH/vuy0=")</f>
        <v>#REF!</v>
      </c>
      <c r="AU277" t="e">
        <f>AND(ESG!#REF!,"AAAAAH/vuy4=")</f>
        <v>#REF!</v>
      </c>
      <c r="AV277" t="e">
        <f>AND(ESG!#REF!,"AAAAAH/vuy8=")</f>
        <v>#REF!</v>
      </c>
      <c r="AW277" t="e">
        <f>IF(ESG!#REF!,"AAAAAH/vuzA=",0)</f>
        <v>#REF!</v>
      </c>
      <c r="AX277" t="e">
        <f>AND(ESG!#REF!,"AAAAAH/vuzE=")</f>
        <v>#REF!</v>
      </c>
      <c r="AY277" t="e">
        <f>AND(ESG!#REF!,"AAAAAH/vuzI=")</f>
        <v>#REF!</v>
      </c>
      <c r="AZ277" t="e">
        <f>AND(ESG!#REF!,"AAAAAH/vuzM=")</f>
        <v>#REF!</v>
      </c>
      <c r="BA277" t="e">
        <f>AND(ESG!#REF!,"AAAAAH/vuzQ=")</f>
        <v>#REF!</v>
      </c>
      <c r="BB277" t="e">
        <f>AND(ESG!#REF!,"AAAAAH/vuzU=")</f>
        <v>#REF!</v>
      </c>
      <c r="BC277" t="e">
        <f>AND(ESG!#REF!,"AAAAAH/vuzY=")</f>
        <v>#REF!</v>
      </c>
      <c r="BD277" t="e">
        <f>AND(ESG!#REF!,"AAAAAH/vuzc=")</f>
        <v>#REF!</v>
      </c>
      <c r="BE277" t="e">
        <f>AND(ESG!#REF!,"AAAAAH/vuzg=")</f>
        <v>#REF!</v>
      </c>
      <c r="BF277" t="e">
        <f>AND(ESG!#REF!,"AAAAAH/vuzk=")</f>
        <v>#REF!</v>
      </c>
      <c r="BG277" t="e">
        <f>AND(ESG!#REF!,"AAAAAH/vuzo=")</f>
        <v>#REF!</v>
      </c>
      <c r="BH277" t="e">
        <f>AND(ESG!#REF!,"AAAAAH/vuzs=")</f>
        <v>#REF!</v>
      </c>
      <c r="BI277" t="e">
        <f>AND(ESG!#REF!,"AAAAAH/vuzw=")</f>
        <v>#REF!</v>
      </c>
      <c r="BJ277" t="e">
        <f>AND(ESG!#REF!,"AAAAAH/vuz0=")</f>
        <v>#REF!</v>
      </c>
      <c r="BK277" t="e">
        <f>AND(ESG!#REF!,"AAAAAH/vuz4=")</f>
        <v>#REF!</v>
      </c>
      <c r="BL277" t="e">
        <f>IF(ESG!#REF!,"AAAAAH/vuz8=",0)</f>
        <v>#REF!</v>
      </c>
      <c r="BM277" t="e">
        <f>AND(ESG!#REF!,"AAAAAH/vu0A=")</f>
        <v>#REF!</v>
      </c>
      <c r="BN277" t="e">
        <f>AND(ESG!#REF!,"AAAAAH/vu0E=")</f>
        <v>#REF!</v>
      </c>
      <c r="BO277" t="e">
        <f>AND(ESG!#REF!,"AAAAAH/vu0I=")</f>
        <v>#REF!</v>
      </c>
      <c r="BP277" t="e">
        <f>AND(ESG!#REF!,"AAAAAH/vu0M=")</f>
        <v>#REF!</v>
      </c>
      <c r="BQ277" t="e">
        <f>AND(ESG!#REF!,"AAAAAH/vu0Q=")</f>
        <v>#REF!</v>
      </c>
      <c r="BR277" t="e">
        <f>AND(ESG!#REF!,"AAAAAH/vu0U=")</f>
        <v>#REF!</v>
      </c>
      <c r="BS277" t="e">
        <f>AND(ESG!#REF!,"AAAAAH/vu0Y=")</f>
        <v>#REF!</v>
      </c>
      <c r="BT277" t="e">
        <f>AND(ESG!#REF!,"AAAAAH/vu0c=")</f>
        <v>#REF!</v>
      </c>
      <c r="BU277" t="e">
        <f>AND(ESG!#REF!,"AAAAAH/vu0g=")</f>
        <v>#REF!</v>
      </c>
      <c r="BV277" t="e">
        <f>AND(ESG!#REF!,"AAAAAH/vu0k=")</f>
        <v>#REF!</v>
      </c>
      <c r="BW277" t="e">
        <f>AND(ESG!#REF!,"AAAAAH/vu0o=")</f>
        <v>#REF!</v>
      </c>
      <c r="BX277" t="e">
        <f>AND(ESG!#REF!,"AAAAAH/vu0s=")</f>
        <v>#REF!</v>
      </c>
      <c r="BY277" t="e">
        <f>AND(ESG!#REF!,"AAAAAH/vu0w=")</f>
        <v>#REF!</v>
      </c>
      <c r="BZ277" t="e">
        <f>AND(ESG!#REF!,"AAAAAH/vu00=")</f>
        <v>#REF!</v>
      </c>
      <c r="CA277" t="e">
        <f>IF(ESG!#REF!,"AAAAAH/vu04=",0)</f>
        <v>#REF!</v>
      </c>
      <c r="CB277" t="e">
        <f>AND(ESG!#REF!,"AAAAAH/vu08=")</f>
        <v>#REF!</v>
      </c>
      <c r="CC277" t="e">
        <f>AND(ESG!#REF!,"AAAAAH/vu1A=")</f>
        <v>#REF!</v>
      </c>
      <c r="CD277" t="e">
        <f>AND(ESG!#REF!,"AAAAAH/vu1E=")</f>
        <v>#REF!</v>
      </c>
      <c r="CE277" t="e">
        <f>AND(ESG!#REF!,"AAAAAH/vu1I=")</f>
        <v>#REF!</v>
      </c>
      <c r="CF277" t="e">
        <f>AND(ESG!#REF!,"AAAAAH/vu1M=")</f>
        <v>#REF!</v>
      </c>
      <c r="CG277" t="e">
        <f>AND(ESG!#REF!,"AAAAAH/vu1Q=")</f>
        <v>#REF!</v>
      </c>
      <c r="CH277" t="e">
        <f>AND(ESG!#REF!,"AAAAAH/vu1U=")</f>
        <v>#REF!</v>
      </c>
      <c r="CI277" t="e">
        <f>AND(ESG!#REF!,"AAAAAH/vu1Y=")</f>
        <v>#REF!</v>
      </c>
      <c r="CJ277" t="e">
        <f>AND(ESG!#REF!,"AAAAAH/vu1c=")</f>
        <v>#REF!</v>
      </c>
      <c r="CK277" t="e">
        <f>AND(ESG!#REF!,"AAAAAH/vu1g=")</f>
        <v>#REF!</v>
      </c>
      <c r="CL277" t="e">
        <f>AND(ESG!#REF!,"AAAAAH/vu1k=")</f>
        <v>#REF!</v>
      </c>
      <c r="CM277" t="e">
        <f>AND(ESG!#REF!,"AAAAAH/vu1o=")</f>
        <v>#REF!</v>
      </c>
      <c r="CN277" t="e">
        <f>AND(ESG!#REF!,"AAAAAH/vu1s=")</f>
        <v>#REF!</v>
      </c>
      <c r="CO277" t="e">
        <f>AND(ESG!#REF!,"AAAAAH/vu1w=")</f>
        <v>#REF!</v>
      </c>
      <c r="CP277" t="e">
        <f>IF(ESG!#REF!,"AAAAAH/vu10=",0)</f>
        <v>#REF!</v>
      </c>
      <c r="CQ277" t="e">
        <f>AND(ESG!#REF!,"AAAAAH/vu14=")</f>
        <v>#REF!</v>
      </c>
      <c r="CR277" t="e">
        <f>AND(ESG!#REF!,"AAAAAH/vu18=")</f>
        <v>#REF!</v>
      </c>
      <c r="CS277" t="e">
        <f>AND(ESG!#REF!,"AAAAAH/vu2A=")</f>
        <v>#REF!</v>
      </c>
      <c r="CT277" t="e">
        <f>AND(ESG!#REF!,"AAAAAH/vu2E=")</f>
        <v>#REF!</v>
      </c>
      <c r="CU277" t="e">
        <f>AND(ESG!#REF!,"AAAAAH/vu2I=")</f>
        <v>#REF!</v>
      </c>
      <c r="CV277" t="e">
        <f>AND(ESG!#REF!,"AAAAAH/vu2M=")</f>
        <v>#REF!</v>
      </c>
      <c r="CW277" t="e">
        <f>AND(ESG!#REF!,"AAAAAH/vu2Q=")</f>
        <v>#REF!</v>
      </c>
      <c r="CX277" t="e">
        <f>AND(ESG!#REF!,"AAAAAH/vu2U=")</f>
        <v>#REF!</v>
      </c>
      <c r="CY277" t="e">
        <f>AND(ESG!#REF!,"AAAAAH/vu2Y=")</f>
        <v>#REF!</v>
      </c>
      <c r="CZ277" t="e">
        <f>AND(ESG!#REF!,"AAAAAH/vu2c=")</f>
        <v>#REF!</v>
      </c>
      <c r="DA277" t="e">
        <f>AND(ESG!#REF!,"AAAAAH/vu2g=")</f>
        <v>#REF!</v>
      </c>
      <c r="DB277" t="e">
        <f>AND(ESG!#REF!,"AAAAAH/vu2k=")</f>
        <v>#REF!</v>
      </c>
      <c r="DC277" t="e">
        <f>AND(ESG!#REF!,"AAAAAH/vu2o=")</f>
        <v>#REF!</v>
      </c>
      <c r="DD277" t="e">
        <f>AND(ESG!#REF!,"AAAAAH/vu2s=")</f>
        <v>#REF!</v>
      </c>
      <c r="DE277" t="e">
        <f>IF(ESG!#REF!,"AAAAAH/vu2w=",0)</f>
        <v>#REF!</v>
      </c>
      <c r="DF277" t="e">
        <f>AND(ESG!#REF!,"AAAAAH/vu20=")</f>
        <v>#REF!</v>
      </c>
      <c r="DG277" t="e">
        <f>AND(ESG!#REF!,"AAAAAH/vu24=")</f>
        <v>#REF!</v>
      </c>
      <c r="DH277" t="e">
        <f>AND(ESG!#REF!,"AAAAAH/vu28=")</f>
        <v>#REF!</v>
      </c>
      <c r="DI277" t="e">
        <f>AND(ESG!#REF!,"AAAAAH/vu3A=")</f>
        <v>#REF!</v>
      </c>
      <c r="DJ277" t="e">
        <f>AND(ESG!#REF!,"AAAAAH/vu3E=")</f>
        <v>#REF!</v>
      </c>
      <c r="DK277" t="e">
        <f>AND(ESG!#REF!,"AAAAAH/vu3I=")</f>
        <v>#REF!</v>
      </c>
      <c r="DL277" t="e">
        <f>AND(ESG!#REF!,"AAAAAH/vu3M=")</f>
        <v>#REF!</v>
      </c>
      <c r="DM277" t="e">
        <f>AND(ESG!#REF!,"AAAAAH/vu3Q=")</f>
        <v>#REF!</v>
      </c>
      <c r="DN277" t="e">
        <f>AND(ESG!#REF!,"AAAAAH/vu3U=")</f>
        <v>#REF!</v>
      </c>
      <c r="DO277" t="e">
        <f>AND(ESG!#REF!,"AAAAAH/vu3Y=")</f>
        <v>#REF!</v>
      </c>
      <c r="DP277" t="e">
        <f>AND(ESG!#REF!,"AAAAAH/vu3c=")</f>
        <v>#REF!</v>
      </c>
      <c r="DQ277" t="e">
        <f>AND(ESG!#REF!,"AAAAAH/vu3g=")</f>
        <v>#REF!</v>
      </c>
      <c r="DR277" t="e">
        <f>AND(ESG!#REF!,"AAAAAH/vu3k=")</f>
        <v>#REF!</v>
      </c>
      <c r="DS277" t="e">
        <f>AND(ESG!#REF!,"AAAAAH/vu3o=")</f>
        <v>#REF!</v>
      </c>
      <c r="DT277" t="e">
        <f>IF(ESG!#REF!,"AAAAAH/vu3s=",0)</f>
        <v>#REF!</v>
      </c>
      <c r="DU277" t="e">
        <f>AND(ESG!#REF!,"AAAAAH/vu3w=")</f>
        <v>#REF!</v>
      </c>
      <c r="DV277" t="e">
        <f>AND(ESG!#REF!,"AAAAAH/vu30=")</f>
        <v>#REF!</v>
      </c>
      <c r="DW277" t="e">
        <f>AND(ESG!#REF!,"AAAAAH/vu34=")</f>
        <v>#REF!</v>
      </c>
      <c r="DX277" t="e">
        <f>AND(ESG!#REF!,"AAAAAH/vu38=")</f>
        <v>#REF!</v>
      </c>
      <c r="DY277" t="e">
        <f>AND(ESG!#REF!,"AAAAAH/vu4A=")</f>
        <v>#REF!</v>
      </c>
      <c r="DZ277" t="e">
        <f>AND(ESG!#REF!,"AAAAAH/vu4E=")</f>
        <v>#REF!</v>
      </c>
      <c r="EA277" t="e">
        <f>AND(ESG!#REF!,"AAAAAH/vu4I=")</f>
        <v>#REF!</v>
      </c>
      <c r="EB277" t="e">
        <f>AND(ESG!#REF!,"AAAAAH/vu4M=")</f>
        <v>#REF!</v>
      </c>
      <c r="EC277" t="e">
        <f>AND(ESG!#REF!,"AAAAAH/vu4Q=")</f>
        <v>#REF!</v>
      </c>
      <c r="ED277" t="e">
        <f>AND(ESG!#REF!,"AAAAAH/vu4U=")</f>
        <v>#REF!</v>
      </c>
      <c r="EE277" t="e">
        <f>AND(ESG!#REF!,"AAAAAH/vu4Y=")</f>
        <v>#REF!</v>
      </c>
      <c r="EF277" t="e">
        <f>AND(ESG!#REF!,"AAAAAH/vu4c=")</f>
        <v>#REF!</v>
      </c>
      <c r="EG277" t="e">
        <f>AND(ESG!#REF!,"AAAAAH/vu4g=")</f>
        <v>#REF!</v>
      </c>
      <c r="EH277" t="e">
        <f>AND(ESG!#REF!,"AAAAAH/vu4k=")</f>
        <v>#REF!</v>
      </c>
      <c r="EI277" t="e">
        <f>IF(ESG!#REF!,"AAAAAH/vu4o=",0)</f>
        <v>#REF!</v>
      </c>
      <c r="EJ277" t="e">
        <f>AND(ESG!#REF!,"AAAAAH/vu4s=")</f>
        <v>#REF!</v>
      </c>
      <c r="EK277" t="e">
        <f>AND(ESG!#REF!,"AAAAAH/vu4w=")</f>
        <v>#REF!</v>
      </c>
      <c r="EL277" t="e">
        <f>AND(ESG!#REF!,"AAAAAH/vu40=")</f>
        <v>#REF!</v>
      </c>
      <c r="EM277" t="e">
        <f>AND(ESG!#REF!,"AAAAAH/vu44=")</f>
        <v>#REF!</v>
      </c>
      <c r="EN277" t="e">
        <f>AND(ESG!#REF!,"AAAAAH/vu48=")</f>
        <v>#REF!</v>
      </c>
      <c r="EO277" t="e">
        <f>AND(ESG!#REF!,"AAAAAH/vu5A=")</f>
        <v>#REF!</v>
      </c>
      <c r="EP277" t="e">
        <f>AND(ESG!#REF!,"AAAAAH/vu5E=")</f>
        <v>#REF!</v>
      </c>
      <c r="EQ277" t="e">
        <f>AND(ESG!#REF!,"AAAAAH/vu5I=")</f>
        <v>#REF!</v>
      </c>
      <c r="ER277" t="e">
        <f>AND(ESG!#REF!,"AAAAAH/vu5M=")</f>
        <v>#REF!</v>
      </c>
      <c r="ES277" t="e">
        <f>AND(ESG!#REF!,"AAAAAH/vu5Q=")</f>
        <v>#REF!</v>
      </c>
      <c r="ET277" t="e">
        <f>AND(ESG!#REF!,"AAAAAH/vu5U=")</f>
        <v>#REF!</v>
      </c>
      <c r="EU277" t="e">
        <f>AND(ESG!#REF!,"AAAAAH/vu5Y=")</f>
        <v>#REF!</v>
      </c>
      <c r="EV277" t="e">
        <f>AND(ESG!#REF!,"AAAAAH/vu5c=")</f>
        <v>#REF!</v>
      </c>
      <c r="EW277" t="e">
        <f>AND(ESG!#REF!,"AAAAAH/vu5g=")</f>
        <v>#REF!</v>
      </c>
      <c r="EX277" t="e">
        <f>IF(ESG!#REF!,"AAAAAH/vu5k=",0)</f>
        <v>#REF!</v>
      </c>
      <c r="EY277" t="e">
        <f>AND(ESG!#REF!,"AAAAAH/vu5o=")</f>
        <v>#REF!</v>
      </c>
      <c r="EZ277" t="e">
        <f>AND(ESG!#REF!,"AAAAAH/vu5s=")</f>
        <v>#REF!</v>
      </c>
      <c r="FA277" t="e">
        <f>AND(ESG!#REF!,"AAAAAH/vu5w=")</f>
        <v>#REF!</v>
      </c>
      <c r="FB277" t="e">
        <f>AND(ESG!#REF!,"AAAAAH/vu50=")</f>
        <v>#REF!</v>
      </c>
      <c r="FC277" t="e">
        <f>AND(ESG!#REF!,"AAAAAH/vu54=")</f>
        <v>#REF!</v>
      </c>
      <c r="FD277" t="e">
        <f>AND(ESG!#REF!,"AAAAAH/vu58=")</f>
        <v>#REF!</v>
      </c>
      <c r="FE277" t="e">
        <f>AND(ESG!#REF!,"AAAAAH/vu6A=")</f>
        <v>#REF!</v>
      </c>
      <c r="FF277" t="e">
        <f>AND(ESG!#REF!,"AAAAAH/vu6E=")</f>
        <v>#REF!</v>
      </c>
      <c r="FG277" t="e">
        <f>AND(ESG!#REF!,"AAAAAH/vu6I=")</f>
        <v>#REF!</v>
      </c>
      <c r="FH277" t="e">
        <f>AND(ESG!#REF!,"AAAAAH/vu6M=")</f>
        <v>#REF!</v>
      </c>
      <c r="FI277" t="e">
        <f>AND(ESG!#REF!,"AAAAAH/vu6Q=")</f>
        <v>#REF!</v>
      </c>
      <c r="FJ277" t="e">
        <f>AND(ESG!#REF!,"AAAAAH/vu6U=")</f>
        <v>#REF!</v>
      </c>
      <c r="FK277" t="e">
        <f>AND(ESG!#REF!,"AAAAAH/vu6Y=")</f>
        <v>#REF!</v>
      </c>
      <c r="FL277" t="e">
        <f>AND(ESG!#REF!,"AAAAAH/vu6c=")</f>
        <v>#REF!</v>
      </c>
      <c r="FM277" t="e">
        <f>IF(ESG!#REF!,"AAAAAH/vu6g=",0)</f>
        <v>#REF!</v>
      </c>
      <c r="FN277" t="e">
        <f>AND(ESG!#REF!,"AAAAAH/vu6k=")</f>
        <v>#REF!</v>
      </c>
      <c r="FO277" t="e">
        <f>AND(ESG!#REF!,"AAAAAH/vu6o=")</f>
        <v>#REF!</v>
      </c>
      <c r="FP277" t="e">
        <f>AND(ESG!#REF!,"AAAAAH/vu6s=")</f>
        <v>#REF!</v>
      </c>
      <c r="FQ277" t="e">
        <f>AND(ESG!#REF!,"AAAAAH/vu6w=")</f>
        <v>#REF!</v>
      </c>
      <c r="FR277" t="e">
        <f>AND(ESG!#REF!,"AAAAAH/vu60=")</f>
        <v>#REF!</v>
      </c>
      <c r="FS277" t="e">
        <f>AND(ESG!#REF!,"AAAAAH/vu64=")</f>
        <v>#REF!</v>
      </c>
      <c r="FT277" t="e">
        <f>AND(ESG!#REF!,"AAAAAH/vu68=")</f>
        <v>#REF!</v>
      </c>
      <c r="FU277" t="e">
        <f>AND(ESG!#REF!,"AAAAAH/vu7A=")</f>
        <v>#REF!</v>
      </c>
      <c r="FV277" t="e">
        <f>AND(ESG!#REF!,"AAAAAH/vu7E=")</f>
        <v>#REF!</v>
      </c>
      <c r="FW277" t="e">
        <f>AND(ESG!#REF!,"AAAAAH/vu7I=")</f>
        <v>#REF!</v>
      </c>
      <c r="FX277" t="e">
        <f>AND(ESG!#REF!,"AAAAAH/vu7M=")</f>
        <v>#REF!</v>
      </c>
      <c r="FY277" t="e">
        <f>AND(ESG!#REF!,"AAAAAH/vu7Q=")</f>
        <v>#REF!</v>
      </c>
      <c r="FZ277" t="e">
        <f>AND(ESG!#REF!,"AAAAAH/vu7U=")</f>
        <v>#REF!</v>
      </c>
      <c r="GA277" t="e">
        <f>AND(ESG!#REF!,"AAAAAH/vu7Y=")</f>
        <v>#REF!</v>
      </c>
      <c r="GB277" t="e">
        <f>IF(ESG!#REF!,"AAAAAH/vu7c=",0)</f>
        <v>#REF!</v>
      </c>
      <c r="GC277" t="e">
        <f>AND(ESG!#REF!,"AAAAAH/vu7g=")</f>
        <v>#REF!</v>
      </c>
      <c r="GD277" t="e">
        <f>AND(ESG!#REF!,"AAAAAH/vu7k=")</f>
        <v>#REF!</v>
      </c>
      <c r="GE277" t="e">
        <f>AND(ESG!#REF!,"AAAAAH/vu7o=")</f>
        <v>#REF!</v>
      </c>
      <c r="GF277" t="e">
        <f>AND(ESG!#REF!,"AAAAAH/vu7s=")</f>
        <v>#REF!</v>
      </c>
      <c r="GG277" t="e">
        <f>AND(ESG!#REF!,"AAAAAH/vu7w=")</f>
        <v>#REF!</v>
      </c>
      <c r="GH277" t="e">
        <f>AND(ESG!#REF!,"AAAAAH/vu70=")</f>
        <v>#REF!</v>
      </c>
      <c r="GI277" t="e">
        <f>AND(ESG!#REF!,"AAAAAH/vu74=")</f>
        <v>#REF!</v>
      </c>
      <c r="GJ277" t="e">
        <f>AND(ESG!#REF!,"AAAAAH/vu78=")</f>
        <v>#REF!</v>
      </c>
      <c r="GK277" t="e">
        <f>AND(ESG!#REF!,"AAAAAH/vu8A=")</f>
        <v>#REF!</v>
      </c>
      <c r="GL277" t="e">
        <f>AND(ESG!#REF!,"AAAAAH/vu8E=")</f>
        <v>#REF!</v>
      </c>
      <c r="GM277" t="e">
        <f>AND(ESG!#REF!,"AAAAAH/vu8I=")</f>
        <v>#REF!</v>
      </c>
      <c r="GN277" t="e">
        <f>AND(ESG!#REF!,"AAAAAH/vu8M=")</f>
        <v>#REF!</v>
      </c>
      <c r="GO277" t="e">
        <f>AND(ESG!#REF!,"AAAAAH/vu8Q=")</f>
        <v>#REF!</v>
      </c>
      <c r="GP277" t="e">
        <f>AND(ESG!#REF!,"AAAAAH/vu8U=")</f>
        <v>#REF!</v>
      </c>
      <c r="GQ277" t="e">
        <f>IF(ESG!#REF!,"AAAAAH/vu8Y=",0)</f>
        <v>#REF!</v>
      </c>
      <c r="GR277" t="e">
        <f>AND(ESG!#REF!,"AAAAAH/vu8c=")</f>
        <v>#REF!</v>
      </c>
      <c r="GS277" t="e">
        <f>AND(ESG!#REF!,"AAAAAH/vu8g=")</f>
        <v>#REF!</v>
      </c>
      <c r="GT277" t="e">
        <f>AND(ESG!#REF!,"AAAAAH/vu8k=")</f>
        <v>#REF!</v>
      </c>
      <c r="GU277" t="e">
        <f>AND(ESG!#REF!,"AAAAAH/vu8o=")</f>
        <v>#REF!</v>
      </c>
      <c r="GV277" t="e">
        <f>AND(ESG!#REF!,"AAAAAH/vu8s=")</f>
        <v>#REF!</v>
      </c>
      <c r="GW277" t="e">
        <f>AND(ESG!#REF!,"AAAAAH/vu8w=")</f>
        <v>#REF!</v>
      </c>
      <c r="GX277" t="e">
        <f>AND(ESG!#REF!,"AAAAAH/vu80=")</f>
        <v>#REF!</v>
      </c>
      <c r="GY277" t="e">
        <f>AND(ESG!#REF!,"AAAAAH/vu84=")</f>
        <v>#REF!</v>
      </c>
      <c r="GZ277" t="e">
        <f>AND(ESG!#REF!,"AAAAAH/vu88=")</f>
        <v>#REF!</v>
      </c>
      <c r="HA277" t="e">
        <f>AND(ESG!#REF!,"AAAAAH/vu9A=")</f>
        <v>#REF!</v>
      </c>
      <c r="HB277" t="e">
        <f>AND(ESG!#REF!,"AAAAAH/vu9E=")</f>
        <v>#REF!</v>
      </c>
      <c r="HC277" t="e">
        <f>AND(ESG!#REF!,"AAAAAH/vu9I=")</f>
        <v>#REF!</v>
      </c>
      <c r="HD277" t="e">
        <f>AND(ESG!#REF!,"AAAAAH/vu9M=")</f>
        <v>#REF!</v>
      </c>
      <c r="HE277" t="e">
        <f>AND(ESG!#REF!,"AAAAAH/vu9Q=")</f>
        <v>#REF!</v>
      </c>
      <c r="HF277" t="e">
        <f>IF(ESG!#REF!,"AAAAAH/vu9U=",0)</f>
        <v>#REF!</v>
      </c>
      <c r="HG277" t="e">
        <f>AND(ESG!#REF!,"AAAAAH/vu9Y=")</f>
        <v>#REF!</v>
      </c>
      <c r="HH277" t="e">
        <f>AND(ESG!#REF!,"AAAAAH/vu9c=")</f>
        <v>#REF!</v>
      </c>
      <c r="HI277" t="e">
        <f>AND(ESG!#REF!,"AAAAAH/vu9g=")</f>
        <v>#REF!</v>
      </c>
      <c r="HJ277" t="e">
        <f>AND(ESG!#REF!,"AAAAAH/vu9k=")</f>
        <v>#REF!</v>
      </c>
      <c r="HK277" t="e">
        <f>AND(ESG!#REF!,"AAAAAH/vu9o=")</f>
        <v>#REF!</v>
      </c>
      <c r="HL277" t="e">
        <f>AND(ESG!#REF!,"AAAAAH/vu9s=")</f>
        <v>#REF!</v>
      </c>
      <c r="HM277" t="e">
        <f>AND(ESG!#REF!,"AAAAAH/vu9w=")</f>
        <v>#REF!</v>
      </c>
      <c r="HN277" t="e">
        <f>AND(ESG!#REF!,"AAAAAH/vu90=")</f>
        <v>#REF!</v>
      </c>
      <c r="HO277" t="e">
        <f>AND(ESG!#REF!,"AAAAAH/vu94=")</f>
        <v>#REF!</v>
      </c>
      <c r="HP277" t="e">
        <f>AND(ESG!#REF!,"AAAAAH/vu98=")</f>
        <v>#REF!</v>
      </c>
      <c r="HQ277" t="e">
        <f>AND(ESG!#REF!,"AAAAAH/vu+A=")</f>
        <v>#REF!</v>
      </c>
      <c r="HR277" t="e">
        <f>AND(ESG!#REF!,"AAAAAH/vu+E=")</f>
        <v>#REF!</v>
      </c>
      <c r="HS277" t="e">
        <f>AND(ESG!#REF!,"AAAAAH/vu+I=")</f>
        <v>#REF!</v>
      </c>
      <c r="HT277" t="e">
        <f>AND(ESG!#REF!,"AAAAAH/vu+M=")</f>
        <v>#REF!</v>
      </c>
      <c r="HU277" t="e">
        <f>IF(ESG!#REF!,"AAAAAH/vu+Q=",0)</f>
        <v>#REF!</v>
      </c>
      <c r="HV277" t="e">
        <f>AND(ESG!#REF!,"AAAAAH/vu+U=")</f>
        <v>#REF!</v>
      </c>
      <c r="HW277" t="e">
        <f>AND(ESG!#REF!,"AAAAAH/vu+Y=")</f>
        <v>#REF!</v>
      </c>
      <c r="HX277" t="e">
        <f>AND(ESG!#REF!,"AAAAAH/vu+c=")</f>
        <v>#REF!</v>
      </c>
      <c r="HY277" t="e">
        <f>AND(ESG!#REF!,"AAAAAH/vu+g=")</f>
        <v>#REF!</v>
      </c>
      <c r="HZ277" t="e">
        <f>AND(ESG!#REF!,"AAAAAH/vu+k=")</f>
        <v>#REF!</v>
      </c>
      <c r="IA277" t="e">
        <f>AND(ESG!#REF!,"AAAAAH/vu+o=")</f>
        <v>#REF!</v>
      </c>
      <c r="IB277" t="e">
        <f>AND(ESG!#REF!,"AAAAAH/vu+s=")</f>
        <v>#REF!</v>
      </c>
      <c r="IC277" t="e">
        <f>AND(ESG!#REF!,"AAAAAH/vu+w=")</f>
        <v>#REF!</v>
      </c>
      <c r="ID277" t="e">
        <f>AND(ESG!#REF!,"AAAAAH/vu+0=")</f>
        <v>#REF!</v>
      </c>
      <c r="IE277" t="e">
        <f>AND(ESG!#REF!,"AAAAAH/vu+4=")</f>
        <v>#REF!</v>
      </c>
      <c r="IF277" t="e">
        <f>AND(ESG!#REF!,"AAAAAH/vu+8=")</f>
        <v>#REF!</v>
      </c>
      <c r="IG277" t="e">
        <f>AND(ESG!#REF!,"AAAAAH/vu/A=")</f>
        <v>#REF!</v>
      </c>
      <c r="IH277" t="e">
        <f>AND(ESG!#REF!,"AAAAAH/vu/E=")</f>
        <v>#REF!</v>
      </c>
      <c r="II277" t="e">
        <f>AND(ESG!#REF!,"AAAAAH/vu/I=")</f>
        <v>#REF!</v>
      </c>
      <c r="IJ277" t="e">
        <f>IF(ESG!#REF!,"AAAAAH/vu/M=",0)</f>
        <v>#REF!</v>
      </c>
      <c r="IK277" t="e">
        <f>AND(ESG!#REF!,"AAAAAH/vu/Q=")</f>
        <v>#REF!</v>
      </c>
      <c r="IL277" t="e">
        <f>AND(ESG!#REF!,"AAAAAH/vu/U=")</f>
        <v>#REF!</v>
      </c>
      <c r="IM277" t="e">
        <f>AND(ESG!#REF!,"AAAAAH/vu/Y=")</f>
        <v>#REF!</v>
      </c>
      <c r="IN277" t="e">
        <f>AND(ESG!#REF!,"AAAAAH/vu/c=")</f>
        <v>#REF!</v>
      </c>
      <c r="IO277" t="e">
        <f>AND(ESG!#REF!,"AAAAAH/vu/g=")</f>
        <v>#REF!</v>
      </c>
      <c r="IP277" t="e">
        <f>AND(ESG!#REF!,"AAAAAH/vu/k=")</f>
        <v>#REF!</v>
      </c>
      <c r="IQ277" t="e">
        <f>AND(ESG!#REF!,"AAAAAH/vu/o=")</f>
        <v>#REF!</v>
      </c>
      <c r="IR277" t="e">
        <f>AND(ESG!#REF!,"AAAAAH/vu/s=")</f>
        <v>#REF!</v>
      </c>
      <c r="IS277" t="e">
        <f>AND(ESG!#REF!,"AAAAAH/vu/w=")</f>
        <v>#REF!</v>
      </c>
      <c r="IT277" t="e">
        <f>AND(ESG!#REF!,"AAAAAH/vu/0=")</f>
        <v>#REF!</v>
      </c>
      <c r="IU277" t="e">
        <f>AND(ESG!#REF!,"AAAAAH/vu/4=")</f>
        <v>#REF!</v>
      </c>
      <c r="IV277" t="e">
        <f>AND(ESG!#REF!,"AAAAAH/vu/8=")</f>
        <v>#REF!</v>
      </c>
    </row>
    <row r="278" spans="1:256" x14ac:dyDescent="0.2">
      <c r="A278" t="e">
        <f>AND(ESG!#REF!,"AAAAADfevwA=")</f>
        <v>#REF!</v>
      </c>
      <c r="B278" t="e">
        <f>AND(ESG!#REF!,"AAAAADfevwE=")</f>
        <v>#REF!</v>
      </c>
      <c r="C278" t="e">
        <f>IF(ESG!#REF!,"AAAAADfevwI=",0)</f>
        <v>#REF!</v>
      </c>
      <c r="D278" t="e">
        <f>AND(ESG!#REF!,"AAAAADfevwM=")</f>
        <v>#REF!</v>
      </c>
      <c r="E278" t="e">
        <f>AND(ESG!#REF!,"AAAAADfevwQ=")</f>
        <v>#REF!</v>
      </c>
      <c r="F278" t="e">
        <f>AND(ESG!#REF!,"AAAAADfevwU=")</f>
        <v>#REF!</v>
      </c>
      <c r="G278" t="e">
        <f>AND(ESG!#REF!,"AAAAADfevwY=")</f>
        <v>#REF!</v>
      </c>
      <c r="H278" t="e">
        <f>AND(ESG!#REF!,"AAAAADfevwc=")</f>
        <v>#REF!</v>
      </c>
      <c r="I278" t="e">
        <f>AND(ESG!#REF!,"AAAAADfevwg=")</f>
        <v>#REF!</v>
      </c>
      <c r="J278" t="e">
        <f>AND(ESG!#REF!,"AAAAADfevwk=")</f>
        <v>#REF!</v>
      </c>
      <c r="K278" t="e">
        <f>AND(ESG!#REF!,"AAAAADfevwo=")</f>
        <v>#REF!</v>
      </c>
      <c r="L278" t="e">
        <f>AND(ESG!#REF!,"AAAAADfevws=")</f>
        <v>#REF!</v>
      </c>
      <c r="M278" t="e">
        <f>AND(ESG!#REF!,"AAAAADfevww=")</f>
        <v>#REF!</v>
      </c>
      <c r="N278" t="e">
        <f>AND(ESG!#REF!,"AAAAADfevw0=")</f>
        <v>#REF!</v>
      </c>
      <c r="O278" t="e">
        <f>AND(ESG!#REF!,"AAAAADfevw4=")</f>
        <v>#REF!</v>
      </c>
      <c r="P278" t="e">
        <f>AND(ESG!#REF!,"AAAAADfevw8=")</f>
        <v>#REF!</v>
      </c>
      <c r="Q278" t="e">
        <f>AND(ESG!#REF!,"AAAAADfevxA=")</f>
        <v>#REF!</v>
      </c>
      <c r="R278" t="e">
        <f>IF(ESG!#REF!,"AAAAADfevxE=",0)</f>
        <v>#REF!</v>
      </c>
      <c r="S278" t="e">
        <f>AND(ESG!#REF!,"AAAAADfevxI=")</f>
        <v>#REF!</v>
      </c>
      <c r="T278" t="e">
        <f>AND(ESG!#REF!,"AAAAADfevxM=")</f>
        <v>#REF!</v>
      </c>
      <c r="U278" t="e">
        <f>AND(ESG!#REF!,"AAAAADfevxQ=")</f>
        <v>#REF!</v>
      </c>
      <c r="V278" t="e">
        <f>AND(ESG!#REF!,"AAAAADfevxU=")</f>
        <v>#REF!</v>
      </c>
      <c r="W278" t="e">
        <f>AND(ESG!#REF!,"AAAAADfevxY=")</f>
        <v>#REF!</v>
      </c>
      <c r="X278" t="e">
        <f>AND(ESG!#REF!,"AAAAADfevxc=")</f>
        <v>#REF!</v>
      </c>
      <c r="Y278" t="e">
        <f>AND(ESG!#REF!,"AAAAADfevxg=")</f>
        <v>#REF!</v>
      </c>
      <c r="Z278" t="e">
        <f>AND(ESG!#REF!,"AAAAADfevxk=")</f>
        <v>#REF!</v>
      </c>
      <c r="AA278" t="e">
        <f>AND(ESG!#REF!,"AAAAADfevxo=")</f>
        <v>#REF!</v>
      </c>
      <c r="AB278" t="e">
        <f>AND(ESG!#REF!,"AAAAADfevxs=")</f>
        <v>#REF!</v>
      </c>
      <c r="AC278" t="e">
        <f>AND(ESG!#REF!,"AAAAADfevxw=")</f>
        <v>#REF!</v>
      </c>
      <c r="AD278" t="e">
        <f>AND(ESG!#REF!,"AAAAADfevx0=")</f>
        <v>#REF!</v>
      </c>
      <c r="AE278" t="e">
        <f>AND(ESG!#REF!,"AAAAADfevx4=")</f>
        <v>#REF!</v>
      </c>
      <c r="AF278" t="e">
        <f>AND(ESG!#REF!,"AAAAADfevx8=")</f>
        <v>#REF!</v>
      </c>
      <c r="AG278" t="e">
        <f>IF(ESG!#REF!,"AAAAADfevyA=",0)</f>
        <v>#REF!</v>
      </c>
      <c r="AH278" t="e">
        <f>AND(ESG!#REF!,"AAAAADfevyE=")</f>
        <v>#REF!</v>
      </c>
      <c r="AI278" t="e">
        <f>AND(ESG!#REF!,"AAAAADfevyI=")</f>
        <v>#REF!</v>
      </c>
      <c r="AJ278" t="e">
        <f>AND(ESG!#REF!,"AAAAADfevyM=")</f>
        <v>#REF!</v>
      </c>
      <c r="AK278" t="e">
        <f>AND(ESG!#REF!,"AAAAADfevyQ=")</f>
        <v>#REF!</v>
      </c>
      <c r="AL278" t="e">
        <f>AND(ESG!#REF!,"AAAAADfevyU=")</f>
        <v>#REF!</v>
      </c>
      <c r="AM278" t="e">
        <f>AND(ESG!#REF!,"AAAAADfevyY=")</f>
        <v>#REF!</v>
      </c>
      <c r="AN278" t="e">
        <f>AND(ESG!#REF!,"AAAAADfevyc=")</f>
        <v>#REF!</v>
      </c>
      <c r="AO278" t="e">
        <f>AND(ESG!#REF!,"AAAAADfevyg=")</f>
        <v>#REF!</v>
      </c>
      <c r="AP278" t="e">
        <f>AND(ESG!#REF!,"AAAAADfevyk=")</f>
        <v>#REF!</v>
      </c>
      <c r="AQ278" t="e">
        <f>AND(ESG!#REF!,"AAAAADfevyo=")</f>
        <v>#REF!</v>
      </c>
      <c r="AR278" t="e">
        <f>AND(ESG!#REF!,"AAAAADfevys=")</f>
        <v>#REF!</v>
      </c>
      <c r="AS278" t="e">
        <f>AND(ESG!#REF!,"AAAAADfevyw=")</f>
        <v>#REF!</v>
      </c>
      <c r="AT278" t="e">
        <f>AND(ESG!#REF!,"AAAAADfevy0=")</f>
        <v>#REF!</v>
      </c>
      <c r="AU278" t="e">
        <f>AND(ESG!#REF!,"AAAAADfevy4=")</f>
        <v>#REF!</v>
      </c>
      <c r="AV278" t="e">
        <f>IF(ESG!#REF!,"AAAAADfevy8=",0)</f>
        <v>#REF!</v>
      </c>
      <c r="AW278" t="e">
        <f>AND(ESG!#REF!,"AAAAADfevzA=")</f>
        <v>#REF!</v>
      </c>
      <c r="AX278" t="e">
        <f>AND(ESG!#REF!,"AAAAADfevzE=")</f>
        <v>#REF!</v>
      </c>
      <c r="AY278" t="e">
        <f>AND(ESG!#REF!,"AAAAADfevzI=")</f>
        <v>#REF!</v>
      </c>
      <c r="AZ278" t="e">
        <f>AND(ESG!#REF!,"AAAAADfevzM=")</f>
        <v>#REF!</v>
      </c>
      <c r="BA278" t="e">
        <f>AND(ESG!#REF!,"AAAAADfevzQ=")</f>
        <v>#REF!</v>
      </c>
      <c r="BB278" t="e">
        <f>AND(ESG!#REF!,"AAAAADfevzU=")</f>
        <v>#REF!</v>
      </c>
      <c r="BC278" t="e">
        <f>AND(ESG!#REF!,"AAAAADfevzY=")</f>
        <v>#REF!</v>
      </c>
      <c r="BD278" t="e">
        <f>AND(ESG!#REF!,"AAAAADfevzc=")</f>
        <v>#REF!</v>
      </c>
      <c r="BE278" t="e">
        <f>AND(ESG!#REF!,"AAAAADfevzg=")</f>
        <v>#REF!</v>
      </c>
      <c r="BF278" t="e">
        <f>AND(ESG!#REF!,"AAAAADfevzk=")</f>
        <v>#REF!</v>
      </c>
      <c r="BG278" t="e">
        <f>AND(ESG!#REF!,"AAAAADfevzo=")</f>
        <v>#REF!</v>
      </c>
      <c r="BH278" t="e">
        <f>AND(ESG!#REF!,"AAAAADfevzs=")</f>
        <v>#REF!</v>
      </c>
      <c r="BI278" t="e">
        <f>AND(ESG!#REF!,"AAAAADfevzw=")</f>
        <v>#REF!</v>
      </c>
      <c r="BJ278" t="e">
        <f>AND(ESG!#REF!,"AAAAADfevz0=")</f>
        <v>#REF!</v>
      </c>
      <c r="BK278" t="e">
        <f>IF(ESG!#REF!,"AAAAADfevz4=",0)</f>
        <v>#REF!</v>
      </c>
      <c r="BL278" t="e">
        <f>AND(ESG!#REF!,"AAAAADfevz8=")</f>
        <v>#REF!</v>
      </c>
      <c r="BM278" t="e">
        <f>AND(ESG!#REF!,"AAAAADfev0A=")</f>
        <v>#REF!</v>
      </c>
      <c r="BN278" t="e">
        <f>AND(ESG!#REF!,"AAAAADfev0E=")</f>
        <v>#REF!</v>
      </c>
      <c r="BO278" t="e">
        <f>AND(ESG!#REF!,"AAAAADfev0I=")</f>
        <v>#REF!</v>
      </c>
      <c r="BP278" t="e">
        <f>AND(ESG!#REF!,"AAAAADfev0M=")</f>
        <v>#REF!</v>
      </c>
      <c r="BQ278" t="e">
        <f>AND(ESG!#REF!,"AAAAADfev0Q=")</f>
        <v>#REF!</v>
      </c>
      <c r="BR278" t="e">
        <f>AND(ESG!#REF!,"AAAAADfev0U=")</f>
        <v>#REF!</v>
      </c>
      <c r="BS278" t="e">
        <f>AND(ESG!#REF!,"AAAAADfev0Y=")</f>
        <v>#REF!</v>
      </c>
      <c r="BT278" t="e">
        <f>AND(ESG!#REF!,"AAAAADfev0c=")</f>
        <v>#REF!</v>
      </c>
      <c r="BU278" t="e">
        <f>AND(ESG!#REF!,"AAAAADfev0g=")</f>
        <v>#REF!</v>
      </c>
      <c r="BV278" t="e">
        <f>AND(ESG!#REF!,"AAAAADfev0k=")</f>
        <v>#REF!</v>
      </c>
      <c r="BW278" t="e">
        <f>AND(ESG!#REF!,"AAAAADfev0o=")</f>
        <v>#REF!</v>
      </c>
      <c r="BX278" t="e">
        <f>AND(ESG!#REF!,"AAAAADfev0s=")</f>
        <v>#REF!</v>
      </c>
      <c r="BY278" t="e">
        <f>AND(ESG!#REF!,"AAAAADfev0w=")</f>
        <v>#REF!</v>
      </c>
      <c r="BZ278" t="e">
        <f>IF(ESG!#REF!,"AAAAADfev00=",0)</f>
        <v>#REF!</v>
      </c>
      <c r="CA278" t="e">
        <f>AND(ESG!#REF!,"AAAAADfev04=")</f>
        <v>#REF!</v>
      </c>
      <c r="CB278" t="e">
        <f>AND(ESG!#REF!,"AAAAADfev08=")</f>
        <v>#REF!</v>
      </c>
      <c r="CC278" t="e">
        <f>AND(ESG!#REF!,"AAAAADfev1A=")</f>
        <v>#REF!</v>
      </c>
      <c r="CD278" t="e">
        <f>AND(ESG!#REF!,"AAAAADfev1E=")</f>
        <v>#REF!</v>
      </c>
      <c r="CE278" t="e">
        <f>AND(ESG!#REF!,"AAAAADfev1I=")</f>
        <v>#REF!</v>
      </c>
      <c r="CF278" t="e">
        <f>AND(ESG!#REF!,"AAAAADfev1M=")</f>
        <v>#REF!</v>
      </c>
      <c r="CG278" t="e">
        <f>AND(ESG!#REF!,"AAAAADfev1Q=")</f>
        <v>#REF!</v>
      </c>
      <c r="CH278" t="e">
        <f>AND(ESG!#REF!,"AAAAADfev1U=")</f>
        <v>#REF!</v>
      </c>
      <c r="CI278" t="e">
        <f>AND(ESG!#REF!,"AAAAADfev1Y=")</f>
        <v>#REF!</v>
      </c>
      <c r="CJ278" t="e">
        <f>AND(ESG!#REF!,"AAAAADfev1c=")</f>
        <v>#REF!</v>
      </c>
      <c r="CK278" t="e">
        <f>AND(ESG!#REF!,"AAAAADfev1g=")</f>
        <v>#REF!</v>
      </c>
      <c r="CL278" t="e">
        <f>AND(ESG!#REF!,"AAAAADfev1k=")</f>
        <v>#REF!</v>
      </c>
      <c r="CM278" t="e">
        <f>AND(ESG!#REF!,"AAAAADfev1o=")</f>
        <v>#REF!</v>
      </c>
      <c r="CN278" t="e">
        <f>AND(ESG!#REF!,"AAAAADfev1s=")</f>
        <v>#REF!</v>
      </c>
      <c r="CO278" t="e">
        <f>IF(ESG!#REF!,"AAAAADfev1w=",0)</f>
        <v>#REF!</v>
      </c>
      <c r="CP278" t="e">
        <f>AND(ESG!#REF!,"AAAAADfev10=")</f>
        <v>#REF!</v>
      </c>
      <c r="CQ278" t="e">
        <f>AND(ESG!#REF!,"AAAAADfev14=")</f>
        <v>#REF!</v>
      </c>
      <c r="CR278" t="e">
        <f>AND(ESG!#REF!,"AAAAADfev18=")</f>
        <v>#REF!</v>
      </c>
      <c r="CS278" t="e">
        <f>AND(ESG!#REF!,"AAAAADfev2A=")</f>
        <v>#REF!</v>
      </c>
      <c r="CT278" t="e">
        <f>AND(ESG!#REF!,"AAAAADfev2E=")</f>
        <v>#REF!</v>
      </c>
      <c r="CU278" t="e">
        <f>AND(ESG!#REF!,"AAAAADfev2I=")</f>
        <v>#REF!</v>
      </c>
      <c r="CV278" t="e">
        <f>AND(ESG!#REF!,"AAAAADfev2M=")</f>
        <v>#REF!</v>
      </c>
      <c r="CW278" t="e">
        <f>AND(ESG!#REF!,"AAAAADfev2Q=")</f>
        <v>#REF!</v>
      </c>
      <c r="CX278" t="e">
        <f>AND(ESG!#REF!,"AAAAADfev2U=")</f>
        <v>#REF!</v>
      </c>
      <c r="CY278" t="e">
        <f>AND(ESG!#REF!,"AAAAADfev2Y=")</f>
        <v>#REF!</v>
      </c>
      <c r="CZ278" t="e">
        <f>AND(ESG!#REF!,"AAAAADfev2c=")</f>
        <v>#REF!</v>
      </c>
      <c r="DA278" t="e">
        <f>AND(ESG!#REF!,"AAAAADfev2g=")</f>
        <v>#REF!</v>
      </c>
      <c r="DB278" t="e">
        <f>AND(ESG!#REF!,"AAAAADfev2k=")</f>
        <v>#REF!</v>
      </c>
      <c r="DC278" t="e">
        <f>AND(ESG!#REF!,"AAAAADfev2o=")</f>
        <v>#REF!</v>
      </c>
      <c r="DD278" t="e">
        <f>IF(ESG!#REF!,"AAAAADfev2s=",0)</f>
        <v>#REF!</v>
      </c>
      <c r="DE278" t="e">
        <f>AND(ESG!#REF!,"AAAAADfev2w=")</f>
        <v>#REF!</v>
      </c>
      <c r="DF278" t="e">
        <f>AND(ESG!#REF!,"AAAAADfev20=")</f>
        <v>#REF!</v>
      </c>
      <c r="DG278" t="e">
        <f>AND(ESG!#REF!,"AAAAADfev24=")</f>
        <v>#REF!</v>
      </c>
      <c r="DH278" t="e">
        <f>AND(ESG!#REF!,"AAAAADfev28=")</f>
        <v>#REF!</v>
      </c>
      <c r="DI278" t="e">
        <f>AND(ESG!#REF!,"AAAAADfev3A=")</f>
        <v>#REF!</v>
      </c>
      <c r="DJ278" t="e">
        <f>AND(ESG!#REF!,"AAAAADfev3E=")</f>
        <v>#REF!</v>
      </c>
      <c r="DK278" t="e">
        <f>AND(ESG!#REF!,"AAAAADfev3I=")</f>
        <v>#REF!</v>
      </c>
      <c r="DL278" t="e">
        <f>AND(ESG!#REF!,"AAAAADfev3M=")</f>
        <v>#REF!</v>
      </c>
      <c r="DM278" t="e">
        <f>AND(ESG!#REF!,"AAAAADfev3Q=")</f>
        <v>#REF!</v>
      </c>
      <c r="DN278" t="e">
        <f>AND(ESG!#REF!,"AAAAADfev3U=")</f>
        <v>#REF!</v>
      </c>
      <c r="DO278" t="e">
        <f>AND(ESG!#REF!,"AAAAADfev3Y=")</f>
        <v>#REF!</v>
      </c>
      <c r="DP278" t="e">
        <f>AND(ESG!#REF!,"AAAAADfev3c=")</f>
        <v>#REF!</v>
      </c>
      <c r="DQ278" t="e">
        <f>AND(ESG!#REF!,"AAAAADfev3g=")</f>
        <v>#REF!</v>
      </c>
      <c r="DR278" t="e">
        <f>AND(ESG!#REF!,"AAAAADfev3k=")</f>
        <v>#REF!</v>
      </c>
      <c r="DS278" t="e">
        <f>IF(ESG!#REF!,"AAAAADfev3o=",0)</f>
        <v>#REF!</v>
      </c>
      <c r="DT278" t="e">
        <f>AND(ESG!#REF!,"AAAAADfev3s=")</f>
        <v>#REF!</v>
      </c>
      <c r="DU278" t="e">
        <f>AND(ESG!#REF!,"AAAAADfev3w=")</f>
        <v>#REF!</v>
      </c>
      <c r="DV278" t="e">
        <f>AND(ESG!#REF!,"AAAAADfev30=")</f>
        <v>#REF!</v>
      </c>
      <c r="DW278" t="e">
        <f>AND(ESG!#REF!,"AAAAADfev34=")</f>
        <v>#REF!</v>
      </c>
      <c r="DX278" t="e">
        <f>AND(ESG!#REF!,"AAAAADfev38=")</f>
        <v>#REF!</v>
      </c>
      <c r="DY278" t="e">
        <f>AND(ESG!#REF!,"AAAAADfev4A=")</f>
        <v>#REF!</v>
      </c>
      <c r="DZ278" t="e">
        <f>AND(ESG!#REF!,"AAAAADfev4E=")</f>
        <v>#REF!</v>
      </c>
      <c r="EA278" t="e">
        <f>AND(ESG!#REF!,"AAAAADfev4I=")</f>
        <v>#REF!</v>
      </c>
      <c r="EB278" t="e">
        <f>AND(ESG!#REF!,"AAAAADfev4M=")</f>
        <v>#REF!</v>
      </c>
      <c r="EC278" t="e">
        <f>AND(ESG!#REF!,"AAAAADfev4Q=")</f>
        <v>#REF!</v>
      </c>
      <c r="ED278" t="e">
        <f>AND(ESG!#REF!,"AAAAADfev4U=")</f>
        <v>#REF!</v>
      </c>
      <c r="EE278" t="e">
        <f>AND(ESG!#REF!,"AAAAADfev4Y=")</f>
        <v>#REF!</v>
      </c>
      <c r="EF278" t="e">
        <f>AND(ESG!#REF!,"AAAAADfev4c=")</f>
        <v>#REF!</v>
      </c>
      <c r="EG278" t="e">
        <f>AND(ESG!#REF!,"AAAAADfev4g=")</f>
        <v>#REF!</v>
      </c>
      <c r="EH278" t="e">
        <f>IF(ESG!#REF!,"AAAAADfev4k=",0)</f>
        <v>#REF!</v>
      </c>
      <c r="EI278" t="e">
        <f>AND(ESG!#REF!,"AAAAADfev4o=")</f>
        <v>#REF!</v>
      </c>
      <c r="EJ278" t="e">
        <f>AND(ESG!#REF!,"AAAAADfev4s=")</f>
        <v>#REF!</v>
      </c>
      <c r="EK278" t="e">
        <f>AND(ESG!#REF!,"AAAAADfev4w=")</f>
        <v>#REF!</v>
      </c>
      <c r="EL278" t="e">
        <f>AND(ESG!#REF!,"AAAAADfev40=")</f>
        <v>#REF!</v>
      </c>
      <c r="EM278" t="e">
        <f>AND(ESG!#REF!,"AAAAADfev44=")</f>
        <v>#REF!</v>
      </c>
      <c r="EN278" t="e">
        <f>AND(ESG!#REF!,"AAAAADfev48=")</f>
        <v>#REF!</v>
      </c>
      <c r="EO278" t="e">
        <f>AND(ESG!#REF!,"AAAAADfev5A=")</f>
        <v>#REF!</v>
      </c>
      <c r="EP278" t="e">
        <f>AND(ESG!#REF!,"AAAAADfev5E=")</f>
        <v>#REF!</v>
      </c>
      <c r="EQ278" t="e">
        <f>AND(ESG!#REF!,"AAAAADfev5I=")</f>
        <v>#REF!</v>
      </c>
      <c r="ER278" t="e">
        <f>AND(ESG!#REF!,"AAAAADfev5M=")</f>
        <v>#REF!</v>
      </c>
      <c r="ES278" t="e">
        <f>AND(ESG!#REF!,"AAAAADfev5Q=")</f>
        <v>#REF!</v>
      </c>
      <c r="ET278" t="e">
        <f>AND(ESG!#REF!,"AAAAADfev5U=")</f>
        <v>#REF!</v>
      </c>
      <c r="EU278" t="e">
        <f>AND(ESG!#REF!,"AAAAADfev5Y=")</f>
        <v>#REF!</v>
      </c>
      <c r="EV278" t="e">
        <f>AND(ESG!#REF!,"AAAAADfev5c=")</f>
        <v>#REF!</v>
      </c>
      <c r="EW278" t="e">
        <f>IF(ESG!#REF!,"AAAAADfev5g=",0)</f>
        <v>#REF!</v>
      </c>
      <c r="EX278" t="e">
        <f>AND(ESG!#REF!,"AAAAADfev5k=")</f>
        <v>#REF!</v>
      </c>
      <c r="EY278" t="e">
        <f>AND(ESG!#REF!,"AAAAADfev5o=")</f>
        <v>#REF!</v>
      </c>
      <c r="EZ278" t="e">
        <f>AND(ESG!#REF!,"AAAAADfev5s=")</f>
        <v>#REF!</v>
      </c>
      <c r="FA278" t="e">
        <f>AND(ESG!#REF!,"AAAAADfev5w=")</f>
        <v>#REF!</v>
      </c>
      <c r="FB278" t="e">
        <f>AND(ESG!#REF!,"AAAAADfev50=")</f>
        <v>#REF!</v>
      </c>
      <c r="FC278" t="e">
        <f>AND(ESG!#REF!,"AAAAADfev54=")</f>
        <v>#REF!</v>
      </c>
      <c r="FD278" t="e">
        <f>AND(ESG!#REF!,"AAAAADfev58=")</f>
        <v>#REF!</v>
      </c>
      <c r="FE278" t="e">
        <f>AND(ESG!#REF!,"AAAAADfev6A=")</f>
        <v>#REF!</v>
      </c>
      <c r="FF278" t="e">
        <f>AND(ESG!#REF!,"AAAAADfev6E=")</f>
        <v>#REF!</v>
      </c>
      <c r="FG278" t="e">
        <f>AND(ESG!#REF!,"AAAAADfev6I=")</f>
        <v>#REF!</v>
      </c>
      <c r="FH278" t="e">
        <f>AND(ESG!#REF!,"AAAAADfev6M=")</f>
        <v>#REF!</v>
      </c>
      <c r="FI278" t="e">
        <f>AND(ESG!#REF!,"AAAAADfev6Q=")</f>
        <v>#REF!</v>
      </c>
      <c r="FJ278" t="e">
        <f>AND(ESG!#REF!,"AAAAADfev6U=")</f>
        <v>#REF!</v>
      </c>
      <c r="FK278" t="e">
        <f>AND(ESG!#REF!,"AAAAADfev6Y=")</f>
        <v>#REF!</v>
      </c>
      <c r="FL278" t="e">
        <f>IF(ESG!#REF!,"AAAAADfev6c=",0)</f>
        <v>#REF!</v>
      </c>
      <c r="FM278" t="e">
        <f>AND(ESG!#REF!,"AAAAADfev6g=")</f>
        <v>#REF!</v>
      </c>
      <c r="FN278" t="e">
        <f>AND(ESG!#REF!,"AAAAADfev6k=")</f>
        <v>#REF!</v>
      </c>
      <c r="FO278" t="e">
        <f>AND(ESG!#REF!,"AAAAADfev6o=")</f>
        <v>#REF!</v>
      </c>
      <c r="FP278" t="e">
        <f>AND(ESG!#REF!,"AAAAADfev6s=")</f>
        <v>#REF!</v>
      </c>
      <c r="FQ278" t="e">
        <f>AND(ESG!#REF!,"AAAAADfev6w=")</f>
        <v>#REF!</v>
      </c>
      <c r="FR278" t="e">
        <f>AND(ESG!#REF!,"AAAAADfev60=")</f>
        <v>#REF!</v>
      </c>
      <c r="FS278" t="e">
        <f>AND(ESG!#REF!,"AAAAADfev64=")</f>
        <v>#REF!</v>
      </c>
      <c r="FT278" t="e">
        <f>AND(ESG!#REF!,"AAAAADfev68=")</f>
        <v>#REF!</v>
      </c>
      <c r="FU278" t="e">
        <f>AND(ESG!#REF!,"AAAAADfev7A=")</f>
        <v>#REF!</v>
      </c>
      <c r="FV278" t="e">
        <f>AND(ESG!#REF!,"AAAAADfev7E=")</f>
        <v>#REF!</v>
      </c>
      <c r="FW278" t="e">
        <f>AND(ESG!#REF!,"AAAAADfev7I=")</f>
        <v>#REF!</v>
      </c>
      <c r="FX278" t="e">
        <f>AND(ESG!#REF!,"AAAAADfev7M=")</f>
        <v>#REF!</v>
      </c>
      <c r="FY278" t="e">
        <f>AND(ESG!#REF!,"AAAAADfev7Q=")</f>
        <v>#REF!</v>
      </c>
      <c r="FZ278" t="e">
        <f>AND(ESG!#REF!,"AAAAADfev7U=")</f>
        <v>#REF!</v>
      </c>
      <c r="GA278">
        <f>IF(ESG!13:13,"AAAAADfev7Y=",0)</f>
        <v>0</v>
      </c>
      <c r="GB278" t="e">
        <f>AND(ESG!#REF!,"AAAAADfev7c=")</f>
        <v>#REF!</v>
      </c>
      <c r="GC278" t="e">
        <f>AND(ESG!A13,"AAAAADfev7g=")</f>
        <v>#VALUE!</v>
      </c>
      <c r="GD278" t="e">
        <f>AND(ESG!B13,"AAAAADfev7k=")</f>
        <v>#VALUE!</v>
      </c>
      <c r="GE278" t="e">
        <f>AND(ESG!C13,"AAAAADfev7o=")</f>
        <v>#VALUE!</v>
      </c>
      <c r="GF278" t="e">
        <f>AND(ESG!D13,"AAAAADfev7s=")</f>
        <v>#VALUE!</v>
      </c>
      <c r="GG278" t="e">
        <f>AND(ESG!E13,"AAAAADfev7w=")</f>
        <v>#VALUE!</v>
      </c>
      <c r="GH278" t="e">
        <f>AND(ESG!F13,"AAAAADfev70=")</f>
        <v>#VALUE!</v>
      </c>
      <c r="GI278" t="e">
        <f>AND(ESG!G13,"AAAAADfev74=")</f>
        <v>#VALUE!</v>
      </c>
      <c r="GJ278" t="e">
        <f>AND(ESG!H13,"AAAAADfev78=")</f>
        <v>#VALUE!</v>
      </c>
      <c r="GK278" t="e">
        <f>AND(ESG!I13,"AAAAADfev8A=")</f>
        <v>#VALUE!</v>
      </c>
      <c r="GL278" t="e">
        <f>AND(ESG!J13,"AAAAADfev8E=")</f>
        <v>#VALUE!</v>
      </c>
      <c r="GM278" t="e">
        <f>AND(ESG!K13,"AAAAADfev8I=")</f>
        <v>#VALUE!</v>
      </c>
      <c r="GN278" t="e">
        <f>AND(ESG!L13,"AAAAADfev8M=")</f>
        <v>#VALUE!</v>
      </c>
      <c r="GO278" t="e">
        <f>AND(ESG!M13,"AAAAADfev8Q=")</f>
        <v>#VALUE!</v>
      </c>
      <c r="GP278" t="e">
        <f>IF(ESG!#REF!,"AAAAADfev8U=",0)</f>
        <v>#REF!</v>
      </c>
      <c r="GQ278" t="e">
        <f>AND(ESG!#REF!,"AAAAADfev8Y=")</f>
        <v>#REF!</v>
      </c>
      <c r="GR278" t="e">
        <f>AND(ESG!#REF!,"AAAAADfev8c=")</f>
        <v>#REF!</v>
      </c>
      <c r="GS278" t="e">
        <f>AND(ESG!#REF!,"AAAAADfev8g=")</f>
        <v>#REF!</v>
      </c>
      <c r="GT278" t="e">
        <f>AND(ESG!#REF!,"AAAAADfev8k=")</f>
        <v>#REF!</v>
      </c>
      <c r="GU278" t="e">
        <f>AND(ESG!#REF!,"AAAAADfev8o=")</f>
        <v>#REF!</v>
      </c>
      <c r="GV278" t="e">
        <f>AND(ESG!#REF!,"AAAAADfev8s=")</f>
        <v>#REF!</v>
      </c>
      <c r="GW278" t="e">
        <f>AND(ESG!#REF!,"AAAAADfev8w=")</f>
        <v>#REF!</v>
      </c>
      <c r="GX278" t="e">
        <f>AND(ESG!#REF!,"AAAAADfev80=")</f>
        <v>#REF!</v>
      </c>
      <c r="GY278" t="e">
        <f>AND(ESG!#REF!,"AAAAADfev84=")</f>
        <v>#REF!</v>
      </c>
      <c r="GZ278" t="e">
        <f>AND(ESG!#REF!,"AAAAADfev88=")</f>
        <v>#REF!</v>
      </c>
      <c r="HA278" t="e">
        <f>AND(ESG!#REF!,"AAAAADfev9A=")</f>
        <v>#REF!</v>
      </c>
      <c r="HB278" t="e">
        <f>AND(ESG!#REF!,"AAAAADfev9E=")</f>
        <v>#REF!</v>
      </c>
      <c r="HC278" t="e">
        <f>AND(ESG!#REF!,"AAAAADfev9I=")</f>
        <v>#REF!</v>
      </c>
      <c r="HD278" t="e">
        <f>AND(ESG!#REF!,"AAAAADfev9M=")</f>
        <v>#REF!</v>
      </c>
      <c r="HE278">
        <f>IF(ESG!14:14,"AAAAADfev9Q=",0)</f>
        <v>0</v>
      </c>
      <c r="HF278" t="e">
        <f>AND(ESG!#REF!,"AAAAADfev9U=")</f>
        <v>#REF!</v>
      </c>
      <c r="HG278" t="e">
        <f>AND(ESG!A14,"AAAAADfev9Y=")</f>
        <v>#VALUE!</v>
      </c>
      <c r="HH278" t="e">
        <f>AND(ESG!B14,"AAAAADfev9c=")</f>
        <v>#VALUE!</v>
      </c>
      <c r="HI278" t="e">
        <f>AND(ESG!C14,"AAAAADfev9g=")</f>
        <v>#VALUE!</v>
      </c>
      <c r="HJ278" t="e">
        <f>AND(ESG!D14,"AAAAADfev9k=")</f>
        <v>#VALUE!</v>
      </c>
      <c r="HK278" t="e">
        <f>AND(ESG!E14,"AAAAADfev9o=")</f>
        <v>#VALUE!</v>
      </c>
      <c r="HL278" t="e">
        <f>AND(ESG!F14,"AAAAADfev9s=")</f>
        <v>#VALUE!</v>
      </c>
      <c r="HM278" t="e">
        <f>AND(ESG!G14,"AAAAADfev9w=")</f>
        <v>#VALUE!</v>
      </c>
      <c r="HN278" t="e">
        <f>AND(ESG!H14,"AAAAADfev90=")</f>
        <v>#VALUE!</v>
      </c>
      <c r="HO278" t="e">
        <f>AND(ESG!I14,"AAAAADfev94=")</f>
        <v>#VALUE!</v>
      </c>
      <c r="HP278" t="e">
        <f>AND(ESG!J14,"AAAAADfev98=")</f>
        <v>#VALUE!</v>
      </c>
      <c r="HQ278" t="e">
        <f>AND(ESG!K14,"AAAAADfev+A=")</f>
        <v>#VALUE!</v>
      </c>
      <c r="HR278" t="e">
        <f>AND(ESG!L14,"AAAAADfev+E=")</f>
        <v>#VALUE!</v>
      </c>
      <c r="HS278" t="e">
        <f>AND(ESG!M14,"AAAAADfev+I=")</f>
        <v>#VALUE!</v>
      </c>
      <c r="HT278" t="e">
        <f>IF(ESG!#REF!,"AAAAADfev+M=",0)</f>
        <v>#REF!</v>
      </c>
      <c r="HU278" t="e">
        <f>AND(ESG!#REF!,"AAAAADfev+Q=")</f>
        <v>#REF!</v>
      </c>
      <c r="HV278" t="e">
        <f>AND(ESG!#REF!,"AAAAADfev+U=")</f>
        <v>#REF!</v>
      </c>
      <c r="HW278" t="e">
        <f>AND(ESG!#REF!,"AAAAADfev+Y=")</f>
        <v>#REF!</v>
      </c>
      <c r="HX278" t="e">
        <f>AND(ESG!#REF!,"AAAAADfev+c=")</f>
        <v>#REF!</v>
      </c>
      <c r="HY278" t="e">
        <f>AND(ESG!#REF!,"AAAAADfev+g=")</f>
        <v>#REF!</v>
      </c>
      <c r="HZ278" t="e">
        <f>AND(ESG!#REF!,"AAAAADfev+k=")</f>
        <v>#REF!</v>
      </c>
      <c r="IA278" t="e">
        <f>AND(ESG!#REF!,"AAAAADfev+o=")</f>
        <v>#REF!</v>
      </c>
      <c r="IB278" t="e">
        <f>AND(ESG!#REF!,"AAAAADfev+s=")</f>
        <v>#REF!</v>
      </c>
      <c r="IC278" t="e">
        <f>AND(ESG!#REF!,"AAAAADfev+w=")</f>
        <v>#REF!</v>
      </c>
      <c r="ID278" t="e">
        <f>AND(ESG!#REF!,"AAAAADfev+0=")</f>
        <v>#REF!</v>
      </c>
      <c r="IE278" t="e">
        <f>AND(ESG!#REF!,"AAAAADfev+4=")</f>
        <v>#REF!</v>
      </c>
      <c r="IF278" t="e">
        <f>AND(ESG!#REF!,"AAAAADfev+8=")</f>
        <v>#REF!</v>
      </c>
      <c r="IG278" t="e">
        <f>AND(ESG!#REF!,"AAAAADfev/A=")</f>
        <v>#REF!</v>
      </c>
      <c r="IH278" t="e">
        <f>AND(ESG!#REF!,"AAAAADfev/E=")</f>
        <v>#REF!</v>
      </c>
      <c r="II278" t="e">
        <f>IF(ESG!#REF!,"AAAAADfev/I=",0)</f>
        <v>#REF!</v>
      </c>
      <c r="IJ278" t="e">
        <f>AND(ESG!#REF!,"AAAAADfev/M=")</f>
        <v>#REF!</v>
      </c>
      <c r="IK278" t="e">
        <f>AND(ESG!#REF!,"AAAAADfev/Q=")</f>
        <v>#REF!</v>
      </c>
      <c r="IL278" t="e">
        <f>AND(ESG!#REF!,"AAAAADfev/U=")</f>
        <v>#REF!</v>
      </c>
      <c r="IM278" t="e">
        <f>AND(ESG!#REF!,"AAAAADfev/Y=")</f>
        <v>#REF!</v>
      </c>
      <c r="IN278" t="e">
        <f>AND(ESG!#REF!,"AAAAADfev/c=")</f>
        <v>#REF!</v>
      </c>
      <c r="IO278" t="e">
        <f>AND(ESG!#REF!,"AAAAADfev/g=")</f>
        <v>#REF!</v>
      </c>
      <c r="IP278" t="e">
        <f>AND(ESG!#REF!,"AAAAADfev/k=")</f>
        <v>#REF!</v>
      </c>
      <c r="IQ278" t="e">
        <f>AND(ESG!#REF!,"AAAAADfev/o=")</f>
        <v>#REF!</v>
      </c>
      <c r="IR278" t="e">
        <f>AND(ESG!#REF!,"AAAAADfev/s=")</f>
        <v>#REF!</v>
      </c>
      <c r="IS278" t="e">
        <f>AND(ESG!#REF!,"AAAAADfev/w=")</f>
        <v>#REF!</v>
      </c>
      <c r="IT278" t="e">
        <f>AND(ESG!#REF!,"AAAAADfev/0=")</f>
        <v>#REF!</v>
      </c>
      <c r="IU278" t="e">
        <f>AND(ESG!#REF!,"AAAAADfev/4=")</f>
        <v>#REF!</v>
      </c>
      <c r="IV278" t="e">
        <f>AND(ESG!#REF!,"AAAAADfev/8=")</f>
        <v>#REF!</v>
      </c>
    </row>
    <row r="279" spans="1:256" x14ac:dyDescent="0.2">
      <c r="A279" t="e">
        <f>AND(ESG!#REF!,"AAAAAD6PbwA=")</f>
        <v>#REF!</v>
      </c>
      <c r="B279" t="e">
        <f>IF(ESG!15:15,"AAAAAD6PbwE=",0)</f>
        <v>#VALUE!</v>
      </c>
      <c r="C279" t="e">
        <f>AND(ESG!#REF!,"AAAAAD6PbwI=")</f>
        <v>#REF!</v>
      </c>
      <c r="D279" t="e">
        <f>AND(ESG!A15,"AAAAAD6PbwM=")</f>
        <v>#VALUE!</v>
      </c>
      <c r="E279" t="e">
        <f>AND(ESG!B15,"AAAAAD6PbwQ=")</f>
        <v>#VALUE!</v>
      </c>
      <c r="F279" t="e">
        <f>AND(ESG!C15,"AAAAAD6PbwU=")</f>
        <v>#VALUE!</v>
      </c>
      <c r="G279" t="e">
        <f>AND(ESG!D15,"AAAAAD6PbwY=")</f>
        <v>#VALUE!</v>
      </c>
      <c r="H279" t="e">
        <f>AND(ESG!E15,"AAAAAD6Pbwc=")</f>
        <v>#VALUE!</v>
      </c>
      <c r="I279" t="e">
        <f>AND(ESG!F15,"AAAAAD6Pbwg=")</f>
        <v>#VALUE!</v>
      </c>
      <c r="J279" t="e">
        <f>AND(ESG!G15,"AAAAAD6Pbwk=")</f>
        <v>#VALUE!</v>
      </c>
      <c r="K279" t="e">
        <f>AND(ESG!H15,"AAAAAD6Pbwo=")</f>
        <v>#VALUE!</v>
      </c>
      <c r="L279" t="e">
        <f>AND(ESG!I15,"AAAAAD6Pbws=")</f>
        <v>#VALUE!</v>
      </c>
      <c r="M279" t="e">
        <f>AND(ESG!J15,"AAAAAD6Pbww=")</f>
        <v>#VALUE!</v>
      </c>
      <c r="N279" t="e">
        <f>AND(ESG!K15,"AAAAAD6Pbw0=")</f>
        <v>#VALUE!</v>
      </c>
      <c r="O279" t="e">
        <f>AND(ESG!L15,"AAAAAD6Pbw4=")</f>
        <v>#VALUE!</v>
      </c>
      <c r="P279" t="e">
        <f>AND(ESG!M15,"AAAAAD6Pbw8=")</f>
        <v>#VALUE!</v>
      </c>
      <c r="Q279" t="e">
        <f>IF(ESG!#REF!,"AAAAAD6PbxA=",0)</f>
        <v>#REF!</v>
      </c>
      <c r="R279" t="e">
        <f>AND(ESG!#REF!,"AAAAAD6PbxE=")</f>
        <v>#REF!</v>
      </c>
      <c r="S279" t="e">
        <f>AND(ESG!#REF!,"AAAAAD6PbxI=")</f>
        <v>#REF!</v>
      </c>
      <c r="T279" t="e">
        <f>AND(ESG!#REF!,"AAAAAD6PbxM=")</f>
        <v>#REF!</v>
      </c>
      <c r="U279" t="e">
        <f>AND(ESG!#REF!,"AAAAAD6PbxQ=")</f>
        <v>#REF!</v>
      </c>
      <c r="V279" t="e">
        <f>AND(ESG!#REF!,"AAAAAD6PbxU=")</f>
        <v>#REF!</v>
      </c>
      <c r="W279" t="e">
        <f>AND(ESG!#REF!,"AAAAAD6PbxY=")</f>
        <v>#REF!</v>
      </c>
      <c r="X279" t="e">
        <f>AND(ESG!#REF!,"AAAAAD6Pbxc=")</f>
        <v>#REF!</v>
      </c>
      <c r="Y279" t="e">
        <f>AND(ESG!#REF!,"AAAAAD6Pbxg=")</f>
        <v>#REF!</v>
      </c>
      <c r="Z279" t="e">
        <f>AND(ESG!#REF!,"AAAAAD6Pbxk=")</f>
        <v>#REF!</v>
      </c>
      <c r="AA279" t="e">
        <f>AND(ESG!#REF!,"AAAAAD6Pbxo=")</f>
        <v>#REF!</v>
      </c>
      <c r="AB279" t="e">
        <f>AND(ESG!#REF!,"AAAAAD6Pbxs=")</f>
        <v>#REF!</v>
      </c>
      <c r="AC279" t="e">
        <f>AND(ESG!#REF!,"AAAAAD6Pbxw=")</f>
        <v>#REF!</v>
      </c>
      <c r="AD279" t="e">
        <f>AND(ESG!#REF!,"AAAAAD6Pbx0=")</f>
        <v>#REF!</v>
      </c>
      <c r="AE279" t="e">
        <f>AND(ESG!#REF!,"AAAAAD6Pbx4=")</f>
        <v>#REF!</v>
      </c>
      <c r="AF279">
        <f>IF(ESG!16:16,"AAAAAD6Pbx8=",0)</f>
        <v>0</v>
      </c>
      <c r="AG279" t="e">
        <f>AND(ESG!#REF!,"AAAAAD6PbyA=")</f>
        <v>#REF!</v>
      </c>
      <c r="AH279" t="e">
        <f>AND(ESG!A16,"AAAAAD6PbyE=")</f>
        <v>#VALUE!</v>
      </c>
      <c r="AI279" t="e">
        <f>AND(ESG!B16,"AAAAAD6PbyI=")</f>
        <v>#VALUE!</v>
      </c>
      <c r="AJ279" t="e">
        <f>AND(ESG!C16,"AAAAAD6PbyM=")</f>
        <v>#VALUE!</v>
      </c>
      <c r="AK279" t="e">
        <f>AND(ESG!D16,"AAAAAD6PbyQ=")</f>
        <v>#VALUE!</v>
      </c>
      <c r="AL279" t="e">
        <f>AND(ESG!E16,"AAAAAD6PbyU=")</f>
        <v>#VALUE!</v>
      </c>
      <c r="AM279" t="e">
        <f>AND(ESG!F16,"AAAAAD6PbyY=")</f>
        <v>#VALUE!</v>
      </c>
      <c r="AN279" t="e">
        <f>AND(ESG!G16,"AAAAAD6Pbyc=")</f>
        <v>#VALUE!</v>
      </c>
      <c r="AO279" t="e">
        <f>AND(ESG!H16,"AAAAAD6Pbyg=")</f>
        <v>#VALUE!</v>
      </c>
      <c r="AP279" t="e">
        <f>AND(ESG!I16,"AAAAAD6Pbyk=")</f>
        <v>#VALUE!</v>
      </c>
      <c r="AQ279" t="e">
        <f>AND(ESG!J16,"AAAAAD6Pbyo=")</f>
        <v>#VALUE!</v>
      </c>
      <c r="AR279" t="e">
        <f>AND(ESG!K16,"AAAAAD6Pbys=")</f>
        <v>#VALUE!</v>
      </c>
      <c r="AS279" t="e">
        <f>AND(ESG!L16,"AAAAAD6Pbyw=")</f>
        <v>#VALUE!</v>
      </c>
      <c r="AT279" t="e">
        <f>AND(ESG!M16,"AAAAAD6Pby0=")</f>
        <v>#VALUE!</v>
      </c>
      <c r="AU279">
        <f>IF(ESG!35:35,"AAAAAD6Pby4=",0)</f>
        <v>0</v>
      </c>
      <c r="AV279" t="e">
        <f>AND(ESG!#REF!,"AAAAAD6Pby8=")</f>
        <v>#REF!</v>
      </c>
      <c r="AW279" t="e">
        <f>AND(ESG!A35,"AAAAAD6PbzA=")</f>
        <v>#VALUE!</v>
      </c>
      <c r="AX279" t="e">
        <f>AND(ESG!B35,"AAAAAD6PbzE=")</f>
        <v>#VALUE!</v>
      </c>
      <c r="AY279" t="e">
        <f>AND(ESG!C35,"AAAAAD6PbzI=")</f>
        <v>#VALUE!</v>
      </c>
      <c r="AZ279" t="e">
        <f>AND(ESG!D35,"AAAAAD6PbzM=")</f>
        <v>#VALUE!</v>
      </c>
      <c r="BA279" t="e">
        <f>AND(ESG!E35,"AAAAAD6PbzQ=")</f>
        <v>#VALUE!</v>
      </c>
      <c r="BB279" t="e">
        <f>AND(ESG!F35,"AAAAAD6PbzU=")</f>
        <v>#VALUE!</v>
      </c>
      <c r="BC279" t="e">
        <f>AND(ESG!G35,"AAAAAD6PbzY=")</f>
        <v>#VALUE!</v>
      </c>
      <c r="BD279" t="e">
        <f>AND(ESG!H35,"AAAAAD6Pbzc=")</f>
        <v>#VALUE!</v>
      </c>
      <c r="BE279" t="e">
        <f>AND(ESG!I35,"AAAAAD6Pbzg=")</f>
        <v>#VALUE!</v>
      </c>
      <c r="BF279" t="e">
        <f>AND(ESG!J35,"AAAAAD6Pbzk=")</f>
        <v>#VALUE!</v>
      </c>
      <c r="BG279" t="e">
        <f>AND(ESG!K35,"AAAAAD6Pbzo=")</f>
        <v>#VALUE!</v>
      </c>
      <c r="BH279" t="e">
        <f>AND(ESG!L35,"AAAAAD6Pbzs=")</f>
        <v>#VALUE!</v>
      </c>
      <c r="BI279" t="e">
        <f>AND(ESG!M35,"AAAAAD6Pbzw=")</f>
        <v>#VALUE!</v>
      </c>
      <c r="BJ279" t="e">
        <f>IF(ESG!#REF!,"AAAAAD6Pbz0=",0)</f>
        <v>#REF!</v>
      </c>
      <c r="BK279" t="e">
        <f>AND(ESG!#REF!,"AAAAAD6Pbz4=")</f>
        <v>#REF!</v>
      </c>
      <c r="BL279" t="e">
        <f>AND(ESG!#REF!,"AAAAAD6Pbz8=")</f>
        <v>#REF!</v>
      </c>
      <c r="BM279" t="e">
        <f>AND(ESG!#REF!,"AAAAAD6Pb0A=")</f>
        <v>#REF!</v>
      </c>
      <c r="BN279" t="e">
        <f>AND(ESG!#REF!,"AAAAAD6Pb0E=")</f>
        <v>#REF!</v>
      </c>
      <c r="BO279" t="e">
        <f>AND(ESG!#REF!,"AAAAAD6Pb0I=")</f>
        <v>#REF!</v>
      </c>
      <c r="BP279" t="e">
        <f>AND(ESG!#REF!,"AAAAAD6Pb0M=")</f>
        <v>#REF!</v>
      </c>
      <c r="BQ279" t="e">
        <f>AND(ESG!#REF!,"AAAAAD6Pb0Q=")</f>
        <v>#REF!</v>
      </c>
      <c r="BR279" t="e">
        <f>AND(ESG!#REF!,"AAAAAD6Pb0U=")</f>
        <v>#REF!</v>
      </c>
      <c r="BS279" t="e">
        <f>AND(ESG!#REF!,"AAAAAD6Pb0Y=")</f>
        <v>#REF!</v>
      </c>
      <c r="BT279" t="e">
        <f>AND(ESG!#REF!,"AAAAAD6Pb0c=")</f>
        <v>#REF!</v>
      </c>
      <c r="BU279" t="e">
        <f>AND(ESG!#REF!,"AAAAAD6Pb0g=")</f>
        <v>#REF!</v>
      </c>
      <c r="BV279" t="e">
        <f>AND(ESG!#REF!,"AAAAAD6Pb0k=")</f>
        <v>#REF!</v>
      </c>
      <c r="BW279" t="e">
        <f>AND(ESG!#REF!,"AAAAAD6Pb0o=")</f>
        <v>#REF!</v>
      </c>
      <c r="BX279" t="e">
        <f>AND(ESG!#REF!,"AAAAAD6Pb0s=")</f>
        <v>#REF!</v>
      </c>
      <c r="BY279" t="e">
        <f>IF(ESG!#REF!,"AAAAAD6Pb0w=",0)</f>
        <v>#REF!</v>
      </c>
      <c r="BZ279" t="e">
        <f>AND(ESG!#REF!,"AAAAAD6Pb00=")</f>
        <v>#REF!</v>
      </c>
      <c r="CA279" t="e">
        <f>AND(ESG!#REF!,"AAAAAD6Pb04=")</f>
        <v>#REF!</v>
      </c>
      <c r="CB279" t="e">
        <f>AND(ESG!#REF!,"AAAAAD6Pb08=")</f>
        <v>#REF!</v>
      </c>
      <c r="CC279" t="e">
        <f>AND(ESG!#REF!,"AAAAAD6Pb1A=")</f>
        <v>#REF!</v>
      </c>
      <c r="CD279" t="e">
        <f>AND(ESG!#REF!,"AAAAAD6Pb1E=")</f>
        <v>#REF!</v>
      </c>
      <c r="CE279" t="e">
        <f>AND(ESG!#REF!,"AAAAAD6Pb1I=")</f>
        <v>#REF!</v>
      </c>
      <c r="CF279" t="e">
        <f>AND(ESG!#REF!,"AAAAAD6Pb1M=")</f>
        <v>#REF!</v>
      </c>
      <c r="CG279" t="e">
        <f>AND(ESG!#REF!,"AAAAAD6Pb1Q=")</f>
        <v>#REF!</v>
      </c>
      <c r="CH279" t="e">
        <f>AND(ESG!#REF!,"AAAAAD6Pb1U=")</f>
        <v>#REF!</v>
      </c>
      <c r="CI279" t="e">
        <f>AND(ESG!#REF!,"AAAAAD6Pb1Y=")</f>
        <v>#REF!</v>
      </c>
      <c r="CJ279" t="e">
        <f>AND(ESG!#REF!,"AAAAAD6Pb1c=")</f>
        <v>#REF!</v>
      </c>
      <c r="CK279" t="e">
        <f>AND(ESG!#REF!,"AAAAAD6Pb1g=")</f>
        <v>#REF!</v>
      </c>
      <c r="CL279" t="e">
        <f>AND(ESG!#REF!,"AAAAAD6Pb1k=")</f>
        <v>#REF!</v>
      </c>
      <c r="CM279" t="e">
        <f>AND(ESG!#REF!,"AAAAAD6Pb1o=")</f>
        <v>#REF!</v>
      </c>
      <c r="CN279" t="e">
        <f>IF(ESG!#REF!,"AAAAAD6Pb1s=",0)</f>
        <v>#REF!</v>
      </c>
      <c r="CO279" t="e">
        <f>AND(ESG!#REF!,"AAAAAD6Pb1w=")</f>
        <v>#REF!</v>
      </c>
      <c r="CP279" t="e">
        <f>AND(ESG!#REF!,"AAAAAD6Pb10=")</f>
        <v>#REF!</v>
      </c>
      <c r="CQ279" t="e">
        <f>AND(ESG!#REF!,"AAAAAD6Pb14=")</f>
        <v>#REF!</v>
      </c>
      <c r="CR279" t="e">
        <f>AND(ESG!#REF!,"AAAAAD6Pb18=")</f>
        <v>#REF!</v>
      </c>
      <c r="CS279" t="e">
        <f>AND(ESG!#REF!,"AAAAAD6Pb2A=")</f>
        <v>#REF!</v>
      </c>
      <c r="CT279" t="e">
        <f>AND(ESG!#REF!,"AAAAAD6Pb2E=")</f>
        <v>#REF!</v>
      </c>
      <c r="CU279" t="e">
        <f>AND(ESG!#REF!,"AAAAAD6Pb2I=")</f>
        <v>#REF!</v>
      </c>
      <c r="CV279" t="e">
        <f>AND(ESG!#REF!,"AAAAAD6Pb2M=")</f>
        <v>#REF!</v>
      </c>
      <c r="CW279" t="e">
        <f>AND(ESG!#REF!,"AAAAAD6Pb2Q=")</f>
        <v>#REF!</v>
      </c>
      <c r="CX279" t="e">
        <f>AND(ESG!#REF!,"AAAAAD6Pb2U=")</f>
        <v>#REF!</v>
      </c>
      <c r="CY279" t="e">
        <f>AND(ESG!#REF!,"AAAAAD6Pb2Y=")</f>
        <v>#REF!</v>
      </c>
      <c r="CZ279" t="e">
        <f>AND(ESG!#REF!,"AAAAAD6Pb2c=")</f>
        <v>#REF!</v>
      </c>
      <c r="DA279" t="e">
        <f>AND(ESG!#REF!,"AAAAAD6Pb2g=")</f>
        <v>#REF!</v>
      </c>
      <c r="DB279" t="e">
        <f>AND(ESG!#REF!,"AAAAAD6Pb2k=")</f>
        <v>#REF!</v>
      </c>
      <c r="DC279" t="e">
        <f>IF(ESG!#REF!,"AAAAAD6Pb2o=",0)</f>
        <v>#REF!</v>
      </c>
      <c r="DD279" t="e">
        <f>AND(ESG!#REF!,"AAAAAD6Pb2s=")</f>
        <v>#REF!</v>
      </c>
      <c r="DE279" t="e">
        <f>AND(ESG!#REF!,"AAAAAD6Pb2w=")</f>
        <v>#REF!</v>
      </c>
      <c r="DF279" t="e">
        <f>AND(ESG!#REF!,"AAAAAD6Pb20=")</f>
        <v>#REF!</v>
      </c>
      <c r="DG279" t="e">
        <f>AND(ESG!#REF!,"AAAAAD6Pb24=")</f>
        <v>#REF!</v>
      </c>
      <c r="DH279" t="e">
        <f>AND(ESG!#REF!,"AAAAAD6Pb28=")</f>
        <v>#REF!</v>
      </c>
      <c r="DI279" t="e">
        <f>AND(ESG!#REF!,"AAAAAD6Pb3A=")</f>
        <v>#REF!</v>
      </c>
      <c r="DJ279" t="e">
        <f>AND(ESG!#REF!,"AAAAAD6Pb3E=")</f>
        <v>#REF!</v>
      </c>
      <c r="DK279" t="e">
        <f>AND(ESG!#REF!,"AAAAAD6Pb3I=")</f>
        <v>#REF!</v>
      </c>
      <c r="DL279" t="e">
        <f>AND(ESG!#REF!,"AAAAAD6Pb3M=")</f>
        <v>#REF!</v>
      </c>
      <c r="DM279" t="e">
        <f>AND(ESG!#REF!,"AAAAAD6Pb3Q=")</f>
        <v>#REF!</v>
      </c>
      <c r="DN279" t="e">
        <f>AND(ESG!#REF!,"AAAAAD6Pb3U=")</f>
        <v>#REF!</v>
      </c>
      <c r="DO279" t="e">
        <f>AND(ESG!#REF!,"AAAAAD6Pb3Y=")</f>
        <v>#REF!</v>
      </c>
      <c r="DP279" t="e">
        <f>AND(ESG!#REF!,"AAAAAD6Pb3c=")</f>
        <v>#REF!</v>
      </c>
      <c r="DQ279" t="e">
        <f>AND(ESG!#REF!,"AAAAAD6Pb3g=")</f>
        <v>#REF!</v>
      </c>
      <c r="DR279" t="e">
        <f>IF(ESG!#REF!,"AAAAAD6Pb3k=",0)</f>
        <v>#REF!</v>
      </c>
      <c r="DS279" t="e">
        <f>AND(ESG!#REF!,"AAAAAD6Pb3o=")</f>
        <v>#REF!</v>
      </c>
      <c r="DT279" t="e">
        <f>AND(ESG!#REF!,"AAAAAD6Pb3s=")</f>
        <v>#REF!</v>
      </c>
      <c r="DU279" t="e">
        <f>AND(ESG!#REF!,"AAAAAD6Pb3w=")</f>
        <v>#REF!</v>
      </c>
      <c r="DV279" t="e">
        <f>AND(ESG!#REF!,"AAAAAD6Pb30=")</f>
        <v>#REF!</v>
      </c>
      <c r="DW279" t="e">
        <f>AND(ESG!#REF!,"AAAAAD6Pb34=")</f>
        <v>#REF!</v>
      </c>
      <c r="DX279" t="e">
        <f>AND(ESG!#REF!,"AAAAAD6Pb38=")</f>
        <v>#REF!</v>
      </c>
      <c r="DY279" t="e">
        <f>AND(ESG!#REF!,"AAAAAD6Pb4A=")</f>
        <v>#REF!</v>
      </c>
      <c r="DZ279" t="e">
        <f>AND(ESG!#REF!,"AAAAAD6Pb4E=")</f>
        <v>#REF!</v>
      </c>
      <c r="EA279" t="e">
        <f>AND(ESG!#REF!,"AAAAAD6Pb4I=")</f>
        <v>#REF!</v>
      </c>
      <c r="EB279" t="e">
        <f>AND(ESG!#REF!,"AAAAAD6Pb4M=")</f>
        <v>#REF!</v>
      </c>
      <c r="EC279" t="e">
        <f>AND(ESG!#REF!,"AAAAAD6Pb4Q=")</f>
        <v>#REF!</v>
      </c>
      <c r="ED279" t="e">
        <f>AND(ESG!#REF!,"AAAAAD6Pb4U=")</f>
        <v>#REF!</v>
      </c>
      <c r="EE279" t="e">
        <f>AND(ESG!#REF!,"AAAAAD6Pb4Y=")</f>
        <v>#REF!</v>
      </c>
      <c r="EF279" t="e">
        <f>AND(ESG!#REF!,"AAAAAD6Pb4c=")</f>
        <v>#REF!</v>
      </c>
      <c r="EG279">
        <f>IF(ESG!A:A,"AAAAAD6Pb4g=",0)</f>
        <v>0</v>
      </c>
      <c r="EH279">
        <f>IF(ESG!B:B,"AAAAAD6Pb4k=",0)</f>
        <v>0</v>
      </c>
      <c r="EI279">
        <f>IF(ESG!C:C,"AAAAAD6Pb4o=",0)</f>
        <v>0</v>
      </c>
      <c r="EJ279">
        <f>IF(ESG!D:D,"AAAAAD6Pb4s=",0)</f>
        <v>0</v>
      </c>
      <c r="EK279">
        <f>IF(ESG!E:E,"AAAAAD6Pb4w=",0)</f>
        <v>0</v>
      </c>
      <c r="EL279">
        <f>IF(ESG!F:F,"AAAAAD6Pb40=",0)</f>
        <v>0</v>
      </c>
      <c r="EM279">
        <f>IF(ESG!G:G,"AAAAAD6Pb44=",0)</f>
        <v>0</v>
      </c>
      <c r="EN279">
        <f>IF(ESG!H:H,"AAAAAD6Pb48=",0)</f>
        <v>0</v>
      </c>
      <c r="EO279">
        <f>IF(ESG!I:I,"AAAAAD6Pb5A=",0)</f>
        <v>0</v>
      </c>
      <c r="EP279">
        <f>IF(ESG!J:J,"AAAAAD6Pb5E=",0)</f>
        <v>0</v>
      </c>
      <c r="EQ279">
        <f>IF(ESG!K:K,"AAAAAD6Pb5I=",0)</f>
        <v>0</v>
      </c>
      <c r="ER279">
        <f>IF(ESG!L:L,"AAAAAD6Pb5M=",0)</f>
        <v>0</v>
      </c>
      <c r="ES279">
        <f>IF(ESG!M:M,"AAAAAD6Pb5Q=",0)</f>
        <v>0</v>
      </c>
      <c r="ET279">
        <f>IF(ESG!N:N,"AAAAAD6Pb5U=",0)</f>
        <v>0</v>
      </c>
      <c r="EU279">
        <f>IF('Post Show '!1:1,"AAAAAD6Pb5Y=",0)</f>
        <v>0</v>
      </c>
      <c r="EV279" t="e">
        <f>AND('Post Show '!#REF!,"AAAAAD6Pb5c=")</f>
        <v>#REF!</v>
      </c>
      <c r="EW279" t="e">
        <f>AND('Post Show '!A1,"AAAAAD6Pb5g=")</f>
        <v>#VALUE!</v>
      </c>
      <c r="EX279" t="e">
        <f>AND('Post Show '!C1,"AAAAAD6Pb5k=")</f>
        <v>#VALUE!</v>
      </c>
      <c r="EY279" t="e">
        <f>AND('Post Show '!D1,"AAAAAD6Pb5o=")</f>
        <v>#VALUE!</v>
      </c>
      <c r="EZ279" t="e">
        <f>AND('Post Show '!E1,"AAAAAD6Pb5s=")</f>
        <v>#VALUE!</v>
      </c>
      <c r="FA279" t="e">
        <f>AND('Post Show '!F1,"AAAAAD6Pb5w=")</f>
        <v>#VALUE!</v>
      </c>
      <c r="FB279" t="e">
        <f>AND('Post Show '!G1,"AAAAAD6Pb50=")</f>
        <v>#VALUE!</v>
      </c>
      <c r="FC279" t="e">
        <f>AND('Post Show '!H1,"AAAAAD6Pb54=")</f>
        <v>#VALUE!</v>
      </c>
      <c r="FD279" t="e">
        <f>AND('Post Show '!I1,"AAAAAD6Pb58=")</f>
        <v>#VALUE!</v>
      </c>
      <c r="FE279" t="e">
        <f>AND('Post Show '!J1,"AAAAAD6Pb6A=")</f>
        <v>#VALUE!</v>
      </c>
      <c r="FF279" t="e">
        <f>AND('Post Show '!#REF!,"AAAAAD6Pb6E=")</f>
        <v>#REF!</v>
      </c>
      <c r="FG279" t="e">
        <f>AND('Post Show '!K1,"AAAAAD6Pb6I=")</f>
        <v>#VALUE!</v>
      </c>
      <c r="FH279">
        <f>IF('Post Show '!2:2,"AAAAAD6Pb6M=",0)</f>
        <v>0</v>
      </c>
      <c r="FI279" t="e">
        <f>AND('Post Show '!A2,"AAAAAD6Pb6Q=")</f>
        <v>#VALUE!</v>
      </c>
      <c r="FJ279" t="e">
        <f>AND('Post Show '!B2,"AAAAAD6Pb6U=")</f>
        <v>#VALUE!</v>
      </c>
      <c r="FK279" t="e">
        <f>AND('Post Show '!C2,"AAAAAD6Pb6Y=")</f>
        <v>#VALUE!</v>
      </c>
      <c r="FL279" t="e">
        <f>AND('Post Show '!D2,"AAAAAD6Pb6c=")</f>
        <v>#VALUE!</v>
      </c>
      <c r="FM279" t="e">
        <f>AND('Post Show '!E2,"AAAAAD6Pb6g=")</f>
        <v>#VALUE!</v>
      </c>
      <c r="FN279" t="e">
        <f>AND('Post Show '!F2,"AAAAAD6Pb6k=")</f>
        <v>#VALUE!</v>
      </c>
      <c r="FO279" t="e">
        <f>AND('Post Show '!G2,"AAAAAD6Pb6o=")</f>
        <v>#VALUE!</v>
      </c>
      <c r="FP279" t="e">
        <f>AND('Post Show '!H2,"AAAAAD6Pb6s=")</f>
        <v>#VALUE!</v>
      </c>
      <c r="FQ279" t="e">
        <f>AND('Post Show '!I2,"AAAAAD6Pb6w=")</f>
        <v>#VALUE!</v>
      </c>
      <c r="FR279" t="e">
        <f>AND('Post Show '!J2,"AAAAAD6Pb60=")</f>
        <v>#VALUE!</v>
      </c>
      <c r="FS279" t="e">
        <f>AND('Post Show '!#REF!,"AAAAAD6Pb64=")</f>
        <v>#REF!</v>
      </c>
      <c r="FT279" t="e">
        <f>AND('Post Show '!K2,"AAAAAD6Pb68=")</f>
        <v>#VALUE!</v>
      </c>
      <c r="FU279">
        <f>IF('Post Show '!3:3,"AAAAAD6Pb7A=",0)</f>
        <v>0</v>
      </c>
      <c r="FV279" t="e">
        <f>AND('Post Show '!#REF!,"AAAAAD6Pb7E=")</f>
        <v>#REF!</v>
      </c>
      <c r="FW279" t="e">
        <f>AND('Post Show '!A3,"AAAAAD6Pb7I=")</f>
        <v>#VALUE!</v>
      </c>
      <c r="FX279" t="e">
        <f>AND('Post Show '!B3,"AAAAAD6Pb7M=")</f>
        <v>#VALUE!</v>
      </c>
      <c r="FY279" t="e">
        <f>AND('Post Show '!C3,"AAAAAD6Pb7Q=")</f>
        <v>#VALUE!</v>
      </c>
      <c r="FZ279" t="e">
        <f>AND('Post Show '!D3,"AAAAAD6Pb7U=")</f>
        <v>#VALUE!</v>
      </c>
      <c r="GA279" t="e">
        <f>AND('Post Show '!E3,"AAAAAD6Pb7Y=")</f>
        <v>#VALUE!</v>
      </c>
      <c r="GB279" t="e">
        <f>AND('Post Show '!F3,"AAAAAD6Pb7c=")</f>
        <v>#VALUE!</v>
      </c>
      <c r="GC279" t="e">
        <f>AND('Post Show '!G3,"AAAAAD6Pb7g=")</f>
        <v>#VALUE!</v>
      </c>
      <c r="GD279" t="e">
        <f>AND('Post Show '!H3,"AAAAAD6Pb7k=")</f>
        <v>#VALUE!</v>
      </c>
      <c r="GE279" t="e">
        <f>AND('Post Show '!I3,"AAAAAD6Pb7o=")</f>
        <v>#VALUE!</v>
      </c>
      <c r="GF279" t="e">
        <f>AND('Post Show '!J3,"AAAAAD6Pb7s=")</f>
        <v>#VALUE!</v>
      </c>
      <c r="GG279" t="e">
        <f>AND('Post Show '!#REF!,"AAAAAD6Pb7w=")</f>
        <v>#REF!</v>
      </c>
      <c r="GH279" t="e">
        <f>IF('Post Show '!#REF!,"AAAAAD6Pb70=",0)</f>
        <v>#REF!</v>
      </c>
      <c r="GI279" t="e">
        <f>AND('Post Show '!#REF!,"AAAAAD6Pb74=")</f>
        <v>#REF!</v>
      </c>
      <c r="GJ279" t="e">
        <f>AND('Post Show '!#REF!,"AAAAAD6Pb78=")</f>
        <v>#REF!</v>
      </c>
      <c r="GK279" t="e">
        <f>AND('Post Show '!#REF!,"AAAAAD6Pb8A=")</f>
        <v>#REF!</v>
      </c>
      <c r="GL279" t="e">
        <f>AND('Post Show '!#REF!,"AAAAAD6Pb8E=")</f>
        <v>#REF!</v>
      </c>
      <c r="GM279" t="e">
        <f>AND('Post Show '!#REF!,"AAAAAD6Pb8I=")</f>
        <v>#REF!</v>
      </c>
      <c r="GN279" t="e">
        <f>AND('Post Show '!#REF!,"AAAAAD6Pb8M=")</f>
        <v>#REF!</v>
      </c>
      <c r="GO279" t="e">
        <f>AND('Post Show '!#REF!,"AAAAAD6Pb8Q=")</f>
        <v>#REF!</v>
      </c>
      <c r="GP279" t="e">
        <f>AND('Post Show '!#REF!,"AAAAAD6Pb8U=")</f>
        <v>#REF!</v>
      </c>
      <c r="GQ279" t="e">
        <f>AND('Post Show '!#REF!,"AAAAAD6Pb8Y=")</f>
        <v>#REF!</v>
      </c>
      <c r="GR279" t="e">
        <f>AND('Post Show '!#REF!,"AAAAAD6Pb8c=")</f>
        <v>#REF!</v>
      </c>
      <c r="GS279" t="e">
        <f>AND('Post Show '!#REF!,"AAAAAD6Pb8g=")</f>
        <v>#REF!</v>
      </c>
      <c r="GT279" t="e">
        <f>AND('Post Show '!#REF!,"AAAAAD6Pb8k=")</f>
        <v>#REF!</v>
      </c>
      <c r="GU279" t="e">
        <f>IF('Post Show '!#REF!,"AAAAAD6Pb8o=",0)</f>
        <v>#REF!</v>
      </c>
      <c r="GV279" t="e">
        <f>AND('Post Show '!#REF!,"AAAAAD6Pb8s=")</f>
        <v>#REF!</v>
      </c>
      <c r="GW279" t="e">
        <f>AND('Post Show '!#REF!,"AAAAAD6Pb8w=")</f>
        <v>#REF!</v>
      </c>
      <c r="GX279" t="e">
        <f>AND('Post Show '!#REF!,"AAAAAD6Pb80=")</f>
        <v>#REF!</v>
      </c>
      <c r="GY279" t="e">
        <f>AND('Post Show '!#REF!,"AAAAAD6Pb84=")</f>
        <v>#REF!</v>
      </c>
      <c r="GZ279" t="e">
        <f>AND('Post Show '!#REF!,"AAAAAD6Pb88=")</f>
        <v>#REF!</v>
      </c>
      <c r="HA279" t="e">
        <f>AND('Post Show '!#REF!,"AAAAAD6Pb9A=")</f>
        <v>#REF!</v>
      </c>
      <c r="HB279" t="e">
        <f>AND('Post Show '!#REF!,"AAAAAD6Pb9E=")</f>
        <v>#REF!</v>
      </c>
      <c r="HC279" t="e">
        <f>AND('Post Show '!#REF!,"AAAAAD6Pb9I=")</f>
        <v>#REF!</v>
      </c>
      <c r="HD279" t="e">
        <f>AND('Post Show '!#REF!,"AAAAAD6Pb9M=")</f>
        <v>#REF!</v>
      </c>
      <c r="HE279" t="e">
        <f>AND('Post Show '!#REF!,"AAAAAD6Pb9Q=")</f>
        <v>#REF!</v>
      </c>
      <c r="HF279" t="e">
        <f>AND('Post Show '!#REF!,"AAAAAD6Pb9U=")</f>
        <v>#REF!</v>
      </c>
      <c r="HG279" t="e">
        <f>AND('Post Show '!#REF!,"AAAAAD6Pb9Y=")</f>
        <v>#REF!</v>
      </c>
      <c r="HH279" t="e">
        <f>IF('Post Show '!#REF!,"AAAAAD6Pb9c=",0)</f>
        <v>#REF!</v>
      </c>
      <c r="HI279" t="e">
        <f>AND('Post Show '!#REF!,"AAAAAD6Pb9g=")</f>
        <v>#REF!</v>
      </c>
      <c r="HJ279" t="e">
        <f>AND('Post Show '!#REF!,"AAAAAD6Pb9k=")</f>
        <v>#REF!</v>
      </c>
      <c r="HK279" t="e">
        <f>AND('Post Show '!#REF!,"AAAAAD6Pb9o=")</f>
        <v>#REF!</v>
      </c>
      <c r="HL279" t="e">
        <f>AND('Post Show '!#REF!,"AAAAAD6Pb9s=")</f>
        <v>#REF!</v>
      </c>
      <c r="HM279" t="e">
        <f>AND('Post Show '!#REF!,"AAAAAD6Pb9w=")</f>
        <v>#REF!</v>
      </c>
      <c r="HN279" t="e">
        <f>AND('Post Show '!#REF!,"AAAAAD6Pb90=")</f>
        <v>#REF!</v>
      </c>
      <c r="HO279" t="e">
        <f>AND('Post Show '!#REF!,"AAAAAD6Pb94=")</f>
        <v>#REF!</v>
      </c>
      <c r="HP279" t="e">
        <f>AND('Post Show '!#REF!,"AAAAAD6Pb98=")</f>
        <v>#REF!</v>
      </c>
      <c r="HQ279" t="e">
        <f>AND('Post Show '!#REF!,"AAAAAD6Pb+A=")</f>
        <v>#REF!</v>
      </c>
      <c r="HR279" t="e">
        <f>AND('Post Show '!#REF!,"AAAAAD6Pb+E=")</f>
        <v>#REF!</v>
      </c>
      <c r="HS279" t="e">
        <f>AND('Post Show '!#REF!,"AAAAAD6Pb+I=")</f>
        <v>#REF!</v>
      </c>
      <c r="HT279" t="e">
        <f>AND('Post Show '!#REF!,"AAAAAD6Pb+M=")</f>
        <v>#REF!</v>
      </c>
      <c r="HU279" t="e">
        <f>IF('Post Show '!#REF!,"AAAAAD6Pb+Q=",0)</f>
        <v>#REF!</v>
      </c>
      <c r="HV279" t="e">
        <f>AND('Post Show '!#REF!,"AAAAAD6Pb+U=")</f>
        <v>#REF!</v>
      </c>
      <c r="HW279" t="e">
        <f>AND('Post Show '!#REF!,"AAAAAD6Pb+Y=")</f>
        <v>#REF!</v>
      </c>
      <c r="HX279" t="e">
        <f>AND('Post Show '!#REF!,"AAAAAD6Pb+c=")</f>
        <v>#REF!</v>
      </c>
      <c r="HY279" t="e">
        <f>AND('Post Show '!#REF!,"AAAAAD6Pb+g=")</f>
        <v>#REF!</v>
      </c>
      <c r="HZ279" t="e">
        <f>AND('Post Show '!#REF!,"AAAAAD6Pb+k=")</f>
        <v>#REF!</v>
      </c>
      <c r="IA279" t="e">
        <f>AND('Post Show '!#REF!,"AAAAAD6Pb+o=")</f>
        <v>#REF!</v>
      </c>
      <c r="IB279" t="e">
        <f>AND('Post Show '!#REF!,"AAAAAD6Pb+s=")</f>
        <v>#REF!</v>
      </c>
      <c r="IC279" t="e">
        <f>AND('Post Show '!#REF!,"AAAAAD6Pb+w=")</f>
        <v>#REF!</v>
      </c>
      <c r="ID279" t="e">
        <f>AND('Post Show '!#REF!,"AAAAAD6Pb+0=")</f>
        <v>#REF!</v>
      </c>
      <c r="IE279" t="e">
        <f>AND('Post Show '!#REF!,"AAAAAD6Pb+4=")</f>
        <v>#REF!</v>
      </c>
      <c r="IF279" t="e">
        <f>AND('Post Show '!#REF!,"AAAAAD6Pb+8=")</f>
        <v>#REF!</v>
      </c>
      <c r="IG279" t="e">
        <f>AND('Post Show '!#REF!,"AAAAAD6Pb/A=")</f>
        <v>#REF!</v>
      </c>
      <c r="IH279" t="e">
        <f>IF('Post Show '!#REF!,"AAAAAD6Pb/E=",0)</f>
        <v>#REF!</v>
      </c>
      <c r="II279" t="e">
        <f>AND('Post Show '!#REF!,"AAAAAD6Pb/I=")</f>
        <v>#REF!</v>
      </c>
      <c r="IJ279" t="e">
        <f>AND('Post Show '!#REF!,"AAAAAD6Pb/M=")</f>
        <v>#REF!</v>
      </c>
      <c r="IK279" t="e">
        <f>AND('Post Show '!#REF!,"AAAAAD6Pb/Q=")</f>
        <v>#REF!</v>
      </c>
      <c r="IL279" t="e">
        <f>AND('Post Show '!#REF!,"AAAAAD6Pb/U=")</f>
        <v>#REF!</v>
      </c>
      <c r="IM279" t="e">
        <f>AND('Post Show '!#REF!,"AAAAAD6Pb/Y=")</f>
        <v>#REF!</v>
      </c>
      <c r="IN279" t="e">
        <f>AND('Post Show '!#REF!,"AAAAAD6Pb/c=")</f>
        <v>#REF!</v>
      </c>
      <c r="IO279" t="e">
        <f>AND('Post Show '!#REF!,"AAAAAD6Pb/g=")</f>
        <v>#REF!</v>
      </c>
      <c r="IP279" t="e">
        <f>AND('Post Show '!#REF!,"AAAAAD6Pb/k=")</f>
        <v>#REF!</v>
      </c>
      <c r="IQ279" t="e">
        <f>AND('Post Show '!#REF!,"AAAAAD6Pb/o=")</f>
        <v>#REF!</v>
      </c>
      <c r="IR279" t="e">
        <f>AND('Post Show '!#REF!,"AAAAAD6Pb/s=")</f>
        <v>#REF!</v>
      </c>
      <c r="IS279" t="e">
        <f>AND('Post Show '!#REF!,"AAAAAD6Pb/w=")</f>
        <v>#REF!</v>
      </c>
      <c r="IT279" t="e">
        <f>AND('Post Show '!#REF!,"AAAAAD6Pb/0=")</f>
        <v>#REF!</v>
      </c>
      <c r="IU279" t="e">
        <f>IF('Post Show '!#REF!,"AAAAAD6Pb/4=",0)</f>
        <v>#REF!</v>
      </c>
      <c r="IV279" t="e">
        <f>AND('Post Show '!#REF!,"AAAAAD6Pb/8=")</f>
        <v>#REF!</v>
      </c>
    </row>
    <row r="280" spans="1:256" x14ac:dyDescent="0.2">
      <c r="A280" t="e">
        <f>AND('Post Show '!#REF!,"AAAAAFz/8wA=")</f>
        <v>#REF!</v>
      </c>
      <c r="B280" t="e">
        <f>AND('Post Show '!#REF!,"AAAAAFz/8wE=")</f>
        <v>#REF!</v>
      </c>
      <c r="C280" t="e">
        <f>AND('Post Show '!#REF!,"AAAAAFz/8wI=")</f>
        <v>#REF!</v>
      </c>
      <c r="D280" t="e">
        <f>AND('Post Show '!#REF!,"AAAAAFz/8wM=")</f>
        <v>#REF!</v>
      </c>
      <c r="E280" t="e">
        <f>AND('Post Show '!#REF!,"AAAAAFz/8wQ=")</f>
        <v>#REF!</v>
      </c>
      <c r="F280" t="e">
        <f>AND('Post Show '!#REF!,"AAAAAFz/8wU=")</f>
        <v>#REF!</v>
      </c>
      <c r="G280" t="e">
        <f>AND('Post Show '!#REF!,"AAAAAFz/8wY=")</f>
        <v>#REF!</v>
      </c>
      <c r="H280" t="e">
        <f>AND('Post Show '!#REF!,"AAAAAFz/8wc=")</f>
        <v>#REF!</v>
      </c>
      <c r="I280" t="e">
        <f>AND('Post Show '!#REF!,"AAAAAFz/8wg=")</f>
        <v>#REF!</v>
      </c>
      <c r="J280" t="e">
        <f>AND('Post Show '!#REF!,"AAAAAFz/8wk=")</f>
        <v>#REF!</v>
      </c>
      <c r="K280" t="e">
        <f>AND('Post Show '!#REF!,"AAAAAFz/8wo=")</f>
        <v>#REF!</v>
      </c>
      <c r="L280" t="e">
        <f>IF('Post Show '!#REF!,"AAAAAFz/8ws=",0)</f>
        <v>#REF!</v>
      </c>
      <c r="M280" t="e">
        <f>AND('Post Show '!#REF!,"AAAAAFz/8ww=")</f>
        <v>#REF!</v>
      </c>
      <c r="N280" t="e">
        <f>AND('Post Show '!#REF!,"AAAAAFz/8w0=")</f>
        <v>#REF!</v>
      </c>
      <c r="O280" t="e">
        <f>AND('Post Show '!#REF!,"AAAAAFz/8w4=")</f>
        <v>#REF!</v>
      </c>
      <c r="P280" t="e">
        <f>AND('Post Show '!#REF!,"AAAAAFz/8w8=")</f>
        <v>#REF!</v>
      </c>
      <c r="Q280" t="e">
        <f>AND('Post Show '!#REF!,"AAAAAFz/8xA=")</f>
        <v>#REF!</v>
      </c>
      <c r="R280" t="e">
        <f>AND('Post Show '!#REF!,"AAAAAFz/8xE=")</f>
        <v>#REF!</v>
      </c>
      <c r="S280" t="e">
        <f>AND('Post Show '!#REF!,"AAAAAFz/8xI=")</f>
        <v>#REF!</v>
      </c>
      <c r="T280" t="e">
        <f>AND('Post Show '!#REF!,"AAAAAFz/8xM=")</f>
        <v>#REF!</v>
      </c>
      <c r="U280" t="e">
        <f>AND('Post Show '!#REF!,"AAAAAFz/8xQ=")</f>
        <v>#REF!</v>
      </c>
      <c r="V280" t="e">
        <f>AND('Post Show '!#REF!,"AAAAAFz/8xU=")</f>
        <v>#REF!</v>
      </c>
      <c r="W280" t="e">
        <f>AND('Post Show '!#REF!,"AAAAAFz/8xY=")</f>
        <v>#REF!</v>
      </c>
      <c r="X280" t="e">
        <f>AND('Post Show '!#REF!,"AAAAAFz/8xc=")</f>
        <v>#REF!</v>
      </c>
      <c r="Y280" t="e">
        <f>IF('Post Show '!#REF!,"AAAAAFz/8xg=",0)</f>
        <v>#REF!</v>
      </c>
      <c r="Z280" t="e">
        <f>AND('Post Show '!#REF!,"AAAAAFz/8xk=")</f>
        <v>#REF!</v>
      </c>
      <c r="AA280" t="e">
        <f>AND('Post Show '!#REF!,"AAAAAFz/8xo=")</f>
        <v>#REF!</v>
      </c>
      <c r="AB280" t="e">
        <f>AND('Post Show '!#REF!,"AAAAAFz/8xs=")</f>
        <v>#REF!</v>
      </c>
      <c r="AC280" t="e">
        <f>AND('Post Show '!#REF!,"AAAAAFz/8xw=")</f>
        <v>#REF!</v>
      </c>
      <c r="AD280" t="e">
        <f>AND('Post Show '!#REF!,"AAAAAFz/8x0=")</f>
        <v>#REF!</v>
      </c>
      <c r="AE280" t="e">
        <f>AND('Post Show '!#REF!,"AAAAAFz/8x4=")</f>
        <v>#REF!</v>
      </c>
      <c r="AF280" t="e">
        <f>AND('Post Show '!#REF!,"AAAAAFz/8x8=")</f>
        <v>#REF!</v>
      </c>
      <c r="AG280" t="e">
        <f>AND('Post Show '!#REF!,"AAAAAFz/8yA=")</f>
        <v>#REF!</v>
      </c>
      <c r="AH280" t="e">
        <f>AND('Post Show '!#REF!,"AAAAAFz/8yE=")</f>
        <v>#REF!</v>
      </c>
      <c r="AI280" t="e">
        <f>AND('Post Show '!#REF!,"AAAAAFz/8yI=")</f>
        <v>#REF!</v>
      </c>
      <c r="AJ280" t="e">
        <f>AND('Post Show '!#REF!,"AAAAAFz/8yM=")</f>
        <v>#REF!</v>
      </c>
      <c r="AK280" t="e">
        <f>AND('Post Show '!#REF!,"AAAAAFz/8yQ=")</f>
        <v>#REF!</v>
      </c>
      <c r="AL280" t="e">
        <f>IF('Post Show '!#REF!,"AAAAAFz/8yU=",0)</f>
        <v>#REF!</v>
      </c>
      <c r="AM280" t="e">
        <f>AND('Post Show '!#REF!,"AAAAAFz/8yY=")</f>
        <v>#REF!</v>
      </c>
      <c r="AN280" t="e">
        <f>AND('Post Show '!#REF!,"AAAAAFz/8yc=")</f>
        <v>#REF!</v>
      </c>
      <c r="AO280" t="e">
        <f>AND('Post Show '!#REF!,"AAAAAFz/8yg=")</f>
        <v>#REF!</v>
      </c>
      <c r="AP280" t="e">
        <f>AND('Post Show '!#REF!,"AAAAAFz/8yk=")</f>
        <v>#REF!</v>
      </c>
      <c r="AQ280" t="e">
        <f>AND('Post Show '!#REF!,"AAAAAFz/8yo=")</f>
        <v>#REF!</v>
      </c>
      <c r="AR280" t="e">
        <f>AND('Post Show '!#REF!,"AAAAAFz/8ys=")</f>
        <v>#REF!</v>
      </c>
      <c r="AS280" t="e">
        <f>AND('Post Show '!#REF!,"AAAAAFz/8yw=")</f>
        <v>#REF!</v>
      </c>
      <c r="AT280" t="e">
        <f>AND('Post Show '!#REF!,"AAAAAFz/8y0=")</f>
        <v>#REF!</v>
      </c>
      <c r="AU280" t="e">
        <f>AND('Post Show '!#REF!,"AAAAAFz/8y4=")</f>
        <v>#REF!</v>
      </c>
      <c r="AV280" t="e">
        <f>AND('Post Show '!#REF!,"AAAAAFz/8y8=")</f>
        <v>#REF!</v>
      </c>
      <c r="AW280" t="e">
        <f>AND('Post Show '!#REF!,"AAAAAFz/8zA=")</f>
        <v>#REF!</v>
      </c>
      <c r="AX280" t="e">
        <f>AND('Post Show '!#REF!,"AAAAAFz/8zE=")</f>
        <v>#REF!</v>
      </c>
      <c r="AY280" t="e">
        <f>IF('Post Show '!#REF!,"AAAAAFz/8zI=",0)</f>
        <v>#REF!</v>
      </c>
      <c r="AZ280" t="e">
        <f>AND('Post Show '!#REF!,"AAAAAFz/8zM=")</f>
        <v>#REF!</v>
      </c>
      <c r="BA280" t="e">
        <f>AND('Post Show '!#REF!,"AAAAAFz/8zQ=")</f>
        <v>#REF!</v>
      </c>
      <c r="BB280" t="e">
        <f>AND('Post Show '!#REF!,"AAAAAFz/8zU=")</f>
        <v>#REF!</v>
      </c>
      <c r="BC280" t="e">
        <f>AND('Post Show '!#REF!,"AAAAAFz/8zY=")</f>
        <v>#REF!</v>
      </c>
      <c r="BD280" t="e">
        <f>AND('Post Show '!#REF!,"AAAAAFz/8zc=")</f>
        <v>#REF!</v>
      </c>
      <c r="BE280" t="e">
        <f>AND('Post Show '!#REF!,"AAAAAFz/8zg=")</f>
        <v>#REF!</v>
      </c>
      <c r="BF280" t="e">
        <f>AND('Post Show '!#REF!,"AAAAAFz/8zk=")</f>
        <v>#REF!</v>
      </c>
      <c r="BG280" t="e">
        <f>AND('Post Show '!#REF!,"AAAAAFz/8zo=")</f>
        <v>#REF!</v>
      </c>
      <c r="BH280" t="e">
        <f>AND('Post Show '!#REF!,"AAAAAFz/8zs=")</f>
        <v>#REF!</v>
      </c>
      <c r="BI280" t="e">
        <f>AND('Post Show '!#REF!,"AAAAAFz/8zw=")</f>
        <v>#REF!</v>
      </c>
      <c r="BJ280" t="e">
        <f>AND('Post Show '!#REF!,"AAAAAFz/8z0=")</f>
        <v>#REF!</v>
      </c>
      <c r="BK280" t="e">
        <f>AND('Post Show '!#REF!,"AAAAAFz/8z4=")</f>
        <v>#REF!</v>
      </c>
      <c r="BL280" t="e">
        <f>IF('Post Show '!#REF!,"AAAAAFz/8z8=",0)</f>
        <v>#REF!</v>
      </c>
      <c r="BM280" t="e">
        <f>AND('Post Show '!#REF!,"AAAAAFz/80A=")</f>
        <v>#REF!</v>
      </c>
      <c r="BN280" t="e">
        <f>AND('Post Show '!#REF!,"AAAAAFz/80E=")</f>
        <v>#REF!</v>
      </c>
      <c r="BO280" t="e">
        <f>AND('Post Show '!#REF!,"AAAAAFz/80I=")</f>
        <v>#REF!</v>
      </c>
      <c r="BP280" t="e">
        <f>AND('Post Show '!#REF!,"AAAAAFz/80M=")</f>
        <v>#REF!</v>
      </c>
      <c r="BQ280" t="e">
        <f>AND('Post Show '!#REF!,"AAAAAFz/80Q=")</f>
        <v>#REF!</v>
      </c>
      <c r="BR280" t="e">
        <f>AND('Post Show '!#REF!,"AAAAAFz/80U=")</f>
        <v>#REF!</v>
      </c>
      <c r="BS280" t="e">
        <f>AND('Post Show '!#REF!,"AAAAAFz/80Y=")</f>
        <v>#REF!</v>
      </c>
      <c r="BT280" t="e">
        <f>AND('Post Show '!#REF!,"AAAAAFz/80c=")</f>
        <v>#REF!</v>
      </c>
      <c r="BU280" t="e">
        <f>AND('Post Show '!#REF!,"AAAAAFz/80g=")</f>
        <v>#REF!</v>
      </c>
      <c r="BV280" t="e">
        <f>AND('Post Show '!#REF!,"AAAAAFz/80k=")</f>
        <v>#REF!</v>
      </c>
      <c r="BW280" t="e">
        <f>AND('Post Show '!#REF!,"AAAAAFz/80o=")</f>
        <v>#REF!</v>
      </c>
      <c r="BX280" t="e">
        <f>AND('Post Show '!#REF!,"AAAAAFz/80s=")</f>
        <v>#REF!</v>
      </c>
      <c r="BY280" t="e">
        <f>IF('Post Show '!#REF!,"AAAAAFz/80w=",0)</f>
        <v>#REF!</v>
      </c>
      <c r="BZ280" t="e">
        <f>AND('Post Show '!#REF!,"AAAAAFz/800=")</f>
        <v>#REF!</v>
      </c>
      <c r="CA280" t="e">
        <f>AND('Post Show '!#REF!,"AAAAAFz/804=")</f>
        <v>#REF!</v>
      </c>
      <c r="CB280" t="e">
        <f>AND('Post Show '!#REF!,"AAAAAFz/808=")</f>
        <v>#REF!</v>
      </c>
      <c r="CC280" t="e">
        <f>AND('Post Show '!#REF!,"AAAAAFz/81A=")</f>
        <v>#REF!</v>
      </c>
      <c r="CD280" t="e">
        <f>AND('Post Show '!#REF!,"AAAAAFz/81E=")</f>
        <v>#REF!</v>
      </c>
      <c r="CE280" t="e">
        <f>AND('Post Show '!#REF!,"AAAAAFz/81I=")</f>
        <v>#REF!</v>
      </c>
      <c r="CF280" t="e">
        <f>AND('Post Show '!#REF!,"AAAAAFz/81M=")</f>
        <v>#REF!</v>
      </c>
      <c r="CG280" t="e">
        <f>AND('Post Show '!#REF!,"AAAAAFz/81Q=")</f>
        <v>#REF!</v>
      </c>
      <c r="CH280" t="e">
        <f>AND('Post Show '!#REF!,"AAAAAFz/81U=")</f>
        <v>#REF!</v>
      </c>
      <c r="CI280" t="e">
        <f>AND('Post Show '!#REF!,"AAAAAFz/81Y=")</f>
        <v>#REF!</v>
      </c>
      <c r="CJ280" t="e">
        <f>AND('Post Show '!#REF!,"AAAAAFz/81c=")</f>
        <v>#REF!</v>
      </c>
      <c r="CK280" t="e">
        <f>AND('Post Show '!#REF!,"AAAAAFz/81g=")</f>
        <v>#REF!</v>
      </c>
      <c r="CL280" t="e">
        <f>IF('Post Show '!#REF!,"AAAAAFz/81k=",0)</f>
        <v>#REF!</v>
      </c>
      <c r="CM280" t="e">
        <f>AND('Post Show '!#REF!,"AAAAAFz/81o=")</f>
        <v>#REF!</v>
      </c>
      <c r="CN280" t="e">
        <f>AND('Post Show '!#REF!,"AAAAAFz/81s=")</f>
        <v>#REF!</v>
      </c>
      <c r="CO280" t="e">
        <f>AND('Post Show '!#REF!,"AAAAAFz/81w=")</f>
        <v>#REF!</v>
      </c>
      <c r="CP280" t="e">
        <f>AND('Post Show '!#REF!,"AAAAAFz/810=")</f>
        <v>#REF!</v>
      </c>
      <c r="CQ280" t="e">
        <f>AND('Post Show '!#REF!,"AAAAAFz/814=")</f>
        <v>#REF!</v>
      </c>
      <c r="CR280" t="e">
        <f>AND('Post Show '!#REF!,"AAAAAFz/818=")</f>
        <v>#REF!</v>
      </c>
      <c r="CS280" t="e">
        <f>AND('Post Show '!#REF!,"AAAAAFz/82A=")</f>
        <v>#REF!</v>
      </c>
      <c r="CT280" t="e">
        <f>AND('Post Show '!#REF!,"AAAAAFz/82E=")</f>
        <v>#REF!</v>
      </c>
      <c r="CU280" t="e">
        <f>AND('Post Show '!#REF!,"AAAAAFz/82I=")</f>
        <v>#REF!</v>
      </c>
      <c r="CV280" t="e">
        <f>AND('Post Show '!#REF!,"AAAAAFz/82M=")</f>
        <v>#REF!</v>
      </c>
      <c r="CW280" t="e">
        <f>AND('Post Show '!#REF!,"AAAAAFz/82Q=")</f>
        <v>#REF!</v>
      </c>
      <c r="CX280" t="e">
        <f>AND('Post Show '!#REF!,"AAAAAFz/82U=")</f>
        <v>#REF!</v>
      </c>
      <c r="CY280" t="e">
        <f>IF('Post Show '!#REF!,"AAAAAFz/82Y=",0)</f>
        <v>#REF!</v>
      </c>
      <c r="CZ280" t="e">
        <f>AND('Post Show '!#REF!,"AAAAAFz/82c=")</f>
        <v>#REF!</v>
      </c>
      <c r="DA280" t="e">
        <f>AND('Post Show '!#REF!,"AAAAAFz/82g=")</f>
        <v>#REF!</v>
      </c>
      <c r="DB280" t="e">
        <f>AND('Post Show '!#REF!,"AAAAAFz/82k=")</f>
        <v>#REF!</v>
      </c>
      <c r="DC280" t="e">
        <f>AND('Post Show '!#REF!,"AAAAAFz/82o=")</f>
        <v>#REF!</v>
      </c>
      <c r="DD280" t="e">
        <f>AND('Post Show '!#REF!,"AAAAAFz/82s=")</f>
        <v>#REF!</v>
      </c>
      <c r="DE280" t="e">
        <f>AND('Post Show '!#REF!,"AAAAAFz/82w=")</f>
        <v>#REF!</v>
      </c>
      <c r="DF280" t="e">
        <f>AND('Post Show '!#REF!,"AAAAAFz/820=")</f>
        <v>#REF!</v>
      </c>
      <c r="DG280" t="e">
        <f>AND('Post Show '!#REF!,"AAAAAFz/824=")</f>
        <v>#REF!</v>
      </c>
      <c r="DH280" t="e">
        <f>AND('Post Show '!#REF!,"AAAAAFz/828=")</f>
        <v>#REF!</v>
      </c>
      <c r="DI280" t="e">
        <f>AND('Post Show '!#REF!,"AAAAAFz/83A=")</f>
        <v>#REF!</v>
      </c>
      <c r="DJ280" t="e">
        <f>AND('Post Show '!#REF!,"AAAAAFz/83E=")</f>
        <v>#REF!</v>
      </c>
      <c r="DK280" t="e">
        <f>AND('Post Show '!#REF!,"AAAAAFz/83I=")</f>
        <v>#REF!</v>
      </c>
      <c r="DL280" t="e">
        <f>IF('Post Show '!#REF!,"AAAAAFz/83M=",0)</f>
        <v>#REF!</v>
      </c>
      <c r="DM280" t="e">
        <f>AND('Post Show '!#REF!,"AAAAAFz/83Q=")</f>
        <v>#REF!</v>
      </c>
      <c r="DN280" t="e">
        <f>AND('Post Show '!#REF!,"AAAAAFz/83U=")</f>
        <v>#REF!</v>
      </c>
      <c r="DO280" t="e">
        <f>AND('Post Show '!#REF!,"AAAAAFz/83Y=")</f>
        <v>#REF!</v>
      </c>
      <c r="DP280" t="e">
        <f>AND('Post Show '!#REF!,"AAAAAFz/83c=")</f>
        <v>#REF!</v>
      </c>
      <c r="DQ280" t="e">
        <f>AND('Post Show '!#REF!,"AAAAAFz/83g=")</f>
        <v>#REF!</v>
      </c>
      <c r="DR280" t="e">
        <f>AND('Post Show '!#REF!,"AAAAAFz/83k=")</f>
        <v>#REF!</v>
      </c>
      <c r="DS280" t="e">
        <f>AND('Post Show '!#REF!,"AAAAAFz/83o=")</f>
        <v>#REF!</v>
      </c>
      <c r="DT280" t="e">
        <f>AND('Post Show '!#REF!,"AAAAAFz/83s=")</f>
        <v>#REF!</v>
      </c>
      <c r="DU280" t="e">
        <f>AND('Post Show '!#REF!,"AAAAAFz/83w=")</f>
        <v>#REF!</v>
      </c>
      <c r="DV280" t="e">
        <f>AND('Post Show '!#REF!,"AAAAAFz/830=")</f>
        <v>#REF!</v>
      </c>
      <c r="DW280" t="e">
        <f>AND('Post Show '!#REF!,"AAAAAFz/834=")</f>
        <v>#REF!</v>
      </c>
      <c r="DX280" t="e">
        <f>AND('Post Show '!#REF!,"AAAAAFz/838=")</f>
        <v>#REF!</v>
      </c>
      <c r="DY280" t="e">
        <f>IF('Post Show '!#REF!,"AAAAAFz/84A=",0)</f>
        <v>#REF!</v>
      </c>
      <c r="DZ280" t="e">
        <f>AND('Post Show '!#REF!,"AAAAAFz/84E=")</f>
        <v>#REF!</v>
      </c>
      <c r="EA280" t="e">
        <f>AND('Post Show '!#REF!,"AAAAAFz/84I=")</f>
        <v>#REF!</v>
      </c>
      <c r="EB280" t="e">
        <f>AND('Post Show '!#REF!,"AAAAAFz/84M=")</f>
        <v>#REF!</v>
      </c>
      <c r="EC280" t="e">
        <f>AND('Post Show '!#REF!,"AAAAAFz/84Q=")</f>
        <v>#REF!</v>
      </c>
      <c r="ED280" t="e">
        <f>AND('Post Show '!#REF!,"AAAAAFz/84U=")</f>
        <v>#REF!</v>
      </c>
      <c r="EE280" t="e">
        <f>AND('Post Show '!#REF!,"AAAAAFz/84Y=")</f>
        <v>#REF!</v>
      </c>
      <c r="EF280" t="e">
        <f>AND('Post Show '!#REF!,"AAAAAFz/84c=")</f>
        <v>#REF!</v>
      </c>
      <c r="EG280" t="e">
        <f>AND('Post Show '!#REF!,"AAAAAFz/84g=")</f>
        <v>#REF!</v>
      </c>
      <c r="EH280" t="e">
        <f>AND('Post Show '!#REF!,"AAAAAFz/84k=")</f>
        <v>#REF!</v>
      </c>
      <c r="EI280" t="e">
        <f>AND('Post Show '!#REF!,"AAAAAFz/84o=")</f>
        <v>#REF!</v>
      </c>
      <c r="EJ280" t="e">
        <f>AND('Post Show '!#REF!,"AAAAAFz/84s=")</f>
        <v>#REF!</v>
      </c>
      <c r="EK280" t="e">
        <f>AND('Post Show '!#REF!,"AAAAAFz/84w=")</f>
        <v>#REF!</v>
      </c>
      <c r="EL280" t="e">
        <f>IF('Post Show '!#REF!,"AAAAAFz/840=",0)</f>
        <v>#REF!</v>
      </c>
      <c r="EM280" t="e">
        <f>AND('Post Show '!#REF!,"AAAAAFz/844=")</f>
        <v>#REF!</v>
      </c>
      <c r="EN280" t="e">
        <f>AND('Post Show '!#REF!,"AAAAAFz/848=")</f>
        <v>#REF!</v>
      </c>
      <c r="EO280" t="e">
        <f>AND('Post Show '!#REF!,"AAAAAFz/85A=")</f>
        <v>#REF!</v>
      </c>
      <c r="EP280" t="e">
        <f>AND('Post Show '!#REF!,"AAAAAFz/85E=")</f>
        <v>#REF!</v>
      </c>
      <c r="EQ280" t="e">
        <f>AND('Post Show '!#REF!,"AAAAAFz/85I=")</f>
        <v>#REF!</v>
      </c>
      <c r="ER280" t="e">
        <f>AND('Post Show '!#REF!,"AAAAAFz/85M=")</f>
        <v>#REF!</v>
      </c>
      <c r="ES280" t="e">
        <f>AND('Post Show '!#REF!,"AAAAAFz/85Q=")</f>
        <v>#REF!</v>
      </c>
      <c r="ET280" t="e">
        <f>AND('Post Show '!#REF!,"AAAAAFz/85U=")</f>
        <v>#REF!</v>
      </c>
      <c r="EU280" t="e">
        <f>AND('Post Show '!#REF!,"AAAAAFz/85Y=")</f>
        <v>#REF!</v>
      </c>
      <c r="EV280" t="e">
        <f>AND('Post Show '!#REF!,"AAAAAFz/85c=")</f>
        <v>#REF!</v>
      </c>
      <c r="EW280" t="e">
        <f>AND('Post Show '!#REF!,"AAAAAFz/85g=")</f>
        <v>#REF!</v>
      </c>
      <c r="EX280" t="e">
        <f>AND('Post Show '!#REF!,"AAAAAFz/85k=")</f>
        <v>#REF!</v>
      </c>
      <c r="EY280" t="e">
        <f>IF('Post Show '!#REF!,"AAAAAFz/85o=",0)</f>
        <v>#REF!</v>
      </c>
      <c r="EZ280" t="e">
        <f>AND('Post Show '!#REF!,"AAAAAFz/85s=")</f>
        <v>#REF!</v>
      </c>
      <c r="FA280" t="e">
        <f>AND('Post Show '!#REF!,"AAAAAFz/85w=")</f>
        <v>#REF!</v>
      </c>
      <c r="FB280" t="e">
        <f>AND('Post Show '!#REF!,"AAAAAFz/850=")</f>
        <v>#REF!</v>
      </c>
      <c r="FC280" t="e">
        <f>AND('Post Show '!#REF!,"AAAAAFz/854=")</f>
        <v>#REF!</v>
      </c>
      <c r="FD280" t="e">
        <f>AND('Post Show '!#REF!,"AAAAAFz/858=")</f>
        <v>#REF!</v>
      </c>
      <c r="FE280" t="e">
        <f>AND('Post Show '!#REF!,"AAAAAFz/86A=")</f>
        <v>#REF!</v>
      </c>
      <c r="FF280" t="e">
        <f>AND('Post Show '!#REF!,"AAAAAFz/86E=")</f>
        <v>#REF!</v>
      </c>
      <c r="FG280" t="e">
        <f>AND('Post Show '!#REF!,"AAAAAFz/86I=")</f>
        <v>#REF!</v>
      </c>
      <c r="FH280" t="e">
        <f>AND('Post Show '!#REF!,"AAAAAFz/86M=")</f>
        <v>#REF!</v>
      </c>
      <c r="FI280" t="e">
        <f>AND('Post Show '!#REF!,"AAAAAFz/86Q=")</f>
        <v>#REF!</v>
      </c>
      <c r="FJ280" t="e">
        <f>AND('Post Show '!#REF!,"AAAAAFz/86U=")</f>
        <v>#REF!</v>
      </c>
      <c r="FK280" t="e">
        <f>AND('Post Show '!#REF!,"AAAAAFz/86Y=")</f>
        <v>#REF!</v>
      </c>
      <c r="FL280" t="e">
        <f>IF('Post Show '!#REF!,"AAAAAFz/86c=",0)</f>
        <v>#REF!</v>
      </c>
      <c r="FM280" t="e">
        <f>AND('Post Show '!#REF!,"AAAAAFz/86g=")</f>
        <v>#REF!</v>
      </c>
      <c r="FN280" t="e">
        <f>AND('Post Show '!#REF!,"AAAAAFz/86k=")</f>
        <v>#REF!</v>
      </c>
      <c r="FO280" t="e">
        <f>AND('Post Show '!#REF!,"AAAAAFz/86o=")</f>
        <v>#REF!</v>
      </c>
      <c r="FP280" t="e">
        <f>AND('Post Show '!#REF!,"AAAAAFz/86s=")</f>
        <v>#REF!</v>
      </c>
      <c r="FQ280" t="e">
        <f>AND('Post Show '!#REF!,"AAAAAFz/86w=")</f>
        <v>#REF!</v>
      </c>
      <c r="FR280" t="e">
        <f>AND('Post Show '!#REF!,"AAAAAFz/860=")</f>
        <v>#REF!</v>
      </c>
      <c r="FS280" t="e">
        <f>AND('Post Show '!#REF!,"AAAAAFz/864=")</f>
        <v>#REF!</v>
      </c>
      <c r="FT280" t="e">
        <f>AND('Post Show '!#REF!,"AAAAAFz/868=")</f>
        <v>#REF!</v>
      </c>
      <c r="FU280" t="e">
        <f>AND('Post Show '!#REF!,"AAAAAFz/87A=")</f>
        <v>#REF!</v>
      </c>
      <c r="FV280" t="e">
        <f>AND('Post Show '!#REF!,"AAAAAFz/87E=")</f>
        <v>#REF!</v>
      </c>
      <c r="FW280" t="e">
        <f>AND('Post Show '!#REF!,"AAAAAFz/87I=")</f>
        <v>#REF!</v>
      </c>
      <c r="FX280" t="e">
        <f>AND('Post Show '!#REF!,"AAAAAFz/87M=")</f>
        <v>#REF!</v>
      </c>
      <c r="FY280" t="e">
        <f>IF('Post Show '!#REF!,"AAAAAFz/87Q=",0)</f>
        <v>#REF!</v>
      </c>
      <c r="FZ280" t="e">
        <f>AND('Post Show '!#REF!,"AAAAAFz/87U=")</f>
        <v>#REF!</v>
      </c>
      <c r="GA280" t="e">
        <f>AND('Post Show '!#REF!,"AAAAAFz/87Y=")</f>
        <v>#REF!</v>
      </c>
      <c r="GB280" t="e">
        <f>AND('Post Show '!#REF!,"AAAAAFz/87c=")</f>
        <v>#REF!</v>
      </c>
      <c r="GC280" t="e">
        <f>AND('Post Show '!#REF!,"AAAAAFz/87g=")</f>
        <v>#REF!</v>
      </c>
      <c r="GD280" t="e">
        <f>AND('Post Show '!#REF!,"AAAAAFz/87k=")</f>
        <v>#REF!</v>
      </c>
      <c r="GE280" t="e">
        <f>AND('Post Show '!#REF!,"AAAAAFz/87o=")</f>
        <v>#REF!</v>
      </c>
      <c r="GF280" t="e">
        <f>AND('Post Show '!#REF!,"AAAAAFz/87s=")</f>
        <v>#REF!</v>
      </c>
      <c r="GG280" t="e">
        <f>AND('Post Show '!#REF!,"AAAAAFz/87w=")</f>
        <v>#REF!</v>
      </c>
      <c r="GH280" t="e">
        <f>AND('Post Show '!#REF!,"AAAAAFz/870=")</f>
        <v>#REF!</v>
      </c>
      <c r="GI280" t="e">
        <f>AND('Post Show '!#REF!,"AAAAAFz/874=")</f>
        <v>#REF!</v>
      </c>
      <c r="GJ280" t="e">
        <f>AND('Post Show '!#REF!,"AAAAAFz/878=")</f>
        <v>#REF!</v>
      </c>
      <c r="GK280" t="e">
        <f>AND('Post Show '!#REF!,"AAAAAFz/88A=")</f>
        <v>#REF!</v>
      </c>
      <c r="GL280" t="e">
        <f>IF('Post Show '!#REF!,"AAAAAFz/88E=",0)</f>
        <v>#REF!</v>
      </c>
      <c r="GM280" t="e">
        <f>AND('Post Show '!#REF!,"AAAAAFz/88I=")</f>
        <v>#REF!</v>
      </c>
      <c r="GN280" t="e">
        <f>AND('Post Show '!#REF!,"AAAAAFz/88M=")</f>
        <v>#REF!</v>
      </c>
      <c r="GO280" t="e">
        <f>AND('Post Show '!#REF!,"AAAAAFz/88Q=")</f>
        <v>#REF!</v>
      </c>
      <c r="GP280" t="e">
        <f>AND('Post Show '!#REF!,"AAAAAFz/88U=")</f>
        <v>#REF!</v>
      </c>
      <c r="GQ280" t="e">
        <f>AND('Post Show '!#REF!,"AAAAAFz/88Y=")</f>
        <v>#REF!</v>
      </c>
      <c r="GR280" t="e">
        <f>AND('Post Show '!#REF!,"AAAAAFz/88c=")</f>
        <v>#REF!</v>
      </c>
      <c r="GS280" t="e">
        <f>AND('Post Show '!#REF!,"AAAAAFz/88g=")</f>
        <v>#REF!</v>
      </c>
      <c r="GT280" t="e">
        <f>AND('Post Show '!#REF!,"AAAAAFz/88k=")</f>
        <v>#REF!</v>
      </c>
      <c r="GU280" t="e">
        <f>AND('Post Show '!#REF!,"AAAAAFz/88o=")</f>
        <v>#REF!</v>
      </c>
      <c r="GV280" t="e">
        <f>AND('Post Show '!#REF!,"AAAAAFz/88s=")</f>
        <v>#REF!</v>
      </c>
      <c r="GW280" t="e">
        <f>AND('Post Show '!#REF!,"AAAAAFz/88w=")</f>
        <v>#REF!</v>
      </c>
      <c r="GX280" t="e">
        <f>AND('Post Show '!#REF!,"AAAAAFz/880=")</f>
        <v>#REF!</v>
      </c>
      <c r="GY280" t="e">
        <f>IF('Post Show '!#REF!,"AAAAAFz/884=",0)</f>
        <v>#REF!</v>
      </c>
      <c r="GZ280" t="e">
        <f>AND('Post Show '!#REF!,"AAAAAFz/888=")</f>
        <v>#REF!</v>
      </c>
      <c r="HA280" t="e">
        <f>AND('Post Show '!#REF!,"AAAAAFz/89A=")</f>
        <v>#REF!</v>
      </c>
      <c r="HB280" t="e">
        <f>AND('Post Show '!#REF!,"AAAAAFz/89E=")</f>
        <v>#REF!</v>
      </c>
      <c r="HC280" t="e">
        <f>AND('Post Show '!#REF!,"AAAAAFz/89I=")</f>
        <v>#REF!</v>
      </c>
      <c r="HD280" t="e">
        <f>AND('Post Show '!#REF!,"AAAAAFz/89M=")</f>
        <v>#REF!</v>
      </c>
      <c r="HE280" t="e">
        <f>AND('Post Show '!#REF!,"AAAAAFz/89Q=")</f>
        <v>#REF!</v>
      </c>
      <c r="HF280" t="e">
        <f>AND('Post Show '!#REF!,"AAAAAFz/89U=")</f>
        <v>#REF!</v>
      </c>
      <c r="HG280" t="e">
        <f>AND('Post Show '!#REF!,"AAAAAFz/89Y=")</f>
        <v>#REF!</v>
      </c>
      <c r="HH280" t="e">
        <f>AND('Post Show '!#REF!,"AAAAAFz/89c=")</f>
        <v>#REF!</v>
      </c>
      <c r="HI280" t="e">
        <f>AND('Post Show '!#REF!,"AAAAAFz/89g=")</f>
        <v>#REF!</v>
      </c>
      <c r="HJ280" t="e">
        <f>AND('Post Show '!#REF!,"AAAAAFz/89k=")</f>
        <v>#REF!</v>
      </c>
      <c r="HK280" t="e">
        <f>AND('Post Show '!#REF!,"AAAAAFz/89o=")</f>
        <v>#REF!</v>
      </c>
      <c r="HL280" t="e">
        <f>IF('Post Show '!#REF!,"AAAAAFz/89s=",0)</f>
        <v>#REF!</v>
      </c>
      <c r="HM280" t="e">
        <f>AND('Post Show '!#REF!,"AAAAAFz/89w=")</f>
        <v>#REF!</v>
      </c>
      <c r="HN280" t="e">
        <f>AND('Post Show '!#REF!,"AAAAAFz/890=")</f>
        <v>#REF!</v>
      </c>
      <c r="HO280" t="e">
        <f>AND('Post Show '!#REF!,"AAAAAFz/894=")</f>
        <v>#REF!</v>
      </c>
      <c r="HP280" t="e">
        <f>AND('Post Show '!#REF!,"AAAAAFz/898=")</f>
        <v>#REF!</v>
      </c>
      <c r="HQ280" t="e">
        <f>AND('Post Show '!#REF!,"AAAAAFz/8+A=")</f>
        <v>#REF!</v>
      </c>
      <c r="HR280" t="e">
        <f>AND('Post Show '!#REF!,"AAAAAFz/8+E=")</f>
        <v>#REF!</v>
      </c>
      <c r="HS280" t="e">
        <f>AND('Post Show '!#REF!,"AAAAAFz/8+I=")</f>
        <v>#REF!</v>
      </c>
      <c r="HT280" t="e">
        <f>AND('Post Show '!#REF!,"AAAAAFz/8+M=")</f>
        <v>#REF!</v>
      </c>
      <c r="HU280" t="e">
        <f>AND('Post Show '!#REF!,"AAAAAFz/8+Q=")</f>
        <v>#REF!</v>
      </c>
      <c r="HV280" t="e">
        <f>AND('Post Show '!#REF!,"AAAAAFz/8+U=")</f>
        <v>#REF!</v>
      </c>
      <c r="HW280" t="e">
        <f>AND('Post Show '!#REF!,"AAAAAFz/8+Y=")</f>
        <v>#REF!</v>
      </c>
      <c r="HX280" t="e">
        <f>AND('Post Show '!#REF!,"AAAAAFz/8+c=")</f>
        <v>#REF!</v>
      </c>
      <c r="HY280" t="e">
        <f>IF('Post Show '!#REF!,"AAAAAFz/8+g=",0)</f>
        <v>#REF!</v>
      </c>
      <c r="HZ280" t="e">
        <f>AND('Post Show '!#REF!,"AAAAAFz/8+k=")</f>
        <v>#REF!</v>
      </c>
      <c r="IA280" t="e">
        <f>AND('Post Show '!#REF!,"AAAAAFz/8+o=")</f>
        <v>#REF!</v>
      </c>
      <c r="IB280" t="e">
        <f>AND('Post Show '!#REF!,"AAAAAFz/8+s=")</f>
        <v>#REF!</v>
      </c>
      <c r="IC280" t="e">
        <f>AND('Post Show '!#REF!,"AAAAAFz/8+w=")</f>
        <v>#REF!</v>
      </c>
      <c r="ID280" t="e">
        <f>AND('Post Show '!#REF!,"AAAAAFz/8+0=")</f>
        <v>#REF!</v>
      </c>
      <c r="IE280" t="e">
        <f>AND('Post Show '!#REF!,"AAAAAFz/8+4=")</f>
        <v>#REF!</v>
      </c>
      <c r="IF280" t="e">
        <f>AND('Post Show '!#REF!,"AAAAAFz/8+8=")</f>
        <v>#REF!</v>
      </c>
      <c r="IG280" t="e">
        <f>AND('Post Show '!#REF!,"AAAAAFz/8/A=")</f>
        <v>#REF!</v>
      </c>
      <c r="IH280" t="e">
        <f>AND('Post Show '!#REF!,"AAAAAFz/8/E=")</f>
        <v>#REF!</v>
      </c>
      <c r="II280" t="e">
        <f>AND('Post Show '!#REF!,"AAAAAFz/8/I=")</f>
        <v>#REF!</v>
      </c>
      <c r="IJ280" t="e">
        <f>AND('Post Show '!#REF!,"AAAAAFz/8/M=")</f>
        <v>#REF!</v>
      </c>
      <c r="IK280" t="e">
        <f>AND('Post Show '!#REF!,"AAAAAFz/8/Q=")</f>
        <v>#REF!</v>
      </c>
      <c r="IL280" t="e">
        <f>IF('Post Show '!#REF!,"AAAAAFz/8/U=",0)</f>
        <v>#REF!</v>
      </c>
      <c r="IM280" t="e">
        <f>AND('Post Show '!#REF!,"AAAAAFz/8/Y=")</f>
        <v>#REF!</v>
      </c>
      <c r="IN280" t="e">
        <f>AND('Post Show '!#REF!,"AAAAAFz/8/c=")</f>
        <v>#REF!</v>
      </c>
      <c r="IO280" t="e">
        <f>AND('Post Show '!#REF!,"AAAAAFz/8/g=")</f>
        <v>#REF!</v>
      </c>
      <c r="IP280" t="e">
        <f>AND('Post Show '!#REF!,"AAAAAFz/8/k=")</f>
        <v>#REF!</v>
      </c>
      <c r="IQ280" t="e">
        <f>AND('Post Show '!#REF!,"AAAAAFz/8/o=")</f>
        <v>#REF!</v>
      </c>
      <c r="IR280" t="e">
        <f>AND('Post Show '!#REF!,"AAAAAFz/8/s=")</f>
        <v>#REF!</v>
      </c>
      <c r="IS280" t="e">
        <f>AND('Post Show '!#REF!,"AAAAAFz/8/w=")</f>
        <v>#REF!</v>
      </c>
      <c r="IT280" t="e">
        <f>AND('Post Show '!#REF!,"AAAAAFz/8/0=")</f>
        <v>#REF!</v>
      </c>
      <c r="IU280" t="e">
        <f>AND('Post Show '!#REF!,"AAAAAFz/8/4=")</f>
        <v>#REF!</v>
      </c>
      <c r="IV280" t="e">
        <f>AND('Post Show '!#REF!,"AAAAAFz/8/8=")</f>
        <v>#REF!</v>
      </c>
    </row>
    <row r="281" spans="1:256" x14ac:dyDescent="0.2">
      <c r="A281" t="e">
        <f>AND('Post Show '!#REF!,"AAAAAF3z2gA=")</f>
        <v>#REF!</v>
      </c>
      <c r="B281" t="e">
        <f>AND('Post Show '!#REF!,"AAAAAF3z2gE=")</f>
        <v>#REF!</v>
      </c>
      <c r="C281" t="e">
        <f>IF('Post Show '!#REF!,"AAAAAF3z2gI=",0)</f>
        <v>#REF!</v>
      </c>
      <c r="D281" t="e">
        <f>AND('Post Show '!#REF!,"AAAAAF3z2gM=")</f>
        <v>#REF!</v>
      </c>
      <c r="E281" t="e">
        <f>AND('Post Show '!#REF!,"AAAAAF3z2gQ=")</f>
        <v>#REF!</v>
      </c>
      <c r="F281" t="e">
        <f>AND('Post Show '!#REF!,"AAAAAF3z2gU=")</f>
        <v>#REF!</v>
      </c>
      <c r="G281" t="e">
        <f>AND('Post Show '!#REF!,"AAAAAF3z2gY=")</f>
        <v>#REF!</v>
      </c>
      <c r="H281" t="e">
        <f>AND('Post Show '!#REF!,"AAAAAF3z2gc=")</f>
        <v>#REF!</v>
      </c>
      <c r="I281" t="e">
        <f>AND('Post Show '!#REF!,"AAAAAF3z2gg=")</f>
        <v>#REF!</v>
      </c>
      <c r="J281" t="e">
        <f>AND('Post Show '!#REF!,"AAAAAF3z2gk=")</f>
        <v>#REF!</v>
      </c>
      <c r="K281" t="e">
        <f>AND('Post Show '!#REF!,"AAAAAF3z2go=")</f>
        <v>#REF!</v>
      </c>
      <c r="L281" t="e">
        <f>AND('Post Show '!#REF!,"AAAAAF3z2gs=")</f>
        <v>#REF!</v>
      </c>
      <c r="M281" t="e">
        <f>AND('Post Show '!#REF!,"AAAAAF3z2gw=")</f>
        <v>#REF!</v>
      </c>
      <c r="N281" t="e">
        <f>AND('Post Show '!#REF!,"AAAAAF3z2g0=")</f>
        <v>#REF!</v>
      </c>
      <c r="O281" t="e">
        <f>AND('Post Show '!#REF!,"AAAAAF3z2g4=")</f>
        <v>#REF!</v>
      </c>
      <c r="P281" t="e">
        <f>IF('Post Show '!#REF!,"AAAAAF3z2g8=",0)</f>
        <v>#REF!</v>
      </c>
      <c r="Q281" t="e">
        <f>AND('Post Show '!#REF!,"AAAAAF3z2hA=")</f>
        <v>#REF!</v>
      </c>
      <c r="R281" t="e">
        <f>AND('Post Show '!#REF!,"AAAAAF3z2hE=")</f>
        <v>#REF!</v>
      </c>
      <c r="S281" t="e">
        <f>AND('Post Show '!#REF!,"AAAAAF3z2hI=")</f>
        <v>#REF!</v>
      </c>
      <c r="T281" t="e">
        <f>AND('Post Show '!#REF!,"AAAAAF3z2hM=")</f>
        <v>#REF!</v>
      </c>
      <c r="U281" t="e">
        <f>AND('Post Show '!#REF!,"AAAAAF3z2hQ=")</f>
        <v>#REF!</v>
      </c>
      <c r="V281" t="e">
        <f>AND('Post Show '!#REF!,"AAAAAF3z2hU=")</f>
        <v>#REF!</v>
      </c>
      <c r="W281" t="e">
        <f>AND('Post Show '!#REF!,"AAAAAF3z2hY=")</f>
        <v>#REF!</v>
      </c>
      <c r="X281" t="e">
        <f>AND('Post Show '!#REF!,"AAAAAF3z2hc=")</f>
        <v>#REF!</v>
      </c>
      <c r="Y281" t="e">
        <f>AND('Post Show '!#REF!,"AAAAAF3z2hg=")</f>
        <v>#REF!</v>
      </c>
      <c r="Z281" t="e">
        <f>AND('Post Show '!#REF!,"AAAAAF3z2hk=")</f>
        <v>#REF!</v>
      </c>
      <c r="AA281" t="e">
        <f>AND('Post Show '!#REF!,"AAAAAF3z2ho=")</f>
        <v>#REF!</v>
      </c>
      <c r="AB281" t="e">
        <f>AND('Post Show '!#REF!,"AAAAAF3z2hs=")</f>
        <v>#REF!</v>
      </c>
      <c r="AC281" t="e">
        <f>IF('Post Show '!#REF!,"AAAAAF3z2hw=",0)</f>
        <v>#REF!</v>
      </c>
      <c r="AD281" t="e">
        <f>AND('Post Show '!#REF!,"AAAAAF3z2h0=")</f>
        <v>#REF!</v>
      </c>
      <c r="AE281" t="e">
        <f>AND('Post Show '!#REF!,"AAAAAF3z2h4=")</f>
        <v>#REF!</v>
      </c>
      <c r="AF281" t="e">
        <f>AND('Post Show '!#REF!,"AAAAAF3z2h8=")</f>
        <v>#REF!</v>
      </c>
      <c r="AG281" t="e">
        <f>AND('Post Show '!#REF!,"AAAAAF3z2iA=")</f>
        <v>#REF!</v>
      </c>
      <c r="AH281" t="e">
        <f>AND('Post Show '!#REF!,"AAAAAF3z2iE=")</f>
        <v>#REF!</v>
      </c>
      <c r="AI281" t="e">
        <f>AND('Post Show '!#REF!,"AAAAAF3z2iI=")</f>
        <v>#REF!</v>
      </c>
      <c r="AJ281" t="e">
        <f>AND('Post Show '!#REF!,"AAAAAF3z2iM=")</f>
        <v>#REF!</v>
      </c>
      <c r="AK281" t="e">
        <f>AND('Post Show '!#REF!,"AAAAAF3z2iQ=")</f>
        <v>#REF!</v>
      </c>
      <c r="AL281" t="e">
        <f>AND('Post Show '!#REF!,"AAAAAF3z2iU=")</f>
        <v>#REF!</v>
      </c>
      <c r="AM281" t="e">
        <f>AND('Post Show '!#REF!,"AAAAAF3z2iY=")</f>
        <v>#REF!</v>
      </c>
      <c r="AN281" t="e">
        <f>AND('Post Show '!#REF!,"AAAAAF3z2ic=")</f>
        <v>#REF!</v>
      </c>
      <c r="AO281" t="e">
        <f>AND('Post Show '!#REF!,"AAAAAF3z2ig=")</f>
        <v>#REF!</v>
      </c>
      <c r="AP281" t="e">
        <f>IF('Post Show '!#REF!,"AAAAAF3z2ik=",0)</f>
        <v>#REF!</v>
      </c>
      <c r="AQ281" t="e">
        <f>AND('Post Show '!#REF!,"AAAAAF3z2io=")</f>
        <v>#REF!</v>
      </c>
      <c r="AR281" t="e">
        <f>AND('Post Show '!#REF!,"AAAAAF3z2is=")</f>
        <v>#REF!</v>
      </c>
      <c r="AS281" t="e">
        <f>AND('Post Show '!#REF!,"AAAAAF3z2iw=")</f>
        <v>#REF!</v>
      </c>
      <c r="AT281" t="e">
        <f>AND('Post Show '!#REF!,"AAAAAF3z2i0=")</f>
        <v>#REF!</v>
      </c>
      <c r="AU281" t="e">
        <f>AND('Post Show '!#REF!,"AAAAAF3z2i4=")</f>
        <v>#REF!</v>
      </c>
      <c r="AV281" t="e">
        <f>AND('Post Show '!#REF!,"AAAAAF3z2i8=")</f>
        <v>#REF!</v>
      </c>
      <c r="AW281" t="e">
        <f>AND('Post Show '!#REF!,"AAAAAF3z2jA=")</f>
        <v>#REF!</v>
      </c>
      <c r="AX281" t="e">
        <f>AND('Post Show '!#REF!,"AAAAAF3z2jE=")</f>
        <v>#REF!</v>
      </c>
      <c r="AY281" t="e">
        <f>AND('Post Show '!#REF!,"AAAAAF3z2jI=")</f>
        <v>#REF!</v>
      </c>
      <c r="AZ281" t="e">
        <f>AND('Post Show '!#REF!,"AAAAAF3z2jM=")</f>
        <v>#REF!</v>
      </c>
      <c r="BA281" t="e">
        <f>AND('Post Show '!#REF!,"AAAAAF3z2jQ=")</f>
        <v>#REF!</v>
      </c>
      <c r="BB281" t="e">
        <f>AND('Post Show '!#REF!,"AAAAAF3z2jU=")</f>
        <v>#REF!</v>
      </c>
      <c r="BC281" t="e">
        <f>IF('Post Show '!#REF!,"AAAAAF3z2jY=",0)</f>
        <v>#REF!</v>
      </c>
      <c r="BD281" t="e">
        <f>AND('Post Show '!#REF!,"AAAAAF3z2jc=")</f>
        <v>#REF!</v>
      </c>
      <c r="BE281" t="e">
        <f>AND('Post Show '!#REF!,"AAAAAF3z2jg=")</f>
        <v>#REF!</v>
      </c>
      <c r="BF281" t="e">
        <f>AND('Post Show '!#REF!,"AAAAAF3z2jk=")</f>
        <v>#REF!</v>
      </c>
      <c r="BG281" t="e">
        <f>AND('Post Show '!#REF!,"AAAAAF3z2jo=")</f>
        <v>#REF!</v>
      </c>
      <c r="BH281" t="e">
        <f>AND('Post Show '!#REF!,"AAAAAF3z2js=")</f>
        <v>#REF!</v>
      </c>
      <c r="BI281" t="e">
        <f>AND('Post Show '!#REF!,"AAAAAF3z2jw=")</f>
        <v>#REF!</v>
      </c>
      <c r="BJ281" t="e">
        <f>AND('Post Show '!#REF!,"AAAAAF3z2j0=")</f>
        <v>#REF!</v>
      </c>
      <c r="BK281" t="e">
        <f>AND('Post Show '!#REF!,"AAAAAF3z2j4=")</f>
        <v>#REF!</v>
      </c>
      <c r="BL281" t="e">
        <f>AND('Post Show '!#REF!,"AAAAAF3z2j8=")</f>
        <v>#REF!</v>
      </c>
      <c r="BM281" t="e">
        <f>AND('Post Show '!#REF!,"AAAAAF3z2kA=")</f>
        <v>#REF!</v>
      </c>
      <c r="BN281" t="e">
        <f>AND('Post Show '!#REF!,"AAAAAF3z2kE=")</f>
        <v>#REF!</v>
      </c>
      <c r="BO281" t="e">
        <f>AND('Post Show '!#REF!,"AAAAAF3z2kI=")</f>
        <v>#REF!</v>
      </c>
      <c r="BP281" t="e">
        <f>IF('Post Show '!#REF!,"AAAAAF3z2kM=",0)</f>
        <v>#REF!</v>
      </c>
      <c r="BQ281" t="e">
        <f>AND('Post Show '!#REF!,"AAAAAF3z2kQ=")</f>
        <v>#REF!</v>
      </c>
      <c r="BR281" t="e">
        <f>AND('Post Show '!#REF!,"AAAAAF3z2kU=")</f>
        <v>#REF!</v>
      </c>
      <c r="BS281" t="e">
        <f>AND('Post Show '!#REF!,"AAAAAF3z2kY=")</f>
        <v>#REF!</v>
      </c>
      <c r="BT281" t="e">
        <f>AND('Post Show '!#REF!,"AAAAAF3z2kc=")</f>
        <v>#REF!</v>
      </c>
      <c r="BU281" t="e">
        <f>AND('Post Show '!#REF!,"AAAAAF3z2kg=")</f>
        <v>#REF!</v>
      </c>
      <c r="BV281" t="e">
        <f>AND('Post Show '!#REF!,"AAAAAF3z2kk=")</f>
        <v>#REF!</v>
      </c>
      <c r="BW281" t="e">
        <f>AND('Post Show '!#REF!,"AAAAAF3z2ko=")</f>
        <v>#REF!</v>
      </c>
      <c r="BX281" t="e">
        <f>AND('Post Show '!#REF!,"AAAAAF3z2ks=")</f>
        <v>#REF!</v>
      </c>
      <c r="BY281" t="e">
        <f>AND('Post Show '!#REF!,"AAAAAF3z2kw=")</f>
        <v>#REF!</v>
      </c>
      <c r="BZ281" t="e">
        <f>AND('Post Show '!#REF!,"AAAAAF3z2k0=")</f>
        <v>#REF!</v>
      </c>
      <c r="CA281" t="e">
        <f>AND('Post Show '!#REF!,"AAAAAF3z2k4=")</f>
        <v>#REF!</v>
      </c>
      <c r="CB281" t="e">
        <f>AND('Post Show '!#REF!,"AAAAAF3z2k8=")</f>
        <v>#REF!</v>
      </c>
      <c r="CC281" t="e">
        <f>IF('Post Show '!#REF!,"AAAAAF3z2lA=",0)</f>
        <v>#REF!</v>
      </c>
      <c r="CD281" t="e">
        <f>AND('Post Show '!#REF!,"AAAAAF3z2lE=")</f>
        <v>#REF!</v>
      </c>
      <c r="CE281" t="e">
        <f>AND('Post Show '!#REF!,"AAAAAF3z2lI=")</f>
        <v>#REF!</v>
      </c>
      <c r="CF281" t="e">
        <f>AND('Post Show '!#REF!,"AAAAAF3z2lM=")</f>
        <v>#REF!</v>
      </c>
      <c r="CG281" t="e">
        <f>AND('Post Show '!#REF!,"AAAAAF3z2lQ=")</f>
        <v>#REF!</v>
      </c>
      <c r="CH281" t="e">
        <f>AND('Post Show '!#REF!,"AAAAAF3z2lU=")</f>
        <v>#REF!</v>
      </c>
      <c r="CI281" t="e">
        <f>AND('Post Show '!#REF!,"AAAAAF3z2lY=")</f>
        <v>#REF!</v>
      </c>
      <c r="CJ281" t="e">
        <f>AND('Post Show '!#REF!,"AAAAAF3z2lc=")</f>
        <v>#REF!</v>
      </c>
      <c r="CK281" t="e">
        <f>AND('Post Show '!#REF!,"AAAAAF3z2lg=")</f>
        <v>#REF!</v>
      </c>
      <c r="CL281" t="e">
        <f>AND('Post Show '!#REF!,"AAAAAF3z2lk=")</f>
        <v>#REF!</v>
      </c>
      <c r="CM281" t="e">
        <f>AND('Post Show '!#REF!,"AAAAAF3z2lo=")</f>
        <v>#REF!</v>
      </c>
      <c r="CN281" t="e">
        <f>AND('Post Show '!#REF!,"AAAAAF3z2ls=")</f>
        <v>#REF!</v>
      </c>
      <c r="CO281" t="e">
        <f>AND('Post Show '!#REF!,"AAAAAF3z2lw=")</f>
        <v>#REF!</v>
      </c>
      <c r="CP281" t="e">
        <f>IF('Post Show '!#REF!,"AAAAAF3z2l0=",0)</f>
        <v>#REF!</v>
      </c>
      <c r="CQ281" t="e">
        <f>AND('Post Show '!#REF!,"AAAAAF3z2l4=")</f>
        <v>#REF!</v>
      </c>
      <c r="CR281" t="e">
        <f>AND('Post Show '!#REF!,"AAAAAF3z2l8=")</f>
        <v>#REF!</v>
      </c>
      <c r="CS281" t="e">
        <f>AND('Post Show '!#REF!,"AAAAAF3z2mA=")</f>
        <v>#REF!</v>
      </c>
      <c r="CT281" t="e">
        <f>AND('Post Show '!#REF!,"AAAAAF3z2mE=")</f>
        <v>#REF!</v>
      </c>
      <c r="CU281" t="e">
        <f>AND('Post Show '!#REF!,"AAAAAF3z2mI=")</f>
        <v>#REF!</v>
      </c>
      <c r="CV281" t="e">
        <f>AND('Post Show '!#REF!,"AAAAAF3z2mM=")</f>
        <v>#REF!</v>
      </c>
      <c r="CW281" t="e">
        <f>AND('Post Show '!#REF!,"AAAAAF3z2mQ=")</f>
        <v>#REF!</v>
      </c>
      <c r="CX281" t="e">
        <f>AND('Post Show '!#REF!,"AAAAAF3z2mU=")</f>
        <v>#REF!</v>
      </c>
      <c r="CY281" t="e">
        <f>AND('Post Show '!#REF!,"AAAAAF3z2mY=")</f>
        <v>#REF!</v>
      </c>
      <c r="CZ281" t="e">
        <f>AND('Post Show '!#REF!,"AAAAAF3z2mc=")</f>
        <v>#REF!</v>
      </c>
      <c r="DA281" t="e">
        <f>AND('Post Show '!#REF!,"AAAAAF3z2mg=")</f>
        <v>#REF!</v>
      </c>
      <c r="DB281" t="e">
        <f>AND('Post Show '!#REF!,"AAAAAF3z2mk=")</f>
        <v>#REF!</v>
      </c>
      <c r="DC281" t="e">
        <f>IF('Post Show '!#REF!,"AAAAAF3z2mo=",0)</f>
        <v>#REF!</v>
      </c>
      <c r="DD281" t="e">
        <f>AND('Post Show '!#REF!,"AAAAAF3z2ms=")</f>
        <v>#REF!</v>
      </c>
      <c r="DE281" t="e">
        <f>AND('Post Show '!#REF!,"AAAAAF3z2mw=")</f>
        <v>#REF!</v>
      </c>
      <c r="DF281" t="e">
        <f>AND('Post Show '!#REF!,"AAAAAF3z2m0=")</f>
        <v>#REF!</v>
      </c>
      <c r="DG281" t="e">
        <f>AND('Post Show '!#REF!,"AAAAAF3z2m4=")</f>
        <v>#REF!</v>
      </c>
      <c r="DH281" t="e">
        <f>AND('Post Show '!#REF!,"AAAAAF3z2m8=")</f>
        <v>#REF!</v>
      </c>
      <c r="DI281" t="e">
        <f>AND('Post Show '!#REF!,"AAAAAF3z2nA=")</f>
        <v>#REF!</v>
      </c>
      <c r="DJ281" t="e">
        <f>AND('Post Show '!#REF!,"AAAAAF3z2nE=")</f>
        <v>#REF!</v>
      </c>
      <c r="DK281" t="e">
        <f>AND('Post Show '!#REF!,"AAAAAF3z2nI=")</f>
        <v>#REF!</v>
      </c>
      <c r="DL281" t="e">
        <f>AND('Post Show '!#REF!,"AAAAAF3z2nM=")</f>
        <v>#REF!</v>
      </c>
      <c r="DM281" t="e">
        <f>AND('Post Show '!#REF!,"AAAAAF3z2nQ=")</f>
        <v>#REF!</v>
      </c>
      <c r="DN281" t="e">
        <f>AND('Post Show '!#REF!,"AAAAAF3z2nU=")</f>
        <v>#REF!</v>
      </c>
      <c r="DO281" t="e">
        <f>AND('Post Show '!#REF!,"AAAAAF3z2nY=")</f>
        <v>#REF!</v>
      </c>
      <c r="DP281" t="e">
        <f>IF('Post Show '!#REF!,"AAAAAF3z2nc=",0)</f>
        <v>#REF!</v>
      </c>
      <c r="DQ281" t="e">
        <f>AND('Post Show '!#REF!,"AAAAAF3z2ng=")</f>
        <v>#REF!</v>
      </c>
      <c r="DR281" t="e">
        <f>AND('Post Show '!#REF!,"AAAAAF3z2nk=")</f>
        <v>#REF!</v>
      </c>
      <c r="DS281" t="e">
        <f>AND('Post Show '!#REF!,"AAAAAF3z2no=")</f>
        <v>#REF!</v>
      </c>
      <c r="DT281" t="e">
        <f>AND('Post Show '!#REF!,"AAAAAF3z2ns=")</f>
        <v>#REF!</v>
      </c>
      <c r="DU281" t="e">
        <f>AND('Post Show '!#REF!,"AAAAAF3z2nw=")</f>
        <v>#REF!</v>
      </c>
      <c r="DV281" t="e">
        <f>AND('Post Show '!#REF!,"AAAAAF3z2n0=")</f>
        <v>#REF!</v>
      </c>
      <c r="DW281" t="e">
        <f>AND('Post Show '!#REF!,"AAAAAF3z2n4=")</f>
        <v>#REF!</v>
      </c>
      <c r="DX281" t="e">
        <f>AND('Post Show '!#REF!,"AAAAAF3z2n8=")</f>
        <v>#REF!</v>
      </c>
      <c r="DY281" t="e">
        <f>AND('Post Show '!#REF!,"AAAAAF3z2oA=")</f>
        <v>#REF!</v>
      </c>
      <c r="DZ281" t="e">
        <f>AND('Post Show '!#REF!,"AAAAAF3z2oE=")</f>
        <v>#REF!</v>
      </c>
      <c r="EA281" t="e">
        <f>AND('Post Show '!#REF!,"AAAAAF3z2oI=")</f>
        <v>#REF!</v>
      </c>
      <c r="EB281" t="e">
        <f>AND('Post Show '!#REF!,"AAAAAF3z2oM=")</f>
        <v>#REF!</v>
      </c>
      <c r="EC281" t="e">
        <f>IF('Post Show '!#REF!,"AAAAAF3z2oQ=",0)</f>
        <v>#REF!</v>
      </c>
      <c r="ED281" t="e">
        <f>AND('Post Show '!#REF!,"AAAAAF3z2oU=")</f>
        <v>#REF!</v>
      </c>
      <c r="EE281" t="e">
        <f>AND('Post Show '!#REF!,"AAAAAF3z2oY=")</f>
        <v>#REF!</v>
      </c>
      <c r="EF281" t="e">
        <f>AND('Post Show '!#REF!,"AAAAAF3z2oc=")</f>
        <v>#REF!</v>
      </c>
      <c r="EG281" t="e">
        <f>AND('Post Show '!#REF!,"AAAAAF3z2og=")</f>
        <v>#REF!</v>
      </c>
      <c r="EH281" t="e">
        <f>AND('Post Show '!#REF!,"AAAAAF3z2ok=")</f>
        <v>#REF!</v>
      </c>
      <c r="EI281" t="e">
        <f>AND('Post Show '!#REF!,"AAAAAF3z2oo=")</f>
        <v>#REF!</v>
      </c>
      <c r="EJ281" t="e">
        <f>AND('Post Show '!#REF!,"AAAAAF3z2os=")</f>
        <v>#REF!</v>
      </c>
      <c r="EK281" t="e">
        <f>AND('Post Show '!#REF!,"AAAAAF3z2ow=")</f>
        <v>#REF!</v>
      </c>
      <c r="EL281" t="e">
        <f>AND('Post Show '!#REF!,"AAAAAF3z2o0=")</f>
        <v>#REF!</v>
      </c>
      <c r="EM281" t="e">
        <f>AND('Post Show '!#REF!,"AAAAAF3z2o4=")</f>
        <v>#REF!</v>
      </c>
      <c r="EN281" t="e">
        <f>AND('Post Show '!#REF!,"AAAAAF3z2o8=")</f>
        <v>#REF!</v>
      </c>
      <c r="EO281" t="e">
        <f>AND('Post Show '!#REF!,"AAAAAF3z2pA=")</f>
        <v>#REF!</v>
      </c>
      <c r="EP281" t="e">
        <f>IF('Post Show '!#REF!,"AAAAAF3z2pE=",0)</f>
        <v>#REF!</v>
      </c>
      <c r="EQ281" t="e">
        <f>AND('Post Show '!#REF!,"AAAAAF3z2pI=")</f>
        <v>#REF!</v>
      </c>
      <c r="ER281" t="e">
        <f>AND('Post Show '!#REF!,"AAAAAF3z2pM=")</f>
        <v>#REF!</v>
      </c>
      <c r="ES281" t="e">
        <f>AND('Post Show '!#REF!,"AAAAAF3z2pQ=")</f>
        <v>#REF!</v>
      </c>
      <c r="ET281" t="e">
        <f>AND('Post Show '!#REF!,"AAAAAF3z2pU=")</f>
        <v>#REF!</v>
      </c>
      <c r="EU281" t="e">
        <f>AND('Post Show '!#REF!,"AAAAAF3z2pY=")</f>
        <v>#REF!</v>
      </c>
      <c r="EV281" t="e">
        <f>AND('Post Show '!#REF!,"AAAAAF3z2pc=")</f>
        <v>#REF!</v>
      </c>
      <c r="EW281" t="e">
        <f>AND('Post Show '!#REF!,"AAAAAF3z2pg=")</f>
        <v>#REF!</v>
      </c>
      <c r="EX281" t="e">
        <f>AND('Post Show '!#REF!,"AAAAAF3z2pk=")</f>
        <v>#REF!</v>
      </c>
      <c r="EY281" t="e">
        <f>AND('Post Show '!#REF!,"AAAAAF3z2po=")</f>
        <v>#REF!</v>
      </c>
      <c r="EZ281" t="e">
        <f>AND('Post Show '!#REF!,"AAAAAF3z2ps=")</f>
        <v>#REF!</v>
      </c>
      <c r="FA281" t="e">
        <f>AND('Post Show '!#REF!,"AAAAAF3z2pw=")</f>
        <v>#REF!</v>
      </c>
      <c r="FB281" t="e">
        <f>AND('Post Show '!#REF!,"AAAAAF3z2p0=")</f>
        <v>#REF!</v>
      </c>
      <c r="FC281" t="e">
        <f>IF('Post Show '!#REF!,"AAAAAF3z2p4=",0)</f>
        <v>#REF!</v>
      </c>
      <c r="FD281" t="e">
        <f>AND('Post Show '!#REF!,"AAAAAF3z2p8=")</f>
        <v>#REF!</v>
      </c>
      <c r="FE281" t="e">
        <f>AND('Post Show '!#REF!,"AAAAAF3z2qA=")</f>
        <v>#REF!</v>
      </c>
      <c r="FF281" t="e">
        <f>AND('Post Show '!#REF!,"AAAAAF3z2qE=")</f>
        <v>#REF!</v>
      </c>
      <c r="FG281" t="e">
        <f>AND('Post Show '!#REF!,"AAAAAF3z2qI=")</f>
        <v>#REF!</v>
      </c>
      <c r="FH281" t="e">
        <f>AND('Post Show '!#REF!,"AAAAAF3z2qM=")</f>
        <v>#REF!</v>
      </c>
      <c r="FI281" t="e">
        <f>AND('Post Show '!#REF!,"AAAAAF3z2qQ=")</f>
        <v>#REF!</v>
      </c>
      <c r="FJ281" t="e">
        <f>AND('Post Show '!#REF!,"AAAAAF3z2qU=")</f>
        <v>#REF!</v>
      </c>
      <c r="FK281" t="e">
        <f>AND('Post Show '!#REF!,"AAAAAF3z2qY=")</f>
        <v>#REF!</v>
      </c>
      <c r="FL281" t="e">
        <f>AND('Post Show '!#REF!,"AAAAAF3z2qc=")</f>
        <v>#REF!</v>
      </c>
      <c r="FM281" t="e">
        <f>AND('Post Show '!#REF!,"AAAAAF3z2qg=")</f>
        <v>#REF!</v>
      </c>
      <c r="FN281" t="e">
        <f>AND('Post Show '!#REF!,"AAAAAF3z2qk=")</f>
        <v>#REF!</v>
      </c>
      <c r="FO281" t="e">
        <f>AND('Post Show '!#REF!,"AAAAAF3z2qo=")</f>
        <v>#REF!</v>
      </c>
      <c r="FP281" t="e">
        <f>IF('Post Show '!#REF!,"AAAAAF3z2qs=",0)</f>
        <v>#REF!</v>
      </c>
      <c r="FQ281" t="e">
        <f>AND('Post Show '!#REF!,"AAAAAF3z2qw=")</f>
        <v>#REF!</v>
      </c>
      <c r="FR281" t="e">
        <f>AND('Post Show '!#REF!,"AAAAAF3z2q0=")</f>
        <v>#REF!</v>
      </c>
      <c r="FS281" t="e">
        <f>AND('Post Show '!#REF!,"AAAAAF3z2q4=")</f>
        <v>#REF!</v>
      </c>
      <c r="FT281" t="e">
        <f>AND('Post Show '!#REF!,"AAAAAF3z2q8=")</f>
        <v>#REF!</v>
      </c>
      <c r="FU281" t="e">
        <f>AND('Post Show '!#REF!,"AAAAAF3z2rA=")</f>
        <v>#REF!</v>
      </c>
      <c r="FV281" t="e">
        <f>AND('Post Show '!#REF!,"AAAAAF3z2rE=")</f>
        <v>#REF!</v>
      </c>
      <c r="FW281" t="e">
        <f>AND('Post Show '!#REF!,"AAAAAF3z2rI=")</f>
        <v>#REF!</v>
      </c>
      <c r="FX281" t="e">
        <f>AND('Post Show '!#REF!,"AAAAAF3z2rM=")</f>
        <v>#REF!</v>
      </c>
      <c r="FY281" t="e">
        <f>AND('Post Show '!#REF!,"AAAAAF3z2rQ=")</f>
        <v>#REF!</v>
      </c>
      <c r="FZ281" t="e">
        <f>AND('Post Show '!#REF!,"AAAAAF3z2rU=")</f>
        <v>#REF!</v>
      </c>
      <c r="GA281" t="e">
        <f>AND('Post Show '!#REF!,"AAAAAF3z2rY=")</f>
        <v>#REF!</v>
      </c>
      <c r="GB281" t="e">
        <f>AND('Post Show '!#REF!,"AAAAAF3z2rc=")</f>
        <v>#REF!</v>
      </c>
      <c r="GC281" t="e">
        <f>IF('Post Show '!#REF!,"AAAAAF3z2rg=",0)</f>
        <v>#REF!</v>
      </c>
      <c r="GD281" t="e">
        <f>AND('Post Show '!#REF!,"AAAAAF3z2rk=")</f>
        <v>#REF!</v>
      </c>
      <c r="GE281" t="e">
        <f>AND('Post Show '!#REF!,"AAAAAF3z2ro=")</f>
        <v>#REF!</v>
      </c>
      <c r="GF281" t="e">
        <f>AND('Post Show '!#REF!,"AAAAAF3z2rs=")</f>
        <v>#REF!</v>
      </c>
      <c r="GG281" t="e">
        <f>AND('Post Show '!#REF!,"AAAAAF3z2rw=")</f>
        <v>#REF!</v>
      </c>
      <c r="GH281" t="e">
        <f>AND('Post Show '!#REF!,"AAAAAF3z2r0=")</f>
        <v>#REF!</v>
      </c>
      <c r="GI281" t="e">
        <f>AND('Post Show '!#REF!,"AAAAAF3z2r4=")</f>
        <v>#REF!</v>
      </c>
      <c r="GJ281" t="e">
        <f>AND('Post Show '!#REF!,"AAAAAF3z2r8=")</f>
        <v>#REF!</v>
      </c>
      <c r="GK281" t="e">
        <f>AND('Post Show '!#REF!,"AAAAAF3z2sA=")</f>
        <v>#REF!</v>
      </c>
      <c r="GL281" t="e">
        <f>AND('Post Show '!#REF!,"AAAAAF3z2sE=")</f>
        <v>#REF!</v>
      </c>
      <c r="GM281" t="e">
        <f>AND('Post Show '!#REF!,"AAAAAF3z2sI=")</f>
        <v>#REF!</v>
      </c>
      <c r="GN281" t="e">
        <f>AND('Post Show '!#REF!,"AAAAAF3z2sM=")</f>
        <v>#REF!</v>
      </c>
      <c r="GO281" t="e">
        <f>AND('Post Show '!#REF!,"AAAAAF3z2sQ=")</f>
        <v>#REF!</v>
      </c>
      <c r="GP281" t="e">
        <f>IF('Post Show '!#REF!,"AAAAAF3z2sU=",0)</f>
        <v>#REF!</v>
      </c>
      <c r="GQ281" t="e">
        <f>AND('Post Show '!#REF!,"AAAAAF3z2sY=")</f>
        <v>#REF!</v>
      </c>
      <c r="GR281" t="e">
        <f>AND('Post Show '!#REF!,"AAAAAF3z2sc=")</f>
        <v>#REF!</v>
      </c>
      <c r="GS281" t="e">
        <f>AND('Post Show '!#REF!,"AAAAAF3z2sg=")</f>
        <v>#REF!</v>
      </c>
      <c r="GT281" t="e">
        <f>AND('Post Show '!#REF!,"AAAAAF3z2sk=")</f>
        <v>#REF!</v>
      </c>
      <c r="GU281" t="e">
        <f>AND('Post Show '!#REF!,"AAAAAF3z2so=")</f>
        <v>#REF!</v>
      </c>
      <c r="GV281" t="e">
        <f>AND('Post Show '!#REF!,"AAAAAF3z2ss=")</f>
        <v>#REF!</v>
      </c>
      <c r="GW281" t="e">
        <f>AND('Post Show '!#REF!,"AAAAAF3z2sw=")</f>
        <v>#REF!</v>
      </c>
      <c r="GX281" t="e">
        <f>AND('Post Show '!#REF!,"AAAAAF3z2s0=")</f>
        <v>#REF!</v>
      </c>
      <c r="GY281" t="e">
        <f>AND('Post Show '!#REF!,"AAAAAF3z2s4=")</f>
        <v>#REF!</v>
      </c>
      <c r="GZ281" t="e">
        <f>AND('Post Show '!#REF!,"AAAAAF3z2s8=")</f>
        <v>#REF!</v>
      </c>
      <c r="HA281" t="e">
        <f>AND('Post Show '!#REF!,"AAAAAF3z2tA=")</f>
        <v>#REF!</v>
      </c>
      <c r="HB281" t="e">
        <f>AND('Post Show '!#REF!,"AAAAAF3z2tE=")</f>
        <v>#REF!</v>
      </c>
      <c r="HC281" t="e">
        <f>IF('Post Show '!#REF!,"AAAAAF3z2tI=",0)</f>
        <v>#REF!</v>
      </c>
      <c r="HD281" t="e">
        <f>AND('Post Show '!#REF!,"AAAAAF3z2tM=")</f>
        <v>#REF!</v>
      </c>
      <c r="HE281" t="e">
        <f>AND('Post Show '!#REF!,"AAAAAF3z2tQ=")</f>
        <v>#REF!</v>
      </c>
      <c r="HF281" t="e">
        <f>AND('Post Show '!#REF!,"AAAAAF3z2tU=")</f>
        <v>#REF!</v>
      </c>
      <c r="HG281" t="e">
        <f>AND('Post Show '!#REF!,"AAAAAF3z2tY=")</f>
        <v>#REF!</v>
      </c>
      <c r="HH281" t="e">
        <f>AND('Post Show '!#REF!,"AAAAAF3z2tc=")</f>
        <v>#REF!</v>
      </c>
      <c r="HI281" t="e">
        <f>AND('Post Show '!#REF!,"AAAAAF3z2tg=")</f>
        <v>#REF!</v>
      </c>
      <c r="HJ281" t="e">
        <f>AND('Post Show '!#REF!,"AAAAAF3z2tk=")</f>
        <v>#REF!</v>
      </c>
      <c r="HK281" t="e">
        <f>AND('Post Show '!#REF!,"AAAAAF3z2to=")</f>
        <v>#REF!</v>
      </c>
      <c r="HL281" t="e">
        <f>AND('Post Show '!#REF!,"AAAAAF3z2ts=")</f>
        <v>#REF!</v>
      </c>
      <c r="HM281" t="e">
        <f>AND('Post Show '!#REF!,"AAAAAF3z2tw=")</f>
        <v>#REF!</v>
      </c>
      <c r="HN281" t="e">
        <f>AND('Post Show '!#REF!,"AAAAAF3z2t0=")</f>
        <v>#REF!</v>
      </c>
      <c r="HO281" t="e">
        <f>AND('Post Show '!#REF!,"AAAAAF3z2t4=")</f>
        <v>#REF!</v>
      </c>
      <c r="HP281" t="e">
        <f>IF('Post Show '!#REF!,"AAAAAF3z2t8=",0)</f>
        <v>#REF!</v>
      </c>
      <c r="HQ281" t="e">
        <f>AND('Post Show '!#REF!,"AAAAAF3z2uA=")</f>
        <v>#REF!</v>
      </c>
      <c r="HR281" t="e">
        <f>AND('Post Show '!#REF!,"AAAAAF3z2uE=")</f>
        <v>#REF!</v>
      </c>
      <c r="HS281" t="e">
        <f>AND('Post Show '!#REF!,"AAAAAF3z2uI=")</f>
        <v>#REF!</v>
      </c>
      <c r="HT281" t="e">
        <f>AND('Post Show '!#REF!,"AAAAAF3z2uM=")</f>
        <v>#REF!</v>
      </c>
      <c r="HU281" t="e">
        <f>AND('Post Show '!#REF!,"AAAAAF3z2uQ=")</f>
        <v>#REF!</v>
      </c>
      <c r="HV281" t="e">
        <f>AND('Post Show '!#REF!,"AAAAAF3z2uU=")</f>
        <v>#REF!</v>
      </c>
      <c r="HW281" t="e">
        <f>AND('Post Show '!#REF!,"AAAAAF3z2uY=")</f>
        <v>#REF!</v>
      </c>
      <c r="HX281" t="e">
        <f>AND('Post Show '!#REF!,"AAAAAF3z2uc=")</f>
        <v>#REF!</v>
      </c>
      <c r="HY281" t="e">
        <f>AND('Post Show '!#REF!,"AAAAAF3z2ug=")</f>
        <v>#REF!</v>
      </c>
      <c r="HZ281" t="e">
        <f>AND('Post Show '!#REF!,"AAAAAF3z2uk=")</f>
        <v>#REF!</v>
      </c>
      <c r="IA281" t="e">
        <f>AND('Post Show '!#REF!,"AAAAAF3z2uo=")</f>
        <v>#REF!</v>
      </c>
      <c r="IB281" t="e">
        <f>AND('Post Show '!#REF!,"AAAAAF3z2us=")</f>
        <v>#REF!</v>
      </c>
      <c r="IC281" t="e">
        <f>IF('Post Show '!#REF!,"AAAAAF3z2uw=",0)</f>
        <v>#REF!</v>
      </c>
      <c r="ID281" t="e">
        <f>AND('Post Show '!#REF!,"AAAAAF3z2u0=")</f>
        <v>#REF!</v>
      </c>
      <c r="IE281" t="e">
        <f>AND('Post Show '!#REF!,"AAAAAF3z2u4=")</f>
        <v>#REF!</v>
      </c>
      <c r="IF281" t="e">
        <f>AND('Post Show '!#REF!,"AAAAAF3z2u8=")</f>
        <v>#REF!</v>
      </c>
      <c r="IG281" t="e">
        <f>AND('Post Show '!#REF!,"AAAAAF3z2vA=")</f>
        <v>#REF!</v>
      </c>
      <c r="IH281" t="e">
        <f>AND('Post Show '!#REF!,"AAAAAF3z2vE=")</f>
        <v>#REF!</v>
      </c>
      <c r="II281" t="e">
        <f>AND('Post Show '!#REF!,"AAAAAF3z2vI=")</f>
        <v>#REF!</v>
      </c>
      <c r="IJ281" t="e">
        <f>AND('Post Show '!#REF!,"AAAAAF3z2vM=")</f>
        <v>#REF!</v>
      </c>
      <c r="IK281" t="e">
        <f>AND('Post Show '!#REF!,"AAAAAF3z2vQ=")</f>
        <v>#REF!</v>
      </c>
      <c r="IL281" t="e">
        <f>AND('Post Show '!#REF!,"AAAAAF3z2vU=")</f>
        <v>#REF!</v>
      </c>
      <c r="IM281" t="e">
        <f>AND('Post Show '!#REF!,"AAAAAF3z2vY=")</f>
        <v>#REF!</v>
      </c>
      <c r="IN281" t="e">
        <f>AND('Post Show '!#REF!,"AAAAAF3z2vc=")</f>
        <v>#REF!</v>
      </c>
      <c r="IO281" t="e">
        <f>AND('Post Show '!#REF!,"AAAAAF3z2vg=")</f>
        <v>#REF!</v>
      </c>
      <c r="IP281" t="e">
        <f>IF('Post Show '!#REF!,"AAAAAF3z2vk=",0)</f>
        <v>#REF!</v>
      </c>
      <c r="IQ281" t="e">
        <f>AND('Post Show '!#REF!,"AAAAAF3z2vo=")</f>
        <v>#REF!</v>
      </c>
      <c r="IR281" t="e">
        <f>AND('Post Show '!#REF!,"AAAAAF3z2vs=")</f>
        <v>#REF!</v>
      </c>
      <c r="IS281" t="e">
        <f>AND('Post Show '!#REF!,"AAAAAF3z2vw=")</f>
        <v>#REF!</v>
      </c>
      <c r="IT281" t="e">
        <f>AND('Post Show '!#REF!,"AAAAAF3z2v0=")</f>
        <v>#REF!</v>
      </c>
      <c r="IU281" t="e">
        <f>AND('Post Show '!#REF!,"AAAAAF3z2v4=")</f>
        <v>#REF!</v>
      </c>
      <c r="IV281" t="e">
        <f>AND('Post Show '!#REF!,"AAAAAF3z2v8=")</f>
        <v>#REF!</v>
      </c>
    </row>
    <row r="282" spans="1:256" x14ac:dyDescent="0.2">
      <c r="A282" t="e">
        <f>AND('Post Show '!#REF!,"AAAAAH3v7QA=")</f>
        <v>#REF!</v>
      </c>
      <c r="B282" t="e">
        <f>AND('Post Show '!#REF!,"AAAAAH3v7QE=")</f>
        <v>#REF!</v>
      </c>
      <c r="C282" t="e">
        <f>AND('Post Show '!#REF!,"AAAAAH3v7QI=")</f>
        <v>#REF!</v>
      </c>
      <c r="D282" t="e">
        <f>AND('Post Show '!#REF!,"AAAAAH3v7QM=")</f>
        <v>#REF!</v>
      </c>
      <c r="E282" t="e">
        <f>AND('Post Show '!#REF!,"AAAAAH3v7QQ=")</f>
        <v>#REF!</v>
      </c>
      <c r="F282" t="e">
        <f>AND('Post Show '!#REF!,"AAAAAH3v7QU=")</f>
        <v>#REF!</v>
      </c>
      <c r="G282" t="e">
        <f>IF('Post Show '!#REF!,"AAAAAH3v7QY=",0)</f>
        <v>#REF!</v>
      </c>
      <c r="H282" t="e">
        <f>AND('Post Show '!#REF!,"AAAAAH3v7Qc=")</f>
        <v>#REF!</v>
      </c>
      <c r="I282" t="e">
        <f>AND('Post Show '!#REF!,"AAAAAH3v7Qg=")</f>
        <v>#REF!</v>
      </c>
      <c r="J282" t="e">
        <f>AND('Post Show '!#REF!,"AAAAAH3v7Qk=")</f>
        <v>#REF!</v>
      </c>
      <c r="K282" t="e">
        <f>AND('Post Show '!#REF!,"AAAAAH3v7Qo=")</f>
        <v>#REF!</v>
      </c>
      <c r="L282" t="e">
        <f>AND('Post Show '!#REF!,"AAAAAH3v7Qs=")</f>
        <v>#REF!</v>
      </c>
      <c r="M282" t="e">
        <f>AND('Post Show '!#REF!,"AAAAAH3v7Qw=")</f>
        <v>#REF!</v>
      </c>
      <c r="N282" t="e">
        <f>AND('Post Show '!#REF!,"AAAAAH3v7Q0=")</f>
        <v>#REF!</v>
      </c>
      <c r="O282" t="e">
        <f>AND('Post Show '!#REF!,"AAAAAH3v7Q4=")</f>
        <v>#REF!</v>
      </c>
      <c r="P282" t="e">
        <f>AND('Post Show '!#REF!,"AAAAAH3v7Q8=")</f>
        <v>#REF!</v>
      </c>
      <c r="Q282" t="e">
        <f>AND('Post Show '!#REF!,"AAAAAH3v7RA=")</f>
        <v>#REF!</v>
      </c>
      <c r="R282" t="e">
        <f>AND('Post Show '!#REF!,"AAAAAH3v7RE=")</f>
        <v>#REF!</v>
      </c>
      <c r="S282" t="e">
        <f>AND('Post Show '!#REF!,"AAAAAH3v7RI=")</f>
        <v>#REF!</v>
      </c>
      <c r="T282" t="e">
        <f>IF('Post Show '!#REF!,"AAAAAH3v7RM=",0)</f>
        <v>#REF!</v>
      </c>
      <c r="U282" t="e">
        <f>AND('Post Show '!#REF!,"AAAAAH3v7RQ=")</f>
        <v>#REF!</v>
      </c>
      <c r="V282" t="e">
        <f>AND('Post Show '!#REF!,"AAAAAH3v7RU=")</f>
        <v>#REF!</v>
      </c>
      <c r="W282" t="e">
        <f>AND('Post Show '!#REF!,"AAAAAH3v7RY=")</f>
        <v>#REF!</v>
      </c>
      <c r="X282" t="e">
        <f>AND('Post Show '!#REF!,"AAAAAH3v7Rc=")</f>
        <v>#REF!</v>
      </c>
      <c r="Y282" t="e">
        <f>AND('Post Show '!#REF!,"AAAAAH3v7Rg=")</f>
        <v>#REF!</v>
      </c>
      <c r="Z282" t="e">
        <f>AND('Post Show '!#REF!,"AAAAAH3v7Rk=")</f>
        <v>#REF!</v>
      </c>
      <c r="AA282" t="e">
        <f>AND('Post Show '!#REF!,"AAAAAH3v7Ro=")</f>
        <v>#REF!</v>
      </c>
      <c r="AB282" t="e">
        <f>AND('Post Show '!#REF!,"AAAAAH3v7Rs=")</f>
        <v>#REF!</v>
      </c>
      <c r="AC282" t="e">
        <f>AND('Post Show '!#REF!,"AAAAAH3v7Rw=")</f>
        <v>#REF!</v>
      </c>
      <c r="AD282" t="e">
        <f>AND('Post Show '!#REF!,"AAAAAH3v7R0=")</f>
        <v>#REF!</v>
      </c>
      <c r="AE282" t="e">
        <f>AND('Post Show '!#REF!,"AAAAAH3v7R4=")</f>
        <v>#REF!</v>
      </c>
      <c r="AF282" t="e">
        <f>AND('Post Show '!#REF!,"AAAAAH3v7R8=")</f>
        <v>#REF!</v>
      </c>
      <c r="AG282" t="e">
        <f>IF('Post Show '!#REF!,"AAAAAH3v7SA=",0)</f>
        <v>#REF!</v>
      </c>
      <c r="AH282" t="e">
        <f>AND('Post Show '!#REF!,"AAAAAH3v7SE=")</f>
        <v>#REF!</v>
      </c>
      <c r="AI282" t="e">
        <f>AND('Post Show '!#REF!,"AAAAAH3v7SI=")</f>
        <v>#REF!</v>
      </c>
      <c r="AJ282" t="e">
        <f>AND('Post Show '!#REF!,"AAAAAH3v7SM=")</f>
        <v>#REF!</v>
      </c>
      <c r="AK282" t="e">
        <f>AND('Post Show '!#REF!,"AAAAAH3v7SQ=")</f>
        <v>#REF!</v>
      </c>
      <c r="AL282" t="e">
        <f>AND('Post Show '!#REF!,"AAAAAH3v7SU=")</f>
        <v>#REF!</v>
      </c>
      <c r="AM282" t="e">
        <f>AND('Post Show '!#REF!,"AAAAAH3v7SY=")</f>
        <v>#REF!</v>
      </c>
      <c r="AN282" t="e">
        <f>AND('Post Show '!#REF!,"AAAAAH3v7Sc=")</f>
        <v>#REF!</v>
      </c>
      <c r="AO282" t="e">
        <f>AND('Post Show '!#REF!,"AAAAAH3v7Sg=")</f>
        <v>#REF!</v>
      </c>
      <c r="AP282" t="e">
        <f>AND('Post Show '!#REF!,"AAAAAH3v7Sk=")</f>
        <v>#REF!</v>
      </c>
      <c r="AQ282" t="e">
        <f>AND('Post Show '!#REF!,"AAAAAH3v7So=")</f>
        <v>#REF!</v>
      </c>
      <c r="AR282" t="e">
        <f>AND('Post Show '!#REF!,"AAAAAH3v7Ss=")</f>
        <v>#REF!</v>
      </c>
      <c r="AS282" t="e">
        <f>AND('Post Show '!#REF!,"AAAAAH3v7Sw=")</f>
        <v>#REF!</v>
      </c>
      <c r="AT282" t="e">
        <f>IF('Post Show '!#REF!,"AAAAAH3v7S0=",0)</f>
        <v>#REF!</v>
      </c>
      <c r="AU282" t="e">
        <f>AND('Post Show '!#REF!,"AAAAAH3v7S4=")</f>
        <v>#REF!</v>
      </c>
      <c r="AV282" t="e">
        <f>AND('Post Show '!#REF!,"AAAAAH3v7S8=")</f>
        <v>#REF!</v>
      </c>
      <c r="AW282" t="e">
        <f>AND('Post Show '!#REF!,"AAAAAH3v7TA=")</f>
        <v>#REF!</v>
      </c>
      <c r="AX282" t="e">
        <f>AND('Post Show '!#REF!,"AAAAAH3v7TE=")</f>
        <v>#REF!</v>
      </c>
      <c r="AY282" t="e">
        <f>AND('Post Show '!#REF!,"AAAAAH3v7TI=")</f>
        <v>#REF!</v>
      </c>
      <c r="AZ282" t="e">
        <f>AND('Post Show '!#REF!,"AAAAAH3v7TM=")</f>
        <v>#REF!</v>
      </c>
      <c r="BA282" t="e">
        <f>AND('Post Show '!#REF!,"AAAAAH3v7TQ=")</f>
        <v>#REF!</v>
      </c>
      <c r="BB282" t="e">
        <f>AND('Post Show '!#REF!,"AAAAAH3v7TU=")</f>
        <v>#REF!</v>
      </c>
      <c r="BC282" t="e">
        <f>AND('Post Show '!#REF!,"AAAAAH3v7TY=")</f>
        <v>#REF!</v>
      </c>
      <c r="BD282" t="e">
        <f>AND('Post Show '!#REF!,"AAAAAH3v7Tc=")</f>
        <v>#REF!</v>
      </c>
      <c r="BE282" t="e">
        <f>AND('Post Show '!#REF!,"AAAAAH3v7Tg=")</f>
        <v>#REF!</v>
      </c>
      <c r="BF282" t="e">
        <f>AND('Post Show '!#REF!,"AAAAAH3v7Tk=")</f>
        <v>#REF!</v>
      </c>
      <c r="BG282" t="e">
        <f>IF('Post Show '!#REF!,"AAAAAH3v7To=",0)</f>
        <v>#REF!</v>
      </c>
      <c r="BH282" t="e">
        <f>AND('Post Show '!#REF!,"AAAAAH3v7Ts=")</f>
        <v>#REF!</v>
      </c>
      <c r="BI282" t="e">
        <f>AND('Post Show '!#REF!,"AAAAAH3v7Tw=")</f>
        <v>#REF!</v>
      </c>
      <c r="BJ282" t="e">
        <f>AND('Post Show '!#REF!,"AAAAAH3v7T0=")</f>
        <v>#REF!</v>
      </c>
      <c r="BK282" t="e">
        <f>AND('Post Show '!#REF!,"AAAAAH3v7T4=")</f>
        <v>#REF!</v>
      </c>
      <c r="BL282" t="e">
        <f>AND('Post Show '!#REF!,"AAAAAH3v7T8=")</f>
        <v>#REF!</v>
      </c>
      <c r="BM282" t="e">
        <f>AND('Post Show '!#REF!,"AAAAAH3v7UA=")</f>
        <v>#REF!</v>
      </c>
      <c r="BN282" t="e">
        <f>AND('Post Show '!#REF!,"AAAAAH3v7UE=")</f>
        <v>#REF!</v>
      </c>
      <c r="BO282" t="e">
        <f>AND('Post Show '!#REF!,"AAAAAH3v7UI=")</f>
        <v>#REF!</v>
      </c>
      <c r="BP282" t="e">
        <f>AND('Post Show '!#REF!,"AAAAAH3v7UM=")</f>
        <v>#REF!</v>
      </c>
      <c r="BQ282" t="e">
        <f>AND('Post Show '!#REF!,"AAAAAH3v7UQ=")</f>
        <v>#REF!</v>
      </c>
      <c r="BR282" t="e">
        <f>AND('Post Show '!#REF!,"AAAAAH3v7UU=")</f>
        <v>#REF!</v>
      </c>
      <c r="BS282" t="e">
        <f>AND('Post Show '!#REF!,"AAAAAH3v7UY=")</f>
        <v>#REF!</v>
      </c>
      <c r="BT282" t="e">
        <f>IF('Post Show '!#REF!,"AAAAAH3v7Uc=",0)</f>
        <v>#REF!</v>
      </c>
      <c r="BU282" t="e">
        <f>AND('Post Show '!#REF!,"AAAAAH3v7Ug=")</f>
        <v>#REF!</v>
      </c>
      <c r="BV282" t="e">
        <f>AND('Post Show '!#REF!,"AAAAAH3v7Uk=")</f>
        <v>#REF!</v>
      </c>
      <c r="BW282" t="e">
        <f>AND('Post Show '!#REF!,"AAAAAH3v7Uo=")</f>
        <v>#REF!</v>
      </c>
      <c r="BX282" t="e">
        <f>AND('Post Show '!#REF!,"AAAAAH3v7Us=")</f>
        <v>#REF!</v>
      </c>
      <c r="BY282" t="e">
        <f>AND('Post Show '!#REF!,"AAAAAH3v7Uw=")</f>
        <v>#REF!</v>
      </c>
      <c r="BZ282" t="e">
        <f>AND('Post Show '!#REF!,"AAAAAH3v7U0=")</f>
        <v>#REF!</v>
      </c>
      <c r="CA282" t="e">
        <f>AND('Post Show '!#REF!,"AAAAAH3v7U4=")</f>
        <v>#REF!</v>
      </c>
      <c r="CB282" t="e">
        <f>AND('Post Show '!#REF!,"AAAAAH3v7U8=")</f>
        <v>#REF!</v>
      </c>
      <c r="CC282" t="e">
        <f>AND('Post Show '!#REF!,"AAAAAH3v7VA=")</f>
        <v>#REF!</v>
      </c>
      <c r="CD282" t="e">
        <f>AND('Post Show '!#REF!,"AAAAAH3v7VE=")</f>
        <v>#REF!</v>
      </c>
      <c r="CE282" t="e">
        <f>AND('Post Show '!#REF!,"AAAAAH3v7VI=")</f>
        <v>#REF!</v>
      </c>
      <c r="CF282" t="e">
        <f>AND('Post Show '!#REF!,"AAAAAH3v7VM=")</f>
        <v>#REF!</v>
      </c>
      <c r="CG282">
        <f>IF('Post Show '!6:6,"AAAAAH3v7VQ=",0)</f>
        <v>0</v>
      </c>
      <c r="CH282" t="e">
        <f>AND('Post Show '!#REF!,"AAAAAH3v7VU=")</f>
        <v>#REF!</v>
      </c>
      <c r="CI282" t="e">
        <f>AND('Post Show '!A6,"AAAAAH3v7VY=")</f>
        <v>#VALUE!</v>
      </c>
      <c r="CJ282" t="e">
        <f>AND('Post Show '!B6,"AAAAAH3v7Vc=")</f>
        <v>#VALUE!</v>
      </c>
      <c r="CK282" t="e">
        <f>AND('Post Show '!C6,"AAAAAH3v7Vg=")</f>
        <v>#VALUE!</v>
      </c>
      <c r="CL282" t="e">
        <f>AND('Post Show '!D6,"AAAAAH3v7Vk=")</f>
        <v>#VALUE!</v>
      </c>
      <c r="CM282" t="e">
        <f>AND('Post Show '!E6,"AAAAAH3v7Vo=")</f>
        <v>#VALUE!</v>
      </c>
      <c r="CN282" t="e">
        <f>AND('Post Show '!F6,"AAAAAH3v7Vs=")</f>
        <v>#VALUE!</v>
      </c>
      <c r="CO282" t="e">
        <f>AND('Post Show '!G6,"AAAAAH3v7Vw=")</f>
        <v>#VALUE!</v>
      </c>
      <c r="CP282" t="e">
        <f>AND('Post Show '!H6,"AAAAAH3v7V0=")</f>
        <v>#VALUE!</v>
      </c>
      <c r="CQ282" t="e">
        <f>AND('Post Show '!I6,"AAAAAH3v7V4=")</f>
        <v>#VALUE!</v>
      </c>
      <c r="CR282" t="e">
        <f>AND('Post Show '!J6,"AAAAAH3v7V8=")</f>
        <v>#VALUE!</v>
      </c>
      <c r="CS282" t="e">
        <f>AND('Post Show '!#REF!,"AAAAAH3v7WA=")</f>
        <v>#REF!</v>
      </c>
      <c r="CT282" t="e">
        <f>IF('Post Show '!#REF!,"AAAAAH3v7WE=",0)</f>
        <v>#REF!</v>
      </c>
      <c r="CU282" t="e">
        <f>AND('Post Show '!#REF!,"AAAAAH3v7WI=")</f>
        <v>#REF!</v>
      </c>
      <c r="CV282" t="e">
        <f>AND('Post Show '!#REF!,"AAAAAH3v7WM=")</f>
        <v>#REF!</v>
      </c>
      <c r="CW282" t="e">
        <f>AND('Post Show '!#REF!,"AAAAAH3v7WQ=")</f>
        <v>#REF!</v>
      </c>
      <c r="CX282" t="e">
        <f>AND('Post Show '!#REF!,"AAAAAH3v7WU=")</f>
        <v>#REF!</v>
      </c>
      <c r="CY282" t="e">
        <f>AND('Post Show '!#REF!,"AAAAAH3v7WY=")</f>
        <v>#REF!</v>
      </c>
      <c r="CZ282" t="e">
        <f>AND('Post Show '!#REF!,"AAAAAH3v7Wc=")</f>
        <v>#REF!</v>
      </c>
      <c r="DA282" t="e">
        <f>AND('Post Show '!#REF!,"AAAAAH3v7Wg=")</f>
        <v>#REF!</v>
      </c>
      <c r="DB282" t="e">
        <f>AND('Post Show '!#REF!,"AAAAAH3v7Wk=")</f>
        <v>#REF!</v>
      </c>
      <c r="DC282" t="e">
        <f>AND('Post Show '!#REF!,"AAAAAH3v7Wo=")</f>
        <v>#REF!</v>
      </c>
      <c r="DD282" t="e">
        <f>AND('Post Show '!#REF!,"AAAAAH3v7Ws=")</f>
        <v>#REF!</v>
      </c>
      <c r="DE282" t="e">
        <f>AND('Post Show '!#REF!,"AAAAAH3v7Ww=")</f>
        <v>#REF!</v>
      </c>
      <c r="DF282" t="e">
        <f>AND('Post Show '!#REF!,"AAAAAH3v7W0=")</f>
        <v>#REF!</v>
      </c>
      <c r="DG282" t="e">
        <f>IF('Post Show '!#REF!,"AAAAAH3v7W4=",0)</f>
        <v>#REF!</v>
      </c>
      <c r="DH282" t="e">
        <f>AND('Post Show '!#REF!,"AAAAAH3v7W8=")</f>
        <v>#REF!</v>
      </c>
      <c r="DI282" t="e">
        <f>AND('Post Show '!#REF!,"AAAAAH3v7XA=")</f>
        <v>#REF!</v>
      </c>
      <c r="DJ282" t="e">
        <f>AND('Post Show '!#REF!,"AAAAAH3v7XE=")</f>
        <v>#REF!</v>
      </c>
      <c r="DK282" t="e">
        <f>AND('Post Show '!#REF!,"AAAAAH3v7XI=")</f>
        <v>#REF!</v>
      </c>
      <c r="DL282" t="e">
        <f>AND('Post Show '!#REF!,"AAAAAH3v7XM=")</f>
        <v>#REF!</v>
      </c>
      <c r="DM282" t="e">
        <f>AND('Post Show '!#REF!,"AAAAAH3v7XQ=")</f>
        <v>#REF!</v>
      </c>
      <c r="DN282" t="e">
        <f>AND('Post Show '!#REF!,"AAAAAH3v7XU=")</f>
        <v>#REF!</v>
      </c>
      <c r="DO282" t="e">
        <f>AND('Post Show '!#REF!,"AAAAAH3v7XY=")</f>
        <v>#REF!</v>
      </c>
      <c r="DP282" t="e">
        <f>AND('Post Show '!#REF!,"AAAAAH3v7Xc=")</f>
        <v>#REF!</v>
      </c>
      <c r="DQ282" t="e">
        <f>AND('Post Show '!#REF!,"AAAAAH3v7Xg=")</f>
        <v>#REF!</v>
      </c>
      <c r="DR282" t="e">
        <f>AND('Post Show '!#REF!,"AAAAAH3v7Xk=")</f>
        <v>#REF!</v>
      </c>
      <c r="DS282" t="e">
        <f>AND('Post Show '!#REF!,"AAAAAH3v7Xo=")</f>
        <v>#REF!</v>
      </c>
      <c r="DT282" t="e">
        <f>IF('Post Show '!#REF!,"AAAAAH3v7Xs=",0)</f>
        <v>#REF!</v>
      </c>
      <c r="DU282" t="e">
        <f>AND('Post Show '!#REF!,"AAAAAH3v7Xw=")</f>
        <v>#REF!</v>
      </c>
      <c r="DV282" t="e">
        <f>AND('Post Show '!#REF!,"AAAAAH3v7X0=")</f>
        <v>#REF!</v>
      </c>
      <c r="DW282" t="e">
        <f>AND('Post Show '!#REF!,"AAAAAH3v7X4=")</f>
        <v>#REF!</v>
      </c>
      <c r="DX282" t="e">
        <f>AND('Post Show '!#REF!,"AAAAAH3v7X8=")</f>
        <v>#REF!</v>
      </c>
      <c r="DY282" t="e">
        <f>AND('Post Show '!#REF!,"AAAAAH3v7YA=")</f>
        <v>#REF!</v>
      </c>
      <c r="DZ282" t="e">
        <f>AND('Post Show '!#REF!,"AAAAAH3v7YE=")</f>
        <v>#REF!</v>
      </c>
      <c r="EA282" t="e">
        <f>AND('Post Show '!#REF!,"AAAAAH3v7YI=")</f>
        <v>#REF!</v>
      </c>
      <c r="EB282" t="e">
        <f>AND('Post Show '!#REF!,"AAAAAH3v7YM=")</f>
        <v>#REF!</v>
      </c>
      <c r="EC282" t="e">
        <f>AND('Post Show '!#REF!,"AAAAAH3v7YQ=")</f>
        <v>#REF!</v>
      </c>
      <c r="ED282" t="e">
        <f>AND('Post Show '!#REF!,"AAAAAH3v7YU=")</f>
        <v>#REF!</v>
      </c>
      <c r="EE282" t="e">
        <f>AND('Post Show '!#REF!,"AAAAAH3v7YY=")</f>
        <v>#REF!</v>
      </c>
      <c r="EF282" t="e">
        <f>AND('Post Show '!#REF!,"AAAAAH3v7Yc=")</f>
        <v>#REF!</v>
      </c>
      <c r="EG282" t="e">
        <f>IF('Post Show '!#REF!,"AAAAAH3v7Yg=",0)</f>
        <v>#REF!</v>
      </c>
      <c r="EH282" t="e">
        <f>AND('Post Show '!#REF!,"AAAAAH3v7Yk=")</f>
        <v>#REF!</v>
      </c>
      <c r="EI282" t="e">
        <f>AND('Post Show '!#REF!,"AAAAAH3v7Yo=")</f>
        <v>#REF!</v>
      </c>
      <c r="EJ282" t="e">
        <f>AND('Post Show '!#REF!,"AAAAAH3v7Ys=")</f>
        <v>#REF!</v>
      </c>
      <c r="EK282" t="e">
        <f>AND('Post Show '!#REF!,"AAAAAH3v7Yw=")</f>
        <v>#REF!</v>
      </c>
      <c r="EL282" t="e">
        <f>AND('Post Show '!#REF!,"AAAAAH3v7Y0=")</f>
        <v>#REF!</v>
      </c>
      <c r="EM282" t="e">
        <f>AND('Post Show '!#REF!,"AAAAAH3v7Y4=")</f>
        <v>#REF!</v>
      </c>
      <c r="EN282" t="e">
        <f>AND('Post Show '!#REF!,"AAAAAH3v7Y8=")</f>
        <v>#REF!</v>
      </c>
      <c r="EO282" t="e">
        <f>AND('Post Show '!#REF!,"AAAAAH3v7ZA=")</f>
        <v>#REF!</v>
      </c>
      <c r="EP282" t="e">
        <f>AND('Post Show '!#REF!,"AAAAAH3v7ZE=")</f>
        <v>#REF!</v>
      </c>
      <c r="EQ282" t="e">
        <f>AND('Post Show '!#REF!,"AAAAAH3v7ZI=")</f>
        <v>#REF!</v>
      </c>
      <c r="ER282" t="e">
        <f>AND('Post Show '!#REF!,"AAAAAH3v7ZM=")</f>
        <v>#REF!</v>
      </c>
      <c r="ES282" t="e">
        <f>AND('Post Show '!#REF!,"AAAAAH3v7ZQ=")</f>
        <v>#REF!</v>
      </c>
      <c r="ET282" t="e">
        <f>IF('Post Show '!#REF!,"AAAAAH3v7ZU=",0)</f>
        <v>#REF!</v>
      </c>
      <c r="EU282" t="e">
        <f>AND('Post Show '!#REF!,"AAAAAH3v7ZY=")</f>
        <v>#REF!</v>
      </c>
      <c r="EV282" t="e">
        <f>AND('Post Show '!#REF!,"AAAAAH3v7Zc=")</f>
        <v>#REF!</v>
      </c>
      <c r="EW282" t="e">
        <f>AND('Post Show '!#REF!,"AAAAAH3v7Zg=")</f>
        <v>#REF!</v>
      </c>
      <c r="EX282" t="e">
        <f>AND('Post Show '!#REF!,"AAAAAH3v7Zk=")</f>
        <v>#REF!</v>
      </c>
      <c r="EY282" t="e">
        <f>AND('Post Show '!#REF!,"AAAAAH3v7Zo=")</f>
        <v>#REF!</v>
      </c>
      <c r="EZ282" t="e">
        <f>AND('Post Show '!#REF!,"AAAAAH3v7Zs=")</f>
        <v>#REF!</v>
      </c>
      <c r="FA282" t="e">
        <f>AND('Post Show '!#REF!,"AAAAAH3v7Zw=")</f>
        <v>#REF!</v>
      </c>
      <c r="FB282" t="e">
        <f>AND('Post Show '!#REF!,"AAAAAH3v7Z0=")</f>
        <v>#REF!</v>
      </c>
      <c r="FC282" t="e">
        <f>AND('Post Show '!#REF!,"AAAAAH3v7Z4=")</f>
        <v>#REF!</v>
      </c>
      <c r="FD282" t="e">
        <f>AND('Post Show '!#REF!,"AAAAAH3v7Z8=")</f>
        <v>#REF!</v>
      </c>
      <c r="FE282" t="e">
        <f>AND('Post Show '!#REF!,"AAAAAH3v7aA=")</f>
        <v>#REF!</v>
      </c>
      <c r="FF282" t="e">
        <f>AND('Post Show '!#REF!,"AAAAAH3v7aE=")</f>
        <v>#REF!</v>
      </c>
      <c r="FG282" t="e">
        <f>IF('Post Show '!#REF!,"AAAAAH3v7aI=",0)</f>
        <v>#REF!</v>
      </c>
      <c r="FH282" t="e">
        <f>AND('Post Show '!#REF!,"AAAAAH3v7aM=")</f>
        <v>#REF!</v>
      </c>
      <c r="FI282" t="e">
        <f>AND('Post Show '!#REF!,"AAAAAH3v7aQ=")</f>
        <v>#REF!</v>
      </c>
      <c r="FJ282" t="e">
        <f>AND('Post Show '!#REF!,"AAAAAH3v7aU=")</f>
        <v>#REF!</v>
      </c>
      <c r="FK282" t="e">
        <f>AND('Post Show '!#REF!,"AAAAAH3v7aY=")</f>
        <v>#REF!</v>
      </c>
      <c r="FL282" t="e">
        <f>AND('Post Show '!#REF!,"AAAAAH3v7ac=")</f>
        <v>#REF!</v>
      </c>
      <c r="FM282" t="e">
        <f>AND('Post Show '!#REF!,"AAAAAH3v7ag=")</f>
        <v>#REF!</v>
      </c>
      <c r="FN282" t="e">
        <f>AND('Post Show '!#REF!,"AAAAAH3v7ak=")</f>
        <v>#REF!</v>
      </c>
      <c r="FO282" t="e">
        <f>AND('Post Show '!#REF!,"AAAAAH3v7ao=")</f>
        <v>#REF!</v>
      </c>
      <c r="FP282" t="e">
        <f>AND('Post Show '!#REF!,"AAAAAH3v7as=")</f>
        <v>#REF!</v>
      </c>
      <c r="FQ282" t="e">
        <f>AND('Post Show '!#REF!,"AAAAAH3v7aw=")</f>
        <v>#REF!</v>
      </c>
      <c r="FR282" t="e">
        <f>AND('Post Show '!#REF!,"AAAAAH3v7a0=")</f>
        <v>#REF!</v>
      </c>
      <c r="FS282" t="e">
        <f>AND('Post Show '!#REF!,"AAAAAH3v7a4=")</f>
        <v>#REF!</v>
      </c>
      <c r="FT282">
        <f>IF('Post Show '!A:A,"AAAAAH3v7a8=",0)</f>
        <v>0</v>
      </c>
      <c r="FU282">
        <f>IF('Post Show '!B:B,"AAAAAH3v7bA=",0)</f>
        <v>0</v>
      </c>
      <c r="FV282">
        <f>IF('Post Show '!C:C,"AAAAAH3v7bE=",0)</f>
        <v>0</v>
      </c>
      <c r="FW282">
        <f>IF('Post Show '!D:D,"AAAAAH3v7bI=",0)</f>
        <v>0</v>
      </c>
      <c r="FX282">
        <f>IF('Post Show '!E:E,"AAAAAH3v7bM=",0)</f>
        <v>0</v>
      </c>
      <c r="FY282">
        <f>IF('Post Show '!F:F,"AAAAAH3v7bQ=",0)</f>
        <v>0</v>
      </c>
      <c r="FZ282">
        <f>IF('Post Show '!G:G,"AAAAAH3v7bU=",0)</f>
        <v>0</v>
      </c>
      <c r="GA282">
        <f>IF('Post Show '!H:H,"AAAAAH3v7bY=",0)</f>
        <v>0</v>
      </c>
      <c r="GB282">
        <f>IF('Post Show '!I:I,"AAAAAH3v7bc=",0)</f>
        <v>0</v>
      </c>
      <c r="GC282">
        <f>IF('Post Show '!J:J,"AAAAAH3v7bg=",0)</f>
        <v>0</v>
      </c>
      <c r="GD282" t="e">
        <f>IF('Post Show '!#REF!,"AAAAAH3v7bk=",0)</f>
        <v>#REF!</v>
      </c>
      <c r="GE282">
        <f>IF('Post Show '!K:K,"AAAAAH3v7bo=",0)</f>
        <v>0</v>
      </c>
      <c r="GF282">
        <f>IF('Additional Services'!1:1,"AAAAAH3v7bs=",0)</f>
        <v>0</v>
      </c>
      <c r="GG282" t="e">
        <f>AND('Additional Services'!#REF!,"AAAAAH3v7bw=")</f>
        <v>#REF!</v>
      </c>
      <c r="GH282" t="e">
        <f>AND('Additional Services'!A1,"AAAAAH3v7b0=")</f>
        <v>#VALUE!</v>
      </c>
      <c r="GI282" t="e">
        <f>AND('Additional Services'!C1,"AAAAAH3v7b4=")</f>
        <v>#VALUE!</v>
      </c>
      <c r="GJ282" t="e">
        <f>AND('Additional Services'!D1,"AAAAAH3v7b8=")</f>
        <v>#VALUE!</v>
      </c>
      <c r="GK282" t="e">
        <f>AND('Additional Services'!E1,"AAAAAH3v7cA=")</f>
        <v>#VALUE!</v>
      </c>
      <c r="GL282" t="e">
        <f>AND('Additional Services'!F1,"AAAAAH3v7cE=")</f>
        <v>#VALUE!</v>
      </c>
      <c r="GM282" t="e">
        <f>AND('Additional Services'!G1,"AAAAAH3v7cI=")</f>
        <v>#VALUE!</v>
      </c>
      <c r="GN282" t="e">
        <f>AND('Additional Services'!H1,"AAAAAH3v7cM=")</f>
        <v>#VALUE!</v>
      </c>
      <c r="GO282" t="e">
        <f>AND('Additional Services'!I1,"AAAAAH3v7cQ=")</f>
        <v>#VALUE!</v>
      </c>
      <c r="GP282" t="e">
        <f>AND('Additional Services'!J1,"AAAAAH3v7cU=")</f>
        <v>#VALUE!</v>
      </c>
      <c r="GQ282" t="e">
        <f>AND('Additional Services'!K1,"AAAAAH3v7cY=")</f>
        <v>#VALUE!</v>
      </c>
      <c r="GR282" t="e">
        <f>AND('Additional Services'!L1,"AAAAAH3v7cc=")</f>
        <v>#VALUE!</v>
      </c>
      <c r="GS282" t="e">
        <f>AND('Additional Services'!M1,"AAAAAH3v7cg=")</f>
        <v>#VALUE!</v>
      </c>
      <c r="GT282">
        <f>IF('Additional Services'!2:2,"AAAAAH3v7ck=",0)</f>
        <v>0</v>
      </c>
      <c r="GU282" t="e">
        <f>AND('Additional Services'!A2,"AAAAAH3v7co=")</f>
        <v>#VALUE!</v>
      </c>
      <c r="GV282" t="e">
        <f>AND('Additional Services'!B2,"AAAAAH3v7cs=")</f>
        <v>#VALUE!</v>
      </c>
      <c r="GW282" t="e">
        <f>AND('Additional Services'!C2,"AAAAAH3v7cw=")</f>
        <v>#VALUE!</v>
      </c>
      <c r="GX282" t="e">
        <f>AND('Additional Services'!D2,"AAAAAH3v7c0=")</f>
        <v>#VALUE!</v>
      </c>
      <c r="GY282" t="e">
        <f>AND('Additional Services'!E2,"AAAAAH3v7c4=")</f>
        <v>#VALUE!</v>
      </c>
      <c r="GZ282" t="e">
        <f>AND('Additional Services'!F2,"AAAAAH3v7c8=")</f>
        <v>#VALUE!</v>
      </c>
      <c r="HA282" t="e">
        <f>AND('Additional Services'!G2,"AAAAAH3v7dA=")</f>
        <v>#VALUE!</v>
      </c>
      <c r="HB282" t="e">
        <f>AND('Additional Services'!H2,"AAAAAH3v7dE=")</f>
        <v>#VALUE!</v>
      </c>
      <c r="HC282" t="e">
        <f>AND('Additional Services'!I2,"AAAAAH3v7dI=")</f>
        <v>#VALUE!</v>
      </c>
      <c r="HD282" t="e">
        <f>AND('Additional Services'!J2,"AAAAAH3v7dM=")</f>
        <v>#VALUE!</v>
      </c>
      <c r="HE282" t="e">
        <f>AND('Additional Services'!K2,"AAAAAH3v7dQ=")</f>
        <v>#VALUE!</v>
      </c>
      <c r="HF282" t="e">
        <f>AND('Additional Services'!L2,"AAAAAH3v7dU=")</f>
        <v>#VALUE!</v>
      </c>
      <c r="HG282" t="e">
        <f>AND('Additional Services'!M2,"AAAAAH3v7dY=")</f>
        <v>#VALUE!</v>
      </c>
      <c r="HH282">
        <f>IF('Additional Services'!3:3,"AAAAAH3v7dc=",0)</f>
        <v>0</v>
      </c>
      <c r="HI282" t="e">
        <f>AND('Additional Services'!A3,"AAAAAH3v7dg=")</f>
        <v>#VALUE!</v>
      </c>
      <c r="HJ282" t="e">
        <f>AND('Additional Services'!B3,"AAAAAH3v7dk=")</f>
        <v>#VALUE!</v>
      </c>
      <c r="HK282" t="e">
        <f>AND('Additional Services'!C3,"AAAAAH3v7do=")</f>
        <v>#VALUE!</v>
      </c>
      <c r="HL282" t="e">
        <f>AND('Additional Services'!D3,"AAAAAH3v7ds=")</f>
        <v>#VALUE!</v>
      </c>
      <c r="HM282" t="e">
        <f>AND('Additional Services'!E3,"AAAAAH3v7dw=")</f>
        <v>#VALUE!</v>
      </c>
      <c r="HN282" t="e">
        <f>AND('Additional Services'!F3,"AAAAAH3v7d0=")</f>
        <v>#VALUE!</v>
      </c>
      <c r="HO282" t="e">
        <f>AND('Additional Services'!G3,"AAAAAH3v7d4=")</f>
        <v>#VALUE!</v>
      </c>
      <c r="HP282" t="e">
        <f>AND('Additional Services'!H3,"AAAAAH3v7d8=")</f>
        <v>#VALUE!</v>
      </c>
      <c r="HQ282" t="e">
        <f>AND('Additional Services'!I3,"AAAAAH3v7eA=")</f>
        <v>#VALUE!</v>
      </c>
      <c r="HR282" t="e">
        <f>AND('Additional Services'!J3,"AAAAAH3v7eE=")</f>
        <v>#VALUE!</v>
      </c>
      <c r="HS282" t="e">
        <f>AND('Additional Services'!K3,"AAAAAH3v7eI=")</f>
        <v>#VALUE!</v>
      </c>
      <c r="HT282" t="e">
        <f>AND('Additional Services'!L3,"AAAAAH3v7eM=")</f>
        <v>#VALUE!</v>
      </c>
      <c r="HU282" t="e">
        <f>AND('Additional Services'!M3,"AAAAAH3v7eQ=")</f>
        <v>#VALUE!</v>
      </c>
      <c r="HV282">
        <f>IF('Additional Services'!37:37,"AAAAAH3v7eU=",0)</f>
        <v>0</v>
      </c>
      <c r="HW282" t="e">
        <f>AND('Additional Services'!A37,"AAAAAH3v7eY=")</f>
        <v>#VALUE!</v>
      </c>
      <c r="HX282" t="e">
        <f>AND('Additional Services'!B37,"AAAAAH3v7ec=")</f>
        <v>#VALUE!</v>
      </c>
      <c r="HY282" t="e">
        <f>AND('Additional Services'!C37,"AAAAAH3v7eg=")</f>
        <v>#VALUE!</v>
      </c>
      <c r="HZ282" t="e">
        <f>AND('Additional Services'!D37,"AAAAAH3v7ek=")</f>
        <v>#VALUE!</v>
      </c>
      <c r="IA282" t="e">
        <f>AND('Additional Services'!E37,"AAAAAH3v7eo=")</f>
        <v>#VALUE!</v>
      </c>
      <c r="IB282" t="e">
        <f>AND('Additional Services'!F37,"AAAAAH3v7es=")</f>
        <v>#VALUE!</v>
      </c>
      <c r="IC282" t="e">
        <f>AND('Additional Services'!G37,"AAAAAH3v7ew=")</f>
        <v>#VALUE!</v>
      </c>
      <c r="ID282" t="e">
        <f>AND('Additional Services'!H37,"AAAAAH3v7e0=")</f>
        <v>#VALUE!</v>
      </c>
      <c r="IE282" t="e">
        <f>AND('Additional Services'!I37,"AAAAAH3v7e4=")</f>
        <v>#VALUE!</v>
      </c>
      <c r="IF282" t="e">
        <f>AND('Additional Services'!J37,"AAAAAH3v7e8=")</f>
        <v>#VALUE!</v>
      </c>
      <c r="IG282" t="e">
        <f>AND('Additional Services'!K37,"AAAAAH3v7fA=")</f>
        <v>#VALUE!</v>
      </c>
      <c r="IH282" t="e">
        <f>AND('Additional Services'!L37,"AAAAAH3v7fE=")</f>
        <v>#VALUE!</v>
      </c>
      <c r="II282" t="e">
        <f>AND('Additional Services'!M37,"AAAAAH3v7fI=")</f>
        <v>#VALUE!</v>
      </c>
      <c r="IJ282">
        <f>IF('Additional Services'!38:38,"AAAAAH3v7fM=",0)</f>
        <v>0</v>
      </c>
      <c r="IK282" t="e">
        <f>AND('Additional Services'!A38,"AAAAAH3v7fQ=")</f>
        <v>#VALUE!</v>
      </c>
      <c r="IL282" t="e">
        <f>AND('Additional Services'!B38,"AAAAAH3v7fU=")</f>
        <v>#VALUE!</v>
      </c>
      <c r="IM282" t="e">
        <f>AND('Additional Services'!C38,"AAAAAH3v7fY=")</f>
        <v>#VALUE!</v>
      </c>
      <c r="IN282" t="e">
        <f>AND('Additional Services'!D38,"AAAAAH3v7fc=")</f>
        <v>#VALUE!</v>
      </c>
      <c r="IO282" t="e">
        <f>AND('Additional Services'!E38,"AAAAAH3v7fg=")</f>
        <v>#VALUE!</v>
      </c>
      <c r="IP282" t="e">
        <f>AND('Additional Services'!F38,"AAAAAH3v7fk=")</f>
        <v>#VALUE!</v>
      </c>
      <c r="IQ282" t="e">
        <f>AND('Additional Services'!G38,"AAAAAH3v7fo=")</f>
        <v>#VALUE!</v>
      </c>
      <c r="IR282" t="e">
        <f>AND('Additional Services'!H38,"AAAAAH3v7fs=")</f>
        <v>#VALUE!</v>
      </c>
      <c r="IS282" t="e">
        <f>AND('Additional Services'!I38,"AAAAAH3v7fw=")</f>
        <v>#VALUE!</v>
      </c>
      <c r="IT282" t="e">
        <f>AND('Additional Services'!J38,"AAAAAH3v7f0=")</f>
        <v>#VALUE!</v>
      </c>
      <c r="IU282" t="e">
        <f>AND('Additional Services'!K38,"AAAAAH3v7f4=")</f>
        <v>#VALUE!</v>
      </c>
      <c r="IV282" t="e">
        <f>AND('Additional Services'!L38,"AAAAAH3v7f8=")</f>
        <v>#VALUE!</v>
      </c>
    </row>
    <row r="283" spans="1:256" x14ac:dyDescent="0.2">
      <c r="A283" t="e">
        <f>AND('Additional Services'!M38,"AAAAAFij/wA=")</f>
        <v>#VALUE!</v>
      </c>
      <c r="B283">
        <f>IF('Additional Services'!39:39,"AAAAAFij/wE=",0)</f>
        <v>0</v>
      </c>
      <c r="C283" t="e">
        <f>AND('Additional Services'!#REF!,"AAAAAFij/wI=")</f>
        <v>#REF!</v>
      </c>
      <c r="D283" t="e">
        <f>AND('Additional Services'!A39,"AAAAAFij/wM=")</f>
        <v>#VALUE!</v>
      </c>
      <c r="E283" t="e">
        <f>AND('Additional Services'!B39,"AAAAAFij/wQ=")</f>
        <v>#VALUE!</v>
      </c>
      <c r="F283" t="e">
        <f>AND('Additional Services'!C39,"AAAAAFij/wU=")</f>
        <v>#VALUE!</v>
      </c>
      <c r="G283" t="e">
        <f>AND('Additional Services'!D39,"AAAAAFij/wY=")</f>
        <v>#VALUE!</v>
      </c>
      <c r="H283" t="e">
        <f>AND('Additional Services'!E39,"AAAAAFij/wc=")</f>
        <v>#VALUE!</v>
      </c>
      <c r="I283" t="e">
        <f>AND('Additional Services'!F39,"AAAAAFij/wg=")</f>
        <v>#VALUE!</v>
      </c>
      <c r="J283" t="e">
        <f>AND('Additional Services'!G39,"AAAAAFij/wk=")</f>
        <v>#VALUE!</v>
      </c>
      <c r="K283" t="e">
        <f>AND('Additional Services'!H39,"AAAAAFij/wo=")</f>
        <v>#VALUE!</v>
      </c>
      <c r="L283" t="e">
        <f>AND('Additional Services'!I39,"AAAAAFij/ws=")</f>
        <v>#VALUE!</v>
      </c>
      <c r="M283" t="e">
        <f>AND('Additional Services'!J39,"AAAAAFij/ww=")</f>
        <v>#VALUE!</v>
      </c>
      <c r="N283" t="e">
        <f>AND('Additional Services'!K39,"AAAAAFij/w0=")</f>
        <v>#VALUE!</v>
      </c>
      <c r="O283" t="e">
        <f>AND('Additional Services'!L39,"AAAAAFij/w4=")</f>
        <v>#VALUE!</v>
      </c>
      <c r="P283">
        <f>IF('Additional Services'!40:40,"AAAAAFij/w8=",0)</f>
        <v>0</v>
      </c>
      <c r="Q283" t="e">
        <f>AND('Additional Services'!#REF!,"AAAAAFij/xA=")</f>
        <v>#REF!</v>
      </c>
      <c r="R283" t="e">
        <f>AND('Additional Services'!#REF!,"AAAAAFij/xE=")</f>
        <v>#REF!</v>
      </c>
      <c r="S283" t="e">
        <f>AND('Additional Services'!A40,"AAAAAFij/xI=")</f>
        <v>#VALUE!</v>
      </c>
      <c r="T283" t="e">
        <f>AND('Additional Services'!B40,"AAAAAFij/xM=")</f>
        <v>#VALUE!</v>
      </c>
      <c r="U283" t="e">
        <f>AND('Additional Services'!C40,"AAAAAFij/xQ=")</f>
        <v>#VALUE!</v>
      </c>
      <c r="V283" t="e">
        <f>AND('Additional Services'!D40,"AAAAAFij/xU=")</f>
        <v>#VALUE!</v>
      </c>
      <c r="W283" t="e">
        <f>AND('Additional Services'!E40,"AAAAAFij/xY=")</f>
        <v>#VALUE!</v>
      </c>
      <c r="X283" t="e">
        <f>AND('Additional Services'!F40,"AAAAAFij/xc=")</f>
        <v>#VALUE!</v>
      </c>
      <c r="Y283" t="e">
        <f>AND('Additional Services'!G40,"AAAAAFij/xg=")</f>
        <v>#VALUE!</v>
      </c>
      <c r="Z283" t="e">
        <f>AND('Additional Services'!H40,"AAAAAFij/xk=")</f>
        <v>#VALUE!</v>
      </c>
      <c r="AA283" t="e">
        <f>AND('Additional Services'!I40,"AAAAAFij/xo=")</f>
        <v>#VALUE!</v>
      </c>
      <c r="AB283" t="e">
        <f>AND('Additional Services'!J40,"AAAAAFij/xs=")</f>
        <v>#VALUE!</v>
      </c>
      <c r="AC283" t="e">
        <f>AND('Additional Services'!K40,"AAAAAFij/xw=")</f>
        <v>#VALUE!</v>
      </c>
      <c r="AD283">
        <f>IF('Additional Services'!41:41,"AAAAAFij/x0=",0)</f>
        <v>0</v>
      </c>
      <c r="AE283" t="e">
        <f>AND('Additional Services'!#REF!,"AAAAAFij/x4=")</f>
        <v>#REF!</v>
      </c>
      <c r="AF283" t="e">
        <f>AND('Additional Services'!#REF!,"AAAAAFij/x8=")</f>
        <v>#REF!</v>
      </c>
      <c r="AG283" t="e">
        <f>AND('Additional Services'!A41,"AAAAAFij/yA=")</f>
        <v>#VALUE!</v>
      </c>
      <c r="AH283" t="e">
        <f>AND('Additional Services'!B41,"AAAAAFij/yE=")</f>
        <v>#VALUE!</v>
      </c>
      <c r="AI283" t="e">
        <f>AND('Additional Services'!C41,"AAAAAFij/yI=")</f>
        <v>#VALUE!</v>
      </c>
      <c r="AJ283" t="e">
        <f>AND('Additional Services'!D41,"AAAAAFij/yM=")</f>
        <v>#VALUE!</v>
      </c>
      <c r="AK283" t="e">
        <f>AND('Additional Services'!E41,"AAAAAFij/yQ=")</f>
        <v>#VALUE!</v>
      </c>
      <c r="AL283" t="e">
        <f>AND('Additional Services'!F41,"AAAAAFij/yU=")</f>
        <v>#VALUE!</v>
      </c>
      <c r="AM283" t="e">
        <f>AND('Additional Services'!G41,"AAAAAFij/yY=")</f>
        <v>#VALUE!</v>
      </c>
      <c r="AN283" t="e">
        <f>AND('Additional Services'!H41,"AAAAAFij/yc=")</f>
        <v>#VALUE!</v>
      </c>
      <c r="AO283" t="e">
        <f>AND('Additional Services'!I41,"AAAAAFij/yg=")</f>
        <v>#VALUE!</v>
      </c>
      <c r="AP283" t="e">
        <f>AND('Additional Services'!J41,"AAAAAFij/yk=")</f>
        <v>#VALUE!</v>
      </c>
      <c r="AQ283" t="e">
        <f>AND('Additional Services'!K41,"AAAAAFij/yo=")</f>
        <v>#VALUE!</v>
      </c>
      <c r="AR283">
        <f>IF('Additional Services'!42:42,"AAAAAFij/ys=",0)</f>
        <v>0</v>
      </c>
      <c r="AS283" t="e">
        <f>AND('Additional Services'!#REF!,"AAAAAFij/yw=")</f>
        <v>#REF!</v>
      </c>
      <c r="AT283" t="e">
        <f>AND('Additional Services'!#REF!,"AAAAAFij/y0=")</f>
        <v>#REF!</v>
      </c>
      <c r="AU283" t="e">
        <f>AND('Additional Services'!#REF!,"AAAAAFij/y4=")</f>
        <v>#REF!</v>
      </c>
      <c r="AV283" t="e">
        <f>AND('Additional Services'!A42,"AAAAAFij/y8=")</f>
        <v>#VALUE!</v>
      </c>
      <c r="AW283" t="e">
        <f>AND('Additional Services'!B42,"AAAAAFij/zA=")</f>
        <v>#VALUE!</v>
      </c>
      <c r="AX283" t="e">
        <f>AND('Additional Services'!C42,"AAAAAFij/zE=")</f>
        <v>#VALUE!</v>
      </c>
      <c r="AY283" t="e">
        <f>AND('Additional Services'!D42,"AAAAAFij/zI=")</f>
        <v>#VALUE!</v>
      </c>
      <c r="AZ283" t="e">
        <f>AND('Additional Services'!E42,"AAAAAFij/zM=")</f>
        <v>#VALUE!</v>
      </c>
      <c r="BA283" t="e">
        <f>AND('Additional Services'!F42,"AAAAAFij/zQ=")</f>
        <v>#VALUE!</v>
      </c>
      <c r="BB283" t="e">
        <f>AND('Additional Services'!G42,"AAAAAFij/zU=")</f>
        <v>#VALUE!</v>
      </c>
      <c r="BC283" t="e">
        <f>AND('Additional Services'!H42,"AAAAAFij/zY=")</f>
        <v>#VALUE!</v>
      </c>
      <c r="BD283" t="e">
        <f>AND('Additional Services'!I42,"AAAAAFij/zc=")</f>
        <v>#VALUE!</v>
      </c>
      <c r="BE283" t="e">
        <f>AND('Additional Services'!J42,"AAAAAFij/zg=")</f>
        <v>#VALUE!</v>
      </c>
      <c r="BF283" t="e">
        <f>IF('Additional Services'!#REF!,"AAAAAFij/zk=",0)</f>
        <v>#REF!</v>
      </c>
      <c r="BG283" t="e">
        <f>AND('Additional Services'!#REF!,"AAAAAFij/zo=")</f>
        <v>#REF!</v>
      </c>
      <c r="BH283" t="e">
        <f>AND('Additional Services'!#REF!,"AAAAAFij/zs=")</f>
        <v>#REF!</v>
      </c>
      <c r="BI283" t="e">
        <f>AND('Additional Services'!#REF!,"AAAAAFij/zw=")</f>
        <v>#REF!</v>
      </c>
      <c r="BJ283" t="e">
        <f>AND('Additional Services'!#REF!,"AAAAAFij/z0=")</f>
        <v>#REF!</v>
      </c>
      <c r="BK283" t="e">
        <f>AND('Additional Services'!#REF!,"AAAAAFij/z4=")</f>
        <v>#REF!</v>
      </c>
      <c r="BL283" t="e">
        <f>AND('Additional Services'!#REF!,"AAAAAFij/z8=")</f>
        <v>#REF!</v>
      </c>
      <c r="BM283" t="e">
        <f>AND('Additional Services'!#REF!,"AAAAAFij/0A=")</f>
        <v>#REF!</v>
      </c>
      <c r="BN283" t="e">
        <f>AND('Additional Services'!#REF!,"AAAAAFij/0E=")</f>
        <v>#REF!</v>
      </c>
      <c r="BO283" t="e">
        <f>AND('Additional Services'!#REF!,"AAAAAFij/0I=")</f>
        <v>#REF!</v>
      </c>
      <c r="BP283" t="e">
        <f>AND('Additional Services'!#REF!,"AAAAAFij/0M=")</f>
        <v>#REF!</v>
      </c>
      <c r="BQ283" t="e">
        <f>AND('Additional Services'!#REF!,"AAAAAFij/0Q=")</f>
        <v>#REF!</v>
      </c>
      <c r="BR283" t="e">
        <f>AND('Additional Services'!#REF!,"AAAAAFij/0U=")</f>
        <v>#REF!</v>
      </c>
      <c r="BS283" t="e">
        <f>AND('Additional Services'!#REF!,"AAAAAFij/0Y=")</f>
        <v>#REF!</v>
      </c>
      <c r="BT283">
        <f>IF('Additional Services'!43:43,"AAAAAFij/0c=",0)</f>
        <v>0</v>
      </c>
      <c r="BU283" t="e">
        <f>AND('Additional Services'!#REF!,"AAAAAFij/0g=")</f>
        <v>#REF!</v>
      </c>
      <c r="BV283" t="e">
        <f>AND('Additional Services'!#REF!,"AAAAAFij/0k=")</f>
        <v>#REF!</v>
      </c>
      <c r="BW283" t="e">
        <f>AND('Additional Services'!#REF!,"AAAAAFij/0o=")</f>
        <v>#REF!</v>
      </c>
      <c r="BX283" t="e">
        <f>AND('Additional Services'!A43,"AAAAAFij/0s=")</f>
        <v>#VALUE!</v>
      </c>
      <c r="BY283" t="e">
        <f>AND('Additional Services'!B43,"AAAAAFij/0w=")</f>
        <v>#VALUE!</v>
      </c>
      <c r="BZ283" t="e">
        <f>AND('Additional Services'!C43,"AAAAAFij/00=")</f>
        <v>#VALUE!</v>
      </c>
      <c r="CA283" t="e">
        <f>AND('Additional Services'!D43,"AAAAAFij/04=")</f>
        <v>#VALUE!</v>
      </c>
      <c r="CB283" t="e">
        <f>AND('Additional Services'!E43,"AAAAAFij/08=")</f>
        <v>#VALUE!</v>
      </c>
      <c r="CC283" t="e">
        <f>AND('Additional Services'!F43,"AAAAAFij/1A=")</f>
        <v>#VALUE!</v>
      </c>
      <c r="CD283" t="e">
        <f>AND('Additional Services'!G43,"AAAAAFij/1E=")</f>
        <v>#VALUE!</v>
      </c>
      <c r="CE283" t="e">
        <f>AND('Additional Services'!H43,"AAAAAFij/1I=")</f>
        <v>#VALUE!</v>
      </c>
      <c r="CF283" t="e">
        <f>AND('Additional Services'!I43,"AAAAAFij/1M=")</f>
        <v>#VALUE!</v>
      </c>
      <c r="CG283" t="e">
        <f>AND('Additional Services'!J43,"AAAAAFij/1Q=")</f>
        <v>#VALUE!</v>
      </c>
      <c r="CH283">
        <f>IF('Additional Services'!44:44,"AAAAAFij/1U=",0)</f>
        <v>0</v>
      </c>
      <c r="CI283" t="e">
        <f>AND('Additional Services'!#REF!,"AAAAAFij/1Y=")</f>
        <v>#REF!</v>
      </c>
      <c r="CJ283" t="e">
        <f>AND('Additional Services'!#REF!,"AAAAAFij/1c=")</f>
        <v>#REF!</v>
      </c>
      <c r="CK283" t="e">
        <f>AND('Additional Services'!#REF!,"AAAAAFij/1g=")</f>
        <v>#REF!</v>
      </c>
      <c r="CL283" t="e">
        <f>AND('Additional Services'!A44,"AAAAAFij/1k=")</f>
        <v>#VALUE!</v>
      </c>
      <c r="CM283" t="e">
        <f>AND('Additional Services'!B44,"AAAAAFij/1o=")</f>
        <v>#VALUE!</v>
      </c>
      <c r="CN283" t="e">
        <f>AND('Additional Services'!C44,"AAAAAFij/1s=")</f>
        <v>#VALUE!</v>
      </c>
      <c r="CO283" t="e">
        <f>AND('Additional Services'!D44,"AAAAAFij/1w=")</f>
        <v>#VALUE!</v>
      </c>
      <c r="CP283" t="e">
        <f>AND('Additional Services'!E44,"AAAAAFij/10=")</f>
        <v>#VALUE!</v>
      </c>
      <c r="CQ283" t="e">
        <f>AND('Additional Services'!F44,"AAAAAFij/14=")</f>
        <v>#VALUE!</v>
      </c>
      <c r="CR283" t="e">
        <f>AND('Additional Services'!G44,"AAAAAFij/18=")</f>
        <v>#VALUE!</v>
      </c>
      <c r="CS283" t="e">
        <f>AND('Additional Services'!H44,"AAAAAFij/2A=")</f>
        <v>#VALUE!</v>
      </c>
      <c r="CT283" t="e">
        <f>AND('Additional Services'!I44,"AAAAAFij/2E=")</f>
        <v>#VALUE!</v>
      </c>
      <c r="CU283" t="e">
        <f>AND('Additional Services'!J44,"AAAAAFij/2I=")</f>
        <v>#VALUE!</v>
      </c>
      <c r="CV283">
        <f>IF('Additional Services'!45:45,"AAAAAFij/2M=",0)</f>
        <v>0</v>
      </c>
      <c r="CW283" t="e">
        <f>AND('Additional Services'!#REF!,"AAAAAFij/2Q=")</f>
        <v>#REF!</v>
      </c>
      <c r="CX283" t="e">
        <f>AND('Additional Services'!#REF!,"AAAAAFij/2U=")</f>
        <v>#REF!</v>
      </c>
      <c r="CY283" t="e">
        <f>AND('Additional Services'!#REF!,"AAAAAFij/2Y=")</f>
        <v>#REF!</v>
      </c>
      <c r="CZ283" t="e">
        <f>AND('Additional Services'!A45,"AAAAAFij/2c=")</f>
        <v>#VALUE!</v>
      </c>
      <c r="DA283" t="e">
        <f>AND('Additional Services'!B45,"AAAAAFij/2g=")</f>
        <v>#VALUE!</v>
      </c>
      <c r="DB283" t="e">
        <f>AND('Additional Services'!C45,"AAAAAFij/2k=")</f>
        <v>#VALUE!</v>
      </c>
      <c r="DC283" t="e">
        <f>AND('Additional Services'!D45,"AAAAAFij/2o=")</f>
        <v>#VALUE!</v>
      </c>
      <c r="DD283" t="e">
        <f>AND('Additional Services'!E45,"AAAAAFij/2s=")</f>
        <v>#VALUE!</v>
      </c>
      <c r="DE283" t="e">
        <f>AND('Additional Services'!F45,"AAAAAFij/2w=")</f>
        <v>#VALUE!</v>
      </c>
      <c r="DF283" t="e">
        <f>AND('Additional Services'!G45,"AAAAAFij/20=")</f>
        <v>#VALUE!</v>
      </c>
      <c r="DG283" t="e">
        <f>AND('Additional Services'!H45,"AAAAAFij/24=")</f>
        <v>#VALUE!</v>
      </c>
      <c r="DH283" t="e">
        <f>AND('Additional Services'!I45,"AAAAAFij/28=")</f>
        <v>#VALUE!</v>
      </c>
      <c r="DI283" t="e">
        <f>AND('Additional Services'!J45,"AAAAAFij/3A=")</f>
        <v>#VALUE!</v>
      </c>
      <c r="DJ283">
        <f>IF('Additional Services'!46:46,"AAAAAFij/3E=",0)</f>
        <v>0</v>
      </c>
      <c r="DK283" t="e">
        <f>AND('Additional Services'!#REF!,"AAAAAFij/3I=")</f>
        <v>#REF!</v>
      </c>
      <c r="DL283" t="e">
        <f>AND('Additional Services'!#REF!,"AAAAAFij/3M=")</f>
        <v>#REF!</v>
      </c>
      <c r="DM283" t="e">
        <f>AND('Additional Services'!#REF!,"AAAAAFij/3Q=")</f>
        <v>#REF!</v>
      </c>
      <c r="DN283" t="e">
        <f>AND('Additional Services'!A46,"AAAAAFij/3U=")</f>
        <v>#VALUE!</v>
      </c>
      <c r="DO283" t="e">
        <f>AND('Additional Services'!B46,"AAAAAFij/3Y=")</f>
        <v>#VALUE!</v>
      </c>
      <c r="DP283" t="e">
        <f>AND('Additional Services'!C46,"AAAAAFij/3c=")</f>
        <v>#VALUE!</v>
      </c>
      <c r="DQ283" t="e">
        <f>AND('Additional Services'!D46,"AAAAAFij/3g=")</f>
        <v>#VALUE!</v>
      </c>
      <c r="DR283" t="e">
        <f>AND('Additional Services'!E46,"AAAAAFij/3k=")</f>
        <v>#VALUE!</v>
      </c>
      <c r="DS283" t="e">
        <f>AND('Additional Services'!F46,"AAAAAFij/3o=")</f>
        <v>#VALUE!</v>
      </c>
      <c r="DT283" t="e">
        <f>AND('Additional Services'!G46,"AAAAAFij/3s=")</f>
        <v>#VALUE!</v>
      </c>
      <c r="DU283" t="e">
        <f>AND('Additional Services'!H46,"AAAAAFij/3w=")</f>
        <v>#VALUE!</v>
      </c>
      <c r="DV283" t="e">
        <f>AND('Additional Services'!I46,"AAAAAFij/30=")</f>
        <v>#VALUE!</v>
      </c>
      <c r="DW283" t="e">
        <f>AND('Additional Services'!J46,"AAAAAFij/34=")</f>
        <v>#VALUE!</v>
      </c>
      <c r="DX283">
        <f>IF('Additional Services'!47:47,"AAAAAFij/38=",0)</f>
        <v>0</v>
      </c>
      <c r="DY283" t="e">
        <f>AND('Additional Services'!#REF!,"AAAAAFij/4A=")</f>
        <v>#REF!</v>
      </c>
      <c r="DZ283" t="e">
        <f>AND('Additional Services'!#REF!,"AAAAAFij/4E=")</f>
        <v>#REF!</v>
      </c>
      <c r="EA283" t="e">
        <f>AND('Additional Services'!#REF!,"AAAAAFij/4I=")</f>
        <v>#REF!</v>
      </c>
      <c r="EB283" t="e">
        <f>AND('Additional Services'!A47,"AAAAAFij/4M=")</f>
        <v>#VALUE!</v>
      </c>
      <c r="EC283" t="e">
        <f>AND('Additional Services'!B47,"AAAAAFij/4Q=")</f>
        <v>#VALUE!</v>
      </c>
      <c r="ED283" t="e">
        <f>AND('Additional Services'!C47,"AAAAAFij/4U=")</f>
        <v>#VALUE!</v>
      </c>
      <c r="EE283" t="e">
        <f>AND('Additional Services'!D47,"AAAAAFij/4Y=")</f>
        <v>#VALUE!</v>
      </c>
      <c r="EF283" t="e">
        <f>AND('Additional Services'!E47,"AAAAAFij/4c=")</f>
        <v>#VALUE!</v>
      </c>
      <c r="EG283" t="e">
        <f>AND('Additional Services'!F47,"AAAAAFij/4g=")</f>
        <v>#VALUE!</v>
      </c>
      <c r="EH283" t="e">
        <f>AND('Additional Services'!G47,"AAAAAFij/4k=")</f>
        <v>#VALUE!</v>
      </c>
      <c r="EI283" t="e">
        <f>AND('Additional Services'!H47,"AAAAAFij/4o=")</f>
        <v>#VALUE!</v>
      </c>
      <c r="EJ283" t="e">
        <f>AND('Additional Services'!I47,"AAAAAFij/4s=")</f>
        <v>#VALUE!</v>
      </c>
      <c r="EK283" t="e">
        <f>AND('Additional Services'!J47,"AAAAAFij/4w=")</f>
        <v>#VALUE!</v>
      </c>
      <c r="EL283">
        <f>IF('Additional Services'!48:48,"AAAAAFij/40=",0)</f>
        <v>0</v>
      </c>
      <c r="EM283" t="e">
        <f>AND('Additional Services'!#REF!,"AAAAAFij/44=")</f>
        <v>#REF!</v>
      </c>
      <c r="EN283" t="e">
        <f>AND('Additional Services'!#REF!,"AAAAAFij/48=")</f>
        <v>#REF!</v>
      </c>
      <c r="EO283" t="e">
        <f>AND('Additional Services'!#REF!,"AAAAAFij/5A=")</f>
        <v>#REF!</v>
      </c>
      <c r="EP283" t="e">
        <f>AND('Additional Services'!A48,"AAAAAFij/5E=")</f>
        <v>#VALUE!</v>
      </c>
      <c r="EQ283" t="e">
        <f>AND('Additional Services'!B48,"AAAAAFij/5I=")</f>
        <v>#VALUE!</v>
      </c>
      <c r="ER283" t="e">
        <f>AND('Additional Services'!C48,"AAAAAFij/5M=")</f>
        <v>#VALUE!</v>
      </c>
      <c r="ES283" t="e">
        <f>AND('Additional Services'!D48,"AAAAAFij/5Q=")</f>
        <v>#VALUE!</v>
      </c>
      <c r="ET283" t="e">
        <f>AND('Additional Services'!E48,"AAAAAFij/5U=")</f>
        <v>#VALUE!</v>
      </c>
      <c r="EU283" t="e">
        <f>AND('Additional Services'!F48,"AAAAAFij/5Y=")</f>
        <v>#VALUE!</v>
      </c>
      <c r="EV283" t="e">
        <f>AND('Additional Services'!G48,"AAAAAFij/5c=")</f>
        <v>#VALUE!</v>
      </c>
      <c r="EW283" t="e">
        <f>AND('Additional Services'!H48,"AAAAAFij/5g=")</f>
        <v>#VALUE!</v>
      </c>
      <c r="EX283" t="e">
        <f>AND('Additional Services'!I48,"AAAAAFij/5k=")</f>
        <v>#VALUE!</v>
      </c>
      <c r="EY283" t="e">
        <f>AND('Additional Services'!J48,"AAAAAFij/5o=")</f>
        <v>#VALUE!</v>
      </c>
      <c r="EZ283">
        <f>IF('Additional Services'!49:49,"AAAAAFij/5s=",0)</f>
        <v>0</v>
      </c>
      <c r="FA283" t="e">
        <f>AND('Additional Services'!#REF!,"AAAAAFij/5w=")</f>
        <v>#REF!</v>
      </c>
      <c r="FB283" t="e">
        <f>AND('Additional Services'!#REF!,"AAAAAFij/50=")</f>
        <v>#REF!</v>
      </c>
      <c r="FC283" t="e">
        <f>AND('Additional Services'!#REF!,"AAAAAFij/54=")</f>
        <v>#REF!</v>
      </c>
      <c r="FD283" t="e">
        <f>AND('Additional Services'!A49,"AAAAAFij/58=")</f>
        <v>#VALUE!</v>
      </c>
      <c r="FE283" t="e">
        <f>AND('Additional Services'!B49,"AAAAAFij/6A=")</f>
        <v>#VALUE!</v>
      </c>
      <c r="FF283" t="e">
        <f>AND('Additional Services'!C49,"AAAAAFij/6E=")</f>
        <v>#VALUE!</v>
      </c>
      <c r="FG283" t="e">
        <f>AND('Additional Services'!D49,"AAAAAFij/6I=")</f>
        <v>#VALUE!</v>
      </c>
      <c r="FH283" t="e">
        <f>AND('Additional Services'!E49,"AAAAAFij/6M=")</f>
        <v>#VALUE!</v>
      </c>
      <c r="FI283" t="e">
        <f>AND('Additional Services'!F49,"AAAAAFij/6Q=")</f>
        <v>#VALUE!</v>
      </c>
      <c r="FJ283" t="e">
        <f>AND('Additional Services'!G49,"AAAAAFij/6U=")</f>
        <v>#VALUE!</v>
      </c>
      <c r="FK283" t="e">
        <f>AND('Additional Services'!H49,"AAAAAFij/6Y=")</f>
        <v>#VALUE!</v>
      </c>
      <c r="FL283" t="e">
        <f>AND('Additional Services'!I49,"AAAAAFij/6c=")</f>
        <v>#VALUE!</v>
      </c>
      <c r="FM283" t="e">
        <f>AND('Additional Services'!J49,"AAAAAFij/6g=")</f>
        <v>#VALUE!</v>
      </c>
      <c r="FN283" t="e">
        <f>IF('Additional Services'!#REF!,"AAAAAFij/6k=",0)</f>
        <v>#REF!</v>
      </c>
      <c r="FO283" t="e">
        <f>AND('Additional Services'!#REF!,"AAAAAFij/6o=")</f>
        <v>#REF!</v>
      </c>
      <c r="FP283" t="e">
        <f>AND('Additional Services'!#REF!,"AAAAAFij/6s=")</f>
        <v>#REF!</v>
      </c>
      <c r="FQ283" t="e">
        <f>AND('Additional Services'!#REF!,"AAAAAFij/6w=")</f>
        <v>#REF!</v>
      </c>
      <c r="FR283" t="e">
        <f>AND('Additional Services'!#REF!,"AAAAAFij/60=")</f>
        <v>#REF!</v>
      </c>
      <c r="FS283" t="e">
        <f>AND('Additional Services'!#REF!,"AAAAAFij/64=")</f>
        <v>#REF!</v>
      </c>
      <c r="FT283" t="e">
        <f>AND('Additional Services'!#REF!,"AAAAAFij/68=")</f>
        <v>#REF!</v>
      </c>
      <c r="FU283" t="e">
        <f>AND('Additional Services'!#REF!,"AAAAAFij/7A=")</f>
        <v>#REF!</v>
      </c>
      <c r="FV283" t="e">
        <f>AND('Additional Services'!#REF!,"AAAAAFij/7E=")</f>
        <v>#REF!</v>
      </c>
      <c r="FW283" t="e">
        <f>AND('Additional Services'!#REF!,"AAAAAFij/7I=")</f>
        <v>#REF!</v>
      </c>
      <c r="FX283" t="e">
        <f>AND('Additional Services'!#REF!,"AAAAAFij/7M=")</f>
        <v>#REF!</v>
      </c>
      <c r="FY283" t="e">
        <f>AND('Additional Services'!#REF!,"AAAAAFij/7Q=")</f>
        <v>#REF!</v>
      </c>
      <c r="FZ283" t="e">
        <f>AND('Additional Services'!#REF!,"AAAAAFij/7U=")</f>
        <v>#REF!</v>
      </c>
      <c r="GA283" t="e">
        <f>AND('Additional Services'!#REF!,"AAAAAFij/7Y=")</f>
        <v>#REF!</v>
      </c>
      <c r="GB283">
        <f>IF('Additional Services'!50:50,"AAAAAFij/7c=",0)</f>
        <v>0</v>
      </c>
      <c r="GC283" t="e">
        <f>AND('Additional Services'!#REF!,"AAAAAFij/7g=")</f>
        <v>#REF!</v>
      </c>
      <c r="GD283" t="e">
        <f>AND('Additional Services'!#REF!,"AAAAAFij/7k=")</f>
        <v>#REF!</v>
      </c>
      <c r="GE283" t="e">
        <f>AND('Additional Services'!#REF!,"AAAAAFij/7o=")</f>
        <v>#REF!</v>
      </c>
      <c r="GF283" t="e">
        <f>AND('Additional Services'!A50,"AAAAAFij/7s=")</f>
        <v>#VALUE!</v>
      </c>
      <c r="GG283" t="e">
        <f>AND('Additional Services'!B50,"AAAAAFij/7w=")</f>
        <v>#VALUE!</v>
      </c>
      <c r="GH283" t="e">
        <f>AND('Additional Services'!C50,"AAAAAFij/70=")</f>
        <v>#VALUE!</v>
      </c>
      <c r="GI283" t="e">
        <f>AND('Additional Services'!D50,"AAAAAFij/74=")</f>
        <v>#VALUE!</v>
      </c>
      <c r="GJ283" t="e">
        <f>AND('Additional Services'!E50,"AAAAAFij/78=")</f>
        <v>#VALUE!</v>
      </c>
      <c r="GK283" t="e">
        <f>AND('Additional Services'!F50,"AAAAAFij/8A=")</f>
        <v>#VALUE!</v>
      </c>
      <c r="GL283" t="e">
        <f>AND('Additional Services'!G50,"AAAAAFij/8E=")</f>
        <v>#VALUE!</v>
      </c>
      <c r="GM283" t="e">
        <f>AND('Additional Services'!H50,"AAAAAFij/8I=")</f>
        <v>#VALUE!</v>
      </c>
      <c r="GN283" t="e">
        <f>AND('Additional Services'!I50,"AAAAAFij/8M=")</f>
        <v>#VALUE!</v>
      </c>
      <c r="GO283" t="e">
        <f>AND('Additional Services'!J50,"AAAAAFij/8Q=")</f>
        <v>#VALUE!</v>
      </c>
      <c r="GP283">
        <f>IF('Additional Services'!51:51,"AAAAAFij/8U=",0)</f>
        <v>0</v>
      </c>
      <c r="GQ283" t="e">
        <f>AND('Additional Services'!#REF!,"AAAAAFij/8Y=")</f>
        <v>#REF!</v>
      </c>
      <c r="GR283" t="e">
        <f>AND('Additional Services'!#REF!,"AAAAAFij/8c=")</f>
        <v>#REF!</v>
      </c>
      <c r="GS283" t="e">
        <f>AND('Additional Services'!A51,"AAAAAFij/8g=")</f>
        <v>#VALUE!</v>
      </c>
      <c r="GT283" t="e">
        <f>AND('Additional Services'!B51,"AAAAAFij/8k=")</f>
        <v>#VALUE!</v>
      </c>
      <c r="GU283" t="e">
        <f>AND('Additional Services'!C51,"AAAAAFij/8o=")</f>
        <v>#VALUE!</v>
      </c>
      <c r="GV283" t="e">
        <f>AND('Additional Services'!D51,"AAAAAFij/8s=")</f>
        <v>#VALUE!</v>
      </c>
      <c r="GW283" t="e">
        <f>AND('Additional Services'!E51,"AAAAAFij/8w=")</f>
        <v>#VALUE!</v>
      </c>
      <c r="GX283" t="e">
        <f>AND('Additional Services'!F51,"AAAAAFij/80=")</f>
        <v>#VALUE!</v>
      </c>
      <c r="GY283" t="e">
        <f>AND('Additional Services'!G51,"AAAAAFij/84=")</f>
        <v>#VALUE!</v>
      </c>
      <c r="GZ283" t="e">
        <f>AND('Additional Services'!H51,"AAAAAFij/88=")</f>
        <v>#VALUE!</v>
      </c>
      <c r="HA283" t="e">
        <f>AND('Additional Services'!I51,"AAAAAFij/9A=")</f>
        <v>#VALUE!</v>
      </c>
      <c r="HB283" t="e">
        <f>AND('Additional Services'!J51,"AAAAAFij/9E=")</f>
        <v>#VALUE!</v>
      </c>
      <c r="HC283" t="e">
        <f>AND('Additional Services'!K51,"AAAAAFij/9I=")</f>
        <v>#VALUE!</v>
      </c>
      <c r="HD283">
        <f>IF('Additional Services'!52:52,"AAAAAFij/9M=",0)</f>
        <v>0</v>
      </c>
      <c r="HE283" t="e">
        <f>AND('Additional Services'!#REF!,"AAAAAFij/9Q=")</f>
        <v>#REF!</v>
      </c>
      <c r="HF283" t="e">
        <f>AND('Additional Services'!#REF!,"AAAAAFij/9U=")</f>
        <v>#REF!</v>
      </c>
      <c r="HG283" t="e">
        <f>AND('Additional Services'!A52,"AAAAAFij/9Y=")</f>
        <v>#VALUE!</v>
      </c>
      <c r="HH283" t="e">
        <f>AND('Additional Services'!B52,"AAAAAFij/9c=")</f>
        <v>#VALUE!</v>
      </c>
      <c r="HI283" t="e">
        <f>AND('Additional Services'!C52,"AAAAAFij/9g=")</f>
        <v>#VALUE!</v>
      </c>
      <c r="HJ283" t="e">
        <f>AND('Additional Services'!D52,"AAAAAFij/9k=")</f>
        <v>#VALUE!</v>
      </c>
      <c r="HK283" t="e">
        <f>AND('Additional Services'!E52,"AAAAAFij/9o=")</f>
        <v>#VALUE!</v>
      </c>
      <c r="HL283" t="e">
        <f>AND('Additional Services'!F52,"AAAAAFij/9s=")</f>
        <v>#VALUE!</v>
      </c>
      <c r="HM283" t="e">
        <f>AND('Additional Services'!G52,"AAAAAFij/9w=")</f>
        <v>#VALUE!</v>
      </c>
      <c r="HN283" t="e">
        <f>AND('Additional Services'!H52,"AAAAAFij/90=")</f>
        <v>#VALUE!</v>
      </c>
      <c r="HO283" t="e">
        <f>AND('Additional Services'!I52,"AAAAAFij/94=")</f>
        <v>#VALUE!</v>
      </c>
      <c r="HP283" t="e">
        <f>AND('Additional Services'!J52,"AAAAAFij/98=")</f>
        <v>#VALUE!</v>
      </c>
      <c r="HQ283" t="e">
        <f>AND('Additional Services'!K52,"AAAAAFij/+A=")</f>
        <v>#VALUE!</v>
      </c>
      <c r="HR283">
        <f>IF('Additional Services'!53:53,"AAAAAFij/+E=",0)</f>
        <v>0</v>
      </c>
      <c r="HS283" t="e">
        <f>AND('Additional Services'!#REF!,"AAAAAFij/+I=")</f>
        <v>#REF!</v>
      </c>
      <c r="HT283" t="e">
        <f>AND('Additional Services'!A53,"AAAAAFij/+M=")</f>
        <v>#VALUE!</v>
      </c>
      <c r="HU283" t="e">
        <f>AND('Additional Services'!B53,"AAAAAFij/+Q=")</f>
        <v>#VALUE!</v>
      </c>
      <c r="HV283" t="e">
        <f>AND('Additional Services'!C53,"AAAAAFij/+U=")</f>
        <v>#VALUE!</v>
      </c>
      <c r="HW283" t="e">
        <f>AND('Additional Services'!D53,"AAAAAFij/+Y=")</f>
        <v>#VALUE!</v>
      </c>
      <c r="HX283" t="e">
        <f>AND('Additional Services'!E53,"AAAAAFij/+c=")</f>
        <v>#VALUE!</v>
      </c>
      <c r="HY283" t="e">
        <f>AND('Additional Services'!F53,"AAAAAFij/+g=")</f>
        <v>#VALUE!</v>
      </c>
      <c r="HZ283" t="e">
        <f>AND('Additional Services'!G53,"AAAAAFij/+k=")</f>
        <v>#VALUE!</v>
      </c>
      <c r="IA283" t="e">
        <f>AND('Additional Services'!H53,"AAAAAFij/+o=")</f>
        <v>#VALUE!</v>
      </c>
      <c r="IB283" t="e">
        <f>AND('Additional Services'!I53,"AAAAAFij/+s=")</f>
        <v>#VALUE!</v>
      </c>
      <c r="IC283" t="e">
        <f>AND('Additional Services'!J53,"AAAAAFij/+w=")</f>
        <v>#VALUE!</v>
      </c>
      <c r="ID283" t="e">
        <f>AND('Additional Services'!K53,"AAAAAFij/+0=")</f>
        <v>#VALUE!</v>
      </c>
      <c r="IE283" t="e">
        <f>AND('Additional Services'!L53,"AAAAAFij/+4=")</f>
        <v>#VALUE!</v>
      </c>
      <c r="IF283" t="e">
        <f>IF('Additional Services'!#REF!,"AAAAAFij/+8=",0)</f>
        <v>#REF!</v>
      </c>
      <c r="IG283" t="e">
        <f>AND('Additional Services'!#REF!,"AAAAAFij//A=")</f>
        <v>#REF!</v>
      </c>
      <c r="IH283" t="e">
        <f>AND('Additional Services'!#REF!,"AAAAAFij//E=")</f>
        <v>#REF!</v>
      </c>
      <c r="II283" t="e">
        <f>AND('Additional Services'!#REF!,"AAAAAFij//I=")</f>
        <v>#REF!</v>
      </c>
      <c r="IJ283" t="e">
        <f>AND('Additional Services'!#REF!,"AAAAAFij//M=")</f>
        <v>#REF!</v>
      </c>
      <c r="IK283" t="e">
        <f>AND('Additional Services'!#REF!,"AAAAAFij//Q=")</f>
        <v>#REF!</v>
      </c>
      <c r="IL283" t="e">
        <f>AND('Additional Services'!#REF!,"AAAAAFij//U=")</f>
        <v>#REF!</v>
      </c>
      <c r="IM283" t="e">
        <f>AND('Additional Services'!#REF!,"AAAAAFij//Y=")</f>
        <v>#REF!</v>
      </c>
      <c r="IN283" t="e">
        <f>AND('Additional Services'!#REF!,"AAAAAFij//c=")</f>
        <v>#REF!</v>
      </c>
      <c r="IO283" t="e">
        <f>AND('Additional Services'!#REF!,"AAAAAFij//g=")</f>
        <v>#REF!</v>
      </c>
      <c r="IP283" t="e">
        <f>AND('Additional Services'!#REF!,"AAAAAFij//k=")</f>
        <v>#REF!</v>
      </c>
      <c r="IQ283" t="e">
        <f>AND('Additional Services'!#REF!,"AAAAAFij//o=")</f>
        <v>#REF!</v>
      </c>
      <c r="IR283" t="e">
        <f>AND('Additional Services'!#REF!,"AAAAAFij//s=")</f>
        <v>#REF!</v>
      </c>
      <c r="IS283" t="e">
        <f>AND('Additional Services'!#REF!,"AAAAAFij//w=")</f>
        <v>#REF!</v>
      </c>
      <c r="IT283" t="e">
        <f>IF('Additional Services'!#REF!,"AAAAAFij//0=",0)</f>
        <v>#REF!</v>
      </c>
      <c r="IU283" t="e">
        <f>AND('Additional Services'!#REF!,"AAAAAFij//4=")</f>
        <v>#REF!</v>
      </c>
      <c r="IV283" t="e">
        <f>AND('Additional Services'!#REF!,"AAAAAFij//8=")</f>
        <v>#REF!</v>
      </c>
    </row>
    <row r="284" spans="1:256" x14ac:dyDescent="0.2">
      <c r="A284" t="e">
        <f>AND('Additional Services'!#REF!,"AAAAAH6y3wA=")</f>
        <v>#REF!</v>
      </c>
      <c r="B284" t="e">
        <f>AND('Additional Services'!#REF!,"AAAAAH6y3wE=")</f>
        <v>#REF!</v>
      </c>
      <c r="C284" t="e">
        <f>AND('Additional Services'!#REF!,"AAAAAH6y3wI=")</f>
        <v>#REF!</v>
      </c>
      <c r="D284" t="e">
        <f>AND('Additional Services'!#REF!,"AAAAAH6y3wM=")</f>
        <v>#REF!</v>
      </c>
      <c r="E284" t="e">
        <f>AND('Additional Services'!#REF!,"AAAAAH6y3wQ=")</f>
        <v>#REF!</v>
      </c>
      <c r="F284" t="e">
        <f>AND('Additional Services'!#REF!,"AAAAAH6y3wU=")</f>
        <v>#REF!</v>
      </c>
      <c r="G284" t="e">
        <f>AND('Additional Services'!#REF!,"AAAAAH6y3wY=")</f>
        <v>#REF!</v>
      </c>
      <c r="H284" t="e">
        <f>AND('Additional Services'!#REF!,"AAAAAH6y3wc=")</f>
        <v>#REF!</v>
      </c>
      <c r="I284" t="e">
        <f>AND('Additional Services'!#REF!,"AAAAAH6y3wg=")</f>
        <v>#REF!</v>
      </c>
      <c r="J284" t="e">
        <f>AND('Additional Services'!#REF!,"AAAAAH6y3wk=")</f>
        <v>#REF!</v>
      </c>
      <c r="K284" t="e">
        <f>AND('Additional Services'!#REF!,"AAAAAH6y3wo=")</f>
        <v>#REF!</v>
      </c>
      <c r="L284">
        <f>IF('Additional Services'!54:54,"AAAAAH6y3ws=",0)</f>
        <v>0</v>
      </c>
      <c r="M284" t="e">
        <f>AND('Additional Services'!#REF!,"AAAAAH6y3ww=")</f>
        <v>#REF!</v>
      </c>
      <c r="N284" t="e">
        <f>AND('Additional Services'!#REF!,"AAAAAH6y3w0=")</f>
        <v>#REF!</v>
      </c>
      <c r="O284" t="e">
        <f>AND('Additional Services'!A54,"AAAAAH6y3w4=")</f>
        <v>#VALUE!</v>
      </c>
      <c r="P284" t="e">
        <f>AND('Additional Services'!B54,"AAAAAH6y3w8=")</f>
        <v>#VALUE!</v>
      </c>
      <c r="Q284" t="e">
        <f>AND('Additional Services'!C54,"AAAAAH6y3xA=")</f>
        <v>#VALUE!</v>
      </c>
      <c r="R284" t="e">
        <f>AND('Additional Services'!D54,"AAAAAH6y3xE=")</f>
        <v>#VALUE!</v>
      </c>
      <c r="S284" t="e">
        <f>AND('Additional Services'!E54,"AAAAAH6y3xI=")</f>
        <v>#VALUE!</v>
      </c>
      <c r="T284" t="e">
        <f>AND('Additional Services'!F54,"AAAAAH6y3xM=")</f>
        <v>#VALUE!</v>
      </c>
      <c r="U284" t="e">
        <f>AND('Additional Services'!G54,"AAAAAH6y3xQ=")</f>
        <v>#VALUE!</v>
      </c>
      <c r="V284" t="e">
        <f>AND('Additional Services'!H54,"AAAAAH6y3xU=")</f>
        <v>#VALUE!</v>
      </c>
      <c r="W284" t="e">
        <f>AND('Additional Services'!I54,"AAAAAH6y3xY=")</f>
        <v>#VALUE!</v>
      </c>
      <c r="X284" t="e">
        <f>AND('Additional Services'!J54,"AAAAAH6y3xc=")</f>
        <v>#VALUE!</v>
      </c>
      <c r="Y284" t="e">
        <f>AND('Additional Services'!K54,"AAAAAH6y3xg=")</f>
        <v>#VALUE!</v>
      </c>
      <c r="Z284" t="e">
        <f>IF('Additional Services'!#REF!,"AAAAAH6y3xk=",0)</f>
        <v>#REF!</v>
      </c>
      <c r="AA284" t="e">
        <f>AND('Additional Services'!#REF!,"AAAAAH6y3xo=")</f>
        <v>#REF!</v>
      </c>
      <c r="AB284" t="e">
        <f>AND('Additional Services'!#REF!,"AAAAAH6y3xs=")</f>
        <v>#REF!</v>
      </c>
      <c r="AC284" t="e">
        <f>AND('Additional Services'!#REF!,"AAAAAH6y3xw=")</f>
        <v>#REF!</v>
      </c>
      <c r="AD284" t="e">
        <f>AND('Additional Services'!#REF!,"AAAAAH6y3x0=")</f>
        <v>#REF!</v>
      </c>
      <c r="AE284" t="e">
        <f>AND('Additional Services'!#REF!,"AAAAAH6y3x4=")</f>
        <v>#REF!</v>
      </c>
      <c r="AF284" t="e">
        <f>AND('Additional Services'!#REF!,"AAAAAH6y3x8=")</f>
        <v>#REF!</v>
      </c>
      <c r="AG284" t="e">
        <f>AND('Additional Services'!#REF!,"AAAAAH6y3yA=")</f>
        <v>#REF!</v>
      </c>
      <c r="AH284" t="e">
        <f>AND('Additional Services'!#REF!,"AAAAAH6y3yE=")</f>
        <v>#REF!</v>
      </c>
      <c r="AI284" t="e">
        <f>AND('Additional Services'!#REF!,"AAAAAH6y3yI=")</f>
        <v>#REF!</v>
      </c>
      <c r="AJ284" t="e">
        <f>AND('Additional Services'!#REF!,"AAAAAH6y3yM=")</f>
        <v>#REF!</v>
      </c>
      <c r="AK284" t="e">
        <f>AND('Additional Services'!#REF!,"AAAAAH6y3yQ=")</f>
        <v>#REF!</v>
      </c>
      <c r="AL284" t="e">
        <f>AND('Additional Services'!#REF!,"AAAAAH6y3yU=")</f>
        <v>#REF!</v>
      </c>
      <c r="AM284" t="e">
        <f>AND('Additional Services'!#REF!,"AAAAAH6y3yY=")</f>
        <v>#REF!</v>
      </c>
      <c r="AN284">
        <f>IF('Additional Services'!55:55,"AAAAAH6y3yc=",0)</f>
        <v>0</v>
      </c>
      <c r="AO284" t="e">
        <f>AND('Additional Services'!#REF!,"AAAAAH6y3yg=")</f>
        <v>#REF!</v>
      </c>
      <c r="AP284" t="e">
        <f>AND('Additional Services'!#REF!,"AAAAAH6y3yk=")</f>
        <v>#REF!</v>
      </c>
      <c r="AQ284" t="e">
        <f>AND('Additional Services'!A55,"AAAAAH6y3yo=")</f>
        <v>#VALUE!</v>
      </c>
      <c r="AR284" t="e">
        <f>AND('Additional Services'!B55,"AAAAAH6y3ys=")</f>
        <v>#VALUE!</v>
      </c>
      <c r="AS284" t="e">
        <f>AND('Additional Services'!C55,"AAAAAH6y3yw=")</f>
        <v>#VALUE!</v>
      </c>
      <c r="AT284" t="e">
        <f>AND('Additional Services'!D55,"AAAAAH6y3y0=")</f>
        <v>#VALUE!</v>
      </c>
      <c r="AU284" t="e">
        <f>AND('Additional Services'!E55,"AAAAAH6y3y4=")</f>
        <v>#VALUE!</v>
      </c>
      <c r="AV284" t="e">
        <f>AND('Additional Services'!F55,"AAAAAH6y3y8=")</f>
        <v>#VALUE!</v>
      </c>
      <c r="AW284" t="e">
        <f>AND('Additional Services'!G55,"AAAAAH6y3zA=")</f>
        <v>#VALUE!</v>
      </c>
      <c r="AX284" t="e">
        <f>AND('Additional Services'!H55,"AAAAAH6y3zE=")</f>
        <v>#VALUE!</v>
      </c>
      <c r="AY284" t="e">
        <f>AND('Additional Services'!I55,"AAAAAH6y3zI=")</f>
        <v>#VALUE!</v>
      </c>
      <c r="AZ284" t="e">
        <f>AND('Additional Services'!J55,"AAAAAH6y3zM=")</f>
        <v>#VALUE!</v>
      </c>
      <c r="BA284" t="e">
        <f>AND('Additional Services'!K55,"AAAAAH6y3zQ=")</f>
        <v>#VALUE!</v>
      </c>
      <c r="BB284" t="e">
        <f>IF('Additional Services'!#REF!,"AAAAAH6y3zU=",0)</f>
        <v>#REF!</v>
      </c>
      <c r="BC284" t="e">
        <f>AND('Additional Services'!#REF!,"AAAAAH6y3zY=")</f>
        <v>#REF!</v>
      </c>
      <c r="BD284" t="e">
        <f>AND('Additional Services'!#REF!,"AAAAAH6y3zc=")</f>
        <v>#REF!</v>
      </c>
      <c r="BE284" t="e">
        <f>AND('Additional Services'!#REF!,"AAAAAH6y3zg=")</f>
        <v>#REF!</v>
      </c>
      <c r="BF284" t="e">
        <f>AND('Additional Services'!#REF!,"AAAAAH6y3zk=")</f>
        <v>#REF!</v>
      </c>
      <c r="BG284" t="e">
        <f>AND('Additional Services'!#REF!,"AAAAAH6y3zo=")</f>
        <v>#REF!</v>
      </c>
      <c r="BH284" t="e">
        <f>AND('Additional Services'!#REF!,"AAAAAH6y3zs=")</f>
        <v>#REF!</v>
      </c>
      <c r="BI284" t="e">
        <f>AND('Additional Services'!#REF!,"AAAAAH6y3zw=")</f>
        <v>#REF!</v>
      </c>
      <c r="BJ284" t="e">
        <f>AND('Additional Services'!#REF!,"AAAAAH6y3z0=")</f>
        <v>#REF!</v>
      </c>
      <c r="BK284" t="e">
        <f>AND('Additional Services'!#REF!,"AAAAAH6y3z4=")</f>
        <v>#REF!</v>
      </c>
      <c r="BL284" t="e">
        <f>AND('Additional Services'!#REF!,"AAAAAH6y3z8=")</f>
        <v>#REF!</v>
      </c>
      <c r="BM284" t="e">
        <f>AND('Additional Services'!#REF!,"AAAAAH6y30A=")</f>
        <v>#REF!</v>
      </c>
      <c r="BN284" t="e">
        <f>AND('Additional Services'!#REF!,"AAAAAH6y30E=")</f>
        <v>#REF!</v>
      </c>
      <c r="BO284" t="e">
        <f>AND('Additional Services'!#REF!,"AAAAAH6y30I=")</f>
        <v>#REF!</v>
      </c>
      <c r="BP284">
        <f>IF('Additional Services'!56:56,"AAAAAH6y30M=",0)</f>
        <v>0</v>
      </c>
      <c r="BQ284" t="e">
        <f>AND('Additional Services'!#REF!,"AAAAAH6y30Q=")</f>
        <v>#REF!</v>
      </c>
      <c r="BR284" t="e">
        <f>AND('Additional Services'!#REF!,"AAAAAH6y30U=")</f>
        <v>#REF!</v>
      </c>
      <c r="BS284" t="e">
        <f>AND('Additional Services'!A56,"AAAAAH6y30Y=")</f>
        <v>#VALUE!</v>
      </c>
      <c r="BT284" t="e">
        <f>AND('Additional Services'!B56,"AAAAAH6y30c=")</f>
        <v>#VALUE!</v>
      </c>
      <c r="BU284" t="e">
        <f>AND('Additional Services'!C56,"AAAAAH6y30g=")</f>
        <v>#VALUE!</v>
      </c>
      <c r="BV284" t="e">
        <f>AND('Additional Services'!D56,"AAAAAH6y30k=")</f>
        <v>#VALUE!</v>
      </c>
      <c r="BW284" t="e">
        <f>AND('Additional Services'!E56,"AAAAAH6y30o=")</f>
        <v>#VALUE!</v>
      </c>
      <c r="BX284" t="e">
        <f>AND('Additional Services'!F56,"AAAAAH6y30s=")</f>
        <v>#VALUE!</v>
      </c>
      <c r="BY284" t="e">
        <f>AND('Additional Services'!G56,"AAAAAH6y30w=")</f>
        <v>#VALUE!</v>
      </c>
      <c r="BZ284" t="e">
        <f>AND('Additional Services'!H56,"AAAAAH6y300=")</f>
        <v>#VALUE!</v>
      </c>
      <c r="CA284" t="e">
        <f>AND('Additional Services'!I56,"AAAAAH6y304=")</f>
        <v>#VALUE!</v>
      </c>
      <c r="CB284" t="e">
        <f>AND('Additional Services'!J56,"AAAAAH6y308=")</f>
        <v>#VALUE!</v>
      </c>
      <c r="CC284" t="e">
        <f>AND('Additional Services'!K56,"AAAAAH6y31A=")</f>
        <v>#VALUE!</v>
      </c>
      <c r="CD284">
        <f>IF('Additional Services'!57:57,"AAAAAH6y31E=",0)</f>
        <v>0</v>
      </c>
      <c r="CE284" t="e">
        <f>AND('Additional Services'!#REF!,"AAAAAH6y31I=")</f>
        <v>#REF!</v>
      </c>
      <c r="CF284" t="e">
        <f>AND('Additional Services'!#REF!,"AAAAAH6y31M=")</f>
        <v>#REF!</v>
      </c>
      <c r="CG284" t="e">
        <f>AND('Additional Services'!A57,"AAAAAH6y31Q=")</f>
        <v>#VALUE!</v>
      </c>
      <c r="CH284" t="e">
        <f>AND('Additional Services'!B57,"AAAAAH6y31U=")</f>
        <v>#VALUE!</v>
      </c>
      <c r="CI284" t="e">
        <f>AND('Additional Services'!C57,"AAAAAH6y31Y=")</f>
        <v>#VALUE!</v>
      </c>
      <c r="CJ284" t="e">
        <f>AND('Additional Services'!D57,"AAAAAH6y31c=")</f>
        <v>#VALUE!</v>
      </c>
      <c r="CK284" t="e">
        <f>AND('Additional Services'!E57,"AAAAAH6y31g=")</f>
        <v>#VALUE!</v>
      </c>
      <c r="CL284" t="e">
        <f>AND('Additional Services'!F57,"AAAAAH6y31k=")</f>
        <v>#VALUE!</v>
      </c>
      <c r="CM284" t="e">
        <f>AND('Additional Services'!G57,"AAAAAH6y31o=")</f>
        <v>#VALUE!</v>
      </c>
      <c r="CN284" t="e">
        <f>AND('Additional Services'!H57,"AAAAAH6y31s=")</f>
        <v>#VALUE!</v>
      </c>
      <c r="CO284" t="e">
        <f>AND('Additional Services'!I57,"AAAAAH6y31w=")</f>
        <v>#VALUE!</v>
      </c>
      <c r="CP284" t="e">
        <f>AND('Additional Services'!J57,"AAAAAH6y310=")</f>
        <v>#VALUE!</v>
      </c>
      <c r="CQ284" t="e">
        <f>AND('Additional Services'!K57,"AAAAAH6y314=")</f>
        <v>#VALUE!</v>
      </c>
      <c r="CR284">
        <f>IF('Additional Services'!58:58,"AAAAAH6y318=",0)</f>
        <v>0</v>
      </c>
      <c r="CS284" t="e">
        <f>AND('Additional Services'!#REF!,"AAAAAH6y32A=")</f>
        <v>#REF!</v>
      </c>
      <c r="CT284" t="e">
        <f>AND('Additional Services'!#REF!,"AAAAAH6y32E=")</f>
        <v>#REF!</v>
      </c>
      <c r="CU284" t="e">
        <f>AND('Additional Services'!A58,"AAAAAH6y32I=")</f>
        <v>#VALUE!</v>
      </c>
      <c r="CV284" t="e">
        <f>AND('Additional Services'!B58,"AAAAAH6y32M=")</f>
        <v>#VALUE!</v>
      </c>
      <c r="CW284" t="e">
        <f>AND('Additional Services'!C58,"AAAAAH6y32Q=")</f>
        <v>#VALUE!</v>
      </c>
      <c r="CX284" t="e">
        <f>AND('Additional Services'!D58,"AAAAAH6y32U=")</f>
        <v>#VALUE!</v>
      </c>
      <c r="CY284" t="e">
        <f>AND('Additional Services'!E58,"AAAAAH6y32Y=")</f>
        <v>#VALUE!</v>
      </c>
      <c r="CZ284" t="e">
        <f>AND('Additional Services'!F58,"AAAAAH6y32c=")</f>
        <v>#VALUE!</v>
      </c>
      <c r="DA284" t="e">
        <f>AND('Additional Services'!G58,"AAAAAH6y32g=")</f>
        <v>#VALUE!</v>
      </c>
      <c r="DB284" t="e">
        <f>AND('Additional Services'!H58,"AAAAAH6y32k=")</f>
        <v>#VALUE!</v>
      </c>
      <c r="DC284" t="e">
        <f>AND('Additional Services'!I58,"AAAAAH6y32o=")</f>
        <v>#VALUE!</v>
      </c>
      <c r="DD284" t="e">
        <f>AND('Additional Services'!J58,"AAAAAH6y32s=")</f>
        <v>#VALUE!</v>
      </c>
      <c r="DE284" t="e">
        <f>AND('Additional Services'!K58,"AAAAAH6y32w=")</f>
        <v>#VALUE!</v>
      </c>
      <c r="DF284">
        <f>IF('Additional Services'!59:59,"AAAAAH6y320=",0)</f>
        <v>0</v>
      </c>
      <c r="DG284" t="e">
        <f>AND('Additional Services'!#REF!,"AAAAAH6y324=")</f>
        <v>#REF!</v>
      </c>
      <c r="DH284" t="e">
        <f>AND('Additional Services'!#REF!,"AAAAAH6y328=")</f>
        <v>#REF!</v>
      </c>
      <c r="DI284" t="e">
        <f>AND('Additional Services'!A59,"AAAAAH6y33A=")</f>
        <v>#VALUE!</v>
      </c>
      <c r="DJ284" t="e">
        <f>AND('Additional Services'!B59,"AAAAAH6y33E=")</f>
        <v>#VALUE!</v>
      </c>
      <c r="DK284" t="e">
        <f>AND('Additional Services'!C59,"AAAAAH6y33I=")</f>
        <v>#VALUE!</v>
      </c>
      <c r="DL284" t="e">
        <f>AND('Additional Services'!D59,"AAAAAH6y33M=")</f>
        <v>#VALUE!</v>
      </c>
      <c r="DM284" t="e">
        <f>AND('Additional Services'!E59,"AAAAAH6y33Q=")</f>
        <v>#VALUE!</v>
      </c>
      <c r="DN284" t="e">
        <f>AND('Additional Services'!F59,"AAAAAH6y33U=")</f>
        <v>#VALUE!</v>
      </c>
      <c r="DO284" t="e">
        <f>AND('Additional Services'!G59,"AAAAAH6y33Y=")</f>
        <v>#VALUE!</v>
      </c>
      <c r="DP284" t="e">
        <f>AND('Additional Services'!H59,"AAAAAH6y33c=")</f>
        <v>#VALUE!</v>
      </c>
      <c r="DQ284" t="e">
        <f>AND('Additional Services'!I59,"AAAAAH6y33g=")</f>
        <v>#VALUE!</v>
      </c>
      <c r="DR284" t="e">
        <f>AND('Additional Services'!J59,"AAAAAH6y33k=")</f>
        <v>#VALUE!</v>
      </c>
      <c r="DS284" t="e">
        <f>AND('Additional Services'!K59,"AAAAAH6y33o=")</f>
        <v>#VALUE!</v>
      </c>
      <c r="DT284">
        <f>IF('Additional Services'!60:60,"AAAAAH6y33s=",0)</f>
        <v>0</v>
      </c>
      <c r="DU284" t="e">
        <f>AND('Additional Services'!#REF!,"AAAAAH6y33w=")</f>
        <v>#REF!</v>
      </c>
      <c r="DV284" t="e">
        <f>AND('Additional Services'!#REF!,"AAAAAH6y330=")</f>
        <v>#REF!</v>
      </c>
      <c r="DW284" t="e">
        <f>AND('Additional Services'!A60,"AAAAAH6y334=")</f>
        <v>#VALUE!</v>
      </c>
      <c r="DX284" t="e">
        <f>AND('Additional Services'!B60,"AAAAAH6y338=")</f>
        <v>#VALUE!</v>
      </c>
      <c r="DY284" t="e">
        <f>AND('Additional Services'!C60,"AAAAAH6y34A=")</f>
        <v>#VALUE!</v>
      </c>
      <c r="DZ284" t="e">
        <f>AND('Additional Services'!D60,"AAAAAH6y34E=")</f>
        <v>#VALUE!</v>
      </c>
      <c r="EA284" t="e">
        <f>AND('Additional Services'!E60,"AAAAAH6y34I=")</f>
        <v>#VALUE!</v>
      </c>
      <c r="EB284" t="e">
        <f>AND('Additional Services'!F60,"AAAAAH6y34M=")</f>
        <v>#VALUE!</v>
      </c>
      <c r="EC284" t="e">
        <f>AND('Additional Services'!G60,"AAAAAH6y34Q=")</f>
        <v>#VALUE!</v>
      </c>
      <c r="ED284" t="e">
        <f>AND('Additional Services'!H60,"AAAAAH6y34U=")</f>
        <v>#VALUE!</v>
      </c>
      <c r="EE284" t="e">
        <f>AND('Additional Services'!I60,"AAAAAH6y34Y=")</f>
        <v>#VALUE!</v>
      </c>
      <c r="EF284" t="e">
        <f>AND('Additional Services'!J60,"AAAAAH6y34c=")</f>
        <v>#VALUE!</v>
      </c>
      <c r="EG284" t="e">
        <f>AND('Additional Services'!K60,"AAAAAH6y34g=")</f>
        <v>#VALUE!</v>
      </c>
      <c r="EH284">
        <f>IF('Additional Services'!61:61,"AAAAAH6y34k=",0)</f>
        <v>0</v>
      </c>
      <c r="EI284" t="e">
        <f>AND('Additional Services'!#REF!,"AAAAAH6y34o=")</f>
        <v>#REF!</v>
      </c>
      <c r="EJ284" t="e">
        <f>AND('Additional Services'!#REF!,"AAAAAH6y34s=")</f>
        <v>#REF!</v>
      </c>
      <c r="EK284" t="e">
        <f>AND('Additional Services'!A61,"AAAAAH6y34w=")</f>
        <v>#VALUE!</v>
      </c>
      <c r="EL284" t="e">
        <f>AND('Additional Services'!B61,"AAAAAH6y340=")</f>
        <v>#VALUE!</v>
      </c>
      <c r="EM284" t="e">
        <f>AND('Additional Services'!C61,"AAAAAH6y344=")</f>
        <v>#VALUE!</v>
      </c>
      <c r="EN284" t="e">
        <f>AND('Additional Services'!D61,"AAAAAH6y348=")</f>
        <v>#VALUE!</v>
      </c>
      <c r="EO284" t="e">
        <f>AND('Additional Services'!E61,"AAAAAH6y35A=")</f>
        <v>#VALUE!</v>
      </c>
      <c r="EP284" t="e">
        <f>AND('Additional Services'!F61,"AAAAAH6y35E=")</f>
        <v>#VALUE!</v>
      </c>
      <c r="EQ284" t="e">
        <f>AND('Additional Services'!G61,"AAAAAH6y35I=")</f>
        <v>#VALUE!</v>
      </c>
      <c r="ER284" t="e">
        <f>AND('Additional Services'!H61,"AAAAAH6y35M=")</f>
        <v>#VALUE!</v>
      </c>
      <c r="ES284" t="e">
        <f>AND('Additional Services'!I61,"AAAAAH6y35Q=")</f>
        <v>#VALUE!</v>
      </c>
      <c r="ET284" t="e">
        <f>AND('Additional Services'!J61,"AAAAAH6y35U=")</f>
        <v>#VALUE!</v>
      </c>
      <c r="EU284" t="e">
        <f>AND('Additional Services'!K61,"AAAAAH6y35Y=")</f>
        <v>#VALUE!</v>
      </c>
      <c r="EV284">
        <f>IF('Additional Services'!62:62,"AAAAAH6y35c=",0)</f>
        <v>0</v>
      </c>
      <c r="EW284" t="e">
        <f>AND('Additional Services'!#REF!,"AAAAAH6y35g=")</f>
        <v>#REF!</v>
      </c>
      <c r="EX284" t="e">
        <f>AND('Additional Services'!#REF!,"AAAAAH6y35k=")</f>
        <v>#REF!</v>
      </c>
      <c r="EY284" t="e">
        <f>AND('Additional Services'!A62,"AAAAAH6y35o=")</f>
        <v>#VALUE!</v>
      </c>
      <c r="EZ284" t="e">
        <f>AND('Additional Services'!B62,"AAAAAH6y35s=")</f>
        <v>#VALUE!</v>
      </c>
      <c r="FA284" t="e">
        <f>AND('Additional Services'!C62,"AAAAAH6y35w=")</f>
        <v>#VALUE!</v>
      </c>
      <c r="FB284" t="e">
        <f>AND('Additional Services'!D62,"AAAAAH6y350=")</f>
        <v>#VALUE!</v>
      </c>
      <c r="FC284" t="e">
        <f>AND('Additional Services'!E62,"AAAAAH6y354=")</f>
        <v>#VALUE!</v>
      </c>
      <c r="FD284" t="e">
        <f>AND('Additional Services'!F62,"AAAAAH6y358=")</f>
        <v>#VALUE!</v>
      </c>
      <c r="FE284" t="e">
        <f>AND('Additional Services'!G62,"AAAAAH6y36A=")</f>
        <v>#VALUE!</v>
      </c>
      <c r="FF284" t="e">
        <f>AND('Additional Services'!H62,"AAAAAH6y36E=")</f>
        <v>#VALUE!</v>
      </c>
      <c r="FG284" t="e">
        <f>AND('Additional Services'!I62,"AAAAAH6y36I=")</f>
        <v>#VALUE!</v>
      </c>
      <c r="FH284" t="e">
        <f>AND('Additional Services'!J62,"AAAAAH6y36M=")</f>
        <v>#VALUE!</v>
      </c>
      <c r="FI284" t="e">
        <f>AND('Additional Services'!K62,"AAAAAH6y36Q=")</f>
        <v>#VALUE!</v>
      </c>
      <c r="FJ284">
        <f>IF('Additional Services'!63:63,"AAAAAH6y36U=",0)</f>
        <v>0</v>
      </c>
      <c r="FK284" t="e">
        <f>AND('Additional Services'!#REF!,"AAAAAH6y36Y=")</f>
        <v>#REF!</v>
      </c>
      <c r="FL284" t="e">
        <f>AND('Additional Services'!#REF!,"AAAAAH6y36c=")</f>
        <v>#REF!</v>
      </c>
      <c r="FM284" t="e">
        <f>AND('Additional Services'!#REF!,"AAAAAH6y36g=")</f>
        <v>#REF!</v>
      </c>
      <c r="FN284" t="e">
        <f>AND('Additional Services'!A63,"AAAAAH6y36k=")</f>
        <v>#VALUE!</v>
      </c>
      <c r="FO284" t="e">
        <f>AND('Additional Services'!B63,"AAAAAH6y36o=")</f>
        <v>#VALUE!</v>
      </c>
      <c r="FP284" t="e">
        <f>AND('Additional Services'!C63,"AAAAAH6y36s=")</f>
        <v>#VALUE!</v>
      </c>
      <c r="FQ284" t="e">
        <f>AND('Additional Services'!D63,"AAAAAH6y36w=")</f>
        <v>#VALUE!</v>
      </c>
      <c r="FR284" t="e">
        <f>AND('Additional Services'!E63,"AAAAAH6y360=")</f>
        <v>#VALUE!</v>
      </c>
      <c r="FS284" t="e">
        <f>AND('Additional Services'!F63,"AAAAAH6y364=")</f>
        <v>#VALUE!</v>
      </c>
      <c r="FT284" t="e">
        <f>AND('Additional Services'!G63,"AAAAAH6y368=")</f>
        <v>#VALUE!</v>
      </c>
      <c r="FU284" t="e">
        <f>AND('Additional Services'!H63,"AAAAAH6y37A=")</f>
        <v>#VALUE!</v>
      </c>
      <c r="FV284" t="e">
        <f>AND('Additional Services'!I63,"AAAAAH6y37E=")</f>
        <v>#VALUE!</v>
      </c>
      <c r="FW284" t="e">
        <f>AND('Additional Services'!J63,"AAAAAH6y37I=")</f>
        <v>#VALUE!</v>
      </c>
      <c r="FX284" t="e">
        <f>IF('Additional Services'!#REF!,"AAAAAH6y37M=",0)</f>
        <v>#REF!</v>
      </c>
      <c r="FY284" t="e">
        <f>AND('Additional Services'!#REF!,"AAAAAH6y37Q=")</f>
        <v>#REF!</v>
      </c>
      <c r="FZ284" t="e">
        <f>AND('Additional Services'!#REF!,"AAAAAH6y37U=")</f>
        <v>#REF!</v>
      </c>
      <c r="GA284" t="e">
        <f>AND('Additional Services'!#REF!,"AAAAAH6y37Y=")</f>
        <v>#REF!</v>
      </c>
      <c r="GB284" t="e">
        <f>AND('Additional Services'!#REF!,"AAAAAH6y37c=")</f>
        <v>#REF!</v>
      </c>
      <c r="GC284" t="e">
        <f>AND('Additional Services'!#REF!,"AAAAAH6y37g=")</f>
        <v>#REF!</v>
      </c>
      <c r="GD284" t="e">
        <f>AND('Additional Services'!#REF!,"AAAAAH6y37k=")</f>
        <v>#REF!</v>
      </c>
      <c r="GE284" t="e">
        <f>AND('Additional Services'!#REF!,"AAAAAH6y37o=")</f>
        <v>#REF!</v>
      </c>
      <c r="GF284" t="e">
        <f>AND('Additional Services'!#REF!,"AAAAAH6y37s=")</f>
        <v>#REF!</v>
      </c>
      <c r="GG284" t="e">
        <f>AND('Additional Services'!#REF!,"AAAAAH6y37w=")</f>
        <v>#REF!</v>
      </c>
      <c r="GH284" t="e">
        <f>AND('Additional Services'!#REF!,"AAAAAH6y370=")</f>
        <v>#REF!</v>
      </c>
      <c r="GI284" t="e">
        <f>AND('Additional Services'!#REF!,"AAAAAH6y374=")</f>
        <v>#REF!</v>
      </c>
      <c r="GJ284" t="e">
        <f>AND('Additional Services'!#REF!,"AAAAAH6y378=")</f>
        <v>#REF!</v>
      </c>
      <c r="GK284" t="e">
        <f>AND('Additional Services'!#REF!,"AAAAAH6y38A=")</f>
        <v>#REF!</v>
      </c>
      <c r="GL284">
        <f>IF('Additional Services'!64:64,"AAAAAH6y38E=",0)</f>
        <v>0</v>
      </c>
      <c r="GM284" t="e">
        <f>AND('Additional Services'!#REF!,"AAAAAH6y38I=")</f>
        <v>#REF!</v>
      </c>
      <c r="GN284" t="e">
        <f>AND('Additional Services'!#REF!,"AAAAAH6y38M=")</f>
        <v>#REF!</v>
      </c>
      <c r="GO284" t="e">
        <f>AND('Additional Services'!#REF!,"AAAAAH6y38Q=")</f>
        <v>#REF!</v>
      </c>
      <c r="GP284" t="e">
        <f>AND('Additional Services'!A64,"AAAAAH6y38U=")</f>
        <v>#VALUE!</v>
      </c>
      <c r="GQ284" t="e">
        <f>AND('Additional Services'!B64,"AAAAAH6y38Y=")</f>
        <v>#VALUE!</v>
      </c>
      <c r="GR284" t="e">
        <f>AND('Additional Services'!C64,"AAAAAH6y38c=")</f>
        <v>#VALUE!</v>
      </c>
      <c r="GS284" t="e">
        <f>AND('Additional Services'!D64,"AAAAAH6y38g=")</f>
        <v>#VALUE!</v>
      </c>
      <c r="GT284" t="e">
        <f>AND('Additional Services'!E64,"AAAAAH6y38k=")</f>
        <v>#VALUE!</v>
      </c>
      <c r="GU284" t="e">
        <f>AND('Additional Services'!F64,"AAAAAH6y38o=")</f>
        <v>#VALUE!</v>
      </c>
      <c r="GV284" t="e">
        <f>AND('Additional Services'!G64,"AAAAAH6y38s=")</f>
        <v>#VALUE!</v>
      </c>
      <c r="GW284" t="e">
        <f>AND('Additional Services'!H64,"AAAAAH6y38w=")</f>
        <v>#VALUE!</v>
      </c>
      <c r="GX284" t="e">
        <f>AND('Additional Services'!I64,"AAAAAH6y380=")</f>
        <v>#VALUE!</v>
      </c>
      <c r="GY284" t="e">
        <f>AND('Additional Services'!J64,"AAAAAH6y384=")</f>
        <v>#VALUE!</v>
      </c>
      <c r="GZ284">
        <f>IF('Additional Services'!65:65,"AAAAAH6y388=",0)</f>
        <v>0</v>
      </c>
      <c r="HA284" t="e">
        <f>AND('Additional Services'!#REF!,"AAAAAH6y39A=")</f>
        <v>#REF!</v>
      </c>
      <c r="HB284" t="e">
        <f>AND('Additional Services'!#REF!,"AAAAAH6y39E=")</f>
        <v>#REF!</v>
      </c>
      <c r="HC284" t="e">
        <f>AND('Additional Services'!#REF!,"AAAAAH6y39I=")</f>
        <v>#REF!</v>
      </c>
      <c r="HD284" t="e">
        <f>AND('Additional Services'!A65,"AAAAAH6y39M=")</f>
        <v>#VALUE!</v>
      </c>
      <c r="HE284" t="e">
        <f>AND('Additional Services'!B65,"AAAAAH6y39Q=")</f>
        <v>#VALUE!</v>
      </c>
      <c r="HF284" t="e">
        <f>AND('Additional Services'!C65,"AAAAAH6y39U=")</f>
        <v>#VALUE!</v>
      </c>
      <c r="HG284" t="e">
        <f>AND('Additional Services'!D65,"AAAAAH6y39Y=")</f>
        <v>#VALUE!</v>
      </c>
      <c r="HH284" t="e">
        <f>AND('Additional Services'!E65,"AAAAAH6y39c=")</f>
        <v>#VALUE!</v>
      </c>
      <c r="HI284" t="e">
        <f>AND('Additional Services'!F65,"AAAAAH6y39g=")</f>
        <v>#VALUE!</v>
      </c>
      <c r="HJ284" t="e">
        <f>AND('Additional Services'!G65,"AAAAAH6y39k=")</f>
        <v>#VALUE!</v>
      </c>
      <c r="HK284" t="e">
        <f>AND('Additional Services'!H65,"AAAAAH6y39o=")</f>
        <v>#VALUE!</v>
      </c>
      <c r="HL284" t="e">
        <f>AND('Additional Services'!I65,"AAAAAH6y39s=")</f>
        <v>#VALUE!</v>
      </c>
      <c r="HM284" t="e">
        <f>AND('Additional Services'!J65,"AAAAAH6y39w=")</f>
        <v>#VALUE!</v>
      </c>
      <c r="HN284">
        <f>IF('Additional Services'!66:66,"AAAAAH6y390=",0)</f>
        <v>0</v>
      </c>
      <c r="HO284" t="e">
        <f>AND('Additional Services'!#REF!,"AAAAAH6y394=")</f>
        <v>#REF!</v>
      </c>
      <c r="HP284" t="e">
        <f>AND('Additional Services'!#REF!,"AAAAAH6y398=")</f>
        <v>#REF!</v>
      </c>
      <c r="HQ284" t="e">
        <f>AND('Additional Services'!#REF!,"AAAAAH6y3+A=")</f>
        <v>#REF!</v>
      </c>
      <c r="HR284" t="e">
        <f>AND('Additional Services'!A66,"AAAAAH6y3+E=")</f>
        <v>#VALUE!</v>
      </c>
      <c r="HS284" t="e">
        <f>AND('Additional Services'!B66,"AAAAAH6y3+I=")</f>
        <v>#VALUE!</v>
      </c>
      <c r="HT284" t="e">
        <f>AND('Additional Services'!C66,"AAAAAH6y3+M=")</f>
        <v>#VALUE!</v>
      </c>
      <c r="HU284" t="e">
        <f>AND('Additional Services'!D66,"AAAAAH6y3+Q=")</f>
        <v>#VALUE!</v>
      </c>
      <c r="HV284" t="e">
        <f>AND('Additional Services'!E66,"AAAAAH6y3+U=")</f>
        <v>#VALUE!</v>
      </c>
      <c r="HW284" t="e">
        <f>AND('Additional Services'!F66,"AAAAAH6y3+Y=")</f>
        <v>#VALUE!</v>
      </c>
      <c r="HX284" t="e">
        <f>AND('Additional Services'!G66,"AAAAAH6y3+c=")</f>
        <v>#VALUE!</v>
      </c>
      <c r="HY284" t="e">
        <f>AND('Additional Services'!H66,"AAAAAH6y3+g=")</f>
        <v>#VALUE!</v>
      </c>
      <c r="HZ284" t="e">
        <f>AND('Additional Services'!I66,"AAAAAH6y3+k=")</f>
        <v>#VALUE!</v>
      </c>
      <c r="IA284" t="e">
        <f>AND('Additional Services'!J66,"AAAAAH6y3+o=")</f>
        <v>#VALUE!</v>
      </c>
      <c r="IB284">
        <f>IF('Additional Services'!67:67,"AAAAAH6y3+s=",0)</f>
        <v>0</v>
      </c>
      <c r="IC284" t="e">
        <f>AND('Additional Services'!#REF!,"AAAAAH6y3+w=")</f>
        <v>#REF!</v>
      </c>
      <c r="ID284" t="e">
        <f>AND('Additional Services'!#REF!,"AAAAAH6y3+0=")</f>
        <v>#REF!</v>
      </c>
      <c r="IE284" t="e">
        <f>AND('Additional Services'!#REF!,"AAAAAH6y3+4=")</f>
        <v>#REF!</v>
      </c>
      <c r="IF284" t="e">
        <f>AND('Additional Services'!A67,"AAAAAH6y3+8=")</f>
        <v>#VALUE!</v>
      </c>
      <c r="IG284" t="e">
        <f>AND('Additional Services'!B67,"AAAAAH6y3/A=")</f>
        <v>#VALUE!</v>
      </c>
      <c r="IH284" t="e">
        <f>AND('Additional Services'!C67,"AAAAAH6y3/E=")</f>
        <v>#VALUE!</v>
      </c>
      <c r="II284" t="e">
        <f>AND('Additional Services'!D67,"AAAAAH6y3/I=")</f>
        <v>#VALUE!</v>
      </c>
      <c r="IJ284" t="e">
        <f>AND('Additional Services'!E67,"AAAAAH6y3/M=")</f>
        <v>#VALUE!</v>
      </c>
      <c r="IK284" t="e">
        <f>AND('Additional Services'!F67,"AAAAAH6y3/Q=")</f>
        <v>#VALUE!</v>
      </c>
      <c r="IL284" t="e">
        <f>AND('Additional Services'!G67,"AAAAAH6y3/U=")</f>
        <v>#VALUE!</v>
      </c>
      <c r="IM284" t="e">
        <f>AND('Additional Services'!H67,"AAAAAH6y3/Y=")</f>
        <v>#VALUE!</v>
      </c>
      <c r="IN284" t="e">
        <f>AND('Additional Services'!I67,"AAAAAH6y3/c=")</f>
        <v>#VALUE!</v>
      </c>
      <c r="IO284" t="e">
        <f>AND('Additional Services'!J67,"AAAAAH6y3/g=")</f>
        <v>#VALUE!</v>
      </c>
      <c r="IP284">
        <f>IF('Additional Services'!68:68,"AAAAAH6y3/k=",0)</f>
        <v>0</v>
      </c>
      <c r="IQ284" t="e">
        <f>AND('Additional Services'!#REF!,"AAAAAH6y3/o=")</f>
        <v>#REF!</v>
      </c>
      <c r="IR284" t="e">
        <f>AND('Additional Services'!#REF!,"AAAAAH6y3/s=")</f>
        <v>#REF!</v>
      </c>
      <c r="IS284" t="e">
        <f>AND('Additional Services'!#REF!,"AAAAAH6y3/w=")</f>
        <v>#REF!</v>
      </c>
      <c r="IT284" t="e">
        <f>AND('Additional Services'!A68,"AAAAAH6y3/0=")</f>
        <v>#VALUE!</v>
      </c>
      <c r="IU284" t="e">
        <f>AND('Additional Services'!B68,"AAAAAH6y3/4=")</f>
        <v>#VALUE!</v>
      </c>
      <c r="IV284" t="e">
        <f>AND('Additional Services'!C68,"AAAAAH6y3/8=")</f>
        <v>#VALUE!</v>
      </c>
    </row>
    <row r="285" spans="1:256" x14ac:dyDescent="0.2">
      <c r="A285" t="e">
        <f>AND('Additional Services'!D68,"AAAAAGv78QA=")</f>
        <v>#VALUE!</v>
      </c>
      <c r="B285" t="e">
        <f>AND('Additional Services'!E68,"AAAAAGv78QE=")</f>
        <v>#VALUE!</v>
      </c>
      <c r="C285" t="e">
        <f>AND('Additional Services'!F68,"AAAAAGv78QI=")</f>
        <v>#VALUE!</v>
      </c>
      <c r="D285" t="e">
        <f>AND('Additional Services'!G68,"AAAAAGv78QM=")</f>
        <v>#VALUE!</v>
      </c>
      <c r="E285" t="e">
        <f>AND('Additional Services'!H68,"AAAAAGv78QQ=")</f>
        <v>#VALUE!</v>
      </c>
      <c r="F285" t="e">
        <f>AND('Additional Services'!I68,"AAAAAGv78QU=")</f>
        <v>#VALUE!</v>
      </c>
      <c r="G285" t="e">
        <f>AND('Additional Services'!J68,"AAAAAGv78QY=")</f>
        <v>#VALUE!</v>
      </c>
      <c r="H285">
        <f>IF('Additional Services'!69:69,"AAAAAGv78Qc=",0)</f>
        <v>0</v>
      </c>
      <c r="I285" t="e">
        <f>AND('Additional Services'!#REF!,"AAAAAGv78Qg=")</f>
        <v>#REF!</v>
      </c>
      <c r="J285" t="e">
        <f>AND('Additional Services'!#REF!,"AAAAAGv78Qk=")</f>
        <v>#REF!</v>
      </c>
      <c r="K285" t="e">
        <f>AND('Additional Services'!#REF!,"AAAAAGv78Qo=")</f>
        <v>#REF!</v>
      </c>
      <c r="L285" t="e">
        <f>AND('Additional Services'!A69,"AAAAAGv78Qs=")</f>
        <v>#VALUE!</v>
      </c>
      <c r="M285" t="e">
        <f>AND('Additional Services'!B69,"AAAAAGv78Qw=")</f>
        <v>#VALUE!</v>
      </c>
      <c r="N285" t="e">
        <f>AND('Additional Services'!C69,"AAAAAGv78Q0=")</f>
        <v>#VALUE!</v>
      </c>
      <c r="O285" t="e">
        <f>AND('Additional Services'!D69,"AAAAAGv78Q4=")</f>
        <v>#VALUE!</v>
      </c>
      <c r="P285" t="e">
        <f>AND('Additional Services'!E69,"AAAAAGv78Q8=")</f>
        <v>#VALUE!</v>
      </c>
      <c r="Q285" t="e">
        <f>AND('Additional Services'!F69,"AAAAAGv78RA=")</f>
        <v>#VALUE!</v>
      </c>
      <c r="R285" t="e">
        <f>AND('Additional Services'!G69,"AAAAAGv78RE=")</f>
        <v>#VALUE!</v>
      </c>
      <c r="S285" t="e">
        <f>AND('Additional Services'!H69,"AAAAAGv78RI=")</f>
        <v>#VALUE!</v>
      </c>
      <c r="T285" t="e">
        <f>AND('Additional Services'!I69,"AAAAAGv78RM=")</f>
        <v>#VALUE!</v>
      </c>
      <c r="U285" t="e">
        <f>AND('Additional Services'!J69,"AAAAAGv78RQ=")</f>
        <v>#VALUE!</v>
      </c>
      <c r="V285">
        <f>IF('Additional Services'!70:70,"AAAAAGv78RU=",0)</f>
        <v>0</v>
      </c>
      <c r="W285" t="e">
        <f>AND('Additional Services'!#REF!,"AAAAAGv78RY=")</f>
        <v>#REF!</v>
      </c>
      <c r="X285" t="e">
        <f>AND('Additional Services'!#REF!,"AAAAAGv78Rc=")</f>
        <v>#REF!</v>
      </c>
      <c r="Y285" t="e">
        <f>AND('Additional Services'!#REF!,"AAAAAGv78Rg=")</f>
        <v>#REF!</v>
      </c>
      <c r="Z285" t="e">
        <f>AND('Additional Services'!A70,"AAAAAGv78Rk=")</f>
        <v>#VALUE!</v>
      </c>
      <c r="AA285" t="e">
        <f>AND('Additional Services'!B70,"AAAAAGv78Ro=")</f>
        <v>#VALUE!</v>
      </c>
      <c r="AB285" t="e">
        <f>AND('Additional Services'!C70,"AAAAAGv78Rs=")</f>
        <v>#VALUE!</v>
      </c>
      <c r="AC285" t="e">
        <f>AND('Additional Services'!D70,"AAAAAGv78Rw=")</f>
        <v>#VALUE!</v>
      </c>
      <c r="AD285" t="e">
        <f>AND('Additional Services'!E70,"AAAAAGv78R0=")</f>
        <v>#VALUE!</v>
      </c>
      <c r="AE285" t="e">
        <f>AND('Additional Services'!F70,"AAAAAGv78R4=")</f>
        <v>#VALUE!</v>
      </c>
      <c r="AF285" t="e">
        <f>AND('Additional Services'!G70,"AAAAAGv78R8=")</f>
        <v>#VALUE!</v>
      </c>
      <c r="AG285" t="e">
        <f>AND('Additional Services'!H70,"AAAAAGv78SA=")</f>
        <v>#VALUE!</v>
      </c>
      <c r="AH285" t="e">
        <f>AND('Additional Services'!I70,"AAAAAGv78SE=")</f>
        <v>#VALUE!</v>
      </c>
      <c r="AI285" t="e">
        <f>AND('Additional Services'!J70,"AAAAAGv78SI=")</f>
        <v>#VALUE!</v>
      </c>
      <c r="AJ285">
        <f>IF('Additional Services'!71:71,"AAAAAGv78SM=",0)</f>
        <v>0</v>
      </c>
      <c r="AK285" t="e">
        <f>AND('Additional Services'!#REF!,"AAAAAGv78SQ=")</f>
        <v>#REF!</v>
      </c>
      <c r="AL285" t="e">
        <f>AND('Additional Services'!#REF!,"AAAAAGv78SU=")</f>
        <v>#REF!</v>
      </c>
      <c r="AM285" t="e">
        <f>AND('Additional Services'!#REF!,"AAAAAGv78SY=")</f>
        <v>#REF!</v>
      </c>
      <c r="AN285" t="e">
        <f>AND('Additional Services'!A71,"AAAAAGv78Sc=")</f>
        <v>#VALUE!</v>
      </c>
      <c r="AO285" t="e">
        <f>AND('Additional Services'!B71,"AAAAAGv78Sg=")</f>
        <v>#VALUE!</v>
      </c>
      <c r="AP285" t="e">
        <f>AND('Additional Services'!C71,"AAAAAGv78Sk=")</f>
        <v>#VALUE!</v>
      </c>
      <c r="AQ285" t="e">
        <f>AND('Additional Services'!D71,"AAAAAGv78So=")</f>
        <v>#VALUE!</v>
      </c>
      <c r="AR285" t="e">
        <f>AND('Additional Services'!E71,"AAAAAGv78Ss=")</f>
        <v>#VALUE!</v>
      </c>
      <c r="AS285" t="e">
        <f>AND('Additional Services'!F71,"AAAAAGv78Sw=")</f>
        <v>#VALUE!</v>
      </c>
      <c r="AT285" t="e">
        <f>AND('Additional Services'!G71,"AAAAAGv78S0=")</f>
        <v>#VALUE!</v>
      </c>
      <c r="AU285" t="e">
        <f>AND('Additional Services'!H71,"AAAAAGv78S4=")</f>
        <v>#VALUE!</v>
      </c>
      <c r="AV285" t="e">
        <f>AND('Additional Services'!I71,"AAAAAGv78S8=")</f>
        <v>#VALUE!</v>
      </c>
      <c r="AW285" t="e">
        <f>AND('Additional Services'!J71,"AAAAAGv78TA=")</f>
        <v>#VALUE!</v>
      </c>
      <c r="AX285">
        <f>IF('Additional Services'!72:72,"AAAAAGv78TE=",0)</f>
        <v>0</v>
      </c>
      <c r="AY285" t="e">
        <f>AND('Additional Services'!#REF!,"AAAAAGv78TI=")</f>
        <v>#REF!</v>
      </c>
      <c r="AZ285" t="e">
        <f>AND('Additional Services'!#REF!,"AAAAAGv78TM=")</f>
        <v>#REF!</v>
      </c>
      <c r="BA285" t="e">
        <f>AND('Additional Services'!#REF!,"AAAAAGv78TQ=")</f>
        <v>#REF!</v>
      </c>
      <c r="BB285" t="e">
        <f>AND('Additional Services'!A72,"AAAAAGv78TU=")</f>
        <v>#VALUE!</v>
      </c>
      <c r="BC285" t="e">
        <f>AND('Additional Services'!B72,"AAAAAGv78TY=")</f>
        <v>#VALUE!</v>
      </c>
      <c r="BD285" t="e">
        <f>AND('Additional Services'!C72,"AAAAAGv78Tc=")</f>
        <v>#VALUE!</v>
      </c>
      <c r="BE285" t="e">
        <f>AND('Additional Services'!D72,"AAAAAGv78Tg=")</f>
        <v>#VALUE!</v>
      </c>
      <c r="BF285" t="e">
        <f>AND('Additional Services'!E72,"AAAAAGv78Tk=")</f>
        <v>#VALUE!</v>
      </c>
      <c r="BG285" t="e">
        <f>AND('Additional Services'!F72,"AAAAAGv78To=")</f>
        <v>#VALUE!</v>
      </c>
      <c r="BH285" t="e">
        <f>AND('Additional Services'!G72,"AAAAAGv78Ts=")</f>
        <v>#VALUE!</v>
      </c>
      <c r="BI285" t="e">
        <f>AND('Additional Services'!H72,"AAAAAGv78Tw=")</f>
        <v>#VALUE!</v>
      </c>
      <c r="BJ285" t="e">
        <f>AND('Additional Services'!I72,"AAAAAGv78T0=")</f>
        <v>#VALUE!</v>
      </c>
      <c r="BK285" t="e">
        <f>AND('Additional Services'!J72,"AAAAAGv78T4=")</f>
        <v>#VALUE!</v>
      </c>
      <c r="BL285" t="e">
        <f>IF('Additional Services'!#REF!,"AAAAAGv78T8=",0)</f>
        <v>#REF!</v>
      </c>
      <c r="BM285" t="e">
        <f>AND('Additional Services'!#REF!,"AAAAAGv78UA=")</f>
        <v>#REF!</v>
      </c>
      <c r="BN285" t="e">
        <f>AND('Additional Services'!#REF!,"AAAAAGv78UE=")</f>
        <v>#REF!</v>
      </c>
      <c r="BO285" t="e">
        <f>AND('Additional Services'!#REF!,"AAAAAGv78UI=")</f>
        <v>#REF!</v>
      </c>
      <c r="BP285" t="e">
        <f>AND('Additional Services'!#REF!,"AAAAAGv78UM=")</f>
        <v>#REF!</v>
      </c>
      <c r="BQ285" t="e">
        <f>AND('Additional Services'!#REF!,"AAAAAGv78UQ=")</f>
        <v>#REF!</v>
      </c>
      <c r="BR285" t="e">
        <f>AND('Additional Services'!#REF!,"AAAAAGv78UU=")</f>
        <v>#REF!</v>
      </c>
      <c r="BS285" t="e">
        <f>AND('Additional Services'!#REF!,"AAAAAGv78UY=")</f>
        <v>#REF!</v>
      </c>
      <c r="BT285" t="e">
        <f>AND('Additional Services'!#REF!,"AAAAAGv78Uc=")</f>
        <v>#REF!</v>
      </c>
      <c r="BU285" t="e">
        <f>AND('Additional Services'!#REF!,"AAAAAGv78Ug=")</f>
        <v>#REF!</v>
      </c>
      <c r="BV285" t="e">
        <f>AND('Additional Services'!#REF!,"AAAAAGv78Uk=")</f>
        <v>#REF!</v>
      </c>
      <c r="BW285" t="e">
        <f>AND('Additional Services'!#REF!,"AAAAAGv78Uo=")</f>
        <v>#REF!</v>
      </c>
      <c r="BX285" t="e">
        <f>AND('Additional Services'!#REF!,"AAAAAGv78Us=")</f>
        <v>#REF!</v>
      </c>
      <c r="BY285" t="e">
        <f>AND('Additional Services'!#REF!,"AAAAAGv78Uw=")</f>
        <v>#REF!</v>
      </c>
      <c r="BZ285">
        <f>IF('Additional Services'!73:73,"AAAAAGv78U0=",0)</f>
        <v>0</v>
      </c>
      <c r="CA285" t="e">
        <f>AND('Additional Services'!#REF!,"AAAAAGv78U4=")</f>
        <v>#REF!</v>
      </c>
      <c r="CB285" t="e">
        <f>AND('Additional Services'!#REF!,"AAAAAGv78U8=")</f>
        <v>#REF!</v>
      </c>
      <c r="CC285" t="e">
        <f>AND('Additional Services'!#REF!,"AAAAAGv78VA=")</f>
        <v>#REF!</v>
      </c>
      <c r="CD285" t="e">
        <f>AND('Additional Services'!A73,"AAAAAGv78VE=")</f>
        <v>#VALUE!</v>
      </c>
      <c r="CE285" t="e">
        <f>AND('Additional Services'!B73,"AAAAAGv78VI=")</f>
        <v>#VALUE!</v>
      </c>
      <c r="CF285" t="e">
        <f>AND('Additional Services'!C73,"AAAAAGv78VM=")</f>
        <v>#VALUE!</v>
      </c>
      <c r="CG285" t="e">
        <f>AND('Additional Services'!D73,"AAAAAGv78VQ=")</f>
        <v>#VALUE!</v>
      </c>
      <c r="CH285" t="e">
        <f>AND('Additional Services'!E73,"AAAAAGv78VU=")</f>
        <v>#VALUE!</v>
      </c>
      <c r="CI285" t="e">
        <f>AND('Additional Services'!F73,"AAAAAGv78VY=")</f>
        <v>#VALUE!</v>
      </c>
      <c r="CJ285" t="e">
        <f>AND('Additional Services'!G73,"AAAAAGv78Vc=")</f>
        <v>#VALUE!</v>
      </c>
      <c r="CK285" t="e">
        <f>AND('Additional Services'!H73,"AAAAAGv78Vg=")</f>
        <v>#VALUE!</v>
      </c>
      <c r="CL285" t="e">
        <f>AND('Additional Services'!I73,"AAAAAGv78Vk=")</f>
        <v>#VALUE!</v>
      </c>
      <c r="CM285" t="e">
        <f>AND('Additional Services'!J73,"AAAAAGv78Vo=")</f>
        <v>#VALUE!</v>
      </c>
      <c r="CN285">
        <f>IF('Additional Services'!74:74,"AAAAAGv78Vs=",0)</f>
        <v>0</v>
      </c>
      <c r="CO285" t="e">
        <f>AND('Additional Services'!#REF!,"AAAAAGv78Vw=")</f>
        <v>#REF!</v>
      </c>
      <c r="CP285" t="e">
        <f>AND('Additional Services'!#REF!,"AAAAAGv78V0=")</f>
        <v>#REF!</v>
      </c>
      <c r="CQ285" t="e">
        <f>AND('Additional Services'!#REF!,"AAAAAGv78V4=")</f>
        <v>#REF!</v>
      </c>
      <c r="CR285" t="e">
        <f>AND('Additional Services'!A74,"AAAAAGv78V8=")</f>
        <v>#VALUE!</v>
      </c>
      <c r="CS285" t="e">
        <f>AND('Additional Services'!B74,"AAAAAGv78WA=")</f>
        <v>#VALUE!</v>
      </c>
      <c r="CT285" t="e">
        <f>AND('Additional Services'!C74,"AAAAAGv78WE=")</f>
        <v>#VALUE!</v>
      </c>
      <c r="CU285" t="e">
        <f>AND('Additional Services'!D74,"AAAAAGv78WI=")</f>
        <v>#VALUE!</v>
      </c>
      <c r="CV285" t="e">
        <f>AND('Additional Services'!E74,"AAAAAGv78WM=")</f>
        <v>#VALUE!</v>
      </c>
      <c r="CW285" t="e">
        <f>AND('Additional Services'!F74,"AAAAAGv78WQ=")</f>
        <v>#VALUE!</v>
      </c>
      <c r="CX285" t="e">
        <f>AND('Additional Services'!G74,"AAAAAGv78WU=")</f>
        <v>#VALUE!</v>
      </c>
      <c r="CY285" t="e">
        <f>AND('Additional Services'!H74,"AAAAAGv78WY=")</f>
        <v>#VALUE!</v>
      </c>
      <c r="CZ285" t="e">
        <f>AND('Additional Services'!I74,"AAAAAGv78Wc=")</f>
        <v>#VALUE!</v>
      </c>
      <c r="DA285" t="e">
        <f>AND('Additional Services'!J74,"AAAAAGv78Wg=")</f>
        <v>#VALUE!</v>
      </c>
      <c r="DB285">
        <f>IF('Additional Services'!75:75,"AAAAAGv78Wk=",0)</f>
        <v>0</v>
      </c>
      <c r="DC285" t="e">
        <f>AND('Additional Services'!#REF!,"AAAAAGv78Wo=")</f>
        <v>#REF!</v>
      </c>
      <c r="DD285" t="e">
        <f>AND('Additional Services'!#REF!,"AAAAAGv78Ws=")</f>
        <v>#REF!</v>
      </c>
      <c r="DE285" t="e">
        <f>AND('Additional Services'!#REF!,"AAAAAGv78Ww=")</f>
        <v>#REF!</v>
      </c>
      <c r="DF285" t="e">
        <f>AND('Additional Services'!A75,"AAAAAGv78W0=")</f>
        <v>#VALUE!</v>
      </c>
      <c r="DG285" t="e">
        <f>AND('Additional Services'!B75,"AAAAAGv78W4=")</f>
        <v>#VALUE!</v>
      </c>
      <c r="DH285" t="e">
        <f>AND('Additional Services'!C75,"AAAAAGv78W8=")</f>
        <v>#VALUE!</v>
      </c>
      <c r="DI285" t="e">
        <f>AND('Additional Services'!D75,"AAAAAGv78XA=")</f>
        <v>#VALUE!</v>
      </c>
      <c r="DJ285" t="e">
        <f>AND('Additional Services'!E75,"AAAAAGv78XE=")</f>
        <v>#VALUE!</v>
      </c>
      <c r="DK285" t="e">
        <f>AND('Additional Services'!F75,"AAAAAGv78XI=")</f>
        <v>#VALUE!</v>
      </c>
      <c r="DL285" t="e">
        <f>AND('Additional Services'!G75,"AAAAAGv78XM=")</f>
        <v>#VALUE!</v>
      </c>
      <c r="DM285" t="e">
        <f>AND('Additional Services'!H75,"AAAAAGv78XQ=")</f>
        <v>#VALUE!</v>
      </c>
      <c r="DN285" t="e">
        <f>AND('Additional Services'!I75,"AAAAAGv78XU=")</f>
        <v>#VALUE!</v>
      </c>
      <c r="DO285" t="e">
        <f>AND('Additional Services'!J75,"AAAAAGv78XY=")</f>
        <v>#VALUE!</v>
      </c>
      <c r="DP285" t="e">
        <f>IF('Additional Services'!#REF!,"AAAAAGv78Xc=",0)</f>
        <v>#REF!</v>
      </c>
      <c r="DQ285" t="e">
        <f>AND('Additional Services'!#REF!,"AAAAAGv78Xg=")</f>
        <v>#REF!</v>
      </c>
      <c r="DR285" t="e">
        <f>AND('Additional Services'!#REF!,"AAAAAGv78Xk=")</f>
        <v>#REF!</v>
      </c>
      <c r="DS285" t="e">
        <f>AND('Additional Services'!#REF!,"AAAAAGv78Xo=")</f>
        <v>#REF!</v>
      </c>
      <c r="DT285" t="e">
        <f>AND('Additional Services'!#REF!,"AAAAAGv78Xs=")</f>
        <v>#REF!</v>
      </c>
      <c r="DU285" t="e">
        <f>AND('Additional Services'!#REF!,"AAAAAGv78Xw=")</f>
        <v>#REF!</v>
      </c>
      <c r="DV285" t="e">
        <f>AND('Additional Services'!#REF!,"AAAAAGv78X0=")</f>
        <v>#REF!</v>
      </c>
      <c r="DW285" t="e">
        <f>AND('Additional Services'!#REF!,"AAAAAGv78X4=")</f>
        <v>#REF!</v>
      </c>
      <c r="DX285" t="e">
        <f>AND('Additional Services'!#REF!,"AAAAAGv78X8=")</f>
        <v>#REF!</v>
      </c>
      <c r="DY285" t="e">
        <f>AND('Additional Services'!#REF!,"AAAAAGv78YA=")</f>
        <v>#REF!</v>
      </c>
      <c r="DZ285" t="e">
        <f>AND('Additional Services'!#REF!,"AAAAAGv78YE=")</f>
        <v>#REF!</v>
      </c>
      <c r="EA285" t="e">
        <f>AND('Additional Services'!#REF!,"AAAAAGv78YI=")</f>
        <v>#REF!</v>
      </c>
      <c r="EB285" t="e">
        <f>AND('Additional Services'!#REF!,"AAAAAGv78YM=")</f>
        <v>#REF!</v>
      </c>
      <c r="EC285" t="e">
        <f>AND('Additional Services'!#REF!,"AAAAAGv78YQ=")</f>
        <v>#REF!</v>
      </c>
      <c r="ED285" t="e">
        <f>IF('Additional Services'!#REF!,"AAAAAGv78YU=",0)</f>
        <v>#REF!</v>
      </c>
      <c r="EE285" t="e">
        <f>AND('Additional Services'!#REF!,"AAAAAGv78YY=")</f>
        <v>#REF!</v>
      </c>
      <c r="EF285" t="e">
        <f>AND('Additional Services'!#REF!,"AAAAAGv78Yc=")</f>
        <v>#REF!</v>
      </c>
      <c r="EG285" t="e">
        <f>AND('Additional Services'!#REF!,"AAAAAGv78Yg=")</f>
        <v>#REF!</v>
      </c>
      <c r="EH285" t="e">
        <f>AND('Additional Services'!#REF!,"AAAAAGv78Yk=")</f>
        <v>#REF!</v>
      </c>
      <c r="EI285" t="e">
        <f>AND('Additional Services'!#REF!,"AAAAAGv78Yo=")</f>
        <v>#REF!</v>
      </c>
      <c r="EJ285" t="e">
        <f>AND('Additional Services'!#REF!,"AAAAAGv78Ys=")</f>
        <v>#REF!</v>
      </c>
      <c r="EK285" t="e">
        <f>AND('Additional Services'!#REF!,"AAAAAGv78Yw=")</f>
        <v>#REF!</v>
      </c>
      <c r="EL285" t="e">
        <f>AND('Additional Services'!#REF!,"AAAAAGv78Y0=")</f>
        <v>#REF!</v>
      </c>
      <c r="EM285" t="e">
        <f>AND('Additional Services'!#REF!,"AAAAAGv78Y4=")</f>
        <v>#REF!</v>
      </c>
      <c r="EN285" t="e">
        <f>AND('Additional Services'!#REF!,"AAAAAGv78Y8=")</f>
        <v>#REF!</v>
      </c>
      <c r="EO285" t="e">
        <f>AND('Additional Services'!#REF!,"AAAAAGv78ZA=")</f>
        <v>#REF!</v>
      </c>
      <c r="EP285" t="e">
        <f>AND('Additional Services'!#REF!,"AAAAAGv78ZE=")</f>
        <v>#REF!</v>
      </c>
      <c r="EQ285" t="e">
        <f>AND('Additional Services'!#REF!,"AAAAAGv78ZI=")</f>
        <v>#REF!</v>
      </c>
      <c r="ER285">
        <f>IF('Additional Services'!76:76,"AAAAAGv78ZM=",0)</f>
        <v>0</v>
      </c>
      <c r="ES285" t="e">
        <f>AND('Additional Services'!#REF!,"AAAAAGv78ZQ=")</f>
        <v>#REF!</v>
      </c>
      <c r="ET285" t="e">
        <f>AND('Additional Services'!#REF!,"AAAAAGv78ZU=")</f>
        <v>#REF!</v>
      </c>
      <c r="EU285" t="e">
        <f>AND('Additional Services'!A76,"AAAAAGv78ZY=")</f>
        <v>#VALUE!</v>
      </c>
      <c r="EV285" t="e">
        <f>AND('Additional Services'!B76,"AAAAAGv78Zc=")</f>
        <v>#VALUE!</v>
      </c>
      <c r="EW285" t="e">
        <f>AND('Additional Services'!C76,"AAAAAGv78Zg=")</f>
        <v>#VALUE!</v>
      </c>
      <c r="EX285" t="e">
        <f>AND('Additional Services'!D76,"AAAAAGv78Zk=")</f>
        <v>#VALUE!</v>
      </c>
      <c r="EY285" t="e">
        <f>AND('Additional Services'!E76,"AAAAAGv78Zo=")</f>
        <v>#VALUE!</v>
      </c>
      <c r="EZ285" t="e">
        <f>AND('Additional Services'!F76,"AAAAAGv78Zs=")</f>
        <v>#VALUE!</v>
      </c>
      <c r="FA285" t="e">
        <f>AND('Additional Services'!G76,"AAAAAGv78Zw=")</f>
        <v>#VALUE!</v>
      </c>
      <c r="FB285" t="e">
        <f>AND('Additional Services'!H76,"AAAAAGv78Z0=")</f>
        <v>#VALUE!</v>
      </c>
      <c r="FC285" t="e">
        <f>AND('Additional Services'!I76,"AAAAAGv78Z4=")</f>
        <v>#VALUE!</v>
      </c>
      <c r="FD285" t="e">
        <f>AND('Additional Services'!J76,"AAAAAGv78Z8=")</f>
        <v>#VALUE!</v>
      </c>
      <c r="FE285" t="e">
        <f>AND('Additional Services'!K76,"AAAAAGv78aA=")</f>
        <v>#VALUE!</v>
      </c>
      <c r="FF285">
        <f>IF('Additional Services'!77:77,"AAAAAGv78aE=",0)</f>
        <v>0</v>
      </c>
      <c r="FG285" t="e">
        <f>AND('Additional Services'!#REF!,"AAAAAGv78aI=")</f>
        <v>#REF!</v>
      </c>
      <c r="FH285" t="e">
        <f>AND('Additional Services'!#REF!,"AAAAAGv78aM=")</f>
        <v>#REF!</v>
      </c>
      <c r="FI285" t="e">
        <f>AND('Additional Services'!A77,"AAAAAGv78aQ=")</f>
        <v>#VALUE!</v>
      </c>
      <c r="FJ285" t="e">
        <f>AND('Additional Services'!B77,"AAAAAGv78aU=")</f>
        <v>#VALUE!</v>
      </c>
      <c r="FK285" t="e">
        <f>AND('Additional Services'!C77,"AAAAAGv78aY=")</f>
        <v>#VALUE!</v>
      </c>
      <c r="FL285" t="e">
        <f>AND('Additional Services'!D77,"AAAAAGv78ac=")</f>
        <v>#VALUE!</v>
      </c>
      <c r="FM285" t="e">
        <f>AND('Additional Services'!E77,"AAAAAGv78ag=")</f>
        <v>#VALUE!</v>
      </c>
      <c r="FN285" t="e">
        <f>AND('Additional Services'!F77,"AAAAAGv78ak=")</f>
        <v>#VALUE!</v>
      </c>
      <c r="FO285" t="e">
        <f>AND('Additional Services'!G77,"AAAAAGv78ao=")</f>
        <v>#VALUE!</v>
      </c>
      <c r="FP285" t="e">
        <f>AND('Additional Services'!H77,"AAAAAGv78as=")</f>
        <v>#VALUE!</v>
      </c>
      <c r="FQ285" t="e">
        <f>AND('Additional Services'!I77,"AAAAAGv78aw=")</f>
        <v>#VALUE!</v>
      </c>
      <c r="FR285" t="e">
        <f>AND('Additional Services'!J77,"AAAAAGv78a0=")</f>
        <v>#VALUE!</v>
      </c>
      <c r="FS285" t="e">
        <f>AND('Additional Services'!K77,"AAAAAGv78a4=")</f>
        <v>#VALUE!</v>
      </c>
      <c r="FT285">
        <f>IF('Additional Services'!78:78,"AAAAAGv78a8=",0)</f>
        <v>0</v>
      </c>
      <c r="FU285" t="e">
        <f>AND('Additional Services'!#REF!,"AAAAAGv78bA=")</f>
        <v>#REF!</v>
      </c>
      <c r="FV285" t="e">
        <f>AND('Additional Services'!#REF!,"AAAAAGv78bE=")</f>
        <v>#REF!</v>
      </c>
      <c r="FW285" t="e">
        <f>AND('Additional Services'!#REF!,"AAAAAGv78bI=")</f>
        <v>#REF!</v>
      </c>
      <c r="FX285" t="e">
        <f>AND('Additional Services'!A78,"AAAAAGv78bM=")</f>
        <v>#VALUE!</v>
      </c>
      <c r="FY285" t="e">
        <f>AND('Additional Services'!B78,"AAAAAGv78bQ=")</f>
        <v>#VALUE!</v>
      </c>
      <c r="FZ285" t="e">
        <f>AND('Additional Services'!C78,"AAAAAGv78bU=")</f>
        <v>#VALUE!</v>
      </c>
      <c r="GA285" t="e">
        <f>AND('Additional Services'!D78,"AAAAAGv78bY=")</f>
        <v>#VALUE!</v>
      </c>
      <c r="GB285" t="e">
        <f>AND('Additional Services'!E78,"AAAAAGv78bc=")</f>
        <v>#VALUE!</v>
      </c>
      <c r="GC285" t="e">
        <f>AND('Additional Services'!F78,"AAAAAGv78bg=")</f>
        <v>#VALUE!</v>
      </c>
      <c r="GD285" t="e">
        <f>AND('Additional Services'!G78,"AAAAAGv78bk=")</f>
        <v>#VALUE!</v>
      </c>
      <c r="GE285" t="e">
        <f>AND('Additional Services'!H78,"AAAAAGv78bo=")</f>
        <v>#VALUE!</v>
      </c>
      <c r="GF285" t="e">
        <f>AND('Additional Services'!I78,"AAAAAGv78bs=")</f>
        <v>#VALUE!</v>
      </c>
      <c r="GG285" t="e">
        <f>AND('Additional Services'!J78,"AAAAAGv78bw=")</f>
        <v>#VALUE!</v>
      </c>
      <c r="GH285">
        <f>IF('Additional Services'!79:79,"AAAAAGv78b0=",0)</f>
        <v>0</v>
      </c>
      <c r="GI285" t="e">
        <f>AND('Additional Services'!#REF!,"AAAAAGv78b4=")</f>
        <v>#REF!</v>
      </c>
      <c r="GJ285" t="e">
        <f>AND('Additional Services'!#REF!,"AAAAAGv78b8=")</f>
        <v>#REF!</v>
      </c>
      <c r="GK285" t="e">
        <f>AND('Additional Services'!#REF!,"AAAAAGv78cA=")</f>
        <v>#REF!</v>
      </c>
      <c r="GL285" t="e">
        <f>AND('Additional Services'!A79,"AAAAAGv78cE=")</f>
        <v>#VALUE!</v>
      </c>
      <c r="GM285" t="e">
        <f>AND('Additional Services'!B79,"AAAAAGv78cI=")</f>
        <v>#VALUE!</v>
      </c>
      <c r="GN285" t="e">
        <f>AND('Additional Services'!C79,"AAAAAGv78cM=")</f>
        <v>#VALUE!</v>
      </c>
      <c r="GO285" t="e">
        <f>AND('Additional Services'!D79,"AAAAAGv78cQ=")</f>
        <v>#VALUE!</v>
      </c>
      <c r="GP285" t="e">
        <f>AND('Additional Services'!E79,"AAAAAGv78cU=")</f>
        <v>#VALUE!</v>
      </c>
      <c r="GQ285" t="e">
        <f>AND('Additional Services'!F79,"AAAAAGv78cY=")</f>
        <v>#VALUE!</v>
      </c>
      <c r="GR285" t="e">
        <f>AND('Additional Services'!G79,"AAAAAGv78cc=")</f>
        <v>#VALUE!</v>
      </c>
      <c r="GS285" t="e">
        <f>AND('Additional Services'!H79,"AAAAAGv78cg=")</f>
        <v>#VALUE!</v>
      </c>
      <c r="GT285" t="e">
        <f>AND('Additional Services'!I79,"AAAAAGv78ck=")</f>
        <v>#VALUE!</v>
      </c>
      <c r="GU285" t="e">
        <f>AND('Additional Services'!J79,"AAAAAGv78co=")</f>
        <v>#VALUE!</v>
      </c>
      <c r="GV285">
        <f>IF('Additional Services'!80:80,"AAAAAGv78cs=",0)</f>
        <v>0</v>
      </c>
      <c r="GW285" t="e">
        <f>AND('Additional Services'!#REF!,"AAAAAGv78cw=")</f>
        <v>#REF!</v>
      </c>
      <c r="GX285" t="e">
        <f>AND('Additional Services'!#REF!,"AAAAAGv78c0=")</f>
        <v>#REF!</v>
      </c>
      <c r="GY285" t="e">
        <f>AND('Additional Services'!#REF!,"AAAAAGv78c4=")</f>
        <v>#REF!</v>
      </c>
      <c r="GZ285" t="e">
        <f>AND('Additional Services'!A80,"AAAAAGv78c8=")</f>
        <v>#VALUE!</v>
      </c>
      <c r="HA285" t="e">
        <f>AND('Additional Services'!B80,"AAAAAGv78dA=")</f>
        <v>#VALUE!</v>
      </c>
      <c r="HB285" t="e">
        <f>AND('Additional Services'!C80,"AAAAAGv78dE=")</f>
        <v>#VALUE!</v>
      </c>
      <c r="HC285" t="e">
        <f>AND('Additional Services'!D80,"AAAAAGv78dI=")</f>
        <v>#VALUE!</v>
      </c>
      <c r="HD285" t="e">
        <f>AND('Additional Services'!E80,"AAAAAGv78dM=")</f>
        <v>#VALUE!</v>
      </c>
      <c r="HE285" t="e">
        <f>AND('Additional Services'!F80,"AAAAAGv78dQ=")</f>
        <v>#VALUE!</v>
      </c>
      <c r="HF285" t="e">
        <f>AND('Additional Services'!G80,"AAAAAGv78dU=")</f>
        <v>#VALUE!</v>
      </c>
      <c r="HG285" t="e">
        <f>AND('Additional Services'!H80,"AAAAAGv78dY=")</f>
        <v>#VALUE!</v>
      </c>
      <c r="HH285" t="e">
        <f>AND('Additional Services'!I80,"AAAAAGv78dc=")</f>
        <v>#VALUE!</v>
      </c>
      <c r="HI285" t="e">
        <f>AND('Additional Services'!J80,"AAAAAGv78dg=")</f>
        <v>#VALUE!</v>
      </c>
      <c r="HJ285">
        <f>IF('Additional Services'!81:81,"AAAAAGv78dk=",0)</f>
        <v>0</v>
      </c>
      <c r="HK285" t="e">
        <f>AND('Additional Services'!#REF!,"AAAAAGv78do=")</f>
        <v>#REF!</v>
      </c>
      <c r="HL285" t="e">
        <f>AND('Additional Services'!#REF!,"AAAAAGv78ds=")</f>
        <v>#REF!</v>
      </c>
      <c r="HM285" t="e">
        <f>AND('Additional Services'!#REF!,"AAAAAGv78dw=")</f>
        <v>#REF!</v>
      </c>
      <c r="HN285" t="e">
        <f>AND('Additional Services'!A81,"AAAAAGv78d0=")</f>
        <v>#VALUE!</v>
      </c>
      <c r="HO285" t="e">
        <f>AND('Additional Services'!B81,"AAAAAGv78d4=")</f>
        <v>#VALUE!</v>
      </c>
      <c r="HP285" t="e">
        <f>AND('Additional Services'!C81,"AAAAAGv78d8=")</f>
        <v>#VALUE!</v>
      </c>
      <c r="HQ285" t="e">
        <f>AND('Additional Services'!D81,"AAAAAGv78eA=")</f>
        <v>#VALUE!</v>
      </c>
      <c r="HR285" t="e">
        <f>AND('Additional Services'!E81,"AAAAAGv78eE=")</f>
        <v>#VALUE!</v>
      </c>
      <c r="HS285" t="e">
        <f>AND('Additional Services'!F81,"AAAAAGv78eI=")</f>
        <v>#VALUE!</v>
      </c>
      <c r="HT285" t="e">
        <f>AND('Additional Services'!G81,"AAAAAGv78eM=")</f>
        <v>#VALUE!</v>
      </c>
      <c r="HU285" t="e">
        <f>AND('Additional Services'!H81,"AAAAAGv78eQ=")</f>
        <v>#VALUE!</v>
      </c>
      <c r="HV285" t="e">
        <f>AND('Additional Services'!I81,"AAAAAGv78eU=")</f>
        <v>#VALUE!</v>
      </c>
      <c r="HW285" t="e">
        <f>AND('Additional Services'!J81,"AAAAAGv78eY=")</f>
        <v>#VALUE!</v>
      </c>
      <c r="HX285">
        <f>IF('Additional Services'!82:82,"AAAAAGv78ec=",0)</f>
        <v>0</v>
      </c>
      <c r="HY285" t="e">
        <f>AND('Additional Services'!#REF!,"AAAAAGv78eg=")</f>
        <v>#REF!</v>
      </c>
      <c r="HZ285" t="e">
        <f>AND('Additional Services'!#REF!,"AAAAAGv78ek=")</f>
        <v>#REF!</v>
      </c>
      <c r="IA285" t="e">
        <f>AND('Additional Services'!#REF!,"AAAAAGv78eo=")</f>
        <v>#REF!</v>
      </c>
      <c r="IB285" t="e">
        <f>AND('Additional Services'!A82,"AAAAAGv78es=")</f>
        <v>#VALUE!</v>
      </c>
      <c r="IC285" t="e">
        <f>AND('Additional Services'!B82,"AAAAAGv78ew=")</f>
        <v>#VALUE!</v>
      </c>
      <c r="ID285" t="e">
        <f>AND('Additional Services'!C82,"AAAAAGv78e0=")</f>
        <v>#VALUE!</v>
      </c>
      <c r="IE285" t="e">
        <f>AND('Additional Services'!D82,"AAAAAGv78e4=")</f>
        <v>#VALUE!</v>
      </c>
      <c r="IF285" t="e">
        <f>AND('Additional Services'!E82,"AAAAAGv78e8=")</f>
        <v>#VALUE!</v>
      </c>
      <c r="IG285" t="e">
        <f>AND('Additional Services'!F82,"AAAAAGv78fA=")</f>
        <v>#VALUE!</v>
      </c>
      <c r="IH285" t="e">
        <f>AND('Additional Services'!G82,"AAAAAGv78fE=")</f>
        <v>#VALUE!</v>
      </c>
      <c r="II285" t="e">
        <f>AND('Additional Services'!H82,"AAAAAGv78fI=")</f>
        <v>#VALUE!</v>
      </c>
      <c r="IJ285" t="e">
        <f>AND('Additional Services'!I82,"AAAAAGv78fM=")</f>
        <v>#VALUE!</v>
      </c>
      <c r="IK285" t="e">
        <f>AND('Additional Services'!J82,"AAAAAGv78fQ=")</f>
        <v>#VALUE!</v>
      </c>
      <c r="IL285">
        <f>IF('Additional Services'!83:83,"AAAAAGv78fU=",0)</f>
        <v>0</v>
      </c>
      <c r="IM285" t="e">
        <f>AND('Additional Services'!#REF!,"AAAAAGv78fY=")</f>
        <v>#REF!</v>
      </c>
      <c r="IN285" t="e">
        <f>AND('Additional Services'!#REF!,"AAAAAGv78fc=")</f>
        <v>#REF!</v>
      </c>
      <c r="IO285" t="e">
        <f>AND('Additional Services'!#REF!,"AAAAAGv78fg=")</f>
        <v>#REF!</v>
      </c>
      <c r="IP285" t="e">
        <f>AND('Additional Services'!A83,"AAAAAGv78fk=")</f>
        <v>#VALUE!</v>
      </c>
      <c r="IQ285" t="e">
        <f>AND('Additional Services'!B83,"AAAAAGv78fo=")</f>
        <v>#VALUE!</v>
      </c>
      <c r="IR285" t="e">
        <f>AND('Additional Services'!C83,"AAAAAGv78fs=")</f>
        <v>#VALUE!</v>
      </c>
      <c r="IS285" t="e">
        <f>AND('Additional Services'!D83,"AAAAAGv78fw=")</f>
        <v>#VALUE!</v>
      </c>
      <c r="IT285" t="e">
        <f>AND('Additional Services'!E83,"AAAAAGv78f0=")</f>
        <v>#VALUE!</v>
      </c>
      <c r="IU285" t="e">
        <f>AND('Additional Services'!F83,"AAAAAGv78f4=")</f>
        <v>#VALUE!</v>
      </c>
      <c r="IV285" t="e">
        <f>AND('Additional Services'!G83,"AAAAAGv78f8=")</f>
        <v>#VALUE!</v>
      </c>
    </row>
    <row r="286" spans="1:256" x14ac:dyDescent="0.2">
      <c r="A286" t="e">
        <f>AND('Additional Services'!H83,"AAAAAD7X6wA=")</f>
        <v>#VALUE!</v>
      </c>
      <c r="B286" t="e">
        <f>AND('Additional Services'!I83,"AAAAAD7X6wE=")</f>
        <v>#VALUE!</v>
      </c>
      <c r="C286" t="e">
        <f>AND('Additional Services'!J83,"AAAAAD7X6wI=")</f>
        <v>#VALUE!</v>
      </c>
      <c r="D286">
        <f>IF('Additional Services'!84:84,"AAAAAD7X6wM=",0)</f>
        <v>0</v>
      </c>
      <c r="E286" t="e">
        <f>AND('Additional Services'!#REF!,"AAAAAD7X6wQ=")</f>
        <v>#REF!</v>
      </c>
      <c r="F286" t="e">
        <f>AND('Additional Services'!#REF!,"AAAAAD7X6wU=")</f>
        <v>#REF!</v>
      </c>
      <c r="G286" t="e">
        <f>AND('Additional Services'!#REF!,"AAAAAD7X6wY=")</f>
        <v>#REF!</v>
      </c>
      <c r="H286" t="e">
        <f>AND('Additional Services'!A84,"AAAAAD7X6wc=")</f>
        <v>#VALUE!</v>
      </c>
      <c r="I286" t="e">
        <f>AND('Additional Services'!B84,"AAAAAD7X6wg=")</f>
        <v>#VALUE!</v>
      </c>
      <c r="J286" t="e">
        <f>AND('Additional Services'!C84,"AAAAAD7X6wk=")</f>
        <v>#VALUE!</v>
      </c>
      <c r="K286" t="e">
        <f>AND('Additional Services'!D84,"AAAAAD7X6wo=")</f>
        <v>#VALUE!</v>
      </c>
      <c r="L286" t="e">
        <f>AND('Additional Services'!E84,"AAAAAD7X6ws=")</f>
        <v>#VALUE!</v>
      </c>
      <c r="M286" t="e">
        <f>AND('Additional Services'!F84,"AAAAAD7X6ww=")</f>
        <v>#VALUE!</v>
      </c>
      <c r="N286" t="e">
        <f>AND('Additional Services'!G84,"AAAAAD7X6w0=")</f>
        <v>#VALUE!</v>
      </c>
      <c r="O286" t="e">
        <f>AND('Additional Services'!H84,"AAAAAD7X6w4=")</f>
        <v>#VALUE!</v>
      </c>
      <c r="P286" t="e">
        <f>AND('Additional Services'!I84,"AAAAAD7X6w8=")</f>
        <v>#VALUE!</v>
      </c>
      <c r="Q286" t="e">
        <f>AND('Additional Services'!J84,"AAAAAD7X6xA=")</f>
        <v>#VALUE!</v>
      </c>
      <c r="R286">
        <f>IF('Additional Services'!85:85,"AAAAAD7X6xE=",0)</f>
        <v>0</v>
      </c>
      <c r="S286" t="e">
        <f>AND('Additional Services'!#REF!,"AAAAAD7X6xI=")</f>
        <v>#REF!</v>
      </c>
      <c r="T286" t="e">
        <f>AND('Additional Services'!#REF!,"AAAAAD7X6xM=")</f>
        <v>#REF!</v>
      </c>
      <c r="U286" t="e">
        <f>AND('Additional Services'!#REF!,"AAAAAD7X6xQ=")</f>
        <v>#REF!</v>
      </c>
      <c r="V286" t="e">
        <f>AND('Additional Services'!A85,"AAAAAD7X6xU=")</f>
        <v>#VALUE!</v>
      </c>
      <c r="W286" t="e">
        <f>AND('Additional Services'!B85,"AAAAAD7X6xY=")</f>
        <v>#VALUE!</v>
      </c>
      <c r="X286" t="e">
        <f>AND('Additional Services'!C85,"AAAAAD7X6xc=")</f>
        <v>#VALUE!</v>
      </c>
      <c r="Y286" t="e">
        <f>AND('Additional Services'!D85,"AAAAAD7X6xg=")</f>
        <v>#VALUE!</v>
      </c>
      <c r="Z286" t="e">
        <f>AND('Additional Services'!E85,"AAAAAD7X6xk=")</f>
        <v>#VALUE!</v>
      </c>
      <c r="AA286" t="e">
        <f>AND('Additional Services'!F85,"AAAAAD7X6xo=")</f>
        <v>#VALUE!</v>
      </c>
      <c r="AB286" t="e">
        <f>AND('Additional Services'!G85,"AAAAAD7X6xs=")</f>
        <v>#VALUE!</v>
      </c>
      <c r="AC286" t="e">
        <f>AND('Additional Services'!H85,"AAAAAD7X6xw=")</f>
        <v>#VALUE!</v>
      </c>
      <c r="AD286" t="e">
        <f>AND('Additional Services'!I85,"AAAAAD7X6x0=")</f>
        <v>#VALUE!</v>
      </c>
      <c r="AE286" t="e">
        <f>AND('Additional Services'!J85,"AAAAAD7X6x4=")</f>
        <v>#VALUE!</v>
      </c>
      <c r="AF286">
        <f>IF('Additional Services'!86:86,"AAAAAD7X6x8=",0)</f>
        <v>0</v>
      </c>
      <c r="AG286" t="e">
        <f>AND('Additional Services'!#REF!,"AAAAAD7X6yA=")</f>
        <v>#REF!</v>
      </c>
      <c r="AH286" t="e">
        <f>AND('Additional Services'!#REF!,"AAAAAD7X6yE=")</f>
        <v>#REF!</v>
      </c>
      <c r="AI286" t="e">
        <f>AND('Additional Services'!#REF!,"AAAAAD7X6yI=")</f>
        <v>#REF!</v>
      </c>
      <c r="AJ286" t="e">
        <f>AND('Additional Services'!A86,"AAAAAD7X6yM=")</f>
        <v>#VALUE!</v>
      </c>
      <c r="AK286" t="e">
        <f>AND('Additional Services'!B86,"AAAAAD7X6yQ=")</f>
        <v>#VALUE!</v>
      </c>
      <c r="AL286" t="e">
        <f>AND('Additional Services'!C86,"AAAAAD7X6yU=")</f>
        <v>#VALUE!</v>
      </c>
      <c r="AM286" t="e">
        <f>AND('Additional Services'!D86,"AAAAAD7X6yY=")</f>
        <v>#VALUE!</v>
      </c>
      <c r="AN286" t="e">
        <f>AND('Additional Services'!E86,"AAAAAD7X6yc=")</f>
        <v>#VALUE!</v>
      </c>
      <c r="AO286" t="e">
        <f>AND('Additional Services'!F86,"AAAAAD7X6yg=")</f>
        <v>#VALUE!</v>
      </c>
      <c r="AP286" t="e">
        <f>AND('Additional Services'!G86,"AAAAAD7X6yk=")</f>
        <v>#VALUE!</v>
      </c>
      <c r="AQ286" t="e">
        <f>AND('Additional Services'!H86,"AAAAAD7X6yo=")</f>
        <v>#VALUE!</v>
      </c>
      <c r="AR286" t="e">
        <f>AND('Additional Services'!I86,"AAAAAD7X6ys=")</f>
        <v>#VALUE!</v>
      </c>
      <c r="AS286" t="e">
        <f>AND('Additional Services'!J86,"AAAAAD7X6yw=")</f>
        <v>#VALUE!</v>
      </c>
      <c r="AT286">
        <f>IF('Additional Services'!87:87,"AAAAAD7X6y0=",0)</f>
        <v>0</v>
      </c>
      <c r="AU286" t="e">
        <f>AND('Additional Services'!#REF!,"AAAAAD7X6y4=")</f>
        <v>#REF!</v>
      </c>
      <c r="AV286" t="e">
        <f>AND('Additional Services'!#REF!,"AAAAAD7X6y8=")</f>
        <v>#REF!</v>
      </c>
      <c r="AW286" t="e">
        <f>AND('Additional Services'!#REF!,"AAAAAD7X6zA=")</f>
        <v>#REF!</v>
      </c>
      <c r="AX286" t="e">
        <f>AND('Additional Services'!A87,"AAAAAD7X6zE=")</f>
        <v>#VALUE!</v>
      </c>
      <c r="AY286" t="e">
        <f>AND('Additional Services'!B87,"AAAAAD7X6zI=")</f>
        <v>#VALUE!</v>
      </c>
      <c r="AZ286" t="e">
        <f>AND('Additional Services'!C87,"AAAAAD7X6zM=")</f>
        <v>#VALUE!</v>
      </c>
      <c r="BA286" t="e">
        <f>AND('Additional Services'!D87,"AAAAAD7X6zQ=")</f>
        <v>#VALUE!</v>
      </c>
      <c r="BB286" t="e">
        <f>AND('Additional Services'!E87,"AAAAAD7X6zU=")</f>
        <v>#VALUE!</v>
      </c>
      <c r="BC286" t="e">
        <f>AND('Additional Services'!F87,"AAAAAD7X6zY=")</f>
        <v>#VALUE!</v>
      </c>
      <c r="BD286" t="e">
        <f>AND('Additional Services'!G87,"AAAAAD7X6zc=")</f>
        <v>#VALUE!</v>
      </c>
      <c r="BE286" t="e">
        <f>AND('Additional Services'!H87,"AAAAAD7X6zg=")</f>
        <v>#VALUE!</v>
      </c>
      <c r="BF286" t="e">
        <f>AND('Additional Services'!I87,"AAAAAD7X6zk=")</f>
        <v>#VALUE!</v>
      </c>
      <c r="BG286" t="e">
        <f>AND('Additional Services'!J87,"AAAAAD7X6zo=")</f>
        <v>#VALUE!</v>
      </c>
      <c r="BH286">
        <f>IF('Additional Services'!88:88,"AAAAAD7X6zs=",0)</f>
        <v>0</v>
      </c>
      <c r="BI286" t="e">
        <f>AND('Additional Services'!#REF!,"AAAAAD7X6zw=")</f>
        <v>#REF!</v>
      </c>
      <c r="BJ286" t="e">
        <f>AND('Additional Services'!#REF!,"AAAAAD7X6z0=")</f>
        <v>#REF!</v>
      </c>
      <c r="BK286" t="e">
        <f>AND('Additional Services'!#REF!,"AAAAAD7X6z4=")</f>
        <v>#REF!</v>
      </c>
      <c r="BL286" t="e">
        <f>AND('Additional Services'!A88,"AAAAAD7X6z8=")</f>
        <v>#VALUE!</v>
      </c>
      <c r="BM286" t="e">
        <f>AND('Additional Services'!B88,"AAAAAD7X60A=")</f>
        <v>#VALUE!</v>
      </c>
      <c r="BN286" t="e">
        <f>AND('Additional Services'!C88,"AAAAAD7X60E=")</f>
        <v>#VALUE!</v>
      </c>
      <c r="BO286" t="e">
        <f>AND('Additional Services'!D88,"AAAAAD7X60I=")</f>
        <v>#VALUE!</v>
      </c>
      <c r="BP286" t="e">
        <f>AND('Additional Services'!E88,"AAAAAD7X60M=")</f>
        <v>#VALUE!</v>
      </c>
      <c r="BQ286" t="e">
        <f>AND('Additional Services'!F88,"AAAAAD7X60Q=")</f>
        <v>#VALUE!</v>
      </c>
      <c r="BR286" t="e">
        <f>AND('Additional Services'!G88,"AAAAAD7X60U=")</f>
        <v>#VALUE!</v>
      </c>
      <c r="BS286" t="e">
        <f>AND('Additional Services'!H88,"AAAAAD7X60Y=")</f>
        <v>#VALUE!</v>
      </c>
      <c r="BT286" t="e">
        <f>AND('Additional Services'!I88,"AAAAAD7X60c=")</f>
        <v>#VALUE!</v>
      </c>
      <c r="BU286" t="e">
        <f>AND('Additional Services'!J88,"AAAAAD7X60g=")</f>
        <v>#VALUE!</v>
      </c>
      <c r="BV286">
        <f>IF('Additional Services'!89:89,"AAAAAD7X60k=",0)</f>
        <v>0</v>
      </c>
      <c r="BW286" t="e">
        <f>AND('Additional Services'!#REF!,"AAAAAD7X60o=")</f>
        <v>#REF!</v>
      </c>
      <c r="BX286" t="e">
        <f>AND('Additional Services'!#REF!,"AAAAAD7X60s=")</f>
        <v>#REF!</v>
      </c>
      <c r="BY286" t="e">
        <f>AND('Additional Services'!#REF!,"AAAAAD7X60w=")</f>
        <v>#REF!</v>
      </c>
      <c r="BZ286" t="e">
        <f>AND('Additional Services'!A89,"AAAAAD7X600=")</f>
        <v>#VALUE!</v>
      </c>
      <c r="CA286" t="e">
        <f>AND('Additional Services'!B89,"AAAAAD7X604=")</f>
        <v>#VALUE!</v>
      </c>
      <c r="CB286" t="e">
        <f>AND('Additional Services'!C89,"AAAAAD7X608=")</f>
        <v>#VALUE!</v>
      </c>
      <c r="CC286" t="e">
        <f>AND('Additional Services'!D89,"AAAAAD7X61A=")</f>
        <v>#VALUE!</v>
      </c>
      <c r="CD286" t="e">
        <f>AND('Additional Services'!E89,"AAAAAD7X61E=")</f>
        <v>#VALUE!</v>
      </c>
      <c r="CE286" t="e">
        <f>AND('Additional Services'!F89,"AAAAAD7X61I=")</f>
        <v>#VALUE!</v>
      </c>
      <c r="CF286" t="e">
        <f>AND('Additional Services'!G89,"AAAAAD7X61M=")</f>
        <v>#VALUE!</v>
      </c>
      <c r="CG286" t="e">
        <f>AND('Additional Services'!H89,"AAAAAD7X61Q=")</f>
        <v>#VALUE!</v>
      </c>
      <c r="CH286" t="e">
        <f>AND('Additional Services'!I89,"AAAAAD7X61U=")</f>
        <v>#VALUE!</v>
      </c>
      <c r="CI286" t="e">
        <f>AND('Additional Services'!J89,"AAAAAD7X61Y=")</f>
        <v>#VALUE!</v>
      </c>
      <c r="CJ286">
        <f>IF('Additional Services'!90:90,"AAAAAD7X61c=",0)</f>
        <v>0</v>
      </c>
      <c r="CK286" t="e">
        <f>AND('Additional Services'!#REF!,"AAAAAD7X61g=")</f>
        <v>#REF!</v>
      </c>
      <c r="CL286" t="e">
        <f>AND('Additional Services'!#REF!,"AAAAAD7X61k=")</f>
        <v>#REF!</v>
      </c>
      <c r="CM286" t="e">
        <f>AND('Additional Services'!#REF!,"AAAAAD7X61o=")</f>
        <v>#REF!</v>
      </c>
      <c r="CN286" t="e">
        <f>AND('Additional Services'!A90,"AAAAAD7X61s=")</f>
        <v>#VALUE!</v>
      </c>
      <c r="CO286" t="e">
        <f>AND('Additional Services'!B90,"AAAAAD7X61w=")</f>
        <v>#VALUE!</v>
      </c>
      <c r="CP286" t="e">
        <f>AND('Additional Services'!C90,"AAAAAD7X610=")</f>
        <v>#VALUE!</v>
      </c>
      <c r="CQ286" t="e">
        <f>AND('Additional Services'!D90,"AAAAAD7X614=")</f>
        <v>#VALUE!</v>
      </c>
      <c r="CR286" t="e">
        <f>AND('Additional Services'!E90,"AAAAAD7X618=")</f>
        <v>#VALUE!</v>
      </c>
      <c r="CS286" t="e">
        <f>AND('Additional Services'!F90,"AAAAAD7X62A=")</f>
        <v>#VALUE!</v>
      </c>
      <c r="CT286" t="e">
        <f>AND('Additional Services'!G90,"AAAAAD7X62E=")</f>
        <v>#VALUE!</v>
      </c>
      <c r="CU286" t="e">
        <f>AND('Additional Services'!H90,"AAAAAD7X62I=")</f>
        <v>#VALUE!</v>
      </c>
      <c r="CV286" t="e">
        <f>AND('Additional Services'!I90,"AAAAAD7X62M=")</f>
        <v>#VALUE!</v>
      </c>
      <c r="CW286" t="e">
        <f>AND('Additional Services'!J90,"AAAAAD7X62Q=")</f>
        <v>#VALUE!</v>
      </c>
      <c r="CX286">
        <f>IF('Additional Services'!91:91,"AAAAAD7X62U=",0)</f>
        <v>0</v>
      </c>
      <c r="CY286" t="e">
        <f>AND('Additional Services'!#REF!,"AAAAAD7X62Y=")</f>
        <v>#REF!</v>
      </c>
      <c r="CZ286" t="e">
        <f>AND('Additional Services'!#REF!,"AAAAAD7X62c=")</f>
        <v>#REF!</v>
      </c>
      <c r="DA286" t="e">
        <f>AND('Additional Services'!#REF!,"AAAAAD7X62g=")</f>
        <v>#REF!</v>
      </c>
      <c r="DB286" t="e">
        <f>AND('Additional Services'!A91,"AAAAAD7X62k=")</f>
        <v>#VALUE!</v>
      </c>
      <c r="DC286" t="e">
        <f>AND('Additional Services'!B91,"AAAAAD7X62o=")</f>
        <v>#VALUE!</v>
      </c>
      <c r="DD286" t="e">
        <f>AND('Additional Services'!C91,"AAAAAD7X62s=")</f>
        <v>#VALUE!</v>
      </c>
      <c r="DE286" t="e">
        <f>AND('Additional Services'!D91,"AAAAAD7X62w=")</f>
        <v>#VALUE!</v>
      </c>
      <c r="DF286" t="e">
        <f>AND('Additional Services'!E91,"AAAAAD7X620=")</f>
        <v>#VALUE!</v>
      </c>
      <c r="DG286" t="e">
        <f>AND('Additional Services'!F91,"AAAAAD7X624=")</f>
        <v>#VALUE!</v>
      </c>
      <c r="DH286" t="e">
        <f>AND('Additional Services'!G91,"AAAAAD7X628=")</f>
        <v>#VALUE!</v>
      </c>
      <c r="DI286" t="e">
        <f>AND('Additional Services'!H91,"AAAAAD7X63A=")</f>
        <v>#VALUE!</v>
      </c>
      <c r="DJ286" t="e">
        <f>AND('Additional Services'!I91,"AAAAAD7X63E=")</f>
        <v>#VALUE!</v>
      </c>
      <c r="DK286" t="e">
        <f>AND('Additional Services'!J91,"AAAAAD7X63I=")</f>
        <v>#VALUE!</v>
      </c>
      <c r="DL286">
        <f>IF('Additional Services'!92:92,"AAAAAD7X63M=",0)</f>
        <v>0</v>
      </c>
      <c r="DM286" t="e">
        <f>AND('Additional Services'!#REF!,"AAAAAD7X63Q=")</f>
        <v>#REF!</v>
      </c>
      <c r="DN286" t="e">
        <f>AND('Additional Services'!#REF!,"AAAAAD7X63U=")</f>
        <v>#REF!</v>
      </c>
      <c r="DO286" t="e">
        <f>AND('Additional Services'!#REF!,"AAAAAD7X63Y=")</f>
        <v>#REF!</v>
      </c>
      <c r="DP286" t="e">
        <f>AND('Additional Services'!A92,"AAAAAD7X63c=")</f>
        <v>#VALUE!</v>
      </c>
      <c r="DQ286" t="e">
        <f>AND('Additional Services'!B92,"AAAAAD7X63g=")</f>
        <v>#VALUE!</v>
      </c>
      <c r="DR286" t="e">
        <f>AND('Additional Services'!C92,"AAAAAD7X63k=")</f>
        <v>#VALUE!</v>
      </c>
      <c r="DS286" t="e">
        <f>AND('Additional Services'!D92,"AAAAAD7X63o=")</f>
        <v>#VALUE!</v>
      </c>
      <c r="DT286" t="e">
        <f>AND('Additional Services'!E92,"AAAAAD7X63s=")</f>
        <v>#VALUE!</v>
      </c>
      <c r="DU286" t="e">
        <f>AND('Additional Services'!F92,"AAAAAD7X63w=")</f>
        <v>#VALUE!</v>
      </c>
      <c r="DV286" t="e">
        <f>AND('Additional Services'!G92,"AAAAAD7X630=")</f>
        <v>#VALUE!</v>
      </c>
      <c r="DW286" t="e">
        <f>AND('Additional Services'!H92,"AAAAAD7X634=")</f>
        <v>#VALUE!</v>
      </c>
      <c r="DX286" t="e">
        <f>AND('Additional Services'!I92,"AAAAAD7X638=")</f>
        <v>#VALUE!</v>
      </c>
      <c r="DY286" t="e">
        <f>AND('Additional Services'!J92,"AAAAAD7X64A=")</f>
        <v>#VALUE!</v>
      </c>
      <c r="DZ286">
        <f>IF('Additional Services'!93:93,"AAAAAD7X64E=",0)</f>
        <v>0</v>
      </c>
      <c r="EA286" t="e">
        <f>AND('Additional Services'!#REF!,"AAAAAD7X64I=")</f>
        <v>#REF!</v>
      </c>
      <c r="EB286" t="e">
        <f>AND('Additional Services'!#REF!,"AAAAAD7X64M=")</f>
        <v>#REF!</v>
      </c>
      <c r="EC286" t="e">
        <f>AND('Additional Services'!#REF!,"AAAAAD7X64Q=")</f>
        <v>#REF!</v>
      </c>
      <c r="ED286" t="e">
        <f>AND('Additional Services'!A93,"AAAAAD7X64U=")</f>
        <v>#VALUE!</v>
      </c>
      <c r="EE286" t="e">
        <f>AND('Additional Services'!B93,"AAAAAD7X64Y=")</f>
        <v>#VALUE!</v>
      </c>
      <c r="EF286" t="e">
        <f>AND('Additional Services'!C93,"AAAAAD7X64c=")</f>
        <v>#VALUE!</v>
      </c>
      <c r="EG286" t="e">
        <f>AND('Additional Services'!D93,"AAAAAD7X64g=")</f>
        <v>#VALUE!</v>
      </c>
      <c r="EH286" t="e">
        <f>AND('Additional Services'!E93,"AAAAAD7X64k=")</f>
        <v>#VALUE!</v>
      </c>
      <c r="EI286" t="e">
        <f>AND('Additional Services'!F93,"AAAAAD7X64o=")</f>
        <v>#VALUE!</v>
      </c>
      <c r="EJ286" t="e">
        <f>AND('Additional Services'!G93,"AAAAAD7X64s=")</f>
        <v>#VALUE!</v>
      </c>
      <c r="EK286" t="e">
        <f>AND('Additional Services'!H93,"AAAAAD7X64w=")</f>
        <v>#VALUE!</v>
      </c>
      <c r="EL286" t="e">
        <f>AND('Additional Services'!I93,"AAAAAD7X640=")</f>
        <v>#VALUE!</v>
      </c>
      <c r="EM286" t="e">
        <f>AND('Additional Services'!J93,"AAAAAD7X644=")</f>
        <v>#VALUE!</v>
      </c>
      <c r="EN286">
        <f>IF('Additional Services'!94:94,"AAAAAD7X648=",0)</f>
        <v>0</v>
      </c>
      <c r="EO286" t="e">
        <f>AND('Additional Services'!#REF!,"AAAAAD7X65A=")</f>
        <v>#REF!</v>
      </c>
      <c r="EP286" t="e">
        <f>AND('Additional Services'!#REF!,"AAAAAD7X65E=")</f>
        <v>#REF!</v>
      </c>
      <c r="EQ286" t="e">
        <f>AND('Additional Services'!#REF!,"AAAAAD7X65I=")</f>
        <v>#REF!</v>
      </c>
      <c r="ER286" t="e">
        <f>AND('Additional Services'!A94,"AAAAAD7X65M=")</f>
        <v>#VALUE!</v>
      </c>
      <c r="ES286" t="e">
        <f>AND('Additional Services'!B94,"AAAAAD7X65Q=")</f>
        <v>#VALUE!</v>
      </c>
      <c r="ET286" t="e">
        <f>AND('Additional Services'!C94,"AAAAAD7X65U=")</f>
        <v>#VALUE!</v>
      </c>
      <c r="EU286" t="e">
        <f>AND('Additional Services'!D94,"AAAAAD7X65Y=")</f>
        <v>#VALUE!</v>
      </c>
      <c r="EV286" t="e">
        <f>AND('Additional Services'!E94,"AAAAAD7X65c=")</f>
        <v>#VALUE!</v>
      </c>
      <c r="EW286" t="e">
        <f>AND('Additional Services'!F94,"AAAAAD7X65g=")</f>
        <v>#VALUE!</v>
      </c>
      <c r="EX286" t="e">
        <f>AND('Additional Services'!G94,"AAAAAD7X65k=")</f>
        <v>#VALUE!</v>
      </c>
      <c r="EY286" t="e">
        <f>AND('Additional Services'!H94,"AAAAAD7X65o=")</f>
        <v>#VALUE!</v>
      </c>
      <c r="EZ286" t="e">
        <f>AND('Additional Services'!I94,"AAAAAD7X65s=")</f>
        <v>#VALUE!</v>
      </c>
      <c r="FA286" t="e">
        <f>AND('Additional Services'!J94,"AAAAAD7X65w=")</f>
        <v>#VALUE!</v>
      </c>
      <c r="FB286">
        <f>IF('Additional Services'!95:95,"AAAAAD7X650=",0)</f>
        <v>0</v>
      </c>
      <c r="FC286" t="e">
        <f>AND('Additional Services'!#REF!,"AAAAAD7X654=")</f>
        <v>#REF!</v>
      </c>
      <c r="FD286" t="e">
        <f>AND('Additional Services'!#REF!,"AAAAAD7X658=")</f>
        <v>#REF!</v>
      </c>
      <c r="FE286" t="e">
        <f>AND('Additional Services'!#REF!,"AAAAAD7X66A=")</f>
        <v>#REF!</v>
      </c>
      <c r="FF286" t="e">
        <f>AND('Additional Services'!A95,"AAAAAD7X66E=")</f>
        <v>#VALUE!</v>
      </c>
      <c r="FG286" t="e">
        <f>AND('Additional Services'!B95,"AAAAAD7X66I=")</f>
        <v>#VALUE!</v>
      </c>
      <c r="FH286" t="e">
        <f>AND('Additional Services'!C95,"AAAAAD7X66M=")</f>
        <v>#VALUE!</v>
      </c>
      <c r="FI286" t="e">
        <f>AND('Additional Services'!D95,"AAAAAD7X66Q=")</f>
        <v>#VALUE!</v>
      </c>
      <c r="FJ286" t="e">
        <f>AND('Additional Services'!E95,"AAAAAD7X66U=")</f>
        <v>#VALUE!</v>
      </c>
      <c r="FK286" t="e">
        <f>AND('Additional Services'!F95,"AAAAAD7X66Y=")</f>
        <v>#VALUE!</v>
      </c>
      <c r="FL286" t="e">
        <f>AND('Additional Services'!G95,"AAAAAD7X66c=")</f>
        <v>#VALUE!</v>
      </c>
      <c r="FM286" t="e">
        <f>AND('Additional Services'!H95,"AAAAAD7X66g=")</f>
        <v>#VALUE!</v>
      </c>
      <c r="FN286" t="e">
        <f>AND('Additional Services'!I95,"AAAAAD7X66k=")</f>
        <v>#VALUE!</v>
      </c>
      <c r="FO286" t="e">
        <f>AND('Additional Services'!J95,"AAAAAD7X66o=")</f>
        <v>#VALUE!</v>
      </c>
      <c r="FP286">
        <f>IF('Additional Services'!96:96,"AAAAAD7X66s=",0)</f>
        <v>0</v>
      </c>
      <c r="FQ286" t="e">
        <f>AND('Additional Services'!#REF!,"AAAAAD7X66w=")</f>
        <v>#REF!</v>
      </c>
      <c r="FR286" t="e">
        <f>AND('Additional Services'!#REF!,"AAAAAD7X660=")</f>
        <v>#REF!</v>
      </c>
      <c r="FS286" t="e">
        <f>AND('Additional Services'!#REF!,"AAAAAD7X664=")</f>
        <v>#REF!</v>
      </c>
      <c r="FT286" t="e">
        <f>AND('Additional Services'!A96,"AAAAAD7X668=")</f>
        <v>#VALUE!</v>
      </c>
      <c r="FU286" t="e">
        <f>AND('Additional Services'!B96,"AAAAAD7X67A=")</f>
        <v>#VALUE!</v>
      </c>
      <c r="FV286" t="e">
        <f>AND('Additional Services'!C96,"AAAAAD7X67E=")</f>
        <v>#VALUE!</v>
      </c>
      <c r="FW286" t="e">
        <f>AND('Additional Services'!D96,"AAAAAD7X67I=")</f>
        <v>#VALUE!</v>
      </c>
      <c r="FX286" t="e">
        <f>AND('Additional Services'!E96,"AAAAAD7X67M=")</f>
        <v>#VALUE!</v>
      </c>
      <c r="FY286" t="e">
        <f>AND('Additional Services'!F96,"AAAAAD7X67Q=")</f>
        <v>#VALUE!</v>
      </c>
      <c r="FZ286" t="e">
        <f>AND('Additional Services'!G96,"AAAAAD7X67U=")</f>
        <v>#VALUE!</v>
      </c>
      <c r="GA286" t="e">
        <f>AND('Additional Services'!H96,"AAAAAD7X67Y=")</f>
        <v>#VALUE!</v>
      </c>
      <c r="GB286" t="e">
        <f>AND('Additional Services'!I96,"AAAAAD7X67c=")</f>
        <v>#VALUE!</v>
      </c>
      <c r="GC286" t="e">
        <f>AND('Additional Services'!J96,"AAAAAD7X67g=")</f>
        <v>#VALUE!</v>
      </c>
      <c r="GD286">
        <f>IF('Additional Services'!97:97,"AAAAAD7X67k=",0)</f>
        <v>0</v>
      </c>
      <c r="GE286" t="e">
        <f>AND('Additional Services'!#REF!,"AAAAAD7X67o=")</f>
        <v>#REF!</v>
      </c>
      <c r="GF286" t="e">
        <f>AND('Additional Services'!#REF!,"AAAAAD7X67s=")</f>
        <v>#REF!</v>
      </c>
      <c r="GG286" t="e">
        <f>AND('Additional Services'!#REF!,"AAAAAD7X67w=")</f>
        <v>#REF!</v>
      </c>
      <c r="GH286" t="e">
        <f>AND('Additional Services'!A97,"AAAAAD7X670=")</f>
        <v>#VALUE!</v>
      </c>
      <c r="GI286" t="e">
        <f>AND('Additional Services'!B97,"AAAAAD7X674=")</f>
        <v>#VALUE!</v>
      </c>
      <c r="GJ286" t="e">
        <f>AND('Additional Services'!C97,"AAAAAD7X678=")</f>
        <v>#VALUE!</v>
      </c>
      <c r="GK286" t="e">
        <f>AND('Additional Services'!D97,"AAAAAD7X68A=")</f>
        <v>#VALUE!</v>
      </c>
      <c r="GL286" t="e">
        <f>AND('Additional Services'!E97,"AAAAAD7X68E=")</f>
        <v>#VALUE!</v>
      </c>
      <c r="GM286" t="e">
        <f>AND('Additional Services'!F97,"AAAAAD7X68I=")</f>
        <v>#VALUE!</v>
      </c>
      <c r="GN286" t="e">
        <f>AND('Additional Services'!G97,"AAAAAD7X68M=")</f>
        <v>#VALUE!</v>
      </c>
      <c r="GO286" t="e">
        <f>AND('Additional Services'!H97,"AAAAAD7X68Q=")</f>
        <v>#VALUE!</v>
      </c>
      <c r="GP286" t="e">
        <f>AND('Additional Services'!I97,"AAAAAD7X68U=")</f>
        <v>#VALUE!</v>
      </c>
      <c r="GQ286" t="e">
        <f>AND('Additional Services'!J97,"AAAAAD7X68Y=")</f>
        <v>#VALUE!</v>
      </c>
      <c r="GR286">
        <f>IF('Additional Services'!98:98,"AAAAAD7X68c=",0)</f>
        <v>0</v>
      </c>
      <c r="GS286" t="e">
        <f>AND('Additional Services'!#REF!,"AAAAAD7X68g=")</f>
        <v>#REF!</v>
      </c>
      <c r="GT286" t="e">
        <f>AND('Additional Services'!#REF!,"AAAAAD7X68k=")</f>
        <v>#REF!</v>
      </c>
      <c r="GU286" t="e">
        <f>AND('Additional Services'!A98,"AAAAAD7X68o=")</f>
        <v>#VALUE!</v>
      </c>
      <c r="GV286" t="e">
        <f>AND('Additional Services'!B98,"AAAAAD7X68s=")</f>
        <v>#VALUE!</v>
      </c>
      <c r="GW286" t="e">
        <f>AND('Additional Services'!C98,"AAAAAD7X68w=")</f>
        <v>#VALUE!</v>
      </c>
      <c r="GX286" t="e">
        <f>AND('Additional Services'!D98,"AAAAAD7X680=")</f>
        <v>#VALUE!</v>
      </c>
      <c r="GY286" t="e">
        <f>AND('Additional Services'!E98,"AAAAAD7X684=")</f>
        <v>#VALUE!</v>
      </c>
      <c r="GZ286" t="e">
        <f>AND('Additional Services'!F98,"AAAAAD7X688=")</f>
        <v>#VALUE!</v>
      </c>
      <c r="HA286" t="e">
        <f>AND('Additional Services'!G98,"AAAAAD7X69A=")</f>
        <v>#VALUE!</v>
      </c>
      <c r="HB286" t="e">
        <f>AND('Additional Services'!H98,"AAAAAD7X69E=")</f>
        <v>#VALUE!</v>
      </c>
      <c r="HC286" t="e">
        <f>AND('Additional Services'!I98,"AAAAAD7X69I=")</f>
        <v>#VALUE!</v>
      </c>
      <c r="HD286" t="e">
        <f>AND('Additional Services'!J98,"AAAAAD7X69M=")</f>
        <v>#VALUE!</v>
      </c>
      <c r="HE286" t="e">
        <f>AND('Additional Services'!K98,"AAAAAD7X69Q=")</f>
        <v>#VALUE!</v>
      </c>
      <c r="HF286">
        <f>IF('Additional Services'!99:99,"AAAAAD7X69U=",0)</f>
        <v>0</v>
      </c>
      <c r="HG286" t="e">
        <f>AND('Additional Services'!#REF!,"AAAAAD7X69Y=")</f>
        <v>#REF!</v>
      </c>
      <c r="HH286" t="e">
        <f>AND('Additional Services'!#REF!,"AAAAAD7X69c=")</f>
        <v>#REF!</v>
      </c>
      <c r="HI286" t="e">
        <f>AND('Additional Services'!A99,"AAAAAD7X69g=")</f>
        <v>#VALUE!</v>
      </c>
      <c r="HJ286" t="e">
        <f>AND('Additional Services'!B99,"AAAAAD7X69k=")</f>
        <v>#VALUE!</v>
      </c>
      <c r="HK286" t="e">
        <f>AND('Additional Services'!C99,"AAAAAD7X69o=")</f>
        <v>#VALUE!</v>
      </c>
      <c r="HL286" t="e">
        <f>AND('Additional Services'!D99,"AAAAAD7X69s=")</f>
        <v>#VALUE!</v>
      </c>
      <c r="HM286" t="e">
        <f>AND('Additional Services'!E99,"AAAAAD7X69w=")</f>
        <v>#VALUE!</v>
      </c>
      <c r="HN286" t="e">
        <f>AND('Additional Services'!F99,"AAAAAD7X690=")</f>
        <v>#VALUE!</v>
      </c>
      <c r="HO286" t="e">
        <f>AND('Additional Services'!G99,"AAAAAD7X694=")</f>
        <v>#VALUE!</v>
      </c>
      <c r="HP286" t="e">
        <f>AND('Additional Services'!H99,"AAAAAD7X698=")</f>
        <v>#VALUE!</v>
      </c>
      <c r="HQ286" t="e">
        <f>AND('Additional Services'!I99,"AAAAAD7X6+A=")</f>
        <v>#VALUE!</v>
      </c>
      <c r="HR286" t="e">
        <f>AND('Additional Services'!J99,"AAAAAD7X6+E=")</f>
        <v>#VALUE!</v>
      </c>
      <c r="HS286" t="e">
        <f>AND('Additional Services'!K99,"AAAAAD7X6+I=")</f>
        <v>#VALUE!</v>
      </c>
      <c r="HT286">
        <f>IF('Additional Services'!100:100,"AAAAAD7X6+M=",0)</f>
        <v>0</v>
      </c>
      <c r="HU286" t="e">
        <f>AND('Additional Services'!#REF!,"AAAAAD7X6+Q=")</f>
        <v>#REF!</v>
      </c>
      <c r="HV286" t="e">
        <f>AND('Additional Services'!#REF!,"AAAAAD7X6+U=")</f>
        <v>#REF!</v>
      </c>
      <c r="HW286" t="e">
        <f>AND('Additional Services'!A100,"AAAAAD7X6+Y=")</f>
        <v>#VALUE!</v>
      </c>
      <c r="HX286" t="e">
        <f>AND('Additional Services'!B100,"AAAAAD7X6+c=")</f>
        <v>#VALUE!</v>
      </c>
      <c r="HY286" t="e">
        <f>AND('Additional Services'!C100,"AAAAAD7X6+g=")</f>
        <v>#VALUE!</v>
      </c>
      <c r="HZ286" t="e">
        <f>AND('Additional Services'!D100,"AAAAAD7X6+k=")</f>
        <v>#VALUE!</v>
      </c>
      <c r="IA286" t="e">
        <f>AND('Additional Services'!E100,"AAAAAD7X6+o=")</f>
        <v>#VALUE!</v>
      </c>
      <c r="IB286" t="e">
        <f>AND('Additional Services'!F100,"AAAAAD7X6+s=")</f>
        <v>#VALUE!</v>
      </c>
      <c r="IC286" t="e">
        <f>AND('Additional Services'!G100,"AAAAAD7X6+w=")</f>
        <v>#VALUE!</v>
      </c>
      <c r="ID286" t="e">
        <f>AND('Additional Services'!H100,"AAAAAD7X6+0=")</f>
        <v>#VALUE!</v>
      </c>
      <c r="IE286" t="e">
        <f>AND('Additional Services'!I100,"AAAAAD7X6+4=")</f>
        <v>#VALUE!</v>
      </c>
      <c r="IF286" t="e">
        <f>AND('Additional Services'!J100,"AAAAAD7X6+8=")</f>
        <v>#VALUE!</v>
      </c>
      <c r="IG286" t="e">
        <f>AND('Additional Services'!K100,"AAAAAD7X6/A=")</f>
        <v>#VALUE!</v>
      </c>
      <c r="IH286">
        <f>IF('Additional Services'!101:101,"AAAAAD7X6/E=",0)</f>
        <v>0</v>
      </c>
      <c r="II286" t="e">
        <f>AND('Additional Services'!#REF!,"AAAAAD7X6/I=")</f>
        <v>#REF!</v>
      </c>
      <c r="IJ286" t="e">
        <f>AND('Additional Services'!#REF!,"AAAAAD7X6/M=")</f>
        <v>#REF!</v>
      </c>
      <c r="IK286" t="e">
        <f>AND('Additional Services'!A101,"AAAAAD7X6/Q=")</f>
        <v>#VALUE!</v>
      </c>
      <c r="IL286" t="e">
        <f>AND('Additional Services'!B101,"AAAAAD7X6/U=")</f>
        <v>#VALUE!</v>
      </c>
      <c r="IM286" t="e">
        <f>AND('Additional Services'!C101,"AAAAAD7X6/Y=")</f>
        <v>#VALUE!</v>
      </c>
      <c r="IN286" t="e">
        <f>AND('Additional Services'!D101,"AAAAAD7X6/c=")</f>
        <v>#VALUE!</v>
      </c>
      <c r="IO286" t="e">
        <f>AND('Additional Services'!E101,"AAAAAD7X6/g=")</f>
        <v>#VALUE!</v>
      </c>
      <c r="IP286" t="e">
        <f>AND('Additional Services'!F101,"AAAAAD7X6/k=")</f>
        <v>#VALUE!</v>
      </c>
      <c r="IQ286" t="e">
        <f>AND('Additional Services'!G101,"AAAAAD7X6/o=")</f>
        <v>#VALUE!</v>
      </c>
      <c r="IR286" t="e">
        <f>AND('Additional Services'!H101,"AAAAAD7X6/s=")</f>
        <v>#VALUE!</v>
      </c>
      <c r="IS286" t="e">
        <f>AND('Additional Services'!I101,"AAAAAD7X6/w=")</f>
        <v>#VALUE!</v>
      </c>
      <c r="IT286" t="e">
        <f>AND('Additional Services'!J101,"AAAAAD7X6/0=")</f>
        <v>#VALUE!</v>
      </c>
      <c r="IU286" t="e">
        <f>AND('Additional Services'!K101,"AAAAAD7X6/4=")</f>
        <v>#VALUE!</v>
      </c>
      <c r="IV286">
        <f>IF('Additional Services'!102:102,"AAAAAD7X6/8=",0)</f>
        <v>0</v>
      </c>
    </row>
    <row r="287" spans="1:256" x14ac:dyDescent="0.2">
      <c r="A287" t="e">
        <f>AND('Additional Services'!#REF!,"AAAAAH/8+QA=")</f>
        <v>#REF!</v>
      </c>
      <c r="B287" t="e">
        <f>AND('Additional Services'!#REF!,"AAAAAH/8+QE=")</f>
        <v>#REF!</v>
      </c>
      <c r="C287" t="e">
        <f>AND('Additional Services'!A102,"AAAAAH/8+QI=")</f>
        <v>#VALUE!</v>
      </c>
      <c r="D287" t="e">
        <f>AND('Additional Services'!B102,"AAAAAH/8+QM=")</f>
        <v>#VALUE!</v>
      </c>
      <c r="E287" t="e">
        <f>AND('Additional Services'!C102,"AAAAAH/8+QQ=")</f>
        <v>#VALUE!</v>
      </c>
      <c r="F287" t="e">
        <f>AND('Additional Services'!D102,"AAAAAH/8+QU=")</f>
        <v>#VALUE!</v>
      </c>
      <c r="G287" t="e">
        <f>AND('Additional Services'!E102,"AAAAAH/8+QY=")</f>
        <v>#VALUE!</v>
      </c>
      <c r="H287" t="e">
        <f>AND('Additional Services'!F102,"AAAAAH/8+Qc=")</f>
        <v>#VALUE!</v>
      </c>
      <c r="I287" t="e">
        <f>AND('Additional Services'!G102,"AAAAAH/8+Qg=")</f>
        <v>#VALUE!</v>
      </c>
      <c r="J287" t="e">
        <f>AND('Additional Services'!H102,"AAAAAH/8+Qk=")</f>
        <v>#VALUE!</v>
      </c>
      <c r="K287" t="e">
        <f>AND('Additional Services'!I102,"AAAAAH/8+Qo=")</f>
        <v>#VALUE!</v>
      </c>
      <c r="L287" t="e">
        <f>AND('Additional Services'!J102,"AAAAAH/8+Qs=")</f>
        <v>#VALUE!</v>
      </c>
      <c r="M287" t="e">
        <f>AND('Additional Services'!K102,"AAAAAH/8+Qw=")</f>
        <v>#VALUE!</v>
      </c>
      <c r="N287">
        <f>IF('Additional Services'!103:103,"AAAAAH/8+Q0=",0)</f>
        <v>0</v>
      </c>
      <c r="O287" t="e">
        <f>AND('Additional Services'!#REF!,"AAAAAH/8+Q4=")</f>
        <v>#REF!</v>
      </c>
      <c r="P287" t="e">
        <f>AND('Additional Services'!#REF!,"AAAAAH/8+Q8=")</f>
        <v>#REF!</v>
      </c>
      <c r="Q287" t="e">
        <f>AND('Additional Services'!A103,"AAAAAH/8+RA=")</f>
        <v>#VALUE!</v>
      </c>
      <c r="R287" t="e">
        <f>AND('Additional Services'!B103,"AAAAAH/8+RE=")</f>
        <v>#VALUE!</v>
      </c>
      <c r="S287" t="e">
        <f>AND('Additional Services'!C103,"AAAAAH/8+RI=")</f>
        <v>#VALUE!</v>
      </c>
      <c r="T287" t="e">
        <f>AND('Additional Services'!D103,"AAAAAH/8+RM=")</f>
        <v>#VALUE!</v>
      </c>
      <c r="U287" t="e">
        <f>AND('Additional Services'!E103,"AAAAAH/8+RQ=")</f>
        <v>#VALUE!</v>
      </c>
      <c r="V287" t="e">
        <f>AND('Additional Services'!F103,"AAAAAH/8+RU=")</f>
        <v>#VALUE!</v>
      </c>
      <c r="W287" t="e">
        <f>AND('Additional Services'!G103,"AAAAAH/8+RY=")</f>
        <v>#VALUE!</v>
      </c>
      <c r="X287" t="e">
        <f>AND('Additional Services'!H103,"AAAAAH/8+Rc=")</f>
        <v>#VALUE!</v>
      </c>
      <c r="Y287" t="e">
        <f>AND('Additional Services'!I103,"AAAAAH/8+Rg=")</f>
        <v>#VALUE!</v>
      </c>
      <c r="Z287" t="e">
        <f>AND('Additional Services'!J103,"AAAAAH/8+Rk=")</f>
        <v>#VALUE!</v>
      </c>
      <c r="AA287" t="e">
        <f>AND('Additional Services'!K103,"AAAAAH/8+Ro=")</f>
        <v>#VALUE!</v>
      </c>
      <c r="AB287">
        <f>IF('Additional Services'!104:104,"AAAAAH/8+Rs=",0)</f>
        <v>0</v>
      </c>
      <c r="AC287" t="e">
        <f>AND('Additional Services'!#REF!,"AAAAAH/8+Rw=")</f>
        <v>#REF!</v>
      </c>
      <c r="AD287" t="e">
        <f>AND('Additional Services'!#REF!,"AAAAAH/8+R0=")</f>
        <v>#REF!</v>
      </c>
      <c r="AE287" t="e">
        <f>AND('Additional Services'!A104,"AAAAAH/8+R4=")</f>
        <v>#VALUE!</v>
      </c>
      <c r="AF287" t="e">
        <f>AND('Additional Services'!B104,"AAAAAH/8+R8=")</f>
        <v>#VALUE!</v>
      </c>
      <c r="AG287" t="e">
        <f>AND('Additional Services'!C104,"AAAAAH/8+SA=")</f>
        <v>#VALUE!</v>
      </c>
      <c r="AH287" t="e">
        <f>AND('Additional Services'!D104,"AAAAAH/8+SE=")</f>
        <v>#VALUE!</v>
      </c>
      <c r="AI287" t="e">
        <f>AND('Additional Services'!E104,"AAAAAH/8+SI=")</f>
        <v>#VALUE!</v>
      </c>
      <c r="AJ287" t="e">
        <f>AND('Additional Services'!F104,"AAAAAH/8+SM=")</f>
        <v>#VALUE!</v>
      </c>
      <c r="AK287" t="e">
        <f>AND('Additional Services'!G104,"AAAAAH/8+SQ=")</f>
        <v>#VALUE!</v>
      </c>
      <c r="AL287" t="e">
        <f>AND('Additional Services'!H104,"AAAAAH/8+SU=")</f>
        <v>#VALUE!</v>
      </c>
      <c r="AM287" t="e">
        <f>AND('Additional Services'!I104,"AAAAAH/8+SY=")</f>
        <v>#VALUE!</v>
      </c>
      <c r="AN287" t="e">
        <f>AND('Additional Services'!J104,"AAAAAH/8+Sc=")</f>
        <v>#VALUE!</v>
      </c>
      <c r="AO287" t="e">
        <f>AND('Additional Services'!K104,"AAAAAH/8+Sg=")</f>
        <v>#VALUE!</v>
      </c>
      <c r="AP287">
        <f>IF('Additional Services'!105:105,"AAAAAH/8+Sk=",0)</f>
        <v>0</v>
      </c>
      <c r="AQ287" t="e">
        <f>AND('Additional Services'!#REF!,"AAAAAH/8+So=")</f>
        <v>#REF!</v>
      </c>
      <c r="AR287" t="e">
        <f>AND('Additional Services'!#REF!,"AAAAAH/8+Ss=")</f>
        <v>#REF!</v>
      </c>
      <c r="AS287" t="e">
        <f>AND('Additional Services'!A105,"AAAAAH/8+Sw=")</f>
        <v>#VALUE!</v>
      </c>
      <c r="AT287" t="e">
        <f>AND('Additional Services'!B105,"AAAAAH/8+S0=")</f>
        <v>#VALUE!</v>
      </c>
      <c r="AU287" t="e">
        <f>AND('Additional Services'!C105,"AAAAAH/8+S4=")</f>
        <v>#VALUE!</v>
      </c>
      <c r="AV287" t="e">
        <f>AND('Additional Services'!D105,"AAAAAH/8+S8=")</f>
        <v>#VALUE!</v>
      </c>
      <c r="AW287" t="e">
        <f>AND('Additional Services'!E105,"AAAAAH/8+TA=")</f>
        <v>#VALUE!</v>
      </c>
      <c r="AX287" t="e">
        <f>AND('Additional Services'!F105,"AAAAAH/8+TE=")</f>
        <v>#VALUE!</v>
      </c>
      <c r="AY287" t="e">
        <f>AND('Additional Services'!G105,"AAAAAH/8+TI=")</f>
        <v>#VALUE!</v>
      </c>
      <c r="AZ287" t="e">
        <f>AND('Additional Services'!H105,"AAAAAH/8+TM=")</f>
        <v>#VALUE!</v>
      </c>
      <c r="BA287" t="e">
        <f>AND('Additional Services'!I105,"AAAAAH/8+TQ=")</f>
        <v>#VALUE!</v>
      </c>
      <c r="BB287" t="e">
        <f>AND('Additional Services'!J105,"AAAAAH/8+TU=")</f>
        <v>#VALUE!</v>
      </c>
      <c r="BC287" t="e">
        <f>AND('Additional Services'!K105,"AAAAAH/8+TY=")</f>
        <v>#VALUE!</v>
      </c>
      <c r="BD287">
        <f>IF('Additional Services'!106:106,"AAAAAH/8+Tc=",0)</f>
        <v>0</v>
      </c>
      <c r="BE287" t="e">
        <f>AND('Additional Services'!#REF!,"AAAAAH/8+Tg=")</f>
        <v>#REF!</v>
      </c>
      <c r="BF287" t="e">
        <f>AND('Additional Services'!#REF!,"AAAAAH/8+Tk=")</f>
        <v>#REF!</v>
      </c>
      <c r="BG287" t="e">
        <f>AND('Additional Services'!A106,"AAAAAH/8+To=")</f>
        <v>#VALUE!</v>
      </c>
      <c r="BH287" t="e">
        <f>AND('Additional Services'!B106,"AAAAAH/8+Ts=")</f>
        <v>#VALUE!</v>
      </c>
      <c r="BI287" t="e">
        <f>AND('Additional Services'!C106,"AAAAAH/8+Tw=")</f>
        <v>#VALUE!</v>
      </c>
      <c r="BJ287" t="e">
        <f>AND('Additional Services'!D106,"AAAAAH/8+T0=")</f>
        <v>#VALUE!</v>
      </c>
      <c r="BK287" t="e">
        <f>AND('Additional Services'!E106,"AAAAAH/8+T4=")</f>
        <v>#VALUE!</v>
      </c>
      <c r="BL287" t="e">
        <f>AND('Additional Services'!F106,"AAAAAH/8+T8=")</f>
        <v>#VALUE!</v>
      </c>
      <c r="BM287" t="e">
        <f>AND('Additional Services'!G106,"AAAAAH/8+UA=")</f>
        <v>#VALUE!</v>
      </c>
      <c r="BN287" t="e">
        <f>AND('Additional Services'!H106,"AAAAAH/8+UE=")</f>
        <v>#VALUE!</v>
      </c>
      <c r="BO287" t="e">
        <f>AND('Additional Services'!I106,"AAAAAH/8+UI=")</f>
        <v>#VALUE!</v>
      </c>
      <c r="BP287" t="e">
        <f>AND('Additional Services'!J106,"AAAAAH/8+UM=")</f>
        <v>#VALUE!</v>
      </c>
      <c r="BQ287" t="e">
        <f>AND('Additional Services'!K106,"AAAAAH/8+UQ=")</f>
        <v>#VALUE!</v>
      </c>
      <c r="BR287">
        <f>IF('Additional Services'!107:107,"AAAAAH/8+UU=",0)</f>
        <v>0</v>
      </c>
      <c r="BS287" t="e">
        <f>AND('Additional Services'!#REF!,"AAAAAH/8+UY=")</f>
        <v>#REF!</v>
      </c>
      <c r="BT287" t="e">
        <f>AND('Additional Services'!A107,"AAAAAH/8+Uc=")</f>
        <v>#VALUE!</v>
      </c>
      <c r="BU287" t="e">
        <f>AND('Additional Services'!B107,"AAAAAH/8+Ug=")</f>
        <v>#VALUE!</v>
      </c>
      <c r="BV287" t="e">
        <f>AND('Additional Services'!C107,"AAAAAH/8+Uk=")</f>
        <v>#VALUE!</v>
      </c>
      <c r="BW287" t="e">
        <f>AND('Additional Services'!D107,"AAAAAH/8+Uo=")</f>
        <v>#VALUE!</v>
      </c>
      <c r="BX287" t="e">
        <f>AND('Additional Services'!E107,"AAAAAH/8+Us=")</f>
        <v>#VALUE!</v>
      </c>
      <c r="BY287" t="e">
        <f>AND('Additional Services'!F107,"AAAAAH/8+Uw=")</f>
        <v>#VALUE!</v>
      </c>
      <c r="BZ287" t="e">
        <f>AND('Additional Services'!G107,"AAAAAH/8+U0=")</f>
        <v>#VALUE!</v>
      </c>
      <c r="CA287" t="e">
        <f>AND('Additional Services'!H107,"AAAAAH/8+U4=")</f>
        <v>#VALUE!</v>
      </c>
      <c r="CB287" t="e">
        <f>AND('Additional Services'!I107,"AAAAAH/8+U8=")</f>
        <v>#VALUE!</v>
      </c>
      <c r="CC287" t="e">
        <f>AND('Additional Services'!J107,"AAAAAH/8+VA=")</f>
        <v>#VALUE!</v>
      </c>
      <c r="CD287" t="e">
        <f>AND('Additional Services'!K107,"AAAAAH/8+VE=")</f>
        <v>#VALUE!</v>
      </c>
      <c r="CE287" t="e">
        <f>AND('Additional Services'!L107,"AAAAAH/8+VI=")</f>
        <v>#VALUE!</v>
      </c>
      <c r="CF287">
        <f>IF('Additional Services'!108:108,"AAAAAH/8+VM=",0)</f>
        <v>0</v>
      </c>
      <c r="CG287" t="e">
        <f>AND('Additional Services'!#REF!,"AAAAAH/8+VQ=")</f>
        <v>#REF!</v>
      </c>
      <c r="CH287" t="e">
        <f>AND('Additional Services'!A108,"AAAAAH/8+VU=")</f>
        <v>#VALUE!</v>
      </c>
      <c r="CI287" t="e">
        <f>AND('Additional Services'!B108,"AAAAAH/8+VY=")</f>
        <v>#VALUE!</v>
      </c>
      <c r="CJ287" t="e">
        <f>AND('Additional Services'!C108,"AAAAAH/8+Vc=")</f>
        <v>#VALUE!</v>
      </c>
      <c r="CK287" t="e">
        <f>AND('Additional Services'!D108,"AAAAAH/8+Vg=")</f>
        <v>#VALUE!</v>
      </c>
      <c r="CL287" t="e">
        <f>AND('Additional Services'!E108,"AAAAAH/8+Vk=")</f>
        <v>#VALUE!</v>
      </c>
      <c r="CM287" t="e">
        <f>AND('Additional Services'!F108,"AAAAAH/8+Vo=")</f>
        <v>#VALUE!</v>
      </c>
      <c r="CN287" t="e">
        <f>AND('Additional Services'!G108,"AAAAAH/8+Vs=")</f>
        <v>#VALUE!</v>
      </c>
      <c r="CO287" t="e">
        <f>AND('Additional Services'!H108,"AAAAAH/8+Vw=")</f>
        <v>#VALUE!</v>
      </c>
      <c r="CP287" t="e">
        <f>AND('Additional Services'!I108,"AAAAAH/8+V0=")</f>
        <v>#VALUE!</v>
      </c>
      <c r="CQ287" t="e">
        <f>AND('Additional Services'!J108,"AAAAAH/8+V4=")</f>
        <v>#VALUE!</v>
      </c>
      <c r="CR287" t="e">
        <f>AND('Additional Services'!K108,"AAAAAH/8+V8=")</f>
        <v>#VALUE!</v>
      </c>
      <c r="CS287" t="e">
        <f>AND('Additional Services'!L108,"AAAAAH/8+WA=")</f>
        <v>#VALUE!</v>
      </c>
      <c r="CT287">
        <f>IF('Additional Services'!109:109,"AAAAAH/8+WE=",0)</f>
        <v>0</v>
      </c>
      <c r="CU287" t="e">
        <f>AND('Additional Services'!#REF!,"AAAAAH/8+WI=")</f>
        <v>#REF!</v>
      </c>
      <c r="CV287" t="e">
        <f>AND('Additional Services'!A109,"AAAAAH/8+WM=")</f>
        <v>#VALUE!</v>
      </c>
      <c r="CW287" t="e">
        <f>AND('Additional Services'!B109,"AAAAAH/8+WQ=")</f>
        <v>#VALUE!</v>
      </c>
      <c r="CX287" t="e">
        <f>AND('Additional Services'!C109,"AAAAAH/8+WU=")</f>
        <v>#VALUE!</v>
      </c>
      <c r="CY287" t="e">
        <f>AND('Additional Services'!D109,"AAAAAH/8+WY=")</f>
        <v>#VALUE!</v>
      </c>
      <c r="CZ287" t="e">
        <f>AND('Additional Services'!E109,"AAAAAH/8+Wc=")</f>
        <v>#VALUE!</v>
      </c>
      <c r="DA287" t="e">
        <f>AND('Additional Services'!F109,"AAAAAH/8+Wg=")</f>
        <v>#VALUE!</v>
      </c>
      <c r="DB287" t="e">
        <f>AND('Additional Services'!G109,"AAAAAH/8+Wk=")</f>
        <v>#VALUE!</v>
      </c>
      <c r="DC287" t="e">
        <f>AND('Additional Services'!H109,"AAAAAH/8+Wo=")</f>
        <v>#VALUE!</v>
      </c>
      <c r="DD287" t="e">
        <f>AND('Additional Services'!I109,"AAAAAH/8+Ws=")</f>
        <v>#VALUE!</v>
      </c>
      <c r="DE287" t="e">
        <f>AND('Additional Services'!J109,"AAAAAH/8+Ww=")</f>
        <v>#VALUE!</v>
      </c>
      <c r="DF287" t="e">
        <f>AND('Additional Services'!#REF!,"AAAAAH/8+W0=")</f>
        <v>#REF!</v>
      </c>
      <c r="DG287" t="e">
        <f>AND('Additional Services'!#REF!,"AAAAAH/8+W4=")</f>
        <v>#REF!</v>
      </c>
      <c r="DH287">
        <f>IF('Additional Services'!110:110,"AAAAAH/8+W8=",0)</f>
        <v>0</v>
      </c>
      <c r="DI287" t="e">
        <f>AND('Additional Services'!#REF!,"AAAAAH/8+XA=")</f>
        <v>#REF!</v>
      </c>
      <c r="DJ287" t="e">
        <f>AND('Additional Services'!#REF!,"AAAAAH/8+XE=")</f>
        <v>#REF!</v>
      </c>
      <c r="DK287" t="e">
        <f>AND('Additional Services'!A110,"AAAAAH/8+XI=")</f>
        <v>#VALUE!</v>
      </c>
      <c r="DL287" t="e">
        <f>AND('Additional Services'!B110,"AAAAAH/8+XM=")</f>
        <v>#VALUE!</v>
      </c>
      <c r="DM287" t="e">
        <f>AND('Additional Services'!C110,"AAAAAH/8+XQ=")</f>
        <v>#VALUE!</v>
      </c>
      <c r="DN287" t="e">
        <f>AND('Additional Services'!D110,"AAAAAH/8+XU=")</f>
        <v>#VALUE!</v>
      </c>
      <c r="DO287" t="e">
        <f>AND('Additional Services'!E110,"AAAAAH/8+XY=")</f>
        <v>#VALUE!</v>
      </c>
      <c r="DP287" t="e">
        <f>AND('Additional Services'!F110,"AAAAAH/8+Xc=")</f>
        <v>#VALUE!</v>
      </c>
      <c r="DQ287" t="e">
        <f>AND('Additional Services'!G110,"AAAAAH/8+Xg=")</f>
        <v>#VALUE!</v>
      </c>
      <c r="DR287" t="e">
        <f>AND('Additional Services'!H110,"AAAAAH/8+Xk=")</f>
        <v>#VALUE!</v>
      </c>
      <c r="DS287" t="e">
        <f>AND('Additional Services'!I110,"AAAAAH/8+Xo=")</f>
        <v>#VALUE!</v>
      </c>
      <c r="DT287" t="e">
        <f>AND('Additional Services'!#REF!,"AAAAAH/8+Xs=")</f>
        <v>#REF!</v>
      </c>
      <c r="DU287" t="e">
        <f>AND('Additional Services'!#REF!,"AAAAAH/8+Xw=")</f>
        <v>#REF!</v>
      </c>
      <c r="DV287">
        <f>IF('Additional Services'!111:111,"AAAAAH/8+X0=",0)</f>
        <v>0</v>
      </c>
      <c r="DW287" t="e">
        <f>AND('Additional Services'!#REF!,"AAAAAH/8+X4=")</f>
        <v>#REF!</v>
      </c>
      <c r="DX287" t="e">
        <f>AND('Additional Services'!#REF!,"AAAAAH/8+X8=")</f>
        <v>#REF!</v>
      </c>
      <c r="DY287" t="e">
        <f>AND('Additional Services'!A111,"AAAAAH/8+YA=")</f>
        <v>#VALUE!</v>
      </c>
      <c r="DZ287" t="e">
        <f>AND('Additional Services'!B111,"AAAAAH/8+YE=")</f>
        <v>#VALUE!</v>
      </c>
      <c r="EA287" t="e">
        <f>AND('Additional Services'!C111,"AAAAAH/8+YI=")</f>
        <v>#VALUE!</v>
      </c>
      <c r="EB287" t="e">
        <f>AND('Additional Services'!D111,"AAAAAH/8+YM=")</f>
        <v>#VALUE!</v>
      </c>
      <c r="EC287" t="e">
        <f>AND('Additional Services'!E111,"AAAAAH/8+YQ=")</f>
        <v>#VALUE!</v>
      </c>
      <c r="ED287" t="e">
        <f>AND('Additional Services'!F111,"AAAAAH/8+YU=")</f>
        <v>#VALUE!</v>
      </c>
      <c r="EE287" t="e">
        <f>AND('Additional Services'!G111,"AAAAAH/8+YY=")</f>
        <v>#VALUE!</v>
      </c>
      <c r="EF287" t="e">
        <f>AND('Additional Services'!H111,"AAAAAH/8+Yc=")</f>
        <v>#VALUE!</v>
      </c>
      <c r="EG287" t="e">
        <f>AND('Additional Services'!I111,"AAAAAH/8+Yg=")</f>
        <v>#VALUE!</v>
      </c>
      <c r="EH287" t="e">
        <f>AND('Additional Services'!#REF!,"AAAAAH/8+Yk=")</f>
        <v>#REF!</v>
      </c>
      <c r="EI287" t="e">
        <f>AND('Additional Services'!#REF!,"AAAAAH/8+Yo=")</f>
        <v>#REF!</v>
      </c>
      <c r="EJ287">
        <f>IF('Additional Services'!112:112,"AAAAAH/8+Ys=",0)</f>
        <v>0</v>
      </c>
      <c r="EK287" t="e">
        <f>AND('Additional Services'!#REF!,"AAAAAH/8+Yw=")</f>
        <v>#REF!</v>
      </c>
      <c r="EL287" t="e">
        <f>AND('Additional Services'!#REF!,"AAAAAH/8+Y0=")</f>
        <v>#REF!</v>
      </c>
      <c r="EM287" t="e">
        <f>AND('Additional Services'!A112,"AAAAAH/8+Y4=")</f>
        <v>#VALUE!</v>
      </c>
      <c r="EN287" t="e">
        <f>AND('Additional Services'!B112,"AAAAAH/8+Y8=")</f>
        <v>#VALUE!</v>
      </c>
      <c r="EO287" t="e">
        <f>AND('Additional Services'!C112,"AAAAAH/8+ZA=")</f>
        <v>#VALUE!</v>
      </c>
      <c r="EP287" t="e">
        <f>AND('Additional Services'!D112,"AAAAAH/8+ZE=")</f>
        <v>#VALUE!</v>
      </c>
      <c r="EQ287" t="e">
        <f>AND('Additional Services'!E112,"AAAAAH/8+ZI=")</f>
        <v>#VALUE!</v>
      </c>
      <c r="ER287" t="e">
        <f>AND('Additional Services'!F112,"AAAAAH/8+ZM=")</f>
        <v>#VALUE!</v>
      </c>
      <c r="ES287" t="e">
        <f>AND('Additional Services'!G112,"AAAAAH/8+ZQ=")</f>
        <v>#VALUE!</v>
      </c>
      <c r="ET287" t="e">
        <f>AND('Additional Services'!H112,"AAAAAH/8+ZU=")</f>
        <v>#VALUE!</v>
      </c>
      <c r="EU287" t="e">
        <f>AND('Additional Services'!I112,"AAAAAH/8+ZY=")</f>
        <v>#VALUE!</v>
      </c>
      <c r="EV287" t="e">
        <f>AND('Additional Services'!J112,"AAAAAH/8+Zc=")</f>
        <v>#VALUE!</v>
      </c>
      <c r="EW287" t="e">
        <f>AND('Additional Services'!K112,"AAAAAH/8+Zg=")</f>
        <v>#VALUE!</v>
      </c>
      <c r="EX287">
        <f>IF('Additional Services'!113:113,"AAAAAH/8+Zk=",0)</f>
        <v>0</v>
      </c>
      <c r="EY287" t="e">
        <f>AND('Additional Services'!#REF!,"AAAAAH/8+Zo=")</f>
        <v>#REF!</v>
      </c>
      <c r="EZ287" t="e">
        <f>AND('Additional Services'!#REF!,"AAAAAH/8+Zs=")</f>
        <v>#REF!</v>
      </c>
      <c r="FA287" t="e">
        <f>AND('Additional Services'!A113,"AAAAAH/8+Zw=")</f>
        <v>#VALUE!</v>
      </c>
      <c r="FB287" t="e">
        <f>AND('Additional Services'!B113,"AAAAAH/8+Z0=")</f>
        <v>#VALUE!</v>
      </c>
      <c r="FC287" t="e">
        <f>AND('Additional Services'!C113,"AAAAAH/8+Z4=")</f>
        <v>#VALUE!</v>
      </c>
      <c r="FD287" t="e">
        <f>AND('Additional Services'!D113,"AAAAAH/8+Z8=")</f>
        <v>#VALUE!</v>
      </c>
      <c r="FE287" t="e">
        <f>AND('Additional Services'!E113,"AAAAAH/8+aA=")</f>
        <v>#VALUE!</v>
      </c>
      <c r="FF287" t="e">
        <f>AND('Additional Services'!F113,"AAAAAH/8+aE=")</f>
        <v>#VALUE!</v>
      </c>
      <c r="FG287" t="e">
        <f>AND('Additional Services'!G113,"AAAAAH/8+aI=")</f>
        <v>#VALUE!</v>
      </c>
      <c r="FH287" t="e">
        <f>AND('Additional Services'!H113,"AAAAAH/8+aM=")</f>
        <v>#VALUE!</v>
      </c>
      <c r="FI287" t="e">
        <f>AND('Additional Services'!I113,"AAAAAH/8+aQ=")</f>
        <v>#VALUE!</v>
      </c>
      <c r="FJ287" t="e">
        <f>AND('Additional Services'!J113,"AAAAAH/8+aU=")</f>
        <v>#VALUE!</v>
      </c>
      <c r="FK287" t="e">
        <f>AND('Additional Services'!K113,"AAAAAH/8+aY=")</f>
        <v>#VALUE!</v>
      </c>
      <c r="FL287">
        <f>IF('Additional Services'!114:114,"AAAAAH/8+ac=",0)</f>
        <v>0</v>
      </c>
      <c r="FM287" t="e">
        <f>AND('Additional Services'!#REF!,"AAAAAH/8+ag=")</f>
        <v>#REF!</v>
      </c>
      <c r="FN287" t="e">
        <f>AND('Additional Services'!#REF!,"AAAAAH/8+ak=")</f>
        <v>#REF!</v>
      </c>
      <c r="FO287" t="e">
        <f>AND('Additional Services'!A114,"AAAAAH/8+ao=")</f>
        <v>#VALUE!</v>
      </c>
      <c r="FP287" t="e">
        <f>AND('Additional Services'!B114,"AAAAAH/8+as=")</f>
        <v>#VALUE!</v>
      </c>
      <c r="FQ287" t="e">
        <f>AND('Additional Services'!C114,"AAAAAH/8+aw=")</f>
        <v>#VALUE!</v>
      </c>
      <c r="FR287" t="e">
        <f>AND('Additional Services'!D114,"AAAAAH/8+a0=")</f>
        <v>#VALUE!</v>
      </c>
      <c r="FS287" t="e">
        <f>AND('Additional Services'!E114,"AAAAAH/8+a4=")</f>
        <v>#VALUE!</v>
      </c>
      <c r="FT287" t="e">
        <f>AND('Additional Services'!F114,"AAAAAH/8+a8=")</f>
        <v>#VALUE!</v>
      </c>
      <c r="FU287" t="e">
        <f>AND('Additional Services'!G114,"AAAAAH/8+bA=")</f>
        <v>#VALUE!</v>
      </c>
      <c r="FV287" t="e">
        <f>AND('Additional Services'!H114,"AAAAAH/8+bE=")</f>
        <v>#VALUE!</v>
      </c>
      <c r="FW287" t="e">
        <f>AND('Additional Services'!I114,"AAAAAH/8+bI=")</f>
        <v>#VALUE!</v>
      </c>
      <c r="FX287" t="e">
        <f>AND('Additional Services'!J114,"AAAAAH/8+bM=")</f>
        <v>#VALUE!</v>
      </c>
      <c r="FY287" t="e">
        <f>AND('Additional Services'!K114,"AAAAAH/8+bQ=")</f>
        <v>#VALUE!</v>
      </c>
      <c r="FZ287">
        <f>IF('Additional Services'!115:115,"AAAAAH/8+bU=",0)</f>
        <v>0</v>
      </c>
      <c r="GA287" t="e">
        <f>AND('Additional Services'!#REF!,"AAAAAH/8+bY=")</f>
        <v>#REF!</v>
      </c>
      <c r="GB287" t="e">
        <f>AND('Additional Services'!#REF!,"AAAAAH/8+bc=")</f>
        <v>#REF!</v>
      </c>
      <c r="GC287" t="e">
        <f>AND('Additional Services'!A115,"AAAAAH/8+bg=")</f>
        <v>#VALUE!</v>
      </c>
      <c r="GD287" t="e">
        <f>AND('Additional Services'!B115,"AAAAAH/8+bk=")</f>
        <v>#VALUE!</v>
      </c>
      <c r="GE287" t="e">
        <f>AND('Additional Services'!C115,"AAAAAH/8+bo=")</f>
        <v>#VALUE!</v>
      </c>
      <c r="GF287" t="e">
        <f>AND('Additional Services'!D115,"AAAAAH/8+bs=")</f>
        <v>#VALUE!</v>
      </c>
      <c r="GG287" t="e">
        <f>AND('Additional Services'!E115,"AAAAAH/8+bw=")</f>
        <v>#VALUE!</v>
      </c>
      <c r="GH287" t="e">
        <f>AND('Additional Services'!F115,"AAAAAH/8+b0=")</f>
        <v>#VALUE!</v>
      </c>
      <c r="GI287" t="e">
        <f>AND('Additional Services'!G115,"AAAAAH/8+b4=")</f>
        <v>#VALUE!</v>
      </c>
      <c r="GJ287" t="e">
        <f>AND('Additional Services'!H115,"AAAAAH/8+b8=")</f>
        <v>#VALUE!</v>
      </c>
      <c r="GK287" t="e">
        <f>AND('Additional Services'!I115,"AAAAAH/8+cA=")</f>
        <v>#VALUE!</v>
      </c>
      <c r="GL287" t="e">
        <f>AND('Additional Services'!J115,"AAAAAH/8+cE=")</f>
        <v>#VALUE!</v>
      </c>
      <c r="GM287" t="e">
        <f>AND('Additional Services'!K115,"AAAAAH/8+cI=")</f>
        <v>#VALUE!</v>
      </c>
      <c r="GN287">
        <f>IF('Additional Services'!116:116,"AAAAAH/8+cM=",0)</f>
        <v>0</v>
      </c>
      <c r="GO287" t="e">
        <f>AND('Additional Services'!#REF!,"AAAAAH/8+cQ=")</f>
        <v>#REF!</v>
      </c>
      <c r="GP287" t="e">
        <f>AND('Additional Services'!#REF!,"AAAAAH/8+cU=")</f>
        <v>#REF!</v>
      </c>
      <c r="GQ287" t="e">
        <f>AND('Additional Services'!A116,"AAAAAH/8+cY=")</f>
        <v>#VALUE!</v>
      </c>
      <c r="GR287" t="e">
        <f>AND('Additional Services'!B116,"AAAAAH/8+cc=")</f>
        <v>#VALUE!</v>
      </c>
      <c r="GS287" t="e">
        <f>AND('Additional Services'!C116,"AAAAAH/8+cg=")</f>
        <v>#VALUE!</v>
      </c>
      <c r="GT287" t="e">
        <f>AND('Additional Services'!D116,"AAAAAH/8+ck=")</f>
        <v>#VALUE!</v>
      </c>
      <c r="GU287" t="e">
        <f>AND('Additional Services'!E116,"AAAAAH/8+co=")</f>
        <v>#VALUE!</v>
      </c>
      <c r="GV287" t="e">
        <f>AND('Additional Services'!F116,"AAAAAH/8+cs=")</f>
        <v>#VALUE!</v>
      </c>
      <c r="GW287" t="e">
        <f>AND('Additional Services'!G116,"AAAAAH/8+cw=")</f>
        <v>#VALUE!</v>
      </c>
      <c r="GX287" t="e">
        <f>AND('Additional Services'!H116,"AAAAAH/8+c0=")</f>
        <v>#VALUE!</v>
      </c>
      <c r="GY287" t="e">
        <f>AND('Additional Services'!I116,"AAAAAH/8+c4=")</f>
        <v>#VALUE!</v>
      </c>
      <c r="GZ287" t="e">
        <f>AND('Additional Services'!J116,"AAAAAH/8+c8=")</f>
        <v>#VALUE!</v>
      </c>
      <c r="HA287" t="e">
        <f>AND('Additional Services'!K116,"AAAAAH/8+dA=")</f>
        <v>#VALUE!</v>
      </c>
      <c r="HB287">
        <f>IF('Additional Services'!117:117,"AAAAAH/8+dE=",0)</f>
        <v>0</v>
      </c>
      <c r="HC287" t="e">
        <f>AND('Additional Services'!#REF!,"AAAAAH/8+dI=")</f>
        <v>#REF!</v>
      </c>
      <c r="HD287" t="e">
        <f>AND('Additional Services'!#REF!,"AAAAAH/8+dM=")</f>
        <v>#REF!</v>
      </c>
      <c r="HE287" t="e">
        <f>AND('Additional Services'!A117,"AAAAAH/8+dQ=")</f>
        <v>#VALUE!</v>
      </c>
      <c r="HF287" t="e">
        <f>AND('Additional Services'!B117,"AAAAAH/8+dU=")</f>
        <v>#VALUE!</v>
      </c>
      <c r="HG287" t="e">
        <f>AND('Additional Services'!C117,"AAAAAH/8+dY=")</f>
        <v>#VALUE!</v>
      </c>
      <c r="HH287" t="e">
        <f>AND('Additional Services'!D117,"AAAAAH/8+dc=")</f>
        <v>#VALUE!</v>
      </c>
      <c r="HI287" t="e">
        <f>AND('Additional Services'!E117,"AAAAAH/8+dg=")</f>
        <v>#VALUE!</v>
      </c>
      <c r="HJ287" t="e">
        <f>AND('Additional Services'!F117,"AAAAAH/8+dk=")</f>
        <v>#VALUE!</v>
      </c>
      <c r="HK287" t="e">
        <f>AND('Additional Services'!G117,"AAAAAH/8+do=")</f>
        <v>#VALUE!</v>
      </c>
      <c r="HL287" t="e">
        <f>AND('Additional Services'!H117,"AAAAAH/8+ds=")</f>
        <v>#VALUE!</v>
      </c>
      <c r="HM287" t="e">
        <f>AND('Additional Services'!I117,"AAAAAH/8+dw=")</f>
        <v>#VALUE!</v>
      </c>
      <c r="HN287" t="e">
        <f>AND('Additional Services'!J117,"AAAAAH/8+d0=")</f>
        <v>#VALUE!</v>
      </c>
      <c r="HO287" t="e">
        <f>AND('Additional Services'!K117,"AAAAAH/8+d4=")</f>
        <v>#VALUE!</v>
      </c>
      <c r="HP287">
        <f>IF('Additional Services'!118:118,"AAAAAH/8+d8=",0)</f>
        <v>0</v>
      </c>
      <c r="HQ287" t="e">
        <f>AND('Additional Services'!#REF!,"AAAAAH/8+eA=")</f>
        <v>#REF!</v>
      </c>
      <c r="HR287" t="e">
        <f>AND('Additional Services'!#REF!,"AAAAAH/8+eE=")</f>
        <v>#REF!</v>
      </c>
      <c r="HS287" t="e">
        <f>AND('Additional Services'!A118,"AAAAAH/8+eI=")</f>
        <v>#VALUE!</v>
      </c>
      <c r="HT287" t="e">
        <f>AND('Additional Services'!B118,"AAAAAH/8+eM=")</f>
        <v>#VALUE!</v>
      </c>
      <c r="HU287" t="e">
        <f>AND('Additional Services'!C118,"AAAAAH/8+eQ=")</f>
        <v>#VALUE!</v>
      </c>
      <c r="HV287" t="e">
        <f>AND('Additional Services'!D118,"AAAAAH/8+eU=")</f>
        <v>#VALUE!</v>
      </c>
      <c r="HW287" t="e">
        <f>AND('Additional Services'!E118,"AAAAAH/8+eY=")</f>
        <v>#VALUE!</v>
      </c>
      <c r="HX287" t="e">
        <f>AND('Additional Services'!F118,"AAAAAH/8+ec=")</f>
        <v>#VALUE!</v>
      </c>
      <c r="HY287" t="e">
        <f>AND('Additional Services'!G118,"AAAAAH/8+eg=")</f>
        <v>#VALUE!</v>
      </c>
      <c r="HZ287" t="e">
        <f>AND('Additional Services'!H118,"AAAAAH/8+ek=")</f>
        <v>#VALUE!</v>
      </c>
      <c r="IA287" t="e">
        <f>AND('Additional Services'!I118,"AAAAAH/8+eo=")</f>
        <v>#VALUE!</v>
      </c>
      <c r="IB287" t="e">
        <f>AND('Additional Services'!J118,"AAAAAH/8+es=")</f>
        <v>#VALUE!</v>
      </c>
      <c r="IC287" t="e">
        <f>AND('Additional Services'!K118,"AAAAAH/8+ew=")</f>
        <v>#VALUE!</v>
      </c>
      <c r="ID287">
        <f>IF('Additional Services'!119:119,"AAAAAH/8+e0=",0)</f>
        <v>0</v>
      </c>
      <c r="IE287" t="e">
        <f>AND('Additional Services'!#REF!,"AAAAAH/8+e4=")</f>
        <v>#REF!</v>
      </c>
      <c r="IF287" t="e">
        <f>AND('Additional Services'!#REF!,"AAAAAH/8+e8=")</f>
        <v>#REF!</v>
      </c>
      <c r="IG287" t="e">
        <f>AND('Additional Services'!A119,"AAAAAH/8+fA=")</f>
        <v>#VALUE!</v>
      </c>
      <c r="IH287" t="e">
        <f>AND('Additional Services'!B119,"AAAAAH/8+fE=")</f>
        <v>#VALUE!</v>
      </c>
      <c r="II287" t="e">
        <f>AND('Additional Services'!C119,"AAAAAH/8+fI=")</f>
        <v>#VALUE!</v>
      </c>
      <c r="IJ287" t="e">
        <f>AND('Additional Services'!D119,"AAAAAH/8+fM=")</f>
        <v>#VALUE!</v>
      </c>
      <c r="IK287" t="e">
        <f>AND('Additional Services'!E119,"AAAAAH/8+fQ=")</f>
        <v>#VALUE!</v>
      </c>
      <c r="IL287" t="e">
        <f>AND('Additional Services'!F119,"AAAAAH/8+fU=")</f>
        <v>#VALUE!</v>
      </c>
      <c r="IM287" t="e">
        <f>AND('Additional Services'!G119,"AAAAAH/8+fY=")</f>
        <v>#VALUE!</v>
      </c>
      <c r="IN287" t="e">
        <f>AND('Additional Services'!H119,"AAAAAH/8+fc=")</f>
        <v>#VALUE!</v>
      </c>
      <c r="IO287" t="e">
        <f>AND('Additional Services'!I119,"AAAAAH/8+fg=")</f>
        <v>#VALUE!</v>
      </c>
      <c r="IP287" t="e">
        <f>AND('Additional Services'!J119,"AAAAAH/8+fk=")</f>
        <v>#VALUE!</v>
      </c>
      <c r="IQ287" t="e">
        <f>AND('Additional Services'!K119,"AAAAAH/8+fo=")</f>
        <v>#VALUE!</v>
      </c>
      <c r="IR287">
        <f>IF('Additional Services'!120:120,"AAAAAH/8+fs=",0)</f>
        <v>0</v>
      </c>
      <c r="IS287" t="e">
        <f>AND('Additional Services'!#REF!,"AAAAAH/8+fw=")</f>
        <v>#REF!</v>
      </c>
      <c r="IT287" t="e">
        <f>AND('Additional Services'!#REF!,"AAAAAH/8+f0=")</f>
        <v>#REF!</v>
      </c>
      <c r="IU287" t="e">
        <f>AND('Additional Services'!A120,"AAAAAH/8+f4=")</f>
        <v>#VALUE!</v>
      </c>
      <c r="IV287" t="e">
        <f>AND('Additional Services'!B120,"AAAAAH/8+f8=")</f>
        <v>#VALUE!</v>
      </c>
    </row>
    <row r="288" spans="1:256" x14ac:dyDescent="0.2">
      <c r="A288" t="e">
        <f>AND('Additional Services'!C120,"AAAAAFf7vgA=")</f>
        <v>#VALUE!</v>
      </c>
      <c r="B288" t="e">
        <f>AND('Additional Services'!D120,"AAAAAFf7vgE=")</f>
        <v>#VALUE!</v>
      </c>
      <c r="C288" t="e">
        <f>AND('Additional Services'!E120,"AAAAAFf7vgI=")</f>
        <v>#VALUE!</v>
      </c>
      <c r="D288" t="e">
        <f>AND('Additional Services'!F120,"AAAAAFf7vgM=")</f>
        <v>#VALUE!</v>
      </c>
      <c r="E288" t="e">
        <f>AND('Additional Services'!G120,"AAAAAFf7vgQ=")</f>
        <v>#VALUE!</v>
      </c>
      <c r="F288" t="e">
        <f>AND('Additional Services'!H120,"AAAAAFf7vgU=")</f>
        <v>#VALUE!</v>
      </c>
      <c r="G288" t="e">
        <f>AND('Additional Services'!I120,"AAAAAFf7vgY=")</f>
        <v>#VALUE!</v>
      </c>
      <c r="H288" t="e">
        <f>AND('Additional Services'!J120,"AAAAAFf7vgc=")</f>
        <v>#VALUE!</v>
      </c>
      <c r="I288" t="e">
        <f>AND('Additional Services'!K120,"AAAAAFf7vgg=")</f>
        <v>#VALUE!</v>
      </c>
      <c r="J288">
        <f>IF('Additional Services'!121:121,"AAAAAFf7vgk=",0)</f>
        <v>0</v>
      </c>
      <c r="K288" t="e">
        <f>AND('Additional Services'!#REF!,"AAAAAFf7vgo=")</f>
        <v>#REF!</v>
      </c>
      <c r="L288" t="e">
        <f>AND('Additional Services'!#REF!,"AAAAAFf7vgs=")</f>
        <v>#REF!</v>
      </c>
      <c r="M288" t="e">
        <f>AND('Additional Services'!A121,"AAAAAFf7vgw=")</f>
        <v>#VALUE!</v>
      </c>
      <c r="N288" t="e">
        <f>AND('Additional Services'!B121,"AAAAAFf7vg0=")</f>
        <v>#VALUE!</v>
      </c>
      <c r="O288" t="e">
        <f>AND('Additional Services'!C121,"AAAAAFf7vg4=")</f>
        <v>#VALUE!</v>
      </c>
      <c r="P288" t="e">
        <f>AND('Additional Services'!D121,"AAAAAFf7vg8=")</f>
        <v>#VALUE!</v>
      </c>
      <c r="Q288" t="e">
        <f>AND('Additional Services'!E121,"AAAAAFf7vhA=")</f>
        <v>#VALUE!</v>
      </c>
      <c r="R288" t="e">
        <f>AND('Additional Services'!F121,"AAAAAFf7vhE=")</f>
        <v>#VALUE!</v>
      </c>
      <c r="S288" t="e">
        <f>AND('Additional Services'!G121,"AAAAAFf7vhI=")</f>
        <v>#VALUE!</v>
      </c>
      <c r="T288" t="e">
        <f>AND('Additional Services'!H121,"AAAAAFf7vhM=")</f>
        <v>#VALUE!</v>
      </c>
      <c r="U288" t="e">
        <f>AND('Additional Services'!I121,"AAAAAFf7vhQ=")</f>
        <v>#VALUE!</v>
      </c>
      <c r="V288" t="e">
        <f>AND('Additional Services'!J121,"AAAAAFf7vhU=")</f>
        <v>#VALUE!</v>
      </c>
      <c r="W288" t="e">
        <f>AND('Additional Services'!K121,"AAAAAFf7vhY=")</f>
        <v>#VALUE!</v>
      </c>
      <c r="X288">
        <f>IF('Additional Services'!122:122,"AAAAAFf7vhc=",0)</f>
        <v>0</v>
      </c>
      <c r="Y288" t="e">
        <f>AND('Additional Services'!#REF!,"AAAAAFf7vhg=")</f>
        <v>#REF!</v>
      </c>
      <c r="Z288" t="e">
        <f>AND('Additional Services'!#REF!,"AAAAAFf7vhk=")</f>
        <v>#REF!</v>
      </c>
      <c r="AA288" t="e">
        <f>AND('Additional Services'!A122,"AAAAAFf7vho=")</f>
        <v>#VALUE!</v>
      </c>
      <c r="AB288" t="e">
        <f>AND('Additional Services'!B122,"AAAAAFf7vhs=")</f>
        <v>#VALUE!</v>
      </c>
      <c r="AC288" t="e">
        <f>AND('Additional Services'!C122,"AAAAAFf7vhw=")</f>
        <v>#VALUE!</v>
      </c>
      <c r="AD288" t="e">
        <f>AND('Additional Services'!D122,"AAAAAFf7vh0=")</f>
        <v>#VALUE!</v>
      </c>
      <c r="AE288" t="e">
        <f>AND('Additional Services'!E122,"AAAAAFf7vh4=")</f>
        <v>#VALUE!</v>
      </c>
      <c r="AF288" t="e">
        <f>AND('Additional Services'!F122,"AAAAAFf7vh8=")</f>
        <v>#VALUE!</v>
      </c>
      <c r="AG288" t="e">
        <f>AND('Additional Services'!G122,"AAAAAFf7viA=")</f>
        <v>#VALUE!</v>
      </c>
      <c r="AH288" t="e">
        <f>AND('Additional Services'!H122,"AAAAAFf7viE=")</f>
        <v>#VALUE!</v>
      </c>
      <c r="AI288" t="e">
        <f>AND('Additional Services'!I122,"AAAAAFf7viI=")</f>
        <v>#VALUE!</v>
      </c>
      <c r="AJ288" t="e">
        <f>AND('Additional Services'!J122,"AAAAAFf7viM=")</f>
        <v>#VALUE!</v>
      </c>
      <c r="AK288" t="e">
        <f>AND('Additional Services'!K122,"AAAAAFf7viQ=")</f>
        <v>#VALUE!</v>
      </c>
      <c r="AL288">
        <f>IF('Additional Services'!123:123,"AAAAAFf7viU=",0)</f>
        <v>0</v>
      </c>
      <c r="AM288" t="e">
        <f>AND('Additional Services'!#REF!,"AAAAAFf7viY=")</f>
        <v>#REF!</v>
      </c>
      <c r="AN288" t="e">
        <f>AND('Additional Services'!#REF!,"AAAAAFf7vic=")</f>
        <v>#REF!</v>
      </c>
      <c r="AO288" t="e">
        <f>AND('Additional Services'!A123,"AAAAAFf7vig=")</f>
        <v>#VALUE!</v>
      </c>
      <c r="AP288" t="e">
        <f>AND('Additional Services'!B123,"AAAAAFf7vik=")</f>
        <v>#VALUE!</v>
      </c>
      <c r="AQ288" t="e">
        <f>AND('Additional Services'!C123,"AAAAAFf7vio=")</f>
        <v>#VALUE!</v>
      </c>
      <c r="AR288" t="e">
        <f>AND('Additional Services'!D123,"AAAAAFf7vis=")</f>
        <v>#VALUE!</v>
      </c>
      <c r="AS288" t="e">
        <f>AND('Additional Services'!E123,"AAAAAFf7viw=")</f>
        <v>#VALUE!</v>
      </c>
      <c r="AT288" t="e">
        <f>AND('Additional Services'!F123,"AAAAAFf7vi0=")</f>
        <v>#VALUE!</v>
      </c>
      <c r="AU288" t="e">
        <f>AND('Additional Services'!G123,"AAAAAFf7vi4=")</f>
        <v>#VALUE!</v>
      </c>
      <c r="AV288" t="e">
        <f>AND('Additional Services'!H123,"AAAAAFf7vi8=")</f>
        <v>#VALUE!</v>
      </c>
      <c r="AW288" t="e">
        <f>AND('Additional Services'!I123,"AAAAAFf7vjA=")</f>
        <v>#VALUE!</v>
      </c>
      <c r="AX288" t="e">
        <f>AND('Additional Services'!J123,"AAAAAFf7vjE=")</f>
        <v>#VALUE!</v>
      </c>
      <c r="AY288" t="e">
        <f>AND('Additional Services'!K123,"AAAAAFf7vjI=")</f>
        <v>#VALUE!</v>
      </c>
      <c r="AZ288">
        <f>IF('Additional Services'!124:124,"AAAAAFf7vjM=",0)</f>
        <v>0</v>
      </c>
      <c r="BA288" t="e">
        <f>AND('Additional Services'!#REF!,"AAAAAFf7vjQ=")</f>
        <v>#REF!</v>
      </c>
      <c r="BB288" t="e">
        <f>AND('Additional Services'!#REF!,"AAAAAFf7vjU=")</f>
        <v>#REF!</v>
      </c>
      <c r="BC288" t="e">
        <f>AND('Additional Services'!A124,"AAAAAFf7vjY=")</f>
        <v>#VALUE!</v>
      </c>
      <c r="BD288" t="e">
        <f>AND('Additional Services'!B124,"AAAAAFf7vjc=")</f>
        <v>#VALUE!</v>
      </c>
      <c r="BE288" t="e">
        <f>AND('Additional Services'!C124,"AAAAAFf7vjg=")</f>
        <v>#VALUE!</v>
      </c>
      <c r="BF288" t="e">
        <f>AND('Additional Services'!D124,"AAAAAFf7vjk=")</f>
        <v>#VALUE!</v>
      </c>
      <c r="BG288" t="e">
        <f>AND('Additional Services'!E124,"AAAAAFf7vjo=")</f>
        <v>#VALUE!</v>
      </c>
      <c r="BH288" t="e">
        <f>AND('Additional Services'!F124,"AAAAAFf7vjs=")</f>
        <v>#VALUE!</v>
      </c>
      <c r="BI288" t="e">
        <f>AND('Additional Services'!G124,"AAAAAFf7vjw=")</f>
        <v>#VALUE!</v>
      </c>
      <c r="BJ288" t="e">
        <f>AND('Additional Services'!H124,"AAAAAFf7vj0=")</f>
        <v>#VALUE!</v>
      </c>
      <c r="BK288" t="e">
        <f>AND('Additional Services'!I124,"AAAAAFf7vj4=")</f>
        <v>#VALUE!</v>
      </c>
      <c r="BL288" t="e">
        <f>AND('Additional Services'!J124,"AAAAAFf7vj8=")</f>
        <v>#VALUE!</v>
      </c>
      <c r="BM288" t="e">
        <f>AND('Additional Services'!K124,"AAAAAFf7vkA=")</f>
        <v>#VALUE!</v>
      </c>
      <c r="BN288">
        <f>IF('Additional Services'!125:125,"AAAAAFf7vkE=",0)</f>
        <v>0</v>
      </c>
      <c r="BO288" t="e">
        <f>AND('Additional Services'!#REF!,"AAAAAFf7vkI=")</f>
        <v>#REF!</v>
      </c>
      <c r="BP288" t="e">
        <f>AND('Additional Services'!#REF!,"AAAAAFf7vkM=")</f>
        <v>#REF!</v>
      </c>
      <c r="BQ288" t="e">
        <f>AND('Additional Services'!A125,"AAAAAFf7vkQ=")</f>
        <v>#VALUE!</v>
      </c>
      <c r="BR288" t="e">
        <f>AND('Additional Services'!B125,"AAAAAFf7vkU=")</f>
        <v>#VALUE!</v>
      </c>
      <c r="BS288" t="e">
        <f>AND('Additional Services'!C125,"AAAAAFf7vkY=")</f>
        <v>#VALUE!</v>
      </c>
      <c r="BT288" t="e">
        <f>AND('Additional Services'!D125,"AAAAAFf7vkc=")</f>
        <v>#VALUE!</v>
      </c>
      <c r="BU288" t="e">
        <f>AND('Additional Services'!E125,"AAAAAFf7vkg=")</f>
        <v>#VALUE!</v>
      </c>
      <c r="BV288" t="e">
        <f>AND('Additional Services'!F125,"AAAAAFf7vkk=")</f>
        <v>#VALUE!</v>
      </c>
      <c r="BW288" t="e">
        <f>AND('Additional Services'!G125,"AAAAAFf7vko=")</f>
        <v>#VALUE!</v>
      </c>
      <c r="BX288" t="e">
        <f>AND('Additional Services'!H125,"AAAAAFf7vks=")</f>
        <v>#VALUE!</v>
      </c>
      <c r="BY288" t="e">
        <f>AND('Additional Services'!I125,"AAAAAFf7vkw=")</f>
        <v>#VALUE!</v>
      </c>
      <c r="BZ288" t="e">
        <f>AND('Additional Services'!J125,"AAAAAFf7vk0=")</f>
        <v>#VALUE!</v>
      </c>
      <c r="CA288" t="e">
        <f>AND('Additional Services'!K125,"AAAAAFf7vk4=")</f>
        <v>#VALUE!</v>
      </c>
      <c r="CB288">
        <f>IF('Additional Services'!126:126,"AAAAAFf7vk8=",0)</f>
        <v>0</v>
      </c>
      <c r="CC288" t="e">
        <f>AND('Additional Services'!#REF!,"AAAAAFf7vlA=")</f>
        <v>#REF!</v>
      </c>
      <c r="CD288" t="e">
        <f>AND('Additional Services'!#REF!,"AAAAAFf7vlE=")</f>
        <v>#REF!</v>
      </c>
      <c r="CE288" t="e">
        <f>AND('Additional Services'!A126,"AAAAAFf7vlI=")</f>
        <v>#VALUE!</v>
      </c>
      <c r="CF288" t="e">
        <f>AND('Additional Services'!B126,"AAAAAFf7vlM=")</f>
        <v>#VALUE!</v>
      </c>
      <c r="CG288" t="e">
        <f>AND('Additional Services'!C126,"AAAAAFf7vlQ=")</f>
        <v>#VALUE!</v>
      </c>
      <c r="CH288" t="e">
        <f>AND('Additional Services'!D126,"AAAAAFf7vlU=")</f>
        <v>#VALUE!</v>
      </c>
      <c r="CI288" t="e">
        <f>AND('Additional Services'!E126,"AAAAAFf7vlY=")</f>
        <v>#VALUE!</v>
      </c>
      <c r="CJ288" t="e">
        <f>AND('Additional Services'!F126,"AAAAAFf7vlc=")</f>
        <v>#VALUE!</v>
      </c>
      <c r="CK288" t="e">
        <f>AND('Additional Services'!G126,"AAAAAFf7vlg=")</f>
        <v>#VALUE!</v>
      </c>
      <c r="CL288" t="e">
        <f>AND('Additional Services'!H126,"AAAAAFf7vlk=")</f>
        <v>#VALUE!</v>
      </c>
      <c r="CM288" t="e">
        <f>AND('Additional Services'!I126,"AAAAAFf7vlo=")</f>
        <v>#VALUE!</v>
      </c>
      <c r="CN288" t="e">
        <f>AND('Additional Services'!J126,"AAAAAFf7vls=")</f>
        <v>#VALUE!</v>
      </c>
      <c r="CO288" t="e">
        <f>AND('Additional Services'!K126,"AAAAAFf7vlw=")</f>
        <v>#VALUE!</v>
      </c>
      <c r="CP288">
        <f>IF('Additional Services'!127:127,"AAAAAFf7vl0=",0)</f>
        <v>0</v>
      </c>
      <c r="CQ288" t="e">
        <f>AND('Additional Services'!#REF!,"AAAAAFf7vl4=")</f>
        <v>#REF!</v>
      </c>
      <c r="CR288" t="e">
        <f>AND('Additional Services'!#REF!,"AAAAAFf7vl8=")</f>
        <v>#REF!</v>
      </c>
      <c r="CS288" t="e">
        <f>AND('Additional Services'!A127,"AAAAAFf7vmA=")</f>
        <v>#VALUE!</v>
      </c>
      <c r="CT288" t="e">
        <f>AND('Additional Services'!B127,"AAAAAFf7vmE=")</f>
        <v>#VALUE!</v>
      </c>
      <c r="CU288" t="e">
        <f>AND('Additional Services'!C127,"AAAAAFf7vmI=")</f>
        <v>#VALUE!</v>
      </c>
      <c r="CV288" t="e">
        <f>AND('Additional Services'!D127,"AAAAAFf7vmM=")</f>
        <v>#VALUE!</v>
      </c>
      <c r="CW288" t="e">
        <f>AND('Additional Services'!E127,"AAAAAFf7vmQ=")</f>
        <v>#VALUE!</v>
      </c>
      <c r="CX288" t="e">
        <f>AND('Additional Services'!F127,"AAAAAFf7vmU=")</f>
        <v>#VALUE!</v>
      </c>
      <c r="CY288" t="e">
        <f>AND('Additional Services'!G127,"AAAAAFf7vmY=")</f>
        <v>#VALUE!</v>
      </c>
      <c r="CZ288" t="e">
        <f>AND('Additional Services'!H127,"AAAAAFf7vmc=")</f>
        <v>#VALUE!</v>
      </c>
      <c r="DA288" t="e">
        <f>AND('Additional Services'!I127,"AAAAAFf7vmg=")</f>
        <v>#VALUE!</v>
      </c>
      <c r="DB288" t="e">
        <f>AND('Additional Services'!J127,"AAAAAFf7vmk=")</f>
        <v>#VALUE!</v>
      </c>
      <c r="DC288" t="e">
        <f>AND('Additional Services'!K127,"AAAAAFf7vmo=")</f>
        <v>#VALUE!</v>
      </c>
      <c r="DD288">
        <f>IF('Additional Services'!128:128,"AAAAAFf7vms=",0)</f>
        <v>0</v>
      </c>
      <c r="DE288" t="e">
        <f>AND('Additional Services'!#REF!,"AAAAAFf7vmw=")</f>
        <v>#REF!</v>
      </c>
      <c r="DF288" t="e">
        <f>AND('Additional Services'!#REF!,"AAAAAFf7vm0=")</f>
        <v>#REF!</v>
      </c>
      <c r="DG288" t="e">
        <f>AND('Additional Services'!A128,"AAAAAFf7vm4=")</f>
        <v>#VALUE!</v>
      </c>
      <c r="DH288" t="e">
        <f>AND('Additional Services'!B128,"AAAAAFf7vm8=")</f>
        <v>#VALUE!</v>
      </c>
      <c r="DI288" t="e">
        <f>AND('Additional Services'!C128,"AAAAAFf7vnA=")</f>
        <v>#VALUE!</v>
      </c>
      <c r="DJ288" t="e">
        <f>AND('Additional Services'!D128,"AAAAAFf7vnE=")</f>
        <v>#VALUE!</v>
      </c>
      <c r="DK288" t="e">
        <f>AND('Additional Services'!E128,"AAAAAFf7vnI=")</f>
        <v>#VALUE!</v>
      </c>
      <c r="DL288" t="e">
        <f>AND('Additional Services'!F128,"AAAAAFf7vnM=")</f>
        <v>#VALUE!</v>
      </c>
      <c r="DM288" t="e">
        <f>AND('Additional Services'!G128,"AAAAAFf7vnQ=")</f>
        <v>#VALUE!</v>
      </c>
      <c r="DN288" t="e">
        <f>AND('Additional Services'!H128,"AAAAAFf7vnU=")</f>
        <v>#VALUE!</v>
      </c>
      <c r="DO288" t="e">
        <f>AND('Additional Services'!I128,"AAAAAFf7vnY=")</f>
        <v>#VALUE!</v>
      </c>
      <c r="DP288" t="e">
        <f>AND('Additional Services'!J128,"AAAAAFf7vnc=")</f>
        <v>#VALUE!</v>
      </c>
      <c r="DQ288" t="e">
        <f>AND('Additional Services'!K128,"AAAAAFf7vng=")</f>
        <v>#VALUE!</v>
      </c>
      <c r="DR288">
        <f>IF('Additional Services'!129:129,"AAAAAFf7vnk=",0)</f>
        <v>0</v>
      </c>
      <c r="DS288" t="e">
        <f>AND('Additional Services'!#REF!,"AAAAAFf7vno=")</f>
        <v>#REF!</v>
      </c>
      <c r="DT288" t="e">
        <f>AND('Additional Services'!#REF!,"AAAAAFf7vns=")</f>
        <v>#REF!</v>
      </c>
      <c r="DU288" t="e">
        <f>AND('Additional Services'!A129,"AAAAAFf7vnw=")</f>
        <v>#VALUE!</v>
      </c>
      <c r="DV288" t="e">
        <f>AND('Additional Services'!B129,"AAAAAFf7vn0=")</f>
        <v>#VALUE!</v>
      </c>
      <c r="DW288" t="e">
        <f>AND('Additional Services'!C129,"AAAAAFf7vn4=")</f>
        <v>#VALUE!</v>
      </c>
      <c r="DX288" t="e">
        <f>AND('Additional Services'!D129,"AAAAAFf7vn8=")</f>
        <v>#VALUE!</v>
      </c>
      <c r="DY288" t="e">
        <f>AND('Additional Services'!E129,"AAAAAFf7voA=")</f>
        <v>#VALUE!</v>
      </c>
      <c r="DZ288" t="e">
        <f>AND('Additional Services'!F129,"AAAAAFf7voE=")</f>
        <v>#VALUE!</v>
      </c>
      <c r="EA288" t="e">
        <f>AND('Additional Services'!G129,"AAAAAFf7voI=")</f>
        <v>#VALUE!</v>
      </c>
      <c r="EB288" t="e">
        <f>AND('Additional Services'!H129,"AAAAAFf7voM=")</f>
        <v>#VALUE!</v>
      </c>
      <c r="EC288" t="e">
        <f>AND('Additional Services'!I129,"AAAAAFf7voQ=")</f>
        <v>#VALUE!</v>
      </c>
      <c r="ED288" t="e">
        <f>AND('Additional Services'!J129,"AAAAAFf7voU=")</f>
        <v>#VALUE!</v>
      </c>
      <c r="EE288" t="e">
        <f>AND('Additional Services'!K129,"AAAAAFf7voY=")</f>
        <v>#VALUE!</v>
      </c>
      <c r="EF288">
        <f>IF('Additional Services'!130:130,"AAAAAFf7voc=",0)</f>
        <v>0</v>
      </c>
      <c r="EG288" t="e">
        <f>AND('Additional Services'!#REF!,"AAAAAFf7vog=")</f>
        <v>#REF!</v>
      </c>
      <c r="EH288" t="e">
        <f>AND('Additional Services'!#REF!,"AAAAAFf7vok=")</f>
        <v>#REF!</v>
      </c>
      <c r="EI288" t="e">
        <f>AND('Additional Services'!A130,"AAAAAFf7voo=")</f>
        <v>#VALUE!</v>
      </c>
      <c r="EJ288" t="e">
        <f>AND('Additional Services'!B130,"AAAAAFf7vos=")</f>
        <v>#VALUE!</v>
      </c>
      <c r="EK288" t="e">
        <f>AND('Additional Services'!C130,"AAAAAFf7vow=")</f>
        <v>#VALUE!</v>
      </c>
      <c r="EL288" t="e">
        <f>AND('Additional Services'!D130,"AAAAAFf7vo0=")</f>
        <v>#VALUE!</v>
      </c>
      <c r="EM288" t="e">
        <f>AND('Additional Services'!E130,"AAAAAFf7vo4=")</f>
        <v>#VALUE!</v>
      </c>
      <c r="EN288" t="e">
        <f>AND('Additional Services'!F130,"AAAAAFf7vo8=")</f>
        <v>#VALUE!</v>
      </c>
      <c r="EO288" t="e">
        <f>AND('Additional Services'!G130,"AAAAAFf7vpA=")</f>
        <v>#VALUE!</v>
      </c>
      <c r="EP288" t="e">
        <f>AND('Additional Services'!H130,"AAAAAFf7vpE=")</f>
        <v>#VALUE!</v>
      </c>
      <c r="EQ288" t="e">
        <f>AND('Additional Services'!I130,"AAAAAFf7vpI=")</f>
        <v>#VALUE!</v>
      </c>
      <c r="ER288" t="e">
        <f>AND('Additional Services'!J130,"AAAAAFf7vpM=")</f>
        <v>#VALUE!</v>
      </c>
      <c r="ES288" t="e">
        <f>AND('Additional Services'!K130,"AAAAAFf7vpQ=")</f>
        <v>#VALUE!</v>
      </c>
      <c r="ET288">
        <f>IF('Additional Services'!131:131,"AAAAAFf7vpU=",0)</f>
        <v>0</v>
      </c>
      <c r="EU288" t="e">
        <f>AND('Additional Services'!#REF!,"AAAAAFf7vpY=")</f>
        <v>#REF!</v>
      </c>
      <c r="EV288" t="e">
        <f>AND('Additional Services'!#REF!,"AAAAAFf7vpc=")</f>
        <v>#REF!</v>
      </c>
      <c r="EW288" t="e">
        <f>AND('Additional Services'!A131,"AAAAAFf7vpg=")</f>
        <v>#VALUE!</v>
      </c>
      <c r="EX288" t="e">
        <f>AND('Additional Services'!B131,"AAAAAFf7vpk=")</f>
        <v>#VALUE!</v>
      </c>
      <c r="EY288" t="e">
        <f>AND('Additional Services'!C131,"AAAAAFf7vpo=")</f>
        <v>#VALUE!</v>
      </c>
      <c r="EZ288" t="e">
        <f>AND('Additional Services'!D131,"AAAAAFf7vps=")</f>
        <v>#VALUE!</v>
      </c>
      <c r="FA288" t="e">
        <f>AND('Additional Services'!E131,"AAAAAFf7vpw=")</f>
        <v>#VALUE!</v>
      </c>
      <c r="FB288" t="e">
        <f>AND('Additional Services'!F131,"AAAAAFf7vp0=")</f>
        <v>#VALUE!</v>
      </c>
      <c r="FC288" t="e">
        <f>AND('Additional Services'!G131,"AAAAAFf7vp4=")</f>
        <v>#VALUE!</v>
      </c>
      <c r="FD288" t="e">
        <f>AND('Additional Services'!H131,"AAAAAFf7vp8=")</f>
        <v>#VALUE!</v>
      </c>
      <c r="FE288" t="e">
        <f>AND('Additional Services'!I131,"AAAAAFf7vqA=")</f>
        <v>#VALUE!</v>
      </c>
      <c r="FF288" t="e">
        <f>AND('Additional Services'!J131,"AAAAAFf7vqE=")</f>
        <v>#VALUE!</v>
      </c>
      <c r="FG288" t="e">
        <f>AND('Additional Services'!K131,"AAAAAFf7vqI=")</f>
        <v>#VALUE!</v>
      </c>
      <c r="FH288">
        <f>IF('Additional Services'!132:132,"AAAAAFf7vqM=",0)</f>
        <v>0</v>
      </c>
      <c r="FI288" t="e">
        <f>AND('Additional Services'!#REF!,"AAAAAFf7vqQ=")</f>
        <v>#REF!</v>
      </c>
      <c r="FJ288" t="e">
        <f>AND('Additional Services'!#REF!,"AAAAAFf7vqU=")</f>
        <v>#REF!</v>
      </c>
      <c r="FK288" t="e">
        <f>AND('Additional Services'!A132,"AAAAAFf7vqY=")</f>
        <v>#VALUE!</v>
      </c>
      <c r="FL288" t="e">
        <f>AND('Additional Services'!B132,"AAAAAFf7vqc=")</f>
        <v>#VALUE!</v>
      </c>
      <c r="FM288" t="e">
        <f>AND('Additional Services'!C132,"AAAAAFf7vqg=")</f>
        <v>#VALUE!</v>
      </c>
      <c r="FN288" t="e">
        <f>AND('Additional Services'!D132,"AAAAAFf7vqk=")</f>
        <v>#VALUE!</v>
      </c>
      <c r="FO288" t="e">
        <f>AND('Additional Services'!E132,"AAAAAFf7vqo=")</f>
        <v>#VALUE!</v>
      </c>
      <c r="FP288" t="e">
        <f>AND('Additional Services'!F132,"AAAAAFf7vqs=")</f>
        <v>#VALUE!</v>
      </c>
      <c r="FQ288" t="e">
        <f>AND('Additional Services'!G132,"AAAAAFf7vqw=")</f>
        <v>#VALUE!</v>
      </c>
      <c r="FR288" t="e">
        <f>AND('Additional Services'!H132,"AAAAAFf7vq0=")</f>
        <v>#VALUE!</v>
      </c>
      <c r="FS288" t="e">
        <f>AND('Additional Services'!I132,"AAAAAFf7vq4=")</f>
        <v>#VALUE!</v>
      </c>
      <c r="FT288" t="e">
        <f>AND('Additional Services'!J132,"AAAAAFf7vq8=")</f>
        <v>#VALUE!</v>
      </c>
      <c r="FU288" t="e">
        <f>AND('Additional Services'!K132,"AAAAAFf7vrA=")</f>
        <v>#VALUE!</v>
      </c>
      <c r="FV288">
        <f>IF('Additional Services'!133:133,"AAAAAFf7vrE=",0)</f>
        <v>0</v>
      </c>
      <c r="FW288" t="e">
        <f>AND('Additional Services'!#REF!,"AAAAAFf7vrI=")</f>
        <v>#REF!</v>
      </c>
      <c r="FX288" t="e">
        <f>AND('Additional Services'!#REF!,"AAAAAFf7vrM=")</f>
        <v>#REF!</v>
      </c>
      <c r="FY288" t="e">
        <f>AND('Additional Services'!A133,"AAAAAFf7vrQ=")</f>
        <v>#VALUE!</v>
      </c>
      <c r="FZ288" t="e">
        <f>AND('Additional Services'!B133,"AAAAAFf7vrU=")</f>
        <v>#VALUE!</v>
      </c>
      <c r="GA288" t="e">
        <f>AND('Additional Services'!C133,"AAAAAFf7vrY=")</f>
        <v>#VALUE!</v>
      </c>
      <c r="GB288" t="e">
        <f>AND('Additional Services'!D133,"AAAAAFf7vrc=")</f>
        <v>#VALUE!</v>
      </c>
      <c r="GC288" t="e">
        <f>AND('Additional Services'!E133,"AAAAAFf7vrg=")</f>
        <v>#VALUE!</v>
      </c>
      <c r="GD288" t="e">
        <f>AND('Additional Services'!F133,"AAAAAFf7vrk=")</f>
        <v>#VALUE!</v>
      </c>
      <c r="GE288" t="e">
        <f>AND('Additional Services'!G133,"AAAAAFf7vro=")</f>
        <v>#VALUE!</v>
      </c>
      <c r="GF288" t="e">
        <f>AND('Additional Services'!H133,"AAAAAFf7vrs=")</f>
        <v>#VALUE!</v>
      </c>
      <c r="GG288" t="e">
        <f>AND('Additional Services'!I133,"AAAAAFf7vrw=")</f>
        <v>#VALUE!</v>
      </c>
      <c r="GH288" t="e">
        <f>AND('Additional Services'!J133,"AAAAAFf7vr0=")</f>
        <v>#VALUE!</v>
      </c>
      <c r="GI288" t="e">
        <f>AND('Additional Services'!K133,"AAAAAFf7vr4=")</f>
        <v>#VALUE!</v>
      </c>
      <c r="GJ288">
        <f>IF('Additional Services'!134:134,"AAAAAFf7vr8=",0)</f>
        <v>0</v>
      </c>
      <c r="GK288" t="e">
        <f>AND('Additional Services'!#REF!,"AAAAAFf7vsA=")</f>
        <v>#REF!</v>
      </c>
      <c r="GL288" t="e">
        <f>AND('Additional Services'!#REF!,"AAAAAFf7vsE=")</f>
        <v>#REF!</v>
      </c>
      <c r="GM288" t="e">
        <f>AND('Additional Services'!A134,"AAAAAFf7vsI=")</f>
        <v>#VALUE!</v>
      </c>
      <c r="GN288" t="e">
        <f>AND('Additional Services'!B134,"AAAAAFf7vsM=")</f>
        <v>#VALUE!</v>
      </c>
      <c r="GO288" t="e">
        <f>AND('Additional Services'!C134,"AAAAAFf7vsQ=")</f>
        <v>#VALUE!</v>
      </c>
      <c r="GP288" t="e">
        <f>AND('Additional Services'!D134,"AAAAAFf7vsU=")</f>
        <v>#VALUE!</v>
      </c>
      <c r="GQ288" t="e">
        <f>AND('Additional Services'!E134,"AAAAAFf7vsY=")</f>
        <v>#VALUE!</v>
      </c>
      <c r="GR288" t="e">
        <f>AND('Additional Services'!F134,"AAAAAFf7vsc=")</f>
        <v>#VALUE!</v>
      </c>
      <c r="GS288" t="e">
        <f>AND('Additional Services'!G134,"AAAAAFf7vsg=")</f>
        <v>#VALUE!</v>
      </c>
      <c r="GT288" t="e">
        <f>AND('Additional Services'!H134,"AAAAAFf7vsk=")</f>
        <v>#VALUE!</v>
      </c>
      <c r="GU288" t="e">
        <f>AND('Additional Services'!I134,"AAAAAFf7vso=")</f>
        <v>#VALUE!</v>
      </c>
      <c r="GV288" t="e">
        <f>AND('Additional Services'!J134,"AAAAAFf7vss=")</f>
        <v>#VALUE!</v>
      </c>
      <c r="GW288" t="e">
        <f>AND('Additional Services'!K134,"AAAAAFf7vsw=")</f>
        <v>#VALUE!</v>
      </c>
      <c r="GX288">
        <f>IF('Additional Services'!135:135,"AAAAAFf7vs0=",0)</f>
        <v>0</v>
      </c>
      <c r="GY288" t="e">
        <f>AND('Additional Services'!#REF!,"AAAAAFf7vs4=")</f>
        <v>#REF!</v>
      </c>
      <c r="GZ288" t="e">
        <f>AND('Additional Services'!#REF!,"AAAAAFf7vs8=")</f>
        <v>#REF!</v>
      </c>
      <c r="HA288" t="e">
        <f>AND('Additional Services'!A135,"AAAAAFf7vtA=")</f>
        <v>#VALUE!</v>
      </c>
      <c r="HB288" t="e">
        <f>AND('Additional Services'!B135,"AAAAAFf7vtE=")</f>
        <v>#VALUE!</v>
      </c>
      <c r="HC288" t="e">
        <f>AND('Additional Services'!C135,"AAAAAFf7vtI=")</f>
        <v>#VALUE!</v>
      </c>
      <c r="HD288" t="e">
        <f>AND('Additional Services'!D135,"AAAAAFf7vtM=")</f>
        <v>#VALUE!</v>
      </c>
      <c r="HE288" t="e">
        <f>AND('Additional Services'!E135,"AAAAAFf7vtQ=")</f>
        <v>#VALUE!</v>
      </c>
      <c r="HF288" t="e">
        <f>AND('Additional Services'!F135,"AAAAAFf7vtU=")</f>
        <v>#VALUE!</v>
      </c>
      <c r="HG288" t="e">
        <f>AND('Additional Services'!G135,"AAAAAFf7vtY=")</f>
        <v>#VALUE!</v>
      </c>
      <c r="HH288" t="e">
        <f>AND('Additional Services'!H135,"AAAAAFf7vtc=")</f>
        <v>#VALUE!</v>
      </c>
      <c r="HI288" t="e">
        <f>AND('Additional Services'!I135,"AAAAAFf7vtg=")</f>
        <v>#VALUE!</v>
      </c>
      <c r="HJ288" t="e">
        <f>AND('Additional Services'!J135,"AAAAAFf7vtk=")</f>
        <v>#VALUE!</v>
      </c>
      <c r="HK288" t="e">
        <f>AND('Additional Services'!K135,"AAAAAFf7vto=")</f>
        <v>#VALUE!</v>
      </c>
      <c r="HL288">
        <f>IF('Additional Services'!136:136,"AAAAAFf7vts=",0)</f>
        <v>0</v>
      </c>
      <c r="HM288" t="e">
        <f>AND('Additional Services'!#REF!,"AAAAAFf7vtw=")</f>
        <v>#REF!</v>
      </c>
      <c r="HN288" t="e">
        <f>AND('Additional Services'!#REF!,"AAAAAFf7vt0=")</f>
        <v>#REF!</v>
      </c>
      <c r="HO288" t="e">
        <f>AND('Additional Services'!A136,"AAAAAFf7vt4=")</f>
        <v>#VALUE!</v>
      </c>
      <c r="HP288" t="e">
        <f>AND('Additional Services'!B136,"AAAAAFf7vt8=")</f>
        <v>#VALUE!</v>
      </c>
      <c r="HQ288" t="e">
        <f>AND('Additional Services'!C136,"AAAAAFf7vuA=")</f>
        <v>#VALUE!</v>
      </c>
      <c r="HR288" t="e">
        <f>AND('Additional Services'!D136,"AAAAAFf7vuE=")</f>
        <v>#VALUE!</v>
      </c>
      <c r="HS288" t="e">
        <f>AND('Additional Services'!E136,"AAAAAFf7vuI=")</f>
        <v>#VALUE!</v>
      </c>
      <c r="HT288" t="e">
        <f>AND('Additional Services'!F136,"AAAAAFf7vuM=")</f>
        <v>#VALUE!</v>
      </c>
      <c r="HU288" t="e">
        <f>AND('Additional Services'!G136,"AAAAAFf7vuQ=")</f>
        <v>#VALUE!</v>
      </c>
      <c r="HV288" t="e">
        <f>AND('Additional Services'!H136,"AAAAAFf7vuU=")</f>
        <v>#VALUE!</v>
      </c>
      <c r="HW288" t="e">
        <f>AND('Additional Services'!I136,"AAAAAFf7vuY=")</f>
        <v>#VALUE!</v>
      </c>
      <c r="HX288" t="e">
        <f>AND('Additional Services'!J136,"AAAAAFf7vuc=")</f>
        <v>#VALUE!</v>
      </c>
      <c r="HY288" t="e">
        <f>AND('Additional Services'!K136,"AAAAAFf7vug=")</f>
        <v>#VALUE!</v>
      </c>
      <c r="HZ288">
        <f>IF('Additional Services'!137:137,"AAAAAFf7vuk=",0)</f>
        <v>0</v>
      </c>
      <c r="IA288" t="e">
        <f>AND('Additional Services'!#REF!,"AAAAAFf7vuo=")</f>
        <v>#REF!</v>
      </c>
      <c r="IB288" t="e">
        <f>AND('Additional Services'!#REF!,"AAAAAFf7vus=")</f>
        <v>#REF!</v>
      </c>
      <c r="IC288" t="e">
        <f>AND('Additional Services'!A137,"AAAAAFf7vuw=")</f>
        <v>#VALUE!</v>
      </c>
      <c r="ID288" t="e">
        <f>AND('Additional Services'!B137,"AAAAAFf7vu0=")</f>
        <v>#VALUE!</v>
      </c>
      <c r="IE288" t="e">
        <f>AND('Additional Services'!C137,"AAAAAFf7vu4=")</f>
        <v>#VALUE!</v>
      </c>
      <c r="IF288" t="e">
        <f>AND('Additional Services'!D137,"AAAAAFf7vu8=")</f>
        <v>#VALUE!</v>
      </c>
      <c r="IG288" t="e">
        <f>AND('Additional Services'!E137,"AAAAAFf7vvA=")</f>
        <v>#VALUE!</v>
      </c>
      <c r="IH288" t="e">
        <f>AND('Additional Services'!F137,"AAAAAFf7vvE=")</f>
        <v>#VALUE!</v>
      </c>
      <c r="II288" t="e">
        <f>AND('Additional Services'!G137,"AAAAAFf7vvI=")</f>
        <v>#VALUE!</v>
      </c>
      <c r="IJ288" t="e">
        <f>AND('Additional Services'!H137,"AAAAAFf7vvM=")</f>
        <v>#VALUE!</v>
      </c>
      <c r="IK288" t="e">
        <f>AND('Additional Services'!I137,"AAAAAFf7vvQ=")</f>
        <v>#VALUE!</v>
      </c>
      <c r="IL288" t="e">
        <f>AND('Additional Services'!J137,"AAAAAFf7vvU=")</f>
        <v>#VALUE!</v>
      </c>
      <c r="IM288" t="e">
        <f>AND('Additional Services'!K137,"AAAAAFf7vvY=")</f>
        <v>#VALUE!</v>
      </c>
      <c r="IN288">
        <f>IF('Additional Services'!138:138,"AAAAAFf7vvc=",0)</f>
        <v>0</v>
      </c>
      <c r="IO288" t="e">
        <f>AND('Additional Services'!#REF!,"AAAAAFf7vvg=")</f>
        <v>#REF!</v>
      </c>
      <c r="IP288" t="e">
        <f>AND('Additional Services'!#REF!,"AAAAAFf7vvk=")</f>
        <v>#REF!</v>
      </c>
      <c r="IQ288" t="e">
        <f>AND('Additional Services'!A138,"AAAAAFf7vvo=")</f>
        <v>#VALUE!</v>
      </c>
      <c r="IR288" t="e">
        <f>AND('Additional Services'!B138,"AAAAAFf7vvs=")</f>
        <v>#VALUE!</v>
      </c>
      <c r="IS288" t="e">
        <f>AND('Additional Services'!C138,"AAAAAFf7vvw=")</f>
        <v>#VALUE!</v>
      </c>
      <c r="IT288" t="e">
        <f>AND('Additional Services'!D138,"AAAAAFf7vv0=")</f>
        <v>#VALUE!</v>
      </c>
      <c r="IU288" t="e">
        <f>AND('Additional Services'!E138,"AAAAAFf7vv4=")</f>
        <v>#VALUE!</v>
      </c>
      <c r="IV288" t="e">
        <f>AND('Additional Services'!F138,"AAAAAFf7vv8=")</f>
        <v>#VALUE!</v>
      </c>
    </row>
    <row r="289" spans="1:256" x14ac:dyDescent="0.2">
      <c r="A289" t="e">
        <f>AND('Additional Services'!G138,"AAAAAH79vQA=")</f>
        <v>#VALUE!</v>
      </c>
      <c r="B289" t="e">
        <f>AND('Additional Services'!H138,"AAAAAH79vQE=")</f>
        <v>#VALUE!</v>
      </c>
      <c r="C289" t="e">
        <f>AND('Additional Services'!I138,"AAAAAH79vQI=")</f>
        <v>#VALUE!</v>
      </c>
      <c r="D289" t="e">
        <f>AND('Additional Services'!J138,"AAAAAH79vQM=")</f>
        <v>#VALUE!</v>
      </c>
      <c r="E289" t="e">
        <f>AND('Additional Services'!K138,"AAAAAH79vQQ=")</f>
        <v>#VALUE!</v>
      </c>
      <c r="F289">
        <f>IF('Additional Services'!139:139,"AAAAAH79vQU=",0)</f>
        <v>0</v>
      </c>
      <c r="G289" t="e">
        <f>AND('Additional Services'!#REF!,"AAAAAH79vQY=")</f>
        <v>#REF!</v>
      </c>
      <c r="H289" t="e">
        <f>AND('Additional Services'!#REF!,"AAAAAH79vQc=")</f>
        <v>#REF!</v>
      </c>
      <c r="I289" t="e">
        <f>AND('Additional Services'!A139,"AAAAAH79vQg=")</f>
        <v>#VALUE!</v>
      </c>
      <c r="J289" t="e">
        <f>AND('Additional Services'!B139,"AAAAAH79vQk=")</f>
        <v>#VALUE!</v>
      </c>
      <c r="K289" t="e">
        <f>AND('Additional Services'!C139,"AAAAAH79vQo=")</f>
        <v>#VALUE!</v>
      </c>
      <c r="L289" t="e">
        <f>AND('Additional Services'!D139,"AAAAAH79vQs=")</f>
        <v>#VALUE!</v>
      </c>
      <c r="M289" t="e">
        <f>AND('Additional Services'!E139,"AAAAAH79vQw=")</f>
        <v>#VALUE!</v>
      </c>
      <c r="N289" t="e">
        <f>AND('Additional Services'!F139,"AAAAAH79vQ0=")</f>
        <v>#VALUE!</v>
      </c>
      <c r="O289" t="e">
        <f>AND('Additional Services'!G139,"AAAAAH79vQ4=")</f>
        <v>#VALUE!</v>
      </c>
      <c r="P289" t="e">
        <f>AND('Additional Services'!H139,"AAAAAH79vQ8=")</f>
        <v>#VALUE!</v>
      </c>
      <c r="Q289" t="e">
        <f>AND('Additional Services'!I139,"AAAAAH79vRA=")</f>
        <v>#VALUE!</v>
      </c>
      <c r="R289" t="e">
        <f>AND('Additional Services'!J139,"AAAAAH79vRE=")</f>
        <v>#VALUE!</v>
      </c>
      <c r="S289" t="e">
        <f>AND('Additional Services'!K139,"AAAAAH79vRI=")</f>
        <v>#VALUE!</v>
      </c>
      <c r="T289">
        <f>IF('Additional Services'!140:140,"AAAAAH79vRM=",0)</f>
        <v>0</v>
      </c>
      <c r="U289" t="e">
        <f>AND('Additional Services'!#REF!,"AAAAAH79vRQ=")</f>
        <v>#REF!</v>
      </c>
      <c r="V289" t="e">
        <f>AND('Additional Services'!#REF!,"AAAAAH79vRU=")</f>
        <v>#REF!</v>
      </c>
      <c r="W289" t="e">
        <f>AND('Additional Services'!A140,"AAAAAH79vRY=")</f>
        <v>#VALUE!</v>
      </c>
      <c r="X289" t="e">
        <f>AND('Additional Services'!B140,"AAAAAH79vRc=")</f>
        <v>#VALUE!</v>
      </c>
      <c r="Y289" t="e">
        <f>AND('Additional Services'!C140,"AAAAAH79vRg=")</f>
        <v>#VALUE!</v>
      </c>
      <c r="Z289" t="e">
        <f>AND('Additional Services'!D140,"AAAAAH79vRk=")</f>
        <v>#VALUE!</v>
      </c>
      <c r="AA289" t="e">
        <f>AND('Additional Services'!E140,"AAAAAH79vRo=")</f>
        <v>#VALUE!</v>
      </c>
      <c r="AB289" t="e">
        <f>AND('Additional Services'!F140,"AAAAAH79vRs=")</f>
        <v>#VALUE!</v>
      </c>
      <c r="AC289" t="e">
        <f>AND('Additional Services'!G140,"AAAAAH79vRw=")</f>
        <v>#VALUE!</v>
      </c>
      <c r="AD289" t="e">
        <f>AND('Additional Services'!H140,"AAAAAH79vR0=")</f>
        <v>#VALUE!</v>
      </c>
      <c r="AE289" t="e">
        <f>AND('Additional Services'!I140,"AAAAAH79vR4=")</f>
        <v>#VALUE!</v>
      </c>
      <c r="AF289" t="e">
        <f>AND('Additional Services'!J140,"AAAAAH79vR8=")</f>
        <v>#VALUE!</v>
      </c>
      <c r="AG289" t="e">
        <f>AND('Additional Services'!K140,"AAAAAH79vSA=")</f>
        <v>#VALUE!</v>
      </c>
      <c r="AH289" t="e">
        <f>IF('Additional Services'!#REF!,"AAAAAH79vSE=",0)</f>
        <v>#REF!</v>
      </c>
      <c r="AI289" t="e">
        <f>AND('Additional Services'!#REF!,"AAAAAH79vSI=")</f>
        <v>#REF!</v>
      </c>
      <c r="AJ289" t="e">
        <f>AND('Additional Services'!#REF!,"AAAAAH79vSM=")</f>
        <v>#REF!</v>
      </c>
      <c r="AK289" t="e">
        <f>AND('Additional Services'!#REF!,"AAAAAH79vSQ=")</f>
        <v>#REF!</v>
      </c>
      <c r="AL289" t="e">
        <f>AND('Additional Services'!#REF!,"AAAAAH79vSU=")</f>
        <v>#REF!</v>
      </c>
      <c r="AM289" t="e">
        <f>AND('Additional Services'!#REF!,"AAAAAH79vSY=")</f>
        <v>#REF!</v>
      </c>
      <c r="AN289" t="e">
        <f>AND('Additional Services'!#REF!,"AAAAAH79vSc=")</f>
        <v>#REF!</v>
      </c>
      <c r="AO289" t="e">
        <f>AND('Additional Services'!#REF!,"AAAAAH79vSg=")</f>
        <v>#REF!</v>
      </c>
      <c r="AP289" t="e">
        <f>AND('Additional Services'!#REF!,"AAAAAH79vSk=")</f>
        <v>#REF!</v>
      </c>
      <c r="AQ289" t="e">
        <f>AND('Additional Services'!#REF!,"AAAAAH79vSo=")</f>
        <v>#REF!</v>
      </c>
      <c r="AR289" t="e">
        <f>AND('Additional Services'!#REF!,"AAAAAH79vSs=")</f>
        <v>#REF!</v>
      </c>
      <c r="AS289" t="e">
        <f>AND('Additional Services'!#REF!,"AAAAAH79vSw=")</f>
        <v>#REF!</v>
      </c>
      <c r="AT289" t="e">
        <f>AND('Additional Services'!#REF!,"AAAAAH79vS0=")</f>
        <v>#REF!</v>
      </c>
      <c r="AU289" t="e">
        <f>AND('Additional Services'!#REF!,"AAAAAH79vS4=")</f>
        <v>#REF!</v>
      </c>
      <c r="AV289" t="e">
        <f>IF('Additional Services'!#REF!,"AAAAAH79vS8=",0)</f>
        <v>#REF!</v>
      </c>
      <c r="AW289" t="e">
        <f>AND('Additional Services'!#REF!,"AAAAAH79vTA=")</f>
        <v>#REF!</v>
      </c>
      <c r="AX289" t="e">
        <f>AND('Additional Services'!#REF!,"AAAAAH79vTE=")</f>
        <v>#REF!</v>
      </c>
      <c r="AY289" t="e">
        <f>AND('Additional Services'!#REF!,"AAAAAH79vTI=")</f>
        <v>#REF!</v>
      </c>
      <c r="AZ289" t="e">
        <f>AND('Additional Services'!#REF!,"AAAAAH79vTM=")</f>
        <v>#REF!</v>
      </c>
      <c r="BA289" t="e">
        <f>AND('Additional Services'!#REF!,"AAAAAH79vTQ=")</f>
        <v>#REF!</v>
      </c>
      <c r="BB289" t="e">
        <f>AND('Additional Services'!#REF!,"AAAAAH79vTU=")</f>
        <v>#REF!</v>
      </c>
      <c r="BC289" t="e">
        <f>AND('Additional Services'!#REF!,"AAAAAH79vTY=")</f>
        <v>#REF!</v>
      </c>
      <c r="BD289" t="e">
        <f>AND('Additional Services'!#REF!,"AAAAAH79vTc=")</f>
        <v>#REF!</v>
      </c>
      <c r="BE289" t="e">
        <f>AND('Additional Services'!#REF!,"AAAAAH79vTg=")</f>
        <v>#REF!</v>
      </c>
      <c r="BF289" t="e">
        <f>AND('Additional Services'!#REF!,"AAAAAH79vTk=")</f>
        <v>#REF!</v>
      </c>
      <c r="BG289" t="e">
        <f>AND('Additional Services'!#REF!,"AAAAAH79vTo=")</f>
        <v>#REF!</v>
      </c>
      <c r="BH289" t="e">
        <f>AND('Additional Services'!#REF!,"AAAAAH79vTs=")</f>
        <v>#REF!</v>
      </c>
      <c r="BI289" t="e">
        <f>AND('Additional Services'!#REF!,"AAAAAH79vTw=")</f>
        <v>#REF!</v>
      </c>
      <c r="BJ289" t="e">
        <f>IF('Additional Services'!#REF!,"AAAAAH79vT0=",0)</f>
        <v>#REF!</v>
      </c>
      <c r="BK289" t="e">
        <f>AND('Additional Services'!#REF!,"AAAAAH79vT4=")</f>
        <v>#REF!</v>
      </c>
      <c r="BL289" t="e">
        <f>AND('Additional Services'!#REF!,"AAAAAH79vT8=")</f>
        <v>#REF!</v>
      </c>
      <c r="BM289" t="e">
        <f>AND('Additional Services'!#REF!,"AAAAAH79vUA=")</f>
        <v>#REF!</v>
      </c>
      <c r="BN289" t="e">
        <f>AND('Additional Services'!#REF!,"AAAAAH79vUE=")</f>
        <v>#REF!</v>
      </c>
      <c r="BO289" t="e">
        <f>AND('Additional Services'!#REF!,"AAAAAH79vUI=")</f>
        <v>#REF!</v>
      </c>
      <c r="BP289" t="e">
        <f>AND('Additional Services'!#REF!,"AAAAAH79vUM=")</f>
        <v>#REF!</v>
      </c>
      <c r="BQ289" t="e">
        <f>AND('Additional Services'!#REF!,"AAAAAH79vUQ=")</f>
        <v>#REF!</v>
      </c>
      <c r="BR289" t="e">
        <f>AND('Additional Services'!#REF!,"AAAAAH79vUU=")</f>
        <v>#REF!</v>
      </c>
      <c r="BS289" t="e">
        <f>AND('Additional Services'!#REF!,"AAAAAH79vUY=")</f>
        <v>#REF!</v>
      </c>
      <c r="BT289" t="e">
        <f>AND('Additional Services'!#REF!,"AAAAAH79vUc=")</f>
        <v>#REF!</v>
      </c>
      <c r="BU289" t="e">
        <f>AND('Additional Services'!#REF!,"AAAAAH79vUg=")</f>
        <v>#REF!</v>
      </c>
      <c r="BV289" t="e">
        <f>AND('Additional Services'!#REF!,"AAAAAH79vUk=")</f>
        <v>#REF!</v>
      </c>
      <c r="BW289" t="e">
        <f>AND('Additional Services'!#REF!,"AAAAAH79vUo=")</f>
        <v>#REF!</v>
      </c>
      <c r="BX289">
        <f>IF('Additional Services'!142:142,"AAAAAH79vUs=",0)</f>
        <v>0</v>
      </c>
      <c r="BY289" t="e">
        <f>AND('Additional Services'!A142,"AAAAAH79vUw=")</f>
        <v>#VALUE!</v>
      </c>
      <c r="BZ289" t="e">
        <f>AND('Additional Services'!B142,"AAAAAH79vU0=")</f>
        <v>#VALUE!</v>
      </c>
      <c r="CA289" t="e">
        <f>AND('Additional Services'!C142,"AAAAAH79vU4=")</f>
        <v>#VALUE!</v>
      </c>
      <c r="CB289" t="e">
        <f>AND('Additional Services'!D142,"AAAAAH79vU8=")</f>
        <v>#VALUE!</v>
      </c>
      <c r="CC289" t="e">
        <f>AND('Additional Services'!E142,"AAAAAH79vVA=")</f>
        <v>#VALUE!</v>
      </c>
      <c r="CD289" t="e">
        <f>AND('Additional Services'!F142,"AAAAAH79vVE=")</f>
        <v>#VALUE!</v>
      </c>
      <c r="CE289" t="e">
        <f>AND('Additional Services'!G142,"AAAAAH79vVI=")</f>
        <v>#VALUE!</v>
      </c>
      <c r="CF289" t="e">
        <f>AND('Additional Services'!H142,"AAAAAH79vVM=")</f>
        <v>#VALUE!</v>
      </c>
      <c r="CG289" t="e">
        <f>AND('Additional Services'!I142,"AAAAAH79vVQ=")</f>
        <v>#VALUE!</v>
      </c>
      <c r="CH289" t="e">
        <f>AND('Additional Services'!J142,"AAAAAH79vVU=")</f>
        <v>#VALUE!</v>
      </c>
      <c r="CI289" t="e">
        <f>AND('Additional Services'!K142,"AAAAAH79vVY=")</f>
        <v>#VALUE!</v>
      </c>
      <c r="CJ289" t="e">
        <f>AND('Additional Services'!L142,"AAAAAH79vVc=")</f>
        <v>#VALUE!</v>
      </c>
      <c r="CK289" t="e">
        <f>AND('Additional Services'!M142,"AAAAAH79vVg=")</f>
        <v>#VALUE!</v>
      </c>
      <c r="CL289">
        <f>IF('Additional Services'!143:143,"AAAAAH79vVk=",0)</f>
        <v>0</v>
      </c>
      <c r="CM289" t="e">
        <f>AND('Additional Services'!A143,"AAAAAH79vVo=")</f>
        <v>#VALUE!</v>
      </c>
      <c r="CN289" t="e">
        <f>AND('Additional Services'!B143,"AAAAAH79vVs=")</f>
        <v>#VALUE!</v>
      </c>
      <c r="CO289" t="e">
        <f>AND('Additional Services'!C143,"AAAAAH79vVw=")</f>
        <v>#VALUE!</v>
      </c>
      <c r="CP289" t="e">
        <f>AND('Additional Services'!D143,"AAAAAH79vV0=")</f>
        <v>#VALUE!</v>
      </c>
      <c r="CQ289" t="e">
        <f>AND('Additional Services'!E143,"AAAAAH79vV4=")</f>
        <v>#VALUE!</v>
      </c>
      <c r="CR289" t="e">
        <f>AND('Additional Services'!F143,"AAAAAH79vV8=")</f>
        <v>#VALUE!</v>
      </c>
      <c r="CS289" t="e">
        <f>AND('Additional Services'!G143,"AAAAAH79vWA=")</f>
        <v>#VALUE!</v>
      </c>
      <c r="CT289" t="e">
        <f>AND('Additional Services'!H143,"AAAAAH79vWE=")</f>
        <v>#VALUE!</v>
      </c>
      <c r="CU289" t="e">
        <f>AND('Additional Services'!I143,"AAAAAH79vWI=")</f>
        <v>#VALUE!</v>
      </c>
      <c r="CV289" t="e">
        <f>AND('Additional Services'!J143,"AAAAAH79vWM=")</f>
        <v>#VALUE!</v>
      </c>
      <c r="CW289" t="e">
        <f>AND('Additional Services'!K143,"AAAAAH79vWQ=")</f>
        <v>#VALUE!</v>
      </c>
      <c r="CX289" t="e">
        <f>AND('Additional Services'!L143,"AAAAAH79vWU=")</f>
        <v>#VALUE!</v>
      </c>
      <c r="CY289" t="e">
        <f>AND('Additional Services'!M143,"AAAAAH79vWY=")</f>
        <v>#VALUE!</v>
      </c>
      <c r="CZ289" t="e">
        <f>IF('Additional Services'!#REF!,"AAAAAH79vWc=",0)</f>
        <v>#REF!</v>
      </c>
      <c r="DA289" t="e">
        <f>AND('Additional Services'!#REF!,"AAAAAH79vWg=")</f>
        <v>#REF!</v>
      </c>
      <c r="DB289" t="e">
        <f>AND('Additional Services'!#REF!,"AAAAAH79vWk=")</f>
        <v>#REF!</v>
      </c>
      <c r="DC289" t="e">
        <f>AND('Additional Services'!#REF!,"AAAAAH79vWo=")</f>
        <v>#REF!</v>
      </c>
      <c r="DD289" t="e">
        <f>AND('Additional Services'!#REF!,"AAAAAH79vWs=")</f>
        <v>#REF!</v>
      </c>
      <c r="DE289" t="e">
        <f>AND('Additional Services'!#REF!,"AAAAAH79vWw=")</f>
        <v>#REF!</v>
      </c>
      <c r="DF289" t="e">
        <f>AND('Additional Services'!#REF!,"AAAAAH79vW0=")</f>
        <v>#REF!</v>
      </c>
      <c r="DG289" t="e">
        <f>AND('Additional Services'!#REF!,"AAAAAH79vW4=")</f>
        <v>#REF!</v>
      </c>
      <c r="DH289" t="e">
        <f>AND('Additional Services'!#REF!,"AAAAAH79vW8=")</f>
        <v>#REF!</v>
      </c>
      <c r="DI289" t="e">
        <f>AND('Additional Services'!#REF!,"AAAAAH79vXA=")</f>
        <v>#REF!</v>
      </c>
      <c r="DJ289" t="e">
        <f>AND('Additional Services'!#REF!,"AAAAAH79vXE=")</f>
        <v>#REF!</v>
      </c>
      <c r="DK289" t="e">
        <f>AND('Additional Services'!#REF!,"AAAAAH79vXI=")</f>
        <v>#REF!</v>
      </c>
      <c r="DL289" t="e">
        <f>AND('Additional Services'!#REF!,"AAAAAH79vXM=")</f>
        <v>#REF!</v>
      </c>
      <c r="DM289" t="e">
        <f>AND('Additional Services'!#REF!,"AAAAAH79vXQ=")</f>
        <v>#REF!</v>
      </c>
      <c r="DN289" t="e">
        <f>IF('Additional Services'!#REF!,"AAAAAH79vXU=",0)</f>
        <v>#REF!</v>
      </c>
      <c r="DO289" t="e">
        <f>AND('Additional Services'!#REF!,"AAAAAH79vXY=")</f>
        <v>#REF!</v>
      </c>
      <c r="DP289" t="e">
        <f>AND('Additional Services'!#REF!,"AAAAAH79vXc=")</f>
        <v>#REF!</v>
      </c>
      <c r="DQ289" t="e">
        <f>AND('Additional Services'!#REF!,"AAAAAH79vXg=")</f>
        <v>#REF!</v>
      </c>
      <c r="DR289" t="e">
        <f>AND('Additional Services'!#REF!,"AAAAAH79vXk=")</f>
        <v>#REF!</v>
      </c>
      <c r="DS289" t="e">
        <f>AND('Additional Services'!#REF!,"AAAAAH79vXo=")</f>
        <v>#REF!</v>
      </c>
      <c r="DT289" t="e">
        <f>AND('Additional Services'!#REF!,"AAAAAH79vXs=")</f>
        <v>#REF!</v>
      </c>
      <c r="DU289" t="e">
        <f>AND('Additional Services'!#REF!,"AAAAAH79vXw=")</f>
        <v>#REF!</v>
      </c>
      <c r="DV289" t="e">
        <f>AND('Additional Services'!#REF!,"AAAAAH79vX0=")</f>
        <v>#REF!</v>
      </c>
      <c r="DW289" t="e">
        <f>AND('Additional Services'!#REF!,"AAAAAH79vX4=")</f>
        <v>#REF!</v>
      </c>
      <c r="DX289" t="e">
        <f>AND('Additional Services'!#REF!,"AAAAAH79vX8=")</f>
        <v>#REF!</v>
      </c>
      <c r="DY289" t="e">
        <f>AND('Additional Services'!#REF!,"AAAAAH79vYA=")</f>
        <v>#REF!</v>
      </c>
      <c r="DZ289" t="e">
        <f>AND('Additional Services'!#REF!,"AAAAAH79vYE=")</f>
        <v>#REF!</v>
      </c>
      <c r="EA289" t="e">
        <f>AND('Additional Services'!#REF!,"AAAAAH79vYI=")</f>
        <v>#REF!</v>
      </c>
      <c r="EB289" t="e">
        <f>IF('Additional Services'!#REF!,"AAAAAH79vYM=",0)</f>
        <v>#REF!</v>
      </c>
      <c r="EC289" t="e">
        <f>AND('Additional Services'!#REF!,"AAAAAH79vYQ=")</f>
        <v>#REF!</v>
      </c>
      <c r="ED289" t="e">
        <f>AND('Additional Services'!#REF!,"AAAAAH79vYU=")</f>
        <v>#REF!</v>
      </c>
      <c r="EE289" t="e">
        <f>AND('Additional Services'!#REF!,"AAAAAH79vYY=")</f>
        <v>#REF!</v>
      </c>
      <c r="EF289" t="e">
        <f>AND('Additional Services'!#REF!,"AAAAAH79vYc=")</f>
        <v>#REF!</v>
      </c>
      <c r="EG289" t="e">
        <f>AND('Additional Services'!#REF!,"AAAAAH79vYg=")</f>
        <v>#REF!</v>
      </c>
      <c r="EH289" t="e">
        <f>AND('Additional Services'!#REF!,"AAAAAH79vYk=")</f>
        <v>#REF!</v>
      </c>
      <c r="EI289" t="e">
        <f>AND('Additional Services'!#REF!,"AAAAAH79vYo=")</f>
        <v>#REF!</v>
      </c>
      <c r="EJ289" t="e">
        <f>AND('Additional Services'!#REF!,"AAAAAH79vYs=")</f>
        <v>#REF!</v>
      </c>
      <c r="EK289" t="e">
        <f>AND('Additional Services'!#REF!,"AAAAAH79vYw=")</f>
        <v>#REF!</v>
      </c>
      <c r="EL289" t="e">
        <f>AND('Additional Services'!#REF!,"AAAAAH79vY0=")</f>
        <v>#REF!</v>
      </c>
      <c r="EM289" t="e">
        <f>AND('Additional Services'!#REF!,"AAAAAH79vY4=")</f>
        <v>#REF!</v>
      </c>
      <c r="EN289" t="e">
        <f>AND('Additional Services'!#REF!,"AAAAAH79vY8=")</f>
        <v>#REF!</v>
      </c>
      <c r="EO289" t="e">
        <f>AND('Additional Services'!#REF!,"AAAAAH79vZA=")</f>
        <v>#REF!</v>
      </c>
      <c r="EP289" t="e">
        <f>IF('Additional Services'!#REF!,"AAAAAH79vZE=",0)</f>
        <v>#REF!</v>
      </c>
      <c r="EQ289" t="e">
        <f>AND('Additional Services'!#REF!,"AAAAAH79vZI=")</f>
        <v>#REF!</v>
      </c>
      <c r="ER289" t="e">
        <f>AND('Additional Services'!#REF!,"AAAAAH79vZM=")</f>
        <v>#REF!</v>
      </c>
      <c r="ES289" t="e">
        <f>AND('Additional Services'!#REF!,"AAAAAH79vZQ=")</f>
        <v>#REF!</v>
      </c>
      <c r="ET289" t="e">
        <f>AND('Additional Services'!#REF!,"AAAAAH79vZU=")</f>
        <v>#REF!</v>
      </c>
      <c r="EU289" t="e">
        <f>AND('Additional Services'!#REF!,"AAAAAH79vZY=")</f>
        <v>#REF!</v>
      </c>
      <c r="EV289" t="e">
        <f>AND('Additional Services'!#REF!,"AAAAAH79vZc=")</f>
        <v>#REF!</v>
      </c>
      <c r="EW289" t="e">
        <f>AND('Additional Services'!#REF!,"AAAAAH79vZg=")</f>
        <v>#REF!</v>
      </c>
      <c r="EX289" t="e">
        <f>AND('Additional Services'!#REF!,"AAAAAH79vZk=")</f>
        <v>#REF!</v>
      </c>
      <c r="EY289" t="e">
        <f>AND('Additional Services'!#REF!,"AAAAAH79vZo=")</f>
        <v>#REF!</v>
      </c>
      <c r="EZ289" t="e">
        <f>AND('Additional Services'!#REF!,"AAAAAH79vZs=")</f>
        <v>#REF!</v>
      </c>
      <c r="FA289" t="e">
        <f>AND('Additional Services'!#REF!,"AAAAAH79vZw=")</f>
        <v>#REF!</v>
      </c>
      <c r="FB289" t="e">
        <f>AND('Additional Services'!#REF!,"AAAAAH79vZ0=")</f>
        <v>#REF!</v>
      </c>
      <c r="FC289" t="e">
        <f>AND('Additional Services'!#REF!,"AAAAAH79vZ4=")</f>
        <v>#REF!</v>
      </c>
      <c r="FD289" t="e">
        <f>IF('Additional Services'!#REF!,"AAAAAH79vZ8=",0)</f>
        <v>#REF!</v>
      </c>
      <c r="FE289" t="e">
        <f>AND('Additional Services'!#REF!,"AAAAAH79vaA=")</f>
        <v>#REF!</v>
      </c>
      <c r="FF289" t="e">
        <f>AND('Additional Services'!#REF!,"AAAAAH79vaE=")</f>
        <v>#REF!</v>
      </c>
      <c r="FG289" t="e">
        <f>AND('Additional Services'!#REF!,"AAAAAH79vaI=")</f>
        <v>#REF!</v>
      </c>
      <c r="FH289" t="e">
        <f>AND('Additional Services'!#REF!,"AAAAAH79vaM=")</f>
        <v>#REF!</v>
      </c>
      <c r="FI289" t="e">
        <f>AND('Additional Services'!#REF!,"AAAAAH79vaQ=")</f>
        <v>#REF!</v>
      </c>
      <c r="FJ289" t="e">
        <f>AND('Additional Services'!#REF!,"AAAAAH79vaU=")</f>
        <v>#REF!</v>
      </c>
      <c r="FK289" t="e">
        <f>AND('Additional Services'!#REF!,"AAAAAH79vaY=")</f>
        <v>#REF!</v>
      </c>
      <c r="FL289" t="e">
        <f>AND('Additional Services'!#REF!,"AAAAAH79vac=")</f>
        <v>#REF!</v>
      </c>
      <c r="FM289" t="e">
        <f>AND('Additional Services'!#REF!,"AAAAAH79vag=")</f>
        <v>#REF!</v>
      </c>
      <c r="FN289" t="e">
        <f>AND('Additional Services'!#REF!,"AAAAAH79vak=")</f>
        <v>#REF!</v>
      </c>
      <c r="FO289" t="e">
        <f>AND('Additional Services'!#REF!,"AAAAAH79vao=")</f>
        <v>#REF!</v>
      </c>
      <c r="FP289" t="e">
        <f>AND('Additional Services'!#REF!,"AAAAAH79vas=")</f>
        <v>#REF!</v>
      </c>
      <c r="FQ289" t="e">
        <f>AND('Additional Services'!#REF!,"AAAAAH79vaw=")</f>
        <v>#REF!</v>
      </c>
      <c r="FR289" t="e">
        <f>IF('Additional Services'!#REF!,"AAAAAH79va0=",0)</f>
        <v>#REF!</v>
      </c>
      <c r="FS289" t="e">
        <f>AND('Additional Services'!#REF!,"AAAAAH79va4=")</f>
        <v>#REF!</v>
      </c>
      <c r="FT289" t="e">
        <f>AND('Additional Services'!#REF!,"AAAAAH79va8=")</f>
        <v>#REF!</v>
      </c>
      <c r="FU289" t="e">
        <f>AND('Additional Services'!#REF!,"AAAAAH79vbA=")</f>
        <v>#REF!</v>
      </c>
      <c r="FV289" t="e">
        <f>AND('Additional Services'!#REF!,"AAAAAH79vbE=")</f>
        <v>#REF!</v>
      </c>
      <c r="FW289" t="e">
        <f>AND('Additional Services'!#REF!,"AAAAAH79vbI=")</f>
        <v>#REF!</v>
      </c>
      <c r="FX289" t="e">
        <f>AND('Additional Services'!#REF!,"AAAAAH79vbM=")</f>
        <v>#REF!</v>
      </c>
      <c r="FY289" t="e">
        <f>AND('Additional Services'!#REF!,"AAAAAH79vbQ=")</f>
        <v>#REF!</v>
      </c>
      <c r="FZ289" t="e">
        <f>AND('Additional Services'!#REF!,"AAAAAH79vbU=")</f>
        <v>#REF!</v>
      </c>
      <c r="GA289" t="e">
        <f>AND('Additional Services'!#REF!,"AAAAAH79vbY=")</f>
        <v>#REF!</v>
      </c>
      <c r="GB289" t="e">
        <f>AND('Additional Services'!#REF!,"AAAAAH79vbc=")</f>
        <v>#REF!</v>
      </c>
      <c r="GC289" t="e">
        <f>AND('Additional Services'!#REF!,"AAAAAH79vbg=")</f>
        <v>#REF!</v>
      </c>
      <c r="GD289" t="e">
        <f>AND('Additional Services'!#REF!,"AAAAAH79vbk=")</f>
        <v>#REF!</v>
      </c>
      <c r="GE289" t="e">
        <f>AND('Additional Services'!#REF!,"AAAAAH79vbo=")</f>
        <v>#REF!</v>
      </c>
      <c r="GF289" t="e">
        <f>IF('Additional Services'!#REF!,"AAAAAH79vbs=",0)</f>
        <v>#REF!</v>
      </c>
      <c r="GG289" t="e">
        <f>AND('Additional Services'!#REF!,"AAAAAH79vbw=")</f>
        <v>#REF!</v>
      </c>
      <c r="GH289" t="e">
        <f>AND('Additional Services'!#REF!,"AAAAAH79vb0=")</f>
        <v>#REF!</v>
      </c>
      <c r="GI289" t="e">
        <f>AND('Additional Services'!#REF!,"AAAAAH79vb4=")</f>
        <v>#REF!</v>
      </c>
      <c r="GJ289" t="e">
        <f>AND('Additional Services'!#REF!,"AAAAAH79vb8=")</f>
        <v>#REF!</v>
      </c>
      <c r="GK289" t="e">
        <f>AND('Additional Services'!#REF!,"AAAAAH79vcA=")</f>
        <v>#REF!</v>
      </c>
      <c r="GL289" t="e">
        <f>AND('Additional Services'!#REF!,"AAAAAH79vcE=")</f>
        <v>#REF!</v>
      </c>
      <c r="GM289" t="e">
        <f>AND('Additional Services'!#REF!,"AAAAAH79vcI=")</f>
        <v>#REF!</v>
      </c>
      <c r="GN289" t="e">
        <f>AND('Additional Services'!#REF!,"AAAAAH79vcM=")</f>
        <v>#REF!</v>
      </c>
      <c r="GO289" t="e">
        <f>AND('Additional Services'!#REF!,"AAAAAH79vcQ=")</f>
        <v>#REF!</v>
      </c>
      <c r="GP289" t="e">
        <f>AND('Additional Services'!#REF!,"AAAAAH79vcU=")</f>
        <v>#REF!</v>
      </c>
      <c r="GQ289" t="e">
        <f>AND('Additional Services'!#REF!,"AAAAAH79vcY=")</f>
        <v>#REF!</v>
      </c>
      <c r="GR289" t="e">
        <f>AND('Additional Services'!#REF!,"AAAAAH79vcc=")</f>
        <v>#REF!</v>
      </c>
      <c r="GS289" t="e">
        <f>AND('Additional Services'!#REF!,"AAAAAH79vcg=")</f>
        <v>#REF!</v>
      </c>
      <c r="GT289" t="e">
        <f>IF('Additional Services'!#REF!,"AAAAAH79vck=",0)</f>
        <v>#REF!</v>
      </c>
      <c r="GU289" t="e">
        <f>AND('Additional Services'!#REF!,"AAAAAH79vco=")</f>
        <v>#REF!</v>
      </c>
      <c r="GV289" t="e">
        <f>AND('Additional Services'!#REF!,"AAAAAH79vcs=")</f>
        <v>#REF!</v>
      </c>
      <c r="GW289" t="e">
        <f>AND('Additional Services'!#REF!,"AAAAAH79vcw=")</f>
        <v>#REF!</v>
      </c>
      <c r="GX289" t="e">
        <f>AND('Additional Services'!#REF!,"AAAAAH79vc0=")</f>
        <v>#REF!</v>
      </c>
      <c r="GY289" t="e">
        <f>AND('Additional Services'!#REF!,"AAAAAH79vc4=")</f>
        <v>#REF!</v>
      </c>
      <c r="GZ289" t="e">
        <f>AND('Additional Services'!#REF!,"AAAAAH79vc8=")</f>
        <v>#REF!</v>
      </c>
      <c r="HA289" t="e">
        <f>AND('Additional Services'!#REF!,"AAAAAH79vdA=")</f>
        <v>#REF!</v>
      </c>
      <c r="HB289" t="e">
        <f>AND('Additional Services'!#REF!,"AAAAAH79vdE=")</f>
        <v>#REF!</v>
      </c>
      <c r="HC289" t="e">
        <f>AND('Additional Services'!#REF!,"AAAAAH79vdI=")</f>
        <v>#REF!</v>
      </c>
      <c r="HD289" t="e">
        <f>AND('Additional Services'!#REF!,"AAAAAH79vdM=")</f>
        <v>#REF!</v>
      </c>
      <c r="HE289" t="e">
        <f>AND('Additional Services'!#REF!,"AAAAAH79vdQ=")</f>
        <v>#REF!</v>
      </c>
      <c r="HF289" t="e">
        <f>AND('Additional Services'!#REF!,"AAAAAH79vdU=")</f>
        <v>#REF!</v>
      </c>
      <c r="HG289" t="e">
        <f>AND('Additional Services'!#REF!,"AAAAAH79vdY=")</f>
        <v>#REF!</v>
      </c>
      <c r="HH289" t="e">
        <f>IF('Additional Services'!#REF!,"AAAAAH79vdc=",0)</f>
        <v>#REF!</v>
      </c>
      <c r="HI289" t="e">
        <f>AND('Additional Services'!#REF!,"AAAAAH79vdg=")</f>
        <v>#REF!</v>
      </c>
      <c r="HJ289" t="e">
        <f>AND('Additional Services'!#REF!,"AAAAAH79vdk=")</f>
        <v>#REF!</v>
      </c>
      <c r="HK289" t="e">
        <f>AND('Additional Services'!#REF!,"AAAAAH79vdo=")</f>
        <v>#REF!</v>
      </c>
      <c r="HL289" t="e">
        <f>AND('Additional Services'!#REF!,"AAAAAH79vds=")</f>
        <v>#REF!</v>
      </c>
      <c r="HM289" t="e">
        <f>AND('Additional Services'!#REF!,"AAAAAH79vdw=")</f>
        <v>#REF!</v>
      </c>
      <c r="HN289" t="e">
        <f>AND('Additional Services'!#REF!,"AAAAAH79vd0=")</f>
        <v>#REF!</v>
      </c>
      <c r="HO289" t="e">
        <f>AND('Additional Services'!#REF!,"AAAAAH79vd4=")</f>
        <v>#REF!</v>
      </c>
      <c r="HP289" t="e">
        <f>AND('Additional Services'!#REF!,"AAAAAH79vd8=")</f>
        <v>#REF!</v>
      </c>
      <c r="HQ289" t="e">
        <f>AND('Additional Services'!#REF!,"AAAAAH79veA=")</f>
        <v>#REF!</v>
      </c>
      <c r="HR289" t="e">
        <f>AND('Additional Services'!#REF!,"AAAAAH79veE=")</f>
        <v>#REF!</v>
      </c>
      <c r="HS289" t="e">
        <f>AND('Additional Services'!#REF!,"AAAAAH79veI=")</f>
        <v>#REF!</v>
      </c>
      <c r="HT289" t="e">
        <f>AND('Additional Services'!#REF!,"AAAAAH79veM=")</f>
        <v>#REF!</v>
      </c>
      <c r="HU289" t="e">
        <f>AND('Additional Services'!#REF!,"AAAAAH79veQ=")</f>
        <v>#REF!</v>
      </c>
      <c r="HV289">
        <f>IF('Additional Services'!144:144,"AAAAAH79veU=",0)</f>
        <v>0</v>
      </c>
      <c r="HW289" t="e">
        <f>AND('Additional Services'!#REF!,"AAAAAH79veY=")</f>
        <v>#REF!</v>
      </c>
      <c r="HX289" t="e">
        <f>AND('Additional Services'!A144,"AAAAAH79vec=")</f>
        <v>#VALUE!</v>
      </c>
      <c r="HY289" t="e">
        <f>AND('Additional Services'!B144,"AAAAAH79veg=")</f>
        <v>#VALUE!</v>
      </c>
      <c r="HZ289" t="e">
        <f>AND('Additional Services'!C144,"AAAAAH79vek=")</f>
        <v>#VALUE!</v>
      </c>
      <c r="IA289" t="e">
        <f>AND('Additional Services'!D144,"AAAAAH79veo=")</f>
        <v>#VALUE!</v>
      </c>
      <c r="IB289" t="e">
        <f>AND('Additional Services'!K144,"AAAAAH79ves=")</f>
        <v>#VALUE!</v>
      </c>
      <c r="IC289" t="e">
        <f>AND('Additional Services'!#REF!,"AAAAAH79vew=")</f>
        <v>#REF!</v>
      </c>
      <c r="ID289" t="e">
        <f>AND('Additional Services'!#REF!,"AAAAAH79ve0=")</f>
        <v>#REF!</v>
      </c>
      <c r="IE289" t="e">
        <f>AND('Additional Services'!#REF!,"AAAAAH79ve4=")</f>
        <v>#REF!</v>
      </c>
      <c r="IF289" t="e">
        <f>AND('Additional Services'!H144,"AAAAAH79ve8=")</f>
        <v>#VALUE!</v>
      </c>
      <c r="IG289" t="e">
        <f>AND('Additional Services'!I144,"AAAAAH79vfA=")</f>
        <v>#VALUE!</v>
      </c>
      <c r="IH289" t="e">
        <f>AND('Additional Services'!#REF!,"AAAAAH79vfE=")</f>
        <v>#REF!</v>
      </c>
      <c r="II289" t="e">
        <f>AND('Additional Services'!#REF!,"AAAAAH79vfI=")</f>
        <v>#REF!</v>
      </c>
      <c r="IJ289">
        <f>IF('Additional Services'!145:145,"AAAAAH79vfM=",0)</f>
        <v>0</v>
      </c>
      <c r="IK289" t="e">
        <f>AND('Additional Services'!#REF!,"AAAAAH79vfQ=")</f>
        <v>#REF!</v>
      </c>
      <c r="IL289" t="e">
        <f>AND('Additional Services'!A145,"AAAAAH79vfU=")</f>
        <v>#VALUE!</v>
      </c>
      <c r="IM289" t="e">
        <f>AND('Additional Services'!B145,"AAAAAH79vfY=")</f>
        <v>#VALUE!</v>
      </c>
      <c r="IN289" t="e">
        <f>AND('Additional Services'!C145,"AAAAAH79vfc=")</f>
        <v>#VALUE!</v>
      </c>
      <c r="IO289" t="e">
        <f>AND('Additional Services'!D145,"AAAAAH79vfg=")</f>
        <v>#VALUE!</v>
      </c>
      <c r="IP289" t="e">
        <f>AND('Additional Services'!#REF!,"AAAAAH79vfk=")</f>
        <v>#REF!</v>
      </c>
      <c r="IQ289" t="e">
        <f>AND('Additional Services'!#REF!,"AAAAAH79vfo=")</f>
        <v>#REF!</v>
      </c>
      <c r="IR289" t="e">
        <f>AND('Additional Services'!#REF!,"AAAAAH79vfs=")</f>
        <v>#REF!</v>
      </c>
      <c r="IS289" t="e">
        <f>AND('Additional Services'!K145,"AAAAAH79vfw=")</f>
        <v>#VALUE!</v>
      </c>
      <c r="IT289" t="e">
        <f>AND('Additional Services'!L145,"AAAAAH79vf0=")</f>
        <v>#VALUE!</v>
      </c>
      <c r="IU289" t="e">
        <f>AND('Additional Services'!M145,"AAAAAH79vf4=")</f>
        <v>#VALUE!</v>
      </c>
      <c r="IV289" t="e">
        <f>AND('Additional Services'!H145,"AAAAAH79vf8=")</f>
        <v>#VALUE!</v>
      </c>
    </row>
    <row r="290" spans="1:256" x14ac:dyDescent="0.2">
      <c r="A290" t="e">
        <f>AND('Additional Services'!I145,"AAAAAHTenQA=")</f>
        <v>#VALUE!</v>
      </c>
      <c r="B290" t="e">
        <f>IF('Additional Services'!146:146,"AAAAAHTenQE=",0)</f>
        <v>#VALUE!</v>
      </c>
      <c r="C290" t="e">
        <f>AND('Additional Services'!#REF!,"AAAAAHTenQI=")</f>
        <v>#REF!</v>
      </c>
      <c r="D290" t="e">
        <f>AND('Additional Services'!B146,"AAAAAHTenQM=")</f>
        <v>#VALUE!</v>
      </c>
      <c r="E290" t="e">
        <f>AND('Additional Services'!#REF!,"AAAAAHTenQQ=")</f>
        <v>#REF!</v>
      </c>
      <c r="F290" t="e">
        <f>AND('Additional Services'!C146,"AAAAAHTenQU=")</f>
        <v>#VALUE!</v>
      </c>
      <c r="G290" t="e">
        <f>AND('Additional Services'!D146,"AAAAAHTenQY=")</f>
        <v>#VALUE!</v>
      </c>
      <c r="H290" t="e">
        <f>AND('Additional Services'!#REF!,"AAAAAHTenQc=")</f>
        <v>#REF!</v>
      </c>
      <c r="I290" t="e">
        <f>AND('Additional Services'!#REF!,"AAAAAHTenQg=")</f>
        <v>#REF!</v>
      </c>
      <c r="J290" t="e">
        <f>AND('Additional Services'!#REF!,"AAAAAHTenQk=")</f>
        <v>#REF!</v>
      </c>
      <c r="K290" t="e">
        <f>AND('Additional Services'!K146,"AAAAAHTenQo=")</f>
        <v>#VALUE!</v>
      </c>
      <c r="L290" t="e">
        <f>AND('Additional Services'!L146,"AAAAAHTenQs=")</f>
        <v>#VALUE!</v>
      </c>
      <c r="M290" t="e">
        <f>AND('Additional Services'!M146,"AAAAAHTenQw=")</f>
        <v>#VALUE!</v>
      </c>
      <c r="N290" t="e">
        <f>AND('Additional Services'!H146,"AAAAAHTenQ0=")</f>
        <v>#VALUE!</v>
      </c>
      <c r="O290" t="e">
        <f>AND('Additional Services'!I146,"AAAAAHTenQ4=")</f>
        <v>#VALUE!</v>
      </c>
      <c r="P290">
        <f>IF('Additional Services'!147:147,"AAAAAHTenQ8=",0)</f>
        <v>0</v>
      </c>
      <c r="Q290" t="e">
        <f>AND('Additional Services'!#REF!,"AAAAAHTenRA=")</f>
        <v>#REF!</v>
      </c>
      <c r="R290" t="e">
        <f>AND('Additional Services'!B147,"AAAAAHTenRE=")</f>
        <v>#VALUE!</v>
      </c>
      <c r="S290" t="e">
        <f>AND('Additional Services'!#REF!,"AAAAAHTenRI=")</f>
        <v>#REF!</v>
      </c>
      <c r="T290" t="e">
        <f>AND('Additional Services'!C147,"AAAAAHTenRM=")</f>
        <v>#VALUE!</v>
      </c>
      <c r="U290" t="e">
        <f>AND('Additional Services'!D147,"AAAAAHTenRQ=")</f>
        <v>#VALUE!</v>
      </c>
      <c r="V290" t="e">
        <f>AND('Additional Services'!#REF!,"AAAAAHTenRU=")</f>
        <v>#REF!</v>
      </c>
      <c r="W290" t="e">
        <f>AND('Additional Services'!#REF!,"AAAAAHTenRY=")</f>
        <v>#REF!</v>
      </c>
      <c r="X290" t="e">
        <f>AND('Additional Services'!#REF!,"AAAAAHTenRc=")</f>
        <v>#REF!</v>
      </c>
      <c r="Y290" t="e">
        <f>AND('Additional Services'!K147,"AAAAAHTenRg=")</f>
        <v>#VALUE!</v>
      </c>
      <c r="Z290" t="e">
        <f>AND('Additional Services'!L147,"AAAAAHTenRk=")</f>
        <v>#VALUE!</v>
      </c>
      <c r="AA290" t="e">
        <f>AND('Additional Services'!M147,"AAAAAHTenRo=")</f>
        <v>#VALUE!</v>
      </c>
      <c r="AB290" t="e">
        <f>AND('Additional Services'!H147,"AAAAAHTenRs=")</f>
        <v>#VALUE!</v>
      </c>
      <c r="AC290" t="e">
        <f>AND('Additional Services'!I147,"AAAAAHTenRw=")</f>
        <v>#VALUE!</v>
      </c>
      <c r="AD290">
        <f>IF('Additional Services'!148:148,"AAAAAHTenR0=",0)</f>
        <v>0</v>
      </c>
      <c r="AE290" t="e">
        <f>AND('Additional Services'!#REF!,"AAAAAHTenR4=")</f>
        <v>#REF!</v>
      </c>
      <c r="AF290" t="e">
        <f>AND('Additional Services'!B148,"AAAAAHTenR8=")</f>
        <v>#VALUE!</v>
      </c>
      <c r="AG290" t="e">
        <f>AND('Additional Services'!#REF!,"AAAAAHTenSA=")</f>
        <v>#REF!</v>
      </c>
      <c r="AH290" t="e">
        <f>AND('Additional Services'!C148,"AAAAAHTenSE=")</f>
        <v>#VALUE!</v>
      </c>
      <c r="AI290" t="e">
        <f>AND('Additional Services'!D148,"AAAAAHTenSI=")</f>
        <v>#VALUE!</v>
      </c>
      <c r="AJ290" t="e">
        <f>AND('Additional Services'!#REF!,"AAAAAHTenSM=")</f>
        <v>#REF!</v>
      </c>
      <c r="AK290" t="e">
        <f>AND('Additional Services'!#REF!,"AAAAAHTenSQ=")</f>
        <v>#REF!</v>
      </c>
      <c r="AL290" t="e">
        <f>AND('Additional Services'!#REF!,"AAAAAHTenSU=")</f>
        <v>#REF!</v>
      </c>
      <c r="AM290" t="e">
        <f>AND('Additional Services'!K148,"AAAAAHTenSY=")</f>
        <v>#VALUE!</v>
      </c>
      <c r="AN290" t="e">
        <f>AND('Additional Services'!L148,"AAAAAHTenSc=")</f>
        <v>#VALUE!</v>
      </c>
      <c r="AO290" t="e">
        <f>AND('Additional Services'!M148,"AAAAAHTenSg=")</f>
        <v>#VALUE!</v>
      </c>
      <c r="AP290" t="e">
        <f>AND('Additional Services'!H148,"AAAAAHTenSk=")</f>
        <v>#VALUE!</v>
      </c>
      <c r="AQ290" t="e">
        <f>AND('Additional Services'!I148,"AAAAAHTenSo=")</f>
        <v>#VALUE!</v>
      </c>
      <c r="AR290">
        <f>IF('Additional Services'!149:149,"AAAAAHTenSs=",0)</f>
        <v>0</v>
      </c>
      <c r="AS290" t="e">
        <f>AND('Additional Services'!#REF!,"AAAAAHTenSw=")</f>
        <v>#REF!</v>
      </c>
      <c r="AT290" t="e">
        <f>AND('Additional Services'!B149,"AAAAAHTenS0=")</f>
        <v>#VALUE!</v>
      </c>
      <c r="AU290" t="e">
        <f>AND('Additional Services'!#REF!,"AAAAAHTenS4=")</f>
        <v>#REF!</v>
      </c>
      <c r="AV290" t="e">
        <f>AND('Additional Services'!C149,"AAAAAHTenS8=")</f>
        <v>#VALUE!</v>
      </c>
      <c r="AW290" t="e">
        <f>AND('Additional Services'!D149,"AAAAAHTenTA=")</f>
        <v>#VALUE!</v>
      </c>
      <c r="AX290" t="e">
        <f>AND('Additional Services'!#REF!,"AAAAAHTenTE=")</f>
        <v>#REF!</v>
      </c>
      <c r="AY290" t="e">
        <f>AND('Additional Services'!#REF!,"AAAAAHTenTI=")</f>
        <v>#REF!</v>
      </c>
      <c r="AZ290" t="e">
        <f>AND('Additional Services'!#REF!,"AAAAAHTenTM=")</f>
        <v>#REF!</v>
      </c>
      <c r="BA290" t="e">
        <f>AND('Additional Services'!K149,"AAAAAHTenTQ=")</f>
        <v>#VALUE!</v>
      </c>
      <c r="BB290" t="e">
        <f>AND('Additional Services'!L149,"AAAAAHTenTU=")</f>
        <v>#VALUE!</v>
      </c>
      <c r="BC290" t="e">
        <f>AND('Additional Services'!M149,"AAAAAHTenTY=")</f>
        <v>#VALUE!</v>
      </c>
      <c r="BD290" t="e">
        <f>AND('Additional Services'!H149,"AAAAAHTenTc=")</f>
        <v>#VALUE!</v>
      </c>
      <c r="BE290" t="e">
        <f>AND('Additional Services'!I149,"AAAAAHTenTg=")</f>
        <v>#VALUE!</v>
      </c>
      <c r="BF290" t="e">
        <f>IF('Additional Services'!#REF!,"AAAAAHTenTk=",0)</f>
        <v>#REF!</v>
      </c>
      <c r="BG290" t="e">
        <f>AND('Additional Services'!#REF!,"AAAAAHTenTo=")</f>
        <v>#REF!</v>
      </c>
      <c r="BH290" t="e">
        <f>AND('Additional Services'!#REF!,"AAAAAHTenTs=")</f>
        <v>#REF!</v>
      </c>
      <c r="BI290" t="e">
        <f>AND('Additional Services'!#REF!,"AAAAAHTenTw=")</f>
        <v>#REF!</v>
      </c>
      <c r="BJ290" t="e">
        <f>AND('Additional Services'!#REF!,"AAAAAHTenT0=")</f>
        <v>#REF!</v>
      </c>
      <c r="BK290" t="e">
        <f>AND('Additional Services'!#REF!,"AAAAAHTenT4=")</f>
        <v>#REF!</v>
      </c>
      <c r="BL290" t="e">
        <f>AND('Additional Services'!#REF!,"AAAAAHTenT8=")</f>
        <v>#REF!</v>
      </c>
      <c r="BM290" t="e">
        <f>AND('Additional Services'!#REF!,"AAAAAHTenUA=")</f>
        <v>#REF!</v>
      </c>
      <c r="BN290" t="e">
        <f>AND('Additional Services'!#REF!,"AAAAAHTenUE=")</f>
        <v>#REF!</v>
      </c>
      <c r="BO290" t="e">
        <f>AND('Additional Services'!#REF!,"AAAAAHTenUI=")</f>
        <v>#REF!</v>
      </c>
      <c r="BP290" t="e">
        <f>AND('Additional Services'!#REF!,"AAAAAHTenUM=")</f>
        <v>#REF!</v>
      </c>
      <c r="BQ290" t="e">
        <f>AND('Additional Services'!#REF!,"AAAAAHTenUQ=")</f>
        <v>#REF!</v>
      </c>
      <c r="BR290" t="e">
        <f>AND('Additional Services'!#REF!,"AAAAAHTenUU=")</f>
        <v>#REF!</v>
      </c>
      <c r="BS290" t="e">
        <f>AND('Additional Services'!#REF!,"AAAAAHTenUY=")</f>
        <v>#REF!</v>
      </c>
      <c r="BT290">
        <f>IF('Additional Services'!150:150,"AAAAAHTenUc=",0)</f>
        <v>0</v>
      </c>
      <c r="BU290" t="e">
        <f>AND('Additional Services'!#REF!,"AAAAAHTenUg=")</f>
        <v>#REF!</v>
      </c>
      <c r="BV290" t="e">
        <f>AND('Additional Services'!A150,"AAAAAHTenUk=")</f>
        <v>#VALUE!</v>
      </c>
      <c r="BW290" t="e">
        <f>AND('Additional Services'!B150,"AAAAAHTenUo=")</f>
        <v>#VALUE!</v>
      </c>
      <c r="BX290" t="e">
        <f>AND('Additional Services'!C150,"AAAAAHTenUs=")</f>
        <v>#VALUE!</v>
      </c>
      <c r="BY290" t="e">
        <f>AND('Additional Services'!D150,"AAAAAHTenUw=")</f>
        <v>#VALUE!</v>
      </c>
      <c r="BZ290" t="e">
        <f>AND('Additional Services'!#REF!,"AAAAAHTenU0=")</f>
        <v>#REF!</v>
      </c>
      <c r="CA290" t="e">
        <f>AND('Additional Services'!#REF!,"AAAAAHTenU4=")</f>
        <v>#REF!</v>
      </c>
      <c r="CB290" t="e">
        <f>AND('Additional Services'!#REF!,"AAAAAHTenU8=")</f>
        <v>#REF!</v>
      </c>
      <c r="CC290" t="e">
        <f>AND('Additional Services'!K150,"AAAAAHTenVA=")</f>
        <v>#VALUE!</v>
      </c>
      <c r="CD290" t="e">
        <f>AND('Additional Services'!L150,"AAAAAHTenVE=")</f>
        <v>#VALUE!</v>
      </c>
      <c r="CE290" t="e">
        <f>AND('Additional Services'!M150,"AAAAAHTenVI=")</f>
        <v>#VALUE!</v>
      </c>
      <c r="CF290" t="e">
        <f>AND('Additional Services'!H150,"AAAAAHTenVM=")</f>
        <v>#VALUE!</v>
      </c>
      <c r="CG290" t="e">
        <f>AND('Additional Services'!I150,"AAAAAHTenVQ=")</f>
        <v>#VALUE!</v>
      </c>
      <c r="CH290">
        <f>IF('Additional Services'!151:151,"AAAAAHTenVU=",0)</f>
        <v>0</v>
      </c>
      <c r="CI290" t="e">
        <f>AND('Additional Services'!#REF!,"AAAAAHTenVY=")</f>
        <v>#REF!</v>
      </c>
      <c r="CJ290" t="e">
        <f>AND('Additional Services'!A151,"AAAAAHTenVc=")</f>
        <v>#VALUE!</v>
      </c>
      <c r="CK290" t="e">
        <f>AND('Additional Services'!B151,"AAAAAHTenVg=")</f>
        <v>#VALUE!</v>
      </c>
      <c r="CL290" t="e">
        <f>AND('Additional Services'!C151,"AAAAAHTenVk=")</f>
        <v>#VALUE!</v>
      </c>
      <c r="CM290" t="e">
        <f>AND('Additional Services'!D151,"AAAAAHTenVo=")</f>
        <v>#VALUE!</v>
      </c>
      <c r="CN290" t="e">
        <f>AND('Additional Services'!#REF!,"AAAAAHTenVs=")</f>
        <v>#REF!</v>
      </c>
      <c r="CO290" t="e">
        <f>AND('Additional Services'!#REF!,"AAAAAHTenVw=")</f>
        <v>#REF!</v>
      </c>
      <c r="CP290" t="e">
        <f>AND('Additional Services'!#REF!,"AAAAAHTenV0=")</f>
        <v>#REF!</v>
      </c>
      <c r="CQ290" t="e">
        <f>AND('Additional Services'!K151,"AAAAAHTenV4=")</f>
        <v>#VALUE!</v>
      </c>
      <c r="CR290" t="e">
        <f>AND('Additional Services'!L151,"AAAAAHTenV8=")</f>
        <v>#VALUE!</v>
      </c>
      <c r="CS290" t="e">
        <f>AND('Additional Services'!M151,"AAAAAHTenWA=")</f>
        <v>#VALUE!</v>
      </c>
      <c r="CT290" t="e">
        <f>AND('Additional Services'!H151,"AAAAAHTenWE=")</f>
        <v>#VALUE!</v>
      </c>
      <c r="CU290" t="e">
        <f>AND('Additional Services'!I151,"AAAAAHTenWI=")</f>
        <v>#VALUE!</v>
      </c>
      <c r="CV290">
        <f>IF('Additional Services'!152:152,"AAAAAHTenWM=",0)</f>
        <v>0</v>
      </c>
      <c r="CW290" t="e">
        <f>AND('Additional Services'!#REF!,"AAAAAHTenWQ=")</f>
        <v>#REF!</v>
      </c>
      <c r="CX290" t="e">
        <f>AND('Additional Services'!A152,"AAAAAHTenWU=")</f>
        <v>#VALUE!</v>
      </c>
      <c r="CY290" t="e">
        <f>AND('Additional Services'!B152,"AAAAAHTenWY=")</f>
        <v>#VALUE!</v>
      </c>
      <c r="CZ290" t="e">
        <f>AND('Additional Services'!C152,"AAAAAHTenWc=")</f>
        <v>#VALUE!</v>
      </c>
      <c r="DA290" t="e">
        <f>AND('Additional Services'!D152,"AAAAAHTenWg=")</f>
        <v>#VALUE!</v>
      </c>
      <c r="DB290" t="e">
        <f>AND('Additional Services'!#REF!,"AAAAAHTenWk=")</f>
        <v>#REF!</v>
      </c>
      <c r="DC290" t="e">
        <f>AND('Additional Services'!#REF!,"AAAAAHTenWo=")</f>
        <v>#REF!</v>
      </c>
      <c r="DD290" t="e">
        <f>AND('Additional Services'!#REF!,"AAAAAHTenWs=")</f>
        <v>#REF!</v>
      </c>
      <c r="DE290" t="e">
        <f>AND('Additional Services'!K152,"AAAAAHTenWw=")</f>
        <v>#VALUE!</v>
      </c>
      <c r="DF290" t="e">
        <f>AND('Additional Services'!L152,"AAAAAHTenW0=")</f>
        <v>#VALUE!</v>
      </c>
      <c r="DG290" t="e">
        <f>AND('Additional Services'!M152,"AAAAAHTenW4=")</f>
        <v>#VALUE!</v>
      </c>
      <c r="DH290" t="e">
        <f>AND('Additional Services'!H152,"AAAAAHTenW8=")</f>
        <v>#VALUE!</v>
      </c>
      <c r="DI290" t="e">
        <f>AND('Additional Services'!I152,"AAAAAHTenXA=")</f>
        <v>#VALUE!</v>
      </c>
      <c r="DJ290">
        <f>IF('Additional Services'!153:153,"AAAAAHTenXE=",0)</f>
        <v>0</v>
      </c>
      <c r="DK290" t="e">
        <f>AND('Additional Services'!#REF!,"AAAAAHTenXI=")</f>
        <v>#REF!</v>
      </c>
      <c r="DL290" t="e">
        <f>AND('Additional Services'!A153,"AAAAAHTenXM=")</f>
        <v>#VALUE!</v>
      </c>
      <c r="DM290" t="e">
        <f>AND('Additional Services'!B153,"AAAAAHTenXQ=")</f>
        <v>#VALUE!</v>
      </c>
      <c r="DN290" t="e">
        <f>AND('Additional Services'!C153,"AAAAAHTenXU=")</f>
        <v>#VALUE!</v>
      </c>
      <c r="DO290" t="e">
        <f>AND('Additional Services'!D153,"AAAAAHTenXY=")</f>
        <v>#VALUE!</v>
      </c>
      <c r="DP290" t="e">
        <f>AND('Additional Services'!#REF!,"AAAAAHTenXc=")</f>
        <v>#REF!</v>
      </c>
      <c r="DQ290" t="e">
        <f>AND('Additional Services'!#REF!,"AAAAAHTenXg=")</f>
        <v>#REF!</v>
      </c>
      <c r="DR290" t="e">
        <f>AND('Additional Services'!#REF!,"AAAAAHTenXk=")</f>
        <v>#REF!</v>
      </c>
      <c r="DS290" t="e">
        <f>AND('Additional Services'!K153,"AAAAAHTenXo=")</f>
        <v>#VALUE!</v>
      </c>
      <c r="DT290" t="e">
        <f>AND('Additional Services'!L153,"AAAAAHTenXs=")</f>
        <v>#VALUE!</v>
      </c>
      <c r="DU290" t="e">
        <f>AND('Additional Services'!M153,"AAAAAHTenXw=")</f>
        <v>#VALUE!</v>
      </c>
      <c r="DV290" t="e">
        <f>AND('Additional Services'!H153,"AAAAAHTenX0=")</f>
        <v>#VALUE!</v>
      </c>
      <c r="DW290" t="e">
        <f>AND('Additional Services'!I153,"AAAAAHTenX4=")</f>
        <v>#VALUE!</v>
      </c>
      <c r="DX290">
        <f>IF('Additional Services'!154:154,"AAAAAHTenX8=",0)</f>
        <v>0</v>
      </c>
      <c r="DY290" t="e">
        <f>AND('Additional Services'!#REF!,"AAAAAHTenYA=")</f>
        <v>#REF!</v>
      </c>
      <c r="DZ290" t="e">
        <f>AND('Additional Services'!A154,"AAAAAHTenYE=")</f>
        <v>#VALUE!</v>
      </c>
      <c r="EA290" t="e">
        <f>AND('Additional Services'!B154,"AAAAAHTenYI=")</f>
        <v>#VALUE!</v>
      </c>
      <c r="EB290" t="e">
        <f>AND('Additional Services'!C154,"AAAAAHTenYM=")</f>
        <v>#VALUE!</v>
      </c>
      <c r="EC290" t="e">
        <f>AND('Additional Services'!D154,"AAAAAHTenYQ=")</f>
        <v>#VALUE!</v>
      </c>
      <c r="ED290" t="e">
        <f>AND('Additional Services'!#REF!,"AAAAAHTenYU=")</f>
        <v>#REF!</v>
      </c>
      <c r="EE290" t="e">
        <f>AND('Additional Services'!#REF!,"AAAAAHTenYY=")</f>
        <v>#REF!</v>
      </c>
      <c r="EF290" t="e">
        <f>AND('Additional Services'!#REF!,"AAAAAHTenYc=")</f>
        <v>#REF!</v>
      </c>
      <c r="EG290" t="e">
        <f>AND('Additional Services'!K154,"AAAAAHTenYg=")</f>
        <v>#VALUE!</v>
      </c>
      <c r="EH290" t="e">
        <f>AND('Additional Services'!L154,"AAAAAHTenYk=")</f>
        <v>#VALUE!</v>
      </c>
      <c r="EI290" t="e">
        <f>AND('Additional Services'!M154,"AAAAAHTenYo=")</f>
        <v>#VALUE!</v>
      </c>
      <c r="EJ290" t="e">
        <f>AND('Additional Services'!H154,"AAAAAHTenYs=")</f>
        <v>#VALUE!</v>
      </c>
      <c r="EK290" t="e">
        <f>AND('Additional Services'!I154,"AAAAAHTenYw=")</f>
        <v>#VALUE!</v>
      </c>
      <c r="EL290">
        <f>IF('Additional Services'!155:155,"AAAAAHTenY0=",0)</f>
        <v>0</v>
      </c>
      <c r="EM290" t="e">
        <f>AND('Additional Services'!#REF!,"AAAAAHTenY4=")</f>
        <v>#REF!</v>
      </c>
      <c r="EN290" t="e">
        <f>AND('Additional Services'!A155,"AAAAAHTenY8=")</f>
        <v>#VALUE!</v>
      </c>
      <c r="EO290" t="e">
        <f>AND('Additional Services'!B155,"AAAAAHTenZA=")</f>
        <v>#VALUE!</v>
      </c>
      <c r="EP290" t="e">
        <f>AND('Additional Services'!C155,"AAAAAHTenZE=")</f>
        <v>#VALUE!</v>
      </c>
      <c r="EQ290" t="e">
        <f>AND('Additional Services'!D155,"AAAAAHTenZI=")</f>
        <v>#VALUE!</v>
      </c>
      <c r="ER290" t="e">
        <f>AND('Additional Services'!#REF!,"AAAAAHTenZM=")</f>
        <v>#REF!</v>
      </c>
      <c r="ES290" t="e">
        <f>AND('Additional Services'!#REF!,"AAAAAHTenZQ=")</f>
        <v>#REF!</v>
      </c>
      <c r="ET290" t="e">
        <f>AND('Additional Services'!#REF!,"AAAAAHTenZU=")</f>
        <v>#REF!</v>
      </c>
      <c r="EU290" t="e">
        <f>AND('Additional Services'!K155,"AAAAAHTenZY=")</f>
        <v>#VALUE!</v>
      </c>
      <c r="EV290" t="e">
        <f>AND('Additional Services'!L155,"AAAAAHTenZc=")</f>
        <v>#VALUE!</v>
      </c>
      <c r="EW290" t="e">
        <f>AND('Additional Services'!M155,"AAAAAHTenZg=")</f>
        <v>#VALUE!</v>
      </c>
      <c r="EX290" t="e">
        <f>AND('Additional Services'!H155,"AAAAAHTenZk=")</f>
        <v>#VALUE!</v>
      </c>
      <c r="EY290" t="e">
        <f>AND('Additional Services'!I155,"AAAAAHTenZo=")</f>
        <v>#VALUE!</v>
      </c>
      <c r="EZ290">
        <f>IF('Additional Services'!156:156,"AAAAAHTenZs=",0)</f>
        <v>0</v>
      </c>
      <c r="FA290" t="e">
        <f>AND('Additional Services'!#REF!,"AAAAAHTenZw=")</f>
        <v>#REF!</v>
      </c>
      <c r="FB290" t="e">
        <f>AND('Additional Services'!A156,"AAAAAHTenZ0=")</f>
        <v>#VALUE!</v>
      </c>
      <c r="FC290" t="e">
        <f>AND('Additional Services'!B156,"AAAAAHTenZ4=")</f>
        <v>#VALUE!</v>
      </c>
      <c r="FD290" t="e">
        <f>AND('Additional Services'!C156,"AAAAAHTenZ8=")</f>
        <v>#VALUE!</v>
      </c>
      <c r="FE290" t="e">
        <f>AND('Additional Services'!D156,"AAAAAHTenaA=")</f>
        <v>#VALUE!</v>
      </c>
      <c r="FF290" t="e">
        <f>AND('Additional Services'!#REF!,"AAAAAHTenaE=")</f>
        <v>#REF!</v>
      </c>
      <c r="FG290" t="e">
        <f>AND('Additional Services'!#REF!,"AAAAAHTenaI=")</f>
        <v>#REF!</v>
      </c>
      <c r="FH290" t="e">
        <f>AND('Additional Services'!#REF!,"AAAAAHTenaM=")</f>
        <v>#REF!</v>
      </c>
      <c r="FI290" t="e">
        <f>AND('Additional Services'!K156,"AAAAAHTenaQ=")</f>
        <v>#VALUE!</v>
      </c>
      <c r="FJ290" t="e">
        <f>AND('Additional Services'!L156,"AAAAAHTenaU=")</f>
        <v>#VALUE!</v>
      </c>
      <c r="FK290" t="e">
        <f>AND('Additional Services'!M156,"AAAAAHTenaY=")</f>
        <v>#VALUE!</v>
      </c>
      <c r="FL290" t="e">
        <f>AND('Additional Services'!H156,"AAAAAHTenac=")</f>
        <v>#VALUE!</v>
      </c>
      <c r="FM290" t="e">
        <f>AND('Additional Services'!I156,"AAAAAHTenag=")</f>
        <v>#VALUE!</v>
      </c>
      <c r="FN290">
        <f>IF('Additional Services'!157:157,"AAAAAHTenak=",0)</f>
        <v>0</v>
      </c>
      <c r="FO290" t="e">
        <f>AND('Additional Services'!#REF!,"AAAAAHTenao=")</f>
        <v>#REF!</v>
      </c>
      <c r="FP290" t="e">
        <f>AND('Additional Services'!A157,"AAAAAHTenas=")</f>
        <v>#VALUE!</v>
      </c>
      <c r="FQ290" t="e">
        <f>AND('Additional Services'!B157,"AAAAAHTenaw=")</f>
        <v>#VALUE!</v>
      </c>
      <c r="FR290" t="e">
        <f>AND('Additional Services'!C157,"AAAAAHTena0=")</f>
        <v>#VALUE!</v>
      </c>
      <c r="FS290" t="e">
        <f>AND('Additional Services'!D157,"AAAAAHTena4=")</f>
        <v>#VALUE!</v>
      </c>
      <c r="FT290" t="e">
        <f>AND('Additional Services'!#REF!,"AAAAAHTena8=")</f>
        <v>#REF!</v>
      </c>
      <c r="FU290" t="e">
        <f>AND('Additional Services'!#REF!,"AAAAAHTenbA=")</f>
        <v>#REF!</v>
      </c>
      <c r="FV290" t="e">
        <f>AND('Additional Services'!#REF!,"AAAAAHTenbE=")</f>
        <v>#REF!</v>
      </c>
      <c r="FW290" t="e">
        <f>AND('Additional Services'!K157,"AAAAAHTenbI=")</f>
        <v>#VALUE!</v>
      </c>
      <c r="FX290" t="e">
        <f>AND('Additional Services'!L157,"AAAAAHTenbM=")</f>
        <v>#VALUE!</v>
      </c>
      <c r="FY290" t="e">
        <f>AND('Additional Services'!M157,"AAAAAHTenbQ=")</f>
        <v>#VALUE!</v>
      </c>
      <c r="FZ290" t="e">
        <f>AND('Additional Services'!H157,"AAAAAHTenbU=")</f>
        <v>#VALUE!</v>
      </c>
      <c r="GA290" t="e">
        <f>AND('Additional Services'!I157,"AAAAAHTenbY=")</f>
        <v>#VALUE!</v>
      </c>
      <c r="GB290">
        <f>IF('Additional Services'!158:158,"AAAAAHTenbc=",0)</f>
        <v>0</v>
      </c>
      <c r="GC290" t="e">
        <f>AND('Additional Services'!#REF!,"AAAAAHTenbg=")</f>
        <v>#REF!</v>
      </c>
      <c r="GD290" t="e">
        <f>AND('Additional Services'!A158,"AAAAAHTenbk=")</f>
        <v>#VALUE!</v>
      </c>
      <c r="GE290" t="e">
        <f>AND('Additional Services'!B158,"AAAAAHTenbo=")</f>
        <v>#VALUE!</v>
      </c>
      <c r="GF290" t="e">
        <f>AND('Additional Services'!C158,"AAAAAHTenbs=")</f>
        <v>#VALUE!</v>
      </c>
      <c r="GG290" t="e">
        <f>AND('Additional Services'!D158,"AAAAAHTenbw=")</f>
        <v>#VALUE!</v>
      </c>
      <c r="GH290" t="e">
        <f>AND('Additional Services'!#REF!,"AAAAAHTenb0=")</f>
        <v>#REF!</v>
      </c>
      <c r="GI290" t="e">
        <f>AND('Additional Services'!#REF!,"AAAAAHTenb4=")</f>
        <v>#REF!</v>
      </c>
      <c r="GJ290" t="e">
        <f>AND('Additional Services'!#REF!,"AAAAAHTenb8=")</f>
        <v>#REF!</v>
      </c>
      <c r="GK290" t="e">
        <f>AND('Additional Services'!K158,"AAAAAHTencA=")</f>
        <v>#VALUE!</v>
      </c>
      <c r="GL290" t="e">
        <f>AND('Additional Services'!L158,"AAAAAHTencE=")</f>
        <v>#VALUE!</v>
      </c>
      <c r="GM290" t="e">
        <f>AND('Additional Services'!M158,"AAAAAHTencI=")</f>
        <v>#VALUE!</v>
      </c>
      <c r="GN290" t="e">
        <f>AND('Additional Services'!H158,"AAAAAHTencM=")</f>
        <v>#VALUE!</v>
      </c>
      <c r="GO290" t="e">
        <f>AND('Additional Services'!I158,"AAAAAHTencQ=")</f>
        <v>#VALUE!</v>
      </c>
      <c r="GP290">
        <f>IF('Additional Services'!159:159,"AAAAAHTencU=",0)</f>
        <v>0</v>
      </c>
      <c r="GQ290" t="e">
        <f>AND('Additional Services'!#REF!,"AAAAAHTencY=")</f>
        <v>#REF!</v>
      </c>
      <c r="GR290" t="e">
        <f>AND('Additional Services'!A159,"AAAAAHTencc=")</f>
        <v>#VALUE!</v>
      </c>
      <c r="GS290" t="e">
        <f>AND('Additional Services'!B159,"AAAAAHTencg=")</f>
        <v>#VALUE!</v>
      </c>
      <c r="GT290" t="e">
        <f>AND('Additional Services'!C159,"AAAAAHTenck=")</f>
        <v>#VALUE!</v>
      </c>
      <c r="GU290" t="e">
        <f>AND('Additional Services'!D159,"AAAAAHTenco=")</f>
        <v>#VALUE!</v>
      </c>
      <c r="GV290" t="e">
        <f>AND('Additional Services'!#REF!,"AAAAAHTencs=")</f>
        <v>#REF!</v>
      </c>
      <c r="GW290" t="e">
        <f>AND('Additional Services'!#REF!,"AAAAAHTencw=")</f>
        <v>#REF!</v>
      </c>
      <c r="GX290" t="e">
        <f>AND('Additional Services'!#REF!,"AAAAAHTenc0=")</f>
        <v>#REF!</v>
      </c>
      <c r="GY290" t="e">
        <f>AND('Additional Services'!K159,"AAAAAHTenc4=")</f>
        <v>#VALUE!</v>
      </c>
      <c r="GZ290" t="e">
        <f>AND('Additional Services'!L159,"AAAAAHTenc8=")</f>
        <v>#VALUE!</v>
      </c>
      <c r="HA290" t="e">
        <f>AND('Additional Services'!M159,"AAAAAHTendA=")</f>
        <v>#VALUE!</v>
      </c>
      <c r="HB290" t="e">
        <f>AND('Additional Services'!H159,"AAAAAHTendE=")</f>
        <v>#VALUE!</v>
      </c>
      <c r="HC290" t="e">
        <f>AND('Additional Services'!I159,"AAAAAHTendI=")</f>
        <v>#VALUE!</v>
      </c>
      <c r="HD290">
        <f>IF('Additional Services'!160:160,"AAAAAHTendM=",0)</f>
        <v>0</v>
      </c>
      <c r="HE290" t="e">
        <f>AND('Additional Services'!#REF!,"AAAAAHTendQ=")</f>
        <v>#REF!</v>
      </c>
      <c r="HF290" t="e">
        <f>AND('Additional Services'!A160,"AAAAAHTendU=")</f>
        <v>#VALUE!</v>
      </c>
      <c r="HG290" t="e">
        <f>AND('Additional Services'!B160,"AAAAAHTendY=")</f>
        <v>#VALUE!</v>
      </c>
      <c r="HH290" t="e">
        <f>AND('Additional Services'!C160,"AAAAAHTendc=")</f>
        <v>#VALUE!</v>
      </c>
      <c r="HI290" t="e">
        <f>AND('Additional Services'!D160,"AAAAAHTendg=")</f>
        <v>#VALUE!</v>
      </c>
      <c r="HJ290" t="e">
        <f>AND('Additional Services'!#REF!,"AAAAAHTendk=")</f>
        <v>#REF!</v>
      </c>
      <c r="HK290" t="e">
        <f>AND('Additional Services'!#REF!,"AAAAAHTendo=")</f>
        <v>#REF!</v>
      </c>
      <c r="HL290" t="e">
        <f>AND('Additional Services'!#REF!,"AAAAAHTends=")</f>
        <v>#REF!</v>
      </c>
      <c r="HM290" t="e">
        <f>AND('Additional Services'!K160,"AAAAAHTendw=")</f>
        <v>#VALUE!</v>
      </c>
      <c r="HN290" t="e">
        <f>AND('Additional Services'!L160,"AAAAAHTend0=")</f>
        <v>#VALUE!</v>
      </c>
      <c r="HO290" t="e">
        <f>AND('Additional Services'!M160,"AAAAAHTend4=")</f>
        <v>#VALUE!</v>
      </c>
      <c r="HP290" t="e">
        <f>AND('Additional Services'!H160,"AAAAAHTend8=")</f>
        <v>#VALUE!</v>
      </c>
      <c r="HQ290" t="e">
        <f>AND('Additional Services'!I160,"AAAAAHTeneA=")</f>
        <v>#VALUE!</v>
      </c>
      <c r="HR290">
        <f>IF('Additional Services'!161:161,"AAAAAHTeneE=",0)</f>
        <v>0</v>
      </c>
      <c r="HS290" t="e">
        <f>AND('Additional Services'!#REF!,"AAAAAHTeneI=")</f>
        <v>#REF!</v>
      </c>
      <c r="HT290" t="e">
        <f>AND('Additional Services'!A161,"AAAAAHTeneM=")</f>
        <v>#VALUE!</v>
      </c>
      <c r="HU290" t="e">
        <f>AND('Additional Services'!B161,"AAAAAHTeneQ=")</f>
        <v>#VALUE!</v>
      </c>
      <c r="HV290" t="e">
        <f>AND('Additional Services'!C161,"AAAAAHTeneU=")</f>
        <v>#VALUE!</v>
      </c>
      <c r="HW290" t="e">
        <f>AND('Additional Services'!D161,"AAAAAHTeneY=")</f>
        <v>#VALUE!</v>
      </c>
      <c r="HX290" t="e">
        <f>AND('Additional Services'!#REF!,"AAAAAHTenec=")</f>
        <v>#REF!</v>
      </c>
      <c r="HY290" t="e">
        <f>AND('Additional Services'!#REF!,"AAAAAHTeneg=")</f>
        <v>#REF!</v>
      </c>
      <c r="HZ290" t="e">
        <f>AND('Additional Services'!#REF!,"AAAAAHTenek=")</f>
        <v>#REF!</v>
      </c>
      <c r="IA290" t="e">
        <f>AND('Additional Services'!K161,"AAAAAHTeneo=")</f>
        <v>#VALUE!</v>
      </c>
      <c r="IB290" t="e">
        <f>AND('Additional Services'!L161,"AAAAAHTenes=")</f>
        <v>#VALUE!</v>
      </c>
      <c r="IC290" t="e">
        <f>AND('Additional Services'!M161,"AAAAAHTenew=")</f>
        <v>#VALUE!</v>
      </c>
      <c r="ID290" t="e">
        <f>AND('Additional Services'!H161,"AAAAAHTene0=")</f>
        <v>#VALUE!</v>
      </c>
      <c r="IE290" t="e">
        <f>AND('Additional Services'!I161,"AAAAAHTene4=")</f>
        <v>#VALUE!</v>
      </c>
      <c r="IF290">
        <f>IF('Additional Services'!162:162,"AAAAAHTene8=",0)</f>
        <v>0</v>
      </c>
      <c r="IG290" t="e">
        <f>AND('Additional Services'!#REF!,"AAAAAHTenfA=")</f>
        <v>#REF!</v>
      </c>
      <c r="IH290" t="e">
        <f>AND('Additional Services'!A162,"AAAAAHTenfE=")</f>
        <v>#VALUE!</v>
      </c>
      <c r="II290" t="e">
        <f>AND('Additional Services'!B162,"AAAAAHTenfI=")</f>
        <v>#VALUE!</v>
      </c>
      <c r="IJ290" t="e">
        <f>AND('Additional Services'!C162,"AAAAAHTenfM=")</f>
        <v>#VALUE!</v>
      </c>
      <c r="IK290" t="e">
        <f>AND('Additional Services'!D162,"AAAAAHTenfQ=")</f>
        <v>#VALUE!</v>
      </c>
      <c r="IL290" t="e">
        <f>AND('Additional Services'!#REF!,"AAAAAHTenfU=")</f>
        <v>#REF!</v>
      </c>
      <c r="IM290" t="e">
        <f>AND('Additional Services'!#REF!,"AAAAAHTenfY=")</f>
        <v>#REF!</v>
      </c>
      <c r="IN290" t="e">
        <f>AND('Additional Services'!#REF!,"AAAAAHTenfc=")</f>
        <v>#REF!</v>
      </c>
      <c r="IO290" t="e">
        <f>AND('Additional Services'!K162,"AAAAAHTenfg=")</f>
        <v>#VALUE!</v>
      </c>
      <c r="IP290" t="e">
        <f>AND('Additional Services'!L162,"AAAAAHTenfk=")</f>
        <v>#VALUE!</v>
      </c>
      <c r="IQ290" t="e">
        <f>AND('Additional Services'!M162,"AAAAAHTenfo=")</f>
        <v>#VALUE!</v>
      </c>
      <c r="IR290" t="e">
        <f>AND('Additional Services'!H162,"AAAAAHTenfs=")</f>
        <v>#VALUE!</v>
      </c>
      <c r="IS290" t="e">
        <f>AND('Additional Services'!I162,"AAAAAHTenfw=")</f>
        <v>#VALUE!</v>
      </c>
      <c r="IT290">
        <f>IF('Additional Services'!163:163,"AAAAAHTenf0=",0)</f>
        <v>0</v>
      </c>
      <c r="IU290" t="e">
        <f>AND('Additional Services'!#REF!,"AAAAAHTenf4=")</f>
        <v>#REF!</v>
      </c>
      <c r="IV290" t="e">
        <f>AND('Additional Services'!A163,"AAAAAHTenf8=")</f>
        <v>#VALUE!</v>
      </c>
    </row>
    <row r="291" spans="1:256" x14ac:dyDescent="0.2">
      <c r="A291" t="e">
        <f>AND('Additional Services'!B163,"AAAAAHvOWwA=")</f>
        <v>#VALUE!</v>
      </c>
      <c r="B291" t="e">
        <f>AND('Additional Services'!C163,"AAAAAHvOWwE=")</f>
        <v>#VALUE!</v>
      </c>
      <c r="C291" t="e">
        <f>AND('Additional Services'!D163,"AAAAAHvOWwI=")</f>
        <v>#VALUE!</v>
      </c>
      <c r="D291" t="e">
        <f>AND('Additional Services'!#REF!,"AAAAAHvOWwM=")</f>
        <v>#REF!</v>
      </c>
      <c r="E291" t="e">
        <f>AND('Additional Services'!#REF!,"AAAAAHvOWwQ=")</f>
        <v>#REF!</v>
      </c>
      <c r="F291" t="e">
        <f>AND('Additional Services'!#REF!,"AAAAAHvOWwU=")</f>
        <v>#REF!</v>
      </c>
      <c r="G291" t="e">
        <f>AND('Additional Services'!K163,"AAAAAHvOWwY=")</f>
        <v>#VALUE!</v>
      </c>
      <c r="H291" t="e">
        <f>AND('Additional Services'!L163,"AAAAAHvOWwc=")</f>
        <v>#VALUE!</v>
      </c>
      <c r="I291" t="e">
        <f>AND('Additional Services'!M163,"AAAAAHvOWwg=")</f>
        <v>#VALUE!</v>
      </c>
      <c r="J291" t="e">
        <f>AND('Additional Services'!H163,"AAAAAHvOWwk=")</f>
        <v>#VALUE!</v>
      </c>
      <c r="K291" t="e">
        <f>AND('Additional Services'!I163,"AAAAAHvOWwo=")</f>
        <v>#VALUE!</v>
      </c>
      <c r="L291">
        <f>IF('Additional Services'!164:164,"AAAAAHvOWws=",0)</f>
        <v>0</v>
      </c>
      <c r="M291" t="e">
        <f>AND('Additional Services'!#REF!,"AAAAAHvOWww=")</f>
        <v>#REF!</v>
      </c>
      <c r="N291" t="e">
        <f>AND('Additional Services'!A164,"AAAAAHvOWw0=")</f>
        <v>#VALUE!</v>
      </c>
      <c r="O291" t="e">
        <f>AND('Additional Services'!B164,"AAAAAHvOWw4=")</f>
        <v>#VALUE!</v>
      </c>
      <c r="P291" t="e">
        <f>AND('Additional Services'!C164,"AAAAAHvOWw8=")</f>
        <v>#VALUE!</v>
      </c>
      <c r="Q291" t="e">
        <f>AND('Additional Services'!D164,"AAAAAHvOWxA=")</f>
        <v>#VALUE!</v>
      </c>
      <c r="R291" t="e">
        <f>AND('Additional Services'!#REF!,"AAAAAHvOWxE=")</f>
        <v>#REF!</v>
      </c>
      <c r="S291" t="e">
        <f>AND('Additional Services'!#REF!,"AAAAAHvOWxI=")</f>
        <v>#REF!</v>
      </c>
      <c r="T291" t="e">
        <f>AND('Additional Services'!#REF!,"AAAAAHvOWxM=")</f>
        <v>#REF!</v>
      </c>
      <c r="U291" t="e">
        <f>AND('Additional Services'!K164,"AAAAAHvOWxQ=")</f>
        <v>#VALUE!</v>
      </c>
      <c r="V291" t="e">
        <f>AND('Additional Services'!L164,"AAAAAHvOWxU=")</f>
        <v>#VALUE!</v>
      </c>
      <c r="W291" t="e">
        <f>AND('Additional Services'!M164,"AAAAAHvOWxY=")</f>
        <v>#VALUE!</v>
      </c>
      <c r="X291" t="e">
        <f>AND('Additional Services'!H164,"AAAAAHvOWxc=")</f>
        <v>#VALUE!</v>
      </c>
      <c r="Y291" t="e">
        <f>AND('Additional Services'!I164,"AAAAAHvOWxg=")</f>
        <v>#VALUE!</v>
      </c>
      <c r="Z291">
        <f>IF('Additional Services'!165:165,"AAAAAHvOWxk=",0)</f>
        <v>0</v>
      </c>
      <c r="AA291" t="e">
        <f>AND('Additional Services'!#REF!,"AAAAAHvOWxo=")</f>
        <v>#REF!</v>
      </c>
      <c r="AB291" t="e">
        <f>AND('Additional Services'!A165,"AAAAAHvOWxs=")</f>
        <v>#VALUE!</v>
      </c>
      <c r="AC291" t="e">
        <f>AND('Additional Services'!B165,"AAAAAHvOWxw=")</f>
        <v>#VALUE!</v>
      </c>
      <c r="AD291" t="e">
        <f>AND('Additional Services'!C165,"AAAAAHvOWx0=")</f>
        <v>#VALUE!</v>
      </c>
      <c r="AE291" t="e">
        <f>AND('Additional Services'!D165,"AAAAAHvOWx4=")</f>
        <v>#VALUE!</v>
      </c>
      <c r="AF291" t="e">
        <f>AND('Additional Services'!#REF!,"AAAAAHvOWx8=")</f>
        <v>#REF!</v>
      </c>
      <c r="AG291" t="e">
        <f>AND('Additional Services'!#REF!,"AAAAAHvOWyA=")</f>
        <v>#REF!</v>
      </c>
      <c r="AH291" t="e">
        <f>AND('Additional Services'!#REF!,"AAAAAHvOWyE=")</f>
        <v>#REF!</v>
      </c>
      <c r="AI291" t="e">
        <f>AND('Additional Services'!K165,"AAAAAHvOWyI=")</f>
        <v>#VALUE!</v>
      </c>
      <c r="AJ291" t="e">
        <f>AND('Additional Services'!L165,"AAAAAHvOWyM=")</f>
        <v>#VALUE!</v>
      </c>
      <c r="AK291" t="e">
        <f>AND('Additional Services'!M165,"AAAAAHvOWyQ=")</f>
        <v>#VALUE!</v>
      </c>
      <c r="AL291" t="e">
        <f>AND('Additional Services'!H165,"AAAAAHvOWyU=")</f>
        <v>#VALUE!</v>
      </c>
      <c r="AM291" t="e">
        <f>AND('Additional Services'!I165,"AAAAAHvOWyY=")</f>
        <v>#VALUE!</v>
      </c>
      <c r="AN291" t="e">
        <f>IF('Additional Services'!#REF!,"AAAAAHvOWyc=",0)</f>
        <v>#REF!</v>
      </c>
      <c r="AO291" t="e">
        <f>AND('Additional Services'!#REF!,"AAAAAHvOWyg=")</f>
        <v>#REF!</v>
      </c>
      <c r="AP291" t="e">
        <f>AND('Additional Services'!#REF!,"AAAAAHvOWyk=")</f>
        <v>#REF!</v>
      </c>
      <c r="AQ291" t="e">
        <f>AND('Additional Services'!#REF!,"AAAAAHvOWyo=")</f>
        <v>#REF!</v>
      </c>
      <c r="AR291" t="e">
        <f>AND('Additional Services'!#REF!,"AAAAAHvOWys=")</f>
        <v>#REF!</v>
      </c>
      <c r="AS291" t="e">
        <f>AND('Additional Services'!#REF!,"AAAAAHvOWyw=")</f>
        <v>#REF!</v>
      </c>
      <c r="AT291" t="e">
        <f>AND('Additional Services'!#REF!,"AAAAAHvOWy0=")</f>
        <v>#REF!</v>
      </c>
      <c r="AU291" t="e">
        <f>AND('Additional Services'!#REF!,"AAAAAHvOWy4=")</f>
        <v>#REF!</v>
      </c>
      <c r="AV291" t="e">
        <f>AND('Additional Services'!#REF!,"AAAAAHvOWy8=")</f>
        <v>#REF!</v>
      </c>
      <c r="AW291" t="e">
        <f>AND('Additional Services'!#REF!,"AAAAAHvOWzA=")</f>
        <v>#REF!</v>
      </c>
      <c r="AX291" t="e">
        <f>AND('Additional Services'!#REF!,"AAAAAHvOWzE=")</f>
        <v>#REF!</v>
      </c>
      <c r="AY291" t="e">
        <f>AND('Additional Services'!#REF!,"AAAAAHvOWzI=")</f>
        <v>#REF!</v>
      </c>
      <c r="AZ291" t="e">
        <f>AND('Additional Services'!#REF!,"AAAAAHvOWzM=")</f>
        <v>#REF!</v>
      </c>
      <c r="BA291" t="e">
        <f>AND('Additional Services'!#REF!,"AAAAAHvOWzQ=")</f>
        <v>#REF!</v>
      </c>
      <c r="BB291">
        <f>IF('Additional Services'!166:166,"AAAAAHvOWzU=",0)</f>
        <v>0</v>
      </c>
      <c r="BC291" t="e">
        <f>AND('Additional Services'!#REF!,"AAAAAHvOWzY=")</f>
        <v>#REF!</v>
      </c>
      <c r="BD291" t="e">
        <f>AND('Additional Services'!A166,"AAAAAHvOWzc=")</f>
        <v>#VALUE!</v>
      </c>
      <c r="BE291" t="e">
        <f>AND('Additional Services'!B166,"AAAAAHvOWzg=")</f>
        <v>#VALUE!</v>
      </c>
      <c r="BF291" t="e">
        <f>AND('Additional Services'!C166,"AAAAAHvOWzk=")</f>
        <v>#VALUE!</v>
      </c>
      <c r="BG291" t="e">
        <f>AND('Additional Services'!D166,"AAAAAHvOWzo=")</f>
        <v>#VALUE!</v>
      </c>
      <c r="BH291" t="e">
        <f>AND('Additional Services'!#REF!,"AAAAAHvOWzs=")</f>
        <v>#REF!</v>
      </c>
      <c r="BI291" t="e">
        <f>AND('Additional Services'!#REF!,"AAAAAHvOWzw=")</f>
        <v>#REF!</v>
      </c>
      <c r="BJ291" t="e">
        <f>AND('Additional Services'!#REF!,"AAAAAHvOWz0=")</f>
        <v>#REF!</v>
      </c>
      <c r="BK291" t="e">
        <f>AND('Additional Services'!K166,"AAAAAHvOWz4=")</f>
        <v>#VALUE!</v>
      </c>
      <c r="BL291" t="e">
        <f>AND('Additional Services'!L166,"AAAAAHvOWz8=")</f>
        <v>#VALUE!</v>
      </c>
      <c r="BM291" t="e">
        <f>AND('Additional Services'!M166,"AAAAAHvOW0A=")</f>
        <v>#VALUE!</v>
      </c>
      <c r="BN291" t="e">
        <f>AND('Additional Services'!H166,"AAAAAHvOW0E=")</f>
        <v>#VALUE!</v>
      </c>
      <c r="BO291" t="e">
        <f>AND('Additional Services'!I166,"AAAAAHvOW0I=")</f>
        <v>#VALUE!</v>
      </c>
      <c r="BP291">
        <f>IF('Additional Services'!167:167,"AAAAAHvOW0M=",0)</f>
        <v>0</v>
      </c>
      <c r="BQ291" t="e">
        <f>AND('Additional Services'!#REF!,"AAAAAHvOW0Q=")</f>
        <v>#REF!</v>
      </c>
      <c r="BR291" t="e">
        <f>AND('Additional Services'!B167,"AAAAAHvOW0U=")</f>
        <v>#VALUE!</v>
      </c>
      <c r="BS291" t="e">
        <f>AND('Additional Services'!#REF!,"AAAAAHvOW0Y=")</f>
        <v>#REF!</v>
      </c>
      <c r="BT291" t="e">
        <f>AND('Additional Services'!C167,"AAAAAHvOW0c=")</f>
        <v>#VALUE!</v>
      </c>
      <c r="BU291" t="e">
        <f>AND('Additional Services'!D167,"AAAAAHvOW0g=")</f>
        <v>#VALUE!</v>
      </c>
      <c r="BV291" t="e">
        <f>AND('Additional Services'!#REF!,"AAAAAHvOW0k=")</f>
        <v>#REF!</v>
      </c>
      <c r="BW291" t="e">
        <f>AND('Additional Services'!#REF!,"AAAAAHvOW0o=")</f>
        <v>#REF!</v>
      </c>
      <c r="BX291" t="e">
        <f>AND('Additional Services'!#REF!,"AAAAAHvOW0s=")</f>
        <v>#REF!</v>
      </c>
      <c r="BY291" t="e">
        <f>AND('Additional Services'!K167,"AAAAAHvOW0w=")</f>
        <v>#VALUE!</v>
      </c>
      <c r="BZ291" t="e">
        <f>AND('Additional Services'!L167,"AAAAAHvOW00=")</f>
        <v>#VALUE!</v>
      </c>
      <c r="CA291" t="e">
        <f>AND('Additional Services'!M167,"AAAAAHvOW04=")</f>
        <v>#VALUE!</v>
      </c>
      <c r="CB291" t="e">
        <f>AND('Additional Services'!H167,"AAAAAHvOW08=")</f>
        <v>#VALUE!</v>
      </c>
      <c r="CC291" t="e">
        <f>AND('Additional Services'!I167,"AAAAAHvOW1A=")</f>
        <v>#VALUE!</v>
      </c>
      <c r="CD291">
        <f>IF('Additional Services'!168:168,"AAAAAHvOW1E=",0)</f>
        <v>0</v>
      </c>
      <c r="CE291" t="e">
        <f>AND('Additional Services'!#REF!,"AAAAAHvOW1I=")</f>
        <v>#REF!</v>
      </c>
      <c r="CF291" t="e">
        <f>AND('Additional Services'!B168,"AAAAAHvOW1M=")</f>
        <v>#VALUE!</v>
      </c>
      <c r="CG291" t="e">
        <f>AND('Additional Services'!#REF!,"AAAAAHvOW1Q=")</f>
        <v>#REF!</v>
      </c>
      <c r="CH291" t="e">
        <f>AND('Additional Services'!C168,"AAAAAHvOW1U=")</f>
        <v>#VALUE!</v>
      </c>
      <c r="CI291" t="e">
        <f>AND('Additional Services'!D168,"AAAAAHvOW1Y=")</f>
        <v>#VALUE!</v>
      </c>
      <c r="CJ291" t="e">
        <f>AND('Additional Services'!#REF!,"AAAAAHvOW1c=")</f>
        <v>#REF!</v>
      </c>
      <c r="CK291" t="e">
        <f>AND('Additional Services'!#REF!,"AAAAAHvOW1g=")</f>
        <v>#REF!</v>
      </c>
      <c r="CL291" t="e">
        <f>AND('Additional Services'!#REF!,"AAAAAHvOW1k=")</f>
        <v>#REF!</v>
      </c>
      <c r="CM291" t="e">
        <f>AND('Additional Services'!K168,"AAAAAHvOW1o=")</f>
        <v>#VALUE!</v>
      </c>
      <c r="CN291" t="e">
        <f>AND('Additional Services'!L168,"AAAAAHvOW1s=")</f>
        <v>#VALUE!</v>
      </c>
      <c r="CO291" t="e">
        <f>AND('Additional Services'!M168,"AAAAAHvOW1w=")</f>
        <v>#VALUE!</v>
      </c>
      <c r="CP291" t="e">
        <f>AND('Additional Services'!H168,"AAAAAHvOW10=")</f>
        <v>#VALUE!</v>
      </c>
      <c r="CQ291" t="e">
        <f>AND('Additional Services'!I168,"AAAAAHvOW14=")</f>
        <v>#VALUE!</v>
      </c>
      <c r="CR291">
        <f>IF('Additional Services'!169:169,"AAAAAHvOW18=",0)</f>
        <v>0</v>
      </c>
      <c r="CS291" t="e">
        <f>AND('Additional Services'!#REF!,"AAAAAHvOW2A=")</f>
        <v>#REF!</v>
      </c>
      <c r="CT291" t="e">
        <f>AND('Additional Services'!B169,"AAAAAHvOW2E=")</f>
        <v>#VALUE!</v>
      </c>
      <c r="CU291" t="e">
        <f>AND('Additional Services'!#REF!,"AAAAAHvOW2I=")</f>
        <v>#REF!</v>
      </c>
      <c r="CV291" t="e">
        <f>AND('Additional Services'!C169,"AAAAAHvOW2M=")</f>
        <v>#VALUE!</v>
      </c>
      <c r="CW291" t="e">
        <f>AND('Additional Services'!D169,"AAAAAHvOW2Q=")</f>
        <v>#VALUE!</v>
      </c>
      <c r="CX291" t="e">
        <f>AND('Additional Services'!#REF!,"AAAAAHvOW2U=")</f>
        <v>#REF!</v>
      </c>
      <c r="CY291" t="e">
        <f>AND('Additional Services'!#REF!,"AAAAAHvOW2Y=")</f>
        <v>#REF!</v>
      </c>
      <c r="CZ291" t="e">
        <f>AND('Additional Services'!#REF!,"AAAAAHvOW2c=")</f>
        <v>#REF!</v>
      </c>
      <c r="DA291" t="e">
        <f>AND('Additional Services'!K169,"AAAAAHvOW2g=")</f>
        <v>#VALUE!</v>
      </c>
      <c r="DB291" t="e">
        <f>AND('Additional Services'!L169,"AAAAAHvOW2k=")</f>
        <v>#VALUE!</v>
      </c>
      <c r="DC291" t="e">
        <f>AND('Additional Services'!M169,"AAAAAHvOW2o=")</f>
        <v>#VALUE!</v>
      </c>
      <c r="DD291" t="e">
        <f>AND('Additional Services'!H169,"AAAAAHvOW2s=")</f>
        <v>#VALUE!</v>
      </c>
      <c r="DE291" t="e">
        <f>AND('Additional Services'!I169,"AAAAAHvOW2w=")</f>
        <v>#VALUE!</v>
      </c>
      <c r="DF291">
        <f>IF('Additional Services'!170:170,"AAAAAHvOW20=",0)</f>
        <v>0</v>
      </c>
      <c r="DG291" t="e">
        <f>AND('Additional Services'!#REF!,"AAAAAHvOW24=")</f>
        <v>#REF!</v>
      </c>
      <c r="DH291" t="e">
        <f>AND('Additional Services'!B170,"AAAAAHvOW28=")</f>
        <v>#VALUE!</v>
      </c>
      <c r="DI291" t="e">
        <f>AND('Additional Services'!#REF!,"AAAAAHvOW3A=")</f>
        <v>#REF!</v>
      </c>
      <c r="DJ291" t="e">
        <f>AND('Additional Services'!C170,"AAAAAHvOW3E=")</f>
        <v>#VALUE!</v>
      </c>
      <c r="DK291" t="e">
        <f>AND('Additional Services'!D170,"AAAAAHvOW3I=")</f>
        <v>#VALUE!</v>
      </c>
      <c r="DL291" t="e">
        <f>AND('Additional Services'!#REF!,"AAAAAHvOW3M=")</f>
        <v>#REF!</v>
      </c>
      <c r="DM291" t="e">
        <f>AND('Additional Services'!#REF!,"AAAAAHvOW3Q=")</f>
        <v>#REF!</v>
      </c>
      <c r="DN291" t="e">
        <f>AND('Additional Services'!#REF!,"AAAAAHvOW3U=")</f>
        <v>#REF!</v>
      </c>
      <c r="DO291" t="e">
        <f>AND('Additional Services'!K170,"AAAAAHvOW3Y=")</f>
        <v>#VALUE!</v>
      </c>
      <c r="DP291" t="e">
        <f>AND('Additional Services'!L170,"AAAAAHvOW3c=")</f>
        <v>#VALUE!</v>
      </c>
      <c r="DQ291" t="e">
        <f>AND('Additional Services'!M170,"AAAAAHvOW3g=")</f>
        <v>#VALUE!</v>
      </c>
      <c r="DR291" t="e">
        <f>AND('Additional Services'!H170,"AAAAAHvOW3k=")</f>
        <v>#VALUE!</v>
      </c>
      <c r="DS291" t="e">
        <f>AND('Additional Services'!I170,"AAAAAHvOW3o=")</f>
        <v>#VALUE!</v>
      </c>
      <c r="DT291" t="e">
        <f>IF('Additional Services'!#REF!,"AAAAAHvOW3s=",0)</f>
        <v>#REF!</v>
      </c>
      <c r="DU291" t="e">
        <f>AND('Additional Services'!#REF!,"AAAAAHvOW3w=")</f>
        <v>#REF!</v>
      </c>
      <c r="DV291" t="e">
        <f>AND('Additional Services'!#REF!,"AAAAAHvOW30=")</f>
        <v>#REF!</v>
      </c>
      <c r="DW291" t="e">
        <f>AND('Additional Services'!#REF!,"AAAAAHvOW34=")</f>
        <v>#REF!</v>
      </c>
      <c r="DX291" t="e">
        <f>AND('Additional Services'!#REF!,"AAAAAHvOW38=")</f>
        <v>#REF!</v>
      </c>
      <c r="DY291" t="e">
        <f>AND('Additional Services'!#REF!,"AAAAAHvOW4A=")</f>
        <v>#REF!</v>
      </c>
      <c r="DZ291" t="e">
        <f>AND('Additional Services'!#REF!,"AAAAAHvOW4E=")</f>
        <v>#REF!</v>
      </c>
      <c r="EA291" t="e">
        <f>AND('Additional Services'!#REF!,"AAAAAHvOW4I=")</f>
        <v>#REF!</v>
      </c>
      <c r="EB291" t="e">
        <f>AND('Additional Services'!#REF!,"AAAAAHvOW4M=")</f>
        <v>#REF!</v>
      </c>
      <c r="EC291" t="e">
        <f>AND('Additional Services'!#REF!,"AAAAAHvOW4Q=")</f>
        <v>#REF!</v>
      </c>
      <c r="ED291" t="e">
        <f>AND('Additional Services'!#REF!,"AAAAAHvOW4U=")</f>
        <v>#REF!</v>
      </c>
      <c r="EE291" t="e">
        <f>AND('Additional Services'!#REF!,"AAAAAHvOW4Y=")</f>
        <v>#REF!</v>
      </c>
      <c r="EF291" t="e">
        <f>AND('Additional Services'!#REF!,"AAAAAHvOW4c=")</f>
        <v>#REF!</v>
      </c>
      <c r="EG291" t="e">
        <f>AND('Additional Services'!#REF!,"AAAAAHvOW4g=")</f>
        <v>#REF!</v>
      </c>
      <c r="EH291">
        <f>IF('Additional Services'!171:171,"AAAAAHvOW4k=",0)</f>
        <v>0</v>
      </c>
      <c r="EI291" t="e">
        <f>AND('Additional Services'!#REF!,"AAAAAHvOW4o=")</f>
        <v>#REF!</v>
      </c>
      <c r="EJ291" t="e">
        <f>AND('Additional Services'!A171,"AAAAAHvOW4s=")</f>
        <v>#VALUE!</v>
      </c>
      <c r="EK291" t="e">
        <f>AND('Additional Services'!B171,"AAAAAHvOW4w=")</f>
        <v>#VALUE!</v>
      </c>
      <c r="EL291" t="e">
        <f>AND('Additional Services'!C171,"AAAAAHvOW40=")</f>
        <v>#VALUE!</v>
      </c>
      <c r="EM291" t="e">
        <f>AND('Additional Services'!D171,"AAAAAHvOW44=")</f>
        <v>#VALUE!</v>
      </c>
      <c r="EN291" t="e">
        <f>AND('Additional Services'!#REF!,"AAAAAHvOW48=")</f>
        <v>#REF!</v>
      </c>
      <c r="EO291" t="e">
        <f>AND('Additional Services'!#REF!,"AAAAAHvOW5A=")</f>
        <v>#REF!</v>
      </c>
      <c r="EP291" t="e">
        <f>AND('Additional Services'!#REF!,"AAAAAHvOW5E=")</f>
        <v>#REF!</v>
      </c>
      <c r="EQ291" t="e">
        <f>AND('Additional Services'!K171,"AAAAAHvOW5I=")</f>
        <v>#VALUE!</v>
      </c>
      <c r="ER291" t="e">
        <f>AND('Additional Services'!L171,"AAAAAHvOW5M=")</f>
        <v>#VALUE!</v>
      </c>
      <c r="ES291" t="e">
        <f>AND('Additional Services'!M171,"AAAAAHvOW5Q=")</f>
        <v>#VALUE!</v>
      </c>
      <c r="ET291" t="e">
        <f>AND('Additional Services'!H171,"AAAAAHvOW5U=")</f>
        <v>#VALUE!</v>
      </c>
      <c r="EU291" t="e">
        <f>AND('Additional Services'!I171,"AAAAAHvOW5Y=")</f>
        <v>#VALUE!</v>
      </c>
      <c r="EV291">
        <f>IF('Additional Services'!172:172,"AAAAAHvOW5c=",0)</f>
        <v>0</v>
      </c>
      <c r="EW291" t="e">
        <f>AND('Additional Services'!#REF!,"AAAAAHvOW5g=")</f>
        <v>#REF!</v>
      </c>
      <c r="EX291" t="e">
        <f>AND('Additional Services'!B172,"AAAAAHvOW5k=")</f>
        <v>#VALUE!</v>
      </c>
      <c r="EY291" t="e">
        <f>AND('Additional Services'!#REF!,"AAAAAHvOW5o=")</f>
        <v>#REF!</v>
      </c>
      <c r="EZ291" t="e">
        <f>AND('Additional Services'!C172,"AAAAAHvOW5s=")</f>
        <v>#VALUE!</v>
      </c>
      <c r="FA291" t="e">
        <f>AND('Additional Services'!D172,"AAAAAHvOW5w=")</f>
        <v>#VALUE!</v>
      </c>
      <c r="FB291" t="e">
        <f>AND('Additional Services'!#REF!,"AAAAAHvOW50=")</f>
        <v>#REF!</v>
      </c>
      <c r="FC291" t="e">
        <f>AND('Additional Services'!#REF!,"AAAAAHvOW54=")</f>
        <v>#REF!</v>
      </c>
      <c r="FD291" t="e">
        <f>AND('Additional Services'!#REF!,"AAAAAHvOW58=")</f>
        <v>#REF!</v>
      </c>
      <c r="FE291" t="e">
        <f>AND('Additional Services'!K172,"AAAAAHvOW6A=")</f>
        <v>#VALUE!</v>
      </c>
      <c r="FF291" t="e">
        <f>AND('Additional Services'!L172,"AAAAAHvOW6E=")</f>
        <v>#VALUE!</v>
      </c>
      <c r="FG291" t="e">
        <f>AND('Additional Services'!M172,"AAAAAHvOW6I=")</f>
        <v>#VALUE!</v>
      </c>
      <c r="FH291" t="e">
        <f>AND('Additional Services'!H172,"AAAAAHvOW6M=")</f>
        <v>#VALUE!</v>
      </c>
      <c r="FI291" t="e">
        <f>AND('Additional Services'!I172,"AAAAAHvOW6Q=")</f>
        <v>#VALUE!</v>
      </c>
      <c r="FJ291">
        <f>IF('Additional Services'!173:173,"AAAAAHvOW6U=",0)</f>
        <v>0</v>
      </c>
      <c r="FK291" t="e">
        <f>AND('Additional Services'!#REF!,"AAAAAHvOW6Y=")</f>
        <v>#REF!</v>
      </c>
      <c r="FL291" t="e">
        <f>AND('Additional Services'!B173,"AAAAAHvOW6c=")</f>
        <v>#VALUE!</v>
      </c>
      <c r="FM291" t="e">
        <f>AND('Additional Services'!#REF!,"AAAAAHvOW6g=")</f>
        <v>#REF!</v>
      </c>
      <c r="FN291" t="e">
        <f>AND('Additional Services'!C173,"AAAAAHvOW6k=")</f>
        <v>#VALUE!</v>
      </c>
      <c r="FO291" t="e">
        <f>AND('Additional Services'!D173,"AAAAAHvOW6o=")</f>
        <v>#VALUE!</v>
      </c>
      <c r="FP291" t="e">
        <f>AND('Additional Services'!#REF!,"AAAAAHvOW6s=")</f>
        <v>#REF!</v>
      </c>
      <c r="FQ291" t="e">
        <f>AND('Additional Services'!#REF!,"AAAAAHvOW6w=")</f>
        <v>#REF!</v>
      </c>
      <c r="FR291" t="e">
        <f>AND('Additional Services'!#REF!,"AAAAAHvOW60=")</f>
        <v>#REF!</v>
      </c>
      <c r="FS291" t="e">
        <f>AND('Additional Services'!K173,"AAAAAHvOW64=")</f>
        <v>#VALUE!</v>
      </c>
      <c r="FT291" t="e">
        <f>AND('Additional Services'!L173,"AAAAAHvOW68=")</f>
        <v>#VALUE!</v>
      </c>
      <c r="FU291" t="e">
        <f>AND('Additional Services'!M173,"AAAAAHvOW7A=")</f>
        <v>#VALUE!</v>
      </c>
      <c r="FV291" t="e">
        <f>AND('Additional Services'!H173,"AAAAAHvOW7E=")</f>
        <v>#VALUE!</v>
      </c>
      <c r="FW291" t="e">
        <f>AND('Additional Services'!I173,"AAAAAHvOW7I=")</f>
        <v>#VALUE!</v>
      </c>
      <c r="FX291">
        <f>IF('Additional Services'!174:174,"AAAAAHvOW7M=",0)</f>
        <v>0</v>
      </c>
      <c r="FY291" t="e">
        <f>AND('Additional Services'!#REF!,"AAAAAHvOW7Q=")</f>
        <v>#REF!</v>
      </c>
      <c r="FZ291" t="e">
        <f>AND('Additional Services'!B174,"AAAAAHvOW7U=")</f>
        <v>#VALUE!</v>
      </c>
      <c r="GA291" t="e">
        <f>AND('Additional Services'!#REF!,"AAAAAHvOW7Y=")</f>
        <v>#REF!</v>
      </c>
      <c r="GB291" t="e">
        <f>AND('Additional Services'!C174,"AAAAAHvOW7c=")</f>
        <v>#VALUE!</v>
      </c>
      <c r="GC291" t="e">
        <f>AND('Additional Services'!D174,"AAAAAHvOW7g=")</f>
        <v>#VALUE!</v>
      </c>
      <c r="GD291" t="e">
        <f>AND('Additional Services'!#REF!,"AAAAAHvOW7k=")</f>
        <v>#REF!</v>
      </c>
      <c r="GE291" t="e">
        <f>AND('Additional Services'!#REF!,"AAAAAHvOW7o=")</f>
        <v>#REF!</v>
      </c>
      <c r="GF291" t="e">
        <f>AND('Additional Services'!#REF!,"AAAAAHvOW7s=")</f>
        <v>#REF!</v>
      </c>
      <c r="GG291" t="e">
        <f>AND('Additional Services'!K174,"AAAAAHvOW7w=")</f>
        <v>#VALUE!</v>
      </c>
      <c r="GH291" t="e">
        <f>AND('Additional Services'!L174,"AAAAAHvOW70=")</f>
        <v>#VALUE!</v>
      </c>
      <c r="GI291" t="e">
        <f>AND('Additional Services'!M174,"AAAAAHvOW74=")</f>
        <v>#VALUE!</v>
      </c>
      <c r="GJ291" t="e">
        <f>AND('Additional Services'!H174,"AAAAAHvOW78=")</f>
        <v>#VALUE!</v>
      </c>
      <c r="GK291" t="e">
        <f>AND('Additional Services'!I174,"AAAAAHvOW8A=")</f>
        <v>#VALUE!</v>
      </c>
      <c r="GL291">
        <f>IF('Additional Services'!175:175,"AAAAAHvOW8E=",0)</f>
        <v>0</v>
      </c>
      <c r="GM291" t="e">
        <f>AND('Additional Services'!#REF!,"AAAAAHvOW8I=")</f>
        <v>#REF!</v>
      </c>
      <c r="GN291" t="e">
        <f>AND('Additional Services'!B175,"AAAAAHvOW8M=")</f>
        <v>#VALUE!</v>
      </c>
      <c r="GO291" t="e">
        <f>AND('Additional Services'!#REF!,"AAAAAHvOW8Q=")</f>
        <v>#REF!</v>
      </c>
      <c r="GP291" t="e">
        <f>AND('Additional Services'!C175,"AAAAAHvOW8U=")</f>
        <v>#VALUE!</v>
      </c>
      <c r="GQ291" t="e">
        <f>AND('Additional Services'!D175,"AAAAAHvOW8Y=")</f>
        <v>#VALUE!</v>
      </c>
      <c r="GR291" t="e">
        <f>AND('Additional Services'!#REF!,"AAAAAHvOW8c=")</f>
        <v>#REF!</v>
      </c>
      <c r="GS291" t="e">
        <f>AND('Additional Services'!#REF!,"AAAAAHvOW8g=")</f>
        <v>#REF!</v>
      </c>
      <c r="GT291" t="e">
        <f>AND('Additional Services'!#REF!,"AAAAAHvOW8k=")</f>
        <v>#REF!</v>
      </c>
      <c r="GU291" t="e">
        <f>AND('Additional Services'!K175,"AAAAAHvOW8o=")</f>
        <v>#VALUE!</v>
      </c>
      <c r="GV291" t="e">
        <f>AND('Additional Services'!L175,"AAAAAHvOW8s=")</f>
        <v>#VALUE!</v>
      </c>
      <c r="GW291" t="e">
        <f>AND('Additional Services'!M175,"AAAAAHvOW8w=")</f>
        <v>#VALUE!</v>
      </c>
      <c r="GX291" t="e">
        <f>AND('Additional Services'!H175,"AAAAAHvOW80=")</f>
        <v>#VALUE!</v>
      </c>
      <c r="GY291" t="e">
        <f>AND('Additional Services'!I175,"AAAAAHvOW84=")</f>
        <v>#VALUE!</v>
      </c>
      <c r="GZ291" t="e">
        <f>IF('Additional Services'!#REF!,"AAAAAHvOW88=",0)</f>
        <v>#REF!</v>
      </c>
      <c r="HA291" t="e">
        <f>AND('Additional Services'!#REF!,"AAAAAHvOW9A=")</f>
        <v>#REF!</v>
      </c>
      <c r="HB291" t="e">
        <f>AND('Additional Services'!#REF!,"AAAAAHvOW9E=")</f>
        <v>#REF!</v>
      </c>
      <c r="HC291" t="e">
        <f>AND('Additional Services'!#REF!,"AAAAAHvOW9I=")</f>
        <v>#REF!</v>
      </c>
      <c r="HD291" t="e">
        <f>AND('Additional Services'!#REF!,"AAAAAHvOW9M=")</f>
        <v>#REF!</v>
      </c>
      <c r="HE291" t="e">
        <f>AND('Additional Services'!#REF!,"AAAAAHvOW9Q=")</f>
        <v>#REF!</v>
      </c>
      <c r="HF291" t="e">
        <f>AND('Additional Services'!#REF!,"AAAAAHvOW9U=")</f>
        <v>#REF!</v>
      </c>
      <c r="HG291" t="e">
        <f>AND('Additional Services'!#REF!,"AAAAAHvOW9Y=")</f>
        <v>#REF!</v>
      </c>
      <c r="HH291" t="e">
        <f>AND('Additional Services'!#REF!,"AAAAAHvOW9c=")</f>
        <v>#REF!</v>
      </c>
      <c r="HI291" t="e">
        <f>AND('Additional Services'!#REF!,"AAAAAHvOW9g=")</f>
        <v>#REF!</v>
      </c>
      <c r="HJ291" t="e">
        <f>AND('Additional Services'!#REF!,"AAAAAHvOW9k=")</f>
        <v>#REF!</v>
      </c>
      <c r="HK291" t="e">
        <f>AND('Additional Services'!#REF!,"AAAAAHvOW9o=")</f>
        <v>#REF!</v>
      </c>
      <c r="HL291" t="e">
        <f>AND('Additional Services'!#REF!,"AAAAAHvOW9s=")</f>
        <v>#REF!</v>
      </c>
      <c r="HM291" t="e">
        <f>AND('Additional Services'!#REF!,"AAAAAHvOW9w=")</f>
        <v>#REF!</v>
      </c>
      <c r="HN291">
        <f>IF('Additional Services'!176:176,"AAAAAHvOW90=",0)</f>
        <v>0</v>
      </c>
      <c r="HO291" t="e">
        <f>AND('Additional Services'!#REF!,"AAAAAHvOW94=")</f>
        <v>#REF!</v>
      </c>
      <c r="HP291" t="e">
        <f>AND('Additional Services'!A176,"AAAAAHvOW98=")</f>
        <v>#VALUE!</v>
      </c>
      <c r="HQ291" t="e">
        <f>AND('Additional Services'!B176,"AAAAAHvOW+A=")</f>
        <v>#VALUE!</v>
      </c>
      <c r="HR291" t="e">
        <f>AND('Additional Services'!C176,"AAAAAHvOW+E=")</f>
        <v>#VALUE!</v>
      </c>
      <c r="HS291" t="e">
        <f>AND('Additional Services'!D176,"AAAAAHvOW+I=")</f>
        <v>#VALUE!</v>
      </c>
      <c r="HT291" t="e">
        <f>AND('Additional Services'!#REF!,"AAAAAHvOW+M=")</f>
        <v>#REF!</v>
      </c>
      <c r="HU291" t="e">
        <f>AND('Additional Services'!#REF!,"AAAAAHvOW+Q=")</f>
        <v>#REF!</v>
      </c>
      <c r="HV291" t="e">
        <f>AND('Additional Services'!#REF!,"AAAAAHvOW+U=")</f>
        <v>#REF!</v>
      </c>
      <c r="HW291" t="e">
        <f>AND('Additional Services'!K176,"AAAAAHvOW+Y=")</f>
        <v>#VALUE!</v>
      </c>
      <c r="HX291" t="e">
        <f>AND('Additional Services'!L176,"AAAAAHvOW+c=")</f>
        <v>#VALUE!</v>
      </c>
      <c r="HY291" t="e">
        <f>AND('Additional Services'!M176,"AAAAAHvOW+g=")</f>
        <v>#VALUE!</v>
      </c>
      <c r="HZ291" t="e">
        <f>AND('Additional Services'!H176,"AAAAAHvOW+k=")</f>
        <v>#VALUE!</v>
      </c>
      <c r="IA291" t="e">
        <f>AND('Additional Services'!I176,"AAAAAHvOW+o=")</f>
        <v>#VALUE!</v>
      </c>
      <c r="IB291">
        <f>IF('Additional Services'!177:177,"AAAAAHvOW+s=",0)</f>
        <v>0</v>
      </c>
      <c r="IC291" t="e">
        <f>AND('Additional Services'!#REF!,"AAAAAHvOW+w=")</f>
        <v>#REF!</v>
      </c>
      <c r="ID291" t="e">
        <f>AND('Additional Services'!B177,"AAAAAHvOW+0=")</f>
        <v>#VALUE!</v>
      </c>
      <c r="IE291" t="e">
        <f>AND('Additional Services'!#REF!,"AAAAAHvOW+4=")</f>
        <v>#REF!</v>
      </c>
      <c r="IF291" t="e">
        <f>AND('Additional Services'!C177,"AAAAAHvOW+8=")</f>
        <v>#VALUE!</v>
      </c>
      <c r="IG291" t="e">
        <f>AND('Additional Services'!D177,"AAAAAHvOW/A=")</f>
        <v>#VALUE!</v>
      </c>
      <c r="IH291" t="e">
        <f>AND('Additional Services'!#REF!,"AAAAAHvOW/E=")</f>
        <v>#REF!</v>
      </c>
      <c r="II291" t="e">
        <f>AND('Additional Services'!#REF!,"AAAAAHvOW/I=")</f>
        <v>#REF!</v>
      </c>
      <c r="IJ291" t="e">
        <f>AND('Additional Services'!#REF!,"AAAAAHvOW/M=")</f>
        <v>#REF!</v>
      </c>
      <c r="IK291" t="e">
        <f>AND('Additional Services'!K177,"AAAAAHvOW/Q=")</f>
        <v>#VALUE!</v>
      </c>
      <c r="IL291" t="e">
        <f>AND('Additional Services'!L177,"AAAAAHvOW/U=")</f>
        <v>#VALUE!</v>
      </c>
      <c r="IM291" t="e">
        <f>AND('Additional Services'!M177,"AAAAAHvOW/Y=")</f>
        <v>#VALUE!</v>
      </c>
      <c r="IN291" t="e">
        <f>AND('Additional Services'!H177,"AAAAAHvOW/c=")</f>
        <v>#VALUE!</v>
      </c>
      <c r="IO291" t="e">
        <f>AND('Additional Services'!I177,"AAAAAHvOW/g=")</f>
        <v>#VALUE!</v>
      </c>
      <c r="IP291">
        <f>IF('Additional Services'!178:178,"AAAAAHvOW/k=",0)</f>
        <v>0</v>
      </c>
      <c r="IQ291" t="e">
        <f>AND('Additional Services'!#REF!,"AAAAAHvOW/o=")</f>
        <v>#REF!</v>
      </c>
      <c r="IR291" t="e">
        <f>AND('Additional Services'!B178,"AAAAAHvOW/s=")</f>
        <v>#VALUE!</v>
      </c>
      <c r="IS291" t="e">
        <f>AND('Additional Services'!#REF!,"AAAAAHvOW/w=")</f>
        <v>#REF!</v>
      </c>
      <c r="IT291" t="e">
        <f>AND('Additional Services'!C178,"AAAAAHvOW/0=")</f>
        <v>#VALUE!</v>
      </c>
      <c r="IU291" t="e">
        <f>AND('Additional Services'!D178,"AAAAAHvOW/4=")</f>
        <v>#VALUE!</v>
      </c>
      <c r="IV291" t="e">
        <f>AND('Additional Services'!#REF!,"AAAAAHvOW/8=")</f>
        <v>#REF!</v>
      </c>
    </row>
    <row r="292" spans="1:256" x14ac:dyDescent="0.2">
      <c r="A292" t="e">
        <f>AND('Additional Services'!#REF!,"AAAAAH1f7wA=")</f>
        <v>#REF!</v>
      </c>
      <c r="B292" t="e">
        <f>AND('Additional Services'!#REF!,"AAAAAH1f7wE=")</f>
        <v>#REF!</v>
      </c>
      <c r="C292" t="e">
        <f>AND('Additional Services'!K178,"AAAAAH1f7wI=")</f>
        <v>#VALUE!</v>
      </c>
      <c r="D292" t="e">
        <f>AND('Additional Services'!L178,"AAAAAH1f7wM=")</f>
        <v>#VALUE!</v>
      </c>
      <c r="E292" t="e">
        <f>AND('Additional Services'!M178,"AAAAAH1f7wQ=")</f>
        <v>#VALUE!</v>
      </c>
      <c r="F292" t="e">
        <f>AND('Additional Services'!H178,"AAAAAH1f7wU=")</f>
        <v>#VALUE!</v>
      </c>
      <c r="G292" t="e">
        <f>AND('Additional Services'!I178,"AAAAAH1f7wY=")</f>
        <v>#VALUE!</v>
      </c>
      <c r="H292" t="e">
        <f>IF('Additional Services'!#REF!,"AAAAAH1f7wc=",0)</f>
        <v>#REF!</v>
      </c>
      <c r="I292" t="e">
        <f>AND('Additional Services'!#REF!,"AAAAAH1f7wg=")</f>
        <v>#REF!</v>
      </c>
      <c r="J292" t="e">
        <f>AND('Additional Services'!#REF!,"AAAAAH1f7wk=")</f>
        <v>#REF!</v>
      </c>
      <c r="K292" t="e">
        <f>AND('Additional Services'!#REF!,"AAAAAH1f7wo=")</f>
        <v>#REF!</v>
      </c>
      <c r="L292" t="e">
        <f>AND('Additional Services'!#REF!,"AAAAAH1f7ws=")</f>
        <v>#REF!</v>
      </c>
      <c r="M292" t="e">
        <f>AND('Additional Services'!#REF!,"AAAAAH1f7ww=")</f>
        <v>#REF!</v>
      </c>
      <c r="N292" t="e">
        <f>AND('Additional Services'!#REF!,"AAAAAH1f7w0=")</f>
        <v>#REF!</v>
      </c>
      <c r="O292" t="e">
        <f>AND('Additional Services'!#REF!,"AAAAAH1f7w4=")</f>
        <v>#REF!</v>
      </c>
      <c r="P292" t="e">
        <f>AND('Additional Services'!#REF!,"AAAAAH1f7w8=")</f>
        <v>#REF!</v>
      </c>
      <c r="Q292" t="e">
        <f>AND('Additional Services'!#REF!,"AAAAAH1f7xA=")</f>
        <v>#REF!</v>
      </c>
      <c r="R292" t="e">
        <f>AND('Additional Services'!#REF!,"AAAAAH1f7xE=")</f>
        <v>#REF!</v>
      </c>
      <c r="S292" t="e">
        <f>AND('Additional Services'!#REF!,"AAAAAH1f7xI=")</f>
        <v>#REF!</v>
      </c>
      <c r="T292" t="e">
        <f>AND('Additional Services'!#REF!,"AAAAAH1f7xM=")</f>
        <v>#REF!</v>
      </c>
      <c r="U292" t="e">
        <f>AND('Additional Services'!#REF!,"AAAAAH1f7xQ=")</f>
        <v>#REF!</v>
      </c>
      <c r="V292">
        <f>IF('Additional Services'!179:179,"AAAAAH1f7xU=",0)</f>
        <v>0</v>
      </c>
      <c r="W292" t="e">
        <f>AND('Additional Services'!#REF!,"AAAAAH1f7xY=")</f>
        <v>#REF!</v>
      </c>
      <c r="X292" t="e">
        <f>AND('Additional Services'!A179,"AAAAAH1f7xc=")</f>
        <v>#VALUE!</v>
      </c>
      <c r="Y292" t="e">
        <f>AND('Additional Services'!B179,"AAAAAH1f7xg=")</f>
        <v>#VALUE!</v>
      </c>
      <c r="Z292" t="e">
        <f>AND('Additional Services'!C179,"AAAAAH1f7xk=")</f>
        <v>#VALUE!</v>
      </c>
      <c r="AA292" t="e">
        <f>AND('Additional Services'!D179,"AAAAAH1f7xo=")</f>
        <v>#VALUE!</v>
      </c>
      <c r="AB292" t="e">
        <f>AND('Additional Services'!#REF!,"AAAAAH1f7xs=")</f>
        <v>#REF!</v>
      </c>
      <c r="AC292" t="e">
        <f>AND('Additional Services'!#REF!,"AAAAAH1f7xw=")</f>
        <v>#REF!</v>
      </c>
      <c r="AD292" t="e">
        <f>AND('Additional Services'!#REF!,"AAAAAH1f7x0=")</f>
        <v>#REF!</v>
      </c>
      <c r="AE292" t="e">
        <f>AND('Additional Services'!K179,"AAAAAH1f7x4=")</f>
        <v>#VALUE!</v>
      </c>
      <c r="AF292" t="e">
        <f>AND('Additional Services'!L179,"AAAAAH1f7x8=")</f>
        <v>#VALUE!</v>
      </c>
      <c r="AG292" t="e">
        <f>AND('Additional Services'!M179,"AAAAAH1f7yA=")</f>
        <v>#VALUE!</v>
      </c>
      <c r="AH292" t="e">
        <f>AND('Additional Services'!H179,"AAAAAH1f7yE=")</f>
        <v>#VALUE!</v>
      </c>
      <c r="AI292" t="e">
        <f>AND('Additional Services'!I179,"AAAAAH1f7yI=")</f>
        <v>#VALUE!</v>
      </c>
      <c r="AJ292">
        <f>IF('Additional Services'!180:180,"AAAAAH1f7yM=",0)</f>
        <v>0</v>
      </c>
      <c r="AK292" t="e">
        <f>AND('Additional Services'!#REF!,"AAAAAH1f7yQ=")</f>
        <v>#REF!</v>
      </c>
      <c r="AL292" t="e">
        <f>AND('Additional Services'!B180,"AAAAAH1f7yU=")</f>
        <v>#VALUE!</v>
      </c>
      <c r="AM292" t="e">
        <f>AND('Additional Services'!#REF!,"AAAAAH1f7yY=")</f>
        <v>#REF!</v>
      </c>
      <c r="AN292" t="e">
        <f>AND('Additional Services'!C180,"AAAAAH1f7yc=")</f>
        <v>#VALUE!</v>
      </c>
      <c r="AO292" t="e">
        <f>AND('Additional Services'!D180,"AAAAAH1f7yg=")</f>
        <v>#VALUE!</v>
      </c>
      <c r="AP292" t="e">
        <f>AND('Additional Services'!#REF!,"AAAAAH1f7yk=")</f>
        <v>#REF!</v>
      </c>
      <c r="AQ292" t="e">
        <f>AND('Additional Services'!#REF!,"AAAAAH1f7yo=")</f>
        <v>#REF!</v>
      </c>
      <c r="AR292" t="e">
        <f>AND('Additional Services'!#REF!,"AAAAAH1f7ys=")</f>
        <v>#REF!</v>
      </c>
      <c r="AS292" t="e">
        <f>AND('Additional Services'!K180,"AAAAAH1f7yw=")</f>
        <v>#VALUE!</v>
      </c>
      <c r="AT292" t="e">
        <f>AND('Additional Services'!L180,"AAAAAH1f7y0=")</f>
        <v>#VALUE!</v>
      </c>
      <c r="AU292" t="e">
        <f>AND('Additional Services'!M180,"AAAAAH1f7y4=")</f>
        <v>#VALUE!</v>
      </c>
      <c r="AV292" t="e">
        <f>AND('Additional Services'!H180,"AAAAAH1f7y8=")</f>
        <v>#VALUE!</v>
      </c>
      <c r="AW292" t="e">
        <f>AND('Additional Services'!I180,"AAAAAH1f7zA=")</f>
        <v>#VALUE!</v>
      </c>
      <c r="AX292">
        <f>IF('Additional Services'!181:181,"AAAAAH1f7zE=",0)</f>
        <v>0</v>
      </c>
      <c r="AY292" t="e">
        <f>AND('Additional Services'!#REF!,"AAAAAH1f7zI=")</f>
        <v>#REF!</v>
      </c>
      <c r="AZ292" t="e">
        <f>AND('Additional Services'!B181,"AAAAAH1f7zM=")</f>
        <v>#VALUE!</v>
      </c>
      <c r="BA292" t="e">
        <f>AND('Additional Services'!#REF!,"AAAAAH1f7zQ=")</f>
        <v>#REF!</v>
      </c>
      <c r="BB292" t="e">
        <f>AND('Additional Services'!C181,"AAAAAH1f7zU=")</f>
        <v>#VALUE!</v>
      </c>
      <c r="BC292" t="e">
        <f>AND('Additional Services'!D181,"AAAAAH1f7zY=")</f>
        <v>#VALUE!</v>
      </c>
      <c r="BD292" t="e">
        <f>AND('Additional Services'!#REF!,"AAAAAH1f7zc=")</f>
        <v>#REF!</v>
      </c>
      <c r="BE292" t="e">
        <f>AND('Additional Services'!#REF!,"AAAAAH1f7zg=")</f>
        <v>#REF!</v>
      </c>
      <c r="BF292" t="e">
        <f>AND('Additional Services'!#REF!,"AAAAAH1f7zk=")</f>
        <v>#REF!</v>
      </c>
      <c r="BG292" t="e">
        <f>AND('Additional Services'!K181,"AAAAAH1f7zo=")</f>
        <v>#VALUE!</v>
      </c>
      <c r="BH292" t="e">
        <f>AND('Additional Services'!L181,"AAAAAH1f7zs=")</f>
        <v>#VALUE!</v>
      </c>
      <c r="BI292" t="e">
        <f>AND('Additional Services'!M181,"AAAAAH1f7zw=")</f>
        <v>#VALUE!</v>
      </c>
      <c r="BJ292" t="e">
        <f>AND('Additional Services'!H181,"AAAAAH1f7z0=")</f>
        <v>#VALUE!</v>
      </c>
      <c r="BK292" t="e">
        <f>AND('Additional Services'!I181,"AAAAAH1f7z4=")</f>
        <v>#VALUE!</v>
      </c>
      <c r="BL292" t="e">
        <f>IF('Additional Services'!#REF!,"AAAAAH1f7z8=",0)</f>
        <v>#REF!</v>
      </c>
      <c r="BM292" t="e">
        <f>AND('Additional Services'!#REF!,"AAAAAH1f70A=")</f>
        <v>#REF!</v>
      </c>
      <c r="BN292" t="e">
        <f>AND('Additional Services'!#REF!,"AAAAAH1f70E=")</f>
        <v>#REF!</v>
      </c>
      <c r="BO292" t="e">
        <f>AND('Additional Services'!#REF!,"AAAAAH1f70I=")</f>
        <v>#REF!</v>
      </c>
      <c r="BP292" t="e">
        <f>AND('Additional Services'!#REF!,"AAAAAH1f70M=")</f>
        <v>#REF!</v>
      </c>
      <c r="BQ292" t="e">
        <f>AND('Additional Services'!#REF!,"AAAAAH1f70Q=")</f>
        <v>#REF!</v>
      </c>
      <c r="BR292" t="e">
        <f>AND('Additional Services'!#REF!,"AAAAAH1f70U=")</f>
        <v>#REF!</v>
      </c>
      <c r="BS292" t="e">
        <f>AND('Additional Services'!#REF!,"AAAAAH1f70Y=")</f>
        <v>#REF!</v>
      </c>
      <c r="BT292" t="e">
        <f>AND('Additional Services'!#REF!,"AAAAAH1f70c=")</f>
        <v>#REF!</v>
      </c>
      <c r="BU292" t="e">
        <f>AND('Additional Services'!#REF!,"AAAAAH1f70g=")</f>
        <v>#REF!</v>
      </c>
      <c r="BV292" t="e">
        <f>AND('Additional Services'!#REF!,"AAAAAH1f70k=")</f>
        <v>#REF!</v>
      </c>
      <c r="BW292" t="e">
        <f>AND('Additional Services'!#REF!,"AAAAAH1f70o=")</f>
        <v>#REF!</v>
      </c>
      <c r="BX292" t="e">
        <f>AND('Additional Services'!#REF!,"AAAAAH1f70s=")</f>
        <v>#REF!</v>
      </c>
      <c r="BY292" t="e">
        <f>AND('Additional Services'!#REF!,"AAAAAH1f70w=")</f>
        <v>#REF!</v>
      </c>
      <c r="BZ292">
        <f>IF('Additional Services'!182:182,"AAAAAH1f700=",0)</f>
        <v>0</v>
      </c>
      <c r="CA292" t="e">
        <f>AND('Additional Services'!#REF!,"AAAAAH1f704=")</f>
        <v>#REF!</v>
      </c>
      <c r="CB292" t="e">
        <f>AND('Additional Services'!A182,"AAAAAH1f708=")</f>
        <v>#VALUE!</v>
      </c>
      <c r="CC292" t="e">
        <f>AND('Additional Services'!B182,"AAAAAH1f71A=")</f>
        <v>#VALUE!</v>
      </c>
      <c r="CD292" t="e">
        <f>AND('Additional Services'!C182,"AAAAAH1f71E=")</f>
        <v>#VALUE!</v>
      </c>
      <c r="CE292" t="e">
        <f>AND('Additional Services'!D182,"AAAAAH1f71I=")</f>
        <v>#VALUE!</v>
      </c>
      <c r="CF292" t="e">
        <f>AND('Additional Services'!#REF!,"AAAAAH1f71M=")</f>
        <v>#REF!</v>
      </c>
      <c r="CG292" t="e">
        <f>AND('Additional Services'!#REF!,"AAAAAH1f71Q=")</f>
        <v>#REF!</v>
      </c>
      <c r="CH292" t="e">
        <f>AND('Additional Services'!#REF!,"AAAAAH1f71U=")</f>
        <v>#REF!</v>
      </c>
      <c r="CI292" t="e">
        <f>AND('Additional Services'!K182,"AAAAAH1f71Y=")</f>
        <v>#VALUE!</v>
      </c>
      <c r="CJ292" t="e">
        <f>AND('Additional Services'!L182,"AAAAAH1f71c=")</f>
        <v>#VALUE!</v>
      </c>
      <c r="CK292" t="e">
        <f>AND('Additional Services'!M182,"AAAAAH1f71g=")</f>
        <v>#VALUE!</v>
      </c>
      <c r="CL292" t="e">
        <f>AND('Additional Services'!H182,"AAAAAH1f71k=")</f>
        <v>#VALUE!</v>
      </c>
      <c r="CM292" t="e">
        <f>AND('Additional Services'!I182,"AAAAAH1f71o=")</f>
        <v>#VALUE!</v>
      </c>
      <c r="CN292">
        <f>IF('Additional Services'!183:183,"AAAAAH1f71s=",0)</f>
        <v>0</v>
      </c>
      <c r="CO292" t="e">
        <f>AND('Additional Services'!#REF!,"AAAAAH1f71w=")</f>
        <v>#REF!</v>
      </c>
      <c r="CP292" t="e">
        <f>AND('Additional Services'!B183,"AAAAAH1f710=")</f>
        <v>#VALUE!</v>
      </c>
      <c r="CQ292" t="e">
        <f>AND('Additional Services'!#REF!,"AAAAAH1f714=")</f>
        <v>#REF!</v>
      </c>
      <c r="CR292" t="e">
        <f>AND('Additional Services'!C183,"AAAAAH1f718=")</f>
        <v>#VALUE!</v>
      </c>
      <c r="CS292" t="e">
        <f>AND('Additional Services'!D183,"AAAAAH1f72A=")</f>
        <v>#VALUE!</v>
      </c>
      <c r="CT292" t="e">
        <f>AND('Additional Services'!#REF!,"AAAAAH1f72E=")</f>
        <v>#REF!</v>
      </c>
      <c r="CU292" t="e">
        <f>AND('Additional Services'!#REF!,"AAAAAH1f72I=")</f>
        <v>#REF!</v>
      </c>
      <c r="CV292" t="e">
        <f>AND('Additional Services'!#REF!,"AAAAAH1f72M=")</f>
        <v>#REF!</v>
      </c>
      <c r="CW292" t="e">
        <f>AND('Additional Services'!K183,"AAAAAH1f72Q=")</f>
        <v>#VALUE!</v>
      </c>
      <c r="CX292" t="e">
        <f>AND('Additional Services'!L183,"AAAAAH1f72U=")</f>
        <v>#VALUE!</v>
      </c>
      <c r="CY292" t="e">
        <f>AND('Additional Services'!M183,"AAAAAH1f72Y=")</f>
        <v>#VALUE!</v>
      </c>
      <c r="CZ292" t="e">
        <f>AND('Additional Services'!H183,"AAAAAH1f72c=")</f>
        <v>#VALUE!</v>
      </c>
      <c r="DA292" t="e">
        <f>AND('Additional Services'!I183,"AAAAAH1f72g=")</f>
        <v>#VALUE!</v>
      </c>
      <c r="DB292">
        <f>IF('Additional Services'!184:184,"AAAAAH1f72k=",0)</f>
        <v>0</v>
      </c>
      <c r="DC292" t="e">
        <f>AND('Additional Services'!#REF!,"AAAAAH1f72o=")</f>
        <v>#REF!</v>
      </c>
      <c r="DD292" t="e">
        <f>AND('Additional Services'!B184,"AAAAAH1f72s=")</f>
        <v>#VALUE!</v>
      </c>
      <c r="DE292" t="e">
        <f>AND('Additional Services'!#REF!,"AAAAAH1f72w=")</f>
        <v>#REF!</v>
      </c>
      <c r="DF292" t="e">
        <f>AND('Additional Services'!C184,"AAAAAH1f720=")</f>
        <v>#VALUE!</v>
      </c>
      <c r="DG292" t="e">
        <f>AND('Additional Services'!D184,"AAAAAH1f724=")</f>
        <v>#VALUE!</v>
      </c>
      <c r="DH292" t="e">
        <f>AND('Additional Services'!#REF!,"AAAAAH1f728=")</f>
        <v>#REF!</v>
      </c>
      <c r="DI292" t="e">
        <f>AND('Additional Services'!#REF!,"AAAAAH1f73A=")</f>
        <v>#REF!</v>
      </c>
      <c r="DJ292" t="e">
        <f>AND('Additional Services'!#REF!,"AAAAAH1f73E=")</f>
        <v>#REF!</v>
      </c>
      <c r="DK292" t="e">
        <f>AND('Additional Services'!K184,"AAAAAH1f73I=")</f>
        <v>#VALUE!</v>
      </c>
      <c r="DL292" t="e">
        <f>AND('Additional Services'!L184,"AAAAAH1f73M=")</f>
        <v>#VALUE!</v>
      </c>
      <c r="DM292" t="e">
        <f>AND('Additional Services'!M184,"AAAAAH1f73Q=")</f>
        <v>#VALUE!</v>
      </c>
      <c r="DN292" t="e">
        <f>AND('Additional Services'!H184,"AAAAAH1f73U=")</f>
        <v>#VALUE!</v>
      </c>
      <c r="DO292" t="e">
        <f>AND('Additional Services'!I184,"AAAAAH1f73Y=")</f>
        <v>#VALUE!</v>
      </c>
      <c r="DP292">
        <f>IF('Additional Services'!185:185,"AAAAAH1f73c=",0)</f>
        <v>0</v>
      </c>
      <c r="DQ292" t="e">
        <f>AND('Additional Services'!#REF!,"AAAAAH1f73g=")</f>
        <v>#REF!</v>
      </c>
      <c r="DR292" t="e">
        <f>AND('Additional Services'!B185,"AAAAAH1f73k=")</f>
        <v>#VALUE!</v>
      </c>
      <c r="DS292" t="e">
        <f>AND('Additional Services'!#REF!,"AAAAAH1f73o=")</f>
        <v>#REF!</v>
      </c>
      <c r="DT292" t="e">
        <f>AND('Additional Services'!C185,"AAAAAH1f73s=")</f>
        <v>#VALUE!</v>
      </c>
      <c r="DU292" t="e">
        <f>AND('Additional Services'!D185,"AAAAAH1f73w=")</f>
        <v>#VALUE!</v>
      </c>
      <c r="DV292" t="e">
        <f>AND('Additional Services'!#REF!,"AAAAAH1f730=")</f>
        <v>#REF!</v>
      </c>
      <c r="DW292" t="e">
        <f>AND('Additional Services'!#REF!,"AAAAAH1f734=")</f>
        <v>#REF!</v>
      </c>
      <c r="DX292" t="e">
        <f>AND('Additional Services'!#REF!,"AAAAAH1f738=")</f>
        <v>#REF!</v>
      </c>
      <c r="DY292" t="e">
        <f>AND('Additional Services'!K185,"AAAAAH1f74A=")</f>
        <v>#VALUE!</v>
      </c>
      <c r="DZ292" t="e">
        <f>AND('Additional Services'!L185,"AAAAAH1f74E=")</f>
        <v>#VALUE!</v>
      </c>
      <c r="EA292" t="e">
        <f>AND('Additional Services'!M185,"AAAAAH1f74I=")</f>
        <v>#VALUE!</v>
      </c>
      <c r="EB292" t="e">
        <f>AND('Additional Services'!H185,"AAAAAH1f74M=")</f>
        <v>#VALUE!</v>
      </c>
      <c r="EC292" t="e">
        <f>AND('Additional Services'!I185,"AAAAAH1f74Q=")</f>
        <v>#VALUE!</v>
      </c>
      <c r="ED292">
        <f>IF('Additional Services'!186:186,"AAAAAH1f74U=",0)</f>
        <v>0</v>
      </c>
      <c r="EE292" t="e">
        <f>AND('Additional Services'!#REF!,"AAAAAH1f74Y=")</f>
        <v>#REF!</v>
      </c>
      <c r="EF292" t="e">
        <f>AND('Additional Services'!B186,"AAAAAH1f74c=")</f>
        <v>#VALUE!</v>
      </c>
      <c r="EG292" t="e">
        <f>AND('Additional Services'!#REF!,"AAAAAH1f74g=")</f>
        <v>#REF!</v>
      </c>
      <c r="EH292" t="e">
        <f>AND('Additional Services'!C186,"AAAAAH1f74k=")</f>
        <v>#VALUE!</v>
      </c>
      <c r="EI292" t="e">
        <f>AND('Additional Services'!D186,"AAAAAH1f74o=")</f>
        <v>#VALUE!</v>
      </c>
      <c r="EJ292" t="e">
        <f>AND('Additional Services'!#REF!,"AAAAAH1f74s=")</f>
        <v>#REF!</v>
      </c>
      <c r="EK292" t="e">
        <f>AND('Additional Services'!#REF!,"AAAAAH1f74w=")</f>
        <v>#REF!</v>
      </c>
      <c r="EL292" t="e">
        <f>AND('Additional Services'!#REF!,"AAAAAH1f740=")</f>
        <v>#REF!</v>
      </c>
      <c r="EM292" t="e">
        <f>AND('Additional Services'!K186,"AAAAAH1f744=")</f>
        <v>#VALUE!</v>
      </c>
      <c r="EN292" t="e">
        <f>AND('Additional Services'!L186,"AAAAAH1f748=")</f>
        <v>#VALUE!</v>
      </c>
      <c r="EO292" t="e">
        <f>AND('Additional Services'!M186,"AAAAAH1f75A=")</f>
        <v>#VALUE!</v>
      </c>
      <c r="EP292" t="e">
        <f>AND('Additional Services'!H186,"AAAAAH1f75E=")</f>
        <v>#VALUE!</v>
      </c>
      <c r="EQ292" t="e">
        <f>AND('Additional Services'!I186,"AAAAAH1f75I=")</f>
        <v>#VALUE!</v>
      </c>
      <c r="ER292" t="e">
        <f>IF('Additional Services'!#REF!,"AAAAAH1f75M=",0)</f>
        <v>#REF!</v>
      </c>
      <c r="ES292" t="e">
        <f>AND('Additional Services'!#REF!,"AAAAAH1f75Q=")</f>
        <v>#REF!</v>
      </c>
      <c r="ET292" t="e">
        <f>AND('Additional Services'!#REF!,"AAAAAH1f75U=")</f>
        <v>#REF!</v>
      </c>
      <c r="EU292" t="e">
        <f>AND('Additional Services'!#REF!,"AAAAAH1f75Y=")</f>
        <v>#REF!</v>
      </c>
      <c r="EV292" t="e">
        <f>AND('Additional Services'!#REF!,"AAAAAH1f75c=")</f>
        <v>#REF!</v>
      </c>
      <c r="EW292" t="e">
        <f>AND('Additional Services'!#REF!,"AAAAAH1f75g=")</f>
        <v>#REF!</v>
      </c>
      <c r="EX292" t="e">
        <f>AND('Additional Services'!#REF!,"AAAAAH1f75k=")</f>
        <v>#REF!</v>
      </c>
      <c r="EY292" t="e">
        <f>AND('Additional Services'!#REF!,"AAAAAH1f75o=")</f>
        <v>#REF!</v>
      </c>
      <c r="EZ292" t="e">
        <f>AND('Additional Services'!#REF!,"AAAAAH1f75s=")</f>
        <v>#REF!</v>
      </c>
      <c r="FA292" t="e">
        <f>AND('Additional Services'!#REF!,"AAAAAH1f75w=")</f>
        <v>#REF!</v>
      </c>
      <c r="FB292" t="e">
        <f>AND('Additional Services'!#REF!,"AAAAAH1f750=")</f>
        <v>#REF!</v>
      </c>
      <c r="FC292" t="e">
        <f>AND('Additional Services'!#REF!,"AAAAAH1f754=")</f>
        <v>#REF!</v>
      </c>
      <c r="FD292" t="e">
        <f>AND('Additional Services'!#REF!,"AAAAAH1f758=")</f>
        <v>#REF!</v>
      </c>
      <c r="FE292" t="e">
        <f>AND('Additional Services'!#REF!,"AAAAAH1f76A=")</f>
        <v>#REF!</v>
      </c>
      <c r="FF292">
        <f>IF('Additional Services'!187:187,"AAAAAH1f76E=",0)</f>
        <v>0</v>
      </c>
      <c r="FG292" t="e">
        <f>AND('Additional Services'!#REF!,"AAAAAH1f76I=")</f>
        <v>#REF!</v>
      </c>
      <c r="FH292" t="e">
        <f>AND('Additional Services'!A187,"AAAAAH1f76M=")</f>
        <v>#VALUE!</v>
      </c>
      <c r="FI292" t="e">
        <f>AND('Additional Services'!#REF!,"AAAAAH1f76Q=")</f>
        <v>#REF!</v>
      </c>
      <c r="FJ292" t="e">
        <f>AND('Additional Services'!B187,"AAAAAH1f76U=")</f>
        <v>#VALUE!</v>
      </c>
      <c r="FK292" t="e">
        <f>AND('Additional Services'!C187,"AAAAAH1f76Y=")</f>
        <v>#VALUE!</v>
      </c>
      <c r="FL292" t="e">
        <f>AND('Additional Services'!#REF!,"AAAAAH1f76c=")</f>
        <v>#REF!</v>
      </c>
      <c r="FM292" t="e">
        <f>AND('Additional Services'!#REF!,"AAAAAH1f76g=")</f>
        <v>#REF!</v>
      </c>
      <c r="FN292" t="e">
        <f>AND('Additional Services'!#REF!,"AAAAAH1f76k=")</f>
        <v>#REF!</v>
      </c>
      <c r="FO292" t="e">
        <f>AND('Additional Services'!K187,"AAAAAH1f76o=")</f>
        <v>#VALUE!</v>
      </c>
      <c r="FP292" t="e">
        <f>AND('Additional Services'!L187,"AAAAAH1f76s=")</f>
        <v>#VALUE!</v>
      </c>
      <c r="FQ292" t="e">
        <f>AND('Additional Services'!M187,"AAAAAH1f76w=")</f>
        <v>#VALUE!</v>
      </c>
      <c r="FR292" t="e">
        <f>AND('Additional Services'!H187,"AAAAAH1f760=")</f>
        <v>#VALUE!</v>
      </c>
      <c r="FS292" t="e">
        <f>AND('Additional Services'!I187,"AAAAAH1f764=")</f>
        <v>#VALUE!</v>
      </c>
      <c r="FT292">
        <f>IF('Additional Services'!188:188,"AAAAAH1f768=",0)</f>
        <v>0</v>
      </c>
      <c r="FU292" t="e">
        <f>AND('Additional Services'!#REF!,"AAAAAH1f77A=")</f>
        <v>#REF!</v>
      </c>
      <c r="FV292" t="e">
        <f>AND('Additional Services'!B188,"AAAAAH1f77E=")</f>
        <v>#VALUE!</v>
      </c>
      <c r="FW292" t="e">
        <f>AND('Additional Services'!#REF!,"AAAAAH1f77I=")</f>
        <v>#REF!</v>
      </c>
      <c r="FX292" t="e">
        <f>AND('Additional Services'!C188,"AAAAAH1f77M=")</f>
        <v>#VALUE!</v>
      </c>
      <c r="FY292" t="e">
        <f>AND('Additional Services'!D188,"AAAAAH1f77Q=")</f>
        <v>#VALUE!</v>
      </c>
      <c r="FZ292" t="e">
        <f>AND('Additional Services'!#REF!,"AAAAAH1f77U=")</f>
        <v>#REF!</v>
      </c>
      <c r="GA292" t="e">
        <f>AND('Additional Services'!#REF!,"AAAAAH1f77Y=")</f>
        <v>#REF!</v>
      </c>
      <c r="GB292" t="e">
        <f>AND('Additional Services'!#REF!,"AAAAAH1f77c=")</f>
        <v>#REF!</v>
      </c>
      <c r="GC292" t="e">
        <f>AND('Additional Services'!K188,"AAAAAH1f77g=")</f>
        <v>#VALUE!</v>
      </c>
      <c r="GD292" t="e">
        <f>AND('Additional Services'!L188,"AAAAAH1f77k=")</f>
        <v>#VALUE!</v>
      </c>
      <c r="GE292" t="e">
        <f>AND('Additional Services'!M188,"AAAAAH1f77o=")</f>
        <v>#VALUE!</v>
      </c>
      <c r="GF292" t="e">
        <f>AND('Additional Services'!H188,"AAAAAH1f77s=")</f>
        <v>#VALUE!</v>
      </c>
      <c r="GG292" t="e">
        <f>AND('Additional Services'!I188,"AAAAAH1f77w=")</f>
        <v>#VALUE!</v>
      </c>
      <c r="GH292">
        <f>IF('Additional Services'!189:189,"AAAAAH1f770=",0)</f>
        <v>0</v>
      </c>
      <c r="GI292" t="e">
        <f>AND('Additional Services'!#REF!,"AAAAAH1f774=")</f>
        <v>#REF!</v>
      </c>
      <c r="GJ292" t="e">
        <f>AND('Additional Services'!B189,"AAAAAH1f778=")</f>
        <v>#VALUE!</v>
      </c>
      <c r="GK292" t="e">
        <f>AND('Additional Services'!#REF!,"AAAAAH1f78A=")</f>
        <v>#REF!</v>
      </c>
      <c r="GL292" t="e">
        <f>AND('Additional Services'!C189,"AAAAAH1f78E=")</f>
        <v>#VALUE!</v>
      </c>
      <c r="GM292" t="e">
        <f>AND('Additional Services'!D189,"AAAAAH1f78I=")</f>
        <v>#VALUE!</v>
      </c>
      <c r="GN292" t="e">
        <f>AND('Additional Services'!#REF!,"AAAAAH1f78M=")</f>
        <v>#REF!</v>
      </c>
      <c r="GO292" t="e">
        <f>AND('Additional Services'!#REF!,"AAAAAH1f78Q=")</f>
        <v>#REF!</v>
      </c>
      <c r="GP292" t="e">
        <f>AND('Additional Services'!#REF!,"AAAAAH1f78U=")</f>
        <v>#REF!</v>
      </c>
      <c r="GQ292" t="e">
        <f>AND('Additional Services'!K189,"AAAAAH1f78Y=")</f>
        <v>#VALUE!</v>
      </c>
      <c r="GR292" t="e">
        <f>AND('Additional Services'!L189,"AAAAAH1f78c=")</f>
        <v>#VALUE!</v>
      </c>
      <c r="GS292" t="e">
        <f>AND('Additional Services'!M189,"AAAAAH1f78g=")</f>
        <v>#VALUE!</v>
      </c>
      <c r="GT292" t="e">
        <f>AND('Additional Services'!H189,"AAAAAH1f78k=")</f>
        <v>#VALUE!</v>
      </c>
      <c r="GU292" t="e">
        <f>AND('Additional Services'!I189,"AAAAAH1f78o=")</f>
        <v>#VALUE!</v>
      </c>
      <c r="GV292">
        <f>IF('Additional Services'!190:190,"AAAAAH1f78s=",0)</f>
        <v>0</v>
      </c>
      <c r="GW292" t="e">
        <f>AND('Additional Services'!#REF!,"AAAAAH1f78w=")</f>
        <v>#REF!</v>
      </c>
      <c r="GX292" t="e">
        <f>AND('Additional Services'!B190,"AAAAAH1f780=")</f>
        <v>#VALUE!</v>
      </c>
      <c r="GY292" t="e">
        <f>AND('Additional Services'!#REF!,"AAAAAH1f784=")</f>
        <v>#REF!</v>
      </c>
      <c r="GZ292" t="e">
        <f>AND('Additional Services'!C190,"AAAAAH1f788=")</f>
        <v>#VALUE!</v>
      </c>
      <c r="HA292" t="e">
        <f>AND('Additional Services'!D190,"AAAAAH1f79A=")</f>
        <v>#VALUE!</v>
      </c>
      <c r="HB292" t="e">
        <f>AND('Additional Services'!#REF!,"AAAAAH1f79E=")</f>
        <v>#REF!</v>
      </c>
      <c r="HC292" t="e">
        <f>AND('Additional Services'!#REF!,"AAAAAH1f79I=")</f>
        <v>#REF!</v>
      </c>
      <c r="HD292" t="e">
        <f>AND('Additional Services'!#REF!,"AAAAAH1f79M=")</f>
        <v>#REF!</v>
      </c>
      <c r="HE292" t="e">
        <f>AND('Additional Services'!K190,"AAAAAH1f79Q=")</f>
        <v>#VALUE!</v>
      </c>
      <c r="HF292" t="e">
        <f>AND('Additional Services'!L190,"AAAAAH1f79U=")</f>
        <v>#VALUE!</v>
      </c>
      <c r="HG292" t="e">
        <f>AND('Additional Services'!M190,"AAAAAH1f79Y=")</f>
        <v>#VALUE!</v>
      </c>
      <c r="HH292" t="e">
        <f>AND('Additional Services'!H190,"AAAAAH1f79c=")</f>
        <v>#VALUE!</v>
      </c>
      <c r="HI292" t="e">
        <f>AND('Additional Services'!I190,"AAAAAH1f79g=")</f>
        <v>#VALUE!</v>
      </c>
      <c r="HJ292">
        <f>IF('Additional Services'!191:191,"AAAAAH1f79k=",0)</f>
        <v>0</v>
      </c>
      <c r="HK292" t="e">
        <f>AND('Additional Services'!#REF!,"AAAAAH1f79o=")</f>
        <v>#REF!</v>
      </c>
      <c r="HL292" t="e">
        <f>AND('Additional Services'!B191,"AAAAAH1f79s=")</f>
        <v>#VALUE!</v>
      </c>
      <c r="HM292" t="e">
        <f>AND('Additional Services'!#REF!,"AAAAAH1f79w=")</f>
        <v>#REF!</v>
      </c>
      <c r="HN292" t="e">
        <f>AND('Additional Services'!C191,"AAAAAH1f790=")</f>
        <v>#VALUE!</v>
      </c>
      <c r="HO292" t="e">
        <f>AND('Additional Services'!D191,"AAAAAH1f794=")</f>
        <v>#VALUE!</v>
      </c>
      <c r="HP292" t="e">
        <f>AND('Additional Services'!#REF!,"AAAAAH1f798=")</f>
        <v>#REF!</v>
      </c>
      <c r="HQ292" t="e">
        <f>AND('Additional Services'!#REF!,"AAAAAH1f7+A=")</f>
        <v>#REF!</v>
      </c>
      <c r="HR292" t="e">
        <f>AND('Additional Services'!#REF!,"AAAAAH1f7+E=")</f>
        <v>#REF!</v>
      </c>
      <c r="HS292" t="e">
        <f>AND('Additional Services'!K191,"AAAAAH1f7+I=")</f>
        <v>#VALUE!</v>
      </c>
      <c r="HT292" t="e">
        <f>AND('Additional Services'!L191,"AAAAAH1f7+M=")</f>
        <v>#VALUE!</v>
      </c>
      <c r="HU292" t="e">
        <f>AND('Additional Services'!M191,"AAAAAH1f7+Q=")</f>
        <v>#VALUE!</v>
      </c>
      <c r="HV292" t="e">
        <f>AND('Additional Services'!H191,"AAAAAH1f7+U=")</f>
        <v>#VALUE!</v>
      </c>
      <c r="HW292" t="e">
        <f>AND('Additional Services'!I191,"AAAAAH1f7+Y=")</f>
        <v>#VALUE!</v>
      </c>
      <c r="HX292" t="e">
        <f>IF('Additional Services'!#REF!,"AAAAAH1f7+c=",0)</f>
        <v>#REF!</v>
      </c>
      <c r="HY292" t="e">
        <f>AND('Additional Services'!#REF!,"AAAAAH1f7+g=")</f>
        <v>#REF!</v>
      </c>
      <c r="HZ292" t="e">
        <f>AND('Additional Services'!#REF!,"AAAAAH1f7+k=")</f>
        <v>#REF!</v>
      </c>
      <c r="IA292" t="e">
        <f>AND('Additional Services'!#REF!,"AAAAAH1f7+o=")</f>
        <v>#REF!</v>
      </c>
      <c r="IB292" t="e">
        <f>AND('Additional Services'!#REF!,"AAAAAH1f7+s=")</f>
        <v>#REF!</v>
      </c>
      <c r="IC292" t="e">
        <f>AND('Additional Services'!#REF!,"AAAAAH1f7+w=")</f>
        <v>#REF!</v>
      </c>
      <c r="ID292" t="e">
        <f>AND('Additional Services'!#REF!,"AAAAAH1f7+0=")</f>
        <v>#REF!</v>
      </c>
      <c r="IE292" t="e">
        <f>AND('Additional Services'!#REF!,"AAAAAH1f7+4=")</f>
        <v>#REF!</v>
      </c>
      <c r="IF292" t="e">
        <f>AND('Additional Services'!#REF!,"AAAAAH1f7+8=")</f>
        <v>#REF!</v>
      </c>
      <c r="IG292" t="e">
        <f>AND('Additional Services'!#REF!,"AAAAAH1f7/A=")</f>
        <v>#REF!</v>
      </c>
      <c r="IH292" t="e">
        <f>AND('Additional Services'!#REF!,"AAAAAH1f7/E=")</f>
        <v>#REF!</v>
      </c>
      <c r="II292" t="e">
        <f>AND('Additional Services'!#REF!,"AAAAAH1f7/I=")</f>
        <v>#REF!</v>
      </c>
      <c r="IJ292" t="e">
        <f>AND('Additional Services'!#REF!,"AAAAAH1f7/M=")</f>
        <v>#REF!</v>
      </c>
      <c r="IK292" t="e">
        <f>AND('Additional Services'!#REF!,"AAAAAH1f7/Q=")</f>
        <v>#REF!</v>
      </c>
      <c r="IL292">
        <f>IF('Additional Services'!192:192,"AAAAAH1f7/U=",0)</f>
        <v>0</v>
      </c>
      <c r="IM292" t="e">
        <f>AND('Additional Services'!#REF!,"AAAAAH1f7/Y=")</f>
        <v>#REF!</v>
      </c>
      <c r="IN292" t="e">
        <f>AND('Additional Services'!A192,"AAAAAH1f7/c=")</f>
        <v>#VALUE!</v>
      </c>
      <c r="IO292" t="e">
        <f>AND('Additional Services'!B192,"AAAAAH1f7/g=")</f>
        <v>#VALUE!</v>
      </c>
      <c r="IP292" t="e">
        <f>AND('Additional Services'!C192,"AAAAAH1f7/k=")</f>
        <v>#VALUE!</v>
      </c>
      <c r="IQ292" t="e">
        <f>AND('Additional Services'!D192,"AAAAAH1f7/o=")</f>
        <v>#VALUE!</v>
      </c>
      <c r="IR292" t="e">
        <f>AND('Additional Services'!#REF!,"AAAAAH1f7/s=")</f>
        <v>#REF!</v>
      </c>
      <c r="IS292" t="e">
        <f>AND('Additional Services'!#REF!,"AAAAAH1f7/w=")</f>
        <v>#REF!</v>
      </c>
      <c r="IT292" t="e">
        <f>AND('Additional Services'!#REF!,"AAAAAH1f7/0=")</f>
        <v>#REF!</v>
      </c>
      <c r="IU292" t="e">
        <f>AND('Additional Services'!K192,"AAAAAH1f7/4=")</f>
        <v>#VALUE!</v>
      </c>
      <c r="IV292" t="e">
        <f>AND('Additional Services'!L192,"AAAAAH1f7/8=")</f>
        <v>#VALUE!</v>
      </c>
    </row>
    <row r="293" spans="1:256" x14ac:dyDescent="0.2">
      <c r="A293" t="e">
        <f>AND('Additional Services'!M192,"AAAAAG7//QA=")</f>
        <v>#VALUE!</v>
      </c>
      <c r="B293" t="e">
        <f>AND('Additional Services'!H192,"AAAAAG7//QE=")</f>
        <v>#VALUE!</v>
      </c>
      <c r="C293" t="e">
        <f>AND('Additional Services'!I192,"AAAAAG7//QI=")</f>
        <v>#VALUE!</v>
      </c>
      <c r="D293">
        <f>IF('Additional Services'!193:193,"AAAAAG7//QM=",0)</f>
        <v>0</v>
      </c>
      <c r="E293" t="e">
        <f>AND('Additional Services'!#REF!,"AAAAAG7//QQ=")</f>
        <v>#REF!</v>
      </c>
      <c r="F293" t="e">
        <f>AND('Additional Services'!B193,"AAAAAG7//QU=")</f>
        <v>#VALUE!</v>
      </c>
      <c r="G293" t="e">
        <f>AND('Additional Services'!#REF!,"AAAAAG7//QY=")</f>
        <v>#REF!</v>
      </c>
      <c r="H293" t="e">
        <f>AND('Additional Services'!C193,"AAAAAG7//Qc=")</f>
        <v>#VALUE!</v>
      </c>
      <c r="I293" t="e">
        <f>AND('Additional Services'!D193,"AAAAAG7//Qg=")</f>
        <v>#VALUE!</v>
      </c>
      <c r="J293" t="e">
        <f>AND('Additional Services'!#REF!,"AAAAAG7//Qk=")</f>
        <v>#REF!</v>
      </c>
      <c r="K293" t="e">
        <f>AND('Additional Services'!#REF!,"AAAAAG7//Qo=")</f>
        <v>#REF!</v>
      </c>
      <c r="L293" t="e">
        <f>AND('Additional Services'!#REF!,"AAAAAG7//Qs=")</f>
        <v>#REF!</v>
      </c>
      <c r="M293" t="e">
        <f>AND('Additional Services'!K193,"AAAAAG7//Qw=")</f>
        <v>#VALUE!</v>
      </c>
      <c r="N293" t="e">
        <f>AND('Additional Services'!L193,"AAAAAG7//Q0=")</f>
        <v>#VALUE!</v>
      </c>
      <c r="O293" t="e">
        <f>AND('Additional Services'!M193,"AAAAAG7//Q4=")</f>
        <v>#VALUE!</v>
      </c>
      <c r="P293" t="e">
        <f>AND('Additional Services'!H193,"AAAAAG7//Q8=")</f>
        <v>#VALUE!</v>
      </c>
      <c r="Q293" t="e">
        <f>AND('Additional Services'!I193,"AAAAAG7//RA=")</f>
        <v>#VALUE!</v>
      </c>
      <c r="R293">
        <f>IF('Additional Services'!194:194,"AAAAAG7//RE=",0)</f>
        <v>0</v>
      </c>
      <c r="S293" t="e">
        <f>AND('Additional Services'!#REF!,"AAAAAG7//RI=")</f>
        <v>#REF!</v>
      </c>
      <c r="T293" t="e">
        <f>AND('Additional Services'!B194,"AAAAAG7//RM=")</f>
        <v>#VALUE!</v>
      </c>
      <c r="U293" t="e">
        <f>AND('Additional Services'!#REF!,"AAAAAG7//RQ=")</f>
        <v>#REF!</v>
      </c>
      <c r="V293" t="e">
        <f>AND('Additional Services'!C194,"AAAAAG7//RU=")</f>
        <v>#VALUE!</v>
      </c>
      <c r="W293" t="e">
        <f>AND('Additional Services'!D194,"AAAAAG7//RY=")</f>
        <v>#VALUE!</v>
      </c>
      <c r="X293" t="e">
        <f>AND('Additional Services'!#REF!,"AAAAAG7//Rc=")</f>
        <v>#REF!</v>
      </c>
      <c r="Y293" t="e">
        <f>AND('Additional Services'!#REF!,"AAAAAG7//Rg=")</f>
        <v>#REF!</v>
      </c>
      <c r="Z293" t="e">
        <f>AND('Additional Services'!#REF!,"AAAAAG7//Rk=")</f>
        <v>#REF!</v>
      </c>
      <c r="AA293" t="e">
        <f>AND('Additional Services'!K194,"AAAAAG7//Ro=")</f>
        <v>#VALUE!</v>
      </c>
      <c r="AB293" t="e">
        <f>AND('Additional Services'!L194,"AAAAAG7//Rs=")</f>
        <v>#VALUE!</v>
      </c>
      <c r="AC293" t="e">
        <f>AND('Additional Services'!M194,"AAAAAG7//Rw=")</f>
        <v>#VALUE!</v>
      </c>
      <c r="AD293" t="e">
        <f>AND('Additional Services'!H194,"AAAAAG7//R0=")</f>
        <v>#VALUE!</v>
      </c>
      <c r="AE293" t="e">
        <f>AND('Additional Services'!I194,"AAAAAG7//R4=")</f>
        <v>#VALUE!</v>
      </c>
      <c r="AF293">
        <f>IF('Additional Services'!195:195,"AAAAAG7//R8=",0)</f>
        <v>0</v>
      </c>
      <c r="AG293" t="e">
        <f>AND('Additional Services'!#REF!,"AAAAAG7//SA=")</f>
        <v>#REF!</v>
      </c>
      <c r="AH293" t="e">
        <f>AND('Additional Services'!B195,"AAAAAG7//SE=")</f>
        <v>#VALUE!</v>
      </c>
      <c r="AI293" t="e">
        <f>AND('Additional Services'!#REF!,"AAAAAG7//SI=")</f>
        <v>#REF!</v>
      </c>
      <c r="AJ293" t="e">
        <f>AND('Additional Services'!C195,"AAAAAG7//SM=")</f>
        <v>#VALUE!</v>
      </c>
      <c r="AK293" t="e">
        <f>AND('Additional Services'!D195,"AAAAAG7//SQ=")</f>
        <v>#VALUE!</v>
      </c>
      <c r="AL293" t="e">
        <f>AND('Additional Services'!#REF!,"AAAAAG7//SU=")</f>
        <v>#REF!</v>
      </c>
      <c r="AM293" t="e">
        <f>AND('Additional Services'!#REF!,"AAAAAG7//SY=")</f>
        <v>#REF!</v>
      </c>
      <c r="AN293" t="e">
        <f>AND('Additional Services'!#REF!,"AAAAAG7//Sc=")</f>
        <v>#REF!</v>
      </c>
      <c r="AO293" t="e">
        <f>AND('Additional Services'!K195,"AAAAAG7//Sg=")</f>
        <v>#VALUE!</v>
      </c>
      <c r="AP293" t="e">
        <f>AND('Additional Services'!L195,"AAAAAG7//Sk=")</f>
        <v>#VALUE!</v>
      </c>
      <c r="AQ293" t="e">
        <f>AND('Additional Services'!M195,"AAAAAG7//So=")</f>
        <v>#VALUE!</v>
      </c>
      <c r="AR293" t="e">
        <f>AND('Additional Services'!H195,"AAAAAG7//Ss=")</f>
        <v>#VALUE!</v>
      </c>
      <c r="AS293" t="e">
        <f>AND('Additional Services'!I195,"AAAAAG7//Sw=")</f>
        <v>#VALUE!</v>
      </c>
      <c r="AT293">
        <f>IF('Additional Services'!196:196,"AAAAAG7//S0=",0)</f>
        <v>0</v>
      </c>
      <c r="AU293" t="e">
        <f>AND('Additional Services'!#REF!,"AAAAAG7//S4=")</f>
        <v>#REF!</v>
      </c>
      <c r="AV293" t="e">
        <f>AND('Additional Services'!B196,"AAAAAG7//S8=")</f>
        <v>#VALUE!</v>
      </c>
      <c r="AW293" t="e">
        <f>AND('Additional Services'!#REF!,"AAAAAG7//TA=")</f>
        <v>#REF!</v>
      </c>
      <c r="AX293" t="e">
        <f>AND('Additional Services'!C196,"AAAAAG7//TE=")</f>
        <v>#VALUE!</v>
      </c>
      <c r="AY293" t="e">
        <f>AND('Additional Services'!D196,"AAAAAG7//TI=")</f>
        <v>#VALUE!</v>
      </c>
      <c r="AZ293" t="e">
        <f>AND('Additional Services'!#REF!,"AAAAAG7//TM=")</f>
        <v>#REF!</v>
      </c>
      <c r="BA293" t="e">
        <f>AND('Additional Services'!#REF!,"AAAAAG7//TQ=")</f>
        <v>#REF!</v>
      </c>
      <c r="BB293" t="e">
        <f>AND('Additional Services'!#REF!,"AAAAAG7//TU=")</f>
        <v>#REF!</v>
      </c>
      <c r="BC293" t="e">
        <f>AND('Additional Services'!K196,"AAAAAG7//TY=")</f>
        <v>#VALUE!</v>
      </c>
      <c r="BD293" t="e">
        <f>AND('Additional Services'!L196,"AAAAAG7//Tc=")</f>
        <v>#VALUE!</v>
      </c>
      <c r="BE293" t="e">
        <f>AND('Additional Services'!M196,"AAAAAG7//Tg=")</f>
        <v>#VALUE!</v>
      </c>
      <c r="BF293" t="e">
        <f>AND('Additional Services'!H196,"AAAAAG7//Tk=")</f>
        <v>#VALUE!</v>
      </c>
      <c r="BG293" t="e">
        <f>AND('Additional Services'!I196,"AAAAAG7//To=")</f>
        <v>#VALUE!</v>
      </c>
      <c r="BH293">
        <f>IF('Additional Services'!197:197,"AAAAAG7//Ts=",0)</f>
        <v>0</v>
      </c>
      <c r="BI293" t="e">
        <f>AND('Additional Services'!#REF!,"AAAAAG7//Tw=")</f>
        <v>#REF!</v>
      </c>
      <c r="BJ293" t="e">
        <f>AND('Additional Services'!B197,"AAAAAG7//T0=")</f>
        <v>#VALUE!</v>
      </c>
      <c r="BK293" t="e">
        <f>AND('Additional Services'!#REF!,"AAAAAG7//T4=")</f>
        <v>#REF!</v>
      </c>
      <c r="BL293" t="e">
        <f>AND('Additional Services'!C197,"AAAAAG7//T8=")</f>
        <v>#VALUE!</v>
      </c>
      <c r="BM293" t="e">
        <f>AND('Additional Services'!D197,"AAAAAG7//UA=")</f>
        <v>#VALUE!</v>
      </c>
      <c r="BN293" t="e">
        <f>AND('Additional Services'!#REF!,"AAAAAG7//UE=")</f>
        <v>#REF!</v>
      </c>
      <c r="BO293" t="e">
        <f>AND('Additional Services'!#REF!,"AAAAAG7//UI=")</f>
        <v>#REF!</v>
      </c>
      <c r="BP293" t="e">
        <f>AND('Additional Services'!#REF!,"AAAAAG7//UM=")</f>
        <v>#REF!</v>
      </c>
      <c r="BQ293" t="e">
        <f>AND('Additional Services'!K197,"AAAAAG7//UQ=")</f>
        <v>#VALUE!</v>
      </c>
      <c r="BR293" t="e">
        <f>AND('Additional Services'!L197,"AAAAAG7//UU=")</f>
        <v>#VALUE!</v>
      </c>
      <c r="BS293" t="e">
        <f>AND('Additional Services'!M197,"AAAAAG7//UY=")</f>
        <v>#VALUE!</v>
      </c>
      <c r="BT293" t="e">
        <f>AND('Additional Services'!H197,"AAAAAG7//Uc=")</f>
        <v>#VALUE!</v>
      </c>
      <c r="BU293" t="e">
        <f>AND('Additional Services'!I197,"AAAAAG7//Ug=")</f>
        <v>#VALUE!</v>
      </c>
      <c r="BV293">
        <f>IF('Additional Services'!198:198,"AAAAAG7//Uk=",0)</f>
        <v>0</v>
      </c>
      <c r="BW293" t="e">
        <f>AND('Additional Services'!#REF!,"AAAAAG7//Uo=")</f>
        <v>#REF!</v>
      </c>
      <c r="BX293" t="e">
        <f>AND('Additional Services'!B198,"AAAAAG7//Us=")</f>
        <v>#VALUE!</v>
      </c>
      <c r="BY293" t="e">
        <f>AND('Additional Services'!#REF!,"AAAAAG7//Uw=")</f>
        <v>#REF!</v>
      </c>
      <c r="BZ293" t="e">
        <f>AND('Additional Services'!C198,"AAAAAG7//U0=")</f>
        <v>#VALUE!</v>
      </c>
      <c r="CA293" t="e">
        <f>AND('Additional Services'!D198,"AAAAAG7//U4=")</f>
        <v>#VALUE!</v>
      </c>
      <c r="CB293" t="e">
        <f>AND('Additional Services'!#REF!,"AAAAAG7//U8=")</f>
        <v>#REF!</v>
      </c>
      <c r="CC293" t="e">
        <f>AND('Additional Services'!#REF!,"AAAAAG7//VA=")</f>
        <v>#REF!</v>
      </c>
      <c r="CD293" t="e">
        <f>AND('Additional Services'!#REF!,"AAAAAG7//VE=")</f>
        <v>#REF!</v>
      </c>
      <c r="CE293" t="e">
        <f>AND('Additional Services'!K198,"AAAAAG7//VI=")</f>
        <v>#VALUE!</v>
      </c>
      <c r="CF293" t="e">
        <f>AND('Additional Services'!L198,"AAAAAG7//VM=")</f>
        <v>#VALUE!</v>
      </c>
      <c r="CG293" t="e">
        <f>AND('Additional Services'!M198,"AAAAAG7//VQ=")</f>
        <v>#VALUE!</v>
      </c>
      <c r="CH293" t="e">
        <f>AND('Additional Services'!H198,"AAAAAG7//VU=")</f>
        <v>#VALUE!</v>
      </c>
      <c r="CI293" t="e">
        <f>AND('Additional Services'!I198,"AAAAAG7//VY=")</f>
        <v>#VALUE!</v>
      </c>
      <c r="CJ293">
        <f>IF('Additional Services'!199:199,"AAAAAG7//Vc=",0)</f>
        <v>0</v>
      </c>
      <c r="CK293" t="e">
        <f>AND('Additional Services'!#REF!,"AAAAAG7//Vg=")</f>
        <v>#REF!</v>
      </c>
      <c r="CL293" t="e">
        <f>AND('Additional Services'!B199,"AAAAAG7//Vk=")</f>
        <v>#VALUE!</v>
      </c>
      <c r="CM293" t="e">
        <f>AND('Additional Services'!#REF!,"AAAAAG7//Vo=")</f>
        <v>#REF!</v>
      </c>
      <c r="CN293" t="e">
        <f>AND('Additional Services'!C199,"AAAAAG7//Vs=")</f>
        <v>#VALUE!</v>
      </c>
      <c r="CO293" t="e">
        <f>AND('Additional Services'!D199,"AAAAAG7//Vw=")</f>
        <v>#VALUE!</v>
      </c>
      <c r="CP293" t="e">
        <f>AND('Additional Services'!#REF!,"AAAAAG7//V0=")</f>
        <v>#REF!</v>
      </c>
      <c r="CQ293" t="e">
        <f>AND('Additional Services'!#REF!,"AAAAAG7//V4=")</f>
        <v>#REF!</v>
      </c>
      <c r="CR293" t="e">
        <f>AND('Additional Services'!#REF!,"AAAAAG7//V8=")</f>
        <v>#REF!</v>
      </c>
      <c r="CS293" t="e">
        <f>AND('Additional Services'!K199,"AAAAAG7//WA=")</f>
        <v>#VALUE!</v>
      </c>
      <c r="CT293" t="e">
        <f>AND('Additional Services'!L199,"AAAAAG7//WE=")</f>
        <v>#VALUE!</v>
      </c>
      <c r="CU293" t="e">
        <f>AND('Additional Services'!M199,"AAAAAG7//WI=")</f>
        <v>#VALUE!</v>
      </c>
      <c r="CV293" t="e">
        <f>AND('Additional Services'!H199,"AAAAAG7//WM=")</f>
        <v>#VALUE!</v>
      </c>
      <c r="CW293" t="e">
        <f>AND('Additional Services'!I199,"AAAAAG7//WQ=")</f>
        <v>#VALUE!</v>
      </c>
      <c r="CX293">
        <f>IF('Additional Services'!200:200,"AAAAAG7//WU=",0)</f>
        <v>0</v>
      </c>
      <c r="CY293" t="e">
        <f>AND('Additional Services'!#REF!,"AAAAAG7//WY=")</f>
        <v>#REF!</v>
      </c>
      <c r="CZ293" t="e">
        <f>AND('Additional Services'!B200,"AAAAAG7//Wc=")</f>
        <v>#VALUE!</v>
      </c>
      <c r="DA293" t="e">
        <f>AND('Additional Services'!#REF!,"AAAAAG7//Wg=")</f>
        <v>#REF!</v>
      </c>
      <c r="DB293" t="e">
        <f>AND('Additional Services'!C200,"AAAAAG7//Wk=")</f>
        <v>#VALUE!</v>
      </c>
      <c r="DC293" t="e">
        <f>AND('Additional Services'!D200,"AAAAAG7//Wo=")</f>
        <v>#VALUE!</v>
      </c>
      <c r="DD293" t="e">
        <f>AND('Additional Services'!#REF!,"AAAAAG7//Ws=")</f>
        <v>#REF!</v>
      </c>
      <c r="DE293" t="e">
        <f>AND('Additional Services'!#REF!,"AAAAAG7//Ww=")</f>
        <v>#REF!</v>
      </c>
      <c r="DF293" t="e">
        <f>AND('Additional Services'!#REF!,"AAAAAG7//W0=")</f>
        <v>#REF!</v>
      </c>
      <c r="DG293" t="e">
        <f>AND('Additional Services'!K200,"AAAAAG7//W4=")</f>
        <v>#VALUE!</v>
      </c>
      <c r="DH293" t="e">
        <f>AND('Additional Services'!L200,"AAAAAG7//W8=")</f>
        <v>#VALUE!</v>
      </c>
      <c r="DI293" t="e">
        <f>AND('Additional Services'!M200,"AAAAAG7//XA=")</f>
        <v>#VALUE!</v>
      </c>
      <c r="DJ293" t="e">
        <f>AND('Additional Services'!H200,"AAAAAG7//XE=")</f>
        <v>#VALUE!</v>
      </c>
      <c r="DK293" t="e">
        <f>AND('Additional Services'!I200,"AAAAAG7//XI=")</f>
        <v>#VALUE!</v>
      </c>
      <c r="DL293">
        <f>IF('Additional Services'!201:201,"AAAAAG7//XM=",0)</f>
        <v>0</v>
      </c>
      <c r="DM293" t="e">
        <f>AND('Additional Services'!#REF!,"AAAAAG7//XQ=")</f>
        <v>#REF!</v>
      </c>
      <c r="DN293" t="e">
        <f>AND('Additional Services'!B201,"AAAAAG7//XU=")</f>
        <v>#VALUE!</v>
      </c>
      <c r="DO293" t="e">
        <f>AND('Additional Services'!#REF!,"AAAAAG7//XY=")</f>
        <v>#REF!</v>
      </c>
      <c r="DP293" t="e">
        <f>AND('Additional Services'!C201,"AAAAAG7//Xc=")</f>
        <v>#VALUE!</v>
      </c>
      <c r="DQ293" t="e">
        <f>AND('Additional Services'!D201,"AAAAAG7//Xg=")</f>
        <v>#VALUE!</v>
      </c>
      <c r="DR293" t="e">
        <f>AND('Additional Services'!#REF!,"AAAAAG7//Xk=")</f>
        <v>#REF!</v>
      </c>
      <c r="DS293" t="e">
        <f>AND('Additional Services'!#REF!,"AAAAAG7//Xo=")</f>
        <v>#REF!</v>
      </c>
      <c r="DT293" t="e">
        <f>AND('Additional Services'!#REF!,"AAAAAG7//Xs=")</f>
        <v>#REF!</v>
      </c>
      <c r="DU293" t="e">
        <f>AND('Additional Services'!K201,"AAAAAG7//Xw=")</f>
        <v>#VALUE!</v>
      </c>
      <c r="DV293" t="e">
        <f>AND('Additional Services'!L201,"AAAAAG7//X0=")</f>
        <v>#VALUE!</v>
      </c>
      <c r="DW293" t="e">
        <f>AND('Additional Services'!M201,"AAAAAG7//X4=")</f>
        <v>#VALUE!</v>
      </c>
      <c r="DX293" t="e">
        <f>AND('Additional Services'!H201,"AAAAAG7//X8=")</f>
        <v>#VALUE!</v>
      </c>
      <c r="DY293" t="e">
        <f>AND('Additional Services'!I201,"AAAAAG7//YA=")</f>
        <v>#VALUE!</v>
      </c>
      <c r="DZ293">
        <f>IF('Additional Services'!202:202,"AAAAAG7//YE=",0)</f>
        <v>0</v>
      </c>
      <c r="EA293" t="e">
        <f>AND('Additional Services'!#REF!,"AAAAAG7//YI=")</f>
        <v>#REF!</v>
      </c>
      <c r="EB293" t="e">
        <f>AND('Additional Services'!B202,"AAAAAG7//YM=")</f>
        <v>#VALUE!</v>
      </c>
      <c r="EC293" t="e">
        <f>AND('Additional Services'!#REF!,"AAAAAG7//YQ=")</f>
        <v>#REF!</v>
      </c>
      <c r="ED293" t="e">
        <f>AND('Additional Services'!C202,"AAAAAG7//YU=")</f>
        <v>#VALUE!</v>
      </c>
      <c r="EE293" t="e">
        <f>AND('Additional Services'!D202,"AAAAAG7//YY=")</f>
        <v>#VALUE!</v>
      </c>
      <c r="EF293" t="e">
        <f>AND('Additional Services'!#REF!,"AAAAAG7//Yc=")</f>
        <v>#REF!</v>
      </c>
      <c r="EG293" t="e">
        <f>AND('Additional Services'!#REF!,"AAAAAG7//Yg=")</f>
        <v>#REF!</v>
      </c>
      <c r="EH293" t="e">
        <f>AND('Additional Services'!#REF!,"AAAAAG7//Yk=")</f>
        <v>#REF!</v>
      </c>
      <c r="EI293" t="e">
        <f>AND('Additional Services'!K202,"AAAAAG7//Yo=")</f>
        <v>#VALUE!</v>
      </c>
      <c r="EJ293" t="e">
        <f>AND('Additional Services'!L202,"AAAAAG7//Ys=")</f>
        <v>#VALUE!</v>
      </c>
      <c r="EK293" t="e">
        <f>AND('Additional Services'!M202,"AAAAAG7//Yw=")</f>
        <v>#VALUE!</v>
      </c>
      <c r="EL293" t="e">
        <f>AND('Additional Services'!H202,"AAAAAG7//Y0=")</f>
        <v>#VALUE!</v>
      </c>
      <c r="EM293" t="e">
        <f>AND('Additional Services'!I202,"AAAAAG7//Y4=")</f>
        <v>#VALUE!</v>
      </c>
      <c r="EN293" t="e">
        <f>IF('Additional Services'!#REF!,"AAAAAG7//Y8=",0)</f>
        <v>#REF!</v>
      </c>
      <c r="EO293" t="e">
        <f>AND('Additional Services'!#REF!,"AAAAAG7//ZA=")</f>
        <v>#REF!</v>
      </c>
      <c r="EP293" t="e">
        <f>AND('Additional Services'!#REF!,"AAAAAG7//ZE=")</f>
        <v>#REF!</v>
      </c>
      <c r="EQ293" t="e">
        <f>AND('Additional Services'!#REF!,"AAAAAG7//ZI=")</f>
        <v>#REF!</v>
      </c>
      <c r="ER293" t="e">
        <f>AND('Additional Services'!#REF!,"AAAAAG7//ZM=")</f>
        <v>#REF!</v>
      </c>
      <c r="ES293" t="e">
        <f>AND('Additional Services'!#REF!,"AAAAAG7//ZQ=")</f>
        <v>#REF!</v>
      </c>
      <c r="ET293" t="e">
        <f>AND('Additional Services'!#REF!,"AAAAAG7//ZU=")</f>
        <v>#REF!</v>
      </c>
      <c r="EU293" t="e">
        <f>AND('Additional Services'!#REF!,"AAAAAG7//ZY=")</f>
        <v>#REF!</v>
      </c>
      <c r="EV293" t="e">
        <f>AND('Additional Services'!#REF!,"AAAAAG7//Zc=")</f>
        <v>#REF!</v>
      </c>
      <c r="EW293" t="e">
        <f>AND('Additional Services'!#REF!,"AAAAAG7//Zg=")</f>
        <v>#REF!</v>
      </c>
      <c r="EX293" t="e">
        <f>AND('Additional Services'!#REF!,"AAAAAG7//Zk=")</f>
        <v>#REF!</v>
      </c>
      <c r="EY293" t="e">
        <f>AND('Additional Services'!#REF!,"AAAAAG7//Zo=")</f>
        <v>#REF!</v>
      </c>
      <c r="EZ293" t="e">
        <f>AND('Additional Services'!#REF!,"AAAAAG7//Zs=")</f>
        <v>#REF!</v>
      </c>
      <c r="FA293" t="e">
        <f>AND('Additional Services'!#REF!,"AAAAAG7//Zw=")</f>
        <v>#REF!</v>
      </c>
      <c r="FB293">
        <f>IF('Additional Services'!203:203,"AAAAAG7//Z0=",0)</f>
        <v>0</v>
      </c>
      <c r="FC293" t="e">
        <f>AND('Additional Services'!#REF!,"AAAAAG7//Z4=")</f>
        <v>#REF!</v>
      </c>
      <c r="FD293" t="e">
        <f>AND('Additional Services'!A203,"AAAAAG7//Z8=")</f>
        <v>#VALUE!</v>
      </c>
      <c r="FE293" t="e">
        <f>AND('Additional Services'!B203,"AAAAAG7//aA=")</f>
        <v>#VALUE!</v>
      </c>
      <c r="FF293" t="e">
        <f>AND('Additional Services'!C203,"AAAAAG7//aE=")</f>
        <v>#VALUE!</v>
      </c>
      <c r="FG293" t="e">
        <f>AND('Additional Services'!D203,"AAAAAG7//aI=")</f>
        <v>#VALUE!</v>
      </c>
      <c r="FH293" t="e">
        <f>AND('Additional Services'!#REF!,"AAAAAG7//aM=")</f>
        <v>#REF!</v>
      </c>
      <c r="FI293" t="e">
        <f>AND('Additional Services'!#REF!,"AAAAAG7//aQ=")</f>
        <v>#REF!</v>
      </c>
      <c r="FJ293" t="e">
        <f>AND('Additional Services'!#REF!,"AAAAAG7//aU=")</f>
        <v>#REF!</v>
      </c>
      <c r="FK293" t="e">
        <f>AND('Additional Services'!K203,"AAAAAG7//aY=")</f>
        <v>#VALUE!</v>
      </c>
      <c r="FL293" t="e">
        <f>AND('Additional Services'!L203,"AAAAAG7//ac=")</f>
        <v>#VALUE!</v>
      </c>
      <c r="FM293" t="e">
        <f>AND('Additional Services'!M203,"AAAAAG7//ag=")</f>
        <v>#VALUE!</v>
      </c>
      <c r="FN293" t="e">
        <f>AND('Additional Services'!H203,"AAAAAG7//ak=")</f>
        <v>#VALUE!</v>
      </c>
      <c r="FO293" t="e">
        <f>AND('Additional Services'!I203,"AAAAAG7//ao=")</f>
        <v>#VALUE!</v>
      </c>
      <c r="FP293">
        <f>IF('Additional Services'!204:204,"AAAAAG7//as=",0)</f>
        <v>0</v>
      </c>
      <c r="FQ293" t="e">
        <f>AND('Additional Services'!#REF!,"AAAAAG7//aw=")</f>
        <v>#REF!</v>
      </c>
      <c r="FR293" t="e">
        <f>AND('Additional Services'!A204,"AAAAAG7//a0=")</f>
        <v>#VALUE!</v>
      </c>
      <c r="FS293" t="e">
        <f>AND('Additional Services'!B204,"AAAAAG7//a4=")</f>
        <v>#VALUE!</v>
      </c>
      <c r="FT293" t="e">
        <f>AND('Additional Services'!C204,"AAAAAG7//a8=")</f>
        <v>#VALUE!</v>
      </c>
      <c r="FU293" t="e">
        <f>AND('Additional Services'!D204,"AAAAAG7//bA=")</f>
        <v>#VALUE!</v>
      </c>
      <c r="FV293" t="e">
        <f>AND('Additional Services'!#REF!,"AAAAAG7//bE=")</f>
        <v>#REF!</v>
      </c>
      <c r="FW293" t="e">
        <f>AND('Additional Services'!#REF!,"AAAAAG7//bI=")</f>
        <v>#REF!</v>
      </c>
      <c r="FX293" t="e">
        <f>AND('Additional Services'!#REF!,"AAAAAG7//bM=")</f>
        <v>#REF!</v>
      </c>
      <c r="FY293" t="e">
        <f>AND('Additional Services'!K204,"AAAAAG7//bQ=")</f>
        <v>#VALUE!</v>
      </c>
      <c r="FZ293" t="e">
        <f>AND('Additional Services'!L204,"AAAAAG7//bU=")</f>
        <v>#VALUE!</v>
      </c>
      <c r="GA293" t="e">
        <f>AND('Additional Services'!M204,"AAAAAG7//bY=")</f>
        <v>#VALUE!</v>
      </c>
      <c r="GB293" t="e">
        <f>AND('Additional Services'!H204,"AAAAAG7//bc=")</f>
        <v>#VALUE!</v>
      </c>
      <c r="GC293" t="e">
        <f>AND('Additional Services'!I204,"AAAAAG7//bg=")</f>
        <v>#VALUE!</v>
      </c>
      <c r="GD293" t="e">
        <f>IF('Additional Services'!#REF!,"AAAAAG7//bk=",0)</f>
        <v>#REF!</v>
      </c>
      <c r="GE293" t="e">
        <f>AND('Additional Services'!#REF!,"AAAAAG7//bo=")</f>
        <v>#REF!</v>
      </c>
      <c r="GF293" t="e">
        <f>AND('Additional Services'!#REF!,"AAAAAG7//bs=")</f>
        <v>#REF!</v>
      </c>
      <c r="GG293" t="e">
        <f>AND('Additional Services'!#REF!,"AAAAAG7//bw=")</f>
        <v>#REF!</v>
      </c>
      <c r="GH293" t="e">
        <f>AND('Additional Services'!#REF!,"AAAAAG7//b0=")</f>
        <v>#REF!</v>
      </c>
      <c r="GI293" t="e">
        <f>AND('Additional Services'!#REF!,"AAAAAG7//b4=")</f>
        <v>#REF!</v>
      </c>
      <c r="GJ293" t="e">
        <f>AND('Additional Services'!#REF!,"AAAAAG7//b8=")</f>
        <v>#REF!</v>
      </c>
      <c r="GK293" t="e">
        <f>AND('Additional Services'!#REF!,"AAAAAG7//cA=")</f>
        <v>#REF!</v>
      </c>
      <c r="GL293" t="e">
        <f>AND('Additional Services'!#REF!,"AAAAAG7//cE=")</f>
        <v>#REF!</v>
      </c>
      <c r="GM293" t="e">
        <f>AND('Additional Services'!#REF!,"AAAAAG7//cI=")</f>
        <v>#REF!</v>
      </c>
      <c r="GN293" t="e">
        <f>AND('Additional Services'!#REF!,"AAAAAG7//cM=")</f>
        <v>#REF!</v>
      </c>
      <c r="GO293" t="e">
        <f>AND('Additional Services'!#REF!,"AAAAAG7//cQ=")</f>
        <v>#REF!</v>
      </c>
      <c r="GP293" t="e">
        <f>AND('Additional Services'!#REF!,"AAAAAG7//cU=")</f>
        <v>#REF!</v>
      </c>
      <c r="GQ293" t="e">
        <f>AND('Additional Services'!#REF!,"AAAAAG7//cY=")</f>
        <v>#REF!</v>
      </c>
      <c r="GR293">
        <f>IF('Additional Services'!205:205,"AAAAAG7//cc=",0)</f>
        <v>0</v>
      </c>
      <c r="GS293" t="e">
        <f>AND('Additional Services'!#REF!,"AAAAAG7//cg=")</f>
        <v>#REF!</v>
      </c>
      <c r="GT293" t="e">
        <f>AND('Additional Services'!A205,"AAAAAG7//ck=")</f>
        <v>#VALUE!</v>
      </c>
      <c r="GU293" t="e">
        <f>AND('Additional Services'!B205,"AAAAAG7//co=")</f>
        <v>#VALUE!</v>
      </c>
      <c r="GV293" t="e">
        <f>AND('Additional Services'!C205,"AAAAAG7//cs=")</f>
        <v>#VALUE!</v>
      </c>
      <c r="GW293" t="e">
        <f>AND('Additional Services'!D205,"AAAAAG7//cw=")</f>
        <v>#VALUE!</v>
      </c>
      <c r="GX293" t="e">
        <f>AND('Additional Services'!#REF!,"AAAAAG7//c0=")</f>
        <v>#REF!</v>
      </c>
      <c r="GY293" t="e">
        <f>AND('Additional Services'!#REF!,"AAAAAG7//c4=")</f>
        <v>#REF!</v>
      </c>
      <c r="GZ293" t="e">
        <f>AND('Additional Services'!#REF!,"AAAAAG7//c8=")</f>
        <v>#REF!</v>
      </c>
      <c r="HA293" t="e">
        <f>AND('Additional Services'!K205,"AAAAAG7//dA=")</f>
        <v>#VALUE!</v>
      </c>
      <c r="HB293" t="e">
        <f>AND('Additional Services'!L205,"AAAAAG7//dE=")</f>
        <v>#VALUE!</v>
      </c>
      <c r="HC293" t="e">
        <f>AND('Additional Services'!M205,"AAAAAG7//dI=")</f>
        <v>#VALUE!</v>
      </c>
      <c r="HD293" t="e">
        <f>AND('Additional Services'!H205,"AAAAAG7//dM=")</f>
        <v>#VALUE!</v>
      </c>
      <c r="HE293" t="e">
        <f>AND('Additional Services'!I205,"AAAAAG7//dQ=")</f>
        <v>#VALUE!</v>
      </c>
      <c r="HF293">
        <f>IF('Additional Services'!206:206,"AAAAAG7//dU=",0)</f>
        <v>0</v>
      </c>
      <c r="HG293" t="e">
        <f>AND('Additional Services'!#REF!,"AAAAAG7//dY=")</f>
        <v>#REF!</v>
      </c>
      <c r="HH293" t="e">
        <f>AND('Additional Services'!B206,"AAAAAG7//dc=")</f>
        <v>#VALUE!</v>
      </c>
      <c r="HI293" t="e">
        <f>AND('Additional Services'!#REF!,"AAAAAG7//dg=")</f>
        <v>#REF!</v>
      </c>
      <c r="HJ293" t="e">
        <f>AND('Additional Services'!C206,"AAAAAG7//dk=")</f>
        <v>#VALUE!</v>
      </c>
      <c r="HK293" t="e">
        <f>AND('Additional Services'!D206,"AAAAAG7//do=")</f>
        <v>#VALUE!</v>
      </c>
      <c r="HL293" t="e">
        <f>AND('Additional Services'!#REF!,"AAAAAG7//ds=")</f>
        <v>#REF!</v>
      </c>
      <c r="HM293" t="e">
        <f>AND('Additional Services'!#REF!,"AAAAAG7//dw=")</f>
        <v>#REF!</v>
      </c>
      <c r="HN293" t="e">
        <f>AND('Additional Services'!#REF!,"AAAAAG7//d0=")</f>
        <v>#REF!</v>
      </c>
      <c r="HO293" t="e">
        <f>AND('Additional Services'!K206,"AAAAAG7//d4=")</f>
        <v>#VALUE!</v>
      </c>
      <c r="HP293" t="e">
        <f>AND('Additional Services'!L206,"AAAAAG7//d8=")</f>
        <v>#VALUE!</v>
      </c>
      <c r="HQ293" t="e">
        <f>AND('Additional Services'!M206,"AAAAAG7//eA=")</f>
        <v>#VALUE!</v>
      </c>
      <c r="HR293" t="e">
        <f>AND('Additional Services'!H206,"AAAAAG7//eE=")</f>
        <v>#VALUE!</v>
      </c>
      <c r="HS293" t="e">
        <f>AND('Additional Services'!I206,"AAAAAG7//eI=")</f>
        <v>#VALUE!</v>
      </c>
      <c r="HT293">
        <f>IF('Additional Services'!207:207,"AAAAAG7//eM=",0)</f>
        <v>0</v>
      </c>
      <c r="HU293" t="e">
        <f>AND('Additional Services'!#REF!,"AAAAAG7//eQ=")</f>
        <v>#REF!</v>
      </c>
      <c r="HV293" t="e">
        <f>AND('Additional Services'!B207,"AAAAAG7//eU=")</f>
        <v>#VALUE!</v>
      </c>
      <c r="HW293" t="e">
        <f>AND('Additional Services'!#REF!,"AAAAAG7//eY=")</f>
        <v>#REF!</v>
      </c>
      <c r="HX293" t="e">
        <f>AND('Additional Services'!C207,"AAAAAG7//ec=")</f>
        <v>#VALUE!</v>
      </c>
      <c r="HY293" t="e">
        <f>AND('Additional Services'!D207,"AAAAAG7//eg=")</f>
        <v>#VALUE!</v>
      </c>
      <c r="HZ293" t="e">
        <f>AND('Additional Services'!#REF!,"AAAAAG7//ek=")</f>
        <v>#REF!</v>
      </c>
      <c r="IA293" t="e">
        <f>AND('Additional Services'!#REF!,"AAAAAG7//eo=")</f>
        <v>#REF!</v>
      </c>
      <c r="IB293" t="e">
        <f>AND('Additional Services'!#REF!,"AAAAAG7//es=")</f>
        <v>#REF!</v>
      </c>
      <c r="IC293" t="e">
        <f>AND('Additional Services'!K207,"AAAAAG7//ew=")</f>
        <v>#VALUE!</v>
      </c>
      <c r="ID293" t="e">
        <f>AND('Additional Services'!L207,"AAAAAG7//e0=")</f>
        <v>#VALUE!</v>
      </c>
      <c r="IE293" t="e">
        <f>AND('Additional Services'!M207,"AAAAAG7//e4=")</f>
        <v>#VALUE!</v>
      </c>
      <c r="IF293" t="e">
        <f>AND('Additional Services'!H207,"AAAAAG7//e8=")</f>
        <v>#VALUE!</v>
      </c>
      <c r="IG293" t="e">
        <f>AND('Additional Services'!I207,"AAAAAG7//fA=")</f>
        <v>#VALUE!</v>
      </c>
      <c r="IH293" t="e">
        <f>IF('Additional Services'!#REF!,"AAAAAG7//fE=",0)</f>
        <v>#REF!</v>
      </c>
      <c r="II293" t="e">
        <f>AND('Additional Services'!#REF!,"AAAAAG7//fI=")</f>
        <v>#REF!</v>
      </c>
      <c r="IJ293" t="e">
        <f>AND('Additional Services'!#REF!,"AAAAAG7//fM=")</f>
        <v>#REF!</v>
      </c>
      <c r="IK293" t="e">
        <f>AND('Additional Services'!#REF!,"AAAAAG7//fQ=")</f>
        <v>#REF!</v>
      </c>
      <c r="IL293" t="e">
        <f>AND('Additional Services'!#REF!,"AAAAAG7//fU=")</f>
        <v>#REF!</v>
      </c>
      <c r="IM293" t="e">
        <f>AND('Additional Services'!#REF!,"AAAAAG7//fY=")</f>
        <v>#REF!</v>
      </c>
      <c r="IN293" t="e">
        <f>AND('Additional Services'!#REF!,"AAAAAG7//fc=")</f>
        <v>#REF!</v>
      </c>
      <c r="IO293" t="e">
        <f>AND('Additional Services'!#REF!,"AAAAAG7//fg=")</f>
        <v>#REF!</v>
      </c>
      <c r="IP293" t="e">
        <f>AND('Additional Services'!#REF!,"AAAAAG7//fk=")</f>
        <v>#REF!</v>
      </c>
      <c r="IQ293" t="e">
        <f>AND('Additional Services'!#REF!,"AAAAAG7//fo=")</f>
        <v>#REF!</v>
      </c>
      <c r="IR293" t="e">
        <f>AND('Additional Services'!#REF!,"AAAAAG7//fs=")</f>
        <v>#REF!</v>
      </c>
      <c r="IS293" t="e">
        <f>AND('Additional Services'!#REF!,"AAAAAG7//fw=")</f>
        <v>#REF!</v>
      </c>
      <c r="IT293" t="e">
        <f>AND('Additional Services'!#REF!,"AAAAAG7//f0=")</f>
        <v>#REF!</v>
      </c>
      <c r="IU293" t="e">
        <f>AND('Additional Services'!#REF!,"AAAAAG7//f4=")</f>
        <v>#REF!</v>
      </c>
      <c r="IV293">
        <f>IF('Additional Services'!208:208,"AAAAAG7//f8=",0)</f>
        <v>0</v>
      </c>
    </row>
    <row r="294" spans="1:256" x14ac:dyDescent="0.2">
      <c r="A294" t="e">
        <f>AND('Additional Services'!#REF!,"AAAAAFftTQA=")</f>
        <v>#REF!</v>
      </c>
      <c r="B294" t="e">
        <f>AND('Additional Services'!A208,"AAAAAFftTQE=")</f>
        <v>#VALUE!</v>
      </c>
      <c r="C294" t="e">
        <f>AND('Additional Services'!B208,"AAAAAFftTQI=")</f>
        <v>#VALUE!</v>
      </c>
      <c r="D294" t="e">
        <f>AND('Additional Services'!C208,"AAAAAFftTQM=")</f>
        <v>#VALUE!</v>
      </c>
      <c r="E294" t="e">
        <f>AND('Additional Services'!D208,"AAAAAFftTQQ=")</f>
        <v>#VALUE!</v>
      </c>
      <c r="F294" t="e">
        <f>AND('Additional Services'!#REF!,"AAAAAFftTQU=")</f>
        <v>#REF!</v>
      </c>
      <c r="G294" t="e">
        <f>AND('Additional Services'!#REF!,"AAAAAFftTQY=")</f>
        <v>#REF!</v>
      </c>
      <c r="H294" t="e">
        <f>AND('Additional Services'!#REF!,"AAAAAFftTQc=")</f>
        <v>#REF!</v>
      </c>
      <c r="I294" t="e">
        <f>AND('Additional Services'!K208,"AAAAAFftTQg=")</f>
        <v>#VALUE!</v>
      </c>
      <c r="J294" t="e">
        <f>AND('Additional Services'!L208,"AAAAAFftTQk=")</f>
        <v>#VALUE!</v>
      </c>
      <c r="K294" t="e">
        <f>AND('Additional Services'!M208,"AAAAAFftTQo=")</f>
        <v>#VALUE!</v>
      </c>
      <c r="L294" t="e">
        <f>AND('Additional Services'!H208,"AAAAAFftTQs=")</f>
        <v>#VALUE!</v>
      </c>
      <c r="M294" t="e">
        <f>AND('Additional Services'!I208,"AAAAAFftTQw=")</f>
        <v>#VALUE!</v>
      </c>
      <c r="N294">
        <f>IF('Additional Services'!209:209,"AAAAAFftTQ0=",0)</f>
        <v>0</v>
      </c>
      <c r="O294" t="e">
        <f>AND('Additional Services'!#REF!,"AAAAAFftTQ4=")</f>
        <v>#REF!</v>
      </c>
      <c r="P294" t="e">
        <f>AND('Additional Services'!A209,"AAAAAFftTQ8=")</f>
        <v>#VALUE!</v>
      </c>
      <c r="Q294" t="e">
        <f>AND('Additional Services'!B209,"AAAAAFftTRA=")</f>
        <v>#VALUE!</v>
      </c>
      <c r="R294" t="e">
        <f>AND('Additional Services'!C209,"AAAAAFftTRE=")</f>
        <v>#VALUE!</v>
      </c>
      <c r="S294" t="e">
        <f>AND('Additional Services'!D209,"AAAAAFftTRI=")</f>
        <v>#VALUE!</v>
      </c>
      <c r="T294" t="e">
        <f>AND('Additional Services'!#REF!,"AAAAAFftTRM=")</f>
        <v>#REF!</v>
      </c>
      <c r="U294" t="e">
        <f>AND('Additional Services'!#REF!,"AAAAAFftTRQ=")</f>
        <v>#REF!</v>
      </c>
      <c r="V294" t="e">
        <f>AND('Additional Services'!#REF!,"AAAAAFftTRU=")</f>
        <v>#REF!</v>
      </c>
      <c r="W294" t="e">
        <f>AND('Additional Services'!K209,"AAAAAFftTRY=")</f>
        <v>#VALUE!</v>
      </c>
      <c r="X294" t="e">
        <f>AND('Additional Services'!L209,"AAAAAFftTRc=")</f>
        <v>#VALUE!</v>
      </c>
      <c r="Y294" t="e">
        <f>AND('Additional Services'!M209,"AAAAAFftTRg=")</f>
        <v>#VALUE!</v>
      </c>
      <c r="Z294" t="e">
        <f>AND('Additional Services'!H209,"AAAAAFftTRk=")</f>
        <v>#VALUE!</v>
      </c>
      <c r="AA294" t="e">
        <f>AND('Additional Services'!I209,"AAAAAFftTRo=")</f>
        <v>#VALUE!</v>
      </c>
      <c r="AB294" t="e">
        <f>IF('Additional Services'!#REF!,"AAAAAFftTRs=",0)</f>
        <v>#REF!</v>
      </c>
      <c r="AC294" t="e">
        <f>AND('Additional Services'!#REF!,"AAAAAFftTRw=")</f>
        <v>#REF!</v>
      </c>
      <c r="AD294" t="e">
        <f>AND('Additional Services'!#REF!,"AAAAAFftTR0=")</f>
        <v>#REF!</v>
      </c>
      <c r="AE294" t="e">
        <f>AND('Additional Services'!#REF!,"AAAAAFftTR4=")</f>
        <v>#REF!</v>
      </c>
      <c r="AF294" t="e">
        <f>AND('Additional Services'!#REF!,"AAAAAFftTR8=")</f>
        <v>#REF!</v>
      </c>
      <c r="AG294" t="e">
        <f>AND('Additional Services'!#REF!,"AAAAAFftTSA=")</f>
        <v>#REF!</v>
      </c>
      <c r="AH294" t="e">
        <f>AND('Additional Services'!#REF!,"AAAAAFftTSE=")</f>
        <v>#REF!</v>
      </c>
      <c r="AI294" t="e">
        <f>AND('Additional Services'!#REF!,"AAAAAFftTSI=")</f>
        <v>#REF!</v>
      </c>
      <c r="AJ294" t="e">
        <f>AND('Additional Services'!#REF!,"AAAAAFftTSM=")</f>
        <v>#REF!</v>
      </c>
      <c r="AK294" t="e">
        <f>AND('Additional Services'!#REF!,"AAAAAFftTSQ=")</f>
        <v>#REF!</v>
      </c>
      <c r="AL294" t="e">
        <f>AND('Additional Services'!#REF!,"AAAAAFftTSU=")</f>
        <v>#REF!</v>
      </c>
      <c r="AM294" t="e">
        <f>AND('Additional Services'!#REF!,"AAAAAFftTSY=")</f>
        <v>#REF!</v>
      </c>
      <c r="AN294" t="e">
        <f>AND('Additional Services'!#REF!,"AAAAAFftTSc=")</f>
        <v>#REF!</v>
      </c>
      <c r="AO294" t="e">
        <f>AND('Additional Services'!#REF!,"AAAAAFftTSg=")</f>
        <v>#REF!</v>
      </c>
      <c r="AP294">
        <f>IF('Additional Services'!210:210,"AAAAAFftTSk=",0)</f>
        <v>0</v>
      </c>
      <c r="AQ294" t="e">
        <f>AND('Additional Services'!A210,"AAAAAFftTSo=")</f>
        <v>#VALUE!</v>
      </c>
      <c r="AR294" t="e">
        <f>AND('Additional Services'!B210,"AAAAAFftTSs=")</f>
        <v>#VALUE!</v>
      </c>
      <c r="AS294" t="e">
        <f>AND('Additional Services'!C210,"AAAAAFftTSw=")</f>
        <v>#VALUE!</v>
      </c>
      <c r="AT294" t="e">
        <f>AND('Additional Services'!D210,"AAAAAFftTS0=")</f>
        <v>#VALUE!</v>
      </c>
      <c r="AU294" t="e">
        <f>AND('Additional Services'!E210,"AAAAAFftTS4=")</f>
        <v>#VALUE!</v>
      </c>
      <c r="AV294" t="e">
        <f>AND('Additional Services'!F210,"AAAAAFftTS8=")</f>
        <v>#VALUE!</v>
      </c>
      <c r="AW294" t="e">
        <f>AND('Additional Services'!G210,"AAAAAFftTTA=")</f>
        <v>#VALUE!</v>
      </c>
      <c r="AX294" t="e">
        <f>AND('Additional Services'!H210,"AAAAAFftTTE=")</f>
        <v>#VALUE!</v>
      </c>
      <c r="AY294" t="e">
        <f>AND('Additional Services'!I210,"AAAAAFftTTI=")</f>
        <v>#VALUE!</v>
      </c>
      <c r="AZ294" t="e">
        <f>AND('Additional Services'!J210,"AAAAAFftTTM=")</f>
        <v>#VALUE!</v>
      </c>
      <c r="BA294" t="e">
        <f>AND('Additional Services'!K210,"AAAAAFftTTQ=")</f>
        <v>#VALUE!</v>
      </c>
      <c r="BB294" t="e">
        <f>AND('Additional Services'!L210,"AAAAAFftTTU=")</f>
        <v>#VALUE!</v>
      </c>
      <c r="BC294" t="e">
        <f>AND('Additional Services'!M210,"AAAAAFftTTY=")</f>
        <v>#VALUE!</v>
      </c>
      <c r="BD294">
        <f>IF('Additional Services'!211:211,"AAAAAFftTTc=",0)</f>
        <v>0</v>
      </c>
      <c r="BE294" t="e">
        <f>AND('Additional Services'!A211,"AAAAAFftTTg=")</f>
        <v>#VALUE!</v>
      </c>
      <c r="BF294" t="e">
        <f>AND('Additional Services'!B211,"AAAAAFftTTk=")</f>
        <v>#VALUE!</v>
      </c>
      <c r="BG294" t="e">
        <f>AND('Additional Services'!C211,"AAAAAFftTTo=")</f>
        <v>#VALUE!</v>
      </c>
      <c r="BH294" t="e">
        <f>AND('Additional Services'!D211,"AAAAAFftTTs=")</f>
        <v>#VALUE!</v>
      </c>
      <c r="BI294" t="e">
        <f>AND('Additional Services'!E211,"AAAAAFftTTw=")</f>
        <v>#VALUE!</v>
      </c>
      <c r="BJ294" t="e">
        <f>AND('Additional Services'!F211,"AAAAAFftTT0=")</f>
        <v>#VALUE!</v>
      </c>
      <c r="BK294" t="e">
        <f>AND('Additional Services'!G211,"AAAAAFftTT4=")</f>
        <v>#VALUE!</v>
      </c>
      <c r="BL294" t="e">
        <f>AND('Additional Services'!H211,"AAAAAFftTT8=")</f>
        <v>#VALUE!</v>
      </c>
      <c r="BM294" t="e">
        <f>AND('Additional Services'!I211,"AAAAAFftTUA=")</f>
        <v>#VALUE!</v>
      </c>
      <c r="BN294" t="e">
        <f>AND('Additional Services'!J211,"AAAAAFftTUE=")</f>
        <v>#VALUE!</v>
      </c>
      <c r="BO294" t="e">
        <f>AND('Additional Services'!K211,"AAAAAFftTUI=")</f>
        <v>#VALUE!</v>
      </c>
      <c r="BP294" t="e">
        <f>AND('Additional Services'!L211,"AAAAAFftTUM=")</f>
        <v>#VALUE!</v>
      </c>
      <c r="BQ294" t="e">
        <f>AND('Additional Services'!M211,"AAAAAFftTUQ=")</f>
        <v>#VALUE!</v>
      </c>
      <c r="BR294">
        <f>IF('Additional Services'!212:212,"AAAAAFftTUU=",0)</f>
        <v>0</v>
      </c>
      <c r="BS294" t="e">
        <f>AND('Additional Services'!A212,"AAAAAFftTUY=")</f>
        <v>#VALUE!</v>
      </c>
      <c r="BT294" t="e">
        <f>AND('Additional Services'!B212,"AAAAAFftTUc=")</f>
        <v>#VALUE!</v>
      </c>
      <c r="BU294" t="e">
        <f>AND('Additional Services'!C212,"AAAAAFftTUg=")</f>
        <v>#VALUE!</v>
      </c>
      <c r="BV294" t="e">
        <f>AND('Additional Services'!D212,"AAAAAFftTUk=")</f>
        <v>#VALUE!</v>
      </c>
      <c r="BW294" t="e">
        <f>AND('Additional Services'!E212,"AAAAAFftTUo=")</f>
        <v>#VALUE!</v>
      </c>
      <c r="BX294" t="e">
        <f>AND('Additional Services'!F212,"AAAAAFftTUs=")</f>
        <v>#VALUE!</v>
      </c>
      <c r="BY294" t="e">
        <f>AND('Additional Services'!G212,"AAAAAFftTUw=")</f>
        <v>#VALUE!</v>
      </c>
      <c r="BZ294" t="e">
        <f>AND('Additional Services'!H212,"AAAAAFftTU0=")</f>
        <v>#VALUE!</v>
      </c>
      <c r="CA294" t="e">
        <f>AND('Additional Services'!I212,"AAAAAFftTU4=")</f>
        <v>#VALUE!</v>
      </c>
      <c r="CB294" t="e">
        <f>AND('Additional Services'!J212,"AAAAAFftTU8=")</f>
        <v>#VALUE!</v>
      </c>
      <c r="CC294" t="e">
        <f>AND('Additional Services'!K212,"AAAAAFftTVA=")</f>
        <v>#VALUE!</v>
      </c>
      <c r="CD294" t="e">
        <f>AND('Additional Services'!L212,"AAAAAFftTVE=")</f>
        <v>#VALUE!</v>
      </c>
      <c r="CE294" t="e">
        <f>AND('Additional Services'!M212,"AAAAAFftTVI=")</f>
        <v>#VALUE!</v>
      </c>
      <c r="CF294">
        <f>IF('Additional Services'!216:216,"AAAAAFftTVM=",0)</f>
        <v>0</v>
      </c>
      <c r="CG294" t="e">
        <f>AND('Additional Services'!#REF!,"AAAAAFftTVQ=")</f>
        <v>#REF!</v>
      </c>
      <c r="CH294" t="e">
        <f>AND('Additional Services'!A216,"AAAAAFftTVU=")</f>
        <v>#VALUE!</v>
      </c>
      <c r="CI294" t="e">
        <f>AND('Additional Services'!C216,"AAAAAFftTVY=")</f>
        <v>#VALUE!</v>
      </c>
      <c r="CJ294" t="e">
        <f>AND('Additional Services'!D216,"AAAAAFftTVc=")</f>
        <v>#VALUE!</v>
      </c>
      <c r="CK294" t="e">
        <f>AND('Additional Services'!E216,"AAAAAFftTVg=")</f>
        <v>#VALUE!</v>
      </c>
      <c r="CL294" t="e">
        <f>AND('Additional Services'!F216,"AAAAAFftTVk=")</f>
        <v>#VALUE!</v>
      </c>
      <c r="CM294" t="e">
        <f>AND('Additional Services'!G216,"AAAAAFftTVo=")</f>
        <v>#VALUE!</v>
      </c>
      <c r="CN294" t="e">
        <f>AND('Additional Services'!H216,"AAAAAFftTVs=")</f>
        <v>#VALUE!</v>
      </c>
      <c r="CO294" t="e">
        <f>AND('Additional Services'!I216,"AAAAAFftTVw=")</f>
        <v>#VALUE!</v>
      </c>
      <c r="CP294" t="e">
        <f>AND('Additional Services'!J216,"AAAAAFftTV0=")</f>
        <v>#VALUE!</v>
      </c>
      <c r="CQ294" t="e">
        <f>AND('Additional Services'!K216,"AAAAAFftTV4=")</f>
        <v>#VALUE!</v>
      </c>
      <c r="CR294" t="e">
        <f>AND('Additional Services'!L216,"AAAAAFftTV8=")</f>
        <v>#VALUE!</v>
      </c>
      <c r="CS294" t="e">
        <f>AND('Additional Services'!M216,"AAAAAFftTWA=")</f>
        <v>#VALUE!</v>
      </c>
      <c r="CT294">
        <f>IF('Additional Services'!217:217,"AAAAAFftTWE=",0)</f>
        <v>0</v>
      </c>
      <c r="CU294" t="e">
        <f>AND('Additional Services'!#REF!,"AAAAAFftTWI=")</f>
        <v>#REF!</v>
      </c>
      <c r="CV294" t="e">
        <f>AND('Additional Services'!#REF!,"AAAAAFftTWM=")</f>
        <v>#REF!</v>
      </c>
      <c r="CW294" t="e">
        <f>AND('Additional Services'!A217,"AAAAAFftTWQ=")</f>
        <v>#VALUE!</v>
      </c>
      <c r="CX294" t="e">
        <f>AND('Additional Services'!B217,"AAAAAFftTWU=")</f>
        <v>#VALUE!</v>
      </c>
      <c r="CY294" t="e">
        <f>AND('Additional Services'!C217,"AAAAAFftTWY=")</f>
        <v>#VALUE!</v>
      </c>
      <c r="CZ294" t="e">
        <f>AND('Additional Services'!D217,"AAAAAFftTWc=")</f>
        <v>#VALUE!</v>
      </c>
      <c r="DA294" t="e">
        <f>AND('Additional Services'!E217,"AAAAAFftTWg=")</f>
        <v>#VALUE!</v>
      </c>
      <c r="DB294" t="e">
        <f>AND('Additional Services'!F217,"AAAAAFftTWk=")</f>
        <v>#VALUE!</v>
      </c>
      <c r="DC294" t="e">
        <f>AND('Additional Services'!G217,"AAAAAFftTWo=")</f>
        <v>#VALUE!</v>
      </c>
      <c r="DD294" t="e">
        <f>AND('Additional Services'!H217,"AAAAAFftTWs=")</f>
        <v>#VALUE!</v>
      </c>
      <c r="DE294" t="e">
        <f>AND('Additional Services'!I217,"AAAAAFftTWw=")</f>
        <v>#VALUE!</v>
      </c>
      <c r="DF294" t="e">
        <f>AND('Additional Services'!J217,"AAAAAFftTW0=")</f>
        <v>#VALUE!</v>
      </c>
      <c r="DG294" t="e">
        <f>AND('Additional Services'!K217,"AAAAAFftTW4=")</f>
        <v>#VALUE!</v>
      </c>
      <c r="DH294">
        <f>IF('Additional Services'!218:218,"AAAAAFftTW8=",0)</f>
        <v>0</v>
      </c>
      <c r="DI294" t="e">
        <f>AND('Additional Services'!#REF!,"AAAAAFftTXA=")</f>
        <v>#REF!</v>
      </c>
      <c r="DJ294" t="e">
        <f>AND('Additional Services'!#REF!,"AAAAAFftTXE=")</f>
        <v>#REF!</v>
      </c>
      <c r="DK294" t="e">
        <f>AND('Additional Services'!A218,"AAAAAFftTXI=")</f>
        <v>#VALUE!</v>
      </c>
      <c r="DL294" t="e">
        <f>AND('Additional Services'!B218,"AAAAAFftTXM=")</f>
        <v>#VALUE!</v>
      </c>
      <c r="DM294" t="e">
        <f>AND('Additional Services'!C218,"AAAAAFftTXQ=")</f>
        <v>#VALUE!</v>
      </c>
      <c r="DN294" t="e">
        <f>AND('Additional Services'!D218,"AAAAAFftTXU=")</f>
        <v>#VALUE!</v>
      </c>
      <c r="DO294" t="e">
        <f>AND('Additional Services'!E218,"AAAAAFftTXY=")</f>
        <v>#VALUE!</v>
      </c>
      <c r="DP294" t="e">
        <f>AND('Additional Services'!F218,"AAAAAFftTXc=")</f>
        <v>#VALUE!</v>
      </c>
      <c r="DQ294" t="e">
        <f>AND('Additional Services'!G218,"AAAAAFftTXg=")</f>
        <v>#VALUE!</v>
      </c>
      <c r="DR294" t="e">
        <f>AND('Additional Services'!H218,"AAAAAFftTXk=")</f>
        <v>#VALUE!</v>
      </c>
      <c r="DS294" t="e">
        <f>AND('Additional Services'!I218,"AAAAAFftTXo=")</f>
        <v>#VALUE!</v>
      </c>
      <c r="DT294" t="e">
        <f>AND('Additional Services'!J218,"AAAAAFftTXs=")</f>
        <v>#VALUE!</v>
      </c>
      <c r="DU294" t="e">
        <f>AND('Additional Services'!K218,"AAAAAFftTXw=")</f>
        <v>#VALUE!</v>
      </c>
      <c r="DV294">
        <f>IF('Additional Services'!219:219,"AAAAAFftTX0=",0)</f>
        <v>0</v>
      </c>
      <c r="DW294" t="e">
        <f>AND('Additional Services'!#REF!,"AAAAAFftTX4=")</f>
        <v>#REF!</v>
      </c>
      <c r="DX294" t="e">
        <f>AND('Additional Services'!#REF!,"AAAAAFftTX8=")</f>
        <v>#REF!</v>
      </c>
      <c r="DY294" t="e">
        <f>AND('Additional Services'!A219,"AAAAAFftTYA=")</f>
        <v>#VALUE!</v>
      </c>
      <c r="DZ294" t="e">
        <f>AND('Additional Services'!B219,"AAAAAFftTYE=")</f>
        <v>#VALUE!</v>
      </c>
      <c r="EA294" t="e">
        <f>AND('Additional Services'!C219,"AAAAAFftTYI=")</f>
        <v>#VALUE!</v>
      </c>
      <c r="EB294" t="e">
        <f>AND('Additional Services'!D219,"AAAAAFftTYM=")</f>
        <v>#VALUE!</v>
      </c>
      <c r="EC294" t="e">
        <f>AND('Additional Services'!E219,"AAAAAFftTYQ=")</f>
        <v>#VALUE!</v>
      </c>
      <c r="ED294" t="e">
        <f>AND('Additional Services'!F219,"AAAAAFftTYU=")</f>
        <v>#VALUE!</v>
      </c>
      <c r="EE294" t="e">
        <f>AND('Additional Services'!G219,"AAAAAFftTYY=")</f>
        <v>#VALUE!</v>
      </c>
      <c r="EF294" t="e">
        <f>AND('Additional Services'!H219,"AAAAAFftTYc=")</f>
        <v>#VALUE!</v>
      </c>
      <c r="EG294" t="e">
        <f>AND('Additional Services'!I219,"AAAAAFftTYg=")</f>
        <v>#VALUE!</v>
      </c>
      <c r="EH294" t="e">
        <f>AND('Additional Services'!J219,"AAAAAFftTYk=")</f>
        <v>#VALUE!</v>
      </c>
      <c r="EI294" t="e">
        <f>AND('Additional Services'!K219,"AAAAAFftTYo=")</f>
        <v>#VALUE!</v>
      </c>
      <c r="EJ294">
        <f>IF('Additional Services'!220:220,"AAAAAFftTYs=",0)</f>
        <v>0</v>
      </c>
      <c r="EK294" t="e">
        <f>AND('Additional Services'!#REF!,"AAAAAFftTYw=")</f>
        <v>#REF!</v>
      </c>
      <c r="EL294" t="e">
        <f>AND('Additional Services'!#REF!,"AAAAAFftTY0=")</f>
        <v>#REF!</v>
      </c>
      <c r="EM294" t="e">
        <f>AND('Additional Services'!A220,"AAAAAFftTY4=")</f>
        <v>#VALUE!</v>
      </c>
      <c r="EN294" t="e">
        <f>AND('Additional Services'!B220,"AAAAAFftTY8=")</f>
        <v>#VALUE!</v>
      </c>
      <c r="EO294" t="e">
        <f>AND('Additional Services'!C220,"AAAAAFftTZA=")</f>
        <v>#VALUE!</v>
      </c>
      <c r="EP294" t="e">
        <f>AND('Additional Services'!D220,"AAAAAFftTZE=")</f>
        <v>#VALUE!</v>
      </c>
      <c r="EQ294" t="e">
        <f>AND('Additional Services'!E220,"AAAAAFftTZI=")</f>
        <v>#VALUE!</v>
      </c>
      <c r="ER294" t="e">
        <f>AND('Additional Services'!F220,"AAAAAFftTZM=")</f>
        <v>#VALUE!</v>
      </c>
      <c r="ES294" t="e">
        <f>AND('Additional Services'!G220,"AAAAAFftTZQ=")</f>
        <v>#VALUE!</v>
      </c>
      <c r="ET294" t="e">
        <f>AND('Additional Services'!H220,"AAAAAFftTZU=")</f>
        <v>#VALUE!</v>
      </c>
      <c r="EU294" t="e">
        <f>AND('Additional Services'!I220,"AAAAAFftTZY=")</f>
        <v>#VALUE!</v>
      </c>
      <c r="EV294" t="e">
        <f>AND('Additional Services'!J220,"AAAAAFftTZc=")</f>
        <v>#VALUE!</v>
      </c>
      <c r="EW294" t="e">
        <f>AND('Additional Services'!K220,"AAAAAFftTZg=")</f>
        <v>#VALUE!</v>
      </c>
      <c r="EX294">
        <f>IF('Additional Services'!221:221,"AAAAAFftTZk=",0)</f>
        <v>0</v>
      </c>
      <c r="EY294" t="e">
        <f>AND('Additional Services'!#REF!,"AAAAAFftTZo=")</f>
        <v>#REF!</v>
      </c>
      <c r="EZ294" t="e">
        <f>AND('Additional Services'!#REF!,"AAAAAFftTZs=")</f>
        <v>#REF!</v>
      </c>
      <c r="FA294" t="e">
        <f>AND('Additional Services'!A221,"AAAAAFftTZw=")</f>
        <v>#VALUE!</v>
      </c>
      <c r="FB294" t="e">
        <f>AND('Additional Services'!B221,"AAAAAFftTZ0=")</f>
        <v>#VALUE!</v>
      </c>
      <c r="FC294" t="e">
        <f>AND('Additional Services'!C221,"AAAAAFftTZ4=")</f>
        <v>#VALUE!</v>
      </c>
      <c r="FD294" t="e">
        <f>AND('Additional Services'!D221,"AAAAAFftTZ8=")</f>
        <v>#VALUE!</v>
      </c>
      <c r="FE294" t="e">
        <f>AND('Additional Services'!E221,"AAAAAFftTaA=")</f>
        <v>#VALUE!</v>
      </c>
      <c r="FF294" t="e">
        <f>AND('Additional Services'!F221,"AAAAAFftTaE=")</f>
        <v>#VALUE!</v>
      </c>
      <c r="FG294" t="e">
        <f>AND('Additional Services'!G221,"AAAAAFftTaI=")</f>
        <v>#VALUE!</v>
      </c>
      <c r="FH294" t="e">
        <f>AND('Additional Services'!H221,"AAAAAFftTaM=")</f>
        <v>#VALUE!</v>
      </c>
      <c r="FI294" t="e">
        <f>AND('Additional Services'!I221,"AAAAAFftTaQ=")</f>
        <v>#VALUE!</v>
      </c>
      <c r="FJ294" t="e">
        <f>AND('Additional Services'!J221,"AAAAAFftTaU=")</f>
        <v>#VALUE!</v>
      </c>
      <c r="FK294" t="e">
        <f>AND('Additional Services'!K221,"AAAAAFftTaY=")</f>
        <v>#VALUE!</v>
      </c>
      <c r="FL294">
        <f>IF('Additional Services'!222:222,"AAAAAFftTac=",0)</f>
        <v>0</v>
      </c>
      <c r="FM294" t="e">
        <f>AND('Additional Services'!#REF!,"AAAAAFftTag=")</f>
        <v>#REF!</v>
      </c>
      <c r="FN294" t="e">
        <f>AND('Additional Services'!#REF!,"AAAAAFftTak=")</f>
        <v>#REF!</v>
      </c>
      <c r="FO294" t="e">
        <f>AND('Additional Services'!A222,"AAAAAFftTao=")</f>
        <v>#VALUE!</v>
      </c>
      <c r="FP294" t="e">
        <f>AND('Additional Services'!B222,"AAAAAFftTas=")</f>
        <v>#VALUE!</v>
      </c>
      <c r="FQ294" t="e">
        <f>AND('Additional Services'!C222,"AAAAAFftTaw=")</f>
        <v>#VALUE!</v>
      </c>
      <c r="FR294" t="e">
        <f>AND('Additional Services'!D222,"AAAAAFftTa0=")</f>
        <v>#VALUE!</v>
      </c>
      <c r="FS294" t="e">
        <f>AND('Additional Services'!E222,"AAAAAFftTa4=")</f>
        <v>#VALUE!</v>
      </c>
      <c r="FT294" t="e">
        <f>AND('Additional Services'!F222,"AAAAAFftTa8=")</f>
        <v>#VALUE!</v>
      </c>
      <c r="FU294" t="e">
        <f>AND('Additional Services'!G222,"AAAAAFftTbA=")</f>
        <v>#VALUE!</v>
      </c>
      <c r="FV294" t="e">
        <f>AND('Additional Services'!H222,"AAAAAFftTbE=")</f>
        <v>#VALUE!</v>
      </c>
      <c r="FW294" t="e">
        <f>AND('Additional Services'!I222,"AAAAAFftTbI=")</f>
        <v>#VALUE!</v>
      </c>
      <c r="FX294" t="e">
        <f>AND('Additional Services'!J222,"AAAAAFftTbM=")</f>
        <v>#VALUE!</v>
      </c>
      <c r="FY294" t="e">
        <f>AND('Additional Services'!K222,"AAAAAFftTbQ=")</f>
        <v>#VALUE!</v>
      </c>
      <c r="FZ294">
        <f>IF('Additional Services'!223:223,"AAAAAFftTbU=",0)</f>
        <v>0</v>
      </c>
      <c r="GA294" t="e">
        <f>AND('Additional Services'!#REF!,"AAAAAFftTbY=")</f>
        <v>#REF!</v>
      </c>
      <c r="GB294" t="e">
        <f>AND('Additional Services'!#REF!,"AAAAAFftTbc=")</f>
        <v>#REF!</v>
      </c>
      <c r="GC294" t="e">
        <f>AND('Additional Services'!A223,"AAAAAFftTbg=")</f>
        <v>#VALUE!</v>
      </c>
      <c r="GD294" t="e">
        <f>AND('Additional Services'!B223,"AAAAAFftTbk=")</f>
        <v>#VALUE!</v>
      </c>
      <c r="GE294" t="e">
        <f>AND('Additional Services'!C223,"AAAAAFftTbo=")</f>
        <v>#VALUE!</v>
      </c>
      <c r="GF294" t="e">
        <f>AND('Additional Services'!D223,"AAAAAFftTbs=")</f>
        <v>#VALUE!</v>
      </c>
      <c r="GG294" t="e">
        <f>AND('Additional Services'!E223,"AAAAAFftTbw=")</f>
        <v>#VALUE!</v>
      </c>
      <c r="GH294" t="e">
        <f>AND('Additional Services'!F223,"AAAAAFftTb0=")</f>
        <v>#VALUE!</v>
      </c>
      <c r="GI294" t="e">
        <f>AND('Additional Services'!G223,"AAAAAFftTb4=")</f>
        <v>#VALUE!</v>
      </c>
      <c r="GJ294" t="e">
        <f>AND('Additional Services'!H223,"AAAAAFftTb8=")</f>
        <v>#VALUE!</v>
      </c>
      <c r="GK294" t="e">
        <f>AND('Additional Services'!I223,"AAAAAFftTcA=")</f>
        <v>#VALUE!</v>
      </c>
      <c r="GL294" t="e">
        <f>AND('Additional Services'!J223,"AAAAAFftTcE=")</f>
        <v>#VALUE!</v>
      </c>
      <c r="GM294" t="e">
        <f>AND('Additional Services'!K223,"AAAAAFftTcI=")</f>
        <v>#VALUE!</v>
      </c>
      <c r="GN294">
        <f>IF('Additional Services'!224:224,"AAAAAFftTcM=",0)</f>
        <v>0</v>
      </c>
      <c r="GO294" t="e">
        <f>AND('Additional Services'!#REF!,"AAAAAFftTcQ=")</f>
        <v>#REF!</v>
      </c>
      <c r="GP294" t="e">
        <f>AND('Additional Services'!#REF!,"AAAAAFftTcU=")</f>
        <v>#REF!</v>
      </c>
      <c r="GQ294" t="e">
        <f>AND('Additional Services'!A224,"AAAAAFftTcY=")</f>
        <v>#VALUE!</v>
      </c>
      <c r="GR294" t="e">
        <f>AND('Additional Services'!B224,"AAAAAFftTcc=")</f>
        <v>#VALUE!</v>
      </c>
      <c r="GS294" t="e">
        <f>AND('Additional Services'!C224,"AAAAAFftTcg=")</f>
        <v>#VALUE!</v>
      </c>
      <c r="GT294" t="e">
        <f>AND('Additional Services'!D224,"AAAAAFftTck=")</f>
        <v>#VALUE!</v>
      </c>
      <c r="GU294" t="e">
        <f>AND('Additional Services'!E224,"AAAAAFftTco=")</f>
        <v>#VALUE!</v>
      </c>
      <c r="GV294" t="e">
        <f>AND('Additional Services'!F224,"AAAAAFftTcs=")</f>
        <v>#VALUE!</v>
      </c>
      <c r="GW294" t="e">
        <f>AND('Additional Services'!G224,"AAAAAFftTcw=")</f>
        <v>#VALUE!</v>
      </c>
      <c r="GX294" t="e">
        <f>AND('Additional Services'!H224,"AAAAAFftTc0=")</f>
        <v>#VALUE!</v>
      </c>
      <c r="GY294" t="e">
        <f>AND('Additional Services'!I224,"AAAAAFftTc4=")</f>
        <v>#VALUE!</v>
      </c>
      <c r="GZ294" t="e">
        <f>AND('Additional Services'!J224,"AAAAAFftTc8=")</f>
        <v>#VALUE!</v>
      </c>
      <c r="HA294" t="e">
        <f>AND('Additional Services'!K224,"AAAAAFftTdA=")</f>
        <v>#VALUE!</v>
      </c>
      <c r="HB294">
        <f>IF('Additional Services'!225:225,"AAAAAFftTdE=",0)</f>
        <v>0</v>
      </c>
      <c r="HC294" t="e">
        <f>AND('Additional Services'!#REF!,"AAAAAFftTdI=")</f>
        <v>#REF!</v>
      </c>
      <c r="HD294" t="e">
        <f>AND('Additional Services'!#REF!,"AAAAAFftTdM=")</f>
        <v>#REF!</v>
      </c>
      <c r="HE294" t="e">
        <f>AND('Additional Services'!A225,"AAAAAFftTdQ=")</f>
        <v>#VALUE!</v>
      </c>
      <c r="HF294" t="e">
        <f>AND('Additional Services'!B225,"AAAAAFftTdU=")</f>
        <v>#VALUE!</v>
      </c>
      <c r="HG294" t="e">
        <f>AND('Additional Services'!C225,"AAAAAFftTdY=")</f>
        <v>#VALUE!</v>
      </c>
      <c r="HH294" t="e">
        <f>AND('Additional Services'!D225,"AAAAAFftTdc=")</f>
        <v>#VALUE!</v>
      </c>
      <c r="HI294" t="e">
        <f>AND('Additional Services'!E225,"AAAAAFftTdg=")</f>
        <v>#VALUE!</v>
      </c>
      <c r="HJ294" t="e">
        <f>AND('Additional Services'!F225,"AAAAAFftTdk=")</f>
        <v>#VALUE!</v>
      </c>
      <c r="HK294" t="e">
        <f>AND('Additional Services'!G225,"AAAAAFftTdo=")</f>
        <v>#VALUE!</v>
      </c>
      <c r="HL294" t="e">
        <f>AND('Additional Services'!H225,"AAAAAFftTds=")</f>
        <v>#VALUE!</v>
      </c>
      <c r="HM294" t="e">
        <f>AND('Additional Services'!I225,"AAAAAFftTdw=")</f>
        <v>#VALUE!</v>
      </c>
      <c r="HN294" t="e">
        <f>AND('Additional Services'!J225,"AAAAAFftTd0=")</f>
        <v>#VALUE!</v>
      </c>
      <c r="HO294" t="e">
        <f>AND('Additional Services'!K225,"AAAAAFftTd4=")</f>
        <v>#VALUE!</v>
      </c>
      <c r="HP294" t="e">
        <f>IF('Additional Services'!#REF!,"AAAAAFftTd8=",0)</f>
        <v>#REF!</v>
      </c>
      <c r="HQ294" t="e">
        <f>AND('Additional Services'!#REF!,"AAAAAFftTeA=")</f>
        <v>#REF!</v>
      </c>
      <c r="HR294" t="e">
        <f>AND('Additional Services'!#REF!,"AAAAAFftTeE=")</f>
        <v>#REF!</v>
      </c>
      <c r="HS294" t="e">
        <f>AND('Additional Services'!#REF!,"AAAAAFftTeI=")</f>
        <v>#REF!</v>
      </c>
      <c r="HT294" t="e">
        <f>AND('Additional Services'!#REF!,"AAAAAFftTeM=")</f>
        <v>#REF!</v>
      </c>
      <c r="HU294" t="e">
        <f>AND('Additional Services'!#REF!,"AAAAAFftTeQ=")</f>
        <v>#REF!</v>
      </c>
      <c r="HV294" t="e">
        <f>AND('Additional Services'!#REF!,"AAAAAFftTeU=")</f>
        <v>#REF!</v>
      </c>
      <c r="HW294" t="e">
        <f>AND('Additional Services'!#REF!,"AAAAAFftTeY=")</f>
        <v>#REF!</v>
      </c>
      <c r="HX294" t="e">
        <f>AND('Additional Services'!#REF!,"AAAAAFftTec=")</f>
        <v>#REF!</v>
      </c>
      <c r="HY294" t="e">
        <f>AND('Additional Services'!#REF!,"AAAAAFftTeg=")</f>
        <v>#REF!</v>
      </c>
      <c r="HZ294" t="e">
        <f>AND('Additional Services'!#REF!,"AAAAAFftTek=")</f>
        <v>#REF!</v>
      </c>
      <c r="IA294" t="e">
        <f>AND('Additional Services'!#REF!,"AAAAAFftTeo=")</f>
        <v>#REF!</v>
      </c>
      <c r="IB294" t="e">
        <f>AND('Additional Services'!#REF!,"AAAAAFftTes=")</f>
        <v>#REF!</v>
      </c>
      <c r="IC294" t="e">
        <f>AND('Additional Services'!#REF!,"AAAAAFftTew=")</f>
        <v>#REF!</v>
      </c>
      <c r="ID294" t="e">
        <f>IF('Additional Services'!#REF!,"AAAAAFftTe0=",0)</f>
        <v>#REF!</v>
      </c>
      <c r="IE294" t="e">
        <f>AND('Additional Services'!#REF!,"AAAAAFftTe4=")</f>
        <v>#REF!</v>
      </c>
      <c r="IF294" t="e">
        <f>AND('Additional Services'!#REF!,"AAAAAFftTe8=")</f>
        <v>#REF!</v>
      </c>
      <c r="IG294" t="e">
        <f>AND('Additional Services'!#REF!,"AAAAAFftTfA=")</f>
        <v>#REF!</v>
      </c>
      <c r="IH294" t="e">
        <f>AND('Additional Services'!#REF!,"AAAAAFftTfE=")</f>
        <v>#REF!</v>
      </c>
      <c r="II294" t="e">
        <f>AND('Additional Services'!#REF!,"AAAAAFftTfI=")</f>
        <v>#REF!</v>
      </c>
      <c r="IJ294" t="e">
        <f>AND('Additional Services'!#REF!,"AAAAAFftTfM=")</f>
        <v>#REF!</v>
      </c>
      <c r="IK294" t="e">
        <f>AND('Additional Services'!#REF!,"AAAAAFftTfQ=")</f>
        <v>#REF!</v>
      </c>
      <c r="IL294" t="e">
        <f>AND('Additional Services'!#REF!,"AAAAAFftTfU=")</f>
        <v>#REF!</v>
      </c>
      <c r="IM294" t="e">
        <f>AND('Additional Services'!#REF!,"AAAAAFftTfY=")</f>
        <v>#REF!</v>
      </c>
      <c r="IN294" t="e">
        <f>AND('Additional Services'!#REF!,"AAAAAFftTfc=")</f>
        <v>#REF!</v>
      </c>
      <c r="IO294" t="e">
        <f>AND('Additional Services'!#REF!,"AAAAAFftTfg=")</f>
        <v>#REF!</v>
      </c>
      <c r="IP294" t="e">
        <f>AND('Additional Services'!#REF!,"AAAAAFftTfk=")</f>
        <v>#REF!</v>
      </c>
      <c r="IQ294" t="e">
        <f>AND('Additional Services'!#REF!,"AAAAAFftTfo=")</f>
        <v>#REF!</v>
      </c>
      <c r="IR294">
        <f>IF('Additional Services'!226:226,"AAAAAFftTfs=",0)</f>
        <v>0</v>
      </c>
      <c r="IS294" t="e">
        <f>AND('Additional Services'!#REF!,"AAAAAFftTfw=")</f>
        <v>#REF!</v>
      </c>
      <c r="IT294" t="e">
        <f>AND('Additional Services'!A226,"AAAAAFftTf0=")</f>
        <v>#VALUE!</v>
      </c>
      <c r="IU294" t="e">
        <f>AND('Additional Services'!B226,"AAAAAFftTf4=")</f>
        <v>#VALUE!</v>
      </c>
      <c r="IV294" t="e">
        <f>AND('Additional Services'!C226,"AAAAAFftTf8=")</f>
        <v>#VALUE!</v>
      </c>
    </row>
    <row r="295" spans="1:256" x14ac:dyDescent="0.2">
      <c r="A295" t="e">
        <f>AND('Additional Services'!D226,"AAAAAB/f/wA=")</f>
        <v>#VALUE!</v>
      </c>
      <c r="B295" t="e">
        <f>AND('Additional Services'!E226,"AAAAAB/f/wE=")</f>
        <v>#VALUE!</v>
      </c>
      <c r="C295" t="e">
        <f>AND('Additional Services'!F226,"AAAAAB/f/wI=")</f>
        <v>#VALUE!</v>
      </c>
      <c r="D295" t="e">
        <f>AND('Additional Services'!G226,"AAAAAB/f/wM=")</f>
        <v>#VALUE!</v>
      </c>
      <c r="E295" t="e">
        <f>AND('Additional Services'!H226,"AAAAAB/f/wQ=")</f>
        <v>#VALUE!</v>
      </c>
      <c r="F295" t="e">
        <f>AND('Additional Services'!I226,"AAAAAB/f/wU=")</f>
        <v>#VALUE!</v>
      </c>
      <c r="G295" t="e">
        <f>AND('Additional Services'!J226,"AAAAAB/f/wY=")</f>
        <v>#VALUE!</v>
      </c>
      <c r="H295" t="e">
        <f>AND('Additional Services'!K226,"AAAAAB/f/wc=")</f>
        <v>#VALUE!</v>
      </c>
      <c r="I295" t="e">
        <f>AND('Additional Services'!L226,"AAAAAB/f/wg=")</f>
        <v>#VALUE!</v>
      </c>
      <c r="J295">
        <f>IF('Additional Services'!227:227,"AAAAAB/f/wk=",0)</f>
        <v>0</v>
      </c>
      <c r="K295" t="e">
        <f>AND('Additional Services'!#REF!,"AAAAAB/f/wo=")</f>
        <v>#REF!</v>
      </c>
      <c r="L295" t="e">
        <f>AND('Additional Services'!A227,"AAAAAB/f/ws=")</f>
        <v>#VALUE!</v>
      </c>
      <c r="M295" t="e">
        <f>AND('Additional Services'!B227,"AAAAAB/f/ww=")</f>
        <v>#VALUE!</v>
      </c>
      <c r="N295" t="e">
        <f>AND('Additional Services'!C227,"AAAAAB/f/w0=")</f>
        <v>#VALUE!</v>
      </c>
      <c r="O295" t="e">
        <f>AND('Additional Services'!D227,"AAAAAB/f/w4=")</f>
        <v>#VALUE!</v>
      </c>
      <c r="P295" t="e">
        <f>AND('Additional Services'!E227,"AAAAAB/f/w8=")</f>
        <v>#VALUE!</v>
      </c>
      <c r="Q295" t="e">
        <f>AND('Additional Services'!F227,"AAAAAB/f/xA=")</f>
        <v>#VALUE!</v>
      </c>
      <c r="R295" t="e">
        <f>AND('Additional Services'!G227,"AAAAAB/f/xE=")</f>
        <v>#VALUE!</v>
      </c>
      <c r="S295" t="e">
        <f>AND('Additional Services'!H227,"AAAAAB/f/xI=")</f>
        <v>#VALUE!</v>
      </c>
      <c r="T295" t="e">
        <f>AND('Additional Services'!I227,"AAAAAB/f/xM=")</f>
        <v>#VALUE!</v>
      </c>
      <c r="U295" t="e">
        <f>AND('Additional Services'!J227,"AAAAAB/f/xQ=")</f>
        <v>#VALUE!</v>
      </c>
      <c r="V295" t="e">
        <f>AND('Additional Services'!K227,"AAAAAB/f/xU=")</f>
        <v>#VALUE!</v>
      </c>
      <c r="W295" t="e">
        <f>AND('Additional Services'!L227,"AAAAAB/f/xY=")</f>
        <v>#VALUE!</v>
      </c>
      <c r="X295" t="e">
        <f>IF('Additional Services'!#REF!,"AAAAAB/f/xc=",0)</f>
        <v>#REF!</v>
      </c>
      <c r="Y295" t="e">
        <f>AND('Additional Services'!#REF!,"AAAAAB/f/xg=")</f>
        <v>#REF!</v>
      </c>
      <c r="Z295" t="e">
        <f>AND('Additional Services'!#REF!,"AAAAAB/f/xk=")</f>
        <v>#REF!</v>
      </c>
      <c r="AA295" t="e">
        <f>AND('Additional Services'!#REF!,"AAAAAB/f/xo=")</f>
        <v>#REF!</v>
      </c>
      <c r="AB295" t="e">
        <f>AND('Additional Services'!#REF!,"AAAAAB/f/xs=")</f>
        <v>#REF!</v>
      </c>
      <c r="AC295" t="e">
        <f>AND('Additional Services'!#REF!,"AAAAAB/f/xw=")</f>
        <v>#REF!</v>
      </c>
      <c r="AD295" t="e">
        <f>AND('Additional Services'!#REF!,"AAAAAB/f/x0=")</f>
        <v>#REF!</v>
      </c>
      <c r="AE295" t="e">
        <f>AND('Additional Services'!#REF!,"AAAAAB/f/x4=")</f>
        <v>#REF!</v>
      </c>
      <c r="AF295" t="e">
        <f>AND('Additional Services'!#REF!,"AAAAAB/f/x8=")</f>
        <v>#REF!</v>
      </c>
      <c r="AG295" t="e">
        <f>AND('Additional Services'!#REF!,"AAAAAB/f/yA=")</f>
        <v>#REF!</v>
      </c>
      <c r="AH295" t="e">
        <f>AND('Additional Services'!#REF!,"AAAAAB/f/yE=")</f>
        <v>#REF!</v>
      </c>
      <c r="AI295" t="e">
        <f>AND('Additional Services'!#REF!,"AAAAAB/f/yI=")</f>
        <v>#REF!</v>
      </c>
      <c r="AJ295" t="e">
        <f>AND('Additional Services'!#REF!,"AAAAAB/f/yM=")</f>
        <v>#REF!</v>
      </c>
      <c r="AK295" t="e">
        <f>AND('Additional Services'!#REF!,"AAAAAB/f/yQ=")</f>
        <v>#REF!</v>
      </c>
      <c r="AL295">
        <f>IF('Additional Services'!228:228,"AAAAAB/f/yU=",0)</f>
        <v>0</v>
      </c>
      <c r="AM295" t="e">
        <f>AND('Additional Services'!#REF!,"AAAAAB/f/yY=")</f>
        <v>#REF!</v>
      </c>
      <c r="AN295" t="e">
        <f>AND('Additional Services'!A228,"AAAAAB/f/yc=")</f>
        <v>#VALUE!</v>
      </c>
      <c r="AO295" t="e">
        <f>AND('Additional Services'!B228,"AAAAAB/f/yg=")</f>
        <v>#VALUE!</v>
      </c>
      <c r="AP295" t="e">
        <f>AND('Additional Services'!C228,"AAAAAB/f/yk=")</f>
        <v>#VALUE!</v>
      </c>
      <c r="AQ295" t="e">
        <f>AND('Additional Services'!D228,"AAAAAB/f/yo=")</f>
        <v>#VALUE!</v>
      </c>
      <c r="AR295" t="e">
        <f>AND('Additional Services'!E228,"AAAAAB/f/ys=")</f>
        <v>#VALUE!</v>
      </c>
      <c r="AS295" t="e">
        <f>AND('Additional Services'!F228,"AAAAAB/f/yw=")</f>
        <v>#VALUE!</v>
      </c>
      <c r="AT295" t="e">
        <f>AND('Additional Services'!G228,"AAAAAB/f/y0=")</f>
        <v>#VALUE!</v>
      </c>
      <c r="AU295" t="e">
        <f>AND('Additional Services'!H228,"AAAAAB/f/y4=")</f>
        <v>#VALUE!</v>
      </c>
      <c r="AV295" t="e">
        <f>AND('Additional Services'!I228,"AAAAAB/f/y8=")</f>
        <v>#VALUE!</v>
      </c>
      <c r="AW295" t="e">
        <f>AND('Additional Services'!J228,"AAAAAB/f/zA=")</f>
        <v>#VALUE!</v>
      </c>
      <c r="AX295" t="e">
        <f>AND('Additional Services'!K228,"AAAAAB/f/zE=")</f>
        <v>#VALUE!</v>
      </c>
      <c r="AY295" t="e">
        <f>AND('Additional Services'!L228,"AAAAAB/f/zI=")</f>
        <v>#VALUE!</v>
      </c>
      <c r="AZ295">
        <f>IF('Additional Services'!229:229,"AAAAAB/f/zM=",0)</f>
        <v>0</v>
      </c>
      <c r="BA295" t="e">
        <f>AND('Additional Services'!#REF!,"AAAAAB/f/zQ=")</f>
        <v>#REF!</v>
      </c>
      <c r="BB295" t="e">
        <f>AND('Additional Services'!A229,"AAAAAB/f/zU=")</f>
        <v>#VALUE!</v>
      </c>
      <c r="BC295" t="e">
        <f>AND('Additional Services'!B229,"AAAAAB/f/zY=")</f>
        <v>#VALUE!</v>
      </c>
      <c r="BD295" t="e">
        <f>AND('Additional Services'!C229,"AAAAAB/f/zc=")</f>
        <v>#VALUE!</v>
      </c>
      <c r="BE295" t="e">
        <f>AND('Additional Services'!D229,"AAAAAB/f/zg=")</f>
        <v>#VALUE!</v>
      </c>
      <c r="BF295" t="e">
        <f>AND('Additional Services'!E229,"AAAAAB/f/zk=")</f>
        <v>#VALUE!</v>
      </c>
      <c r="BG295" t="e">
        <f>AND('Additional Services'!F229,"AAAAAB/f/zo=")</f>
        <v>#VALUE!</v>
      </c>
      <c r="BH295" t="e">
        <f>AND('Additional Services'!G229,"AAAAAB/f/zs=")</f>
        <v>#VALUE!</v>
      </c>
      <c r="BI295" t="e">
        <f>AND('Additional Services'!H229,"AAAAAB/f/zw=")</f>
        <v>#VALUE!</v>
      </c>
      <c r="BJ295" t="e">
        <f>AND('Additional Services'!I229,"AAAAAB/f/z0=")</f>
        <v>#VALUE!</v>
      </c>
      <c r="BK295" t="e">
        <f>AND('Additional Services'!J229,"AAAAAB/f/z4=")</f>
        <v>#VALUE!</v>
      </c>
      <c r="BL295" t="e">
        <f>AND('Additional Services'!K229,"AAAAAB/f/z8=")</f>
        <v>#VALUE!</v>
      </c>
      <c r="BM295" t="e">
        <f>AND('Additional Services'!L229,"AAAAAB/f/0A=")</f>
        <v>#VALUE!</v>
      </c>
      <c r="BN295">
        <f>IF('Additional Services'!230:230,"AAAAAB/f/0E=",0)</f>
        <v>0</v>
      </c>
      <c r="BO295" t="e">
        <f>AND('Additional Services'!#REF!,"AAAAAB/f/0I=")</f>
        <v>#REF!</v>
      </c>
      <c r="BP295" t="e">
        <f>AND('Additional Services'!A230,"AAAAAB/f/0M=")</f>
        <v>#VALUE!</v>
      </c>
      <c r="BQ295" t="e">
        <f>AND('Additional Services'!B230,"AAAAAB/f/0Q=")</f>
        <v>#VALUE!</v>
      </c>
      <c r="BR295" t="e">
        <f>AND('Additional Services'!C230,"AAAAAB/f/0U=")</f>
        <v>#VALUE!</v>
      </c>
      <c r="BS295" t="e">
        <f>AND('Additional Services'!D230,"AAAAAB/f/0Y=")</f>
        <v>#VALUE!</v>
      </c>
      <c r="BT295" t="e">
        <f>AND('Additional Services'!E230,"AAAAAB/f/0c=")</f>
        <v>#VALUE!</v>
      </c>
      <c r="BU295" t="e">
        <f>AND('Additional Services'!F230,"AAAAAB/f/0g=")</f>
        <v>#VALUE!</v>
      </c>
      <c r="BV295" t="e">
        <f>AND('Additional Services'!G230,"AAAAAB/f/0k=")</f>
        <v>#VALUE!</v>
      </c>
      <c r="BW295" t="e">
        <f>AND('Additional Services'!H230,"AAAAAB/f/0o=")</f>
        <v>#VALUE!</v>
      </c>
      <c r="BX295" t="e">
        <f>AND('Additional Services'!I230,"AAAAAB/f/0s=")</f>
        <v>#VALUE!</v>
      </c>
      <c r="BY295" t="e">
        <f>AND('Additional Services'!J230,"AAAAAB/f/0w=")</f>
        <v>#VALUE!</v>
      </c>
      <c r="BZ295" t="e">
        <f>AND('Additional Services'!K230,"AAAAAB/f/00=")</f>
        <v>#VALUE!</v>
      </c>
      <c r="CA295" t="e">
        <f>AND('Additional Services'!L230,"AAAAAB/f/04=")</f>
        <v>#VALUE!</v>
      </c>
      <c r="CB295" t="e">
        <f>IF('Additional Services'!#REF!,"AAAAAB/f/08=",0)</f>
        <v>#REF!</v>
      </c>
      <c r="CC295" t="e">
        <f>AND('Additional Services'!#REF!,"AAAAAB/f/1A=")</f>
        <v>#REF!</v>
      </c>
      <c r="CD295" t="e">
        <f>AND('Additional Services'!#REF!,"AAAAAB/f/1E=")</f>
        <v>#REF!</v>
      </c>
      <c r="CE295" t="e">
        <f>AND('Additional Services'!#REF!,"AAAAAB/f/1I=")</f>
        <v>#REF!</v>
      </c>
      <c r="CF295" t="e">
        <f>AND('Additional Services'!#REF!,"AAAAAB/f/1M=")</f>
        <v>#REF!</v>
      </c>
      <c r="CG295" t="e">
        <f>AND('Additional Services'!#REF!,"AAAAAB/f/1Q=")</f>
        <v>#REF!</v>
      </c>
      <c r="CH295" t="e">
        <f>AND('Additional Services'!#REF!,"AAAAAB/f/1U=")</f>
        <v>#REF!</v>
      </c>
      <c r="CI295" t="e">
        <f>AND('Additional Services'!#REF!,"AAAAAB/f/1Y=")</f>
        <v>#REF!</v>
      </c>
      <c r="CJ295" t="e">
        <f>AND('Additional Services'!#REF!,"AAAAAB/f/1c=")</f>
        <v>#REF!</v>
      </c>
      <c r="CK295" t="e">
        <f>AND('Additional Services'!#REF!,"AAAAAB/f/1g=")</f>
        <v>#REF!</v>
      </c>
      <c r="CL295" t="e">
        <f>AND('Additional Services'!#REF!,"AAAAAB/f/1k=")</f>
        <v>#REF!</v>
      </c>
      <c r="CM295" t="e">
        <f>AND('Additional Services'!#REF!,"AAAAAB/f/1o=")</f>
        <v>#REF!</v>
      </c>
      <c r="CN295" t="e">
        <f>AND('Additional Services'!#REF!,"AAAAAB/f/1s=")</f>
        <v>#REF!</v>
      </c>
      <c r="CO295" t="e">
        <f>AND('Additional Services'!#REF!,"AAAAAB/f/1w=")</f>
        <v>#REF!</v>
      </c>
      <c r="CP295">
        <f>IF('Additional Services'!231:231,"AAAAAB/f/10=",0)</f>
        <v>0</v>
      </c>
      <c r="CQ295" t="e">
        <f>AND('Additional Services'!#REF!,"AAAAAB/f/14=")</f>
        <v>#REF!</v>
      </c>
      <c r="CR295" t="e">
        <f>AND('Additional Services'!A231,"AAAAAB/f/18=")</f>
        <v>#VALUE!</v>
      </c>
      <c r="CS295" t="e">
        <f>AND('Additional Services'!B231,"AAAAAB/f/2A=")</f>
        <v>#VALUE!</v>
      </c>
      <c r="CT295" t="e">
        <f>AND('Additional Services'!C231,"AAAAAB/f/2E=")</f>
        <v>#VALUE!</v>
      </c>
      <c r="CU295" t="e">
        <f>AND('Additional Services'!D231,"AAAAAB/f/2I=")</f>
        <v>#VALUE!</v>
      </c>
      <c r="CV295" t="e">
        <f>AND('Additional Services'!E231,"AAAAAB/f/2M=")</f>
        <v>#VALUE!</v>
      </c>
      <c r="CW295" t="e">
        <f>AND('Additional Services'!F231,"AAAAAB/f/2Q=")</f>
        <v>#VALUE!</v>
      </c>
      <c r="CX295" t="e">
        <f>AND('Additional Services'!G231,"AAAAAB/f/2U=")</f>
        <v>#VALUE!</v>
      </c>
      <c r="CY295" t="e">
        <f>AND('Additional Services'!H231,"AAAAAB/f/2Y=")</f>
        <v>#VALUE!</v>
      </c>
      <c r="CZ295" t="e">
        <f>AND('Additional Services'!I231,"AAAAAB/f/2c=")</f>
        <v>#VALUE!</v>
      </c>
      <c r="DA295" t="e">
        <f>AND('Additional Services'!J231,"AAAAAB/f/2g=")</f>
        <v>#VALUE!</v>
      </c>
      <c r="DB295" t="e">
        <f>AND('Additional Services'!K231,"AAAAAB/f/2k=")</f>
        <v>#VALUE!</v>
      </c>
      <c r="DC295" t="e">
        <f>AND('Additional Services'!L231,"AAAAAB/f/2o=")</f>
        <v>#VALUE!</v>
      </c>
      <c r="DD295" t="e">
        <f>IF('Additional Services'!#REF!,"AAAAAB/f/2s=",0)</f>
        <v>#REF!</v>
      </c>
      <c r="DE295" t="e">
        <f>AND('Additional Services'!#REF!,"AAAAAB/f/2w=")</f>
        <v>#REF!</v>
      </c>
      <c r="DF295" t="e">
        <f>AND('Additional Services'!#REF!,"AAAAAB/f/20=")</f>
        <v>#REF!</v>
      </c>
      <c r="DG295" t="e">
        <f>AND('Additional Services'!#REF!,"AAAAAB/f/24=")</f>
        <v>#REF!</v>
      </c>
      <c r="DH295" t="e">
        <f>AND('Additional Services'!#REF!,"AAAAAB/f/28=")</f>
        <v>#REF!</v>
      </c>
      <c r="DI295" t="e">
        <f>AND('Additional Services'!#REF!,"AAAAAB/f/3A=")</f>
        <v>#REF!</v>
      </c>
      <c r="DJ295" t="e">
        <f>AND('Additional Services'!#REF!,"AAAAAB/f/3E=")</f>
        <v>#REF!</v>
      </c>
      <c r="DK295" t="e">
        <f>AND('Additional Services'!#REF!,"AAAAAB/f/3I=")</f>
        <v>#REF!</v>
      </c>
      <c r="DL295" t="e">
        <f>AND('Additional Services'!#REF!,"AAAAAB/f/3M=")</f>
        <v>#REF!</v>
      </c>
      <c r="DM295" t="e">
        <f>AND('Additional Services'!#REF!,"AAAAAB/f/3Q=")</f>
        <v>#REF!</v>
      </c>
      <c r="DN295" t="e">
        <f>AND('Additional Services'!#REF!,"AAAAAB/f/3U=")</f>
        <v>#REF!</v>
      </c>
      <c r="DO295" t="e">
        <f>AND('Additional Services'!#REF!,"AAAAAB/f/3Y=")</f>
        <v>#REF!</v>
      </c>
      <c r="DP295" t="e">
        <f>AND('Additional Services'!#REF!,"AAAAAB/f/3c=")</f>
        <v>#REF!</v>
      </c>
      <c r="DQ295" t="e">
        <f>AND('Additional Services'!#REF!,"AAAAAB/f/3g=")</f>
        <v>#REF!</v>
      </c>
      <c r="DR295">
        <f>IF('Additional Services'!232:232,"AAAAAB/f/3k=",0)</f>
        <v>0</v>
      </c>
      <c r="DS295" t="e">
        <f>AND('Additional Services'!#REF!,"AAAAAB/f/3o=")</f>
        <v>#REF!</v>
      </c>
      <c r="DT295" t="e">
        <f>AND('Additional Services'!A232,"AAAAAB/f/3s=")</f>
        <v>#VALUE!</v>
      </c>
      <c r="DU295" t="e">
        <f>AND('Additional Services'!B232,"AAAAAB/f/3w=")</f>
        <v>#VALUE!</v>
      </c>
      <c r="DV295" t="e">
        <f>AND('Additional Services'!C232,"AAAAAB/f/30=")</f>
        <v>#VALUE!</v>
      </c>
      <c r="DW295" t="e">
        <f>AND('Additional Services'!D232,"AAAAAB/f/34=")</f>
        <v>#VALUE!</v>
      </c>
      <c r="DX295" t="e">
        <f>AND('Additional Services'!#REF!,"AAAAAB/f/38=")</f>
        <v>#REF!</v>
      </c>
      <c r="DY295" t="e">
        <f>AND('Additional Services'!F232,"AAAAAB/f/4A=")</f>
        <v>#VALUE!</v>
      </c>
      <c r="DZ295" t="e">
        <f>AND('Additional Services'!G232,"AAAAAB/f/4E=")</f>
        <v>#VALUE!</v>
      </c>
      <c r="EA295" t="e">
        <f>AND('Additional Services'!H232,"AAAAAB/f/4I=")</f>
        <v>#VALUE!</v>
      </c>
      <c r="EB295" t="e">
        <f>AND('Additional Services'!I232,"AAAAAB/f/4M=")</f>
        <v>#VALUE!</v>
      </c>
      <c r="EC295" t="e">
        <f>AND('Additional Services'!J232,"AAAAAB/f/4Q=")</f>
        <v>#VALUE!</v>
      </c>
      <c r="ED295" t="e">
        <f>AND('Additional Services'!K232,"AAAAAB/f/4U=")</f>
        <v>#VALUE!</v>
      </c>
      <c r="EE295" t="e">
        <f>AND('Additional Services'!L232,"AAAAAB/f/4Y=")</f>
        <v>#VALUE!</v>
      </c>
      <c r="EF295">
        <f>IF('Additional Services'!233:233,"AAAAAB/f/4c=",0)</f>
        <v>0</v>
      </c>
      <c r="EG295" t="e">
        <f>AND('Additional Services'!#REF!,"AAAAAB/f/4g=")</f>
        <v>#REF!</v>
      </c>
      <c r="EH295" t="e">
        <f>AND('Additional Services'!A233,"AAAAAB/f/4k=")</f>
        <v>#VALUE!</v>
      </c>
      <c r="EI295" t="e">
        <f>AND('Additional Services'!B233,"AAAAAB/f/4o=")</f>
        <v>#VALUE!</v>
      </c>
      <c r="EJ295" t="e">
        <f>AND('Additional Services'!C233,"AAAAAB/f/4s=")</f>
        <v>#VALUE!</v>
      </c>
      <c r="EK295" t="e">
        <f>AND('Additional Services'!D233,"AAAAAB/f/4w=")</f>
        <v>#VALUE!</v>
      </c>
      <c r="EL295" t="e">
        <f>AND('Additional Services'!E232,"AAAAAB/f/40=")</f>
        <v>#VALUE!</v>
      </c>
      <c r="EM295" t="e">
        <f>AND('Additional Services'!F233,"AAAAAB/f/44=")</f>
        <v>#VALUE!</v>
      </c>
      <c r="EN295" t="e">
        <f>AND('Additional Services'!G233,"AAAAAB/f/48=")</f>
        <v>#VALUE!</v>
      </c>
      <c r="EO295" t="e">
        <f>AND('Additional Services'!H233,"AAAAAB/f/5A=")</f>
        <v>#VALUE!</v>
      </c>
      <c r="EP295" t="e">
        <f>AND('Additional Services'!I233,"AAAAAB/f/5E=")</f>
        <v>#VALUE!</v>
      </c>
      <c r="EQ295" t="e">
        <f>AND('Additional Services'!J233,"AAAAAB/f/5I=")</f>
        <v>#VALUE!</v>
      </c>
      <c r="ER295" t="e">
        <f>AND('Additional Services'!K233,"AAAAAB/f/5M=")</f>
        <v>#VALUE!</v>
      </c>
      <c r="ES295" t="e">
        <f>AND('Additional Services'!L233,"AAAAAB/f/5Q=")</f>
        <v>#VALUE!</v>
      </c>
      <c r="ET295">
        <f>IF('Additional Services'!234:234,"AAAAAB/f/5U=",0)</f>
        <v>0</v>
      </c>
      <c r="EU295" t="e">
        <f>AND('Additional Services'!#REF!,"AAAAAB/f/5Y=")</f>
        <v>#REF!</v>
      </c>
      <c r="EV295" t="e">
        <f>AND('Additional Services'!A234,"AAAAAB/f/5c=")</f>
        <v>#VALUE!</v>
      </c>
      <c r="EW295" t="e">
        <f>AND('Additional Services'!B234,"AAAAAB/f/5g=")</f>
        <v>#VALUE!</v>
      </c>
      <c r="EX295" t="e">
        <f>AND('Additional Services'!C234,"AAAAAB/f/5k=")</f>
        <v>#VALUE!</v>
      </c>
      <c r="EY295" t="e">
        <f>AND('Additional Services'!D234,"AAAAAB/f/5o=")</f>
        <v>#VALUE!</v>
      </c>
      <c r="EZ295" t="e">
        <f>AND('Additional Services'!E234,"AAAAAB/f/5s=")</f>
        <v>#VALUE!</v>
      </c>
      <c r="FA295" t="e">
        <f>AND('Additional Services'!F234,"AAAAAB/f/5w=")</f>
        <v>#VALUE!</v>
      </c>
      <c r="FB295" t="e">
        <f>AND('Additional Services'!G234,"AAAAAB/f/50=")</f>
        <v>#VALUE!</v>
      </c>
      <c r="FC295" t="e">
        <f>AND('Additional Services'!H234,"AAAAAB/f/54=")</f>
        <v>#VALUE!</v>
      </c>
      <c r="FD295" t="e">
        <f>AND('Additional Services'!I234,"AAAAAB/f/58=")</f>
        <v>#VALUE!</v>
      </c>
      <c r="FE295" t="e">
        <f>AND('Additional Services'!J234,"AAAAAB/f/6A=")</f>
        <v>#VALUE!</v>
      </c>
      <c r="FF295" t="e">
        <f>AND('Additional Services'!K234,"AAAAAB/f/6E=")</f>
        <v>#VALUE!</v>
      </c>
      <c r="FG295" t="e">
        <f>AND('Additional Services'!L234,"AAAAAB/f/6I=")</f>
        <v>#VALUE!</v>
      </c>
      <c r="FH295">
        <f>IF('Additional Services'!235:235,"AAAAAB/f/6M=",0)</f>
        <v>0</v>
      </c>
      <c r="FI295" t="e">
        <f>AND('Additional Services'!#REF!,"AAAAAB/f/6Q=")</f>
        <v>#REF!</v>
      </c>
      <c r="FJ295" t="e">
        <f>AND('Additional Services'!A235,"AAAAAB/f/6U=")</f>
        <v>#VALUE!</v>
      </c>
      <c r="FK295" t="e">
        <f>AND('Additional Services'!B235,"AAAAAB/f/6Y=")</f>
        <v>#VALUE!</v>
      </c>
      <c r="FL295" t="e">
        <f>AND('Additional Services'!C235,"AAAAAB/f/6c=")</f>
        <v>#VALUE!</v>
      </c>
      <c r="FM295" t="e">
        <f>AND('Additional Services'!D235,"AAAAAB/f/6g=")</f>
        <v>#VALUE!</v>
      </c>
      <c r="FN295" t="e">
        <f>AND('Additional Services'!E235,"AAAAAB/f/6k=")</f>
        <v>#VALUE!</v>
      </c>
      <c r="FO295" t="e">
        <f>AND('Additional Services'!F235,"AAAAAB/f/6o=")</f>
        <v>#VALUE!</v>
      </c>
      <c r="FP295" t="e">
        <f>AND('Additional Services'!G235,"AAAAAB/f/6s=")</f>
        <v>#VALUE!</v>
      </c>
      <c r="FQ295" t="e">
        <f>AND('Additional Services'!H235,"AAAAAB/f/6w=")</f>
        <v>#VALUE!</v>
      </c>
      <c r="FR295" t="e">
        <f>AND('Additional Services'!I235,"AAAAAB/f/60=")</f>
        <v>#VALUE!</v>
      </c>
      <c r="FS295" t="e">
        <f>AND('Additional Services'!J235,"AAAAAB/f/64=")</f>
        <v>#VALUE!</v>
      </c>
      <c r="FT295" t="e">
        <f>AND('Additional Services'!K235,"AAAAAB/f/68=")</f>
        <v>#VALUE!</v>
      </c>
      <c r="FU295" t="e">
        <f>AND('Additional Services'!L235,"AAAAAB/f/7A=")</f>
        <v>#VALUE!</v>
      </c>
      <c r="FV295">
        <f>IF('Additional Services'!236:236,"AAAAAB/f/7E=",0)</f>
        <v>0</v>
      </c>
      <c r="FW295" t="e">
        <f>AND('Additional Services'!#REF!,"AAAAAB/f/7I=")</f>
        <v>#REF!</v>
      </c>
      <c r="FX295" t="e">
        <f>AND('Additional Services'!A236,"AAAAAB/f/7M=")</f>
        <v>#VALUE!</v>
      </c>
      <c r="FY295" t="e">
        <f>AND('Additional Services'!B236,"AAAAAB/f/7Q=")</f>
        <v>#VALUE!</v>
      </c>
      <c r="FZ295" t="e">
        <f>AND('Additional Services'!C236,"AAAAAB/f/7U=")</f>
        <v>#VALUE!</v>
      </c>
      <c r="GA295" t="e">
        <f>AND('Additional Services'!D236,"AAAAAB/f/7Y=")</f>
        <v>#VALUE!</v>
      </c>
      <c r="GB295" t="e">
        <f>AND('Additional Services'!E236,"AAAAAB/f/7c=")</f>
        <v>#VALUE!</v>
      </c>
      <c r="GC295" t="e">
        <f>AND('Additional Services'!F236,"AAAAAB/f/7g=")</f>
        <v>#VALUE!</v>
      </c>
      <c r="GD295" t="e">
        <f>AND('Additional Services'!G236,"AAAAAB/f/7k=")</f>
        <v>#VALUE!</v>
      </c>
      <c r="GE295" t="e">
        <f>AND('Additional Services'!H236,"AAAAAB/f/7o=")</f>
        <v>#VALUE!</v>
      </c>
      <c r="GF295" t="e">
        <f>AND('Additional Services'!I236,"AAAAAB/f/7s=")</f>
        <v>#VALUE!</v>
      </c>
      <c r="GG295" t="e">
        <f>AND('Additional Services'!J236,"AAAAAB/f/7w=")</f>
        <v>#VALUE!</v>
      </c>
      <c r="GH295" t="e">
        <f>AND('Additional Services'!K236,"AAAAAB/f/70=")</f>
        <v>#VALUE!</v>
      </c>
      <c r="GI295" t="e">
        <f>AND('Additional Services'!L236,"AAAAAB/f/74=")</f>
        <v>#VALUE!</v>
      </c>
      <c r="GJ295" t="e">
        <f>IF('Additional Services'!#REF!,"AAAAAB/f/78=",0)</f>
        <v>#REF!</v>
      </c>
      <c r="GK295" t="e">
        <f>AND('Additional Services'!#REF!,"AAAAAB/f/8A=")</f>
        <v>#REF!</v>
      </c>
      <c r="GL295" t="e">
        <f>AND('Additional Services'!#REF!,"AAAAAB/f/8E=")</f>
        <v>#REF!</v>
      </c>
      <c r="GM295" t="e">
        <f>AND('Additional Services'!#REF!,"AAAAAB/f/8I=")</f>
        <v>#REF!</v>
      </c>
      <c r="GN295" t="e">
        <f>AND('Additional Services'!#REF!,"AAAAAB/f/8M=")</f>
        <v>#REF!</v>
      </c>
      <c r="GO295" t="e">
        <f>AND('Additional Services'!#REF!,"AAAAAB/f/8Q=")</f>
        <v>#REF!</v>
      </c>
      <c r="GP295" t="e">
        <f>AND('Additional Services'!#REF!,"AAAAAB/f/8U=")</f>
        <v>#REF!</v>
      </c>
      <c r="GQ295" t="e">
        <f>AND('Additional Services'!#REF!,"AAAAAB/f/8Y=")</f>
        <v>#REF!</v>
      </c>
      <c r="GR295" t="e">
        <f>AND('Additional Services'!#REF!,"AAAAAB/f/8c=")</f>
        <v>#REF!</v>
      </c>
      <c r="GS295" t="e">
        <f>AND('Additional Services'!#REF!,"AAAAAB/f/8g=")</f>
        <v>#REF!</v>
      </c>
      <c r="GT295" t="e">
        <f>AND('Additional Services'!#REF!,"AAAAAB/f/8k=")</f>
        <v>#REF!</v>
      </c>
      <c r="GU295" t="e">
        <f>AND('Additional Services'!#REF!,"AAAAAB/f/8o=")</f>
        <v>#REF!</v>
      </c>
      <c r="GV295" t="e">
        <f>AND('Additional Services'!#REF!,"AAAAAB/f/8s=")</f>
        <v>#REF!</v>
      </c>
      <c r="GW295" t="e">
        <f>AND('Additional Services'!#REF!,"AAAAAB/f/8w=")</f>
        <v>#REF!</v>
      </c>
      <c r="GX295">
        <f>IF('Additional Services'!237:237,"AAAAAB/f/80=",0)</f>
        <v>0</v>
      </c>
      <c r="GY295" t="e">
        <f>AND('Additional Services'!#REF!,"AAAAAB/f/84=")</f>
        <v>#REF!</v>
      </c>
      <c r="GZ295" t="e">
        <f>AND('Additional Services'!A237,"AAAAAB/f/88=")</f>
        <v>#VALUE!</v>
      </c>
      <c r="HA295" t="e">
        <f>AND('Additional Services'!B237,"AAAAAB/f/9A=")</f>
        <v>#VALUE!</v>
      </c>
      <c r="HB295" t="e">
        <f>AND('Additional Services'!C237,"AAAAAB/f/9E=")</f>
        <v>#VALUE!</v>
      </c>
      <c r="HC295" t="e">
        <f>AND('Additional Services'!D237,"AAAAAB/f/9I=")</f>
        <v>#VALUE!</v>
      </c>
      <c r="HD295" t="e">
        <f>AND('Additional Services'!E237,"AAAAAB/f/9M=")</f>
        <v>#VALUE!</v>
      </c>
      <c r="HE295" t="e">
        <f>AND('Additional Services'!F237,"AAAAAB/f/9Q=")</f>
        <v>#VALUE!</v>
      </c>
      <c r="HF295" t="e">
        <f>AND('Additional Services'!G237,"AAAAAB/f/9U=")</f>
        <v>#VALUE!</v>
      </c>
      <c r="HG295" t="e">
        <f>AND('Additional Services'!H237,"AAAAAB/f/9Y=")</f>
        <v>#VALUE!</v>
      </c>
      <c r="HH295" t="e">
        <f>AND('Additional Services'!I237,"AAAAAB/f/9c=")</f>
        <v>#VALUE!</v>
      </c>
      <c r="HI295" t="e">
        <f>AND('Additional Services'!J237,"AAAAAB/f/9g=")</f>
        <v>#VALUE!</v>
      </c>
      <c r="HJ295" t="e">
        <f>AND('Additional Services'!K237,"AAAAAB/f/9k=")</f>
        <v>#VALUE!</v>
      </c>
      <c r="HK295" t="e">
        <f>AND('Additional Services'!L237,"AAAAAB/f/9o=")</f>
        <v>#VALUE!</v>
      </c>
      <c r="HL295">
        <f>IF('Additional Services'!238:238,"AAAAAB/f/9s=",0)</f>
        <v>0</v>
      </c>
      <c r="HM295" t="e">
        <f>AND('Additional Services'!#REF!,"AAAAAB/f/9w=")</f>
        <v>#REF!</v>
      </c>
      <c r="HN295" t="e">
        <f>AND('Additional Services'!A238,"AAAAAB/f/90=")</f>
        <v>#VALUE!</v>
      </c>
      <c r="HO295" t="e">
        <f>AND('Additional Services'!B238,"AAAAAB/f/94=")</f>
        <v>#VALUE!</v>
      </c>
      <c r="HP295" t="e">
        <f>AND('Additional Services'!C238,"AAAAAB/f/98=")</f>
        <v>#VALUE!</v>
      </c>
      <c r="HQ295" t="e">
        <f>AND('Additional Services'!D238,"AAAAAB/f/+A=")</f>
        <v>#VALUE!</v>
      </c>
      <c r="HR295" t="e">
        <f>AND('Additional Services'!E238,"AAAAAB/f/+E=")</f>
        <v>#VALUE!</v>
      </c>
      <c r="HS295" t="e">
        <f>AND('Additional Services'!F238,"AAAAAB/f/+I=")</f>
        <v>#VALUE!</v>
      </c>
      <c r="HT295" t="e">
        <f>AND('Additional Services'!G238,"AAAAAB/f/+M=")</f>
        <v>#VALUE!</v>
      </c>
      <c r="HU295" t="e">
        <f>AND('Additional Services'!H238,"AAAAAB/f/+Q=")</f>
        <v>#VALUE!</v>
      </c>
      <c r="HV295" t="e">
        <f>AND('Additional Services'!I238,"AAAAAB/f/+U=")</f>
        <v>#VALUE!</v>
      </c>
      <c r="HW295" t="e">
        <f>AND('Additional Services'!J238,"AAAAAB/f/+Y=")</f>
        <v>#VALUE!</v>
      </c>
      <c r="HX295" t="e">
        <f>AND('Additional Services'!K238,"AAAAAB/f/+c=")</f>
        <v>#VALUE!</v>
      </c>
      <c r="HY295" t="e">
        <f>AND('Additional Services'!L238,"AAAAAB/f/+g=")</f>
        <v>#VALUE!</v>
      </c>
      <c r="HZ295">
        <f>IF('Additional Services'!239:239,"AAAAAB/f/+k=",0)</f>
        <v>0</v>
      </c>
      <c r="IA295" t="e">
        <f>AND('Additional Services'!#REF!,"AAAAAB/f/+o=")</f>
        <v>#REF!</v>
      </c>
      <c r="IB295" t="e">
        <f>AND('Additional Services'!A239,"AAAAAB/f/+s=")</f>
        <v>#VALUE!</v>
      </c>
      <c r="IC295" t="e">
        <f>AND('Additional Services'!B239,"AAAAAB/f/+w=")</f>
        <v>#VALUE!</v>
      </c>
      <c r="ID295" t="e">
        <f>AND('Additional Services'!C239,"AAAAAB/f/+0=")</f>
        <v>#VALUE!</v>
      </c>
      <c r="IE295" t="e">
        <f>AND('Additional Services'!D239,"AAAAAB/f/+4=")</f>
        <v>#VALUE!</v>
      </c>
      <c r="IF295" t="e">
        <f>AND('Additional Services'!E239,"AAAAAB/f/+8=")</f>
        <v>#VALUE!</v>
      </c>
      <c r="IG295" t="e">
        <f>AND('Additional Services'!F239,"AAAAAB/f//A=")</f>
        <v>#VALUE!</v>
      </c>
      <c r="IH295" t="e">
        <f>AND('Additional Services'!G239,"AAAAAB/f//E=")</f>
        <v>#VALUE!</v>
      </c>
      <c r="II295" t="e">
        <f>AND('Additional Services'!H239,"AAAAAB/f//I=")</f>
        <v>#VALUE!</v>
      </c>
      <c r="IJ295" t="e">
        <f>AND('Additional Services'!I239,"AAAAAB/f//M=")</f>
        <v>#VALUE!</v>
      </c>
      <c r="IK295" t="e">
        <f>AND('Additional Services'!J239,"AAAAAB/f//Q=")</f>
        <v>#VALUE!</v>
      </c>
      <c r="IL295" t="e">
        <f>AND('Additional Services'!K239,"AAAAAB/f//U=")</f>
        <v>#VALUE!</v>
      </c>
      <c r="IM295" t="e">
        <f>AND('Additional Services'!L239,"AAAAAB/f//Y=")</f>
        <v>#VALUE!</v>
      </c>
      <c r="IN295">
        <f>IF('Additional Services'!240:240,"AAAAAB/f//c=",0)</f>
        <v>0</v>
      </c>
      <c r="IO295" t="e">
        <f>AND('Additional Services'!#REF!,"AAAAAB/f//g=")</f>
        <v>#REF!</v>
      </c>
      <c r="IP295" t="e">
        <f>AND('Additional Services'!A240,"AAAAAB/f//k=")</f>
        <v>#VALUE!</v>
      </c>
      <c r="IQ295" t="e">
        <f>AND('Additional Services'!B240,"AAAAAB/f//o=")</f>
        <v>#VALUE!</v>
      </c>
      <c r="IR295" t="e">
        <f>AND('Additional Services'!C240,"AAAAAB/f//s=")</f>
        <v>#VALUE!</v>
      </c>
      <c r="IS295" t="e">
        <f>AND('Additional Services'!D240,"AAAAAB/f//w=")</f>
        <v>#VALUE!</v>
      </c>
      <c r="IT295" t="e">
        <f>AND('Additional Services'!E240,"AAAAAB/f//0=")</f>
        <v>#VALUE!</v>
      </c>
      <c r="IU295" t="e">
        <f>AND('Additional Services'!F240,"AAAAAB/f//4=")</f>
        <v>#VALUE!</v>
      </c>
      <c r="IV295" t="e">
        <f>AND('Additional Services'!G240,"AAAAAB/f//8=")</f>
        <v>#VALUE!</v>
      </c>
    </row>
    <row r="296" spans="1:256" x14ac:dyDescent="0.2">
      <c r="A296" t="e">
        <f>AND('Additional Services'!H240,"AAAAAF+/fgA=")</f>
        <v>#VALUE!</v>
      </c>
      <c r="B296" t="e">
        <f>AND('Additional Services'!I240,"AAAAAF+/fgE=")</f>
        <v>#VALUE!</v>
      </c>
      <c r="C296" t="e">
        <f>AND('Additional Services'!J240,"AAAAAF+/fgI=")</f>
        <v>#VALUE!</v>
      </c>
      <c r="D296" t="e">
        <f>AND('Additional Services'!K240,"AAAAAF+/fgM=")</f>
        <v>#VALUE!</v>
      </c>
      <c r="E296" t="e">
        <f>AND('Additional Services'!L240,"AAAAAF+/fgQ=")</f>
        <v>#VALUE!</v>
      </c>
      <c r="F296">
        <f>IF('Additional Services'!241:241,"AAAAAF+/fgU=",0)</f>
        <v>0</v>
      </c>
      <c r="G296" t="e">
        <f>AND('Additional Services'!#REF!,"AAAAAF+/fgY=")</f>
        <v>#REF!</v>
      </c>
      <c r="H296" t="e">
        <f>AND('Additional Services'!A241,"AAAAAF+/fgc=")</f>
        <v>#VALUE!</v>
      </c>
      <c r="I296" t="e">
        <f>AND('Additional Services'!B241,"AAAAAF+/fgg=")</f>
        <v>#VALUE!</v>
      </c>
      <c r="J296" t="e">
        <f>AND('Additional Services'!C241,"AAAAAF+/fgk=")</f>
        <v>#VALUE!</v>
      </c>
      <c r="K296" t="e">
        <f>AND('Additional Services'!D241,"AAAAAF+/fgo=")</f>
        <v>#VALUE!</v>
      </c>
      <c r="L296" t="e">
        <f>AND('Additional Services'!E241,"AAAAAF+/fgs=")</f>
        <v>#VALUE!</v>
      </c>
      <c r="M296" t="e">
        <f>AND('Additional Services'!F241,"AAAAAF+/fgw=")</f>
        <v>#VALUE!</v>
      </c>
      <c r="N296" t="e">
        <f>AND('Additional Services'!G241,"AAAAAF+/fg0=")</f>
        <v>#VALUE!</v>
      </c>
      <c r="O296" t="e">
        <f>AND('Additional Services'!H241,"AAAAAF+/fg4=")</f>
        <v>#VALUE!</v>
      </c>
      <c r="P296" t="e">
        <f>AND('Additional Services'!I241,"AAAAAF+/fg8=")</f>
        <v>#VALUE!</v>
      </c>
      <c r="Q296" t="e">
        <f>AND('Additional Services'!J241,"AAAAAF+/fhA=")</f>
        <v>#VALUE!</v>
      </c>
      <c r="R296" t="e">
        <f>AND('Additional Services'!K241,"AAAAAF+/fhE=")</f>
        <v>#VALUE!</v>
      </c>
      <c r="S296" t="e">
        <f>AND('Additional Services'!L241,"AAAAAF+/fhI=")</f>
        <v>#VALUE!</v>
      </c>
      <c r="T296">
        <f>IF('Additional Services'!242:242,"AAAAAF+/fhM=",0)</f>
        <v>0</v>
      </c>
      <c r="U296" t="e">
        <f>AND('Additional Services'!#REF!,"AAAAAF+/fhQ=")</f>
        <v>#REF!</v>
      </c>
      <c r="V296" t="e">
        <f>AND('Additional Services'!A242,"AAAAAF+/fhU=")</f>
        <v>#VALUE!</v>
      </c>
      <c r="W296" t="e">
        <f>AND('Additional Services'!B242,"AAAAAF+/fhY=")</f>
        <v>#VALUE!</v>
      </c>
      <c r="X296" t="e">
        <f>AND('Additional Services'!C242,"AAAAAF+/fhc=")</f>
        <v>#VALUE!</v>
      </c>
      <c r="Y296" t="e">
        <f>AND('Additional Services'!D242,"AAAAAF+/fhg=")</f>
        <v>#VALUE!</v>
      </c>
      <c r="Z296" t="e">
        <f>AND('Additional Services'!E242,"AAAAAF+/fhk=")</f>
        <v>#VALUE!</v>
      </c>
      <c r="AA296" t="e">
        <f>AND('Additional Services'!F242,"AAAAAF+/fho=")</f>
        <v>#VALUE!</v>
      </c>
      <c r="AB296" t="e">
        <f>AND('Additional Services'!G242,"AAAAAF+/fhs=")</f>
        <v>#VALUE!</v>
      </c>
      <c r="AC296" t="e">
        <f>AND('Additional Services'!H242,"AAAAAF+/fhw=")</f>
        <v>#VALUE!</v>
      </c>
      <c r="AD296" t="e">
        <f>AND('Additional Services'!I242,"AAAAAF+/fh0=")</f>
        <v>#VALUE!</v>
      </c>
      <c r="AE296" t="e">
        <f>AND('Additional Services'!J242,"AAAAAF+/fh4=")</f>
        <v>#VALUE!</v>
      </c>
      <c r="AF296" t="e">
        <f>AND('Additional Services'!K242,"AAAAAF+/fh8=")</f>
        <v>#VALUE!</v>
      </c>
      <c r="AG296" t="e">
        <f>AND('Additional Services'!L242,"AAAAAF+/fiA=")</f>
        <v>#VALUE!</v>
      </c>
      <c r="AH296">
        <f>IF('Additional Services'!243:243,"AAAAAF+/fiE=",0)</f>
        <v>0</v>
      </c>
      <c r="AI296" t="e">
        <f>AND('Additional Services'!#REF!,"AAAAAF+/fiI=")</f>
        <v>#REF!</v>
      </c>
      <c r="AJ296" t="e">
        <f>AND('Additional Services'!A243,"AAAAAF+/fiM=")</f>
        <v>#VALUE!</v>
      </c>
      <c r="AK296" t="e">
        <f>AND('Additional Services'!B243,"AAAAAF+/fiQ=")</f>
        <v>#VALUE!</v>
      </c>
      <c r="AL296" t="e">
        <f>AND('Additional Services'!C243,"AAAAAF+/fiU=")</f>
        <v>#VALUE!</v>
      </c>
      <c r="AM296" t="e">
        <f>AND('Additional Services'!D243,"AAAAAF+/fiY=")</f>
        <v>#VALUE!</v>
      </c>
      <c r="AN296" t="e">
        <f>AND('Additional Services'!E243,"AAAAAF+/fic=")</f>
        <v>#VALUE!</v>
      </c>
      <c r="AO296" t="e">
        <f>AND('Additional Services'!F243,"AAAAAF+/fig=")</f>
        <v>#VALUE!</v>
      </c>
      <c r="AP296" t="e">
        <f>AND('Additional Services'!G243,"AAAAAF+/fik=")</f>
        <v>#VALUE!</v>
      </c>
      <c r="AQ296" t="e">
        <f>AND('Additional Services'!H243,"AAAAAF+/fio=")</f>
        <v>#VALUE!</v>
      </c>
      <c r="AR296" t="e">
        <f>AND('Additional Services'!I243,"AAAAAF+/fis=")</f>
        <v>#VALUE!</v>
      </c>
      <c r="AS296" t="e">
        <f>AND('Additional Services'!J243,"AAAAAF+/fiw=")</f>
        <v>#VALUE!</v>
      </c>
      <c r="AT296" t="e">
        <f>AND('Additional Services'!K243,"AAAAAF+/fi0=")</f>
        <v>#VALUE!</v>
      </c>
      <c r="AU296" t="e">
        <f>AND('Additional Services'!L243,"AAAAAF+/fi4=")</f>
        <v>#VALUE!</v>
      </c>
      <c r="AV296" t="e">
        <f>IF('Additional Services'!#REF!,"AAAAAF+/fi8=",0)</f>
        <v>#REF!</v>
      </c>
      <c r="AW296" t="e">
        <f>AND('Additional Services'!#REF!,"AAAAAF+/fjA=")</f>
        <v>#REF!</v>
      </c>
      <c r="AX296" t="e">
        <f>AND('Additional Services'!#REF!,"AAAAAF+/fjE=")</f>
        <v>#REF!</v>
      </c>
      <c r="AY296" t="e">
        <f>AND('Additional Services'!#REF!,"AAAAAF+/fjI=")</f>
        <v>#REF!</v>
      </c>
      <c r="AZ296" t="e">
        <f>AND('Additional Services'!#REF!,"AAAAAF+/fjM=")</f>
        <v>#REF!</v>
      </c>
      <c r="BA296" t="e">
        <f>AND('Additional Services'!#REF!,"AAAAAF+/fjQ=")</f>
        <v>#REF!</v>
      </c>
      <c r="BB296" t="e">
        <f>AND('Additional Services'!#REF!,"AAAAAF+/fjU=")</f>
        <v>#REF!</v>
      </c>
      <c r="BC296" t="e">
        <f>AND('Additional Services'!#REF!,"AAAAAF+/fjY=")</f>
        <v>#REF!</v>
      </c>
      <c r="BD296" t="e">
        <f>AND('Additional Services'!#REF!,"AAAAAF+/fjc=")</f>
        <v>#REF!</v>
      </c>
      <c r="BE296" t="e">
        <f>AND('Additional Services'!#REF!,"AAAAAF+/fjg=")</f>
        <v>#REF!</v>
      </c>
      <c r="BF296" t="e">
        <f>AND('Additional Services'!#REF!,"AAAAAF+/fjk=")</f>
        <v>#REF!</v>
      </c>
      <c r="BG296" t="e">
        <f>AND('Additional Services'!#REF!,"AAAAAF+/fjo=")</f>
        <v>#REF!</v>
      </c>
      <c r="BH296" t="e">
        <f>AND('Additional Services'!#REF!,"AAAAAF+/fjs=")</f>
        <v>#REF!</v>
      </c>
      <c r="BI296" t="e">
        <f>AND('Additional Services'!#REF!,"AAAAAF+/fjw=")</f>
        <v>#REF!</v>
      </c>
      <c r="BJ296" t="e">
        <f>IF('Additional Services'!#REF!,"AAAAAF+/fj0=",0)</f>
        <v>#REF!</v>
      </c>
      <c r="BK296" t="e">
        <f>AND('Additional Services'!#REF!,"AAAAAF+/fj4=")</f>
        <v>#REF!</v>
      </c>
      <c r="BL296" t="e">
        <f>AND('Additional Services'!#REF!,"AAAAAF+/fj8=")</f>
        <v>#REF!</v>
      </c>
      <c r="BM296" t="e">
        <f>AND('Additional Services'!#REF!,"AAAAAF+/fkA=")</f>
        <v>#REF!</v>
      </c>
      <c r="BN296" t="e">
        <f>AND('Additional Services'!#REF!,"AAAAAF+/fkE=")</f>
        <v>#REF!</v>
      </c>
      <c r="BO296" t="e">
        <f>AND('Additional Services'!#REF!,"AAAAAF+/fkI=")</f>
        <v>#REF!</v>
      </c>
      <c r="BP296" t="e">
        <f>AND('Additional Services'!#REF!,"AAAAAF+/fkM=")</f>
        <v>#REF!</v>
      </c>
      <c r="BQ296" t="e">
        <f>AND('Additional Services'!#REF!,"AAAAAF+/fkQ=")</f>
        <v>#REF!</v>
      </c>
      <c r="BR296" t="e">
        <f>AND('Additional Services'!#REF!,"AAAAAF+/fkU=")</f>
        <v>#REF!</v>
      </c>
      <c r="BS296" t="e">
        <f>AND('Additional Services'!#REF!,"AAAAAF+/fkY=")</f>
        <v>#REF!</v>
      </c>
      <c r="BT296" t="e">
        <f>AND('Additional Services'!#REF!,"AAAAAF+/fkc=")</f>
        <v>#REF!</v>
      </c>
      <c r="BU296" t="e">
        <f>AND('Additional Services'!#REF!,"AAAAAF+/fkg=")</f>
        <v>#REF!</v>
      </c>
      <c r="BV296" t="e">
        <f>AND('Additional Services'!#REF!,"AAAAAF+/fkk=")</f>
        <v>#REF!</v>
      </c>
      <c r="BW296" t="e">
        <f>AND('Additional Services'!#REF!,"AAAAAF+/fko=")</f>
        <v>#REF!</v>
      </c>
      <c r="BX296" t="e">
        <f>IF('Additional Services'!#REF!,"AAAAAF+/fks=",0)</f>
        <v>#REF!</v>
      </c>
      <c r="BY296" t="e">
        <f>AND('Additional Services'!#REF!,"AAAAAF+/fkw=")</f>
        <v>#REF!</v>
      </c>
      <c r="BZ296" t="e">
        <f>AND('Additional Services'!#REF!,"AAAAAF+/fk0=")</f>
        <v>#REF!</v>
      </c>
      <c r="CA296" t="e">
        <f>AND('Additional Services'!#REF!,"AAAAAF+/fk4=")</f>
        <v>#REF!</v>
      </c>
      <c r="CB296" t="e">
        <f>AND('Additional Services'!#REF!,"AAAAAF+/fk8=")</f>
        <v>#REF!</v>
      </c>
      <c r="CC296" t="e">
        <f>AND('Additional Services'!#REF!,"AAAAAF+/flA=")</f>
        <v>#REF!</v>
      </c>
      <c r="CD296" t="e">
        <f>AND('Additional Services'!#REF!,"AAAAAF+/flE=")</f>
        <v>#REF!</v>
      </c>
      <c r="CE296" t="e">
        <f>AND('Additional Services'!#REF!,"AAAAAF+/flI=")</f>
        <v>#REF!</v>
      </c>
      <c r="CF296" t="e">
        <f>AND('Additional Services'!#REF!,"AAAAAF+/flM=")</f>
        <v>#REF!</v>
      </c>
      <c r="CG296" t="e">
        <f>AND('Additional Services'!#REF!,"AAAAAF+/flQ=")</f>
        <v>#REF!</v>
      </c>
      <c r="CH296" t="e">
        <f>AND('Additional Services'!#REF!,"AAAAAF+/flU=")</f>
        <v>#REF!</v>
      </c>
      <c r="CI296" t="e">
        <f>AND('Additional Services'!#REF!,"AAAAAF+/flY=")</f>
        <v>#REF!</v>
      </c>
      <c r="CJ296" t="e">
        <f>AND('Additional Services'!#REF!,"AAAAAF+/flc=")</f>
        <v>#REF!</v>
      </c>
      <c r="CK296" t="e">
        <f>AND('Additional Services'!#REF!,"AAAAAF+/flg=")</f>
        <v>#REF!</v>
      </c>
      <c r="CL296" t="e">
        <f>IF('Additional Services'!#REF!,"AAAAAF+/flk=",0)</f>
        <v>#REF!</v>
      </c>
      <c r="CM296" t="e">
        <f>AND('Additional Services'!#REF!,"AAAAAF+/flo=")</f>
        <v>#REF!</v>
      </c>
      <c r="CN296" t="e">
        <f>AND('Additional Services'!#REF!,"AAAAAF+/fls=")</f>
        <v>#REF!</v>
      </c>
      <c r="CO296" t="e">
        <f>AND('Additional Services'!#REF!,"AAAAAF+/flw=")</f>
        <v>#REF!</v>
      </c>
      <c r="CP296" t="e">
        <f>AND('Additional Services'!#REF!,"AAAAAF+/fl0=")</f>
        <v>#REF!</v>
      </c>
      <c r="CQ296" t="e">
        <f>AND('Additional Services'!#REF!,"AAAAAF+/fl4=")</f>
        <v>#REF!</v>
      </c>
      <c r="CR296" t="e">
        <f>AND('Additional Services'!#REF!,"AAAAAF+/fl8=")</f>
        <v>#REF!</v>
      </c>
      <c r="CS296" t="e">
        <f>AND('Additional Services'!#REF!,"AAAAAF+/fmA=")</f>
        <v>#REF!</v>
      </c>
      <c r="CT296" t="e">
        <f>AND('Additional Services'!#REF!,"AAAAAF+/fmE=")</f>
        <v>#REF!</v>
      </c>
      <c r="CU296" t="e">
        <f>AND('Additional Services'!#REF!,"AAAAAF+/fmI=")</f>
        <v>#REF!</v>
      </c>
      <c r="CV296" t="e">
        <f>AND('Additional Services'!#REF!,"AAAAAF+/fmM=")</f>
        <v>#REF!</v>
      </c>
      <c r="CW296" t="e">
        <f>AND('Additional Services'!#REF!,"AAAAAF+/fmQ=")</f>
        <v>#REF!</v>
      </c>
      <c r="CX296" t="e">
        <f>AND('Additional Services'!#REF!,"AAAAAF+/fmU=")</f>
        <v>#REF!</v>
      </c>
      <c r="CY296" t="e">
        <f>AND('Additional Services'!#REF!,"AAAAAF+/fmY=")</f>
        <v>#REF!</v>
      </c>
      <c r="CZ296" t="e">
        <f>IF('Additional Services'!#REF!,"AAAAAF+/fmc=",0)</f>
        <v>#REF!</v>
      </c>
      <c r="DA296" t="e">
        <f>AND('Additional Services'!#REF!,"AAAAAF+/fmg=")</f>
        <v>#REF!</v>
      </c>
      <c r="DB296" t="e">
        <f>AND('Additional Services'!#REF!,"AAAAAF+/fmk=")</f>
        <v>#REF!</v>
      </c>
      <c r="DC296" t="e">
        <f>AND('Additional Services'!#REF!,"AAAAAF+/fmo=")</f>
        <v>#REF!</v>
      </c>
      <c r="DD296" t="e">
        <f>AND('Additional Services'!#REF!,"AAAAAF+/fms=")</f>
        <v>#REF!</v>
      </c>
      <c r="DE296" t="e">
        <f>AND('Additional Services'!#REF!,"AAAAAF+/fmw=")</f>
        <v>#REF!</v>
      </c>
      <c r="DF296" t="e">
        <f>AND('Additional Services'!#REF!,"AAAAAF+/fm0=")</f>
        <v>#REF!</v>
      </c>
      <c r="DG296" t="e">
        <f>AND('Additional Services'!#REF!,"AAAAAF+/fm4=")</f>
        <v>#REF!</v>
      </c>
      <c r="DH296" t="e">
        <f>AND('Additional Services'!#REF!,"AAAAAF+/fm8=")</f>
        <v>#REF!</v>
      </c>
      <c r="DI296" t="e">
        <f>AND('Additional Services'!#REF!,"AAAAAF+/fnA=")</f>
        <v>#REF!</v>
      </c>
      <c r="DJ296" t="e">
        <f>AND('Additional Services'!#REF!,"AAAAAF+/fnE=")</f>
        <v>#REF!</v>
      </c>
      <c r="DK296" t="e">
        <f>AND('Additional Services'!#REF!,"AAAAAF+/fnI=")</f>
        <v>#REF!</v>
      </c>
      <c r="DL296" t="e">
        <f>AND('Additional Services'!#REF!,"AAAAAF+/fnM=")</f>
        <v>#REF!</v>
      </c>
      <c r="DM296" t="e">
        <f>AND('Additional Services'!#REF!,"AAAAAF+/fnQ=")</f>
        <v>#REF!</v>
      </c>
      <c r="DN296" t="e">
        <f>IF('Additional Services'!#REF!,"AAAAAF+/fnU=",0)</f>
        <v>#REF!</v>
      </c>
      <c r="DO296" t="e">
        <f>AND('Additional Services'!#REF!,"AAAAAF+/fnY=")</f>
        <v>#REF!</v>
      </c>
      <c r="DP296" t="e">
        <f>AND('Additional Services'!#REF!,"AAAAAF+/fnc=")</f>
        <v>#REF!</v>
      </c>
      <c r="DQ296" t="e">
        <f>AND('Additional Services'!#REF!,"AAAAAF+/fng=")</f>
        <v>#REF!</v>
      </c>
      <c r="DR296" t="e">
        <f>AND('Additional Services'!#REF!,"AAAAAF+/fnk=")</f>
        <v>#REF!</v>
      </c>
      <c r="DS296" t="e">
        <f>AND('Additional Services'!#REF!,"AAAAAF+/fno=")</f>
        <v>#REF!</v>
      </c>
      <c r="DT296" t="e">
        <f>AND('Additional Services'!#REF!,"AAAAAF+/fns=")</f>
        <v>#REF!</v>
      </c>
      <c r="DU296" t="e">
        <f>AND('Additional Services'!#REF!,"AAAAAF+/fnw=")</f>
        <v>#REF!</v>
      </c>
      <c r="DV296" t="e">
        <f>AND('Additional Services'!#REF!,"AAAAAF+/fn0=")</f>
        <v>#REF!</v>
      </c>
      <c r="DW296" t="e">
        <f>AND('Additional Services'!#REF!,"AAAAAF+/fn4=")</f>
        <v>#REF!</v>
      </c>
      <c r="DX296" t="e">
        <f>AND('Additional Services'!#REF!,"AAAAAF+/fn8=")</f>
        <v>#REF!</v>
      </c>
      <c r="DY296" t="e">
        <f>AND('Additional Services'!#REF!,"AAAAAF+/foA=")</f>
        <v>#REF!</v>
      </c>
      <c r="DZ296" t="e">
        <f>AND('Additional Services'!#REF!,"AAAAAF+/foE=")</f>
        <v>#REF!</v>
      </c>
      <c r="EA296" t="e">
        <f>AND('Additional Services'!#REF!,"AAAAAF+/foI=")</f>
        <v>#REF!</v>
      </c>
      <c r="EB296" t="e">
        <f>IF('Additional Services'!#REF!,"AAAAAF+/foM=",0)</f>
        <v>#REF!</v>
      </c>
      <c r="EC296" t="e">
        <f>AND('Additional Services'!#REF!,"AAAAAF+/foQ=")</f>
        <v>#REF!</v>
      </c>
      <c r="ED296" t="e">
        <f>AND('Additional Services'!#REF!,"AAAAAF+/foU=")</f>
        <v>#REF!</v>
      </c>
      <c r="EE296" t="e">
        <f>AND('Additional Services'!#REF!,"AAAAAF+/foY=")</f>
        <v>#REF!</v>
      </c>
      <c r="EF296" t="e">
        <f>AND('Additional Services'!#REF!,"AAAAAF+/foc=")</f>
        <v>#REF!</v>
      </c>
      <c r="EG296" t="e">
        <f>AND('Additional Services'!#REF!,"AAAAAF+/fog=")</f>
        <v>#REF!</v>
      </c>
      <c r="EH296" t="e">
        <f>AND('Additional Services'!#REF!,"AAAAAF+/fok=")</f>
        <v>#REF!</v>
      </c>
      <c r="EI296" t="e">
        <f>AND('Additional Services'!#REF!,"AAAAAF+/foo=")</f>
        <v>#REF!</v>
      </c>
      <c r="EJ296" t="e">
        <f>AND('Additional Services'!#REF!,"AAAAAF+/fos=")</f>
        <v>#REF!</v>
      </c>
      <c r="EK296" t="e">
        <f>AND('Additional Services'!#REF!,"AAAAAF+/fow=")</f>
        <v>#REF!</v>
      </c>
      <c r="EL296" t="e">
        <f>AND('Additional Services'!#REF!,"AAAAAF+/fo0=")</f>
        <v>#REF!</v>
      </c>
      <c r="EM296" t="e">
        <f>AND('Additional Services'!#REF!,"AAAAAF+/fo4=")</f>
        <v>#REF!</v>
      </c>
      <c r="EN296" t="e">
        <f>AND('Additional Services'!#REF!,"AAAAAF+/fo8=")</f>
        <v>#REF!</v>
      </c>
      <c r="EO296" t="e">
        <f>AND('Additional Services'!#REF!,"AAAAAF+/fpA=")</f>
        <v>#REF!</v>
      </c>
      <c r="EP296" t="e">
        <f>IF('Additional Services'!#REF!,"AAAAAF+/fpE=",0)</f>
        <v>#REF!</v>
      </c>
      <c r="EQ296" t="e">
        <f>AND('Additional Services'!#REF!,"AAAAAF+/fpI=")</f>
        <v>#REF!</v>
      </c>
      <c r="ER296" t="e">
        <f>AND('Additional Services'!#REF!,"AAAAAF+/fpM=")</f>
        <v>#REF!</v>
      </c>
      <c r="ES296" t="e">
        <f>AND('Additional Services'!#REF!,"AAAAAF+/fpQ=")</f>
        <v>#REF!</v>
      </c>
      <c r="ET296" t="e">
        <f>AND('Additional Services'!#REF!,"AAAAAF+/fpU=")</f>
        <v>#REF!</v>
      </c>
      <c r="EU296" t="e">
        <f>AND('Additional Services'!#REF!,"AAAAAF+/fpY=")</f>
        <v>#REF!</v>
      </c>
      <c r="EV296" t="e">
        <f>AND('Additional Services'!#REF!,"AAAAAF+/fpc=")</f>
        <v>#REF!</v>
      </c>
      <c r="EW296" t="e">
        <f>AND('Additional Services'!#REF!,"AAAAAF+/fpg=")</f>
        <v>#REF!</v>
      </c>
      <c r="EX296" t="e">
        <f>AND('Additional Services'!#REF!,"AAAAAF+/fpk=")</f>
        <v>#REF!</v>
      </c>
      <c r="EY296" t="e">
        <f>AND('Additional Services'!#REF!,"AAAAAF+/fpo=")</f>
        <v>#REF!</v>
      </c>
      <c r="EZ296" t="e">
        <f>AND('Additional Services'!#REF!,"AAAAAF+/fps=")</f>
        <v>#REF!</v>
      </c>
      <c r="FA296" t="e">
        <f>AND('Additional Services'!#REF!,"AAAAAF+/fpw=")</f>
        <v>#REF!</v>
      </c>
      <c r="FB296" t="e">
        <f>AND('Additional Services'!#REF!,"AAAAAF+/fp0=")</f>
        <v>#REF!</v>
      </c>
      <c r="FC296" t="e">
        <f>AND('Additional Services'!#REF!,"AAAAAF+/fp4=")</f>
        <v>#REF!</v>
      </c>
      <c r="FD296" t="e">
        <f>IF('Additional Services'!#REF!,"AAAAAF+/fp8=",0)</f>
        <v>#REF!</v>
      </c>
      <c r="FE296" t="e">
        <f>AND('Additional Services'!#REF!,"AAAAAF+/fqA=")</f>
        <v>#REF!</v>
      </c>
      <c r="FF296" t="e">
        <f>AND('Additional Services'!#REF!,"AAAAAF+/fqE=")</f>
        <v>#REF!</v>
      </c>
      <c r="FG296" t="e">
        <f>AND('Additional Services'!#REF!,"AAAAAF+/fqI=")</f>
        <v>#REF!</v>
      </c>
      <c r="FH296" t="e">
        <f>AND('Additional Services'!#REF!,"AAAAAF+/fqM=")</f>
        <v>#REF!</v>
      </c>
      <c r="FI296" t="e">
        <f>AND('Additional Services'!#REF!,"AAAAAF+/fqQ=")</f>
        <v>#REF!</v>
      </c>
      <c r="FJ296" t="e">
        <f>AND('Additional Services'!#REF!,"AAAAAF+/fqU=")</f>
        <v>#REF!</v>
      </c>
      <c r="FK296" t="e">
        <f>AND('Additional Services'!#REF!,"AAAAAF+/fqY=")</f>
        <v>#REF!</v>
      </c>
      <c r="FL296" t="e">
        <f>AND('Additional Services'!#REF!,"AAAAAF+/fqc=")</f>
        <v>#REF!</v>
      </c>
      <c r="FM296" t="e">
        <f>AND('Additional Services'!#REF!,"AAAAAF+/fqg=")</f>
        <v>#REF!</v>
      </c>
      <c r="FN296" t="e">
        <f>AND('Additional Services'!#REF!,"AAAAAF+/fqk=")</f>
        <v>#REF!</v>
      </c>
      <c r="FO296" t="e">
        <f>AND('Additional Services'!#REF!,"AAAAAF+/fqo=")</f>
        <v>#REF!</v>
      </c>
      <c r="FP296" t="e">
        <f>AND('Additional Services'!#REF!,"AAAAAF+/fqs=")</f>
        <v>#REF!</v>
      </c>
      <c r="FQ296" t="e">
        <f>AND('Additional Services'!#REF!,"AAAAAF+/fqw=")</f>
        <v>#REF!</v>
      </c>
      <c r="FR296" t="e">
        <f>IF('Additional Services'!#REF!,"AAAAAF+/fq0=",0)</f>
        <v>#REF!</v>
      </c>
      <c r="FS296" t="e">
        <f>AND('Additional Services'!#REF!,"AAAAAF+/fq4=")</f>
        <v>#REF!</v>
      </c>
      <c r="FT296" t="e">
        <f>AND('Additional Services'!#REF!,"AAAAAF+/fq8=")</f>
        <v>#REF!</v>
      </c>
      <c r="FU296" t="e">
        <f>AND('Additional Services'!#REF!,"AAAAAF+/frA=")</f>
        <v>#REF!</v>
      </c>
      <c r="FV296" t="e">
        <f>AND('Additional Services'!#REF!,"AAAAAF+/frE=")</f>
        <v>#REF!</v>
      </c>
      <c r="FW296" t="e">
        <f>AND('Additional Services'!#REF!,"AAAAAF+/frI=")</f>
        <v>#REF!</v>
      </c>
      <c r="FX296" t="e">
        <f>AND('Additional Services'!#REF!,"AAAAAF+/frM=")</f>
        <v>#REF!</v>
      </c>
      <c r="FY296" t="e">
        <f>AND('Additional Services'!#REF!,"AAAAAF+/frQ=")</f>
        <v>#REF!</v>
      </c>
      <c r="FZ296" t="e">
        <f>AND('Additional Services'!#REF!,"AAAAAF+/frU=")</f>
        <v>#REF!</v>
      </c>
      <c r="GA296" t="e">
        <f>AND('Additional Services'!#REF!,"AAAAAF+/frY=")</f>
        <v>#REF!</v>
      </c>
      <c r="GB296" t="e">
        <f>AND('Additional Services'!#REF!,"AAAAAF+/frc=")</f>
        <v>#REF!</v>
      </c>
      <c r="GC296" t="e">
        <f>AND('Additional Services'!#REF!,"AAAAAF+/frg=")</f>
        <v>#REF!</v>
      </c>
      <c r="GD296" t="e">
        <f>AND('Additional Services'!#REF!,"AAAAAF+/frk=")</f>
        <v>#REF!</v>
      </c>
      <c r="GE296" t="e">
        <f>AND('Additional Services'!#REF!,"AAAAAF+/fro=")</f>
        <v>#REF!</v>
      </c>
      <c r="GF296" t="e">
        <f>IF('Additional Services'!#REF!,"AAAAAF+/frs=",0)</f>
        <v>#REF!</v>
      </c>
      <c r="GG296" t="e">
        <f>AND('Additional Services'!#REF!,"AAAAAF+/frw=")</f>
        <v>#REF!</v>
      </c>
      <c r="GH296" t="e">
        <f>AND('Additional Services'!#REF!,"AAAAAF+/fr0=")</f>
        <v>#REF!</v>
      </c>
      <c r="GI296" t="e">
        <f>AND('Additional Services'!#REF!,"AAAAAF+/fr4=")</f>
        <v>#REF!</v>
      </c>
      <c r="GJ296" t="e">
        <f>AND('Additional Services'!#REF!,"AAAAAF+/fr8=")</f>
        <v>#REF!</v>
      </c>
      <c r="GK296" t="e">
        <f>AND('Additional Services'!#REF!,"AAAAAF+/fsA=")</f>
        <v>#REF!</v>
      </c>
      <c r="GL296" t="e">
        <f>AND('Additional Services'!#REF!,"AAAAAF+/fsE=")</f>
        <v>#REF!</v>
      </c>
      <c r="GM296" t="e">
        <f>AND('Additional Services'!#REF!,"AAAAAF+/fsI=")</f>
        <v>#REF!</v>
      </c>
      <c r="GN296" t="e">
        <f>AND('Additional Services'!#REF!,"AAAAAF+/fsM=")</f>
        <v>#REF!</v>
      </c>
      <c r="GO296" t="e">
        <f>AND('Additional Services'!#REF!,"AAAAAF+/fsQ=")</f>
        <v>#REF!</v>
      </c>
      <c r="GP296" t="e">
        <f>AND('Additional Services'!#REF!,"AAAAAF+/fsU=")</f>
        <v>#REF!</v>
      </c>
      <c r="GQ296" t="e">
        <f>AND('Additional Services'!#REF!,"AAAAAF+/fsY=")</f>
        <v>#REF!</v>
      </c>
      <c r="GR296" t="e">
        <f>AND('Additional Services'!#REF!,"AAAAAF+/fsc=")</f>
        <v>#REF!</v>
      </c>
      <c r="GS296" t="e">
        <f>AND('Additional Services'!#REF!,"AAAAAF+/fsg=")</f>
        <v>#REF!</v>
      </c>
      <c r="GT296" t="e">
        <f>IF('Additional Services'!#REF!,"AAAAAF+/fsk=",0)</f>
        <v>#REF!</v>
      </c>
      <c r="GU296" t="e">
        <f>AND('Additional Services'!#REF!,"AAAAAF+/fso=")</f>
        <v>#REF!</v>
      </c>
      <c r="GV296" t="e">
        <f>AND('Additional Services'!#REF!,"AAAAAF+/fss=")</f>
        <v>#REF!</v>
      </c>
      <c r="GW296" t="e">
        <f>AND('Additional Services'!#REF!,"AAAAAF+/fsw=")</f>
        <v>#REF!</v>
      </c>
      <c r="GX296" t="e">
        <f>AND('Additional Services'!#REF!,"AAAAAF+/fs0=")</f>
        <v>#REF!</v>
      </c>
      <c r="GY296" t="e">
        <f>AND('Additional Services'!#REF!,"AAAAAF+/fs4=")</f>
        <v>#REF!</v>
      </c>
      <c r="GZ296" t="e">
        <f>AND('Additional Services'!#REF!,"AAAAAF+/fs8=")</f>
        <v>#REF!</v>
      </c>
      <c r="HA296" t="e">
        <f>AND('Additional Services'!#REF!,"AAAAAF+/ftA=")</f>
        <v>#REF!</v>
      </c>
      <c r="HB296" t="e">
        <f>AND('Additional Services'!#REF!,"AAAAAF+/ftE=")</f>
        <v>#REF!</v>
      </c>
      <c r="HC296" t="e">
        <f>AND('Additional Services'!#REF!,"AAAAAF+/ftI=")</f>
        <v>#REF!</v>
      </c>
      <c r="HD296" t="e">
        <f>AND('Additional Services'!#REF!,"AAAAAF+/ftM=")</f>
        <v>#REF!</v>
      </c>
      <c r="HE296" t="e">
        <f>AND('Additional Services'!#REF!,"AAAAAF+/ftQ=")</f>
        <v>#REF!</v>
      </c>
      <c r="HF296" t="e">
        <f>AND('Additional Services'!#REF!,"AAAAAF+/ftU=")</f>
        <v>#REF!</v>
      </c>
      <c r="HG296" t="e">
        <f>AND('Additional Services'!#REF!,"AAAAAF+/ftY=")</f>
        <v>#REF!</v>
      </c>
      <c r="HH296" t="e">
        <f>IF('Additional Services'!#REF!,"AAAAAF+/ftc=",0)</f>
        <v>#REF!</v>
      </c>
      <c r="HI296" t="e">
        <f>AND('Additional Services'!#REF!,"AAAAAF+/ftg=")</f>
        <v>#REF!</v>
      </c>
      <c r="HJ296" t="e">
        <f>AND('Additional Services'!#REF!,"AAAAAF+/ftk=")</f>
        <v>#REF!</v>
      </c>
      <c r="HK296" t="e">
        <f>AND('Additional Services'!#REF!,"AAAAAF+/fto=")</f>
        <v>#REF!</v>
      </c>
      <c r="HL296" t="e">
        <f>AND('Additional Services'!#REF!,"AAAAAF+/fts=")</f>
        <v>#REF!</v>
      </c>
      <c r="HM296" t="e">
        <f>AND('Additional Services'!#REF!,"AAAAAF+/ftw=")</f>
        <v>#REF!</v>
      </c>
      <c r="HN296" t="e">
        <f>AND('Additional Services'!#REF!,"AAAAAF+/ft0=")</f>
        <v>#REF!</v>
      </c>
      <c r="HO296" t="e">
        <f>AND('Additional Services'!#REF!,"AAAAAF+/ft4=")</f>
        <v>#REF!</v>
      </c>
      <c r="HP296" t="e">
        <f>AND('Additional Services'!#REF!,"AAAAAF+/ft8=")</f>
        <v>#REF!</v>
      </c>
      <c r="HQ296" t="e">
        <f>AND('Additional Services'!#REF!,"AAAAAF+/fuA=")</f>
        <v>#REF!</v>
      </c>
      <c r="HR296" t="e">
        <f>AND('Additional Services'!#REF!,"AAAAAF+/fuE=")</f>
        <v>#REF!</v>
      </c>
      <c r="HS296" t="e">
        <f>AND('Additional Services'!#REF!,"AAAAAF+/fuI=")</f>
        <v>#REF!</v>
      </c>
      <c r="HT296" t="e">
        <f>AND('Additional Services'!#REF!,"AAAAAF+/fuM=")</f>
        <v>#REF!</v>
      </c>
      <c r="HU296" t="e">
        <f>AND('Additional Services'!#REF!,"AAAAAF+/fuQ=")</f>
        <v>#REF!</v>
      </c>
      <c r="HV296" t="e">
        <f>IF('Additional Services'!#REF!,"AAAAAF+/fuU=",0)</f>
        <v>#REF!</v>
      </c>
      <c r="HW296" t="e">
        <f>AND('Additional Services'!#REF!,"AAAAAF+/fuY=")</f>
        <v>#REF!</v>
      </c>
      <c r="HX296" t="e">
        <f>AND('Additional Services'!#REF!,"AAAAAF+/fuc=")</f>
        <v>#REF!</v>
      </c>
      <c r="HY296" t="e">
        <f>AND('Additional Services'!#REF!,"AAAAAF+/fug=")</f>
        <v>#REF!</v>
      </c>
      <c r="HZ296" t="e">
        <f>AND('Additional Services'!#REF!,"AAAAAF+/fuk=")</f>
        <v>#REF!</v>
      </c>
      <c r="IA296" t="e">
        <f>AND('Additional Services'!#REF!,"AAAAAF+/fuo=")</f>
        <v>#REF!</v>
      </c>
      <c r="IB296" t="e">
        <f>AND('Additional Services'!#REF!,"AAAAAF+/fus=")</f>
        <v>#REF!</v>
      </c>
      <c r="IC296" t="e">
        <f>AND('Additional Services'!#REF!,"AAAAAF+/fuw=")</f>
        <v>#REF!</v>
      </c>
      <c r="ID296" t="e">
        <f>AND('Additional Services'!#REF!,"AAAAAF+/fu0=")</f>
        <v>#REF!</v>
      </c>
      <c r="IE296" t="e">
        <f>AND('Additional Services'!#REF!,"AAAAAF+/fu4=")</f>
        <v>#REF!</v>
      </c>
      <c r="IF296" t="e">
        <f>AND('Additional Services'!#REF!,"AAAAAF+/fu8=")</f>
        <v>#REF!</v>
      </c>
      <c r="IG296" t="e">
        <f>AND('Additional Services'!#REF!,"AAAAAF+/fvA=")</f>
        <v>#REF!</v>
      </c>
      <c r="IH296" t="e">
        <f>AND('Additional Services'!#REF!,"AAAAAF+/fvE=")</f>
        <v>#REF!</v>
      </c>
      <c r="II296" t="e">
        <f>AND('Additional Services'!#REF!,"AAAAAF+/fvI=")</f>
        <v>#REF!</v>
      </c>
      <c r="IJ296" t="e">
        <f>IF('Additional Services'!#REF!,"AAAAAF+/fvM=",0)</f>
        <v>#REF!</v>
      </c>
      <c r="IK296" t="e">
        <f>AND('Additional Services'!#REF!,"AAAAAF+/fvQ=")</f>
        <v>#REF!</v>
      </c>
      <c r="IL296" t="e">
        <f>AND('Additional Services'!#REF!,"AAAAAF+/fvU=")</f>
        <v>#REF!</v>
      </c>
      <c r="IM296" t="e">
        <f>AND('Additional Services'!#REF!,"AAAAAF+/fvY=")</f>
        <v>#REF!</v>
      </c>
      <c r="IN296" t="e">
        <f>AND('Additional Services'!#REF!,"AAAAAF+/fvc=")</f>
        <v>#REF!</v>
      </c>
      <c r="IO296" t="e">
        <f>AND('Additional Services'!#REF!,"AAAAAF+/fvg=")</f>
        <v>#REF!</v>
      </c>
      <c r="IP296" t="e">
        <f>AND('Additional Services'!#REF!,"AAAAAF+/fvk=")</f>
        <v>#REF!</v>
      </c>
      <c r="IQ296" t="e">
        <f>AND('Additional Services'!#REF!,"AAAAAF+/fvo=")</f>
        <v>#REF!</v>
      </c>
      <c r="IR296" t="e">
        <f>AND('Additional Services'!#REF!,"AAAAAF+/fvs=")</f>
        <v>#REF!</v>
      </c>
      <c r="IS296" t="e">
        <f>AND('Additional Services'!#REF!,"AAAAAF+/fvw=")</f>
        <v>#REF!</v>
      </c>
      <c r="IT296" t="e">
        <f>AND('Additional Services'!#REF!,"AAAAAF+/fv0=")</f>
        <v>#REF!</v>
      </c>
      <c r="IU296" t="e">
        <f>AND('Additional Services'!#REF!,"AAAAAF+/fv4=")</f>
        <v>#REF!</v>
      </c>
      <c r="IV296" t="e">
        <f>AND('Additional Services'!#REF!,"AAAAAF+/fv8=")</f>
        <v>#REF!</v>
      </c>
    </row>
    <row r="297" spans="1:256" x14ac:dyDescent="0.2">
      <c r="A297" t="e">
        <f>AND('Additional Services'!#REF!,"AAAAAC3+/gA=")</f>
        <v>#REF!</v>
      </c>
      <c r="B297" t="e">
        <f>IF('Additional Services'!#REF!,"AAAAAC3+/gE=",0)</f>
        <v>#REF!</v>
      </c>
      <c r="C297" t="e">
        <f>AND('Additional Services'!#REF!,"AAAAAC3+/gI=")</f>
        <v>#REF!</v>
      </c>
      <c r="D297" t="e">
        <f>AND('Additional Services'!#REF!,"AAAAAC3+/gM=")</f>
        <v>#REF!</v>
      </c>
      <c r="E297" t="e">
        <f>AND('Additional Services'!#REF!,"AAAAAC3+/gQ=")</f>
        <v>#REF!</v>
      </c>
      <c r="F297" t="e">
        <f>AND('Additional Services'!#REF!,"AAAAAC3+/gU=")</f>
        <v>#REF!</v>
      </c>
      <c r="G297" t="e">
        <f>AND('Additional Services'!#REF!,"AAAAAC3+/gY=")</f>
        <v>#REF!</v>
      </c>
      <c r="H297" t="e">
        <f>AND('Additional Services'!#REF!,"AAAAAC3+/gc=")</f>
        <v>#REF!</v>
      </c>
      <c r="I297" t="e">
        <f>AND('Additional Services'!#REF!,"AAAAAC3+/gg=")</f>
        <v>#REF!</v>
      </c>
      <c r="J297" t="e">
        <f>AND('Additional Services'!#REF!,"AAAAAC3+/gk=")</f>
        <v>#REF!</v>
      </c>
      <c r="K297" t="e">
        <f>AND('Additional Services'!#REF!,"AAAAAC3+/go=")</f>
        <v>#REF!</v>
      </c>
      <c r="L297" t="e">
        <f>AND('Additional Services'!#REF!,"AAAAAC3+/gs=")</f>
        <v>#REF!</v>
      </c>
      <c r="M297" t="e">
        <f>AND('Additional Services'!#REF!,"AAAAAC3+/gw=")</f>
        <v>#REF!</v>
      </c>
      <c r="N297" t="e">
        <f>AND('Additional Services'!#REF!,"AAAAAC3+/g0=")</f>
        <v>#REF!</v>
      </c>
      <c r="O297" t="e">
        <f>AND('Additional Services'!#REF!,"AAAAAC3+/g4=")</f>
        <v>#REF!</v>
      </c>
      <c r="P297" t="e">
        <f>IF('Additional Services'!#REF!,"AAAAAC3+/g8=",0)</f>
        <v>#REF!</v>
      </c>
      <c r="Q297" t="e">
        <f>AND('Additional Services'!#REF!,"AAAAAC3+/hA=")</f>
        <v>#REF!</v>
      </c>
      <c r="R297" t="e">
        <f>AND('Additional Services'!#REF!,"AAAAAC3+/hE=")</f>
        <v>#REF!</v>
      </c>
      <c r="S297" t="e">
        <f>AND('Additional Services'!#REF!,"AAAAAC3+/hI=")</f>
        <v>#REF!</v>
      </c>
      <c r="T297" t="e">
        <f>AND('Additional Services'!#REF!,"AAAAAC3+/hM=")</f>
        <v>#REF!</v>
      </c>
      <c r="U297" t="e">
        <f>AND('Additional Services'!#REF!,"AAAAAC3+/hQ=")</f>
        <v>#REF!</v>
      </c>
      <c r="V297" t="e">
        <f>AND('Additional Services'!#REF!,"AAAAAC3+/hU=")</f>
        <v>#REF!</v>
      </c>
      <c r="W297" t="e">
        <f>AND('Additional Services'!#REF!,"AAAAAC3+/hY=")</f>
        <v>#REF!</v>
      </c>
      <c r="X297" t="e">
        <f>AND('Additional Services'!#REF!,"AAAAAC3+/hc=")</f>
        <v>#REF!</v>
      </c>
      <c r="Y297" t="e">
        <f>AND('Additional Services'!#REF!,"AAAAAC3+/hg=")</f>
        <v>#REF!</v>
      </c>
      <c r="Z297" t="e">
        <f>AND('Additional Services'!#REF!,"AAAAAC3+/hk=")</f>
        <v>#REF!</v>
      </c>
      <c r="AA297" t="e">
        <f>AND('Additional Services'!#REF!,"AAAAAC3+/ho=")</f>
        <v>#REF!</v>
      </c>
      <c r="AB297" t="e">
        <f>AND('Additional Services'!#REF!,"AAAAAC3+/hs=")</f>
        <v>#REF!</v>
      </c>
      <c r="AC297" t="e">
        <f>AND('Additional Services'!#REF!,"AAAAAC3+/hw=")</f>
        <v>#REF!</v>
      </c>
      <c r="AD297" t="e">
        <f>IF('Additional Services'!#REF!,"AAAAAC3+/h0=",0)</f>
        <v>#REF!</v>
      </c>
      <c r="AE297" t="e">
        <f>AND('Additional Services'!#REF!,"AAAAAC3+/h4=")</f>
        <v>#REF!</v>
      </c>
      <c r="AF297" t="e">
        <f>AND('Additional Services'!#REF!,"AAAAAC3+/h8=")</f>
        <v>#REF!</v>
      </c>
      <c r="AG297" t="e">
        <f>AND('Additional Services'!#REF!,"AAAAAC3+/iA=")</f>
        <v>#REF!</v>
      </c>
      <c r="AH297" t="e">
        <f>AND('Additional Services'!#REF!,"AAAAAC3+/iE=")</f>
        <v>#REF!</v>
      </c>
      <c r="AI297" t="e">
        <f>AND('Additional Services'!#REF!,"AAAAAC3+/iI=")</f>
        <v>#REF!</v>
      </c>
      <c r="AJ297" t="e">
        <f>AND('Additional Services'!#REF!,"AAAAAC3+/iM=")</f>
        <v>#REF!</v>
      </c>
      <c r="AK297" t="e">
        <f>AND('Additional Services'!#REF!,"AAAAAC3+/iQ=")</f>
        <v>#REF!</v>
      </c>
      <c r="AL297" t="e">
        <f>AND('Additional Services'!#REF!,"AAAAAC3+/iU=")</f>
        <v>#REF!</v>
      </c>
      <c r="AM297" t="e">
        <f>AND('Additional Services'!#REF!,"AAAAAC3+/iY=")</f>
        <v>#REF!</v>
      </c>
      <c r="AN297" t="e">
        <f>AND('Additional Services'!#REF!,"AAAAAC3+/ic=")</f>
        <v>#REF!</v>
      </c>
      <c r="AO297" t="e">
        <f>AND('Additional Services'!#REF!,"AAAAAC3+/ig=")</f>
        <v>#REF!</v>
      </c>
      <c r="AP297" t="e">
        <f>AND('Additional Services'!#REF!,"AAAAAC3+/ik=")</f>
        <v>#REF!</v>
      </c>
      <c r="AQ297" t="e">
        <f>AND('Additional Services'!#REF!,"AAAAAC3+/io=")</f>
        <v>#REF!</v>
      </c>
      <c r="AR297" t="e">
        <f>IF('Additional Services'!#REF!,"AAAAAC3+/is=",0)</f>
        <v>#REF!</v>
      </c>
      <c r="AS297" t="e">
        <f>AND('Additional Services'!#REF!,"AAAAAC3+/iw=")</f>
        <v>#REF!</v>
      </c>
      <c r="AT297" t="e">
        <f>AND('Additional Services'!#REF!,"AAAAAC3+/i0=")</f>
        <v>#REF!</v>
      </c>
      <c r="AU297" t="e">
        <f>AND('Additional Services'!#REF!,"AAAAAC3+/i4=")</f>
        <v>#REF!</v>
      </c>
      <c r="AV297" t="e">
        <f>AND('Additional Services'!#REF!,"AAAAAC3+/i8=")</f>
        <v>#REF!</v>
      </c>
      <c r="AW297" t="e">
        <f>AND('Additional Services'!#REF!,"AAAAAC3+/jA=")</f>
        <v>#REF!</v>
      </c>
      <c r="AX297" t="e">
        <f>AND('Additional Services'!#REF!,"AAAAAC3+/jE=")</f>
        <v>#REF!</v>
      </c>
      <c r="AY297" t="e">
        <f>AND('Additional Services'!#REF!,"AAAAAC3+/jI=")</f>
        <v>#REF!</v>
      </c>
      <c r="AZ297" t="e">
        <f>AND('Additional Services'!#REF!,"AAAAAC3+/jM=")</f>
        <v>#REF!</v>
      </c>
      <c r="BA297" t="e">
        <f>AND('Additional Services'!#REF!,"AAAAAC3+/jQ=")</f>
        <v>#REF!</v>
      </c>
      <c r="BB297" t="e">
        <f>AND('Additional Services'!#REF!,"AAAAAC3+/jU=")</f>
        <v>#REF!</v>
      </c>
      <c r="BC297" t="e">
        <f>AND('Additional Services'!#REF!,"AAAAAC3+/jY=")</f>
        <v>#REF!</v>
      </c>
      <c r="BD297" t="e">
        <f>AND('Additional Services'!#REF!,"AAAAAC3+/jc=")</f>
        <v>#REF!</v>
      </c>
      <c r="BE297" t="e">
        <f>AND('Additional Services'!#REF!,"AAAAAC3+/jg=")</f>
        <v>#REF!</v>
      </c>
      <c r="BF297" t="e">
        <f>IF('Additional Services'!#REF!,"AAAAAC3+/jk=",0)</f>
        <v>#REF!</v>
      </c>
      <c r="BG297" t="e">
        <f>AND('Additional Services'!#REF!,"AAAAAC3+/jo=")</f>
        <v>#REF!</v>
      </c>
      <c r="BH297" t="e">
        <f>AND('Additional Services'!#REF!,"AAAAAC3+/js=")</f>
        <v>#REF!</v>
      </c>
      <c r="BI297" t="e">
        <f>AND('Additional Services'!#REF!,"AAAAAC3+/jw=")</f>
        <v>#REF!</v>
      </c>
      <c r="BJ297" t="e">
        <f>AND('Additional Services'!#REF!,"AAAAAC3+/j0=")</f>
        <v>#REF!</v>
      </c>
      <c r="BK297" t="e">
        <f>AND('Additional Services'!#REF!,"AAAAAC3+/j4=")</f>
        <v>#REF!</v>
      </c>
      <c r="BL297" t="e">
        <f>AND('Additional Services'!#REF!,"AAAAAC3+/j8=")</f>
        <v>#REF!</v>
      </c>
      <c r="BM297" t="e">
        <f>AND('Additional Services'!#REF!,"AAAAAC3+/kA=")</f>
        <v>#REF!</v>
      </c>
      <c r="BN297" t="e">
        <f>AND('Additional Services'!#REF!,"AAAAAC3+/kE=")</f>
        <v>#REF!</v>
      </c>
      <c r="BO297" t="e">
        <f>AND('Additional Services'!#REF!,"AAAAAC3+/kI=")</f>
        <v>#REF!</v>
      </c>
      <c r="BP297" t="e">
        <f>AND('Additional Services'!#REF!,"AAAAAC3+/kM=")</f>
        <v>#REF!</v>
      </c>
      <c r="BQ297" t="e">
        <f>AND('Additional Services'!#REF!,"AAAAAC3+/kQ=")</f>
        <v>#REF!</v>
      </c>
      <c r="BR297" t="e">
        <f>AND('Additional Services'!#REF!,"AAAAAC3+/kU=")</f>
        <v>#REF!</v>
      </c>
      <c r="BS297" t="e">
        <f>AND('Additional Services'!#REF!,"AAAAAC3+/kY=")</f>
        <v>#REF!</v>
      </c>
      <c r="BT297" t="e">
        <f>IF('Additional Services'!#REF!,"AAAAAC3+/kc=",0)</f>
        <v>#REF!</v>
      </c>
      <c r="BU297" t="e">
        <f>AND('Additional Services'!#REF!,"AAAAAC3+/kg=")</f>
        <v>#REF!</v>
      </c>
      <c r="BV297" t="e">
        <f>AND('Additional Services'!#REF!,"AAAAAC3+/kk=")</f>
        <v>#REF!</v>
      </c>
      <c r="BW297" t="e">
        <f>AND('Additional Services'!#REF!,"AAAAAC3+/ko=")</f>
        <v>#REF!</v>
      </c>
      <c r="BX297" t="e">
        <f>AND('Additional Services'!#REF!,"AAAAAC3+/ks=")</f>
        <v>#REF!</v>
      </c>
      <c r="BY297" t="e">
        <f>AND('Additional Services'!#REF!,"AAAAAC3+/kw=")</f>
        <v>#REF!</v>
      </c>
      <c r="BZ297" t="e">
        <f>AND('Additional Services'!#REF!,"AAAAAC3+/k0=")</f>
        <v>#REF!</v>
      </c>
      <c r="CA297" t="e">
        <f>AND('Additional Services'!#REF!,"AAAAAC3+/k4=")</f>
        <v>#REF!</v>
      </c>
      <c r="CB297" t="e">
        <f>AND('Additional Services'!#REF!,"AAAAAC3+/k8=")</f>
        <v>#REF!</v>
      </c>
      <c r="CC297" t="e">
        <f>AND('Additional Services'!#REF!,"AAAAAC3+/lA=")</f>
        <v>#REF!</v>
      </c>
      <c r="CD297" t="e">
        <f>AND('Additional Services'!#REF!,"AAAAAC3+/lE=")</f>
        <v>#REF!</v>
      </c>
      <c r="CE297" t="e">
        <f>AND('Additional Services'!#REF!,"AAAAAC3+/lI=")</f>
        <v>#REF!</v>
      </c>
      <c r="CF297" t="e">
        <f>AND('Additional Services'!#REF!,"AAAAAC3+/lM=")</f>
        <v>#REF!</v>
      </c>
      <c r="CG297" t="e">
        <f>AND('Additional Services'!#REF!,"AAAAAC3+/lQ=")</f>
        <v>#REF!</v>
      </c>
      <c r="CH297" t="e">
        <f>IF('Additional Services'!#REF!,"AAAAAC3+/lU=",0)</f>
        <v>#REF!</v>
      </c>
      <c r="CI297" t="e">
        <f>AND('Additional Services'!#REF!,"AAAAAC3+/lY=")</f>
        <v>#REF!</v>
      </c>
      <c r="CJ297" t="e">
        <f>AND('Additional Services'!#REF!,"AAAAAC3+/lc=")</f>
        <v>#REF!</v>
      </c>
      <c r="CK297" t="e">
        <f>AND('Additional Services'!#REF!,"AAAAAC3+/lg=")</f>
        <v>#REF!</v>
      </c>
      <c r="CL297" t="e">
        <f>AND('Additional Services'!#REF!,"AAAAAC3+/lk=")</f>
        <v>#REF!</v>
      </c>
      <c r="CM297" t="e">
        <f>AND('Additional Services'!#REF!,"AAAAAC3+/lo=")</f>
        <v>#REF!</v>
      </c>
      <c r="CN297" t="e">
        <f>AND('Additional Services'!#REF!,"AAAAAC3+/ls=")</f>
        <v>#REF!</v>
      </c>
      <c r="CO297" t="e">
        <f>AND('Additional Services'!#REF!,"AAAAAC3+/lw=")</f>
        <v>#REF!</v>
      </c>
      <c r="CP297" t="e">
        <f>AND('Additional Services'!#REF!,"AAAAAC3+/l0=")</f>
        <v>#REF!</v>
      </c>
      <c r="CQ297" t="e">
        <f>AND('Additional Services'!#REF!,"AAAAAC3+/l4=")</f>
        <v>#REF!</v>
      </c>
      <c r="CR297" t="e">
        <f>AND('Additional Services'!#REF!,"AAAAAC3+/l8=")</f>
        <v>#REF!</v>
      </c>
      <c r="CS297" t="e">
        <f>AND('Additional Services'!#REF!,"AAAAAC3+/mA=")</f>
        <v>#REF!</v>
      </c>
      <c r="CT297" t="e">
        <f>AND('Additional Services'!#REF!,"AAAAAC3+/mE=")</f>
        <v>#REF!</v>
      </c>
      <c r="CU297" t="e">
        <f>AND('Additional Services'!#REF!,"AAAAAC3+/mI=")</f>
        <v>#REF!</v>
      </c>
      <c r="CV297" t="e">
        <f>IF('Additional Services'!#REF!,"AAAAAC3+/mM=",0)</f>
        <v>#REF!</v>
      </c>
      <c r="CW297" t="e">
        <f>AND('Additional Services'!#REF!,"AAAAAC3+/mQ=")</f>
        <v>#REF!</v>
      </c>
      <c r="CX297" t="e">
        <f>AND('Additional Services'!#REF!,"AAAAAC3+/mU=")</f>
        <v>#REF!</v>
      </c>
      <c r="CY297" t="e">
        <f>AND('Additional Services'!#REF!,"AAAAAC3+/mY=")</f>
        <v>#REF!</v>
      </c>
      <c r="CZ297" t="e">
        <f>AND('Additional Services'!#REF!,"AAAAAC3+/mc=")</f>
        <v>#REF!</v>
      </c>
      <c r="DA297" t="e">
        <f>AND('Additional Services'!#REF!,"AAAAAC3+/mg=")</f>
        <v>#REF!</v>
      </c>
      <c r="DB297" t="e">
        <f>AND('Additional Services'!#REF!,"AAAAAC3+/mk=")</f>
        <v>#REF!</v>
      </c>
      <c r="DC297" t="e">
        <f>AND('Additional Services'!#REF!,"AAAAAC3+/mo=")</f>
        <v>#REF!</v>
      </c>
      <c r="DD297" t="e">
        <f>AND('Additional Services'!#REF!,"AAAAAC3+/ms=")</f>
        <v>#REF!</v>
      </c>
      <c r="DE297" t="e">
        <f>AND('Additional Services'!#REF!,"AAAAAC3+/mw=")</f>
        <v>#REF!</v>
      </c>
      <c r="DF297" t="e">
        <f>AND('Additional Services'!#REF!,"AAAAAC3+/m0=")</f>
        <v>#REF!</v>
      </c>
      <c r="DG297" t="e">
        <f>AND('Additional Services'!#REF!,"AAAAAC3+/m4=")</f>
        <v>#REF!</v>
      </c>
      <c r="DH297" t="e">
        <f>AND('Additional Services'!#REF!,"AAAAAC3+/m8=")</f>
        <v>#REF!</v>
      </c>
      <c r="DI297" t="e">
        <f>AND('Additional Services'!#REF!,"AAAAAC3+/nA=")</f>
        <v>#REF!</v>
      </c>
      <c r="DJ297" t="e">
        <f>IF('Additional Services'!#REF!,"AAAAAC3+/nE=",0)</f>
        <v>#REF!</v>
      </c>
      <c r="DK297" t="e">
        <f>AND('Additional Services'!#REF!,"AAAAAC3+/nI=")</f>
        <v>#REF!</v>
      </c>
      <c r="DL297" t="e">
        <f>AND('Additional Services'!#REF!,"AAAAAC3+/nM=")</f>
        <v>#REF!</v>
      </c>
      <c r="DM297" t="e">
        <f>AND('Additional Services'!#REF!,"AAAAAC3+/nQ=")</f>
        <v>#REF!</v>
      </c>
      <c r="DN297" t="e">
        <f>AND('Additional Services'!#REF!,"AAAAAC3+/nU=")</f>
        <v>#REF!</v>
      </c>
      <c r="DO297" t="e">
        <f>AND('Additional Services'!#REF!,"AAAAAC3+/nY=")</f>
        <v>#REF!</v>
      </c>
      <c r="DP297" t="e">
        <f>AND('Additional Services'!#REF!,"AAAAAC3+/nc=")</f>
        <v>#REF!</v>
      </c>
      <c r="DQ297" t="e">
        <f>AND('Additional Services'!#REF!,"AAAAAC3+/ng=")</f>
        <v>#REF!</v>
      </c>
      <c r="DR297" t="e">
        <f>AND('Additional Services'!#REF!,"AAAAAC3+/nk=")</f>
        <v>#REF!</v>
      </c>
      <c r="DS297" t="e">
        <f>AND('Additional Services'!#REF!,"AAAAAC3+/no=")</f>
        <v>#REF!</v>
      </c>
      <c r="DT297" t="e">
        <f>AND('Additional Services'!#REF!,"AAAAAC3+/ns=")</f>
        <v>#REF!</v>
      </c>
      <c r="DU297" t="e">
        <f>AND('Additional Services'!#REF!,"AAAAAC3+/nw=")</f>
        <v>#REF!</v>
      </c>
      <c r="DV297" t="e">
        <f>AND('Additional Services'!#REF!,"AAAAAC3+/n0=")</f>
        <v>#REF!</v>
      </c>
      <c r="DW297" t="e">
        <f>AND('Additional Services'!#REF!,"AAAAAC3+/n4=")</f>
        <v>#REF!</v>
      </c>
      <c r="DX297" t="e">
        <f>IF('Additional Services'!#REF!,"AAAAAC3+/n8=",0)</f>
        <v>#REF!</v>
      </c>
      <c r="DY297" t="e">
        <f>AND('Additional Services'!#REF!,"AAAAAC3+/oA=")</f>
        <v>#REF!</v>
      </c>
      <c r="DZ297" t="e">
        <f>AND('Additional Services'!#REF!,"AAAAAC3+/oE=")</f>
        <v>#REF!</v>
      </c>
      <c r="EA297" t="e">
        <f>AND('Additional Services'!#REF!,"AAAAAC3+/oI=")</f>
        <v>#REF!</v>
      </c>
      <c r="EB297" t="e">
        <f>AND('Additional Services'!#REF!,"AAAAAC3+/oM=")</f>
        <v>#REF!</v>
      </c>
      <c r="EC297" t="e">
        <f>AND('Additional Services'!#REF!,"AAAAAC3+/oQ=")</f>
        <v>#REF!</v>
      </c>
      <c r="ED297" t="e">
        <f>AND('Additional Services'!#REF!,"AAAAAC3+/oU=")</f>
        <v>#REF!</v>
      </c>
      <c r="EE297" t="e">
        <f>AND('Additional Services'!#REF!,"AAAAAC3+/oY=")</f>
        <v>#REF!</v>
      </c>
      <c r="EF297" t="e">
        <f>AND('Additional Services'!#REF!,"AAAAAC3+/oc=")</f>
        <v>#REF!</v>
      </c>
      <c r="EG297" t="e">
        <f>AND('Additional Services'!#REF!,"AAAAAC3+/og=")</f>
        <v>#REF!</v>
      </c>
      <c r="EH297" t="e">
        <f>AND('Additional Services'!#REF!,"AAAAAC3+/ok=")</f>
        <v>#REF!</v>
      </c>
      <c r="EI297" t="e">
        <f>AND('Additional Services'!#REF!,"AAAAAC3+/oo=")</f>
        <v>#REF!</v>
      </c>
      <c r="EJ297" t="e">
        <f>AND('Additional Services'!#REF!,"AAAAAC3+/os=")</f>
        <v>#REF!</v>
      </c>
      <c r="EK297" t="e">
        <f>AND('Additional Services'!#REF!,"AAAAAC3+/ow=")</f>
        <v>#REF!</v>
      </c>
      <c r="EL297" t="e">
        <f>IF('Additional Services'!#REF!,"AAAAAC3+/o0=",0)</f>
        <v>#REF!</v>
      </c>
      <c r="EM297" t="e">
        <f>AND('Additional Services'!#REF!,"AAAAAC3+/o4=")</f>
        <v>#REF!</v>
      </c>
      <c r="EN297" t="e">
        <f>AND('Additional Services'!#REF!,"AAAAAC3+/o8=")</f>
        <v>#REF!</v>
      </c>
      <c r="EO297" t="e">
        <f>AND('Additional Services'!#REF!,"AAAAAC3+/pA=")</f>
        <v>#REF!</v>
      </c>
      <c r="EP297" t="e">
        <f>AND('Additional Services'!#REF!,"AAAAAC3+/pE=")</f>
        <v>#REF!</v>
      </c>
      <c r="EQ297" t="e">
        <f>AND('Additional Services'!#REF!,"AAAAAC3+/pI=")</f>
        <v>#REF!</v>
      </c>
      <c r="ER297" t="e">
        <f>AND('Additional Services'!#REF!,"AAAAAC3+/pM=")</f>
        <v>#REF!</v>
      </c>
      <c r="ES297" t="e">
        <f>AND('Additional Services'!#REF!,"AAAAAC3+/pQ=")</f>
        <v>#REF!</v>
      </c>
      <c r="ET297" t="e">
        <f>AND('Additional Services'!#REF!,"AAAAAC3+/pU=")</f>
        <v>#REF!</v>
      </c>
      <c r="EU297" t="e">
        <f>AND('Additional Services'!#REF!,"AAAAAC3+/pY=")</f>
        <v>#REF!</v>
      </c>
      <c r="EV297" t="e">
        <f>AND('Additional Services'!#REF!,"AAAAAC3+/pc=")</f>
        <v>#REF!</v>
      </c>
      <c r="EW297" t="e">
        <f>AND('Additional Services'!#REF!,"AAAAAC3+/pg=")</f>
        <v>#REF!</v>
      </c>
      <c r="EX297" t="e">
        <f>AND('Additional Services'!#REF!,"AAAAAC3+/pk=")</f>
        <v>#REF!</v>
      </c>
      <c r="EY297" t="e">
        <f>AND('Additional Services'!#REF!,"AAAAAC3+/po=")</f>
        <v>#REF!</v>
      </c>
      <c r="EZ297" t="e">
        <f>IF('Additional Services'!#REF!,"AAAAAC3+/ps=",0)</f>
        <v>#REF!</v>
      </c>
      <c r="FA297" t="e">
        <f>AND('Additional Services'!#REF!,"AAAAAC3+/pw=")</f>
        <v>#REF!</v>
      </c>
      <c r="FB297" t="e">
        <f>AND('Additional Services'!#REF!,"AAAAAC3+/p0=")</f>
        <v>#REF!</v>
      </c>
      <c r="FC297" t="e">
        <f>AND('Additional Services'!#REF!,"AAAAAC3+/p4=")</f>
        <v>#REF!</v>
      </c>
      <c r="FD297" t="e">
        <f>AND('Additional Services'!#REF!,"AAAAAC3+/p8=")</f>
        <v>#REF!</v>
      </c>
      <c r="FE297" t="e">
        <f>AND('Additional Services'!#REF!,"AAAAAC3+/qA=")</f>
        <v>#REF!</v>
      </c>
      <c r="FF297" t="e">
        <f>AND('Additional Services'!#REF!,"AAAAAC3+/qE=")</f>
        <v>#REF!</v>
      </c>
      <c r="FG297" t="e">
        <f>AND('Additional Services'!#REF!,"AAAAAC3+/qI=")</f>
        <v>#REF!</v>
      </c>
      <c r="FH297" t="e">
        <f>AND('Additional Services'!#REF!,"AAAAAC3+/qM=")</f>
        <v>#REF!</v>
      </c>
      <c r="FI297" t="e">
        <f>AND('Additional Services'!#REF!,"AAAAAC3+/qQ=")</f>
        <v>#REF!</v>
      </c>
      <c r="FJ297" t="e">
        <f>AND('Additional Services'!#REF!,"AAAAAC3+/qU=")</f>
        <v>#REF!</v>
      </c>
      <c r="FK297" t="e">
        <f>AND('Additional Services'!#REF!,"AAAAAC3+/qY=")</f>
        <v>#REF!</v>
      </c>
      <c r="FL297" t="e">
        <f>AND('Additional Services'!#REF!,"AAAAAC3+/qc=")</f>
        <v>#REF!</v>
      </c>
      <c r="FM297" t="e">
        <f>AND('Additional Services'!#REF!,"AAAAAC3+/qg=")</f>
        <v>#REF!</v>
      </c>
      <c r="FN297" t="e">
        <f>IF('Additional Services'!#REF!,"AAAAAC3+/qk=",0)</f>
        <v>#REF!</v>
      </c>
      <c r="FO297" t="e">
        <f>AND('Additional Services'!#REF!,"AAAAAC3+/qo=")</f>
        <v>#REF!</v>
      </c>
      <c r="FP297" t="e">
        <f>AND('Additional Services'!#REF!,"AAAAAC3+/qs=")</f>
        <v>#REF!</v>
      </c>
      <c r="FQ297" t="e">
        <f>AND('Additional Services'!#REF!,"AAAAAC3+/qw=")</f>
        <v>#REF!</v>
      </c>
      <c r="FR297" t="e">
        <f>AND('Additional Services'!#REF!,"AAAAAC3+/q0=")</f>
        <v>#REF!</v>
      </c>
      <c r="FS297" t="e">
        <f>AND('Additional Services'!#REF!,"AAAAAC3+/q4=")</f>
        <v>#REF!</v>
      </c>
      <c r="FT297" t="e">
        <f>AND('Additional Services'!#REF!,"AAAAAC3+/q8=")</f>
        <v>#REF!</v>
      </c>
      <c r="FU297" t="e">
        <f>AND('Additional Services'!#REF!,"AAAAAC3+/rA=")</f>
        <v>#REF!</v>
      </c>
      <c r="FV297" t="e">
        <f>AND('Additional Services'!#REF!,"AAAAAC3+/rE=")</f>
        <v>#REF!</v>
      </c>
      <c r="FW297" t="e">
        <f>AND('Additional Services'!#REF!,"AAAAAC3+/rI=")</f>
        <v>#REF!</v>
      </c>
      <c r="FX297" t="e">
        <f>AND('Additional Services'!#REF!,"AAAAAC3+/rM=")</f>
        <v>#REF!</v>
      </c>
      <c r="FY297" t="e">
        <f>AND('Additional Services'!#REF!,"AAAAAC3+/rQ=")</f>
        <v>#REF!</v>
      </c>
      <c r="FZ297" t="e">
        <f>AND('Additional Services'!#REF!,"AAAAAC3+/rU=")</f>
        <v>#REF!</v>
      </c>
      <c r="GA297" t="e">
        <f>AND('Additional Services'!#REF!,"AAAAAC3+/rY=")</f>
        <v>#REF!</v>
      </c>
      <c r="GB297" t="e">
        <f>IF('Additional Services'!#REF!,"AAAAAC3+/rc=",0)</f>
        <v>#REF!</v>
      </c>
      <c r="GC297" t="e">
        <f>AND('Additional Services'!#REF!,"AAAAAC3+/rg=")</f>
        <v>#REF!</v>
      </c>
      <c r="GD297" t="e">
        <f>AND('Additional Services'!#REF!,"AAAAAC3+/rk=")</f>
        <v>#REF!</v>
      </c>
      <c r="GE297" t="e">
        <f>AND('Additional Services'!#REF!,"AAAAAC3+/ro=")</f>
        <v>#REF!</v>
      </c>
      <c r="GF297" t="e">
        <f>AND('Additional Services'!#REF!,"AAAAAC3+/rs=")</f>
        <v>#REF!</v>
      </c>
      <c r="GG297" t="e">
        <f>AND('Additional Services'!#REF!,"AAAAAC3+/rw=")</f>
        <v>#REF!</v>
      </c>
      <c r="GH297" t="e">
        <f>AND('Additional Services'!#REF!,"AAAAAC3+/r0=")</f>
        <v>#REF!</v>
      </c>
      <c r="GI297" t="e">
        <f>AND('Additional Services'!#REF!,"AAAAAC3+/r4=")</f>
        <v>#REF!</v>
      </c>
      <c r="GJ297" t="e">
        <f>AND('Additional Services'!#REF!,"AAAAAC3+/r8=")</f>
        <v>#REF!</v>
      </c>
      <c r="GK297" t="e">
        <f>AND('Additional Services'!#REF!,"AAAAAC3+/sA=")</f>
        <v>#REF!</v>
      </c>
      <c r="GL297" t="e">
        <f>AND('Additional Services'!#REF!,"AAAAAC3+/sE=")</f>
        <v>#REF!</v>
      </c>
      <c r="GM297" t="e">
        <f>AND('Additional Services'!#REF!,"AAAAAC3+/sI=")</f>
        <v>#REF!</v>
      </c>
      <c r="GN297" t="e">
        <f>AND('Additional Services'!#REF!,"AAAAAC3+/sM=")</f>
        <v>#REF!</v>
      </c>
      <c r="GO297" t="e">
        <f>AND('Additional Services'!#REF!,"AAAAAC3+/sQ=")</f>
        <v>#REF!</v>
      </c>
      <c r="GP297" t="e">
        <f>IF('Additional Services'!#REF!,"AAAAAC3+/sU=",0)</f>
        <v>#REF!</v>
      </c>
      <c r="GQ297" t="e">
        <f>AND('Additional Services'!#REF!,"AAAAAC3+/sY=")</f>
        <v>#REF!</v>
      </c>
      <c r="GR297" t="e">
        <f>AND('Additional Services'!#REF!,"AAAAAC3+/sc=")</f>
        <v>#REF!</v>
      </c>
      <c r="GS297" t="e">
        <f>AND('Additional Services'!#REF!,"AAAAAC3+/sg=")</f>
        <v>#REF!</v>
      </c>
      <c r="GT297" t="e">
        <f>AND('Additional Services'!#REF!,"AAAAAC3+/sk=")</f>
        <v>#REF!</v>
      </c>
      <c r="GU297" t="e">
        <f>AND('Additional Services'!#REF!,"AAAAAC3+/so=")</f>
        <v>#REF!</v>
      </c>
      <c r="GV297" t="e">
        <f>AND('Additional Services'!#REF!,"AAAAAC3+/ss=")</f>
        <v>#REF!</v>
      </c>
      <c r="GW297" t="e">
        <f>AND('Additional Services'!#REF!,"AAAAAC3+/sw=")</f>
        <v>#REF!</v>
      </c>
      <c r="GX297" t="e">
        <f>AND('Additional Services'!#REF!,"AAAAAC3+/s0=")</f>
        <v>#REF!</v>
      </c>
      <c r="GY297" t="e">
        <f>AND('Additional Services'!#REF!,"AAAAAC3+/s4=")</f>
        <v>#REF!</v>
      </c>
      <c r="GZ297" t="e">
        <f>AND('Additional Services'!#REF!,"AAAAAC3+/s8=")</f>
        <v>#REF!</v>
      </c>
      <c r="HA297" t="e">
        <f>AND('Additional Services'!#REF!,"AAAAAC3+/tA=")</f>
        <v>#REF!</v>
      </c>
      <c r="HB297" t="e">
        <f>AND('Additional Services'!#REF!,"AAAAAC3+/tE=")</f>
        <v>#REF!</v>
      </c>
      <c r="HC297" t="e">
        <f>AND('Additional Services'!#REF!,"AAAAAC3+/tI=")</f>
        <v>#REF!</v>
      </c>
      <c r="HD297" t="e">
        <f>IF('Additional Services'!#REF!,"AAAAAC3+/tM=",0)</f>
        <v>#REF!</v>
      </c>
      <c r="HE297" t="e">
        <f>AND('Additional Services'!#REF!,"AAAAAC3+/tQ=")</f>
        <v>#REF!</v>
      </c>
      <c r="HF297" t="e">
        <f>AND('Additional Services'!#REF!,"AAAAAC3+/tU=")</f>
        <v>#REF!</v>
      </c>
      <c r="HG297" t="e">
        <f>AND('Additional Services'!#REF!,"AAAAAC3+/tY=")</f>
        <v>#REF!</v>
      </c>
      <c r="HH297" t="e">
        <f>AND('Additional Services'!#REF!,"AAAAAC3+/tc=")</f>
        <v>#REF!</v>
      </c>
      <c r="HI297" t="e">
        <f>AND('Additional Services'!#REF!,"AAAAAC3+/tg=")</f>
        <v>#REF!</v>
      </c>
      <c r="HJ297" t="e">
        <f>AND('Additional Services'!#REF!,"AAAAAC3+/tk=")</f>
        <v>#REF!</v>
      </c>
      <c r="HK297" t="e">
        <f>AND('Additional Services'!#REF!,"AAAAAC3+/to=")</f>
        <v>#REF!</v>
      </c>
      <c r="HL297" t="e">
        <f>AND('Additional Services'!#REF!,"AAAAAC3+/ts=")</f>
        <v>#REF!</v>
      </c>
      <c r="HM297" t="e">
        <f>AND('Additional Services'!#REF!,"AAAAAC3+/tw=")</f>
        <v>#REF!</v>
      </c>
      <c r="HN297" t="e">
        <f>AND('Additional Services'!#REF!,"AAAAAC3+/t0=")</f>
        <v>#REF!</v>
      </c>
      <c r="HO297" t="e">
        <f>AND('Additional Services'!#REF!,"AAAAAC3+/t4=")</f>
        <v>#REF!</v>
      </c>
      <c r="HP297" t="e">
        <f>AND('Additional Services'!#REF!,"AAAAAC3+/t8=")</f>
        <v>#REF!</v>
      </c>
      <c r="HQ297" t="e">
        <f>AND('Additional Services'!#REF!,"AAAAAC3+/uA=")</f>
        <v>#REF!</v>
      </c>
      <c r="HR297" t="e">
        <f>IF('Additional Services'!#REF!,"AAAAAC3+/uE=",0)</f>
        <v>#REF!</v>
      </c>
      <c r="HS297" t="e">
        <f>AND('Additional Services'!#REF!,"AAAAAC3+/uI=")</f>
        <v>#REF!</v>
      </c>
      <c r="HT297" t="e">
        <f>AND('Additional Services'!#REF!,"AAAAAC3+/uM=")</f>
        <v>#REF!</v>
      </c>
      <c r="HU297" t="e">
        <f>AND('Additional Services'!#REF!,"AAAAAC3+/uQ=")</f>
        <v>#REF!</v>
      </c>
      <c r="HV297" t="e">
        <f>AND('Additional Services'!#REF!,"AAAAAC3+/uU=")</f>
        <v>#REF!</v>
      </c>
      <c r="HW297" t="e">
        <f>AND('Additional Services'!#REF!,"AAAAAC3+/uY=")</f>
        <v>#REF!</v>
      </c>
      <c r="HX297" t="e">
        <f>AND('Additional Services'!#REF!,"AAAAAC3+/uc=")</f>
        <v>#REF!</v>
      </c>
      <c r="HY297" t="e">
        <f>AND('Additional Services'!#REF!,"AAAAAC3+/ug=")</f>
        <v>#REF!</v>
      </c>
      <c r="HZ297" t="e">
        <f>AND('Additional Services'!#REF!,"AAAAAC3+/uk=")</f>
        <v>#REF!</v>
      </c>
      <c r="IA297" t="e">
        <f>AND('Additional Services'!#REF!,"AAAAAC3+/uo=")</f>
        <v>#REF!</v>
      </c>
      <c r="IB297" t="e">
        <f>AND('Additional Services'!#REF!,"AAAAAC3+/us=")</f>
        <v>#REF!</v>
      </c>
      <c r="IC297" t="e">
        <f>AND('Additional Services'!#REF!,"AAAAAC3+/uw=")</f>
        <v>#REF!</v>
      </c>
      <c r="ID297" t="e">
        <f>AND('Additional Services'!#REF!,"AAAAAC3+/u0=")</f>
        <v>#REF!</v>
      </c>
      <c r="IE297" t="e">
        <f>AND('Additional Services'!#REF!,"AAAAAC3+/u4=")</f>
        <v>#REF!</v>
      </c>
      <c r="IF297" t="e">
        <f>IF('Additional Services'!#REF!,"AAAAAC3+/u8=",0)</f>
        <v>#REF!</v>
      </c>
      <c r="IG297" t="e">
        <f>AND('Additional Services'!#REF!,"AAAAAC3+/vA=")</f>
        <v>#REF!</v>
      </c>
      <c r="IH297" t="e">
        <f>AND('Additional Services'!#REF!,"AAAAAC3+/vE=")</f>
        <v>#REF!</v>
      </c>
      <c r="II297" t="e">
        <f>AND('Additional Services'!#REF!,"AAAAAC3+/vI=")</f>
        <v>#REF!</v>
      </c>
      <c r="IJ297" t="e">
        <f>AND('Additional Services'!#REF!,"AAAAAC3+/vM=")</f>
        <v>#REF!</v>
      </c>
      <c r="IK297" t="e">
        <f>AND('Additional Services'!#REF!,"AAAAAC3+/vQ=")</f>
        <v>#REF!</v>
      </c>
      <c r="IL297" t="e">
        <f>AND('Additional Services'!#REF!,"AAAAAC3+/vU=")</f>
        <v>#REF!</v>
      </c>
      <c r="IM297" t="e">
        <f>AND('Additional Services'!#REF!,"AAAAAC3+/vY=")</f>
        <v>#REF!</v>
      </c>
      <c r="IN297" t="e">
        <f>AND('Additional Services'!#REF!,"AAAAAC3+/vc=")</f>
        <v>#REF!</v>
      </c>
      <c r="IO297" t="e">
        <f>AND('Additional Services'!#REF!,"AAAAAC3+/vg=")</f>
        <v>#REF!</v>
      </c>
      <c r="IP297" t="e">
        <f>AND('Additional Services'!#REF!,"AAAAAC3+/vk=")</f>
        <v>#REF!</v>
      </c>
      <c r="IQ297" t="e">
        <f>AND('Additional Services'!#REF!,"AAAAAC3+/vo=")</f>
        <v>#REF!</v>
      </c>
      <c r="IR297" t="e">
        <f>AND('Additional Services'!#REF!,"AAAAAC3+/vs=")</f>
        <v>#REF!</v>
      </c>
      <c r="IS297" t="e">
        <f>AND('Additional Services'!#REF!,"AAAAAC3+/vw=")</f>
        <v>#REF!</v>
      </c>
      <c r="IT297" t="e">
        <f>IF('Additional Services'!#REF!,"AAAAAC3+/v0=",0)</f>
        <v>#REF!</v>
      </c>
      <c r="IU297" t="e">
        <f>AND('Additional Services'!#REF!,"AAAAAC3+/v4=")</f>
        <v>#REF!</v>
      </c>
      <c r="IV297" t="e">
        <f>AND('Additional Services'!#REF!,"AAAAAC3+/v8=")</f>
        <v>#REF!</v>
      </c>
    </row>
    <row r="298" spans="1:256" x14ac:dyDescent="0.2">
      <c r="A298" t="e">
        <f>AND('Additional Services'!#REF!,"AAAAAGX/PwA=")</f>
        <v>#REF!</v>
      </c>
      <c r="B298" t="e">
        <f>AND('Additional Services'!#REF!,"AAAAAGX/PwE=")</f>
        <v>#REF!</v>
      </c>
      <c r="C298" t="e">
        <f>AND('Additional Services'!#REF!,"AAAAAGX/PwI=")</f>
        <v>#REF!</v>
      </c>
      <c r="D298" t="e">
        <f>AND('Additional Services'!#REF!,"AAAAAGX/PwM=")</f>
        <v>#REF!</v>
      </c>
      <c r="E298" t="e">
        <f>AND('Additional Services'!#REF!,"AAAAAGX/PwQ=")</f>
        <v>#REF!</v>
      </c>
      <c r="F298" t="e">
        <f>AND('Additional Services'!#REF!,"AAAAAGX/PwU=")</f>
        <v>#REF!</v>
      </c>
      <c r="G298" t="e">
        <f>AND('Additional Services'!#REF!,"AAAAAGX/PwY=")</f>
        <v>#REF!</v>
      </c>
      <c r="H298" t="e">
        <f>AND('Additional Services'!#REF!,"AAAAAGX/Pwc=")</f>
        <v>#REF!</v>
      </c>
      <c r="I298" t="e">
        <f>AND('Additional Services'!#REF!,"AAAAAGX/Pwg=")</f>
        <v>#REF!</v>
      </c>
      <c r="J298" t="e">
        <f>AND('Additional Services'!#REF!,"AAAAAGX/Pwk=")</f>
        <v>#REF!</v>
      </c>
      <c r="K298" t="e">
        <f>AND('Additional Services'!#REF!,"AAAAAGX/Pwo=")</f>
        <v>#REF!</v>
      </c>
      <c r="L298" t="e">
        <f>IF('Additional Services'!#REF!,"AAAAAGX/Pws=",0)</f>
        <v>#REF!</v>
      </c>
      <c r="M298" t="e">
        <f>AND('Additional Services'!#REF!,"AAAAAGX/Pww=")</f>
        <v>#REF!</v>
      </c>
      <c r="N298" t="e">
        <f>AND('Additional Services'!#REF!,"AAAAAGX/Pw0=")</f>
        <v>#REF!</v>
      </c>
      <c r="O298" t="e">
        <f>AND('Additional Services'!#REF!,"AAAAAGX/Pw4=")</f>
        <v>#REF!</v>
      </c>
      <c r="P298" t="e">
        <f>AND('Additional Services'!#REF!,"AAAAAGX/Pw8=")</f>
        <v>#REF!</v>
      </c>
      <c r="Q298" t="e">
        <f>AND('Additional Services'!#REF!,"AAAAAGX/PxA=")</f>
        <v>#REF!</v>
      </c>
      <c r="R298" t="e">
        <f>AND('Additional Services'!#REF!,"AAAAAGX/PxE=")</f>
        <v>#REF!</v>
      </c>
      <c r="S298" t="e">
        <f>AND('Additional Services'!#REF!,"AAAAAGX/PxI=")</f>
        <v>#REF!</v>
      </c>
      <c r="T298" t="e">
        <f>AND('Additional Services'!#REF!,"AAAAAGX/PxM=")</f>
        <v>#REF!</v>
      </c>
      <c r="U298" t="e">
        <f>AND('Additional Services'!#REF!,"AAAAAGX/PxQ=")</f>
        <v>#REF!</v>
      </c>
      <c r="V298" t="e">
        <f>AND('Additional Services'!#REF!,"AAAAAGX/PxU=")</f>
        <v>#REF!</v>
      </c>
      <c r="W298" t="e">
        <f>AND('Additional Services'!#REF!,"AAAAAGX/PxY=")</f>
        <v>#REF!</v>
      </c>
      <c r="X298" t="e">
        <f>AND('Additional Services'!#REF!,"AAAAAGX/Pxc=")</f>
        <v>#REF!</v>
      </c>
      <c r="Y298" t="e">
        <f>AND('Additional Services'!#REF!,"AAAAAGX/Pxg=")</f>
        <v>#REF!</v>
      </c>
      <c r="Z298" t="e">
        <f>IF('Additional Services'!#REF!,"AAAAAGX/Pxk=",0)</f>
        <v>#REF!</v>
      </c>
      <c r="AA298" t="e">
        <f>AND('Additional Services'!#REF!,"AAAAAGX/Pxo=")</f>
        <v>#REF!</v>
      </c>
      <c r="AB298" t="e">
        <f>AND('Additional Services'!#REF!,"AAAAAGX/Pxs=")</f>
        <v>#REF!</v>
      </c>
      <c r="AC298" t="e">
        <f>AND('Additional Services'!#REF!,"AAAAAGX/Pxw=")</f>
        <v>#REF!</v>
      </c>
      <c r="AD298" t="e">
        <f>AND('Additional Services'!#REF!,"AAAAAGX/Px0=")</f>
        <v>#REF!</v>
      </c>
      <c r="AE298" t="e">
        <f>AND('Additional Services'!#REF!,"AAAAAGX/Px4=")</f>
        <v>#REF!</v>
      </c>
      <c r="AF298" t="e">
        <f>AND('Additional Services'!#REF!,"AAAAAGX/Px8=")</f>
        <v>#REF!</v>
      </c>
      <c r="AG298" t="e">
        <f>AND('Additional Services'!#REF!,"AAAAAGX/PyA=")</f>
        <v>#REF!</v>
      </c>
      <c r="AH298" t="e">
        <f>AND('Additional Services'!#REF!,"AAAAAGX/PyE=")</f>
        <v>#REF!</v>
      </c>
      <c r="AI298" t="e">
        <f>AND('Additional Services'!#REF!,"AAAAAGX/PyI=")</f>
        <v>#REF!</v>
      </c>
      <c r="AJ298" t="e">
        <f>AND('Additional Services'!#REF!,"AAAAAGX/PyM=")</f>
        <v>#REF!</v>
      </c>
      <c r="AK298" t="e">
        <f>AND('Additional Services'!#REF!,"AAAAAGX/PyQ=")</f>
        <v>#REF!</v>
      </c>
      <c r="AL298" t="e">
        <f>AND('Additional Services'!#REF!,"AAAAAGX/PyU=")</f>
        <v>#REF!</v>
      </c>
      <c r="AM298" t="e">
        <f>AND('Additional Services'!#REF!,"AAAAAGX/PyY=")</f>
        <v>#REF!</v>
      </c>
      <c r="AN298" t="e">
        <f>IF('Additional Services'!#REF!,"AAAAAGX/Pyc=",0)</f>
        <v>#REF!</v>
      </c>
      <c r="AO298" t="e">
        <f>AND('Additional Services'!#REF!,"AAAAAGX/Pyg=")</f>
        <v>#REF!</v>
      </c>
      <c r="AP298" t="e">
        <f>AND('Additional Services'!#REF!,"AAAAAGX/Pyk=")</f>
        <v>#REF!</v>
      </c>
      <c r="AQ298" t="e">
        <f>AND('Additional Services'!#REF!,"AAAAAGX/Pyo=")</f>
        <v>#REF!</v>
      </c>
      <c r="AR298" t="e">
        <f>AND('Additional Services'!#REF!,"AAAAAGX/Pys=")</f>
        <v>#REF!</v>
      </c>
      <c r="AS298" t="e">
        <f>AND('Additional Services'!#REF!,"AAAAAGX/Pyw=")</f>
        <v>#REF!</v>
      </c>
      <c r="AT298" t="e">
        <f>AND('Additional Services'!#REF!,"AAAAAGX/Py0=")</f>
        <v>#REF!</v>
      </c>
      <c r="AU298" t="e">
        <f>AND('Additional Services'!#REF!,"AAAAAGX/Py4=")</f>
        <v>#REF!</v>
      </c>
      <c r="AV298" t="e">
        <f>AND('Additional Services'!#REF!,"AAAAAGX/Py8=")</f>
        <v>#REF!</v>
      </c>
      <c r="AW298" t="e">
        <f>AND('Additional Services'!#REF!,"AAAAAGX/PzA=")</f>
        <v>#REF!</v>
      </c>
      <c r="AX298" t="e">
        <f>AND('Additional Services'!#REF!,"AAAAAGX/PzE=")</f>
        <v>#REF!</v>
      </c>
      <c r="AY298" t="e">
        <f>AND('Additional Services'!#REF!,"AAAAAGX/PzI=")</f>
        <v>#REF!</v>
      </c>
      <c r="AZ298" t="e">
        <f>AND('Additional Services'!#REF!,"AAAAAGX/PzM=")</f>
        <v>#REF!</v>
      </c>
      <c r="BA298" t="e">
        <f>AND('Additional Services'!#REF!,"AAAAAGX/PzQ=")</f>
        <v>#REF!</v>
      </c>
      <c r="BB298" t="e">
        <f>IF('Additional Services'!#REF!,"AAAAAGX/PzU=",0)</f>
        <v>#REF!</v>
      </c>
      <c r="BC298" t="e">
        <f>AND('Additional Services'!#REF!,"AAAAAGX/PzY=")</f>
        <v>#REF!</v>
      </c>
      <c r="BD298" t="e">
        <f>AND('Additional Services'!#REF!,"AAAAAGX/Pzc=")</f>
        <v>#REF!</v>
      </c>
      <c r="BE298" t="e">
        <f>AND('Additional Services'!#REF!,"AAAAAGX/Pzg=")</f>
        <v>#REF!</v>
      </c>
      <c r="BF298" t="e">
        <f>AND('Additional Services'!#REF!,"AAAAAGX/Pzk=")</f>
        <v>#REF!</v>
      </c>
      <c r="BG298" t="e">
        <f>AND('Additional Services'!#REF!,"AAAAAGX/Pzo=")</f>
        <v>#REF!</v>
      </c>
      <c r="BH298" t="e">
        <f>AND('Additional Services'!#REF!,"AAAAAGX/Pzs=")</f>
        <v>#REF!</v>
      </c>
      <c r="BI298" t="e">
        <f>AND('Additional Services'!#REF!,"AAAAAGX/Pzw=")</f>
        <v>#REF!</v>
      </c>
      <c r="BJ298" t="e">
        <f>AND('Additional Services'!#REF!,"AAAAAGX/Pz0=")</f>
        <v>#REF!</v>
      </c>
      <c r="BK298" t="e">
        <f>AND('Additional Services'!#REF!,"AAAAAGX/Pz4=")</f>
        <v>#REF!</v>
      </c>
      <c r="BL298" t="e">
        <f>AND('Additional Services'!#REF!,"AAAAAGX/Pz8=")</f>
        <v>#REF!</v>
      </c>
      <c r="BM298" t="e">
        <f>AND('Additional Services'!#REF!,"AAAAAGX/P0A=")</f>
        <v>#REF!</v>
      </c>
      <c r="BN298" t="e">
        <f>AND('Additional Services'!#REF!,"AAAAAGX/P0E=")</f>
        <v>#REF!</v>
      </c>
      <c r="BO298" t="e">
        <f>AND('Additional Services'!#REF!,"AAAAAGX/P0I=")</f>
        <v>#REF!</v>
      </c>
      <c r="BP298" t="e">
        <f>IF('Additional Services'!#REF!,"AAAAAGX/P0M=",0)</f>
        <v>#REF!</v>
      </c>
      <c r="BQ298" t="e">
        <f>AND('Additional Services'!#REF!,"AAAAAGX/P0Q=")</f>
        <v>#REF!</v>
      </c>
      <c r="BR298" t="e">
        <f>AND('Additional Services'!#REF!,"AAAAAGX/P0U=")</f>
        <v>#REF!</v>
      </c>
      <c r="BS298" t="e">
        <f>AND('Additional Services'!#REF!,"AAAAAGX/P0Y=")</f>
        <v>#REF!</v>
      </c>
      <c r="BT298" t="e">
        <f>AND('Additional Services'!#REF!,"AAAAAGX/P0c=")</f>
        <v>#REF!</v>
      </c>
      <c r="BU298" t="e">
        <f>AND('Additional Services'!#REF!,"AAAAAGX/P0g=")</f>
        <v>#REF!</v>
      </c>
      <c r="BV298" t="e">
        <f>AND('Additional Services'!#REF!,"AAAAAGX/P0k=")</f>
        <v>#REF!</v>
      </c>
      <c r="BW298" t="e">
        <f>AND('Additional Services'!#REF!,"AAAAAGX/P0o=")</f>
        <v>#REF!</v>
      </c>
      <c r="BX298" t="e">
        <f>AND('Additional Services'!#REF!,"AAAAAGX/P0s=")</f>
        <v>#REF!</v>
      </c>
      <c r="BY298" t="e">
        <f>AND('Additional Services'!#REF!,"AAAAAGX/P0w=")</f>
        <v>#REF!</v>
      </c>
      <c r="BZ298" t="e">
        <f>AND('Additional Services'!#REF!,"AAAAAGX/P00=")</f>
        <v>#REF!</v>
      </c>
      <c r="CA298" t="e">
        <f>AND('Additional Services'!#REF!,"AAAAAGX/P04=")</f>
        <v>#REF!</v>
      </c>
      <c r="CB298" t="e">
        <f>AND('Additional Services'!#REF!,"AAAAAGX/P08=")</f>
        <v>#REF!</v>
      </c>
      <c r="CC298" t="e">
        <f>AND('Additional Services'!#REF!,"AAAAAGX/P1A=")</f>
        <v>#REF!</v>
      </c>
      <c r="CD298" t="e">
        <f>IF('Additional Services'!#REF!,"AAAAAGX/P1E=",0)</f>
        <v>#REF!</v>
      </c>
      <c r="CE298" t="e">
        <f>AND('Additional Services'!#REF!,"AAAAAGX/P1I=")</f>
        <v>#REF!</v>
      </c>
      <c r="CF298" t="e">
        <f>AND('Additional Services'!#REF!,"AAAAAGX/P1M=")</f>
        <v>#REF!</v>
      </c>
      <c r="CG298" t="e">
        <f>AND('Additional Services'!#REF!,"AAAAAGX/P1Q=")</f>
        <v>#REF!</v>
      </c>
      <c r="CH298" t="e">
        <f>AND('Additional Services'!#REF!,"AAAAAGX/P1U=")</f>
        <v>#REF!</v>
      </c>
      <c r="CI298" t="e">
        <f>AND('Additional Services'!#REF!,"AAAAAGX/P1Y=")</f>
        <v>#REF!</v>
      </c>
      <c r="CJ298" t="e">
        <f>AND('Additional Services'!#REF!,"AAAAAGX/P1c=")</f>
        <v>#REF!</v>
      </c>
      <c r="CK298" t="e">
        <f>AND('Additional Services'!#REF!,"AAAAAGX/P1g=")</f>
        <v>#REF!</v>
      </c>
      <c r="CL298" t="e">
        <f>AND('Additional Services'!#REF!,"AAAAAGX/P1k=")</f>
        <v>#REF!</v>
      </c>
      <c r="CM298" t="e">
        <f>AND('Additional Services'!#REF!,"AAAAAGX/P1o=")</f>
        <v>#REF!</v>
      </c>
      <c r="CN298" t="e">
        <f>AND('Additional Services'!#REF!,"AAAAAGX/P1s=")</f>
        <v>#REF!</v>
      </c>
      <c r="CO298" t="e">
        <f>AND('Additional Services'!#REF!,"AAAAAGX/P1w=")</f>
        <v>#REF!</v>
      </c>
      <c r="CP298" t="e">
        <f>AND('Additional Services'!#REF!,"AAAAAGX/P10=")</f>
        <v>#REF!</v>
      </c>
      <c r="CQ298" t="e">
        <f>AND('Additional Services'!#REF!,"AAAAAGX/P14=")</f>
        <v>#REF!</v>
      </c>
      <c r="CR298" t="e">
        <f>IF('Additional Services'!#REF!,"AAAAAGX/P18=",0)</f>
        <v>#REF!</v>
      </c>
      <c r="CS298" t="e">
        <f>AND('Additional Services'!#REF!,"AAAAAGX/P2A=")</f>
        <v>#REF!</v>
      </c>
      <c r="CT298" t="e">
        <f>AND('Additional Services'!#REF!,"AAAAAGX/P2E=")</f>
        <v>#REF!</v>
      </c>
      <c r="CU298" t="e">
        <f>AND('Additional Services'!#REF!,"AAAAAGX/P2I=")</f>
        <v>#REF!</v>
      </c>
      <c r="CV298" t="e">
        <f>AND('Additional Services'!#REF!,"AAAAAGX/P2M=")</f>
        <v>#REF!</v>
      </c>
      <c r="CW298" t="e">
        <f>AND('Additional Services'!#REF!,"AAAAAGX/P2Q=")</f>
        <v>#REF!</v>
      </c>
      <c r="CX298" t="e">
        <f>AND('Additional Services'!#REF!,"AAAAAGX/P2U=")</f>
        <v>#REF!</v>
      </c>
      <c r="CY298" t="e">
        <f>AND('Additional Services'!#REF!,"AAAAAGX/P2Y=")</f>
        <v>#REF!</v>
      </c>
      <c r="CZ298" t="e">
        <f>AND('Additional Services'!#REF!,"AAAAAGX/P2c=")</f>
        <v>#REF!</v>
      </c>
      <c r="DA298" t="e">
        <f>AND('Additional Services'!#REF!,"AAAAAGX/P2g=")</f>
        <v>#REF!</v>
      </c>
      <c r="DB298" t="e">
        <f>AND('Additional Services'!#REF!,"AAAAAGX/P2k=")</f>
        <v>#REF!</v>
      </c>
      <c r="DC298" t="e">
        <f>AND('Additional Services'!#REF!,"AAAAAGX/P2o=")</f>
        <v>#REF!</v>
      </c>
      <c r="DD298" t="e">
        <f>AND('Additional Services'!#REF!,"AAAAAGX/P2s=")</f>
        <v>#REF!</v>
      </c>
      <c r="DE298" t="e">
        <f>AND('Additional Services'!#REF!,"AAAAAGX/P2w=")</f>
        <v>#REF!</v>
      </c>
      <c r="DF298">
        <f>IF('Additional Services'!A:A,"AAAAAGX/P20=",0)</f>
        <v>0</v>
      </c>
      <c r="DG298">
        <f>IF('Additional Services'!B:B,"AAAAAGX/P24=",0)</f>
        <v>0</v>
      </c>
      <c r="DH298">
        <f>IF('Additional Services'!C:C,"AAAAAGX/P28=",0)</f>
        <v>0</v>
      </c>
      <c r="DI298">
        <f>IF('Additional Services'!D:D,"AAAAAGX/P3A=",0)</f>
        <v>0</v>
      </c>
      <c r="DJ298">
        <f>IF('Additional Services'!E:E,"AAAAAGX/P3E=",0)</f>
        <v>0</v>
      </c>
      <c r="DK298">
        <f>IF('Additional Services'!F:F,"AAAAAGX/P3I=",0)</f>
        <v>0</v>
      </c>
      <c r="DL298">
        <f>IF('Additional Services'!G:G,"AAAAAGX/P3M=",0)</f>
        <v>0</v>
      </c>
      <c r="DM298">
        <f>IF('Additional Services'!H:H,"AAAAAGX/P3Q=",0)</f>
        <v>0</v>
      </c>
      <c r="DN298">
        <f>IF('Additional Services'!I:I,"AAAAAGX/P3U=",0)</f>
        <v>0</v>
      </c>
      <c r="DO298">
        <f>IF('Additional Services'!J:J,"AAAAAGX/P3Y=",0)</f>
        <v>0</v>
      </c>
      <c r="DP298">
        <f>IF('Additional Services'!K:K,"AAAAAGX/P3c=",0)</f>
        <v>0</v>
      </c>
      <c r="DQ298">
        <f>IF('Additional Services'!L:L,"AAAAAGX/P3g=",0)</f>
        <v>0</v>
      </c>
      <c r="DR298">
        <f>IF('Additional Services'!M:M,"AAAAAGX/P3k=",0)</f>
        <v>0</v>
      </c>
      <c r="DS298" t="e">
        <f>IF(#REF!,"AAAAAGX/P3o=",0)</f>
        <v>#REF!</v>
      </c>
      <c r="DT298" t="e">
        <f>AND(#REF!,"AAAAAGX/P3s=")</f>
        <v>#REF!</v>
      </c>
      <c r="DU298" t="e">
        <f>AND(#REF!,"AAAAAGX/P3w=")</f>
        <v>#REF!</v>
      </c>
      <c r="DV298" t="e">
        <f>AND(#REF!,"AAAAAGX/P30=")</f>
        <v>#REF!</v>
      </c>
      <c r="DW298" t="e">
        <f>AND(#REF!,"AAAAAGX/P34=")</f>
        <v>#REF!</v>
      </c>
      <c r="DX298" t="e">
        <f>AND(#REF!,"AAAAAGX/P38=")</f>
        <v>#REF!</v>
      </c>
      <c r="DY298" t="e">
        <f>AND(#REF!,"AAAAAGX/P4A=")</f>
        <v>#REF!</v>
      </c>
      <c r="DZ298" t="e">
        <f>AND(#REF!,"AAAAAGX/P4E=")</f>
        <v>#REF!</v>
      </c>
      <c r="EA298" t="e">
        <f>AND(#REF!,"AAAAAGX/P4I=")</f>
        <v>#REF!</v>
      </c>
      <c r="EB298" t="e">
        <f>AND(#REF!,"AAAAAGX/P4M=")</f>
        <v>#REF!</v>
      </c>
      <c r="EC298" t="e">
        <f>AND(#REF!,"AAAAAGX/P4Q=")</f>
        <v>#REF!</v>
      </c>
      <c r="ED298" t="e">
        <f>AND(#REF!,"AAAAAGX/P4U=")</f>
        <v>#REF!</v>
      </c>
      <c r="EE298" t="e">
        <f>AND(#REF!,"AAAAAGX/P4Y=")</f>
        <v>#REF!</v>
      </c>
      <c r="EF298" t="e">
        <f>AND(#REF!,"AAAAAGX/P4c=")</f>
        <v>#REF!</v>
      </c>
      <c r="EG298" t="e">
        <f>AND(#REF!,"AAAAAGX/P4g=")</f>
        <v>#REF!</v>
      </c>
      <c r="EH298" t="e">
        <f>AND(#REF!,"AAAAAGX/P4k=")</f>
        <v>#REF!</v>
      </c>
      <c r="EI298" t="e">
        <f>AND(#REF!,"AAAAAGX/P4o=")</f>
        <v>#REF!</v>
      </c>
      <c r="EJ298" t="e">
        <f>IF(#REF!,"AAAAAGX/P4s=",0)</f>
        <v>#REF!</v>
      </c>
      <c r="EK298" t="e">
        <f>AND(#REF!,"AAAAAGX/P4w=")</f>
        <v>#REF!</v>
      </c>
      <c r="EL298" t="e">
        <f>IF(#REF!,"AAAAAGX/P40=",0)</f>
        <v>#REF!</v>
      </c>
      <c r="EM298" t="e">
        <f>AND(#REF!,"AAAAAGX/P44=")</f>
        <v>#REF!</v>
      </c>
      <c r="EN298" t="e">
        <f>IF(#REF!,"AAAAAGX/P48=",0)</f>
        <v>#REF!</v>
      </c>
      <c r="EO298" t="e">
        <f>AND(#REF!,"AAAAAGX/P5A=")</f>
        <v>#REF!</v>
      </c>
      <c r="EP298" t="e">
        <f>IF(#REF!,"AAAAAGX/P5E=",0)</f>
        <v>#REF!</v>
      </c>
      <c r="EQ298" t="e">
        <f>AND(#REF!,"AAAAAGX/P5I=")</f>
        <v>#REF!</v>
      </c>
      <c r="ER298" t="e">
        <f>IF(#REF!,"AAAAAGX/P5M=",0)</f>
        <v>#REF!</v>
      </c>
      <c r="ES298" t="e">
        <f>AND(#REF!,"AAAAAGX/P5Q=")</f>
        <v>#REF!</v>
      </c>
      <c r="ET298" t="e">
        <f>IF(#REF!,"AAAAAGX/P5U=",0)</f>
        <v>#REF!</v>
      </c>
      <c r="EU298" t="e">
        <f>AND(#REF!,"AAAAAGX/P5Y=")</f>
        <v>#REF!</v>
      </c>
      <c r="EV298" t="e">
        <f>IF(#REF!,"AAAAAGX/P5c=",0)</f>
        <v>#REF!</v>
      </c>
      <c r="EW298" t="e">
        <f>AND(#REF!,"AAAAAGX/P5g=")</f>
        <v>#REF!</v>
      </c>
      <c r="EX298" t="e">
        <f>IF(#REF!,"AAAAAGX/P5k=",0)</f>
        <v>#REF!</v>
      </c>
      <c r="EY298" t="e">
        <f>AND(#REF!,"AAAAAGX/P5o=")</f>
        <v>#REF!</v>
      </c>
      <c r="EZ298" t="e">
        <f>IF(#REF!,"AAAAAGX/P5s=",0)</f>
        <v>#REF!</v>
      </c>
      <c r="FA298" t="e">
        <f>AND(#REF!,"AAAAAGX/P5w=")</f>
        <v>#REF!</v>
      </c>
      <c r="FB298" t="e">
        <f>IF(#REF!,"AAAAAGX/P50=",0)</f>
        <v>#REF!</v>
      </c>
      <c r="FC298" t="e">
        <f>AND(#REF!,"AAAAAGX/P54=")</f>
        <v>#REF!</v>
      </c>
      <c r="FD298" t="e">
        <f>IF(#REF!,"AAAAAGX/P58=",0)</f>
        <v>#REF!</v>
      </c>
      <c r="FE298" t="e">
        <f>AND(#REF!,"AAAAAGX/P6A=")</f>
        <v>#REF!</v>
      </c>
      <c r="FF298" t="e">
        <f>IF(#REF!,"AAAAAGX/P6E=",0)</f>
        <v>#REF!</v>
      </c>
      <c r="FG298" t="e">
        <f>AND(#REF!,"AAAAAGX/P6I=")</f>
        <v>#REF!</v>
      </c>
      <c r="FH298" t="e">
        <f>IF(#REF!,"AAAAAGX/P6M=",0)</f>
        <v>#REF!</v>
      </c>
      <c r="FI298" t="e">
        <f>AND(#REF!,"AAAAAGX/P6Q=")</f>
        <v>#REF!</v>
      </c>
      <c r="FJ298" t="e">
        <f>IF(#REF!,"AAAAAGX/P6U=",0)</f>
        <v>#REF!</v>
      </c>
      <c r="FK298" t="e">
        <f>AND(#REF!,"AAAAAGX/P6Y=")</f>
        <v>#REF!</v>
      </c>
      <c r="FL298" t="e">
        <f>IF(#REF!,"AAAAAGX/P6c=",0)</f>
        <v>#REF!</v>
      </c>
      <c r="FM298" t="e">
        <f>AND(#REF!,"AAAAAGX/P6g=")</f>
        <v>#REF!</v>
      </c>
      <c r="FN298" t="e">
        <f>IF(#REF!,"AAAAAGX/P6k=",0)</f>
        <v>#REF!</v>
      </c>
      <c r="FO298" t="e">
        <f>AND(#REF!,"AAAAAGX/P6o=")</f>
        <v>#REF!</v>
      </c>
      <c r="FP298" t="e">
        <f>IF(#REF!,"AAAAAGX/P6s=",0)</f>
        <v>#REF!</v>
      </c>
      <c r="FQ298" t="e">
        <f>AND(#REF!,"AAAAAGX/P6w=")</f>
        <v>#REF!</v>
      </c>
      <c r="FR298" t="e">
        <f>IF(#REF!,"AAAAAGX/P60=",0)</f>
        <v>#REF!</v>
      </c>
      <c r="FS298" t="e">
        <f>AND(#REF!,"AAAAAGX/P64=")</f>
        <v>#REF!</v>
      </c>
      <c r="FT298" t="e">
        <f>IF(#REF!,"AAAAAGX/P68=",0)</f>
        <v>#REF!</v>
      </c>
      <c r="FU298" t="e">
        <f>AND(#REF!,"AAAAAGX/P7A=")</f>
        <v>#REF!</v>
      </c>
      <c r="FV298" t="e">
        <f>IF(#REF!,"AAAAAGX/P7E=",0)</f>
        <v>#REF!</v>
      </c>
      <c r="FW298" t="e">
        <f>AND(#REF!,"AAAAAGX/P7I=")</f>
        <v>#REF!</v>
      </c>
      <c r="FX298" t="e">
        <f>IF(#REF!,"AAAAAGX/P7M=",0)</f>
        <v>#REF!</v>
      </c>
      <c r="FY298" t="e">
        <f>AND(#REF!,"AAAAAGX/P7Q=")</f>
        <v>#REF!</v>
      </c>
      <c r="FZ298" t="e">
        <f>IF(#REF!,"AAAAAGX/P7U=",0)</f>
        <v>#REF!</v>
      </c>
      <c r="GA298" t="e">
        <f>AND(#REF!,"AAAAAGX/P7Y=")</f>
        <v>#REF!</v>
      </c>
      <c r="GB298" t="e">
        <f>IF(#REF!,"AAAAAGX/P7c=",0)</f>
        <v>#REF!</v>
      </c>
      <c r="GC298" t="e">
        <f>AND(#REF!,"AAAAAGX/P7g=")</f>
        <v>#REF!</v>
      </c>
      <c r="GD298" t="e">
        <f>IF(#REF!,"AAAAAGX/P7k=",0)</f>
        <v>#REF!</v>
      </c>
      <c r="GE298" t="e">
        <f>AND(#REF!,"AAAAAGX/P7o=")</f>
        <v>#REF!</v>
      </c>
      <c r="GF298" t="e">
        <f>IF(#REF!,"AAAAAGX/P7s=",0)</f>
        <v>#REF!</v>
      </c>
      <c r="GG298" t="e">
        <f>AND(#REF!,"AAAAAGX/P7w=")</f>
        <v>#REF!</v>
      </c>
      <c r="GH298" t="e">
        <f>IF(#REF!,"AAAAAGX/P70=",0)</f>
        <v>#REF!</v>
      </c>
      <c r="GI298" t="e">
        <f>AND(#REF!,"AAAAAGX/P74=")</f>
        <v>#REF!</v>
      </c>
      <c r="GJ298" t="e">
        <f>IF(#REF!,"AAAAAGX/P78=",0)</f>
        <v>#REF!</v>
      </c>
      <c r="GK298" t="e">
        <f>AND(#REF!,"AAAAAGX/P8A=")</f>
        <v>#REF!</v>
      </c>
      <c r="GL298" t="e">
        <f>IF(#REF!,"AAAAAGX/P8E=",0)</f>
        <v>#REF!</v>
      </c>
      <c r="GM298" t="e">
        <f>AND(#REF!,"AAAAAGX/P8I=")</f>
        <v>#REF!</v>
      </c>
      <c r="GN298" t="e">
        <f>IF(#REF!,"AAAAAGX/P8M=",0)</f>
        <v>#REF!</v>
      </c>
      <c r="GO298" t="e">
        <f>AND(#REF!,"AAAAAGX/P8Q=")</f>
        <v>#REF!</v>
      </c>
      <c r="GP298" t="e">
        <f>IF(#REF!,"AAAAAGX/P8U=",0)</f>
        <v>#REF!</v>
      </c>
      <c r="GQ298" t="e">
        <f>AND(#REF!,"AAAAAGX/P8Y=")</f>
        <v>#REF!</v>
      </c>
      <c r="GR298" t="e">
        <f>IF(#REF!,"AAAAAGX/P8c=",0)</f>
        <v>#REF!</v>
      </c>
      <c r="GS298" t="e">
        <f>AND(#REF!,"AAAAAGX/P8g=")</f>
        <v>#REF!</v>
      </c>
      <c r="GT298" t="e">
        <f>IF(#REF!,"AAAAAGX/P8k=",0)</f>
        <v>#REF!</v>
      </c>
      <c r="GU298" t="e">
        <f>AND(#REF!,"AAAAAGX/P8o=")</f>
        <v>#REF!</v>
      </c>
      <c r="GV298" t="e">
        <f>IF(#REF!,"AAAAAGX/P8s=",0)</f>
        <v>#REF!</v>
      </c>
      <c r="GW298" t="e">
        <f>AND(#REF!,"AAAAAGX/P8w=")</f>
        <v>#REF!</v>
      </c>
      <c r="GX298" t="e">
        <f>IF(#REF!,"AAAAAGX/P80=",0)</f>
        <v>#REF!</v>
      </c>
      <c r="GY298" t="e">
        <f>AND(#REF!,"AAAAAGX/P84=")</f>
        <v>#REF!</v>
      </c>
      <c r="GZ298" t="e">
        <f>IF(#REF!,"AAAAAGX/P88=",0)</f>
        <v>#REF!</v>
      </c>
      <c r="HA298" t="e">
        <f>AND(#REF!,"AAAAAGX/P9A=")</f>
        <v>#REF!</v>
      </c>
      <c r="HB298" t="e">
        <f>IF(#REF!,"AAAAAGX/P9E=",0)</f>
        <v>#REF!</v>
      </c>
      <c r="HC298" t="e">
        <f>AND(#REF!,"AAAAAGX/P9I=")</f>
        <v>#REF!</v>
      </c>
      <c r="HD298" t="e">
        <f>IF(#REF!,"AAAAAGX/P9M=",0)</f>
        <v>#REF!</v>
      </c>
      <c r="HE298" t="e">
        <f>AND(#REF!,"AAAAAGX/P9Q=")</f>
        <v>#REF!</v>
      </c>
      <c r="HF298" t="e">
        <f>IF(#REF!,"AAAAAGX/P9U=",0)</f>
        <v>#REF!</v>
      </c>
      <c r="HG298" t="e">
        <f>AND(#REF!,"AAAAAGX/P9Y=")</f>
        <v>#REF!</v>
      </c>
      <c r="HH298" t="e">
        <f>IF(#REF!,"AAAAAGX/P9c=",0)</f>
        <v>#REF!</v>
      </c>
      <c r="HI298" t="e">
        <f>AND(#REF!,"AAAAAGX/P9g=")</f>
        <v>#REF!</v>
      </c>
      <c r="HJ298" t="e">
        <f>IF(#REF!,"AAAAAGX/P9k=",0)</f>
        <v>#REF!</v>
      </c>
      <c r="HK298" t="e">
        <f>AND(#REF!,"AAAAAGX/P9o=")</f>
        <v>#REF!</v>
      </c>
      <c r="HL298" t="e">
        <f>IF(#REF!,"AAAAAGX/P9s=",0)</f>
        <v>#REF!</v>
      </c>
      <c r="HM298" t="e">
        <f>AND(#REF!,"AAAAAGX/P9w=")</f>
        <v>#REF!</v>
      </c>
      <c r="HN298" t="e">
        <f>IF(#REF!,"AAAAAGX/P90=",0)</f>
        <v>#REF!</v>
      </c>
      <c r="HO298" t="e">
        <f>AND(#REF!,"AAAAAGX/P94=")</f>
        <v>#REF!</v>
      </c>
      <c r="HP298" t="e">
        <f>IF(#REF!,"AAAAAGX/P98=",0)</f>
        <v>#REF!</v>
      </c>
      <c r="HQ298" t="e">
        <f>AND(#REF!,"AAAAAGX/P+A=")</f>
        <v>#REF!</v>
      </c>
      <c r="HR298" t="e">
        <f>IF(#REF!,"AAAAAGX/P+E=",0)</f>
        <v>#REF!</v>
      </c>
      <c r="HS298" t="e">
        <f>AND(#REF!,"AAAAAGX/P+I=")</f>
        <v>#REF!</v>
      </c>
      <c r="HT298" t="e">
        <f>IF(#REF!,"AAAAAGX/P+M=",0)</f>
        <v>#REF!</v>
      </c>
      <c r="HU298" t="e">
        <f>AND(#REF!,"AAAAAGX/P+Q=")</f>
        <v>#REF!</v>
      </c>
      <c r="HV298" t="e">
        <f>IF(#REF!,"AAAAAGX/P+U=",0)</f>
        <v>#REF!</v>
      </c>
      <c r="HW298" t="e">
        <f>AND(#REF!,"AAAAAGX/P+Y=")</f>
        <v>#REF!</v>
      </c>
      <c r="HX298" t="e">
        <f>IF(#REF!,"AAAAAGX/P+c=",0)</f>
        <v>#REF!</v>
      </c>
      <c r="HY298" t="e">
        <f>AND(#REF!,"AAAAAGX/P+g=")</f>
        <v>#REF!</v>
      </c>
      <c r="HZ298" t="e">
        <f>IF(#REF!,"AAAAAGX/P+k=",0)</f>
        <v>#REF!</v>
      </c>
      <c r="IA298" t="e">
        <f>AND(#REF!,"AAAAAGX/P+o=")</f>
        <v>#REF!</v>
      </c>
      <c r="IB298" t="e">
        <f>IF(#REF!,"AAAAAGX/P+s=",0)</f>
        <v>#REF!</v>
      </c>
      <c r="IC298" t="e">
        <f>AND(#REF!,"AAAAAGX/P+w=")</f>
        <v>#REF!</v>
      </c>
      <c r="ID298" t="e">
        <f>IF(#REF!,"AAAAAGX/P+0=",0)</f>
        <v>#REF!</v>
      </c>
      <c r="IE298" t="e">
        <f>AND(#REF!,"AAAAAGX/P+4=")</f>
        <v>#REF!</v>
      </c>
      <c r="IF298" t="e">
        <f>IF(#REF!,"AAAAAGX/P+8=",0)</f>
        <v>#REF!</v>
      </c>
      <c r="IG298" t="e">
        <f>AND(#REF!,"AAAAAGX/P/A=")</f>
        <v>#REF!</v>
      </c>
      <c r="IH298" t="e">
        <f>IF(#REF!,"AAAAAGX/P/E=",0)</f>
        <v>#REF!</v>
      </c>
      <c r="II298" t="e">
        <f>AND(#REF!,"AAAAAGX/P/I=")</f>
        <v>#REF!</v>
      </c>
      <c r="IJ298" t="e">
        <f>IF(#REF!,"AAAAAGX/P/M=",0)</f>
        <v>#REF!</v>
      </c>
      <c r="IK298" t="e">
        <f>AND(#REF!,"AAAAAGX/P/Q=")</f>
        <v>#REF!</v>
      </c>
      <c r="IL298" t="e">
        <f>IF(#REF!,"AAAAAGX/P/U=",0)</f>
        <v>#REF!</v>
      </c>
      <c r="IM298" t="e">
        <f>AND(#REF!,"AAAAAGX/P/Y=")</f>
        <v>#REF!</v>
      </c>
      <c r="IN298" t="e">
        <f>IF(#REF!,"AAAAAGX/P/c=",0)</f>
        <v>#REF!</v>
      </c>
      <c r="IO298" t="e">
        <f>AND(#REF!,"AAAAAGX/P/g=")</f>
        <v>#REF!</v>
      </c>
      <c r="IP298" t="e">
        <f>IF(#REF!,"AAAAAGX/P/k=",0)</f>
        <v>#REF!</v>
      </c>
      <c r="IQ298" t="e">
        <f>AND(#REF!,"AAAAAGX/P/o=")</f>
        <v>#REF!</v>
      </c>
      <c r="IR298" t="e">
        <f>IF(#REF!,"AAAAAGX/P/s=",0)</f>
        <v>#REF!</v>
      </c>
      <c r="IS298" t="e">
        <f>AND(#REF!,"AAAAAGX/P/w=")</f>
        <v>#REF!</v>
      </c>
      <c r="IT298" t="e">
        <f>IF(#REF!,"AAAAAGX/P/0=",0)</f>
        <v>#REF!</v>
      </c>
      <c r="IU298" t="e">
        <f>AND(#REF!,"AAAAAGX/P/4=")</f>
        <v>#REF!</v>
      </c>
      <c r="IV298" t="e">
        <f>IF(#REF!,"AAAAAGX/P/8=",0)</f>
        <v>#REF!</v>
      </c>
    </row>
    <row r="299" spans="1:256" ht="38.25" x14ac:dyDescent="0.2">
      <c r="A299" t="e">
        <f>AND(#REF!,"AAAAACn15wA=")</f>
        <v>#REF!</v>
      </c>
      <c r="B299" t="e">
        <f>IF(#REF!,"AAAAACn15wE=",0)</f>
        <v>#REF!</v>
      </c>
      <c r="C299" t="e">
        <f>AND(#REF!,"AAAAACn15wI=")</f>
        <v>#REF!</v>
      </c>
      <c r="D299" t="e">
        <f>IF(#REF!,"AAAAACn15wM=",0)</f>
        <v>#REF!</v>
      </c>
      <c r="E299" t="e">
        <f>AND(#REF!,"AAAAACn15wQ=")</f>
        <v>#REF!</v>
      </c>
      <c r="F299" t="e">
        <f>IF(#REF!,"AAAAACn15wU=",0)</f>
        <v>#REF!</v>
      </c>
      <c r="G299" t="e">
        <f>AND(#REF!,"AAAAACn15wY=")</f>
        <v>#REF!</v>
      </c>
      <c r="H299" t="e">
        <f>IF(#REF!,"AAAAACn15wc=",0)</f>
        <v>#REF!</v>
      </c>
      <c r="I299" t="e">
        <f>AND(#REF!,"AAAAACn15wg=")</f>
        <v>#REF!</v>
      </c>
      <c r="J299" t="e">
        <f>IF(#REF!,"AAAAACn15wk=",0)</f>
        <v>#REF!</v>
      </c>
      <c r="K299" t="e">
        <f>AND(#REF!,"AAAAACn15wo=")</f>
        <v>#REF!</v>
      </c>
      <c r="L299" t="e">
        <f>IF(#REF!,"AAAAACn15ws=",0)</f>
        <v>#REF!</v>
      </c>
      <c r="M299" t="e">
        <f>AND(#REF!,"AAAAACn15ww=")</f>
        <v>#REF!</v>
      </c>
      <c r="N299" t="e">
        <f>IF(#REF!,"AAAAACn15w0=",0)</f>
        <v>#REF!</v>
      </c>
      <c r="O299" t="e">
        <f>AND(#REF!,"AAAAACn15w4=")</f>
        <v>#REF!</v>
      </c>
      <c r="P299" t="e">
        <f>IF(#REF!,"AAAAACn15w8=",0)</f>
        <v>#REF!</v>
      </c>
      <c r="Q299" t="e">
        <f>AND(#REF!,"AAAAACn15xA=")</f>
        <v>#REF!</v>
      </c>
      <c r="R299" t="e">
        <f>IF(#REF!,"AAAAACn15xE=",0)</f>
        <v>#REF!</v>
      </c>
      <c r="S299" t="e">
        <f>AND(#REF!,"AAAAACn15xI=")</f>
        <v>#REF!</v>
      </c>
      <c r="T299" t="e">
        <f>IF(#REF!,"AAAAACn15xM=",0)</f>
        <v>#REF!</v>
      </c>
      <c r="U299" t="e">
        <f>AND(#REF!,"AAAAACn15xQ=")</f>
        <v>#REF!</v>
      </c>
      <c r="V299" t="e">
        <f>IF(#REF!,"AAAAACn15xU=",0)</f>
        <v>#REF!</v>
      </c>
      <c r="W299" t="e">
        <f>AND(#REF!,"AAAAACn15xY=")</f>
        <v>#REF!</v>
      </c>
      <c r="X299" t="e">
        <f>IF(#REF!,"AAAAACn15xc=",0)</f>
        <v>#REF!</v>
      </c>
      <c r="Y299" t="e">
        <f>AND(#REF!,"AAAAACn15xg=")</f>
        <v>#REF!</v>
      </c>
      <c r="Z299" t="e">
        <f>IF(#REF!,"AAAAACn15xk=",0)</f>
        <v>#REF!</v>
      </c>
      <c r="AA299" t="e">
        <f>AND(#REF!,"AAAAACn15xo=")</f>
        <v>#REF!</v>
      </c>
      <c r="AB299" t="e">
        <f>IF(#REF!,"AAAAACn15xs=",0)</f>
        <v>#REF!</v>
      </c>
      <c r="AC299" t="e">
        <f>AND(#REF!,"AAAAACn15xw=")</f>
        <v>#REF!</v>
      </c>
      <c r="AD299" t="e">
        <f>IF(#REF!,"AAAAACn15x0=",0)</f>
        <v>#REF!</v>
      </c>
      <c r="AE299" t="e">
        <f>AND(#REF!,"AAAAACn15x4=")</f>
        <v>#REF!</v>
      </c>
      <c r="AF299" t="e">
        <f>IF(#REF!,"AAAAACn15x8=",0)</f>
        <v>#REF!</v>
      </c>
      <c r="AG299" t="e">
        <f>AND(#REF!,"AAAAACn15yA=")</f>
        <v>#REF!</v>
      </c>
      <c r="AH299" t="e">
        <f>IF(#REF!,"AAAAACn15yE=",0)</f>
        <v>#REF!</v>
      </c>
      <c r="AI299" t="e">
        <f>AND(#REF!,"AAAAACn15yI=")</f>
        <v>#REF!</v>
      </c>
      <c r="AJ299" t="e">
        <f>IF(#REF!,"AAAAACn15yM=",0)</f>
        <v>#REF!</v>
      </c>
      <c r="AK299" t="e">
        <f>AND(#REF!,"AAAAACn15yQ=")</f>
        <v>#REF!</v>
      </c>
      <c r="AL299" t="e">
        <f>IF(#REF!,"AAAAACn15yU=",0)</f>
        <v>#REF!</v>
      </c>
      <c r="AM299" t="e">
        <f>AND(#REF!,"AAAAACn15yY=")</f>
        <v>#REF!</v>
      </c>
      <c r="AN299" t="e">
        <f>IF(#REF!,"AAAAACn15yc=",0)</f>
        <v>#REF!</v>
      </c>
      <c r="AO299" t="e">
        <f>AND(#REF!,"AAAAACn15yg=")</f>
        <v>#REF!</v>
      </c>
      <c r="AP299" t="e">
        <f>IF(#REF!,"AAAAACn15yk=",0)</f>
        <v>#REF!</v>
      </c>
      <c r="AQ299" t="e">
        <f>AND(#REF!,"AAAAACn15yo=")</f>
        <v>#REF!</v>
      </c>
      <c r="AR299" t="e">
        <f>IF(#REF!,"AAAAACn15ys=",0)</f>
        <v>#REF!</v>
      </c>
      <c r="AS299" t="e">
        <f>AND(#REF!,"AAAAACn15yw=")</f>
        <v>#REF!</v>
      </c>
      <c r="AT299" t="e">
        <f>IF(#REF!,"AAAAACn15y0=",0)</f>
        <v>#REF!</v>
      </c>
      <c r="AU299" t="e">
        <f>IF(#REF!,"AAAAACn15y4=",0)</f>
        <v>#REF!</v>
      </c>
      <c r="AV299" t="e">
        <f>IF(#REF!,"AAAAACn15y8=",0)</f>
        <v>#REF!</v>
      </c>
      <c r="AW299" t="e">
        <f>IF(#REF!,"AAAAACn15zA=",0)</f>
        <v>#REF!</v>
      </c>
      <c r="AX299" t="e">
        <f>IF(#REF!,"AAAAACn15zE=",0)</f>
        <v>#REF!</v>
      </c>
      <c r="AY299" t="e">
        <f>IF(#REF!,"AAAAACn15zI=",0)</f>
        <v>#REF!</v>
      </c>
      <c r="AZ299" t="e">
        <f>IF(#REF!,"AAAAACn15zM=",0)</f>
        <v>#REF!</v>
      </c>
      <c r="BA299" t="e">
        <f>IF(#REF!,"AAAAACn15zQ=",0)</f>
        <v>#REF!</v>
      </c>
      <c r="BB299" t="e">
        <f>IF(#REF!,"AAAAACn15zU=",0)</f>
        <v>#REF!</v>
      </c>
      <c r="BC299" t="e">
        <f>IF(#REF!,"AAAAACn15zY=",0)</f>
        <v>#REF!</v>
      </c>
      <c r="BD299" t="e">
        <f>IF(#REF!,"AAAAACn15zc=",0)</f>
        <v>#REF!</v>
      </c>
      <c r="BE299" t="e">
        <f>IF(#REF!,"AAAAACn15zg=",0)</f>
        <v>#REF!</v>
      </c>
      <c r="BF299" t="e">
        <f>IF(#REF!,"AAAAACn15zk=",0)</f>
        <v>#REF!</v>
      </c>
      <c r="BG299" t="e">
        <f>IF(#REF!,"AAAAACn15zo=",0)</f>
        <v>#REF!</v>
      </c>
      <c r="BH299" t="e">
        <f>IF(#REF!,"AAAAACn15zs=",0)</f>
        <v>#REF!</v>
      </c>
      <c r="BI299" t="e">
        <f>IF(#REF!,"AAAAACn15zw=",0)</f>
        <v>#REF!</v>
      </c>
      <c r="BJ299" t="e">
        <f>IF(#REF!,"AAAAACn15z0=",0)</f>
        <v>#REF!</v>
      </c>
      <c r="BK299" t="e">
        <f>AND(#REF!,"AAAAACn15z4=")</f>
        <v>#REF!</v>
      </c>
      <c r="BL299" t="e">
        <f>IF(#REF!,"AAAAACn15z8=",0)</f>
        <v>#REF!</v>
      </c>
      <c r="BM299" s="101" t="s">
        <v>677</v>
      </c>
      <c r="BN299" s="102" t="s">
        <v>678</v>
      </c>
      <c r="BO299" t="s">
        <v>679</v>
      </c>
      <c r="BP299" s="103" t="s">
        <v>680</v>
      </c>
      <c r="BQ299" s="104" t="s">
        <v>681</v>
      </c>
      <c r="BR299" s="105" t="s">
        <v>682</v>
      </c>
      <c r="BS299" t="e">
        <f>IF("N",'Additional Services'!_GoBack,"AAAAACn150Y=")</f>
        <v>#VALUE!</v>
      </c>
      <c r="BT299" t="e">
        <f>IF("N",A2YesNo,"AAAAACn150c=")</f>
        <v>#VALUE!</v>
      </c>
      <c r="BU299" t="e">
        <f>IF("N",AppliesTo,"AAAAACn150g=")</f>
        <v>#VALUE!</v>
      </c>
      <c r="BV299" t="e">
        <f>IF("N",BadgeMailing,"AAAAACn150k=")</f>
        <v>#VALUE!</v>
      </c>
      <c r="BW299" t="e">
        <f>IF("N",BadgeTicketFormats,"AAAAACn150o=")</f>
        <v>#VALUE!</v>
      </c>
      <c r="BX299" t="e">
        <f>IF("N",BadgeTicketFormats_CredentialFormat,"AAAAACn150s=")</f>
        <v>#VALUE!</v>
      </c>
      <c r="BY299" t="e">
        <f>IF("N",BadgeTicketFormats_CredentialFormats,"AAAAACn150w=")</f>
        <v>#VALUE!</v>
      </c>
      <c r="BZ299" t="e">
        <f>IF("N",BadgeTicketFormats_CredentialOutput,"AAAAACn1500=")</f>
        <v>#VALUE!</v>
      </c>
      <c r="CA299" t="e">
        <f>IF("N",BadgeTicketFormats_CredentialsOutput,"AAAAACn1504=")</f>
        <v>#VALUE!</v>
      </c>
      <c r="CB299" t="e">
        <f>IF("N",BadgeTicketFormats_ExpressmailOptions,"AAAAACn1508=")</f>
        <v>#VALUE!</v>
      </c>
      <c r="CC299" t="e">
        <f>IF("N",BadgeTicketFormats_SelfRegREceipts,"AAAAACn151A=")</f>
        <v>#VALUE!</v>
      </c>
      <c r="CD299" t="e">
        <f>IF("N",BusinessRules,"AAAAACn151E=")</f>
        <v>#VALUE!</v>
      </c>
      <c r="CE299" t="e">
        <f>IF("N",Case,"AAAAACn151I=")</f>
        <v>#VALUE!</v>
      </c>
      <c r="CF299" t="e">
        <f>IF("N",Confirmatinos_BrodcastEmails,"AAAAACn151M=")</f>
        <v>#VALUE!</v>
      </c>
      <c r="CG299" t="e">
        <f>IF("N",Confirmation_ConfirmationLetters,"AAAAACn151Q=")</f>
        <v>#VALUE!</v>
      </c>
      <c r="CH299" t="e">
        <f>IF("N",Confirmations,"AAAAACn151U=")</f>
        <v>#VALUE!</v>
      </c>
      <c r="CI299" t="e">
        <f>IF("N",Confirmations_ESGConformationLetters,"AAAAACn151Y=")</f>
        <v>#VALUE!</v>
      </c>
      <c r="CJ299" t="e">
        <f>IF("N",Confirmations_ExhibitorPasswordLetters,"AAAAACn151c=")</f>
        <v>#VALUE!</v>
      </c>
      <c r="CK299" t="e">
        <f>IF("N",Confirmations_Invoices,"AAAAACn151g=")</f>
        <v>#VALUE!</v>
      </c>
      <c r="CL299" t="e">
        <f>IF("N",ContactFieldNamesMustEnters,"AAAAACn151k=")</f>
        <v>#VALUE!</v>
      </c>
      <c r="CM299" t="e">
        <f>IF("N",CSIClient,"AAAAACn151o=")</f>
        <v>#VALUE!</v>
      </c>
      <c r="CN299" t="e">
        <f>IF("N",CustomerService,"AAAAACn151s=")</f>
        <v>#VALUE!</v>
      </c>
      <c r="CO299" t="e">
        <f>IF("N",CustomReportWebServices,"AAAAACn151w=")</f>
        <v>#VALUE!</v>
      </c>
      <c r="CP299" t="e">
        <f>IF("N",DataBaseManager,"AAAAACn1510=")</f>
        <v>#VALUE!</v>
      </c>
      <c r="CQ299" t="e">
        <f>IF("N",DataBaseManager_AdditionalAdvanceOptions,"AAAAACn1514=")</f>
        <v>#VALUE!</v>
      </c>
      <c r="CR299" t="e">
        <f>IF("N",DataBaseManager_ClientServices,"AAAAACn1518=")</f>
        <v>#VALUE!</v>
      </c>
      <c r="CS299" t="e">
        <f>IF("N",DataBaseManager_DataDownload,"AAAAACn152A=")</f>
        <v>#VALUE!</v>
      </c>
      <c r="CT299" t="e">
        <f>IF("N",DataBaseManager_DateClientServicesAvailable,"AAAAACn152E=")</f>
        <v>#VALUE!</v>
      </c>
      <c r="CU299" t="e">
        <f>IF("N",DataBaseManager_ESMPasswords,"AAAAACn152I=")</f>
        <v>#VALUE!</v>
      </c>
      <c r="CV299" t="e">
        <f>IF("N",DataBaseManager_FieldsToInclude,"AAAAACn152M=")</f>
        <v>#VALUE!</v>
      </c>
      <c r="CW299" t="e">
        <f>IF("N",DatabaseManager_MainMenuOptions,"AAAAACn152Q=")</f>
        <v>#VALUE!</v>
      </c>
      <c r="CX299" t="e">
        <f>IF("N",DataBaseManager_NoReedPersonnel,"AAAAACn152U=")</f>
        <v>#VALUE!</v>
      </c>
      <c r="CY299" t="e">
        <f>IF("N",DataBaseManager_ReedLogin,"AAAAACn152Y=")</f>
        <v>#VALUE!</v>
      </c>
      <c r="CZ299" t="e">
        <f>IF("N",DataBaseManager_RegUpgradesDowngrades,"AAAAACn152c=")</f>
        <v>#VALUE!</v>
      </c>
      <c r="DA299" t="e">
        <f>IF("N",DataBaseManager_Reporting,"AAAAACn152g=")</f>
        <v>#VALUE!</v>
      </c>
      <c r="DB299" t="e">
        <f>IF("N",DataBaseManager_SearchOptions,"AAAAACn152k=")</f>
        <v>#VALUE!</v>
      </c>
      <c r="DC299" t="e">
        <f>IF("N",DataBaseManager_SpecialNotes,"AAAAACn152o=")</f>
        <v>#VALUE!</v>
      </c>
      <c r="DD299" t="e">
        <f>IF("N",DataEntryBatching,"AAAAACn152s=")</f>
        <v>#VALUE!</v>
      </c>
      <c r="DE299" t="e">
        <f>IF("N",DataEntryBatching_Batching,"AAAAACn152w=")</f>
        <v>#VALUE!</v>
      </c>
      <c r="DF299" t="e">
        <f>IF("N",DataEntryBatching_DataEntry,"AAAAACn1520=")</f>
        <v>#VALUE!</v>
      </c>
      <c r="DG299" t="e">
        <f>IF("N",DataEntryBatching_DataFiles,"AAAAACn1524=")</f>
        <v>#VALUE!</v>
      </c>
      <c r="DH299" t="e">
        <f>IF("N",DataEntryBatching_DataTransfers,"AAAAACn1528=")</f>
        <v>#VALUE!</v>
      </c>
      <c r="DI299" t="e">
        <f>IF("N",DataEntryBatching_EquipmentAtClient,"AAAAACn153A=")</f>
        <v>#VALUE!</v>
      </c>
      <c r="DJ299" t="e">
        <f>IF("N",DemographicQuestions,"AAAAACn153E=")</f>
        <v>#VALUE!</v>
      </c>
      <c r="DK299" t="e">
        <f>IF("N",DemographicQuestions_DemoQuestions,"AAAAACn153I=")</f>
        <v>#VALUE!</v>
      </c>
      <c r="DL299" t="e">
        <f>IF("N",DemographicQuestions_ReedTouchDemoQuestions,"AAAAACn153M=")</f>
        <v>#VALUE!</v>
      </c>
      <c r="DM299" t="e">
        <f>IF("N",DemographicQuestions_VisaDemoQuestions,"AAAAACn153Q=")</f>
        <v>#VALUE!</v>
      </c>
      <c r="DN299" t="e">
        <f>IF("N",DepositAccount,"AAAAACn153U=")</f>
        <v>#VALUE!</v>
      </c>
      <c r="DO299" t="e">
        <f>IF("N",'Badge Ticket Formats'!_ep732442,"AAAAACn153Y=")</f>
        <v>#VALUE!</v>
      </c>
      <c r="DP299" t="e">
        <f>IF("N",'Badge Ticket Formats'!_ep982097,"AAAAACn153c=")</f>
        <v>#VALUE!</v>
      </c>
      <c r="DQ299" t="e">
        <f>IF("N",'Badge Ticket Formats'!_ep983448,"AAAAACn153g=")</f>
        <v>#VALUE!</v>
      </c>
      <c r="DR299" t="e">
        <f>IF("N",'Badge Ticket Formats'!_ep983571,"AAAAACn153k=")</f>
        <v>#VALUE!</v>
      </c>
      <c r="DS299" t="e">
        <f>IF("N",'Badge Ticket Formats'!_ep987858,"AAAAACn153o=")</f>
        <v>#VALUE!</v>
      </c>
      <c r="DT299" t="e">
        <f>IF("N",EventExplorer,"AAAAACn153s=")</f>
        <v>#VALUE!</v>
      </c>
      <c r="DU299" t="e">
        <f>IF("N",EventExplorer_EventExplorer,"AAAAACn153w=")</f>
        <v>#VALUE!</v>
      </c>
      <c r="DV299" t="e">
        <f>IF("N",Exhibitor,"AAAAACn1530=")</f>
        <v>#VALUE!</v>
      </c>
      <c r="DW299" t="e">
        <f>IF("N",Exhibitor_ExhibitorConfirmationLetters,"AAAAACn1534=")</f>
        <v>#VALUE!</v>
      </c>
      <c r="DX299" t="e">
        <f>IF("N",Exhibitor_ExhibitorConfirmationPage,"AAAAACn1538=")</f>
        <v>#VALUE!</v>
      </c>
      <c r="DY299" t="e">
        <f>IF("N",Exhibitor_ExhibitorCustomerService,"AAAAACn154A=")</f>
        <v>#VALUE!</v>
      </c>
      <c r="DZ299" t="e">
        <f>IF("N",Exhibitor_ExhibitorInviteACustomer,"AAAAACn154E=")</f>
        <v>#VALUE!</v>
      </c>
      <c r="EA299" t="e">
        <f>IF("N",Exhibitor_ExhibitorInviteACustomerLetter,"AAAAACn154I=")</f>
        <v>#VALUE!</v>
      </c>
      <c r="EB299" t="e">
        <f>IF("N",Exhibitor_ExhibitorMembership,"AAAAACn154M=")</f>
        <v>#VALUE!</v>
      </c>
      <c r="EC299" t="e">
        <f>IF("N",Exhibitor_ExhibitorOptionAllotment,"AAAAACn154Q=")</f>
        <v>#VALUE!</v>
      </c>
      <c r="ED299" t="e">
        <f>IF("N",Exhibitor_ExhibitorOptions,"AAAAACn154U=")</f>
        <v>#VALUE!</v>
      </c>
      <c r="EE299" t="e">
        <f>IF("N",Exhibitor_ExhibitorPricing,"AAAAACn154Y=")</f>
        <v>#VALUE!</v>
      </c>
      <c r="EF299" t="e">
        <f>IF("N",Exhibitor_ReedExhibitorSpecifications,"AAAAACn154c=")</f>
        <v>#VALUE!</v>
      </c>
      <c r="EG299" t="e">
        <f>IF("N",FinancialInformation,"AAAAACn154g=")</f>
        <v>#VALUE!</v>
      </c>
      <c r="EH299" t="e">
        <f>IF("N",FinancialInformation_AcceptedFormsOfPayment,"AAAAACn154k=")</f>
        <v>#VALUE!</v>
      </c>
      <c r="EI299" t="e">
        <f>IF("N",FinancialInformation_CreditCardProcessingMethod,"AAAAACn154o=")</f>
        <v>#VALUE!</v>
      </c>
      <c r="EJ299" t="e">
        <f>IF("N",FinancialInformation_DepositAccount,"AAAAACn154s=")</f>
        <v>#VALUE!</v>
      </c>
      <c r="EK299" t="e">
        <f>IF("N",FinancialInformation_DuplicateRemovalHierarchy,"AAAAACn154w=")</f>
        <v>#VALUE!</v>
      </c>
      <c r="EL299" t="e">
        <f>IF("N",FinancialInformation_IfWeDoNotUseCybersourceShot,"AAAAACn1540=")</f>
        <v>#VALUE!</v>
      </c>
      <c r="EM299" t="e">
        <f>IF("N",FinancialInformation_MoneyCollection,"AAAAACn1544=")</f>
        <v>#VALUE!</v>
      </c>
      <c r="EN299" t="e">
        <f>IF("N",FinancialInformation_PaypalSetupInformation,"AAAAACn1548=")</f>
        <v>#VALUE!</v>
      </c>
      <c r="EO299" t="e">
        <f>IF("N",FinancialInformation_ReedCancellationPolicy,"AAAAACn155A=")</f>
        <v>#VALUE!</v>
      </c>
      <c r="EP299" t="e">
        <f>IF("N",FinancialInformation_ReedCreditCardProcessingMethod,"AAAAACn155E=")</f>
        <v>#VALUE!</v>
      </c>
      <c r="EQ299" t="e">
        <f>IF("N",FinancialInformation_ReedCybersourceSetupInformation,"AAAAACn155I=")</f>
        <v>#VALUE!</v>
      </c>
      <c r="ER299" t="e">
        <f>IF("N",FinancialInformation_ReedDepositAccount,"AAAAACn155M=")</f>
        <v>#VALUE!</v>
      </c>
      <c r="ES299" t="e">
        <f>IF("N",FinancialInformation_ReedSpecialFinancialProcessingNotes,"AAAAACn155Q=")</f>
        <v>#VALUE!</v>
      </c>
      <c r="ET299" t="e">
        <f>IF("N",FinancialProcessing,"AAAAACn155U=")</f>
        <v>#VALUE!</v>
      </c>
      <c r="EU299" t="e">
        <f>IF("N",FinancialProcessing_AcceptedFormsOfPayment,"AAAAACn155Y=")</f>
        <v>#VALUE!</v>
      </c>
      <c r="EV299" t="e">
        <f>IF("N",FinancialProcessing_CancellationPolicy,"AAAAACn155c=")</f>
        <v>#VALUE!</v>
      </c>
      <c r="EW299" t="e">
        <f>IF("N",FinancialProcessing_DuplicateRemovalHierarchy,"AAAAACn155g=")</f>
        <v>#VALUE!</v>
      </c>
      <c r="EX299" t="e">
        <f>IF("N",FinancialProcessing_FinancialProcessingInDatabasemanager,"AAAAACn155k=")</f>
        <v>#VALUE!</v>
      </c>
      <c r="EY299" t="e">
        <f>IF("N",FinancialProcessing_MoneyCollection,"AAAAACn155o=")</f>
        <v>#VALUE!</v>
      </c>
      <c r="EZ299" t="e">
        <f>IF("N",FinancialProcessing_ReedCancellationPolicy,"AAAAACn155s=")</f>
        <v>#VALUE!</v>
      </c>
      <c r="FA299" t="e">
        <f>IF("N",FinancialProcessing_ReedCreditCardProcessijngMethod,"AAAAACn155w=")</f>
        <v>#VALUE!</v>
      </c>
      <c r="FB299" t="e">
        <f>IF("N",FinancialProcessing_ReedCyberSourceRefundProcessing,"AAAAACn1550=")</f>
        <v>#VALUE!</v>
      </c>
      <c r="FC299" t="e">
        <f>IF("N",FinancialProcessing_ReedCyberSourceSetUpInformation,"AAAAACn1554=")</f>
        <v>#VALUE!</v>
      </c>
      <c r="FD299" t="e">
        <f>IF("N",FinancialProcessing_ReedDepositAccount,"AAAAACn1558=")</f>
        <v>#VALUE!</v>
      </c>
      <c r="FE299" t="e">
        <f>IF("N",FinancialProcessing_ReedSpecialFinancialProcessingNotes,"AAAAACn156A=")</f>
        <v>#VALUE!</v>
      </c>
      <c r="FF299" t="e">
        <f>IF("N",FinancialProcessing_SpecialNotes,"AAAAACn156E=")</f>
        <v>#VALUE!</v>
      </c>
      <c r="FG299" t="e">
        <f>IF("N",Grouping,"AAAAACn156I=")</f>
        <v>#VALUE!</v>
      </c>
      <c r="FH299" t="e">
        <f>IF("N",Housing,"AAAAACn156M=")</f>
        <v>#VALUE!</v>
      </c>
      <c r="FI299" t="e">
        <f>IF("N",Housing_HousingInformation,"AAAAACn156Q=")</f>
        <v>#VALUE!</v>
      </c>
      <c r="FJ299" t="e">
        <f>IF("N",LastAction,"AAAAACn156U=")</f>
        <v>#VALUE!</v>
      </c>
      <c r="FK299" t="e">
        <f>IF("N",Lists,"AAAAACn156Y=")</f>
        <v>#VALUE!</v>
      </c>
      <c r="FL299" t="e">
        <f>IF("N",MailedFaxed,"AAAAACn156c=")</f>
        <v>#VALUE!</v>
      </c>
      <c r="FM299" t="e">
        <f>IF("N",Materials,"AAAAACn156g=")</f>
        <v>#VALUE!</v>
      </c>
      <c r="FN299" t="e">
        <f>IF("N",MaterialsCostSummary,"AAAAACn156k=")</f>
        <v>#VALUE!</v>
      </c>
      <c r="FO299" t="e">
        <f>IF("N",MembershipInformation,"AAAAACn156o=")</f>
        <v>#VALUE!</v>
      </c>
      <c r="FP299" t="e">
        <f>IF("N",MembershipInformation_Membership,"AAAAACn156s=")</f>
        <v>#VALUE!</v>
      </c>
      <c r="FQ299" t="e">
        <f>IF("N",MustEnter,"AAAAACn156w=")</f>
        <v>#VALUE!</v>
      </c>
      <c r="FR299" t="e">
        <f>IF("N",Exhibitor!OLE_LINK11,"AAAAACn1560=")</f>
        <v>#VALUE!</v>
      </c>
      <c r="FS299" t="e">
        <f>IF("N",Onsite!OLE_LINK15,"AAAAACn1564=")</f>
        <v>#VALUE!</v>
      </c>
      <c r="FT299" t="e">
        <f>IF("N",Onsite,"AAAAACn1568=")</f>
        <v>#VALUE!</v>
      </c>
      <c r="FU299" t="e">
        <f>IF("N",Onsite_Onsite,"AAAAACn157A=")</f>
        <v>#VALUE!</v>
      </c>
      <c r="FV299" t="e">
        <f>IF("N",Onsite_Onsite_CyberCafe,"AAAAACn157E=")</f>
        <v>#VALUE!</v>
      </c>
      <c r="FW299" t="e">
        <f>IF("N",Onsite_Onsite_NewProductShowcase,"AAAAACn157I=")</f>
        <v>#VALUE!</v>
      </c>
      <c r="FX299" t="e">
        <f>IF("N",Onsite_Onsite_NonRegistrationCashier,"AAAAACn157M=")</f>
        <v>#VALUE!</v>
      </c>
      <c r="FY299" t="e">
        <f>IF("N",Onsite_Onsite_SelfRegistration,"AAAAACn157Q=")</f>
        <v>#VALUE!</v>
      </c>
      <c r="FZ299" t="e">
        <f>IF("N",Onsite_Phase7,"AAAAACn157U=")</f>
        <v>#VALUE!</v>
      </c>
      <c r="GA299" t="e">
        <f>IF("N",Onsite_Services,"AAAAACn157Y=")</f>
        <v>#VALUE!</v>
      </c>
      <c r="GB299" t="e">
        <f>IF("N",Onsite_Services_AmericanExpressTravel,"AAAAACn157c=")</f>
        <v>#VALUE!</v>
      </c>
      <c r="GC299" t="e">
        <f>IF("N",Onsite_Services_BadgePrintThreshold,"AAAAACn157g=")</f>
        <v>#VALUE!</v>
      </c>
      <c r="GD299" t="e">
        <f>IF("N",Onsite_Services_BDMetrics,"AAAAACn157k=")</f>
        <v>#VALUE!</v>
      </c>
      <c r="GE299" t="e">
        <f>IF("N",Onsite_Services_CSIOnSiteProblemResolution,"AAAAACn157o=")</f>
        <v>#VALUE!</v>
      </c>
      <c r="GF299" t="e">
        <f>IF("N",Onsite_Services_Equipment,"AAAAACn157s=")</f>
        <v>#VALUE!</v>
      </c>
      <c r="GG299" t="e">
        <f>IF("N",Onsite_Services_ExpressRegistration,"AAAAACn157w=")</f>
        <v>#VALUE!</v>
      </c>
      <c r="GH299" t="e">
        <f>IF("N",Onsite_Services_FloorPlans,"AAAAACn1570=")</f>
        <v>#VALUE!</v>
      </c>
      <c r="GI299" t="e">
        <f>IF("N",Onsite_Services_HoteInformation,"AAAAACn1574=")</f>
        <v>#VALUE!</v>
      </c>
      <c r="GJ299" t="e">
        <f>IF("N",Onsite_Services_Location,"AAAAACn1578=")</f>
        <v>#VALUE!</v>
      </c>
      <c r="GK299" t="e">
        <f>IF("N",Onsite_Services_OnSiteDataEntryScreens,"AAAAACn158A=")</f>
        <v>#VALUE!</v>
      </c>
      <c r="GL299" t="e">
        <f>IF("N",Onsite_Services_Proceedings,"AAAAACn158E=")</f>
        <v>#VALUE!</v>
      </c>
      <c r="GM299" t="e">
        <f>IF("N",Onsite_Services_ReedNextYearsEventRegistration,"AAAAACn158I=")</f>
        <v>#VALUE!</v>
      </c>
      <c r="GN299" t="e">
        <f>IF("N",Onsite_Services_ReedReporting,"AAAAACn158M=")</f>
        <v>#VALUE!</v>
      </c>
      <c r="GO299" t="e">
        <f>IF("N",Onsite_Services_SelfRegistration,"AAAAACn158Q=")</f>
        <v>#VALUE!</v>
      </c>
      <c r="GP299" t="e">
        <f>IF("N",Onsite_Services_TestBadgeForOnsiteCredentialVerification,"AAAAACn158U=")</f>
        <v>#VALUE!</v>
      </c>
      <c r="GQ299" t="e">
        <f>IF("N",Onsite_Services_TicketPrinting,"AAAAACn158Y=")</f>
        <v>#VALUE!</v>
      </c>
      <c r="GR299" t="e">
        <f>IF("N",OptionsTable,"AAAAACn158c=")</f>
        <v>#VALUE!</v>
      </c>
      <c r="GS299" t="e">
        <f>IF("N",'Reg Codes'!_xlnm.Print_Titles,"AAAAACn158g=")</f>
        <v>#VALUE!</v>
      </c>
      <c r="GT299" t="e">
        <f>IF("N",Priority,"AAAAACn158k=")</f>
        <v>#VALUE!</v>
      </c>
      <c r="GU299" t="e">
        <f>IF("N",PriorityCodeRules,"AAAAACn158o=")</f>
        <v>#VALUE!</v>
      </c>
      <c r="GV299" t="e">
        <f>IF("N",QualificationManager,"AAAAACn158s=")</f>
        <v>#VALUE!</v>
      </c>
      <c r="GW299" t="e">
        <f>IF("N",QualificationManager_FieldsToBeDisplayed,"AAAAACn158w=")</f>
        <v>#VALUE!</v>
      </c>
      <c r="GX299" t="e">
        <f>IF("N",QualificationManager_Notes,"AAAAACn1580=")</f>
        <v>#VALUE!</v>
      </c>
      <c r="GY299" t="e">
        <f>IF("N",QualificationManager_RecordAtAGlance,"AAAAACn1584=")</f>
        <v>#VALUE!</v>
      </c>
      <c r="GZ299" t="e">
        <f>IF("N",QualificationManager_RegistrationTypesToExclude,"AAAAACn1588=")</f>
        <v>#VALUE!</v>
      </c>
      <c r="HA299" t="e">
        <f>IF("N",QualificationManager_StatusCodeDetermination,"AAAAACn159A=")</f>
        <v>#VALUE!</v>
      </c>
      <c r="HB299" t="e">
        <f>IF("N",ReedMarketingDiscountCode,"AAAAACn159E=")</f>
        <v>#VALUE!</v>
      </c>
      <c r="HC299" t="e">
        <f>IF("N",RegistrationCodes,"AAAAACn159I=")</f>
        <v>#VALUE!</v>
      </c>
      <c r="HD299" t="e">
        <f>IF("N",RegTypes,"AAAAACn159M=")</f>
        <v>#VALUE!</v>
      </c>
      <c r="HE299" t="e">
        <f>IF("N",RegTypes_DataProtectFlag,"AAAAACn159Q=")</f>
        <v>#VALUE!</v>
      </c>
      <c r="HF299" t="e">
        <f>IF("N",RegTypes_DataProtectFlag2,"AAAAACn159U=")</f>
        <v>#VALUE!</v>
      </c>
      <c r="HG299" t="e">
        <f>IF("N",RegTypes_DiscountManagerCopyAndRepeat,"AAAAACn159Y=")</f>
        <v>#VALUE!</v>
      </c>
      <c r="HH299" t="e">
        <f>IF("N",RegTypes_GlCodeList,"AAAAACn159c=")</f>
        <v>#VALUE!</v>
      </c>
      <c r="HI299" t="e">
        <f>IF("N",RegTypes_MailHoldExpressRegistration,"AAAAACn159g=")</f>
        <v>#VALUE!</v>
      </c>
      <c r="HJ299" t="e">
        <f>IF("N",RegTypes_reg2,"AAAAACn159k=")</f>
        <v>#VALUE!</v>
      </c>
      <c r="HK299" t="e">
        <f>IF("N",RegTypes_reg3,"AAAAACn159o=")</f>
        <v>#VALUE!</v>
      </c>
      <c r="HL299" t="e">
        <f>IF("N",RegTypes_RegistrationReceiptMethod,"AAAAACn159s=")</f>
        <v>#VALUE!</v>
      </c>
      <c r="HM299" t="e">
        <f>IF("N",Reporting,"AAAAACn159w=")</f>
        <v>#VALUE!</v>
      </c>
      <c r="HN299" t="e">
        <f>IF("N",Reporting_DefaultDateTimeSettings,"AAAAACn1590=")</f>
        <v>#VALUE!</v>
      </c>
      <c r="HO299" t="e">
        <f>IF("N",Reporting_ESTReporting,"AAAAACn1594=")</f>
        <v>#VALUE!</v>
      </c>
      <c r="HP299" t="e">
        <f>IF("N",Reporting_ReedAdvanceProcess,"AAAAACn1598=")</f>
        <v>#VALUE!</v>
      </c>
      <c r="HQ299" t="e">
        <f>IF("N",Reporting_ReedEntranceSessionTracking,"AAAAACn15+A=")</f>
        <v>#VALUE!</v>
      </c>
      <c r="HR299" t="e">
        <f>IF("N",Reporting_ReedFinancialReporting,"AAAAACn15+E=")</f>
        <v>#VALUE!</v>
      </c>
      <c r="HS299" t="e">
        <f>IF("N",Reporting_ReedPerformanceClause,"AAAAACn15+I=")</f>
        <v>#VALUE!</v>
      </c>
      <c r="HT299" t="e">
        <f>IF("N",Reporting_ReedPostShowOnliFiles,"AAAAACn15+M=")</f>
        <v>#VALUE!</v>
      </c>
      <c r="HU299" t="e">
        <f>IF("N",Reporting_ReedReportDistribution,"AAAAACn15+Q=")</f>
        <v>#VALUE!</v>
      </c>
      <c r="HV299" t="e">
        <f>IF("N",Reporting_ReedStatisticalReporting,"AAAAACn15+U=")</f>
        <v>#VALUE!</v>
      </c>
      <c r="HW299" t="e">
        <f>IF("N",Reporting_WeeklyReportingCycle,"AAAAACn15+Y=")</f>
        <v>#VALUE!</v>
      </c>
      <c r="HX299" t="e">
        <f>IF("N",RoundingDIr,"AAAAACn15+c=")</f>
        <v>#VALUE!</v>
      </c>
      <c r="HY299" t="e">
        <f>IF("N",RoundingPlace,"AAAAACn15+g=")</f>
        <v>#VALUE!</v>
      </c>
      <c r="HZ299" t="e">
        <f>IF("N",ShowInformatino_AdvanceDates,"AAAAACn15+k=")</f>
        <v>#VALUE!</v>
      </c>
      <c r="IA299" t="e">
        <f>IF("N",ShowInformation,"AAAAACn15+o=")</f>
        <v>#VALUE!</v>
      </c>
      <c r="IB299" t="e">
        <f>IF("N",ShowInformation_CoLocation,"AAAAACn15+s=")</f>
        <v>#VALUE!</v>
      </c>
      <c r="IC299" t="e">
        <f>IF("N",ShowInformation_ContactInformation,"AAAAACn15+w=")</f>
        <v>#VALUE!</v>
      </c>
      <c r="ID299" t="e">
        <f>IF("N",ShowInformation_CSIDatabaseInformation,"AAAAACn15+0=")</f>
        <v>#VALUE!</v>
      </c>
      <c r="IE299" t="e">
        <f>IF("N",ShowInformation_EventBasics,"AAAAACn15+4=")</f>
        <v>#VALUE!</v>
      </c>
      <c r="IF299" t="e">
        <f>IF("N",ShowInformation_OnsiteDates,"AAAAACn15+8=")</f>
        <v>#VALUE!</v>
      </c>
      <c r="IG299" t="e">
        <f>IF("N",ShowInformation_RegistrationMethods,"AAAAACn15/A=")</f>
        <v>#VALUE!</v>
      </c>
      <c r="IH299" t="e">
        <f>IF("N",ShowInformation_RegistrationProjections,"AAAAACn15/E=")</f>
        <v>#VALUE!</v>
      </c>
      <c r="II299" t="e">
        <f>IF("N",ShowRequirements,"AAAAACn15/I=")</f>
        <v>#VALUE!</v>
      </c>
      <c r="IJ299" t="e">
        <f>IF("N",ShowRequirements_CancellationPolicy,"AAAAACn15/M=")</f>
        <v>#VALUE!</v>
      </c>
      <c r="IK299" t="e">
        <f>IF("N",ShowRequirements_RequiredIntegrations,"AAAAACn15/Q=")</f>
        <v>#VALUE!</v>
      </c>
      <c r="IL299" t="e">
        <f>IF("N",ShowRequirements_ShowFloorAccess,"AAAAACn15/U=")</f>
        <v>#VALUE!</v>
      </c>
      <c r="IM299" t="e">
        <f>IF("N",StoreDestroy,"AAAAACn15/Y=")</f>
        <v>#VALUE!</v>
      </c>
      <c r="IN299" t="e">
        <f>IF("N",Table,"AAAAACn15/c=")</f>
        <v>#VALUE!</v>
      </c>
      <c r="IO299" t="e">
        <f>IF("N",UpdateRequestLog,"AAAAACn15/g=")</f>
        <v>#VALUE!</v>
      </c>
      <c r="IP299" t="e">
        <f>IF("N",UpDown,"AAAAACn15/k=")</f>
        <v>#VALUE!</v>
      </c>
      <c r="IQ299" t="e">
        <f>IF("N",Web?,"AAAAACn15/o=")</f>
        <v>#VALUE!</v>
      </c>
      <c r="IR299" t="e">
        <f>IF("N",WebSights,"AAAAACn15/s=")</f>
        <v>#VALUE!</v>
      </c>
      <c r="IS299" t="e">
        <f>IF("N",Website,"AAAAACn15/w=")</f>
        <v>#VALUE!</v>
      </c>
      <c r="IT299" t="e">
        <f>IF("N",Website_Add_MapYourShow,"AAAAACn15/0=")</f>
        <v>#VALUE!</v>
      </c>
      <c r="IU299" t="e">
        <f>IF("N",Website_Add_QASAddressValidation,"AAAAACn15/4=")</f>
        <v>#VALUE!</v>
      </c>
      <c r="IV299" t="e">
        <f>IF("N",Website_Add_ReedTouch,"AAAAACn15/8=")</f>
        <v>#VALUE!</v>
      </c>
    </row>
    <row r="300" spans="1:256" x14ac:dyDescent="0.2">
      <c r="A300" t="e">
        <f>IF("N",Website_Add_VisaSite,"AAAAAH5WrwA=")</f>
        <v>#VALUE!</v>
      </c>
      <c r="B300" t="e">
        <f>IF("N",Website_AdditionalInformationRequired,"AAAAAH5WrwE=")</f>
        <v>#VALUE!</v>
      </c>
      <c r="C300" t="e">
        <f>IF("N",Website_AdditionalWebFeatures,"AAAAAH5WrwI=")</f>
        <v>#VALUE!</v>
      </c>
      <c r="D300" t="e">
        <f>IF("N",Website_Att__Membership,"AAAAAH5WrwM=")</f>
        <v>#VALUE!</v>
      </c>
      <c r="E300" t="e">
        <f>IF("N",Website_Att__Options,"AAAAAH5WrwQ=")</f>
        <v>#VALUE!</v>
      </c>
      <c r="F300" t="e">
        <f>IF("N",Website_Att_AddToOutlook,"AAAAAH5WrwU=")</f>
        <v>#VALUE!</v>
      </c>
      <c r="G300" t="e">
        <f>IF("N",Website_Att_AttendeeInviteAFriend,"AAAAAH5WrwY=")</f>
        <v>#VALUE!</v>
      </c>
      <c r="H300" t="e">
        <f>IF("N",Website_Att_ClosingDateTime,"AAAAAH5Wrwc=")</f>
        <v>#VALUE!</v>
      </c>
      <c r="I300" t="e">
        <f>IF("N",Website_Att_ConfirmationLetters,"AAAAAH5Wrwg=")</f>
        <v>#VALUE!</v>
      </c>
      <c r="J300" t="e">
        <f>IF("N",Website_Att_ConfirmationPage,"AAAAAH5Wrwk=")</f>
        <v>#VALUE!</v>
      </c>
      <c r="K300" t="e">
        <f>IF("N",Website_Att_CustomerServiceDetails,"AAAAAH5Wrwo=")</f>
        <v>#VALUE!</v>
      </c>
      <c r="L300" t="e">
        <f>IF("N",Website_Att_ExpressRegistrationOptions,"AAAAAH5Wrws=")</f>
        <v>#VALUE!</v>
      </c>
      <c r="M300" t="e">
        <f>IF("N",Website_Att_Housing,"AAAAAH5Wrww=")</f>
        <v>#VALUE!</v>
      </c>
      <c r="N300" t="e">
        <f>IF("N",Website_Att_LiveHelp,"AAAAAH5Wrw0=")</f>
        <v>#VALUE!</v>
      </c>
      <c r="O300" t="e">
        <f>IF("N",Website_Att_OpeningDateTime,"AAAAAH5Wrw4=")</f>
        <v>#VALUE!</v>
      </c>
      <c r="P300" t="e">
        <f>IF("N",Website_Att_OptOutURL,"AAAAAH5Wrw8=")</f>
        <v>#VALUE!</v>
      </c>
      <c r="Q300" t="e">
        <f>IF("N",Website_Att_PartialRegistration,"AAAAAH5WrxA=")</f>
        <v>#VALUE!</v>
      </c>
      <c r="R300" t="e">
        <f>IF("N",Website_Att_Pricing,"AAAAAH5WrxE=")</f>
        <v>#VALUE!</v>
      </c>
      <c r="S300" t="e">
        <f>IF("N",Website_Att_PrivacyPolicyURL,"AAAAAH5WrxI=")</f>
        <v>#VALUE!</v>
      </c>
      <c r="T300" t="e">
        <f>IF("N",Website_Att_ReedDeniedRegistrations,"AAAAAH5WrxM=")</f>
        <v>#VALUE!</v>
      </c>
      <c r="U300" t="e">
        <f>IF("N",Website_Att_SocialNetworks,"AAAAAH5WrxQ=")</f>
        <v>#VALUE!</v>
      </c>
      <c r="V300" t="e">
        <f>IF("N",Website_Att_WebsiteFields,"AAAAAH5WrxU=")</f>
        <v>#VALUE!</v>
      </c>
      <c r="W300" t="e">
        <f>IF("N",Website_Att_WhosAttending,"AAAAAH5WrxY=")</f>
        <v>#VALUE!</v>
      </c>
      <c r="X300" t="e">
        <f>IF("N",Website_AttendeeConferenceWebsite,"AAAAAH5Wrxc=")</f>
        <v>#VALUE!</v>
      </c>
      <c r="Y300" t="e">
        <f>IF("N",Website_ClosingTimeDate,"AAAAAH5Wrxg=")</f>
        <v>#VALUE!</v>
      </c>
      <c r="Z300" t="e">
        <f>IF("N",Website_CyberSourceAddountInformation,"AAAAAH5Wrxk=")</f>
        <v>#VALUE!</v>
      </c>
      <c r="AA300" t="e">
        <f>IF("N",Website_ExhibitorMatching,"AAAAAH5Wrxo=")</f>
        <v>#VALUE!</v>
      </c>
      <c r="AB300" t="e">
        <f>IF("N",Website_FollowUpBroadcastEmailDate,"AAAAAH5Wrxs=")</f>
        <v>#VALUE!</v>
      </c>
      <c r="AC300" t="e">
        <f>IF("N",Website_Notes,"AAAAAH5Wrxw=")</f>
        <v>#VALUE!</v>
      </c>
      <c r="AD300" t="e">
        <f>IF("N",Website_OpeningTimeDate,"AAAAAH5Wrx0=")</f>
        <v>#VALUE!</v>
      </c>
      <c r="AE300" t="e">
        <f>IF("N",Website_RegCode,"AAAAAH5Wrx4=")</f>
        <v>#VALUE!</v>
      </c>
      <c r="AF300" t="e">
        <f>IF("N",Website_RegistrationRequestWebsite,"AAAAAH5Wrx8=")</f>
        <v>#VALUE!</v>
      </c>
      <c r="AG300" t="e">
        <f>IF("N",Website_RegType,"AAAAAH5WryA=")</f>
        <v>#VALUE!</v>
      </c>
      <c r="AH300" t="e">
        <f>IF("N",Website_ReplyToEmailAddress,"AAAAAH5WryE=")</f>
        <v>#VALUE!</v>
      </c>
      <c r="AI300" t="e">
        <f>IF("N",Website_SubjectLine,"AAAAAH5WryI=")</f>
        <v>#VALUE!</v>
      </c>
      <c r="AJ300" t="e">
        <f>IF("N",Website_TypeOfSites,"AAAAAH5WryM=")</f>
        <v>#VALUE!</v>
      </c>
      <c r="AK300" t="e">
        <f>IF("N",Website_WebsiteFields,"AAAAAH5WryQ=")</f>
        <v>#VALUE!</v>
      </c>
      <c r="AL300" t="e">
        <f>IF("N",Website_WebsiteRequirements,"AAAAAH5WryU=")</f>
        <v>#VALUE!</v>
      </c>
      <c r="AM300" t="e">
        <f>IF("N",Website_WebTemplateStandards,"AAAAAH5WryY=")</f>
        <v>#VALUE!</v>
      </c>
      <c r="AN300" t="e">
        <f>IF("N",Website_WIllConformationLettersBeSent,"AAAAAH5Wryc=")</f>
        <v>#VALUE!</v>
      </c>
      <c r="AO300" t="e">
        <f>IF("N",WebSites,"AAAAAH5Wryg=")</f>
        <v>#VALUE!</v>
      </c>
      <c r="AP300" t="e">
        <f>IF("N",YesNA,"AAAAAH5Wryk=")</f>
        <v>#VALUE!</v>
      </c>
      <c r="AQ300" t="e">
        <f>IF("N",YesNo,"AAAAAH5Wryo=")</f>
        <v>#VALUE!</v>
      </c>
    </row>
    <row r="301" spans="1:256" x14ac:dyDescent="0.2">
      <c r="A301" t="e">
        <f>AND(Financial!#REF!,"AAAAADrfqwA=")</f>
        <v>#REF!</v>
      </c>
    </row>
    <row r="302" spans="1:256" x14ac:dyDescent="0.2">
      <c r="A302" t="e">
        <f>IF('Show Info'!26:26,"AAAAAHv/6wA=",0)</f>
        <v>#VALUE!</v>
      </c>
      <c r="B302" t="e">
        <f>AND('Show Info'!A26,"AAAAAHv/6wE=")</f>
        <v>#VALUE!</v>
      </c>
      <c r="C302" t="e">
        <f>AND('Show Info'!B26,"AAAAAHv/6wI=")</f>
        <v>#VALUE!</v>
      </c>
      <c r="D302" t="e">
        <f>AND('Show Info'!C26,"AAAAAHv/6wM=")</f>
        <v>#VALUE!</v>
      </c>
      <c r="E302" t="e">
        <f>AND('Show Info'!D26,"AAAAAHv/6wQ=")</f>
        <v>#VALUE!</v>
      </c>
      <c r="F302" t="e">
        <f>AND('Show Info'!E26,"AAAAAHv/6wU=")</f>
        <v>#VALUE!</v>
      </c>
      <c r="G302" t="e">
        <f>AND('Show Info'!F26,"AAAAAHv/6wY=")</f>
        <v>#VALUE!</v>
      </c>
      <c r="H302" t="e">
        <f>AND('Show Info'!G26,"AAAAAHv/6wc=")</f>
        <v>#VALUE!</v>
      </c>
      <c r="I302" t="e">
        <f>AND('Show Info'!H26,"AAAAAHv/6wg=")</f>
        <v>#VALUE!</v>
      </c>
      <c r="J302" t="e">
        <f>AND('Show Info'!I26,"AAAAAHv/6wk=")</f>
        <v>#VALUE!</v>
      </c>
      <c r="K302" t="e">
        <f>AND('Show Info'!J26,"AAAAAHv/6wo=")</f>
        <v>#VALUE!</v>
      </c>
      <c r="L302" t="e">
        <f>AND('Show Info'!K26,"AAAAAHv/6ws=")</f>
        <v>#VALUE!</v>
      </c>
      <c r="M302" t="e">
        <f>AND('Show Info'!L26,"AAAAAHv/6ww=")</f>
        <v>#VALUE!</v>
      </c>
      <c r="N302" t="e">
        <f>AND('Show Info'!M26,"AAAAAHv/6w0=")</f>
        <v>#VALUE!</v>
      </c>
      <c r="O302" t="e">
        <f>AND('Show Info'!N26,"AAAAAHv/6w4=")</f>
        <v>#VALUE!</v>
      </c>
      <c r="P302" t="e">
        <f>AND('Show Info'!O26,"AAAAAHv/6w8=")</f>
        <v>#VALUE!</v>
      </c>
      <c r="Q302" t="e">
        <f>AND('Show Info'!P26,"AAAAAHv/6xA=")</f>
        <v>#VALUE!</v>
      </c>
      <c r="R302" t="e">
        <f>AND('Show Info'!Q26,"AAAAAHv/6xE=")</f>
        <v>#VALUE!</v>
      </c>
      <c r="S302" t="e">
        <f>AND('Show Info'!R26,"AAAAAHv/6xI=")</f>
        <v>#VALUE!</v>
      </c>
      <c r="T302" t="e">
        <f>AND('Show Info'!S26,"AAAAAHv/6xM=")</f>
        <v>#VALUE!</v>
      </c>
      <c r="U302" t="e">
        <f>AND('Show Info'!T26,"AAAAAHv/6xQ=")</f>
        <v>#VALUE!</v>
      </c>
      <c r="V302" t="e">
        <f>AND('Show Info'!U26,"AAAAAHv/6xU=")</f>
        <v>#VALUE!</v>
      </c>
      <c r="W302" t="e">
        <f>AND('Show Info'!V26,"AAAAAHv/6xY=")</f>
        <v>#VALUE!</v>
      </c>
      <c r="X302">
        <f>IF('Show Info'!27:27,"AAAAAHv/6xc=",0)</f>
        <v>0</v>
      </c>
      <c r="Y302" t="e">
        <f>AND('Show Info'!A27,"AAAAAHv/6xg=")</f>
        <v>#VALUE!</v>
      </c>
      <c r="Z302" t="e">
        <f>AND('Show Info'!B27,"AAAAAHv/6xk=")</f>
        <v>#VALUE!</v>
      </c>
      <c r="AA302" t="e">
        <f>AND('Show Info'!C27,"AAAAAHv/6xo=")</f>
        <v>#VALUE!</v>
      </c>
      <c r="AB302" t="e">
        <f>AND('Show Info'!D27,"AAAAAHv/6xs=")</f>
        <v>#VALUE!</v>
      </c>
      <c r="AC302" t="e">
        <f>AND('Show Info'!E27,"AAAAAHv/6xw=")</f>
        <v>#VALUE!</v>
      </c>
      <c r="AD302" t="e">
        <f>AND('Show Info'!F27,"AAAAAHv/6x0=")</f>
        <v>#VALUE!</v>
      </c>
      <c r="AE302" t="e">
        <f>AND('Show Info'!G27,"AAAAAHv/6x4=")</f>
        <v>#VALUE!</v>
      </c>
      <c r="AF302" t="e">
        <f>AND('Show Info'!H27,"AAAAAHv/6x8=")</f>
        <v>#VALUE!</v>
      </c>
      <c r="AG302" t="e">
        <f>AND('Show Info'!I27,"AAAAAHv/6yA=")</f>
        <v>#VALUE!</v>
      </c>
      <c r="AH302" t="e">
        <f>AND('Show Info'!J27,"AAAAAHv/6yE=")</f>
        <v>#VALUE!</v>
      </c>
      <c r="AI302" t="e">
        <f>AND('Show Info'!K27,"AAAAAHv/6yI=")</f>
        <v>#VALUE!</v>
      </c>
      <c r="AJ302" t="e">
        <f>AND('Show Info'!L27,"AAAAAHv/6yM=")</f>
        <v>#VALUE!</v>
      </c>
      <c r="AK302" t="e">
        <f>AND('Show Info'!M27,"AAAAAHv/6yQ=")</f>
        <v>#VALUE!</v>
      </c>
      <c r="AL302" t="e">
        <f>AND('Show Info'!N27,"AAAAAHv/6yU=")</f>
        <v>#VALUE!</v>
      </c>
      <c r="AM302" t="e">
        <f>AND('Show Info'!O27,"AAAAAHv/6yY=")</f>
        <v>#VALUE!</v>
      </c>
      <c r="AN302" t="e">
        <f>AND('Show Info'!P27,"AAAAAHv/6yc=")</f>
        <v>#VALUE!</v>
      </c>
      <c r="AO302" t="e">
        <f>AND('Show Info'!Q27,"AAAAAHv/6yg=")</f>
        <v>#VALUE!</v>
      </c>
      <c r="AP302" t="e">
        <f>AND('Show Info'!R27,"AAAAAHv/6yk=")</f>
        <v>#VALUE!</v>
      </c>
      <c r="AQ302" t="e">
        <f>AND('Show Info'!S27,"AAAAAHv/6yo=")</f>
        <v>#VALUE!</v>
      </c>
      <c r="AR302" t="e">
        <f>AND('Show Info'!T27,"AAAAAHv/6ys=")</f>
        <v>#VALUE!</v>
      </c>
      <c r="AS302" t="e">
        <f>AND('Show Info'!U27,"AAAAAHv/6yw=")</f>
        <v>#VALUE!</v>
      </c>
      <c r="AT302" t="e">
        <f>AND('Show Info'!V27,"AAAAAHv/6y0=")</f>
        <v>#VALUE!</v>
      </c>
      <c r="AU302">
        <f>IF('Show Info'!28:28,"AAAAAHv/6y4=",0)</f>
        <v>0</v>
      </c>
      <c r="AV302" t="e">
        <f>AND('Show Info'!A28,"AAAAAHv/6y8=")</f>
        <v>#VALUE!</v>
      </c>
      <c r="AW302" t="e">
        <f>AND('Show Info'!B28,"AAAAAHv/6zA=")</f>
        <v>#VALUE!</v>
      </c>
      <c r="AX302" t="e">
        <f>AND('Show Info'!C28,"AAAAAHv/6zE=")</f>
        <v>#VALUE!</v>
      </c>
      <c r="AY302" t="e">
        <f>AND('Show Info'!D28,"AAAAAHv/6zI=")</f>
        <v>#VALUE!</v>
      </c>
      <c r="AZ302" t="e">
        <f>AND('Show Info'!E28,"AAAAAHv/6zM=")</f>
        <v>#VALUE!</v>
      </c>
      <c r="BA302" t="e">
        <f>AND('Show Info'!F28,"AAAAAHv/6zQ=")</f>
        <v>#VALUE!</v>
      </c>
      <c r="BB302" t="e">
        <f>AND('Show Info'!G28,"AAAAAHv/6zU=")</f>
        <v>#VALUE!</v>
      </c>
      <c r="BC302" t="e">
        <f>AND('Show Info'!H28,"AAAAAHv/6zY=")</f>
        <v>#VALUE!</v>
      </c>
      <c r="BD302" t="e">
        <f>AND('Show Info'!I28,"AAAAAHv/6zc=")</f>
        <v>#VALUE!</v>
      </c>
      <c r="BE302" t="e">
        <f>AND('Show Info'!J28,"AAAAAHv/6zg=")</f>
        <v>#VALUE!</v>
      </c>
      <c r="BF302" t="e">
        <f>AND('Show Info'!K28,"AAAAAHv/6zk=")</f>
        <v>#VALUE!</v>
      </c>
      <c r="BG302" t="e">
        <f>AND('Show Info'!L28,"AAAAAHv/6zo=")</f>
        <v>#VALUE!</v>
      </c>
      <c r="BH302" t="e">
        <f>AND('Show Info'!M28,"AAAAAHv/6zs=")</f>
        <v>#VALUE!</v>
      </c>
      <c r="BI302" t="e">
        <f>AND('Show Info'!N28,"AAAAAHv/6zw=")</f>
        <v>#VALUE!</v>
      </c>
      <c r="BJ302" t="e">
        <f>AND('Show Info'!O28,"AAAAAHv/6z0=")</f>
        <v>#VALUE!</v>
      </c>
      <c r="BK302" t="e">
        <f>AND('Show Info'!P28,"AAAAAHv/6z4=")</f>
        <v>#VALUE!</v>
      </c>
      <c r="BL302" t="e">
        <f>AND('Show Info'!Q28,"AAAAAHv/6z8=")</f>
        <v>#VALUE!</v>
      </c>
      <c r="BM302" t="e">
        <f>AND('Show Info'!R28,"AAAAAHv/60A=")</f>
        <v>#VALUE!</v>
      </c>
      <c r="BN302" t="e">
        <f>AND('Show Info'!S28,"AAAAAHv/60E=")</f>
        <v>#VALUE!</v>
      </c>
      <c r="BO302" t="e">
        <f>AND('Show Info'!T28,"AAAAAHv/60I=")</f>
        <v>#VALUE!</v>
      </c>
      <c r="BP302" t="e">
        <f>AND('Show Info'!U28,"AAAAAHv/60M=")</f>
        <v>#VALUE!</v>
      </c>
      <c r="BQ302" t="e">
        <f>AND('Show Info'!V28,"AAAAAHv/60Q=")</f>
        <v>#VALUE!</v>
      </c>
      <c r="BR302">
        <f>IF('Show Info'!29:29,"AAAAAHv/60U=",0)</f>
        <v>0</v>
      </c>
      <c r="BS302" t="e">
        <f>AND('Show Info'!A29,"AAAAAHv/60Y=")</f>
        <v>#VALUE!</v>
      </c>
      <c r="BT302" t="e">
        <f>AND('Show Info'!B29,"AAAAAHv/60c=")</f>
        <v>#VALUE!</v>
      </c>
      <c r="BU302" t="e">
        <f>AND('Show Info'!C29,"AAAAAHv/60g=")</f>
        <v>#VALUE!</v>
      </c>
      <c r="BV302" t="e">
        <f>AND('Show Info'!D29,"AAAAAHv/60k=")</f>
        <v>#VALUE!</v>
      </c>
      <c r="BW302" t="e">
        <f>AND('Show Info'!E29,"AAAAAHv/60o=")</f>
        <v>#VALUE!</v>
      </c>
      <c r="BX302" t="e">
        <f>AND('Show Info'!F29,"AAAAAHv/60s=")</f>
        <v>#VALUE!</v>
      </c>
      <c r="BY302" t="e">
        <f>AND('Show Info'!G29,"AAAAAHv/60w=")</f>
        <v>#VALUE!</v>
      </c>
      <c r="BZ302" t="e">
        <f>AND('Show Info'!H29,"AAAAAHv/600=")</f>
        <v>#VALUE!</v>
      </c>
      <c r="CA302" t="e">
        <f>AND('Show Info'!I29,"AAAAAHv/604=")</f>
        <v>#VALUE!</v>
      </c>
      <c r="CB302" t="e">
        <f>AND('Show Info'!J29,"AAAAAHv/608=")</f>
        <v>#VALUE!</v>
      </c>
      <c r="CC302" t="e">
        <f>AND('Show Info'!K29,"AAAAAHv/61A=")</f>
        <v>#VALUE!</v>
      </c>
      <c r="CD302" t="e">
        <f>AND('Show Info'!L29,"AAAAAHv/61E=")</f>
        <v>#VALUE!</v>
      </c>
      <c r="CE302" t="e">
        <f>AND('Show Info'!M29,"AAAAAHv/61I=")</f>
        <v>#VALUE!</v>
      </c>
      <c r="CF302" t="e">
        <f>AND('Show Info'!N29,"AAAAAHv/61M=")</f>
        <v>#VALUE!</v>
      </c>
      <c r="CG302" t="e">
        <f>AND('Show Info'!O29,"AAAAAHv/61Q=")</f>
        <v>#VALUE!</v>
      </c>
      <c r="CH302" t="e">
        <f>AND('Show Info'!P29,"AAAAAHv/61U=")</f>
        <v>#VALUE!</v>
      </c>
      <c r="CI302" t="e">
        <f>AND('Show Info'!Q29,"AAAAAHv/61Y=")</f>
        <v>#VALUE!</v>
      </c>
      <c r="CJ302" t="e">
        <f>AND('Show Info'!R29,"AAAAAHv/61c=")</f>
        <v>#VALUE!</v>
      </c>
      <c r="CK302" t="e">
        <f>AND('Show Info'!S29,"AAAAAHv/61g=")</f>
        <v>#VALUE!</v>
      </c>
      <c r="CL302" t="e">
        <f>AND('Show Info'!T29,"AAAAAHv/61k=")</f>
        <v>#VALUE!</v>
      </c>
      <c r="CM302" t="e">
        <f>AND('Show Info'!U29,"AAAAAHv/61o=")</f>
        <v>#VALUE!</v>
      </c>
      <c r="CN302" t="e">
        <f>AND('Show Info'!V29,"AAAAAHv/61s=")</f>
        <v>#VALUE!</v>
      </c>
    </row>
    <row r="303" spans="1:256" x14ac:dyDescent="0.2">
      <c r="A303" t="e">
        <f>IF('Show Info'!30:30,"AAAAAF+TfwA=",0)</f>
        <v>#VALUE!</v>
      </c>
      <c r="B303" t="e">
        <f>AND('Show Info'!A30,"AAAAAF+TfwE=")</f>
        <v>#VALUE!</v>
      </c>
      <c r="C303" t="e">
        <f>AND('Show Info'!B30,"AAAAAF+TfwI=")</f>
        <v>#VALUE!</v>
      </c>
      <c r="D303" t="e">
        <f>AND('Show Info'!C30,"AAAAAF+TfwM=")</f>
        <v>#VALUE!</v>
      </c>
      <c r="E303" t="e">
        <f>AND('Show Info'!D30,"AAAAAF+TfwQ=")</f>
        <v>#VALUE!</v>
      </c>
      <c r="F303" t="e">
        <f>AND('Show Info'!E30,"AAAAAF+TfwU=")</f>
        <v>#VALUE!</v>
      </c>
      <c r="G303" t="e">
        <f>AND('Show Info'!F30,"AAAAAF+TfwY=")</f>
        <v>#VALUE!</v>
      </c>
      <c r="H303" t="e">
        <f>AND('Show Info'!G30,"AAAAAF+Tfwc=")</f>
        <v>#VALUE!</v>
      </c>
      <c r="I303" t="e">
        <f>AND('Show Info'!H30,"AAAAAF+Tfwg=")</f>
        <v>#VALUE!</v>
      </c>
      <c r="J303" t="e">
        <f>AND('Show Info'!I30,"AAAAAF+Tfwk=")</f>
        <v>#VALUE!</v>
      </c>
      <c r="K303" t="e">
        <f>AND('Show Info'!J30,"AAAAAF+Tfwo=")</f>
        <v>#VALUE!</v>
      </c>
      <c r="L303" t="e">
        <f>AND('Show Info'!K30,"AAAAAF+Tfws=")</f>
        <v>#VALUE!</v>
      </c>
      <c r="M303" t="e">
        <f>AND('Show Info'!L30,"AAAAAF+Tfww=")</f>
        <v>#VALUE!</v>
      </c>
      <c r="N303" t="e">
        <f>AND('Show Info'!M30,"AAAAAF+Tfw0=")</f>
        <v>#VALUE!</v>
      </c>
      <c r="O303" t="e">
        <f>AND('Show Info'!N30,"AAAAAF+Tfw4=")</f>
        <v>#VALUE!</v>
      </c>
      <c r="P303" t="e">
        <f>AND('Show Info'!O30,"AAAAAF+Tfw8=")</f>
        <v>#VALUE!</v>
      </c>
      <c r="Q303" t="e">
        <f>AND('Show Info'!P30,"AAAAAF+TfxA=")</f>
        <v>#VALUE!</v>
      </c>
      <c r="R303" t="e">
        <f>AND('Show Info'!Q30,"AAAAAF+TfxE=")</f>
        <v>#VALUE!</v>
      </c>
      <c r="S303" t="e">
        <f>AND('Show Info'!R30,"AAAAAF+TfxI=")</f>
        <v>#VALUE!</v>
      </c>
      <c r="T303" t="e">
        <f>AND('Show Info'!S30,"AAAAAF+TfxM=")</f>
        <v>#VALUE!</v>
      </c>
      <c r="U303" t="e">
        <f>AND('Show Info'!T30,"AAAAAF+TfxQ=")</f>
        <v>#VALUE!</v>
      </c>
      <c r="V303" t="e">
        <f>AND('Show Info'!U30,"AAAAAF+TfxU=")</f>
        <v>#VALUE!</v>
      </c>
      <c r="W303" t="e">
        <f>AND('Show Info'!V30,"AAAAAF+TfxY=")</f>
        <v>#VALUE!</v>
      </c>
      <c r="X303">
        <f>IF('Show Info'!31:31,"AAAAAF+Tfxc=",0)</f>
        <v>0</v>
      </c>
      <c r="Y303" t="e">
        <f>AND('Show Info'!A31,"AAAAAF+Tfxg=")</f>
        <v>#VALUE!</v>
      </c>
      <c r="Z303" t="e">
        <f>AND('Show Info'!B31,"AAAAAF+Tfxk=")</f>
        <v>#VALUE!</v>
      </c>
      <c r="AA303" t="e">
        <f>AND('Show Info'!C31,"AAAAAF+Tfxo=")</f>
        <v>#VALUE!</v>
      </c>
      <c r="AB303" t="e">
        <f>AND('Show Info'!D31,"AAAAAF+Tfxs=")</f>
        <v>#VALUE!</v>
      </c>
      <c r="AC303" t="e">
        <f>AND('Show Info'!E31,"AAAAAF+Tfxw=")</f>
        <v>#VALUE!</v>
      </c>
      <c r="AD303" t="e">
        <f>AND('Show Info'!F31,"AAAAAF+Tfx0=")</f>
        <v>#VALUE!</v>
      </c>
      <c r="AE303" t="e">
        <f>AND('Show Info'!G31,"AAAAAF+Tfx4=")</f>
        <v>#VALUE!</v>
      </c>
      <c r="AF303" t="e">
        <f>AND('Show Info'!H31,"AAAAAF+Tfx8=")</f>
        <v>#VALUE!</v>
      </c>
      <c r="AG303" t="e">
        <f>AND('Show Info'!I31,"AAAAAF+TfyA=")</f>
        <v>#VALUE!</v>
      </c>
      <c r="AH303" t="e">
        <f>AND('Show Info'!J31,"AAAAAF+TfyE=")</f>
        <v>#VALUE!</v>
      </c>
      <c r="AI303" t="e">
        <f>AND('Show Info'!K31,"AAAAAF+TfyI=")</f>
        <v>#VALUE!</v>
      </c>
      <c r="AJ303" t="e">
        <f>AND('Show Info'!L31,"AAAAAF+TfyM=")</f>
        <v>#VALUE!</v>
      </c>
      <c r="AK303" t="e">
        <f>AND('Show Info'!M31,"AAAAAF+TfyQ=")</f>
        <v>#VALUE!</v>
      </c>
      <c r="AL303" t="e">
        <f>AND('Show Info'!N31,"AAAAAF+TfyU=")</f>
        <v>#VALUE!</v>
      </c>
      <c r="AM303" t="e">
        <f>AND('Show Info'!O31,"AAAAAF+TfyY=")</f>
        <v>#VALUE!</v>
      </c>
      <c r="AN303" t="e">
        <f>AND('Show Info'!P31,"AAAAAF+Tfyc=")</f>
        <v>#VALUE!</v>
      </c>
      <c r="AO303" t="e">
        <f>AND('Show Info'!Q31,"AAAAAF+Tfyg=")</f>
        <v>#VALUE!</v>
      </c>
      <c r="AP303" t="e">
        <f>AND('Show Info'!R31,"AAAAAF+Tfyk=")</f>
        <v>#VALUE!</v>
      </c>
      <c r="AQ303" t="e">
        <f>AND('Show Info'!S31,"AAAAAF+Tfyo=")</f>
        <v>#VALUE!</v>
      </c>
      <c r="AR303" t="e">
        <f>AND('Show Info'!T31,"AAAAAF+Tfys=")</f>
        <v>#VALUE!</v>
      </c>
      <c r="AS303" t="e">
        <f>AND('Show Info'!U31,"AAAAAF+Tfyw=")</f>
        <v>#VALUE!</v>
      </c>
      <c r="AT303" t="e">
        <f>AND('Show Info'!#REF!,"AAAAAF+Tfy0=")</f>
        <v>#REF!</v>
      </c>
      <c r="AU303">
        <f>IF('Show Info'!32:32,"AAAAAF+Tfy4=",0)</f>
        <v>0</v>
      </c>
      <c r="AV303" t="e">
        <f>AND('Show Info'!A32,"AAAAAF+Tfy8=")</f>
        <v>#VALUE!</v>
      </c>
      <c r="AW303" t="e">
        <f>AND('Show Info'!B32,"AAAAAF+TfzA=")</f>
        <v>#VALUE!</v>
      </c>
      <c r="AX303" t="e">
        <f>AND('Show Info'!C32,"AAAAAF+TfzE=")</f>
        <v>#VALUE!</v>
      </c>
      <c r="AY303" t="e">
        <f>AND('Show Info'!D32,"AAAAAF+TfzI=")</f>
        <v>#VALUE!</v>
      </c>
      <c r="AZ303" t="e">
        <f>AND('Show Info'!E32,"AAAAAF+TfzM=")</f>
        <v>#VALUE!</v>
      </c>
      <c r="BA303" t="e">
        <f>AND('Show Info'!F32,"AAAAAF+TfzQ=")</f>
        <v>#VALUE!</v>
      </c>
      <c r="BB303" t="e">
        <f>AND('Show Info'!G32,"AAAAAF+TfzU=")</f>
        <v>#VALUE!</v>
      </c>
      <c r="BC303" t="e">
        <f>AND('Show Info'!H32,"AAAAAF+TfzY=")</f>
        <v>#VALUE!</v>
      </c>
      <c r="BD303" t="e">
        <f>AND('Show Info'!I32,"AAAAAF+Tfzc=")</f>
        <v>#VALUE!</v>
      </c>
      <c r="BE303" t="e">
        <f>AND('Show Info'!J32,"AAAAAF+Tfzg=")</f>
        <v>#VALUE!</v>
      </c>
      <c r="BF303" t="e">
        <f>AND('Show Info'!K32,"AAAAAF+Tfzk=")</f>
        <v>#VALUE!</v>
      </c>
      <c r="BG303" t="e">
        <f>AND('Show Info'!L32,"AAAAAF+Tfzo=")</f>
        <v>#VALUE!</v>
      </c>
      <c r="BH303" t="e">
        <f>AND('Show Info'!M32,"AAAAAF+Tfzs=")</f>
        <v>#VALUE!</v>
      </c>
      <c r="BI303" t="e">
        <f>AND('Show Info'!N32,"AAAAAF+Tfzw=")</f>
        <v>#VALUE!</v>
      </c>
      <c r="BJ303" t="e">
        <f>AND('Show Info'!O32,"AAAAAF+Tfz0=")</f>
        <v>#VALUE!</v>
      </c>
      <c r="BK303" t="e">
        <f>AND('Show Info'!P32,"AAAAAF+Tfz4=")</f>
        <v>#VALUE!</v>
      </c>
      <c r="BL303" t="e">
        <f>AND('Show Info'!Q32,"AAAAAF+Tfz8=")</f>
        <v>#VALUE!</v>
      </c>
      <c r="BM303" t="e">
        <f>AND('Show Info'!R32,"AAAAAF+Tf0A=")</f>
        <v>#VALUE!</v>
      </c>
      <c r="BN303" t="e">
        <f>AND('Show Info'!S32,"AAAAAF+Tf0E=")</f>
        <v>#VALUE!</v>
      </c>
      <c r="BO303" t="e">
        <f>AND('Show Info'!T32,"AAAAAF+Tf0I=")</f>
        <v>#VALUE!</v>
      </c>
      <c r="BP303" t="e">
        <f>AND('Show Info'!U32,"AAAAAF+Tf0M=")</f>
        <v>#VALUE!</v>
      </c>
      <c r="BQ303" t="e">
        <f>AND('Show Info'!V32,"AAAAAF+Tf0Q=")</f>
        <v>#VALUE!</v>
      </c>
      <c r="BR303" t="e">
        <f>IF('Show Info'!#REF!,"AAAAAF+Tf0U=",0)</f>
        <v>#REF!</v>
      </c>
      <c r="BS303" t="e">
        <f>AND('Show Info'!#REF!,"AAAAAF+Tf0Y=")</f>
        <v>#REF!</v>
      </c>
      <c r="BT303" t="e">
        <f>AND('Show Info'!#REF!,"AAAAAF+Tf0c=")</f>
        <v>#REF!</v>
      </c>
      <c r="BU303" t="e">
        <f>AND('Show Info'!#REF!,"AAAAAF+Tf0g=")</f>
        <v>#REF!</v>
      </c>
      <c r="BV303" t="e">
        <f>AND('Show Info'!#REF!,"AAAAAF+Tf0k=")</f>
        <v>#REF!</v>
      </c>
      <c r="BW303" t="e">
        <f>AND('Show Info'!#REF!,"AAAAAF+Tf0o=")</f>
        <v>#REF!</v>
      </c>
      <c r="BX303" t="e">
        <f>AND('Show Info'!#REF!,"AAAAAF+Tf0s=")</f>
        <v>#REF!</v>
      </c>
      <c r="BY303" t="e">
        <f>AND('Show Info'!#REF!,"AAAAAF+Tf0w=")</f>
        <v>#REF!</v>
      </c>
      <c r="BZ303" t="e">
        <f>AND('Show Info'!#REF!,"AAAAAF+Tf00=")</f>
        <v>#REF!</v>
      </c>
      <c r="CA303" t="e">
        <f>AND('Show Info'!#REF!,"AAAAAF+Tf04=")</f>
        <v>#REF!</v>
      </c>
      <c r="CB303" t="e">
        <f>AND('Show Info'!#REF!,"AAAAAF+Tf08=")</f>
        <v>#REF!</v>
      </c>
      <c r="CC303" t="e">
        <f>AND('Show Info'!#REF!,"AAAAAF+Tf1A=")</f>
        <v>#REF!</v>
      </c>
      <c r="CD303" t="e">
        <f>AND('Show Info'!#REF!,"AAAAAF+Tf1E=")</f>
        <v>#REF!</v>
      </c>
      <c r="CE303" t="e">
        <f>AND('Show Info'!#REF!,"AAAAAF+Tf1I=")</f>
        <v>#REF!</v>
      </c>
      <c r="CF303" t="e">
        <f>AND('Show Info'!#REF!,"AAAAAF+Tf1M=")</f>
        <v>#REF!</v>
      </c>
      <c r="CG303" t="e">
        <f>AND('Show Info'!#REF!,"AAAAAF+Tf1Q=")</f>
        <v>#REF!</v>
      </c>
      <c r="CH303" t="e">
        <f>AND('Show Info'!#REF!,"AAAAAF+Tf1U=")</f>
        <v>#REF!</v>
      </c>
      <c r="CI303" t="e">
        <f>AND('Show Info'!#REF!,"AAAAAF+Tf1Y=")</f>
        <v>#REF!</v>
      </c>
      <c r="CJ303" t="e">
        <f>AND('Show Info'!#REF!,"AAAAAF+Tf1c=")</f>
        <v>#REF!</v>
      </c>
      <c r="CK303" t="e">
        <f>AND('Show Info'!#REF!,"AAAAAF+Tf1g=")</f>
        <v>#REF!</v>
      </c>
      <c r="CL303" t="e">
        <f>AND('Show Info'!#REF!,"AAAAAF+Tf1k=")</f>
        <v>#REF!</v>
      </c>
      <c r="CM303" t="e">
        <f>AND('Show Info'!#REF!,"AAAAAF+Tf1o=")</f>
        <v>#REF!</v>
      </c>
      <c r="CN303" t="e">
        <f>AND('Show Info'!#REF!,"AAAAAF+Tf1s=")</f>
        <v>#REF!</v>
      </c>
      <c r="CO303">
        <f>IF('Show Info'!33:33,"AAAAAF+Tf1w=",0)</f>
        <v>0</v>
      </c>
      <c r="CP303" t="e">
        <f>AND('Show Info'!A33,"AAAAAF+Tf10=")</f>
        <v>#VALUE!</v>
      </c>
      <c r="CQ303" t="e">
        <f>AND('Show Info'!B33,"AAAAAF+Tf14=")</f>
        <v>#VALUE!</v>
      </c>
      <c r="CR303" t="e">
        <f>AND('Show Info'!C33,"AAAAAF+Tf18=")</f>
        <v>#VALUE!</v>
      </c>
      <c r="CS303" t="e">
        <f>AND('Show Info'!D33,"AAAAAF+Tf2A=")</f>
        <v>#VALUE!</v>
      </c>
      <c r="CT303" t="e">
        <f>AND('Show Info'!E33,"AAAAAF+Tf2E=")</f>
        <v>#VALUE!</v>
      </c>
      <c r="CU303" t="e">
        <f>AND('Show Info'!F33,"AAAAAF+Tf2I=")</f>
        <v>#VALUE!</v>
      </c>
      <c r="CV303" t="e">
        <f>AND('Show Info'!G33,"AAAAAF+Tf2M=")</f>
        <v>#VALUE!</v>
      </c>
      <c r="CW303" t="e">
        <f>AND('Show Info'!H33,"AAAAAF+Tf2Q=")</f>
        <v>#VALUE!</v>
      </c>
      <c r="CX303" t="e">
        <f>AND('Show Info'!I33,"AAAAAF+Tf2U=")</f>
        <v>#VALUE!</v>
      </c>
      <c r="CY303" t="e">
        <f>AND('Show Info'!J33,"AAAAAF+Tf2Y=")</f>
        <v>#VALUE!</v>
      </c>
      <c r="CZ303" t="e">
        <f>AND('Show Info'!K33,"AAAAAF+Tf2c=")</f>
        <v>#VALUE!</v>
      </c>
      <c r="DA303" t="e">
        <f>AND('Show Info'!L33,"AAAAAF+Tf2g=")</f>
        <v>#VALUE!</v>
      </c>
      <c r="DB303" t="e">
        <f>AND('Show Info'!M33,"AAAAAF+Tf2k=")</f>
        <v>#VALUE!</v>
      </c>
      <c r="DC303" t="e">
        <f>AND('Show Info'!N33,"AAAAAF+Tf2o=")</f>
        <v>#VALUE!</v>
      </c>
      <c r="DD303" t="e">
        <f>AND('Show Info'!O33,"AAAAAF+Tf2s=")</f>
        <v>#VALUE!</v>
      </c>
      <c r="DE303" t="e">
        <f>AND('Show Info'!P33,"AAAAAF+Tf2w=")</f>
        <v>#VALUE!</v>
      </c>
      <c r="DF303" t="e">
        <f>AND('Show Info'!Q33,"AAAAAF+Tf20=")</f>
        <v>#VALUE!</v>
      </c>
      <c r="DG303" t="e">
        <f>AND('Show Info'!R33,"AAAAAF+Tf24=")</f>
        <v>#VALUE!</v>
      </c>
      <c r="DH303" t="e">
        <f>AND('Show Info'!S33,"AAAAAF+Tf28=")</f>
        <v>#VALUE!</v>
      </c>
      <c r="DI303" t="e">
        <f>AND('Show Info'!T33,"AAAAAF+Tf3A=")</f>
        <v>#VALUE!</v>
      </c>
      <c r="DJ303" t="e">
        <f>AND('Show Info'!U33,"AAAAAF+Tf3E=")</f>
        <v>#VALUE!</v>
      </c>
      <c r="DK303" t="e">
        <f>AND('Show Info'!V33,"AAAAAF+Tf3I=")</f>
        <v>#VALUE!</v>
      </c>
      <c r="DL303">
        <f>IF('Show Info'!34:34,"AAAAAF+Tf3M=",0)</f>
        <v>0</v>
      </c>
      <c r="DM303" t="e">
        <f>AND('Show Info'!A34,"AAAAAF+Tf3Q=")</f>
        <v>#VALUE!</v>
      </c>
      <c r="DN303" t="e">
        <f>AND('Show Info'!B34,"AAAAAF+Tf3U=")</f>
        <v>#VALUE!</v>
      </c>
      <c r="DO303" t="e">
        <f>AND('Show Info'!C34,"AAAAAF+Tf3Y=")</f>
        <v>#VALUE!</v>
      </c>
      <c r="DP303" t="e">
        <f>AND('Show Info'!D34,"AAAAAF+Tf3c=")</f>
        <v>#VALUE!</v>
      </c>
      <c r="DQ303" t="e">
        <f>AND('Show Info'!E34,"AAAAAF+Tf3g=")</f>
        <v>#VALUE!</v>
      </c>
      <c r="DR303" t="e">
        <f>AND('Show Info'!F34,"AAAAAF+Tf3k=")</f>
        <v>#VALUE!</v>
      </c>
      <c r="DS303" t="e">
        <f>AND('Show Info'!G34,"AAAAAF+Tf3o=")</f>
        <v>#VALUE!</v>
      </c>
      <c r="DT303" t="e">
        <f>AND('Show Info'!H34,"AAAAAF+Tf3s=")</f>
        <v>#VALUE!</v>
      </c>
      <c r="DU303" t="e">
        <f>AND('Show Info'!I34,"AAAAAF+Tf3w=")</f>
        <v>#VALUE!</v>
      </c>
      <c r="DV303" t="e">
        <f>AND('Show Info'!J34,"AAAAAF+Tf30=")</f>
        <v>#VALUE!</v>
      </c>
      <c r="DW303" t="e">
        <f>AND('Show Info'!K34,"AAAAAF+Tf34=")</f>
        <v>#VALUE!</v>
      </c>
      <c r="DX303" t="e">
        <f>AND('Show Info'!L34,"AAAAAF+Tf38=")</f>
        <v>#VALUE!</v>
      </c>
      <c r="DY303" t="e">
        <f>AND('Show Info'!M34,"AAAAAF+Tf4A=")</f>
        <v>#VALUE!</v>
      </c>
      <c r="DZ303" t="e">
        <f>AND('Show Info'!N34,"AAAAAF+Tf4E=")</f>
        <v>#VALUE!</v>
      </c>
      <c r="EA303" t="e">
        <f>AND('Show Info'!O34,"AAAAAF+Tf4I=")</f>
        <v>#VALUE!</v>
      </c>
      <c r="EB303" t="e">
        <f>AND('Show Info'!P34,"AAAAAF+Tf4M=")</f>
        <v>#VALUE!</v>
      </c>
      <c r="EC303" t="e">
        <f>AND('Show Info'!Q34,"AAAAAF+Tf4Q=")</f>
        <v>#VALUE!</v>
      </c>
      <c r="ED303" t="e">
        <f>AND('Show Info'!R34,"AAAAAF+Tf4U=")</f>
        <v>#VALUE!</v>
      </c>
      <c r="EE303" t="e">
        <f>AND('Show Info'!S34,"AAAAAF+Tf4Y=")</f>
        <v>#VALUE!</v>
      </c>
      <c r="EF303" t="e">
        <f>AND('Show Info'!T34,"AAAAAF+Tf4c=")</f>
        <v>#VALUE!</v>
      </c>
      <c r="EG303" t="e">
        <f>AND('Show Info'!U34,"AAAAAF+Tf4g=")</f>
        <v>#VALUE!</v>
      </c>
      <c r="EH303" t="e">
        <f>AND('Show Info'!V34,"AAAAAF+Tf4k=")</f>
        <v>#VALUE!</v>
      </c>
      <c r="EI303" t="e">
        <f>IF('Show Info'!#REF!,"AAAAAF+Tf4o=",0)</f>
        <v>#REF!</v>
      </c>
      <c r="EJ303" t="e">
        <f>AND('Show Info'!#REF!,"AAAAAF+Tf4s=")</f>
        <v>#REF!</v>
      </c>
      <c r="EK303" t="e">
        <f>AND('Show Info'!#REF!,"AAAAAF+Tf4w=")</f>
        <v>#REF!</v>
      </c>
      <c r="EL303" t="e">
        <f>AND('Show Info'!#REF!,"AAAAAF+Tf40=")</f>
        <v>#REF!</v>
      </c>
      <c r="EM303" t="e">
        <f>AND('Show Info'!#REF!,"AAAAAF+Tf44=")</f>
        <v>#REF!</v>
      </c>
      <c r="EN303" t="e">
        <f>AND('Show Info'!#REF!,"AAAAAF+Tf48=")</f>
        <v>#REF!</v>
      </c>
      <c r="EO303" t="e">
        <f>AND('Show Info'!#REF!,"AAAAAF+Tf5A=")</f>
        <v>#REF!</v>
      </c>
      <c r="EP303" t="e">
        <f>AND('Show Info'!#REF!,"AAAAAF+Tf5E=")</f>
        <v>#REF!</v>
      </c>
      <c r="EQ303" t="e">
        <f>AND('Show Info'!#REF!,"AAAAAF+Tf5I=")</f>
        <v>#REF!</v>
      </c>
      <c r="ER303" t="e">
        <f>AND('Show Info'!#REF!,"AAAAAF+Tf5M=")</f>
        <v>#REF!</v>
      </c>
      <c r="ES303" t="e">
        <f>AND('Show Info'!#REF!,"AAAAAF+Tf5Q=")</f>
        <v>#REF!</v>
      </c>
      <c r="ET303" t="e">
        <f>AND('Show Info'!#REF!,"AAAAAF+Tf5U=")</f>
        <v>#REF!</v>
      </c>
      <c r="EU303" t="e">
        <f>AND('Show Info'!#REF!,"AAAAAF+Tf5Y=")</f>
        <v>#REF!</v>
      </c>
      <c r="EV303" t="e">
        <f>AND('Show Info'!#REF!,"AAAAAF+Tf5c=")</f>
        <v>#REF!</v>
      </c>
      <c r="EW303" t="e">
        <f>AND('Show Info'!#REF!,"AAAAAF+Tf5g=")</f>
        <v>#REF!</v>
      </c>
      <c r="EX303" t="e">
        <f>AND('Show Info'!#REF!,"AAAAAF+Tf5k=")</f>
        <v>#REF!</v>
      </c>
      <c r="EY303" t="e">
        <f>AND('Show Info'!#REF!,"AAAAAF+Tf5o=")</f>
        <v>#REF!</v>
      </c>
      <c r="EZ303" t="e">
        <f>AND('Show Info'!#REF!,"AAAAAF+Tf5s=")</f>
        <v>#REF!</v>
      </c>
      <c r="FA303" t="e">
        <f>AND('Show Info'!#REF!,"AAAAAF+Tf5w=")</f>
        <v>#REF!</v>
      </c>
      <c r="FB303" t="e">
        <f>AND('Show Info'!#REF!,"AAAAAF+Tf50=")</f>
        <v>#REF!</v>
      </c>
      <c r="FC303" t="e">
        <f>AND('Show Info'!#REF!,"AAAAAF+Tf54=")</f>
        <v>#REF!</v>
      </c>
      <c r="FD303" t="e">
        <f>AND('Show Info'!#REF!,"AAAAAF+Tf58=")</f>
        <v>#REF!</v>
      </c>
      <c r="FE303" t="e">
        <f>AND('Show Info'!#REF!,"AAAAAF+Tf6A=")</f>
        <v>#REF!</v>
      </c>
      <c r="FF303">
        <f>IF('Show Info'!35:35,"AAAAAF+Tf6E=",0)</f>
        <v>0</v>
      </c>
      <c r="FG303" t="e">
        <f>AND('Show Info'!A35,"AAAAAF+Tf6I=")</f>
        <v>#VALUE!</v>
      </c>
      <c r="FH303" t="e">
        <f>AND('Show Info'!B35,"AAAAAF+Tf6M=")</f>
        <v>#VALUE!</v>
      </c>
      <c r="FI303" t="e">
        <f>AND('Show Info'!C35,"AAAAAF+Tf6Q=")</f>
        <v>#VALUE!</v>
      </c>
      <c r="FJ303" t="e">
        <f>AND('Show Info'!D35,"AAAAAF+Tf6U=")</f>
        <v>#VALUE!</v>
      </c>
      <c r="FK303" t="e">
        <f>AND('Show Info'!E35,"AAAAAF+Tf6Y=")</f>
        <v>#VALUE!</v>
      </c>
      <c r="FL303" t="e">
        <f>AND('Show Info'!F35,"AAAAAF+Tf6c=")</f>
        <v>#VALUE!</v>
      </c>
      <c r="FM303" t="e">
        <f>AND('Show Info'!G35,"AAAAAF+Tf6g=")</f>
        <v>#VALUE!</v>
      </c>
      <c r="FN303" t="e">
        <f>AND('Show Info'!H35,"AAAAAF+Tf6k=")</f>
        <v>#VALUE!</v>
      </c>
      <c r="FO303" t="e">
        <f>AND('Show Info'!I35,"AAAAAF+Tf6o=")</f>
        <v>#VALUE!</v>
      </c>
      <c r="FP303" t="e">
        <f>AND('Show Info'!J35,"AAAAAF+Tf6s=")</f>
        <v>#VALUE!</v>
      </c>
      <c r="FQ303" t="e">
        <f>AND('Show Info'!K35,"AAAAAF+Tf6w=")</f>
        <v>#VALUE!</v>
      </c>
      <c r="FR303" t="e">
        <f>AND('Show Info'!L35,"AAAAAF+Tf60=")</f>
        <v>#VALUE!</v>
      </c>
      <c r="FS303" t="e">
        <f>AND('Show Info'!M35,"AAAAAF+Tf64=")</f>
        <v>#VALUE!</v>
      </c>
      <c r="FT303" t="e">
        <f>AND('Show Info'!N35,"AAAAAF+Tf68=")</f>
        <v>#VALUE!</v>
      </c>
      <c r="FU303" t="e">
        <f>AND('Show Info'!O35,"AAAAAF+Tf7A=")</f>
        <v>#VALUE!</v>
      </c>
      <c r="FV303" t="e">
        <f>AND('Show Info'!P35,"AAAAAF+Tf7E=")</f>
        <v>#VALUE!</v>
      </c>
      <c r="FW303" t="e">
        <f>AND('Show Info'!Q35,"AAAAAF+Tf7I=")</f>
        <v>#VALUE!</v>
      </c>
      <c r="FX303" t="e">
        <f>AND('Show Info'!R35,"AAAAAF+Tf7M=")</f>
        <v>#VALUE!</v>
      </c>
      <c r="FY303" t="e">
        <f>AND('Show Info'!S35,"AAAAAF+Tf7Q=")</f>
        <v>#VALUE!</v>
      </c>
      <c r="FZ303" t="e">
        <f>AND('Show Info'!T35,"AAAAAF+Tf7U=")</f>
        <v>#VALUE!</v>
      </c>
      <c r="GA303" t="e">
        <f>AND('Show Info'!U35,"AAAAAF+Tf7Y=")</f>
        <v>#VALUE!</v>
      </c>
      <c r="GB303" t="e">
        <f>AND('Show Info'!V35,"AAAAAF+Tf7c=")</f>
        <v>#VALUE!</v>
      </c>
      <c r="GC303">
        <f>IF('Show Info'!36:36,"AAAAAF+Tf7g=",0)</f>
        <v>0</v>
      </c>
      <c r="GD303" t="e">
        <f>AND('Show Info'!A36,"AAAAAF+Tf7k=")</f>
        <v>#VALUE!</v>
      </c>
      <c r="GE303" t="e">
        <f>AND('Show Info'!B36,"AAAAAF+Tf7o=")</f>
        <v>#VALUE!</v>
      </c>
      <c r="GF303" t="e">
        <f>AND('Show Info'!C36,"AAAAAF+Tf7s=")</f>
        <v>#VALUE!</v>
      </c>
      <c r="GG303" t="e">
        <f>AND('Show Info'!D36,"AAAAAF+Tf7w=")</f>
        <v>#VALUE!</v>
      </c>
      <c r="GH303" t="e">
        <f>AND('Show Info'!E36,"AAAAAF+Tf70=")</f>
        <v>#VALUE!</v>
      </c>
      <c r="GI303" t="e">
        <f>AND('Show Info'!F36,"AAAAAF+Tf74=")</f>
        <v>#VALUE!</v>
      </c>
      <c r="GJ303" t="e">
        <f>AND('Show Info'!G36,"AAAAAF+Tf78=")</f>
        <v>#VALUE!</v>
      </c>
      <c r="GK303" t="e">
        <f>AND('Show Info'!H36,"AAAAAF+Tf8A=")</f>
        <v>#VALUE!</v>
      </c>
      <c r="GL303" t="e">
        <f>AND('Show Info'!I36,"AAAAAF+Tf8E=")</f>
        <v>#VALUE!</v>
      </c>
      <c r="GM303" t="e">
        <f>AND('Show Info'!J36,"AAAAAF+Tf8I=")</f>
        <v>#VALUE!</v>
      </c>
      <c r="GN303" t="e">
        <f>AND('Show Info'!K36,"AAAAAF+Tf8M=")</f>
        <v>#VALUE!</v>
      </c>
      <c r="GO303" t="e">
        <f>AND('Show Info'!L36,"AAAAAF+Tf8Q=")</f>
        <v>#VALUE!</v>
      </c>
      <c r="GP303" t="e">
        <f>AND('Show Info'!M36,"AAAAAF+Tf8U=")</f>
        <v>#VALUE!</v>
      </c>
      <c r="GQ303" t="e">
        <f>AND('Show Info'!N36,"AAAAAF+Tf8Y=")</f>
        <v>#VALUE!</v>
      </c>
      <c r="GR303" t="e">
        <f>AND('Show Info'!O36,"AAAAAF+Tf8c=")</f>
        <v>#VALUE!</v>
      </c>
      <c r="GS303" t="e">
        <f>AND('Show Info'!P36,"AAAAAF+Tf8g=")</f>
        <v>#VALUE!</v>
      </c>
      <c r="GT303" t="e">
        <f>AND('Show Info'!Q36,"AAAAAF+Tf8k=")</f>
        <v>#VALUE!</v>
      </c>
      <c r="GU303" t="e">
        <f>AND('Show Info'!R36,"AAAAAF+Tf8o=")</f>
        <v>#VALUE!</v>
      </c>
      <c r="GV303" t="e">
        <f>AND('Show Info'!S36,"AAAAAF+Tf8s=")</f>
        <v>#VALUE!</v>
      </c>
      <c r="GW303" t="e">
        <f>AND('Show Info'!T36,"AAAAAF+Tf8w=")</f>
        <v>#VALUE!</v>
      </c>
      <c r="GX303" t="e">
        <f>AND('Show Info'!U36,"AAAAAF+Tf80=")</f>
        <v>#VALUE!</v>
      </c>
      <c r="GY303" t="e">
        <f>AND('Show Info'!V36,"AAAAAF+Tf84=")</f>
        <v>#VALUE!</v>
      </c>
      <c r="GZ303" t="e">
        <f>IF('Show Info'!#REF!,"AAAAAF+Tf88=",0)</f>
        <v>#REF!</v>
      </c>
      <c r="HA303" t="e">
        <f>AND('Show Info'!#REF!,"AAAAAF+Tf9A=")</f>
        <v>#REF!</v>
      </c>
      <c r="HB303" t="e">
        <f>AND('Show Info'!#REF!,"AAAAAF+Tf9E=")</f>
        <v>#REF!</v>
      </c>
      <c r="HC303" t="e">
        <f>AND('Show Info'!#REF!,"AAAAAF+Tf9I=")</f>
        <v>#REF!</v>
      </c>
      <c r="HD303" t="e">
        <f>AND('Show Info'!#REF!,"AAAAAF+Tf9M=")</f>
        <v>#REF!</v>
      </c>
      <c r="HE303" t="e">
        <f>AND('Show Info'!#REF!,"AAAAAF+Tf9Q=")</f>
        <v>#REF!</v>
      </c>
      <c r="HF303" t="e">
        <f>AND('Show Info'!#REF!,"AAAAAF+Tf9U=")</f>
        <v>#REF!</v>
      </c>
      <c r="HG303" t="e">
        <f>AND('Show Info'!#REF!,"AAAAAF+Tf9Y=")</f>
        <v>#REF!</v>
      </c>
      <c r="HH303" t="e">
        <f>AND('Show Info'!#REF!,"AAAAAF+Tf9c=")</f>
        <v>#REF!</v>
      </c>
      <c r="HI303" t="e">
        <f>AND('Show Info'!#REF!,"AAAAAF+Tf9g=")</f>
        <v>#REF!</v>
      </c>
      <c r="HJ303" t="e">
        <f>AND('Show Info'!#REF!,"AAAAAF+Tf9k=")</f>
        <v>#REF!</v>
      </c>
      <c r="HK303" t="e">
        <f>AND('Show Info'!#REF!,"AAAAAF+Tf9o=")</f>
        <v>#REF!</v>
      </c>
      <c r="HL303" t="e">
        <f>AND('Show Info'!#REF!,"AAAAAF+Tf9s=")</f>
        <v>#REF!</v>
      </c>
      <c r="HM303" t="e">
        <f>AND('Show Info'!#REF!,"AAAAAF+Tf9w=")</f>
        <v>#REF!</v>
      </c>
      <c r="HN303" t="e">
        <f>AND('Show Info'!#REF!,"AAAAAF+Tf90=")</f>
        <v>#REF!</v>
      </c>
      <c r="HO303" t="e">
        <f>AND('Show Info'!#REF!,"AAAAAF+Tf94=")</f>
        <v>#REF!</v>
      </c>
      <c r="HP303" t="e">
        <f>AND('Show Info'!#REF!,"AAAAAF+Tf98=")</f>
        <v>#REF!</v>
      </c>
      <c r="HQ303" t="e">
        <f>AND('Show Info'!#REF!,"AAAAAF+Tf+A=")</f>
        <v>#REF!</v>
      </c>
      <c r="HR303" t="e">
        <f>AND('Show Info'!#REF!,"AAAAAF+Tf+E=")</f>
        <v>#REF!</v>
      </c>
      <c r="HS303" t="e">
        <f>AND('Show Info'!#REF!,"AAAAAF+Tf+I=")</f>
        <v>#REF!</v>
      </c>
      <c r="HT303" t="e">
        <f>AND('Show Info'!#REF!,"AAAAAF+Tf+M=")</f>
        <v>#REF!</v>
      </c>
      <c r="HU303" t="e">
        <f>AND('Show Info'!#REF!,"AAAAAF+Tf+Q=")</f>
        <v>#REF!</v>
      </c>
      <c r="HV303" t="e">
        <f>AND('Show Info'!#REF!,"AAAAAF+Tf+U=")</f>
        <v>#REF!</v>
      </c>
      <c r="HW303">
        <f>IF('Show Info'!37:37,"AAAAAF+Tf+Y=",0)</f>
        <v>0</v>
      </c>
      <c r="HX303" t="e">
        <f>AND('Show Info'!A37,"AAAAAF+Tf+c=")</f>
        <v>#VALUE!</v>
      </c>
      <c r="HY303" t="e">
        <f>AND('Show Info'!B37,"AAAAAF+Tf+g=")</f>
        <v>#VALUE!</v>
      </c>
      <c r="HZ303" t="e">
        <f>AND('Show Info'!C37,"AAAAAF+Tf+k=")</f>
        <v>#VALUE!</v>
      </c>
      <c r="IA303" t="e">
        <f>AND('Show Info'!D37,"AAAAAF+Tf+o=")</f>
        <v>#VALUE!</v>
      </c>
      <c r="IB303" t="e">
        <f>AND('Show Info'!E37,"AAAAAF+Tf+s=")</f>
        <v>#VALUE!</v>
      </c>
      <c r="IC303" t="e">
        <f>AND('Show Info'!F37,"AAAAAF+Tf+w=")</f>
        <v>#VALUE!</v>
      </c>
      <c r="ID303" t="e">
        <f>AND('Show Info'!G37,"AAAAAF+Tf+0=")</f>
        <v>#VALUE!</v>
      </c>
      <c r="IE303" t="e">
        <f>AND('Show Info'!H37,"AAAAAF+Tf+4=")</f>
        <v>#VALUE!</v>
      </c>
      <c r="IF303" t="e">
        <f>AND('Show Info'!I37,"AAAAAF+Tf+8=")</f>
        <v>#VALUE!</v>
      </c>
      <c r="IG303" t="e">
        <f>AND('Show Info'!J37,"AAAAAF+Tf/A=")</f>
        <v>#VALUE!</v>
      </c>
      <c r="IH303" t="e">
        <f>AND('Show Info'!K37,"AAAAAF+Tf/E=")</f>
        <v>#VALUE!</v>
      </c>
      <c r="II303" t="e">
        <f>AND('Show Info'!L37,"AAAAAF+Tf/I=")</f>
        <v>#VALUE!</v>
      </c>
      <c r="IJ303" t="e">
        <f>AND('Show Info'!M37,"AAAAAF+Tf/M=")</f>
        <v>#VALUE!</v>
      </c>
      <c r="IK303" t="e">
        <f>AND('Show Info'!N37,"AAAAAF+Tf/Q=")</f>
        <v>#VALUE!</v>
      </c>
      <c r="IL303" t="e">
        <f>AND('Show Info'!O37,"AAAAAF+Tf/U=")</f>
        <v>#VALUE!</v>
      </c>
      <c r="IM303" t="e">
        <f>AND('Show Info'!P37,"AAAAAF+Tf/Y=")</f>
        <v>#VALUE!</v>
      </c>
      <c r="IN303" t="e">
        <f>AND('Show Info'!Q37,"AAAAAF+Tf/c=")</f>
        <v>#VALUE!</v>
      </c>
      <c r="IO303" t="e">
        <f>AND('Show Info'!R37,"AAAAAF+Tf/g=")</f>
        <v>#VALUE!</v>
      </c>
      <c r="IP303" t="e">
        <f>AND('Show Info'!S37,"AAAAAF+Tf/k=")</f>
        <v>#VALUE!</v>
      </c>
      <c r="IQ303" t="e">
        <f>AND('Show Info'!T37,"AAAAAF+Tf/o=")</f>
        <v>#VALUE!</v>
      </c>
      <c r="IR303" t="e">
        <f>AND('Show Info'!U37,"AAAAAF+Tf/s=")</f>
        <v>#VALUE!</v>
      </c>
      <c r="IS303" t="e">
        <f>AND('Show Info'!V37,"AAAAAF+Tf/w=")</f>
        <v>#VALUE!</v>
      </c>
      <c r="IT303" t="e">
        <f>IF('Show Info'!#REF!,"AAAAAF+Tf/0=",0)</f>
        <v>#REF!</v>
      </c>
      <c r="IU303" t="e">
        <f>AND('Show Info'!#REF!,"AAAAAF+Tf/4=")</f>
        <v>#REF!</v>
      </c>
      <c r="IV303" t="e">
        <f>AND('Show Info'!#REF!,"AAAAAF+Tf/8=")</f>
        <v>#REF!</v>
      </c>
    </row>
    <row r="304" spans="1:256" x14ac:dyDescent="0.2">
      <c r="A304" t="e">
        <f>AND('Show Info'!#REF!,"AAAAADr9/wA=")</f>
        <v>#REF!</v>
      </c>
      <c r="B304" t="e">
        <f>AND('Show Info'!#REF!,"AAAAADr9/wE=")</f>
        <v>#REF!</v>
      </c>
      <c r="C304" t="e">
        <f>AND('Show Info'!#REF!,"AAAAADr9/wI=")</f>
        <v>#REF!</v>
      </c>
      <c r="D304" t="e">
        <f>AND('Show Info'!#REF!,"AAAAADr9/wM=")</f>
        <v>#REF!</v>
      </c>
      <c r="E304" t="e">
        <f>AND('Show Info'!#REF!,"AAAAADr9/wQ=")</f>
        <v>#REF!</v>
      </c>
      <c r="F304" t="e">
        <f>AND('Show Info'!#REF!,"AAAAADr9/wU=")</f>
        <v>#REF!</v>
      </c>
      <c r="G304" t="e">
        <f>AND('Show Info'!#REF!,"AAAAADr9/wY=")</f>
        <v>#REF!</v>
      </c>
      <c r="H304" t="e">
        <f>AND('Show Info'!#REF!,"AAAAADr9/wc=")</f>
        <v>#REF!</v>
      </c>
      <c r="I304" t="e">
        <f>AND('Show Info'!#REF!,"AAAAADr9/wg=")</f>
        <v>#REF!</v>
      </c>
      <c r="J304" t="e">
        <f>AND('Show Info'!#REF!,"AAAAADr9/wk=")</f>
        <v>#REF!</v>
      </c>
      <c r="K304" t="e">
        <f>AND('Show Info'!#REF!,"AAAAADr9/wo=")</f>
        <v>#REF!</v>
      </c>
      <c r="L304" t="e">
        <f>AND('Show Info'!#REF!,"AAAAADr9/ws=")</f>
        <v>#REF!</v>
      </c>
      <c r="M304" t="e">
        <f>AND('Show Info'!#REF!,"AAAAADr9/ww=")</f>
        <v>#REF!</v>
      </c>
      <c r="N304" t="e">
        <f>AND('Show Info'!#REF!,"AAAAADr9/w0=")</f>
        <v>#REF!</v>
      </c>
      <c r="O304" t="e">
        <f>AND('Show Info'!#REF!,"AAAAADr9/w4=")</f>
        <v>#REF!</v>
      </c>
      <c r="P304" t="e">
        <f>AND('Show Info'!#REF!,"AAAAADr9/w8=")</f>
        <v>#REF!</v>
      </c>
      <c r="Q304" t="e">
        <f>AND('Show Info'!#REF!,"AAAAADr9/xA=")</f>
        <v>#REF!</v>
      </c>
      <c r="R304" t="e">
        <f>AND('Show Info'!#REF!,"AAAAADr9/xE=")</f>
        <v>#REF!</v>
      </c>
      <c r="S304" t="e">
        <f>AND('Show Info'!#REF!,"AAAAADr9/xI=")</f>
        <v>#REF!</v>
      </c>
      <c r="T304" t="e">
        <f>AND('Show Info'!#REF!,"AAAAADr9/xM=")</f>
        <v>#REF!</v>
      </c>
      <c r="U304" t="e">
        <f>IF('Show Info'!#REF!,"AAAAADr9/xQ=",0)</f>
        <v>#REF!</v>
      </c>
      <c r="V304" t="e">
        <f>AND('Show Info'!#REF!,"AAAAADr9/xU=")</f>
        <v>#REF!</v>
      </c>
      <c r="W304" t="e">
        <f>AND('Show Info'!#REF!,"AAAAADr9/xY=")</f>
        <v>#REF!</v>
      </c>
      <c r="X304" t="e">
        <f>AND('Show Info'!#REF!,"AAAAADr9/xc=")</f>
        <v>#REF!</v>
      </c>
      <c r="Y304" t="e">
        <f>AND('Show Info'!#REF!,"AAAAADr9/xg=")</f>
        <v>#REF!</v>
      </c>
      <c r="Z304" t="e">
        <f>AND('Show Info'!#REF!,"AAAAADr9/xk=")</f>
        <v>#REF!</v>
      </c>
      <c r="AA304" t="e">
        <f>AND('Show Info'!#REF!,"AAAAADr9/xo=")</f>
        <v>#REF!</v>
      </c>
      <c r="AB304" t="e">
        <f>AND('Show Info'!#REF!,"AAAAADr9/xs=")</f>
        <v>#REF!</v>
      </c>
      <c r="AC304" t="e">
        <f>AND('Show Info'!#REF!,"AAAAADr9/xw=")</f>
        <v>#REF!</v>
      </c>
      <c r="AD304" t="e">
        <f>AND('Show Info'!#REF!,"AAAAADr9/x0=")</f>
        <v>#REF!</v>
      </c>
      <c r="AE304" t="e">
        <f>AND('Show Info'!#REF!,"AAAAADr9/x4=")</f>
        <v>#REF!</v>
      </c>
      <c r="AF304" t="e">
        <f>AND('Show Info'!#REF!,"AAAAADr9/x8=")</f>
        <v>#REF!</v>
      </c>
      <c r="AG304" t="e">
        <f>AND('Show Info'!#REF!,"AAAAADr9/yA=")</f>
        <v>#REF!</v>
      </c>
      <c r="AH304" t="e">
        <f>AND('Show Info'!#REF!,"AAAAADr9/yE=")</f>
        <v>#REF!</v>
      </c>
      <c r="AI304" t="e">
        <f>AND('Show Info'!#REF!,"AAAAADr9/yI=")</f>
        <v>#REF!</v>
      </c>
      <c r="AJ304" t="e">
        <f>AND('Show Info'!#REF!,"AAAAADr9/yM=")</f>
        <v>#REF!</v>
      </c>
      <c r="AK304" t="e">
        <f>AND('Show Info'!#REF!,"AAAAADr9/yQ=")</f>
        <v>#REF!</v>
      </c>
      <c r="AL304" t="e">
        <f>AND('Show Info'!#REF!,"AAAAADr9/yU=")</f>
        <v>#REF!</v>
      </c>
      <c r="AM304" t="e">
        <f>AND('Show Info'!#REF!,"AAAAADr9/yY=")</f>
        <v>#REF!</v>
      </c>
      <c r="AN304" t="e">
        <f>AND('Show Info'!#REF!,"AAAAADr9/yc=")</f>
        <v>#REF!</v>
      </c>
      <c r="AO304" t="e">
        <f>AND('Show Info'!#REF!,"AAAAADr9/yg=")</f>
        <v>#REF!</v>
      </c>
      <c r="AP304" t="e">
        <f>AND('Show Info'!#REF!,"AAAAADr9/yk=")</f>
        <v>#REF!</v>
      </c>
      <c r="AQ304" t="e">
        <f>AND('Show Info'!#REF!,"AAAAADr9/yo=")</f>
        <v>#REF!</v>
      </c>
      <c r="AR304" t="e">
        <f>IF('Show Info'!#REF!,"AAAAADr9/ys=",0)</f>
        <v>#REF!</v>
      </c>
      <c r="AS304" t="e">
        <f>AND('Show Info'!#REF!,"AAAAADr9/yw=")</f>
        <v>#REF!</v>
      </c>
      <c r="AT304" t="e">
        <f>AND('Show Info'!#REF!,"AAAAADr9/y0=")</f>
        <v>#REF!</v>
      </c>
      <c r="AU304" t="e">
        <f>AND('Show Info'!#REF!,"AAAAADr9/y4=")</f>
        <v>#REF!</v>
      </c>
      <c r="AV304" t="e">
        <f>AND('Show Info'!#REF!,"AAAAADr9/y8=")</f>
        <v>#REF!</v>
      </c>
      <c r="AW304" t="e">
        <f>AND('Show Info'!#REF!,"AAAAADr9/zA=")</f>
        <v>#REF!</v>
      </c>
      <c r="AX304" t="e">
        <f>AND('Show Info'!#REF!,"AAAAADr9/zE=")</f>
        <v>#REF!</v>
      </c>
      <c r="AY304" t="e">
        <f>AND('Show Info'!#REF!,"AAAAADr9/zI=")</f>
        <v>#REF!</v>
      </c>
      <c r="AZ304" t="e">
        <f>AND('Show Info'!#REF!,"AAAAADr9/zM=")</f>
        <v>#REF!</v>
      </c>
      <c r="BA304" t="e">
        <f>AND('Show Info'!#REF!,"AAAAADr9/zQ=")</f>
        <v>#REF!</v>
      </c>
      <c r="BB304" t="e">
        <f>AND('Show Info'!#REF!,"AAAAADr9/zU=")</f>
        <v>#REF!</v>
      </c>
      <c r="BC304" t="e">
        <f>AND('Show Info'!#REF!,"AAAAADr9/zY=")</f>
        <v>#REF!</v>
      </c>
      <c r="BD304" t="e">
        <f>AND('Show Info'!#REF!,"AAAAADr9/zc=")</f>
        <v>#REF!</v>
      </c>
      <c r="BE304" t="e">
        <f>AND('Show Info'!#REF!,"AAAAADr9/zg=")</f>
        <v>#REF!</v>
      </c>
      <c r="BF304" t="e">
        <f>AND('Show Info'!#REF!,"AAAAADr9/zk=")</f>
        <v>#REF!</v>
      </c>
      <c r="BG304" t="e">
        <f>AND('Show Info'!#REF!,"AAAAADr9/zo=")</f>
        <v>#REF!</v>
      </c>
      <c r="BH304" t="e">
        <f>AND('Show Info'!#REF!,"AAAAADr9/zs=")</f>
        <v>#REF!</v>
      </c>
      <c r="BI304" t="e">
        <f>AND('Show Info'!#REF!,"AAAAADr9/zw=")</f>
        <v>#REF!</v>
      </c>
      <c r="BJ304" t="e">
        <f>AND('Show Info'!#REF!,"AAAAADr9/z0=")</f>
        <v>#REF!</v>
      </c>
      <c r="BK304" t="e">
        <f>AND('Show Info'!#REF!,"AAAAADr9/z4=")</f>
        <v>#REF!</v>
      </c>
      <c r="BL304" t="e">
        <f>AND('Show Info'!#REF!,"AAAAADr9/z8=")</f>
        <v>#REF!</v>
      </c>
      <c r="BM304" t="e">
        <f>AND('Show Info'!#REF!,"AAAAADr9/0A=")</f>
        <v>#REF!</v>
      </c>
      <c r="BN304" t="e">
        <f>AND('Show Info'!#REF!,"AAAAADr9/0E=")</f>
        <v>#REF!</v>
      </c>
      <c r="BO304">
        <f>IF('Show Info'!50:50,"AAAAADr9/0I=",0)</f>
        <v>0</v>
      </c>
      <c r="BP304" t="e">
        <f>AND('Show Info'!A50,"AAAAADr9/0M=")</f>
        <v>#VALUE!</v>
      </c>
      <c r="BQ304" t="e">
        <f>AND('Show Info'!B50,"AAAAADr9/0Q=")</f>
        <v>#VALUE!</v>
      </c>
      <c r="BR304" t="e">
        <f>AND('Show Info'!C50,"AAAAADr9/0U=")</f>
        <v>#VALUE!</v>
      </c>
      <c r="BS304" t="e">
        <f>AND('Show Info'!D50,"AAAAADr9/0Y=")</f>
        <v>#VALUE!</v>
      </c>
      <c r="BT304" t="e">
        <f>AND('Show Info'!E50,"AAAAADr9/0c=")</f>
        <v>#VALUE!</v>
      </c>
      <c r="BU304" t="e">
        <f>AND('Show Info'!F50,"AAAAADr9/0g=")</f>
        <v>#VALUE!</v>
      </c>
      <c r="BV304" t="e">
        <f>AND('Show Info'!G50,"AAAAADr9/0k=")</f>
        <v>#VALUE!</v>
      </c>
      <c r="BW304" t="e">
        <f>AND('Show Info'!H50,"AAAAADr9/0o=")</f>
        <v>#VALUE!</v>
      </c>
      <c r="BX304" t="e">
        <f>AND('Show Info'!I50,"AAAAADr9/0s=")</f>
        <v>#VALUE!</v>
      </c>
      <c r="BY304" t="e">
        <f>AND('Show Info'!J50,"AAAAADr9/0w=")</f>
        <v>#VALUE!</v>
      </c>
      <c r="BZ304" t="e">
        <f>AND('Show Info'!K50,"AAAAADr9/00=")</f>
        <v>#VALUE!</v>
      </c>
      <c r="CA304" t="e">
        <f>AND('Show Info'!L50,"AAAAADr9/04=")</f>
        <v>#VALUE!</v>
      </c>
      <c r="CB304" t="e">
        <f>AND('Show Info'!M50,"AAAAADr9/08=")</f>
        <v>#VALUE!</v>
      </c>
      <c r="CC304" t="e">
        <f>AND('Show Info'!N50,"AAAAADr9/1A=")</f>
        <v>#VALUE!</v>
      </c>
      <c r="CD304" t="e">
        <f>AND('Show Info'!O50,"AAAAADr9/1E=")</f>
        <v>#VALUE!</v>
      </c>
      <c r="CE304" t="e">
        <f>AND('Show Info'!P50,"AAAAADr9/1I=")</f>
        <v>#VALUE!</v>
      </c>
      <c r="CF304" t="e">
        <f>AND('Show Info'!Q50,"AAAAADr9/1M=")</f>
        <v>#VALUE!</v>
      </c>
      <c r="CG304" t="e">
        <f>AND('Show Info'!R50,"AAAAADr9/1Q=")</f>
        <v>#VALUE!</v>
      </c>
      <c r="CH304" t="e">
        <f>AND('Show Info'!S50,"AAAAADr9/1U=")</f>
        <v>#VALUE!</v>
      </c>
      <c r="CI304" t="e">
        <f>AND('Show Info'!T50,"AAAAADr9/1Y=")</f>
        <v>#VALUE!</v>
      </c>
      <c r="CJ304" t="e">
        <f>AND('Show Info'!U50,"AAAAADr9/1c=")</f>
        <v>#VALUE!</v>
      </c>
      <c r="CK304" t="e">
        <f>AND('Show Info'!V50,"AAAAADr9/1g=")</f>
        <v>#VALUE!</v>
      </c>
    </row>
    <row r="305" spans="1:256" x14ac:dyDescent="0.2">
      <c r="A305" t="e">
        <f>IF('Show Info'!16:16,"AAAAAG4W+gA=",0)</f>
        <v>#VALUE!</v>
      </c>
      <c r="B305" t="e">
        <f>AND('Show Info'!A16,"AAAAAG4W+gE=")</f>
        <v>#VALUE!</v>
      </c>
      <c r="C305" t="e">
        <f>AND('Show Info'!B16,"AAAAAG4W+gI=")</f>
        <v>#VALUE!</v>
      </c>
      <c r="D305" t="e">
        <f>AND('Show Info'!C16,"AAAAAG4W+gM=")</f>
        <v>#VALUE!</v>
      </c>
      <c r="E305" t="e">
        <f>AND('Show Info'!D16,"AAAAAG4W+gQ=")</f>
        <v>#VALUE!</v>
      </c>
      <c r="F305" t="e">
        <f>AND('Show Info'!E16,"AAAAAG4W+gU=")</f>
        <v>#VALUE!</v>
      </c>
      <c r="G305" t="e">
        <f>AND('Show Info'!F16,"AAAAAG4W+gY=")</f>
        <v>#VALUE!</v>
      </c>
      <c r="H305" t="e">
        <f>AND('Show Info'!G16,"AAAAAG4W+gc=")</f>
        <v>#VALUE!</v>
      </c>
      <c r="I305" t="e">
        <f>AND('Show Info'!H16,"AAAAAG4W+gg=")</f>
        <v>#VALUE!</v>
      </c>
      <c r="J305" t="e">
        <f>AND('Show Info'!I16,"AAAAAG4W+gk=")</f>
        <v>#VALUE!</v>
      </c>
      <c r="K305" t="e">
        <f>AND('Show Info'!J16,"AAAAAG4W+go=")</f>
        <v>#VALUE!</v>
      </c>
      <c r="L305" t="e">
        <f>AND('Show Info'!K16,"AAAAAG4W+gs=")</f>
        <v>#VALUE!</v>
      </c>
      <c r="M305" t="e">
        <f>AND('Show Info'!L16,"AAAAAG4W+gw=")</f>
        <v>#VALUE!</v>
      </c>
      <c r="N305" t="e">
        <f>AND('Show Info'!M16,"AAAAAG4W+g0=")</f>
        <v>#VALUE!</v>
      </c>
      <c r="O305" t="e">
        <f>AND('Show Info'!N16,"AAAAAG4W+g4=")</f>
        <v>#VALUE!</v>
      </c>
      <c r="P305" t="e">
        <f>AND('Show Info'!O16,"AAAAAG4W+g8=")</f>
        <v>#VALUE!</v>
      </c>
      <c r="Q305" t="e">
        <f>AND('Show Info'!P16,"AAAAAG4W+hA=")</f>
        <v>#VALUE!</v>
      </c>
      <c r="R305" t="e">
        <f>AND('Show Info'!Q16,"AAAAAG4W+hE=")</f>
        <v>#VALUE!</v>
      </c>
      <c r="S305" t="e">
        <f>AND('Show Info'!R16,"AAAAAG4W+hI=")</f>
        <v>#VALUE!</v>
      </c>
      <c r="T305" t="e">
        <f>AND('Show Info'!S16,"AAAAAG4W+hM=")</f>
        <v>#VALUE!</v>
      </c>
      <c r="U305" t="e">
        <f>AND('Show Info'!T16,"AAAAAG4W+hQ=")</f>
        <v>#VALUE!</v>
      </c>
      <c r="V305" t="e">
        <f>AND('Show Info'!U16,"AAAAAG4W+hU=")</f>
        <v>#VALUE!</v>
      </c>
      <c r="W305" t="e">
        <f>AND('Show Info'!V16,"AAAAAG4W+hY=")</f>
        <v>#VALUE!</v>
      </c>
      <c r="X305">
        <f>IF('Show Info'!24:24,"AAAAAG4W+hc=",0)</f>
        <v>0</v>
      </c>
      <c r="Y305" t="e">
        <f>AND('Show Info'!A24,"AAAAAG4W+hg=")</f>
        <v>#VALUE!</v>
      </c>
      <c r="Z305" t="e">
        <f>AND('Show Info'!B24,"AAAAAG4W+hk=")</f>
        <v>#VALUE!</v>
      </c>
      <c r="AA305" t="e">
        <f>AND('Show Info'!C24,"AAAAAG4W+ho=")</f>
        <v>#VALUE!</v>
      </c>
      <c r="AB305" t="e">
        <f>AND('Show Info'!D24,"AAAAAG4W+hs=")</f>
        <v>#VALUE!</v>
      </c>
      <c r="AC305" t="e">
        <f>AND('Show Info'!E24,"AAAAAG4W+hw=")</f>
        <v>#VALUE!</v>
      </c>
      <c r="AD305" t="e">
        <f>AND('Show Info'!F24,"AAAAAG4W+h0=")</f>
        <v>#VALUE!</v>
      </c>
      <c r="AE305" t="e">
        <f>AND('Show Info'!G24,"AAAAAG4W+h4=")</f>
        <v>#VALUE!</v>
      </c>
      <c r="AF305" t="e">
        <f>AND('Show Info'!H24,"AAAAAG4W+h8=")</f>
        <v>#VALUE!</v>
      </c>
      <c r="AG305" t="e">
        <f>AND('Show Info'!I24,"AAAAAG4W+iA=")</f>
        <v>#VALUE!</v>
      </c>
      <c r="AH305" t="e">
        <f>AND('Show Info'!J24,"AAAAAG4W+iE=")</f>
        <v>#VALUE!</v>
      </c>
      <c r="AI305" t="e">
        <f>AND('Show Info'!K24,"AAAAAG4W+iI=")</f>
        <v>#VALUE!</v>
      </c>
      <c r="AJ305" t="e">
        <f>AND('Show Info'!L24,"AAAAAG4W+iM=")</f>
        <v>#VALUE!</v>
      </c>
      <c r="AK305" t="e">
        <f>AND('Show Info'!M24,"AAAAAG4W+iQ=")</f>
        <v>#VALUE!</v>
      </c>
      <c r="AL305" t="e">
        <f>AND('Show Info'!N24,"AAAAAG4W+iU=")</f>
        <v>#VALUE!</v>
      </c>
      <c r="AM305" t="e">
        <f>AND('Show Info'!O24,"AAAAAG4W+iY=")</f>
        <v>#VALUE!</v>
      </c>
      <c r="AN305" t="e">
        <f>AND('Show Info'!P24,"AAAAAG4W+ic=")</f>
        <v>#VALUE!</v>
      </c>
      <c r="AO305" t="e">
        <f>AND('Show Info'!Q24,"AAAAAG4W+ig=")</f>
        <v>#VALUE!</v>
      </c>
      <c r="AP305" t="e">
        <f>AND('Show Info'!R24,"AAAAAG4W+ik=")</f>
        <v>#VALUE!</v>
      </c>
      <c r="AQ305" t="e">
        <f>AND('Show Info'!S24,"AAAAAG4W+io=")</f>
        <v>#VALUE!</v>
      </c>
      <c r="AR305" t="e">
        <f>AND('Show Info'!T24,"AAAAAG4W+is=")</f>
        <v>#VALUE!</v>
      </c>
      <c r="AS305" t="e">
        <f>AND('Show Info'!U24,"AAAAAG4W+iw=")</f>
        <v>#VALUE!</v>
      </c>
      <c r="AT305" t="e">
        <f>AND('Show Info'!V24,"AAAAAG4W+i0=")</f>
        <v>#VALUE!</v>
      </c>
    </row>
    <row r="306" spans="1:256" x14ac:dyDescent="0.2">
      <c r="A306">
        <f>IF('Show Info'!39:39,"AAAAAHe93QA=",0)</f>
        <v>0</v>
      </c>
      <c r="B306" t="e">
        <f>AND('Show Info'!A39,"AAAAAHe93QE=")</f>
        <v>#VALUE!</v>
      </c>
      <c r="C306" t="e">
        <f>AND('Show Info'!B39,"AAAAAHe93QI=")</f>
        <v>#VALUE!</v>
      </c>
      <c r="D306" t="e">
        <f>AND('Show Info'!C39,"AAAAAHe93QM=")</f>
        <v>#VALUE!</v>
      </c>
      <c r="E306" t="e">
        <f>AND('Show Info'!D39,"AAAAAHe93QQ=")</f>
        <v>#VALUE!</v>
      </c>
      <c r="F306" t="e">
        <f>AND('Show Info'!E39,"AAAAAHe93QU=")</f>
        <v>#VALUE!</v>
      </c>
      <c r="G306" t="e">
        <f>AND('Show Info'!F39,"AAAAAHe93QY=")</f>
        <v>#VALUE!</v>
      </c>
      <c r="H306" t="e">
        <f>AND('Show Info'!G39,"AAAAAHe93Qc=")</f>
        <v>#VALUE!</v>
      </c>
      <c r="I306" t="e">
        <f>AND('Show Info'!H39,"AAAAAHe93Qg=")</f>
        <v>#VALUE!</v>
      </c>
      <c r="J306" t="e">
        <f>AND('Show Info'!I39,"AAAAAHe93Qk=")</f>
        <v>#VALUE!</v>
      </c>
      <c r="K306" t="e">
        <f>AND('Show Info'!J39,"AAAAAHe93Qo=")</f>
        <v>#VALUE!</v>
      </c>
      <c r="L306" t="e">
        <f>AND('Show Info'!K39,"AAAAAHe93Qs=")</f>
        <v>#VALUE!</v>
      </c>
      <c r="M306" t="e">
        <f>AND('Show Info'!L39,"AAAAAHe93Qw=")</f>
        <v>#VALUE!</v>
      </c>
      <c r="N306" t="e">
        <f>AND('Show Info'!M39,"AAAAAHe93Q0=")</f>
        <v>#VALUE!</v>
      </c>
      <c r="O306" t="e">
        <f>AND('Show Info'!N39,"AAAAAHe93Q4=")</f>
        <v>#VALUE!</v>
      </c>
      <c r="P306" t="e">
        <f>AND('Show Info'!O39,"AAAAAHe93Q8=")</f>
        <v>#VALUE!</v>
      </c>
      <c r="Q306" t="e">
        <f>AND('Show Info'!P39,"AAAAAHe93RA=")</f>
        <v>#VALUE!</v>
      </c>
      <c r="R306" t="e">
        <f>AND('Show Info'!Q39,"AAAAAHe93RE=")</f>
        <v>#VALUE!</v>
      </c>
      <c r="S306" t="e">
        <f>AND('Show Info'!R39,"AAAAAHe93RI=")</f>
        <v>#VALUE!</v>
      </c>
      <c r="T306" t="e">
        <f>AND('Show Info'!S39,"AAAAAHe93RM=")</f>
        <v>#VALUE!</v>
      </c>
      <c r="U306" t="e">
        <f>AND('Show Info'!T39,"AAAAAHe93RQ=")</f>
        <v>#VALUE!</v>
      </c>
      <c r="V306" t="e">
        <f>AND('Show Info'!U39,"AAAAAHe93RU=")</f>
        <v>#VALUE!</v>
      </c>
      <c r="W306" t="e">
        <f>AND('Show Info'!V39,"AAAAAHe93RY=")</f>
        <v>#VALUE!</v>
      </c>
      <c r="X306">
        <f>IF('Show Info'!42:42,"AAAAAHe93Rc=",0)</f>
        <v>0</v>
      </c>
      <c r="Y306" t="e">
        <f>AND('Show Info'!A42,"AAAAAHe93Rg=")</f>
        <v>#VALUE!</v>
      </c>
      <c r="Z306" t="e">
        <f>AND('Show Info'!B42,"AAAAAHe93Rk=")</f>
        <v>#VALUE!</v>
      </c>
      <c r="AA306" t="e">
        <f>AND('Show Info'!C42,"AAAAAHe93Ro=")</f>
        <v>#VALUE!</v>
      </c>
      <c r="AB306" t="e">
        <f>AND('Show Info'!D42,"AAAAAHe93Rs=")</f>
        <v>#VALUE!</v>
      </c>
      <c r="AC306" t="e">
        <f>AND('Show Info'!E42,"AAAAAHe93Rw=")</f>
        <v>#VALUE!</v>
      </c>
      <c r="AD306" t="e">
        <f>AND('Show Info'!F42,"AAAAAHe93R0=")</f>
        <v>#VALUE!</v>
      </c>
      <c r="AE306" t="e">
        <f>AND('Show Info'!G42,"AAAAAHe93R4=")</f>
        <v>#VALUE!</v>
      </c>
      <c r="AF306" t="e">
        <f>AND('Show Info'!H42,"AAAAAHe93R8=")</f>
        <v>#VALUE!</v>
      </c>
      <c r="AG306" t="e">
        <f>AND('Show Info'!I42,"AAAAAHe93SA=")</f>
        <v>#VALUE!</v>
      </c>
      <c r="AH306" t="e">
        <f>AND('Show Info'!J42,"AAAAAHe93SE=")</f>
        <v>#VALUE!</v>
      </c>
      <c r="AI306" t="e">
        <f>AND('Show Info'!K42,"AAAAAHe93SI=")</f>
        <v>#VALUE!</v>
      </c>
      <c r="AJ306" t="e">
        <f>AND('Show Info'!L42,"AAAAAHe93SM=")</f>
        <v>#VALUE!</v>
      </c>
      <c r="AK306" t="e">
        <f>AND('Show Info'!M42,"AAAAAHe93SQ=")</f>
        <v>#VALUE!</v>
      </c>
      <c r="AL306" t="e">
        <f>AND('Show Info'!N42,"AAAAAHe93SU=")</f>
        <v>#VALUE!</v>
      </c>
      <c r="AM306" t="e">
        <f>AND('Show Info'!O42,"AAAAAHe93SY=")</f>
        <v>#VALUE!</v>
      </c>
      <c r="AN306" t="e">
        <f>AND('Show Info'!P42,"AAAAAHe93Sc=")</f>
        <v>#VALUE!</v>
      </c>
      <c r="AO306" t="e">
        <f>AND('Show Info'!Q42,"AAAAAHe93Sg=")</f>
        <v>#VALUE!</v>
      </c>
      <c r="AP306" t="e">
        <f>AND('Show Info'!R42,"AAAAAHe93Sk=")</f>
        <v>#VALUE!</v>
      </c>
      <c r="AQ306" t="e">
        <f>AND('Show Info'!S42,"AAAAAHe93So=")</f>
        <v>#VALUE!</v>
      </c>
      <c r="AR306" t="e">
        <f>AND('Show Info'!T42,"AAAAAHe93Ss=")</f>
        <v>#VALUE!</v>
      </c>
      <c r="AS306" t="e">
        <f>AND('Show Info'!U42,"AAAAAHe93Sw=")</f>
        <v>#VALUE!</v>
      </c>
      <c r="AT306" t="e">
        <f>AND('Show Info'!V42,"AAAAAHe93S0=")</f>
        <v>#VALUE!</v>
      </c>
      <c r="AU306">
        <f>IF('Show Info'!43:43,"AAAAAHe93S4=",0)</f>
        <v>0</v>
      </c>
      <c r="AV306" t="e">
        <f>AND('Show Info'!A43,"AAAAAHe93S8=")</f>
        <v>#VALUE!</v>
      </c>
      <c r="AW306" t="e">
        <f>AND('Show Info'!B43,"AAAAAHe93TA=")</f>
        <v>#VALUE!</v>
      </c>
      <c r="AX306" t="e">
        <f>AND('Show Info'!C43,"AAAAAHe93TE=")</f>
        <v>#VALUE!</v>
      </c>
      <c r="AY306" t="e">
        <f>AND('Show Info'!D43,"AAAAAHe93TI=")</f>
        <v>#VALUE!</v>
      </c>
      <c r="AZ306" t="e">
        <f>AND('Show Info'!E43,"AAAAAHe93TM=")</f>
        <v>#VALUE!</v>
      </c>
      <c r="BA306" t="e">
        <f>AND('Show Info'!F43,"AAAAAHe93TQ=")</f>
        <v>#VALUE!</v>
      </c>
      <c r="BB306" t="e">
        <f>AND('Show Info'!G43,"AAAAAHe93TU=")</f>
        <v>#VALUE!</v>
      </c>
      <c r="BC306" t="e">
        <f>AND('Show Info'!H43,"AAAAAHe93TY=")</f>
        <v>#VALUE!</v>
      </c>
      <c r="BD306" t="e">
        <f>AND('Show Info'!I43,"AAAAAHe93Tc=")</f>
        <v>#VALUE!</v>
      </c>
      <c r="BE306" t="e">
        <f>AND('Show Info'!J43,"AAAAAHe93Tg=")</f>
        <v>#VALUE!</v>
      </c>
      <c r="BF306" t="e">
        <f>AND('Show Info'!K43,"AAAAAHe93Tk=")</f>
        <v>#VALUE!</v>
      </c>
      <c r="BG306" t="e">
        <f>AND('Show Info'!L43,"AAAAAHe93To=")</f>
        <v>#VALUE!</v>
      </c>
      <c r="BH306" t="e">
        <f>AND('Show Info'!M43,"AAAAAHe93Ts=")</f>
        <v>#VALUE!</v>
      </c>
      <c r="BI306" t="e">
        <f>AND('Show Info'!N43,"AAAAAHe93Tw=")</f>
        <v>#VALUE!</v>
      </c>
      <c r="BJ306" t="e">
        <f>AND('Show Info'!O43,"AAAAAHe93T0=")</f>
        <v>#VALUE!</v>
      </c>
      <c r="BK306" t="e">
        <f>AND('Show Info'!P43,"AAAAAHe93T4=")</f>
        <v>#VALUE!</v>
      </c>
      <c r="BL306" t="e">
        <f>AND('Show Info'!Q43,"AAAAAHe93T8=")</f>
        <v>#VALUE!</v>
      </c>
      <c r="BM306" t="e">
        <f>AND('Show Info'!R43,"AAAAAHe93UA=")</f>
        <v>#VALUE!</v>
      </c>
      <c r="BN306" t="e">
        <f>AND('Show Info'!S43,"AAAAAHe93UE=")</f>
        <v>#VALUE!</v>
      </c>
      <c r="BO306" t="e">
        <f>AND('Show Info'!T43,"AAAAAHe93UI=")</f>
        <v>#VALUE!</v>
      </c>
      <c r="BP306" t="e">
        <f>AND('Show Info'!U43,"AAAAAHe93UM=")</f>
        <v>#VALUE!</v>
      </c>
      <c r="BQ306" t="e">
        <f>AND('Show Info'!V43,"AAAAAHe93UQ=")</f>
        <v>#VALUE!</v>
      </c>
      <c r="BR306">
        <f>IF('Show Info'!44:44,"AAAAAHe93UU=",0)</f>
        <v>0</v>
      </c>
      <c r="BS306" t="e">
        <f>AND('Show Info'!A44,"AAAAAHe93UY=")</f>
        <v>#VALUE!</v>
      </c>
      <c r="BT306" t="e">
        <f>AND('Show Info'!B44,"AAAAAHe93Uc=")</f>
        <v>#VALUE!</v>
      </c>
      <c r="BU306" t="e">
        <f>AND('Show Info'!C44,"AAAAAHe93Ug=")</f>
        <v>#VALUE!</v>
      </c>
      <c r="BV306" t="e">
        <f>AND('Show Info'!D44,"AAAAAHe93Uk=")</f>
        <v>#VALUE!</v>
      </c>
      <c r="BW306" t="e">
        <f>AND('Show Info'!E44,"AAAAAHe93Uo=")</f>
        <v>#VALUE!</v>
      </c>
      <c r="BX306" t="e">
        <f>AND('Show Info'!F44,"AAAAAHe93Us=")</f>
        <v>#VALUE!</v>
      </c>
      <c r="BY306" t="e">
        <f>AND('Show Info'!G44,"AAAAAHe93Uw=")</f>
        <v>#VALUE!</v>
      </c>
      <c r="BZ306" t="e">
        <f>AND('Show Info'!H44,"AAAAAHe93U0=")</f>
        <v>#VALUE!</v>
      </c>
      <c r="CA306" t="e">
        <f>AND('Show Info'!I44,"AAAAAHe93U4=")</f>
        <v>#VALUE!</v>
      </c>
      <c r="CB306" t="e">
        <f>AND('Show Info'!J44,"AAAAAHe93U8=")</f>
        <v>#VALUE!</v>
      </c>
      <c r="CC306" t="e">
        <f>AND('Show Info'!K44,"AAAAAHe93VA=")</f>
        <v>#VALUE!</v>
      </c>
      <c r="CD306" t="e">
        <f>AND('Show Info'!L44,"AAAAAHe93VE=")</f>
        <v>#VALUE!</v>
      </c>
      <c r="CE306" t="e">
        <f>AND('Show Info'!M44,"AAAAAHe93VI=")</f>
        <v>#VALUE!</v>
      </c>
      <c r="CF306" t="e">
        <f>AND('Show Info'!N44,"AAAAAHe93VM=")</f>
        <v>#VALUE!</v>
      </c>
      <c r="CG306" t="e">
        <f>AND('Show Info'!O44,"AAAAAHe93VQ=")</f>
        <v>#VALUE!</v>
      </c>
      <c r="CH306" t="e">
        <f>AND('Show Info'!P44,"AAAAAHe93VU=")</f>
        <v>#VALUE!</v>
      </c>
      <c r="CI306" t="e">
        <f>AND('Show Info'!Q44,"AAAAAHe93VY=")</f>
        <v>#VALUE!</v>
      </c>
      <c r="CJ306" t="e">
        <f>AND('Show Info'!R44,"AAAAAHe93Vc=")</f>
        <v>#VALUE!</v>
      </c>
      <c r="CK306" t="e">
        <f>AND('Show Info'!S44,"AAAAAHe93Vg=")</f>
        <v>#VALUE!</v>
      </c>
      <c r="CL306" t="e">
        <f>AND('Show Info'!T44,"AAAAAHe93Vk=")</f>
        <v>#VALUE!</v>
      </c>
      <c r="CM306" t="e">
        <f>AND('Show Info'!U44,"AAAAAHe93Vo=")</f>
        <v>#VALUE!</v>
      </c>
      <c r="CN306" t="e">
        <f>AND('Show Info'!V44,"AAAAAHe93Vs=")</f>
        <v>#VALUE!</v>
      </c>
      <c r="CO306">
        <f>IF('Show Info'!45:45,"AAAAAHe93Vw=",0)</f>
        <v>0</v>
      </c>
      <c r="CP306" t="e">
        <f>AND('Show Info'!A45,"AAAAAHe93V0=")</f>
        <v>#VALUE!</v>
      </c>
      <c r="CQ306" t="e">
        <f>AND('Show Info'!B45,"AAAAAHe93V4=")</f>
        <v>#VALUE!</v>
      </c>
      <c r="CR306" t="e">
        <f>AND('Show Info'!C45,"AAAAAHe93V8=")</f>
        <v>#VALUE!</v>
      </c>
      <c r="CS306" t="e">
        <f>AND('Show Info'!D45,"AAAAAHe93WA=")</f>
        <v>#VALUE!</v>
      </c>
      <c r="CT306" t="e">
        <f>AND('Show Info'!E45,"AAAAAHe93WE=")</f>
        <v>#VALUE!</v>
      </c>
      <c r="CU306" t="e">
        <f>AND('Show Info'!F45,"AAAAAHe93WI=")</f>
        <v>#VALUE!</v>
      </c>
      <c r="CV306" t="e">
        <f>AND('Show Info'!G45,"AAAAAHe93WM=")</f>
        <v>#VALUE!</v>
      </c>
      <c r="CW306" t="e">
        <f>AND('Show Info'!H45,"AAAAAHe93WQ=")</f>
        <v>#VALUE!</v>
      </c>
      <c r="CX306" t="e">
        <f>AND('Show Info'!I45,"AAAAAHe93WU=")</f>
        <v>#VALUE!</v>
      </c>
      <c r="CY306" t="e">
        <f>AND('Show Info'!J45,"AAAAAHe93WY=")</f>
        <v>#VALUE!</v>
      </c>
      <c r="CZ306" t="e">
        <f>AND('Show Info'!K45,"AAAAAHe93Wc=")</f>
        <v>#VALUE!</v>
      </c>
      <c r="DA306" t="e">
        <f>AND('Show Info'!L45,"AAAAAHe93Wg=")</f>
        <v>#VALUE!</v>
      </c>
      <c r="DB306" t="e">
        <f>AND('Show Info'!M45,"AAAAAHe93Wk=")</f>
        <v>#VALUE!</v>
      </c>
      <c r="DC306" t="e">
        <f>AND('Show Info'!N45,"AAAAAHe93Wo=")</f>
        <v>#VALUE!</v>
      </c>
      <c r="DD306" t="e">
        <f>AND('Show Info'!O45,"AAAAAHe93Ws=")</f>
        <v>#VALUE!</v>
      </c>
      <c r="DE306" t="e">
        <f>AND('Show Info'!P45,"AAAAAHe93Ww=")</f>
        <v>#VALUE!</v>
      </c>
      <c r="DF306" t="e">
        <f>AND('Show Info'!Q45,"AAAAAHe93W0=")</f>
        <v>#VALUE!</v>
      </c>
      <c r="DG306" t="e">
        <f>AND('Show Info'!R45,"AAAAAHe93W4=")</f>
        <v>#VALUE!</v>
      </c>
      <c r="DH306" t="e">
        <f>AND('Show Info'!S45,"AAAAAHe93W8=")</f>
        <v>#VALUE!</v>
      </c>
      <c r="DI306" t="e">
        <f>AND('Show Info'!T45,"AAAAAHe93XA=")</f>
        <v>#VALUE!</v>
      </c>
      <c r="DJ306" t="e">
        <f>AND('Show Info'!U45,"AAAAAHe93XE=")</f>
        <v>#VALUE!</v>
      </c>
      <c r="DK306" t="e">
        <f>AND('Show Info'!V45,"AAAAAHe93XI=")</f>
        <v>#VALUE!</v>
      </c>
      <c r="DL306">
        <f>IF('Show Info'!46:46,"AAAAAHe93XM=",0)</f>
        <v>0</v>
      </c>
      <c r="DM306" t="e">
        <f>AND('Show Info'!A46,"AAAAAHe93XQ=")</f>
        <v>#VALUE!</v>
      </c>
      <c r="DN306" t="e">
        <f>AND('Show Info'!B46,"AAAAAHe93XU=")</f>
        <v>#VALUE!</v>
      </c>
      <c r="DO306" t="e">
        <f>AND('Show Info'!C46,"AAAAAHe93XY=")</f>
        <v>#VALUE!</v>
      </c>
      <c r="DP306" t="e">
        <f>AND('Show Info'!D46,"AAAAAHe93Xc=")</f>
        <v>#VALUE!</v>
      </c>
      <c r="DQ306" t="e">
        <f>AND('Show Info'!E46,"AAAAAHe93Xg=")</f>
        <v>#VALUE!</v>
      </c>
      <c r="DR306" t="e">
        <f>AND('Show Info'!F46,"AAAAAHe93Xk=")</f>
        <v>#VALUE!</v>
      </c>
      <c r="DS306" t="e">
        <f>AND('Show Info'!G46,"AAAAAHe93Xo=")</f>
        <v>#VALUE!</v>
      </c>
      <c r="DT306" t="e">
        <f>AND('Show Info'!H46,"AAAAAHe93Xs=")</f>
        <v>#VALUE!</v>
      </c>
      <c r="DU306" t="e">
        <f>AND('Show Info'!I46,"AAAAAHe93Xw=")</f>
        <v>#VALUE!</v>
      </c>
      <c r="DV306" t="e">
        <f>AND('Show Info'!J46,"AAAAAHe93X0=")</f>
        <v>#VALUE!</v>
      </c>
      <c r="DW306" t="e">
        <f>AND('Show Info'!K46,"AAAAAHe93X4=")</f>
        <v>#VALUE!</v>
      </c>
      <c r="DX306" t="e">
        <f>AND('Show Info'!L46,"AAAAAHe93X8=")</f>
        <v>#VALUE!</v>
      </c>
      <c r="DY306" t="e">
        <f>AND('Show Info'!M46,"AAAAAHe93YA=")</f>
        <v>#VALUE!</v>
      </c>
      <c r="DZ306" t="e">
        <f>AND('Show Info'!N46,"AAAAAHe93YE=")</f>
        <v>#VALUE!</v>
      </c>
      <c r="EA306" t="e">
        <f>AND('Show Info'!O46,"AAAAAHe93YI=")</f>
        <v>#VALUE!</v>
      </c>
      <c r="EB306" t="e">
        <f>AND('Show Info'!P46,"AAAAAHe93YM=")</f>
        <v>#VALUE!</v>
      </c>
      <c r="EC306" t="e">
        <f>AND('Show Info'!Q46,"AAAAAHe93YQ=")</f>
        <v>#VALUE!</v>
      </c>
      <c r="ED306" t="e">
        <f>AND('Show Info'!R46,"AAAAAHe93YU=")</f>
        <v>#VALUE!</v>
      </c>
      <c r="EE306" t="e">
        <f>AND('Show Info'!S46,"AAAAAHe93YY=")</f>
        <v>#VALUE!</v>
      </c>
      <c r="EF306" t="e">
        <f>AND('Show Info'!T46,"AAAAAHe93Yc=")</f>
        <v>#VALUE!</v>
      </c>
      <c r="EG306" t="e">
        <f>AND('Show Info'!U46,"AAAAAHe93Yg=")</f>
        <v>#VALUE!</v>
      </c>
      <c r="EH306" t="e">
        <f>AND('Show Info'!V46,"AAAAAHe93Yk=")</f>
        <v>#VALUE!</v>
      </c>
      <c r="EI306">
        <f>IF('Show Info'!47:47,"AAAAAHe93Yo=",0)</f>
        <v>0</v>
      </c>
      <c r="EJ306" t="e">
        <f>AND('Show Info'!A47,"AAAAAHe93Ys=")</f>
        <v>#VALUE!</v>
      </c>
      <c r="EK306" t="e">
        <f>AND('Show Info'!B47,"AAAAAHe93Yw=")</f>
        <v>#VALUE!</v>
      </c>
      <c r="EL306" t="e">
        <f>AND('Show Info'!C47,"AAAAAHe93Y0=")</f>
        <v>#VALUE!</v>
      </c>
      <c r="EM306" t="e">
        <f>AND('Show Info'!D47,"AAAAAHe93Y4=")</f>
        <v>#VALUE!</v>
      </c>
      <c r="EN306" t="e">
        <f>AND('Show Info'!E47,"AAAAAHe93Y8=")</f>
        <v>#VALUE!</v>
      </c>
      <c r="EO306" t="e">
        <f>AND('Show Info'!F47,"AAAAAHe93ZA=")</f>
        <v>#VALUE!</v>
      </c>
      <c r="EP306" t="e">
        <f>AND('Show Info'!G47,"AAAAAHe93ZE=")</f>
        <v>#VALUE!</v>
      </c>
      <c r="EQ306" t="e">
        <f>AND('Show Info'!H47,"AAAAAHe93ZI=")</f>
        <v>#VALUE!</v>
      </c>
      <c r="ER306" t="e">
        <f>AND('Show Info'!I47,"AAAAAHe93ZM=")</f>
        <v>#VALUE!</v>
      </c>
      <c r="ES306" t="e">
        <f>AND('Show Info'!J47,"AAAAAHe93ZQ=")</f>
        <v>#VALUE!</v>
      </c>
      <c r="ET306" t="e">
        <f>AND('Show Info'!K47,"AAAAAHe93ZU=")</f>
        <v>#VALUE!</v>
      </c>
      <c r="EU306" t="e">
        <f>AND('Show Info'!L47,"AAAAAHe93ZY=")</f>
        <v>#VALUE!</v>
      </c>
      <c r="EV306" t="e">
        <f>AND('Show Info'!M47,"AAAAAHe93Zc=")</f>
        <v>#VALUE!</v>
      </c>
      <c r="EW306" t="e">
        <f>AND('Show Info'!N47,"AAAAAHe93Zg=")</f>
        <v>#VALUE!</v>
      </c>
      <c r="EX306" t="e">
        <f>AND('Show Info'!O47,"AAAAAHe93Zk=")</f>
        <v>#VALUE!</v>
      </c>
      <c r="EY306" t="e">
        <f>AND('Show Info'!P47,"AAAAAHe93Zo=")</f>
        <v>#VALUE!</v>
      </c>
      <c r="EZ306" t="e">
        <f>AND('Show Info'!Q47,"AAAAAHe93Zs=")</f>
        <v>#VALUE!</v>
      </c>
      <c r="FA306" t="e">
        <f>AND('Show Info'!R47,"AAAAAHe93Zw=")</f>
        <v>#VALUE!</v>
      </c>
      <c r="FB306" t="e">
        <f>AND('Show Info'!S47,"AAAAAHe93Z0=")</f>
        <v>#VALUE!</v>
      </c>
      <c r="FC306" t="e">
        <f>AND('Show Info'!T47,"AAAAAHe93Z4=")</f>
        <v>#VALUE!</v>
      </c>
      <c r="FD306" t="e">
        <f>AND('Show Info'!U47,"AAAAAHe93Z8=")</f>
        <v>#VALUE!</v>
      </c>
      <c r="FE306" t="e">
        <f>AND('Show Info'!V47,"AAAAAHe93aA=")</f>
        <v>#VALUE!</v>
      </c>
      <c r="FF306">
        <f>IF('Show Info'!48:48,"AAAAAHe93aE=",0)</f>
        <v>0</v>
      </c>
      <c r="FG306" t="e">
        <f>AND('Show Info'!A48,"AAAAAHe93aI=")</f>
        <v>#VALUE!</v>
      </c>
      <c r="FH306" t="e">
        <f>AND('Show Info'!B48,"AAAAAHe93aM=")</f>
        <v>#VALUE!</v>
      </c>
      <c r="FI306" t="e">
        <f>AND('Show Info'!C48,"AAAAAHe93aQ=")</f>
        <v>#VALUE!</v>
      </c>
      <c r="FJ306" t="e">
        <f>AND('Show Info'!D48,"AAAAAHe93aU=")</f>
        <v>#VALUE!</v>
      </c>
      <c r="FK306" t="e">
        <f>AND('Show Info'!E48,"AAAAAHe93aY=")</f>
        <v>#VALUE!</v>
      </c>
      <c r="FL306" t="e">
        <f>AND('Show Info'!F48,"AAAAAHe93ac=")</f>
        <v>#VALUE!</v>
      </c>
      <c r="FM306" t="e">
        <f>AND('Show Info'!G48,"AAAAAHe93ag=")</f>
        <v>#VALUE!</v>
      </c>
      <c r="FN306" t="e">
        <f>AND('Show Info'!H48,"AAAAAHe93ak=")</f>
        <v>#VALUE!</v>
      </c>
      <c r="FO306" t="e">
        <f>AND('Show Info'!I48,"AAAAAHe93ao=")</f>
        <v>#VALUE!</v>
      </c>
      <c r="FP306" t="e">
        <f>AND('Show Info'!J48,"AAAAAHe93as=")</f>
        <v>#VALUE!</v>
      </c>
      <c r="FQ306" t="e">
        <f>AND('Show Info'!K48,"AAAAAHe93aw=")</f>
        <v>#VALUE!</v>
      </c>
      <c r="FR306" t="e">
        <f>AND('Show Info'!L48,"AAAAAHe93a0=")</f>
        <v>#VALUE!</v>
      </c>
      <c r="FS306" t="e">
        <f>AND('Show Info'!M48,"AAAAAHe93a4=")</f>
        <v>#VALUE!</v>
      </c>
      <c r="FT306" t="e">
        <f>AND('Show Info'!N48,"AAAAAHe93a8=")</f>
        <v>#VALUE!</v>
      </c>
      <c r="FU306" t="e">
        <f>AND('Show Info'!O48,"AAAAAHe93bA=")</f>
        <v>#VALUE!</v>
      </c>
      <c r="FV306" t="e">
        <f>AND('Show Info'!P48,"AAAAAHe93bE=")</f>
        <v>#VALUE!</v>
      </c>
      <c r="FW306" t="e">
        <f>AND('Show Info'!Q48,"AAAAAHe93bI=")</f>
        <v>#VALUE!</v>
      </c>
      <c r="FX306" t="e">
        <f>AND('Show Info'!R48,"AAAAAHe93bM=")</f>
        <v>#VALUE!</v>
      </c>
      <c r="FY306" t="e">
        <f>AND('Show Info'!S48,"AAAAAHe93bQ=")</f>
        <v>#VALUE!</v>
      </c>
      <c r="FZ306" t="e">
        <f>AND('Show Info'!T48,"AAAAAHe93bU=")</f>
        <v>#VALUE!</v>
      </c>
      <c r="GA306" t="e">
        <f>AND('Show Info'!U48,"AAAAAHe93bY=")</f>
        <v>#VALUE!</v>
      </c>
      <c r="GB306" t="e">
        <f>AND('Show Info'!V48,"AAAAAHe93bc=")</f>
        <v>#VALUE!</v>
      </c>
      <c r="GC306">
        <f>IF('Show Info'!49:49,"AAAAAHe93bg=",0)</f>
        <v>0</v>
      </c>
      <c r="GD306" t="e">
        <f>AND('Show Info'!A49,"AAAAAHe93bk=")</f>
        <v>#VALUE!</v>
      </c>
      <c r="GE306" t="e">
        <f>AND('Show Info'!B49,"AAAAAHe93bo=")</f>
        <v>#VALUE!</v>
      </c>
      <c r="GF306" t="e">
        <f>AND('Show Info'!C49,"AAAAAHe93bs=")</f>
        <v>#VALUE!</v>
      </c>
      <c r="GG306" t="e">
        <f>AND('Show Info'!D49,"AAAAAHe93bw=")</f>
        <v>#VALUE!</v>
      </c>
      <c r="GH306" t="e">
        <f>AND('Show Info'!E49,"AAAAAHe93b0=")</f>
        <v>#VALUE!</v>
      </c>
      <c r="GI306" t="e">
        <f>AND('Show Info'!F49,"AAAAAHe93b4=")</f>
        <v>#VALUE!</v>
      </c>
      <c r="GJ306" t="e">
        <f>AND('Show Info'!G49,"AAAAAHe93b8=")</f>
        <v>#VALUE!</v>
      </c>
      <c r="GK306" t="e">
        <f>AND('Show Info'!H49,"AAAAAHe93cA=")</f>
        <v>#VALUE!</v>
      </c>
      <c r="GL306" t="e">
        <f>AND('Show Info'!I49,"AAAAAHe93cE=")</f>
        <v>#VALUE!</v>
      </c>
      <c r="GM306" t="e">
        <f>AND('Show Info'!J49,"AAAAAHe93cI=")</f>
        <v>#VALUE!</v>
      </c>
      <c r="GN306" t="e">
        <f>AND('Show Info'!K49,"AAAAAHe93cM=")</f>
        <v>#VALUE!</v>
      </c>
      <c r="GO306" t="e">
        <f>AND('Show Info'!L49,"AAAAAHe93cQ=")</f>
        <v>#VALUE!</v>
      </c>
      <c r="GP306" t="e">
        <f>AND('Show Info'!M49,"AAAAAHe93cU=")</f>
        <v>#VALUE!</v>
      </c>
      <c r="GQ306" t="e">
        <f>AND('Show Info'!N49,"AAAAAHe93cY=")</f>
        <v>#VALUE!</v>
      </c>
      <c r="GR306" t="e">
        <f>AND('Show Info'!O49,"AAAAAHe93cc=")</f>
        <v>#VALUE!</v>
      </c>
      <c r="GS306" t="e">
        <f>AND('Show Info'!P49,"AAAAAHe93cg=")</f>
        <v>#VALUE!</v>
      </c>
      <c r="GT306" t="e">
        <f>AND('Show Info'!Q49,"AAAAAHe93ck=")</f>
        <v>#VALUE!</v>
      </c>
      <c r="GU306" t="e">
        <f>AND('Show Info'!R49,"AAAAAHe93co=")</f>
        <v>#VALUE!</v>
      </c>
      <c r="GV306" t="e">
        <f>AND('Show Info'!S49,"AAAAAHe93cs=")</f>
        <v>#VALUE!</v>
      </c>
      <c r="GW306" t="e">
        <f>AND('Show Info'!T49,"AAAAAHe93cw=")</f>
        <v>#VALUE!</v>
      </c>
      <c r="GX306" t="e">
        <f>AND('Show Info'!U49,"AAAAAHe93c0=")</f>
        <v>#VALUE!</v>
      </c>
      <c r="GY306" t="e">
        <f>AND('Show Info'!V49,"AAAAAHe93c4=")</f>
        <v>#VALUE!</v>
      </c>
    </row>
    <row r="307" spans="1:256" x14ac:dyDescent="0.2">
      <c r="A307" t="e">
        <f>IF('Show Info'!90:90,"AAAAAHb2vwA=",0)</f>
        <v>#VALUE!</v>
      </c>
      <c r="B307" t="e">
        <f>AND('Show Info'!A90,"AAAAAHb2vwE=")</f>
        <v>#VALUE!</v>
      </c>
      <c r="C307" t="e">
        <f>AND('Show Info'!B90,"AAAAAHb2vwI=")</f>
        <v>#VALUE!</v>
      </c>
      <c r="D307" t="e">
        <f>AND('Show Info'!C90,"AAAAAHb2vwM=")</f>
        <v>#VALUE!</v>
      </c>
      <c r="E307" t="e">
        <f>AND('Show Info'!D90,"AAAAAHb2vwQ=")</f>
        <v>#VALUE!</v>
      </c>
      <c r="F307" t="e">
        <f>AND('Show Info'!E90,"AAAAAHb2vwU=")</f>
        <v>#VALUE!</v>
      </c>
      <c r="G307" t="e">
        <f>AND('Show Info'!F90,"AAAAAHb2vwY=")</f>
        <v>#VALUE!</v>
      </c>
      <c r="H307" t="e">
        <f>AND('Show Info'!G90,"AAAAAHb2vwc=")</f>
        <v>#VALUE!</v>
      </c>
      <c r="I307" t="e">
        <f>AND('Show Info'!H90,"AAAAAHb2vwg=")</f>
        <v>#VALUE!</v>
      </c>
      <c r="J307" t="e">
        <f>AND('Show Info'!I90,"AAAAAHb2vwk=")</f>
        <v>#VALUE!</v>
      </c>
      <c r="K307" t="e">
        <f>AND('Show Info'!J90,"AAAAAHb2vwo=")</f>
        <v>#VALUE!</v>
      </c>
      <c r="L307" t="e">
        <f>AND('Show Info'!K90,"AAAAAHb2vws=")</f>
        <v>#VALUE!</v>
      </c>
      <c r="M307" t="e">
        <f>AND('Show Info'!L90,"AAAAAHb2vww=")</f>
        <v>#VALUE!</v>
      </c>
      <c r="N307" t="e">
        <f>AND('Show Info'!M90,"AAAAAHb2vw0=")</f>
        <v>#VALUE!</v>
      </c>
      <c r="O307" t="e">
        <f>AND('Show Info'!N90,"AAAAAHb2vw4=")</f>
        <v>#VALUE!</v>
      </c>
      <c r="P307" t="e">
        <f>AND('Show Info'!O90,"AAAAAHb2vw8=")</f>
        <v>#VALUE!</v>
      </c>
      <c r="Q307" t="e">
        <f>AND('Show Info'!P90,"AAAAAHb2vxA=")</f>
        <v>#VALUE!</v>
      </c>
      <c r="R307" t="e">
        <f>AND('Show Info'!Q90,"AAAAAHb2vxE=")</f>
        <v>#VALUE!</v>
      </c>
      <c r="S307" t="e">
        <f>AND('Show Info'!R90,"AAAAAHb2vxI=")</f>
        <v>#VALUE!</v>
      </c>
      <c r="T307" t="e">
        <f>AND('Show Info'!S90,"AAAAAHb2vxM=")</f>
        <v>#VALUE!</v>
      </c>
      <c r="U307" t="e">
        <f>AND('Show Info'!T90,"AAAAAHb2vxQ=")</f>
        <v>#VALUE!</v>
      </c>
      <c r="V307" t="e">
        <f>AND('Show Info'!U90,"AAAAAHb2vxU=")</f>
        <v>#VALUE!</v>
      </c>
      <c r="W307" t="e">
        <f>AND('Show Info'!V90,"AAAAAHb2vxY=")</f>
        <v>#VALUE!</v>
      </c>
      <c r="X307">
        <f>IF('Show Info'!91:91,"AAAAAHb2vxc=",0)</f>
        <v>0</v>
      </c>
      <c r="Y307" t="e">
        <f>AND('Show Info'!A91,"AAAAAHb2vxg=")</f>
        <v>#VALUE!</v>
      </c>
      <c r="Z307" t="e">
        <f>AND('Show Info'!B91,"AAAAAHb2vxk=")</f>
        <v>#VALUE!</v>
      </c>
      <c r="AA307" t="e">
        <f>AND('Show Info'!C91,"AAAAAHb2vxo=")</f>
        <v>#VALUE!</v>
      </c>
      <c r="AB307" t="e">
        <f>AND('Show Info'!D91,"AAAAAHb2vxs=")</f>
        <v>#VALUE!</v>
      </c>
      <c r="AC307" t="e">
        <f>AND('Show Info'!E91,"AAAAAHb2vxw=")</f>
        <v>#VALUE!</v>
      </c>
      <c r="AD307" t="e">
        <f>AND('Show Info'!F91,"AAAAAHb2vx0=")</f>
        <v>#VALUE!</v>
      </c>
      <c r="AE307" t="e">
        <f>AND('Show Info'!G91,"AAAAAHb2vx4=")</f>
        <v>#VALUE!</v>
      </c>
      <c r="AF307" t="e">
        <f>AND('Show Info'!H91,"AAAAAHb2vx8=")</f>
        <v>#VALUE!</v>
      </c>
      <c r="AG307" t="e">
        <f>AND('Show Info'!I91,"AAAAAHb2vyA=")</f>
        <v>#VALUE!</v>
      </c>
      <c r="AH307" t="e">
        <f>AND('Show Info'!J91,"AAAAAHb2vyE=")</f>
        <v>#VALUE!</v>
      </c>
      <c r="AI307" t="e">
        <f>AND('Show Info'!K91,"AAAAAHb2vyI=")</f>
        <v>#VALUE!</v>
      </c>
      <c r="AJ307" t="e">
        <f>AND('Show Info'!L91,"AAAAAHb2vyM=")</f>
        <v>#VALUE!</v>
      </c>
      <c r="AK307" t="e">
        <f>AND('Show Info'!M91,"AAAAAHb2vyQ=")</f>
        <v>#VALUE!</v>
      </c>
      <c r="AL307" t="e">
        <f>AND('Show Info'!N91,"AAAAAHb2vyU=")</f>
        <v>#VALUE!</v>
      </c>
      <c r="AM307" t="e">
        <f>AND('Show Info'!O91,"AAAAAHb2vyY=")</f>
        <v>#VALUE!</v>
      </c>
      <c r="AN307" t="e">
        <f>AND('Show Info'!P91,"AAAAAHb2vyc=")</f>
        <v>#VALUE!</v>
      </c>
      <c r="AO307" t="e">
        <f>AND('Show Info'!Q91,"AAAAAHb2vyg=")</f>
        <v>#VALUE!</v>
      </c>
      <c r="AP307" t="e">
        <f>AND('Show Info'!R91,"AAAAAHb2vyk=")</f>
        <v>#VALUE!</v>
      </c>
      <c r="AQ307" t="e">
        <f>AND('Show Info'!S91,"AAAAAHb2vyo=")</f>
        <v>#VALUE!</v>
      </c>
      <c r="AR307" t="e">
        <f>AND('Show Info'!T91,"AAAAAHb2vys=")</f>
        <v>#VALUE!</v>
      </c>
      <c r="AS307" t="e">
        <f>AND('Show Info'!U91,"AAAAAHb2vyw=")</f>
        <v>#VALUE!</v>
      </c>
      <c r="AT307" t="e">
        <f>AND('Show Info'!V91,"AAAAAHb2vy0=")</f>
        <v>#VALUE!</v>
      </c>
      <c r="AU307">
        <f>IF('Show Info'!92:92,"AAAAAHb2vy4=",0)</f>
        <v>0</v>
      </c>
      <c r="AV307" t="e">
        <f>AND('Show Info'!A92,"AAAAAHb2vy8=")</f>
        <v>#VALUE!</v>
      </c>
      <c r="AW307" t="e">
        <f>AND('Show Info'!B92,"AAAAAHb2vzA=")</f>
        <v>#VALUE!</v>
      </c>
      <c r="AX307" t="e">
        <f>AND('Show Info'!C92,"AAAAAHb2vzE=")</f>
        <v>#VALUE!</v>
      </c>
      <c r="AY307" t="e">
        <f>AND('Show Info'!D92,"AAAAAHb2vzI=")</f>
        <v>#VALUE!</v>
      </c>
      <c r="AZ307" t="e">
        <f>AND('Show Info'!E92,"AAAAAHb2vzM=")</f>
        <v>#VALUE!</v>
      </c>
      <c r="BA307" t="e">
        <f>AND('Show Info'!F92,"AAAAAHb2vzQ=")</f>
        <v>#VALUE!</v>
      </c>
      <c r="BB307" t="e">
        <f>AND('Show Info'!G92,"AAAAAHb2vzU=")</f>
        <v>#VALUE!</v>
      </c>
      <c r="BC307" t="e">
        <f>AND('Show Info'!H92,"AAAAAHb2vzY=")</f>
        <v>#VALUE!</v>
      </c>
      <c r="BD307" t="e">
        <f>AND('Show Info'!I92,"AAAAAHb2vzc=")</f>
        <v>#VALUE!</v>
      </c>
      <c r="BE307" t="e">
        <f>AND('Show Info'!J92,"AAAAAHb2vzg=")</f>
        <v>#VALUE!</v>
      </c>
      <c r="BF307" t="e">
        <f>AND('Show Info'!K92,"AAAAAHb2vzk=")</f>
        <v>#VALUE!</v>
      </c>
      <c r="BG307" t="e">
        <f>AND('Show Info'!L92,"AAAAAHb2vzo=")</f>
        <v>#VALUE!</v>
      </c>
      <c r="BH307" t="e">
        <f>AND('Show Info'!M92,"AAAAAHb2vzs=")</f>
        <v>#VALUE!</v>
      </c>
      <c r="BI307" t="e">
        <f>AND('Show Info'!N92,"AAAAAHb2vzw=")</f>
        <v>#VALUE!</v>
      </c>
      <c r="BJ307" t="e">
        <f>AND('Show Info'!O92,"AAAAAHb2vz0=")</f>
        <v>#VALUE!</v>
      </c>
      <c r="BK307" t="e">
        <f>AND('Show Info'!P92,"AAAAAHb2vz4=")</f>
        <v>#VALUE!</v>
      </c>
      <c r="BL307" t="e">
        <f>AND('Show Info'!Q92,"AAAAAHb2vz8=")</f>
        <v>#VALUE!</v>
      </c>
      <c r="BM307" t="e">
        <f>AND('Show Info'!R92,"AAAAAHb2v0A=")</f>
        <v>#VALUE!</v>
      </c>
      <c r="BN307" t="e">
        <f>AND('Show Info'!S92,"AAAAAHb2v0E=")</f>
        <v>#VALUE!</v>
      </c>
      <c r="BO307" t="e">
        <f>AND('Show Info'!T92,"AAAAAHb2v0I=")</f>
        <v>#VALUE!</v>
      </c>
      <c r="BP307" t="e">
        <f>AND('Show Info'!U92,"AAAAAHb2v0M=")</f>
        <v>#VALUE!</v>
      </c>
      <c r="BQ307" t="e">
        <f>AND('Show Info'!V92,"AAAAAHb2v0Q=")</f>
        <v>#VALUE!</v>
      </c>
      <c r="BR307">
        <f>IF('Show Info'!93:93,"AAAAAHb2v0U=",0)</f>
        <v>0</v>
      </c>
      <c r="BS307" t="e">
        <f>AND('Show Info'!A93,"AAAAAHb2v0Y=")</f>
        <v>#VALUE!</v>
      </c>
      <c r="BT307" t="e">
        <f>AND('Show Info'!B93,"AAAAAHb2v0c=")</f>
        <v>#VALUE!</v>
      </c>
      <c r="BU307" t="e">
        <f>AND('Show Info'!C93,"AAAAAHb2v0g=")</f>
        <v>#VALUE!</v>
      </c>
      <c r="BV307" t="e">
        <f>AND('Show Info'!D93,"AAAAAHb2v0k=")</f>
        <v>#VALUE!</v>
      </c>
      <c r="BW307" t="e">
        <f>AND('Show Info'!E93,"AAAAAHb2v0o=")</f>
        <v>#VALUE!</v>
      </c>
      <c r="BX307" t="e">
        <f>AND('Show Info'!F93,"AAAAAHb2v0s=")</f>
        <v>#VALUE!</v>
      </c>
      <c r="BY307" t="e">
        <f>AND('Show Info'!G93,"AAAAAHb2v0w=")</f>
        <v>#VALUE!</v>
      </c>
      <c r="BZ307" t="e">
        <f>AND('Show Info'!H93,"AAAAAHb2v00=")</f>
        <v>#VALUE!</v>
      </c>
      <c r="CA307" t="e">
        <f>AND('Show Info'!I93,"AAAAAHb2v04=")</f>
        <v>#VALUE!</v>
      </c>
      <c r="CB307" t="e">
        <f>AND('Show Info'!J93,"AAAAAHb2v08=")</f>
        <v>#VALUE!</v>
      </c>
      <c r="CC307" t="e">
        <f>AND('Show Info'!K93,"AAAAAHb2v1A=")</f>
        <v>#VALUE!</v>
      </c>
      <c r="CD307" t="e">
        <f>AND('Show Info'!L93,"AAAAAHb2v1E=")</f>
        <v>#VALUE!</v>
      </c>
      <c r="CE307" t="e">
        <f>AND('Show Info'!M93,"AAAAAHb2v1I=")</f>
        <v>#VALUE!</v>
      </c>
      <c r="CF307" t="e">
        <f>AND('Show Info'!N93,"AAAAAHb2v1M=")</f>
        <v>#VALUE!</v>
      </c>
      <c r="CG307" t="e">
        <f>AND('Show Info'!O93,"AAAAAHb2v1Q=")</f>
        <v>#VALUE!</v>
      </c>
      <c r="CH307" t="e">
        <f>AND('Show Info'!P93,"AAAAAHb2v1U=")</f>
        <v>#VALUE!</v>
      </c>
      <c r="CI307" t="e">
        <f>AND('Show Info'!Q93,"AAAAAHb2v1Y=")</f>
        <v>#VALUE!</v>
      </c>
      <c r="CJ307" t="e">
        <f>AND('Show Info'!R93,"AAAAAHb2v1c=")</f>
        <v>#VALUE!</v>
      </c>
      <c r="CK307" t="e">
        <f>AND('Show Info'!S93,"AAAAAHb2v1g=")</f>
        <v>#VALUE!</v>
      </c>
      <c r="CL307" t="e">
        <f>AND('Show Info'!T93,"AAAAAHb2v1k=")</f>
        <v>#VALUE!</v>
      </c>
      <c r="CM307" t="e">
        <f>AND('Show Info'!U93,"AAAAAHb2v1o=")</f>
        <v>#VALUE!</v>
      </c>
      <c r="CN307" t="e">
        <f>AND('Show Info'!V93,"AAAAAHb2v1s=")</f>
        <v>#VALUE!</v>
      </c>
      <c r="CO307">
        <f>IF('Show Info'!94:94,"AAAAAHb2v1w=",0)</f>
        <v>0</v>
      </c>
      <c r="CP307" t="e">
        <f>AND('Show Info'!A94,"AAAAAHb2v10=")</f>
        <v>#VALUE!</v>
      </c>
      <c r="CQ307" t="e">
        <f>AND('Show Info'!B94,"AAAAAHb2v14=")</f>
        <v>#VALUE!</v>
      </c>
      <c r="CR307" t="e">
        <f>AND('Show Info'!C94,"AAAAAHb2v18=")</f>
        <v>#VALUE!</v>
      </c>
      <c r="CS307" t="e">
        <f>AND('Show Info'!D94,"AAAAAHb2v2A=")</f>
        <v>#VALUE!</v>
      </c>
      <c r="CT307" t="e">
        <f>AND('Show Info'!E94,"AAAAAHb2v2E=")</f>
        <v>#VALUE!</v>
      </c>
      <c r="CU307" t="e">
        <f>AND('Show Info'!F94,"AAAAAHb2v2I=")</f>
        <v>#VALUE!</v>
      </c>
      <c r="CV307" t="e">
        <f>AND('Show Info'!G94,"AAAAAHb2v2M=")</f>
        <v>#VALUE!</v>
      </c>
      <c r="CW307" t="e">
        <f>AND('Show Info'!H94,"AAAAAHb2v2Q=")</f>
        <v>#VALUE!</v>
      </c>
      <c r="CX307" t="e">
        <f>AND('Show Info'!I94,"AAAAAHb2v2U=")</f>
        <v>#VALUE!</v>
      </c>
      <c r="CY307" t="e">
        <f>AND('Show Info'!J94,"AAAAAHb2v2Y=")</f>
        <v>#VALUE!</v>
      </c>
      <c r="CZ307" t="e">
        <f>AND('Show Info'!K94,"AAAAAHb2v2c=")</f>
        <v>#VALUE!</v>
      </c>
      <c r="DA307" t="e">
        <f>AND('Show Info'!L94,"AAAAAHb2v2g=")</f>
        <v>#VALUE!</v>
      </c>
      <c r="DB307" t="e">
        <f>AND('Show Info'!M94,"AAAAAHb2v2k=")</f>
        <v>#VALUE!</v>
      </c>
      <c r="DC307" t="e">
        <f>AND('Show Info'!N94,"AAAAAHb2v2o=")</f>
        <v>#VALUE!</v>
      </c>
      <c r="DD307" t="e">
        <f>AND('Show Info'!O94,"AAAAAHb2v2s=")</f>
        <v>#VALUE!</v>
      </c>
      <c r="DE307" t="e">
        <f>AND('Show Info'!P94,"AAAAAHb2v2w=")</f>
        <v>#VALUE!</v>
      </c>
      <c r="DF307" t="e">
        <f>AND('Show Info'!Q94,"AAAAAHb2v20=")</f>
        <v>#VALUE!</v>
      </c>
      <c r="DG307" t="e">
        <f>AND('Show Info'!R94,"AAAAAHb2v24=")</f>
        <v>#VALUE!</v>
      </c>
      <c r="DH307" t="e">
        <f>AND('Show Info'!S94,"AAAAAHb2v28=")</f>
        <v>#VALUE!</v>
      </c>
      <c r="DI307" t="e">
        <f>AND('Show Info'!T94,"AAAAAHb2v3A=")</f>
        <v>#VALUE!</v>
      </c>
      <c r="DJ307" t="e">
        <f>AND('Show Info'!U94,"AAAAAHb2v3E=")</f>
        <v>#VALUE!</v>
      </c>
      <c r="DK307" t="e">
        <f>AND('Show Info'!V94,"AAAAAHb2v3I=")</f>
        <v>#VALUE!</v>
      </c>
      <c r="DL307">
        <f>IF('Show Info'!95:95,"AAAAAHb2v3M=",0)</f>
        <v>0</v>
      </c>
      <c r="DM307" t="e">
        <f>AND('Show Info'!A95,"AAAAAHb2v3Q=")</f>
        <v>#VALUE!</v>
      </c>
      <c r="DN307" t="e">
        <f>AND('Show Info'!B95,"AAAAAHb2v3U=")</f>
        <v>#VALUE!</v>
      </c>
      <c r="DO307" t="e">
        <f>AND('Show Info'!C95,"AAAAAHb2v3Y=")</f>
        <v>#VALUE!</v>
      </c>
      <c r="DP307" t="e">
        <f>AND('Show Info'!D95,"AAAAAHb2v3c=")</f>
        <v>#VALUE!</v>
      </c>
      <c r="DQ307" t="e">
        <f>AND('Show Info'!E95,"AAAAAHb2v3g=")</f>
        <v>#VALUE!</v>
      </c>
      <c r="DR307" t="e">
        <f>AND('Show Info'!F95,"AAAAAHb2v3k=")</f>
        <v>#VALUE!</v>
      </c>
      <c r="DS307" t="e">
        <f>AND('Show Info'!G95,"AAAAAHb2v3o=")</f>
        <v>#VALUE!</v>
      </c>
      <c r="DT307" t="e">
        <f>AND('Show Info'!H95,"AAAAAHb2v3s=")</f>
        <v>#VALUE!</v>
      </c>
      <c r="DU307" t="e">
        <f>AND('Show Info'!I95,"AAAAAHb2v3w=")</f>
        <v>#VALUE!</v>
      </c>
      <c r="DV307" t="e">
        <f>AND('Show Info'!J95,"AAAAAHb2v30=")</f>
        <v>#VALUE!</v>
      </c>
      <c r="DW307" t="e">
        <f>AND('Show Info'!K95,"AAAAAHb2v34=")</f>
        <v>#VALUE!</v>
      </c>
      <c r="DX307" t="e">
        <f>AND('Show Info'!L95,"AAAAAHb2v38=")</f>
        <v>#VALUE!</v>
      </c>
      <c r="DY307" t="e">
        <f>AND('Show Info'!M95,"AAAAAHb2v4A=")</f>
        <v>#VALUE!</v>
      </c>
      <c r="DZ307" t="e">
        <f>AND('Show Info'!N95,"AAAAAHb2v4E=")</f>
        <v>#VALUE!</v>
      </c>
      <c r="EA307" t="e">
        <f>AND('Show Info'!O95,"AAAAAHb2v4I=")</f>
        <v>#VALUE!</v>
      </c>
      <c r="EB307" t="e">
        <f>AND('Show Info'!P95,"AAAAAHb2v4M=")</f>
        <v>#VALUE!</v>
      </c>
      <c r="EC307" t="e">
        <f>AND('Show Info'!Q95,"AAAAAHb2v4Q=")</f>
        <v>#VALUE!</v>
      </c>
      <c r="ED307" t="e">
        <f>AND('Show Info'!R95,"AAAAAHb2v4U=")</f>
        <v>#VALUE!</v>
      </c>
      <c r="EE307" t="e">
        <f>AND('Show Info'!S95,"AAAAAHb2v4Y=")</f>
        <v>#VALUE!</v>
      </c>
      <c r="EF307" t="e">
        <f>AND('Show Info'!T95,"AAAAAHb2v4c=")</f>
        <v>#VALUE!</v>
      </c>
      <c r="EG307" t="e">
        <f>AND('Show Info'!U95,"AAAAAHb2v4g=")</f>
        <v>#VALUE!</v>
      </c>
      <c r="EH307" t="e">
        <f>AND('Show Info'!V95,"AAAAAHb2v4k=")</f>
        <v>#VALUE!</v>
      </c>
      <c r="EI307">
        <f>IF('Show Info'!96:96,"AAAAAHb2v4o=",0)</f>
        <v>0</v>
      </c>
      <c r="EJ307" t="e">
        <f>AND('Show Info'!A96,"AAAAAHb2v4s=")</f>
        <v>#VALUE!</v>
      </c>
      <c r="EK307" t="e">
        <f>AND('Show Info'!B96,"AAAAAHb2v4w=")</f>
        <v>#VALUE!</v>
      </c>
      <c r="EL307" t="e">
        <f>AND('Show Info'!C96,"AAAAAHb2v40=")</f>
        <v>#VALUE!</v>
      </c>
      <c r="EM307" t="e">
        <f>AND('Show Info'!D96,"AAAAAHb2v44=")</f>
        <v>#VALUE!</v>
      </c>
      <c r="EN307" t="e">
        <f>AND('Show Info'!E96,"AAAAAHb2v48=")</f>
        <v>#VALUE!</v>
      </c>
      <c r="EO307" t="e">
        <f>AND('Show Info'!F96,"AAAAAHb2v5A=")</f>
        <v>#VALUE!</v>
      </c>
      <c r="EP307" t="e">
        <f>AND('Show Info'!G96,"AAAAAHb2v5E=")</f>
        <v>#VALUE!</v>
      </c>
      <c r="EQ307" t="e">
        <f>AND('Show Info'!H96,"AAAAAHb2v5I=")</f>
        <v>#VALUE!</v>
      </c>
      <c r="ER307" t="e">
        <f>AND('Show Info'!I96,"AAAAAHb2v5M=")</f>
        <v>#VALUE!</v>
      </c>
      <c r="ES307" t="e">
        <f>AND('Show Info'!J96,"AAAAAHb2v5Q=")</f>
        <v>#VALUE!</v>
      </c>
      <c r="ET307" t="e">
        <f>AND('Show Info'!K96,"AAAAAHb2v5U=")</f>
        <v>#VALUE!</v>
      </c>
      <c r="EU307" t="e">
        <f>AND('Show Info'!L96,"AAAAAHb2v5Y=")</f>
        <v>#VALUE!</v>
      </c>
      <c r="EV307" t="e">
        <f>AND('Show Info'!M96,"AAAAAHb2v5c=")</f>
        <v>#VALUE!</v>
      </c>
      <c r="EW307" t="e">
        <f>AND('Show Info'!N96,"AAAAAHb2v5g=")</f>
        <v>#VALUE!</v>
      </c>
      <c r="EX307" t="e">
        <f>AND('Show Info'!O96,"AAAAAHb2v5k=")</f>
        <v>#VALUE!</v>
      </c>
      <c r="EY307" t="e">
        <f>AND('Show Info'!P96,"AAAAAHb2v5o=")</f>
        <v>#VALUE!</v>
      </c>
      <c r="EZ307" t="e">
        <f>AND('Show Info'!Q96,"AAAAAHb2v5s=")</f>
        <v>#VALUE!</v>
      </c>
      <c r="FA307" t="e">
        <f>AND('Show Info'!R96,"AAAAAHb2v5w=")</f>
        <v>#VALUE!</v>
      </c>
      <c r="FB307" t="e">
        <f>AND('Show Info'!S96,"AAAAAHb2v50=")</f>
        <v>#VALUE!</v>
      </c>
      <c r="FC307" t="e">
        <f>AND('Show Info'!T96,"AAAAAHb2v54=")</f>
        <v>#VALUE!</v>
      </c>
      <c r="FD307" t="e">
        <f>AND('Show Info'!U96,"AAAAAHb2v58=")</f>
        <v>#VALUE!</v>
      </c>
      <c r="FE307" t="e">
        <f>AND('Show Info'!V96,"AAAAAHb2v6A=")</f>
        <v>#VALUE!</v>
      </c>
      <c r="FF307">
        <f>IF('Show Info'!97:97,"AAAAAHb2v6E=",0)</f>
        <v>0</v>
      </c>
      <c r="FG307" t="e">
        <f>AND('Show Info'!A97,"AAAAAHb2v6I=")</f>
        <v>#VALUE!</v>
      </c>
      <c r="FH307" t="e">
        <f>AND('Show Info'!B97,"AAAAAHb2v6M=")</f>
        <v>#VALUE!</v>
      </c>
      <c r="FI307" t="e">
        <f>AND('Show Info'!C97,"AAAAAHb2v6Q=")</f>
        <v>#VALUE!</v>
      </c>
      <c r="FJ307" t="e">
        <f>AND('Show Info'!D97,"AAAAAHb2v6U=")</f>
        <v>#VALUE!</v>
      </c>
      <c r="FK307" t="e">
        <f>AND('Show Info'!E97,"AAAAAHb2v6Y=")</f>
        <v>#VALUE!</v>
      </c>
      <c r="FL307" t="e">
        <f>AND('Show Info'!F97,"AAAAAHb2v6c=")</f>
        <v>#VALUE!</v>
      </c>
      <c r="FM307" t="e">
        <f>AND('Show Info'!G97,"AAAAAHb2v6g=")</f>
        <v>#VALUE!</v>
      </c>
      <c r="FN307" t="e">
        <f>AND('Show Info'!H97,"AAAAAHb2v6k=")</f>
        <v>#VALUE!</v>
      </c>
      <c r="FO307" t="e">
        <f>AND('Show Info'!I97,"AAAAAHb2v6o=")</f>
        <v>#VALUE!</v>
      </c>
      <c r="FP307" t="e">
        <f>AND('Show Info'!J97,"AAAAAHb2v6s=")</f>
        <v>#VALUE!</v>
      </c>
      <c r="FQ307" t="e">
        <f>AND('Show Info'!K97,"AAAAAHb2v6w=")</f>
        <v>#VALUE!</v>
      </c>
      <c r="FR307" t="e">
        <f>AND('Show Info'!L97,"AAAAAHb2v60=")</f>
        <v>#VALUE!</v>
      </c>
      <c r="FS307" t="e">
        <f>AND('Show Info'!M97,"AAAAAHb2v64=")</f>
        <v>#VALUE!</v>
      </c>
      <c r="FT307" t="e">
        <f>AND('Show Info'!N97,"AAAAAHb2v68=")</f>
        <v>#VALUE!</v>
      </c>
      <c r="FU307" t="e">
        <f>AND('Show Info'!O97,"AAAAAHb2v7A=")</f>
        <v>#VALUE!</v>
      </c>
      <c r="FV307" t="e">
        <f>AND('Show Info'!P97,"AAAAAHb2v7E=")</f>
        <v>#VALUE!</v>
      </c>
      <c r="FW307" t="e">
        <f>AND('Show Info'!Q97,"AAAAAHb2v7I=")</f>
        <v>#VALUE!</v>
      </c>
      <c r="FX307" t="e">
        <f>AND('Show Info'!R97,"AAAAAHb2v7M=")</f>
        <v>#VALUE!</v>
      </c>
      <c r="FY307" t="e">
        <f>AND('Show Info'!S97,"AAAAAHb2v7Q=")</f>
        <v>#VALUE!</v>
      </c>
      <c r="FZ307" t="e">
        <f>AND('Show Info'!T97,"AAAAAHb2v7U=")</f>
        <v>#VALUE!</v>
      </c>
      <c r="GA307" t="e">
        <f>AND('Show Info'!U97,"AAAAAHb2v7Y=")</f>
        <v>#VALUE!</v>
      </c>
      <c r="GB307" t="e">
        <f>AND('Show Info'!V97,"AAAAAHb2v7c=")</f>
        <v>#VALUE!</v>
      </c>
      <c r="GC307">
        <f>IF('Show Info'!98:98,"AAAAAHb2v7g=",0)</f>
        <v>0</v>
      </c>
      <c r="GD307" t="e">
        <f>AND('Show Info'!A98,"AAAAAHb2v7k=")</f>
        <v>#VALUE!</v>
      </c>
      <c r="GE307" t="e">
        <f>AND('Show Info'!B98,"AAAAAHb2v7o=")</f>
        <v>#VALUE!</v>
      </c>
      <c r="GF307" t="e">
        <f>AND('Show Info'!C98,"AAAAAHb2v7s=")</f>
        <v>#VALUE!</v>
      </c>
      <c r="GG307" t="e">
        <f>AND('Show Info'!D98,"AAAAAHb2v7w=")</f>
        <v>#VALUE!</v>
      </c>
      <c r="GH307" t="e">
        <f>AND('Show Info'!E98,"AAAAAHb2v70=")</f>
        <v>#VALUE!</v>
      </c>
      <c r="GI307" t="e">
        <f>AND('Show Info'!F98,"AAAAAHb2v74=")</f>
        <v>#VALUE!</v>
      </c>
      <c r="GJ307" t="e">
        <f>AND('Show Info'!G98,"AAAAAHb2v78=")</f>
        <v>#VALUE!</v>
      </c>
      <c r="GK307" t="e">
        <f>AND('Show Info'!H98,"AAAAAHb2v8A=")</f>
        <v>#VALUE!</v>
      </c>
      <c r="GL307" t="e">
        <f>AND('Show Info'!I98,"AAAAAHb2v8E=")</f>
        <v>#VALUE!</v>
      </c>
      <c r="GM307" t="e">
        <f>AND('Show Info'!J98,"AAAAAHb2v8I=")</f>
        <v>#VALUE!</v>
      </c>
      <c r="GN307" t="e">
        <f>AND('Show Info'!K98,"AAAAAHb2v8M=")</f>
        <v>#VALUE!</v>
      </c>
      <c r="GO307" t="e">
        <f>AND('Show Info'!L98,"AAAAAHb2v8Q=")</f>
        <v>#VALUE!</v>
      </c>
      <c r="GP307" t="e">
        <f>AND('Show Info'!M98,"AAAAAHb2v8U=")</f>
        <v>#VALUE!</v>
      </c>
      <c r="GQ307" t="e">
        <f>AND('Show Info'!N98,"AAAAAHb2v8Y=")</f>
        <v>#VALUE!</v>
      </c>
      <c r="GR307" t="e">
        <f>AND('Show Info'!O98,"AAAAAHb2v8c=")</f>
        <v>#VALUE!</v>
      </c>
      <c r="GS307" t="e">
        <f>AND('Show Info'!P98,"AAAAAHb2v8g=")</f>
        <v>#VALUE!</v>
      </c>
      <c r="GT307" t="e">
        <f>AND('Show Info'!Q98,"AAAAAHb2v8k=")</f>
        <v>#VALUE!</v>
      </c>
      <c r="GU307" t="e">
        <f>AND('Show Info'!R98,"AAAAAHb2v8o=")</f>
        <v>#VALUE!</v>
      </c>
      <c r="GV307" t="e">
        <f>AND('Show Info'!S98,"AAAAAHb2v8s=")</f>
        <v>#VALUE!</v>
      </c>
      <c r="GW307" t="e">
        <f>AND('Show Info'!T98,"AAAAAHb2v8w=")</f>
        <v>#VALUE!</v>
      </c>
      <c r="GX307" t="e">
        <f>AND('Show Info'!U98,"AAAAAHb2v80=")</f>
        <v>#VALUE!</v>
      </c>
      <c r="GY307" t="e">
        <f>AND('Show Info'!V98,"AAAAAHb2v84=")</f>
        <v>#VALUE!</v>
      </c>
      <c r="GZ307">
        <f>IF('Show Info'!99:99,"AAAAAHb2v88=",0)</f>
        <v>0</v>
      </c>
      <c r="HA307" t="e">
        <f>AND('Show Info'!A99,"AAAAAHb2v9A=")</f>
        <v>#VALUE!</v>
      </c>
      <c r="HB307" t="e">
        <f>AND('Show Info'!B99,"AAAAAHb2v9E=")</f>
        <v>#VALUE!</v>
      </c>
      <c r="HC307" t="e">
        <f>AND('Show Info'!C99,"AAAAAHb2v9I=")</f>
        <v>#VALUE!</v>
      </c>
      <c r="HD307" t="e">
        <f>AND('Show Info'!D99,"AAAAAHb2v9M=")</f>
        <v>#VALUE!</v>
      </c>
      <c r="HE307" t="e">
        <f>AND('Show Info'!E99,"AAAAAHb2v9Q=")</f>
        <v>#VALUE!</v>
      </c>
      <c r="HF307" t="e">
        <f>AND('Show Info'!F99,"AAAAAHb2v9U=")</f>
        <v>#VALUE!</v>
      </c>
      <c r="HG307" t="e">
        <f>AND('Show Info'!G99,"AAAAAHb2v9Y=")</f>
        <v>#VALUE!</v>
      </c>
      <c r="HH307" t="e">
        <f>AND('Show Info'!H99,"AAAAAHb2v9c=")</f>
        <v>#VALUE!</v>
      </c>
      <c r="HI307" t="e">
        <f>AND('Show Info'!I99,"AAAAAHb2v9g=")</f>
        <v>#VALUE!</v>
      </c>
      <c r="HJ307" t="e">
        <f>AND('Show Info'!J99,"AAAAAHb2v9k=")</f>
        <v>#VALUE!</v>
      </c>
      <c r="HK307" t="e">
        <f>AND('Show Info'!K99,"AAAAAHb2v9o=")</f>
        <v>#VALUE!</v>
      </c>
      <c r="HL307" t="e">
        <f>AND('Show Info'!L99,"AAAAAHb2v9s=")</f>
        <v>#VALUE!</v>
      </c>
      <c r="HM307" t="e">
        <f>AND('Show Info'!M99,"AAAAAHb2v9w=")</f>
        <v>#VALUE!</v>
      </c>
      <c r="HN307" t="e">
        <f>AND('Show Info'!N99,"AAAAAHb2v90=")</f>
        <v>#VALUE!</v>
      </c>
      <c r="HO307" t="e">
        <f>AND('Show Info'!O99,"AAAAAHb2v94=")</f>
        <v>#VALUE!</v>
      </c>
      <c r="HP307" t="e">
        <f>AND('Show Info'!P99,"AAAAAHb2v98=")</f>
        <v>#VALUE!</v>
      </c>
      <c r="HQ307" t="e">
        <f>AND('Show Info'!Q99,"AAAAAHb2v+A=")</f>
        <v>#VALUE!</v>
      </c>
      <c r="HR307" t="e">
        <f>AND('Show Info'!R99,"AAAAAHb2v+E=")</f>
        <v>#VALUE!</v>
      </c>
      <c r="HS307" t="e">
        <f>AND('Show Info'!S99,"AAAAAHb2v+I=")</f>
        <v>#VALUE!</v>
      </c>
      <c r="HT307" t="e">
        <f>AND('Show Info'!T99,"AAAAAHb2v+M=")</f>
        <v>#VALUE!</v>
      </c>
      <c r="HU307" t="e">
        <f>AND('Show Info'!U99,"AAAAAHb2v+Q=")</f>
        <v>#VALUE!</v>
      </c>
      <c r="HV307" t="e">
        <f>AND('Show Info'!V99,"AAAAAHb2v+U=")</f>
        <v>#VALUE!</v>
      </c>
      <c r="HW307">
        <f>IF('Show Info'!100:100,"AAAAAHb2v+Y=",0)</f>
        <v>0</v>
      </c>
      <c r="HX307" t="e">
        <f>AND('Show Info'!A100,"AAAAAHb2v+c=")</f>
        <v>#VALUE!</v>
      </c>
      <c r="HY307" t="e">
        <f>AND('Show Info'!B100,"AAAAAHb2v+g=")</f>
        <v>#VALUE!</v>
      </c>
      <c r="HZ307" t="e">
        <f>AND('Show Info'!C100,"AAAAAHb2v+k=")</f>
        <v>#VALUE!</v>
      </c>
      <c r="IA307" t="e">
        <f>AND('Show Info'!D100,"AAAAAHb2v+o=")</f>
        <v>#VALUE!</v>
      </c>
      <c r="IB307" t="e">
        <f>AND('Show Info'!E100,"AAAAAHb2v+s=")</f>
        <v>#VALUE!</v>
      </c>
      <c r="IC307" t="e">
        <f>AND('Show Info'!F100,"AAAAAHb2v+w=")</f>
        <v>#VALUE!</v>
      </c>
      <c r="ID307" t="e">
        <f>AND('Show Info'!G100,"AAAAAHb2v+0=")</f>
        <v>#VALUE!</v>
      </c>
      <c r="IE307" t="e">
        <f>AND('Show Info'!H100,"AAAAAHb2v+4=")</f>
        <v>#VALUE!</v>
      </c>
      <c r="IF307" t="e">
        <f>AND('Show Info'!I100,"AAAAAHb2v+8=")</f>
        <v>#VALUE!</v>
      </c>
      <c r="IG307" t="e">
        <f>AND('Show Info'!J100,"AAAAAHb2v/A=")</f>
        <v>#VALUE!</v>
      </c>
      <c r="IH307" t="e">
        <f>AND('Show Info'!K100,"AAAAAHb2v/E=")</f>
        <v>#VALUE!</v>
      </c>
      <c r="II307" t="e">
        <f>AND('Show Info'!L100,"AAAAAHb2v/I=")</f>
        <v>#VALUE!</v>
      </c>
      <c r="IJ307" t="e">
        <f>AND('Show Info'!M100,"AAAAAHb2v/M=")</f>
        <v>#VALUE!</v>
      </c>
      <c r="IK307" t="e">
        <f>AND('Show Info'!N100,"AAAAAHb2v/Q=")</f>
        <v>#VALUE!</v>
      </c>
      <c r="IL307" t="e">
        <f>AND('Show Info'!O100,"AAAAAHb2v/U=")</f>
        <v>#VALUE!</v>
      </c>
      <c r="IM307" t="e">
        <f>AND('Show Info'!P100,"AAAAAHb2v/Y=")</f>
        <v>#VALUE!</v>
      </c>
      <c r="IN307" t="e">
        <f>AND('Show Info'!Q100,"AAAAAHb2v/c=")</f>
        <v>#VALUE!</v>
      </c>
      <c r="IO307" t="e">
        <f>AND('Show Info'!R100,"AAAAAHb2v/g=")</f>
        <v>#VALUE!</v>
      </c>
      <c r="IP307" t="e">
        <f>AND('Show Info'!S100,"AAAAAHb2v/k=")</f>
        <v>#VALUE!</v>
      </c>
      <c r="IQ307" t="e">
        <f>AND('Show Info'!T100,"AAAAAHb2v/o=")</f>
        <v>#VALUE!</v>
      </c>
      <c r="IR307" t="e">
        <f>AND('Show Info'!U100,"AAAAAHb2v/s=")</f>
        <v>#VALUE!</v>
      </c>
      <c r="IS307" t="e">
        <f>AND('Show Info'!V100,"AAAAAHb2v/w=")</f>
        <v>#VALUE!</v>
      </c>
      <c r="IT307">
        <f>IF('Show Info'!101:101,"AAAAAHb2v/0=",0)</f>
        <v>0</v>
      </c>
      <c r="IU307" t="e">
        <f>AND('Show Info'!A101,"AAAAAHb2v/4=")</f>
        <v>#VALUE!</v>
      </c>
      <c r="IV307" t="e">
        <f>AND('Show Info'!B101,"AAAAAHb2v/8=")</f>
        <v>#VALUE!</v>
      </c>
    </row>
    <row r="308" spans="1:256" x14ac:dyDescent="0.2">
      <c r="A308" t="e">
        <f>AND('Show Info'!C101,"AAAAAF9+lwA=")</f>
        <v>#VALUE!</v>
      </c>
      <c r="B308" t="e">
        <f>AND('Show Info'!D101,"AAAAAF9+lwE=")</f>
        <v>#VALUE!</v>
      </c>
      <c r="C308" t="e">
        <f>AND('Show Info'!E101,"AAAAAF9+lwI=")</f>
        <v>#VALUE!</v>
      </c>
      <c r="D308" t="e">
        <f>AND('Show Info'!F101,"AAAAAF9+lwM=")</f>
        <v>#VALUE!</v>
      </c>
      <c r="E308" t="e">
        <f>AND('Show Info'!G101,"AAAAAF9+lwQ=")</f>
        <v>#VALUE!</v>
      </c>
      <c r="F308" t="e">
        <f>AND('Show Info'!H101,"AAAAAF9+lwU=")</f>
        <v>#VALUE!</v>
      </c>
      <c r="G308" t="e">
        <f>AND('Show Info'!I101,"AAAAAF9+lwY=")</f>
        <v>#VALUE!</v>
      </c>
      <c r="H308" t="e">
        <f>AND('Show Info'!J101,"AAAAAF9+lwc=")</f>
        <v>#VALUE!</v>
      </c>
      <c r="I308" t="e">
        <f>AND('Show Info'!K101,"AAAAAF9+lwg=")</f>
        <v>#VALUE!</v>
      </c>
      <c r="J308" t="e">
        <f>AND('Show Info'!L101,"AAAAAF9+lwk=")</f>
        <v>#VALUE!</v>
      </c>
      <c r="K308" t="e">
        <f>AND('Show Info'!M101,"AAAAAF9+lwo=")</f>
        <v>#VALUE!</v>
      </c>
      <c r="L308" t="e">
        <f>AND('Show Info'!N101,"AAAAAF9+lws=")</f>
        <v>#VALUE!</v>
      </c>
      <c r="M308" t="e">
        <f>AND('Show Info'!O101,"AAAAAF9+lww=")</f>
        <v>#VALUE!</v>
      </c>
      <c r="N308" t="e">
        <f>AND('Show Info'!P101,"AAAAAF9+lw0=")</f>
        <v>#VALUE!</v>
      </c>
      <c r="O308" t="e">
        <f>AND('Show Info'!Q101,"AAAAAF9+lw4=")</f>
        <v>#VALUE!</v>
      </c>
      <c r="P308" t="e">
        <f>AND('Show Info'!R101,"AAAAAF9+lw8=")</f>
        <v>#VALUE!</v>
      </c>
      <c r="Q308" t="e">
        <f>AND('Show Info'!S101,"AAAAAF9+lxA=")</f>
        <v>#VALUE!</v>
      </c>
      <c r="R308" t="e">
        <f>AND('Show Info'!T101,"AAAAAF9+lxE=")</f>
        <v>#VALUE!</v>
      </c>
      <c r="S308" t="e">
        <f>AND('Show Info'!U101,"AAAAAF9+lxI=")</f>
        <v>#VALUE!</v>
      </c>
      <c r="T308" t="e">
        <f>AND('Show Info'!V101,"AAAAAF9+lxM=")</f>
        <v>#VALUE!</v>
      </c>
      <c r="U308">
        <f>IF('Show Info'!102:102,"AAAAAF9+lxQ=",0)</f>
        <v>0</v>
      </c>
      <c r="V308" t="e">
        <f>AND('Show Info'!A102,"AAAAAF9+lxU=")</f>
        <v>#VALUE!</v>
      </c>
      <c r="W308" t="e">
        <f>AND('Show Info'!B102,"AAAAAF9+lxY=")</f>
        <v>#VALUE!</v>
      </c>
      <c r="X308" t="e">
        <f>AND('Show Info'!C102,"AAAAAF9+lxc=")</f>
        <v>#VALUE!</v>
      </c>
      <c r="Y308" t="e">
        <f>AND('Show Info'!D102,"AAAAAF9+lxg=")</f>
        <v>#VALUE!</v>
      </c>
      <c r="Z308" t="e">
        <f>AND('Show Info'!E102,"AAAAAF9+lxk=")</f>
        <v>#VALUE!</v>
      </c>
      <c r="AA308" t="e">
        <f>AND('Show Info'!F102,"AAAAAF9+lxo=")</f>
        <v>#VALUE!</v>
      </c>
      <c r="AB308" t="e">
        <f>AND('Show Info'!G102,"AAAAAF9+lxs=")</f>
        <v>#VALUE!</v>
      </c>
      <c r="AC308" t="e">
        <f>AND('Show Info'!H102,"AAAAAF9+lxw=")</f>
        <v>#VALUE!</v>
      </c>
      <c r="AD308" t="e">
        <f>AND('Show Info'!I102,"AAAAAF9+lx0=")</f>
        <v>#VALUE!</v>
      </c>
      <c r="AE308" t="e">
        <f>AND('Show Info'!J102,"AAAAAF9+lx4=")</f>
        <v>#VALUE!</v>
      </c>
      <c r="AF308" t="e">
        <f>AND('Show Info'!K102,"AAAAAF9+lx8=")</f>
        <v>#VALUE!</v>
      </c>
      <c r="AG308" t="e">
        <f>AND('Show Info'!L102,"AAAAAF9+lyA=")</f>
        <v>#VALUE!</v>
      </c>
      <c r="AH308" t="e">
        <f>AND('Show Info'!M102,"AAAAAF9+lyE=")</f>
        <v>#VALUE!</v>
      </c>
      <c r="AI308" t="e">
        <f>AND('Show Info'!N102,"AAAAAF9+lyI=")</f>
        <v>#VALUE!</v>
      </c>
      <c r="AJ308" t="e">
        <f>AND('Show Info'!O102,"AAAAAF9+lyM=")</f>
        <v>#VALUE!</v>
      </c>
      <c r="AK308" t="e">
        <f>AND('Show Info'!P102,"AAAAAF9+lyQ=")</f>
        <v>#VALUE!</v>
      </c>
      <c r="AL308" t="e">
        <f>AND('Show Info'!Q102,"AAAAAF9+lyU=")</f>
        <v>#VALUE!</v>
      </c>
      <c r="AM308" t="e">
        <f>AND('Show Info'!R102,"AAAAAF9+lyY=")</f>
        <v>#VALUE!</v>
      </c>
      <c r="AN308" t="e">
        <f>AND('Show Info'!S102,"AAAAAF9+lyc=")</f>
        <v>#VALUE!</v>
      </c>
      <c r="AO308" t="e">
        <f>AND('Show Info'!T102,"AAAAAF9+lyg=")</f>
        <v>#VALUE!</v>
      </c>
      <c r="AP308" t="e">
        <f>AND('Show Info'!U102,"AAAAAF9+lyk=")</f>
        <v>#VALUE!</v>
      </c>
      <c r="AQ308" t="e">
        <f>AND('Show Info'!V102,"AAAAAF9+lyo=")</f>
        <v>#VALUE!</v>
      </c>
      <c r="AR308">
        <f>IF('Show Info'!103:103,"AAAAAF9+lys=",0)</f>
        <v>0</v>
      </c>
      <c r="AS308" t="e">
        <f>AND('Show Info'!A103,"AAAAAF9+lyw=")</f>
        <v>#VALUE!</v>
      </c>
      <c r="AT308" t="e">
        <f>AND('Show Info'!B103,"AAAAAF9+ly0=")</f>
        <v>#VALUE!</v>
      </c>
      <c r="AU308" t="e">
        <f>AND('Show Info'!C103,"AAAAAF9+ly4=")</f>
        <v>#VALUE!</v>
      </c>
      <c r="AV308" t="e">
        <f>AND('Show Info'!D103,"AAAAAF9+ly8=")</f>
        <v>#VALUE!</v>
      </c>
      <c r="AW308" t="e">
        <f>AND('Show Info'!E103,"AAAAAF9+lzA=")</f>
        <v>#VALUE!</v>
      </c>
      <c r="AX308" t="e">
        <f>AND('Show Info'!F103,"AAAAAF9+lzE=")</f>
        <v>#VALUE!</v>
      </c>
      <c r="AY308" t="e">
        <f>AND('Show Info'!G103,"AAAAAF9+lzI=")</f>
        <v>#VALUE!</v>
      </c>
      <c r="AZ308" t="e">
        <f>AND('Show Info'!H103,"AAAAAF9+lzM=")</f>
        <v>#VALUE!</v>
      </c>
      <c r="BA308" t="e">
        <f>AND('Show Info'!I103,"AAAAAF9+lzQ=")</f>
        <v>#VALUE!</v>
      </c>
      <c r="BB308" t="e">
        <f>AND('Show Info'!J103,"AAAAAF9+lzU=")</f>
        <v>#VALUE!</v>
      </c>
      <c r="BC308" t="e">
        <f>AND('Show Info'!K103,"AAAAAF9+lzY=")</f>
        <v>#VALUE!</v>
      </c>
      <c r="BD308" t="e">
        <f>AND('Show Info'!L103,"AAAAAF9+lzc=")</f>
        <v>#VALUE!</v>
      </c>
      <c r="BE308" t="e">
        <f>AND('Show Info'!M103,"AAAAAF9+lzg=")</f>
        <v>#VALUE!</v>
      </c>
      <c r="BF308" t="e">
        <f>AND('Show Info'!N103,"AAAAAF9+lzk=")</f>
        <v>#VALUE!</v>
      </c>
      <c r="BG308" t="e">
        <f>AND('Show Info'!O103,"AAAAAF9+lzo=")</f>
        <v>#VALUE!</v>
      </c>
      <c r="BH308" t="e">
        <f>AND('Show Info'!P103,"AAAAAF9+lzs=")</f>
        <v>#VALUE!</v>
      </c>
      <c r="BI308" t="e">
        <f>AND('Show Info'!Q103,"AAAAAF9+lzw=")</f>
        <v>#VALUE!</v>
      </c>
      <c r="BJ308" t="e">
        <f>AND('Show Info'!R103,"AAAAAF9+lz0=")</f>
        <v>#VALUE!</v>
      </c>
      <c r="BK308" t="e">
        <f>AND('Show Info'!S103,"AAAAAF9+lz4=")</f>
        <v>#VALUE!</v>
      </c>
      <c r="BL308" t="e">
        <f>AND('Show Info'!T103,"AAAAAF9+lz8=")</f>
        <v>#VALUE!</v>
      </c>
      <c r="BM308" t="e">
        <f>AND('Show Info'!U103,"AAAAAF9+l0A=")</f>
        <v>#VALUE!</v>
      </c>
      <c r="BN308" t="e">
        <f>AND('Show Info'!V103,"AAAAAF9+l0E=")</f>
        <v>#VALUE!</v>
      </c>
      <c r="BO308">
        <f>IF('Show Info'!104:104,"AAAAAF9+l0I=",0)</f>
        <v>0</v>
      </c>
      <c r="BP308" t="e">
        <f>AND('Show Info'!A104,"AAAAAF9+l0M=")</f>
        <v>#VALUE!</v>
      </c>
      <c r="BQ308" t="e">
        <f>AND('Show Info'!B104,"AAAAAF9+l0Q=")</f>
        <v>#VALUE!</v>
      </c>
      <c r="BR308" t="e">
        <f>AND('Show Info'!C104,"AAAAAF9+l0U=")</f>
        <v>#VALUE!</v>
      </c>
      <c r="BS308" t="e">
        <f>AND('Show Info'!D104,"AAAAAF9+l0Y=")</f>
        <v>#VALUE!</v>
      </c>
      <c r="BT308" t="e">
        <f>AND('Show Info'!E104,"AAAAAF9+l0c=")</f>
        <v>#VALUE!</v>
      </c>
      <c r="BU308" t="e">
        <f>AND('Show Info'!F104,"AAAAAF9+l0g=")</f>
        <v>#VALUE!</v>
      </c>
      <c r="BV308" t="e">
        <f>AND('Show Info'!G104,"AAAAAF9+l0k=")</f>
        <v>#VALUE!</v>
      </c>
      <c r="BW308" t="e">
        <f>AND('Show Info'!H104,"AAAAAF9+l0o=")</f>
        <v>#VALUE!</v>
      </c>
      <c r="BX308" t="e">
        <f>AND('Show Info'!I104,"AAAAAF9+l0s=")</f>
        <v>#VALUE!</v>
      </c>
      <c r="BY308" t="e">
        <f>AND('Show Info'!J104,"AAAAAF9+l0w=")</f>
        <v>#VALUE!</v>
      </c>
      <c r="BZ308" t="e">
        <f>AND('Show Info'!K104,"AAAAAF9+l00=")</f>
        <v>#VALUE!</v>
      </c>
      <c r="CA308" t="e">
        <f>AND('Show Info'!L104,"AAAAAF9+l04=")</f>
        <v>#VALUE!</v>
      </c>
      <c r="CB308" t="e">
        <f>AND('Show Info'!M104,"AAAAAF9+l08=")</f>
        <v>#VALUE!</v>
      </c>
      <c r="CC308" t="e">
        <f>AND('Show Info'!N104,"AAAAAF9+l1A=")</f>
        <v>#VALUE!</v>
      </c>
      <c r="CD308" t="e">
        <f>AND('Show Info'!O104,"AAAAAF9+l1E=")</f>
        <v>#VALUE!</v>
      </c>
      <c r="CE308" t="e">
        <f>AND('Show Info'!P104,"AAAAAF9+l1I=")</f>
        <v>#VALUE!</v>
      </c>
      <c r="CF308" t="e">
        <f>AND('Show Info'!Q104,"AAAAAF9+l1M=")</f>
        <v>#VALUE!</v>
      </c>
      <c r="CG308" t="e">
        <f>AND('Show Info'!R104,"AAAAAF9+l1Q=")</f>
        <v>#VALUE!</v>
      </c>
      <c r="CH308" t="e">
        <f>AND('Show Info'!S104,"AAAAAF9+l1U=")</f>
        <v>#VALUE!</v>
      </c>
      <c r="CI308" t="e">
        <f>AND('Show Info'!T104,"AAAAAF9+l1Y=")</f>
        <v>#VALUE!</v>
      </c>
      <c r="CJ308" t="e">
        <f>AND('Show Info'!U104,"AAAAAF9+l1c=")</f>
        <v>#VALUE!</v>
      </c>
      <c r="CK308" t="e">
        <f>AND('Show Info'!V104,"AAAAAF9+l1g=")</f>
        <v>#VALUE!</v>
      </c>
      <c r="CL308">
        <f>IF('Show Info'!108:108,"AAAAAF9+l1k=",0)</f>
        <v>0</v>
      </c>
      <c r="CM308" t="e">
        <f>AND('Show Info'!A108,"AAAAAF9+l1o=")</f>
        <v>#VALUE!</v>
      </c>
      <c r="CN308" t="e">
        <f>AND('Show Info'!B108,"AAAAAF9+l1s=")</f>
        <v>#VALUE!</v>
      </c>
      <c r="CO308" t="e">
        <f>AND('Show Info'!C108,"AAAAAF9+l1w=")</f>
        <v>#VALUE!</v>
      </c>
      <c r="CP308" t="e">
        <f>AND('Show Info'!D108,"AAAAAF9+l10=")</f>
        <v>#VALUE!</v>
      </c>
      <c r="CQ308" t="e">
        <f>AND('Show Info'!E108,"AAAAAF9+l14=")</f>
        <v>#VALUE!</v>
      </c>
      <c r="CR308" t="e">
        <f>AND('Show Info'!F108,"AAAAAF9+l18=")</f>
        <v>#VALUE!</v>
      </c>
      <c r="CS308" t="e">
        <f>AND('Show Info'!G108,"AAAAAF9+l2A=")</f>
        <v>#VALUE!</v>
      </c>
      <c r="CT308" t="e">
        <f>AND('Show Info'!H108,"AAAAAF9+l2E=")</f>
        <v>#VALUE!</v>
      </c>
      <c r="CU308" t="e">
        <f>AND('Show Info'!I108,"AAAAAF9+l2I=")</f>
        <v>#VALUE!</v>
      </c>
      <c r="CV308" t="e">
        <f>AND('Show Info'!J108,"AAAAAF9+l2M=")</f>
        <v>#VALUE!</v>
      </c>
      <c r="CW308" t="e">
        <f>AND('Show Info'!K108,"AAAAAF9+l2Q=")</f>
        <v>#VALUE!</v>
      </c>
      <c r="CX308" t="e">
        <f>AND('Show Info'!L108,"AAAAAF9+l2U=")</f>
        <v>#VALUE!</v>
      </c>
      <c r="CY308" t="e">
        <f>AND('Show Info'!M108,"AAAAAF9+l2Y=")</f>
        <v>#VALUE!</v>
      </c>
      <c r="CZ308" t="e">
        <f>AND('Show Info'!N108,"AAAAAF9+l2c=")</f>
        <v>#VALUE!</v>
      </c>
      <c r="DA308" t="e">
        <f>AND('Show Info'!O108,"AAAAAF9+l2g=")</f>
        <v>#VALUE!</v>
      </c>
      <c r="DB308" t="e">
        <f>AND('Show Info'!P108,"AAAAAF9+l2k=")</f>
        <v>#VALUE!</v>
      </c>
      <c r="DC308" t="e">
        <f>AND('Show Info'!Q108,"AAAAAF9+l2o=")</f>
        <v>#VALUE!</v>
      </c>
      <c r="DD308" t="e">
        <f>AND('Show Info'!R108,"AAAAAF9+l2s=")</f>
        <v>#VALUE!</v>
      </c>
      <c r="DE308" t="e">
        <f>AND('Show Info'!S108,"AAAAAF9+l2w=")</f>
        <v>#VALUE!</v>
      </c>
      <c r="DF308" t="e">
        <f>AND('Show Info'!T108,"AAAAAF9+l20=")</f>
        <v>#VALUE!</v>
      </c>
      <c r="DG308" t="e">
        <f>AND('Show Info'!U108,"AAAAAF9+l24=")</f>
        <v>#VALUE!</v>
      </c>
      <c r="DH308" t="e">
        <f>AND('Show Info'!V108,"AAAAAF9+l28=")</f>
        <v>#VALUE!</v>
      </c>
      <c r="DI308">
        <f>IF('Show Info'!109:109,"AAAAAF9+l3A=",0)</f>
        <v>0</v>
      </c>
      <c r="DJ308" t="e">
        <f>AND('Show Info'!A109,"AAAAAF9+l3E=")</f>
        <v>#VALUE!</v>
      </c>
      <c r="DK308" t="e">
        <f>AND('Show Info'!B109,"AAAAAF9+l3I=")</f>
        <v>#VALUE!</v>
      </c>
      <c r="DL308" t="e">
        <f>AND('Show Info'!C109,"AAAAAF9+l3M=")</f>
        <v>#VALUE!</v>
      </c>
      <c r="DM308" t="e">
        <f>AND('Show Info'!D109,"AAAAAF9+l3Q=")</f>
        <v>#VALUE!</v>
      </c>
      <c r="DN308" t="e">
        <f>AND('Show Info'!E109,"AAAAAF9+l3U=")</f>
        <v>#VALUE!</v>
      </c>
      <c r="DO308" t="e">
        <f>AND('Show Info'!F109,"AAAAAF9+l3Y=")</f>
        <v>#VALUE!</v>
      </c>
      <c r="DP308" t="e">
        <f>AND('Show Info'!G109,"AAAAAF9+l3c=")</f>
        <v>#VALUE!</v>
      </c>
      <c r="DQ308" t="e">
        <f>AND('Show Info'!H109,"AAAAAF9+l3g=")</f>
        <v>#VALUE!</v>
      </c>
      <c r="DR308" t="e">
        <f>AND('Show Info'!I109,"AAAAAF9+l3k=")</f>
        <v>#VALUE!</v>
      </c>
      <c r="DS308" t="e">
        <f>AND('Show Info'!J109,"AAAAAF9+l3o=")</f>
        <v>#VALUE!</v>
      </c>
      <c r="DT308" t="e">
        <f>AND('Show Info'!K109,"AAAAAF9+l3s=")</f>
        <v>#VALUE!</v>
      </c>
      <c r="DU308" t="e">
        <f>AND('Show Info'!L109,"AAAAAF9+l3w=")</f>
        <v>#VALUE!</v>
      </c>
      <c r="DV308" t="e">
        <f>AND('Show Info'!M109,"AAAAAF9+l30=")</f>
        <v>#VALUE!</v>
      </c>
      <c r="DW308" t="e">
        <f>AND('Show Info'!N109,"AAAAAF9+l34=")</f>
        <v>#VALUE!</v>
      </c>
      <c r="DX308" t="e">
        <f>AND('Show Info'!O109,"AAAAAF9+l38=")</f>
        <v>#VALUE!</v>
      </c>
      <c r="DY308" t="e">
        <f>AND('Show Info'!P109,"AAAAAF9+l4A=")</f>
        <v>#VALUE!</v>
      </c>
      <c r="DZ308" t="e">
        <f>AND('Show Info'!Q109,"AAAAAF9+l4E=")</f>
        <v>#VALUE!</v>
      </c>
      <c r="EA308" t="e">
        <f>AND('Show Info'!R109,"AAAAAF9+l4I=")</f>
        <v>#VALUE!</v>
      </c>
      <c r="EB308" t="e">
        <f>AND('Show Info'!S109,"AAAAAF9+l4M=")</f>
        <v>#VALUE!</v>
      </c>
      <c r="EC308" t="e">
        <f>AND('Show Info'!T109,"AAAAAF9+l4Q=")</f>
        <v>#VALUE!</v>
      </c>
      <c r="ED308" t="e">
        <f>AND('Show Info'!U109,"AAAAAF9+l4U=")</f>
        <v>#VALUE!</v>
      </c>
      <c r="EE308" t="e">
        <f>AND('Show Info'!V109,"AAAAAF9+l4Y=")</f>
        <v>#VALUE!</v>
      </c>
      <c r="EF308">
        <f>IF('Show Info'!110:110,"AAAAAF9+l4c=",0)</f>
        <v>0</v>
      </c>
      <c r="EG308" t="e">
        <f>AND('Show Info'!A110,"AAAAAF9+l4g=")</f>
        <v>#VALUE!</v>
      </c>
      <c r="EH308" t="e">
        <f>AND('Show Info'!B110,"AAAAAF9+l4k=")</f>
        <v>#VALUE!</v>
      </c>
      <c r="EI308" t="e">
        <f>AND('Show Info'!C110,"AAAAAF9+l4o=")</f>
        <v>#VALUE!</v>
      </c>
      <c r="EJ308" t="e">
        <f>AND('Show Info'!D110,"AAAAAF9+l4s=")</f>
        <v>#VALUE!</v>
      </c>
      <c r="EK308" t="e">
        <f>AND('Show Info'!E110,"AAAAAF9+l4w=")</f>
        <v>#VALUE!</v>
      </c>
      <c r="EL308" t="e">
        <f>AND('Show Info'!F110,"AAAAAF9+l40=")</f>
        <v>#VALUE!</v>
      </c>
      <c r="EM308" t="e">
        <f>AND('Show Info'!G110,"AAAAAF9+l44=")</f>
        <v>#VALUE!</v>
      </c>
      <c r="EN308" t="e">
        <f>AND('Show Info'!H110,"AAAAAF9+l48=")</f>
        <v>#VALUE!</v>
      </c>
      <c r="EO308" t="e">
        <f>AND('Show Info'!I110,"AAAAAF9+l5A=")</f>
        <v>#VALUE!</v>
      </c>
      <c r="EP308" t="e">
        <f>AND('Show Info'!J110,"AAAAAF9+l5E=")</f>
        <v>#VALUE!</v>
      </c>
      <c r="EQ308" t="e">
        <f>AND('Show Info'!K110,"AAAAAF9+l5I=")</f>
        <v>#VALUE!</v>
      </c>
      <c r="ER308" t="e">
        <f>AND('Show Info'!L110,"AAAAAF9+l5M=")</f>
        <v>#VALUE!</v>
      </c>
      <c r="ES308" t="e">
        <f>AND('Show Info'!M110,"AAAAAF9+l5Q=")</f>
        <v>#VALUE!</v>
      </c>
      <c r="ET308" t="e">
        <f>AND('Show Info'!N110,"AAAAAF9+l5U=")</f>
        <v>#VALUE!</v>
      </c>
      <c r="EU308" t="e">
        <f>AND('Show Info'!O110,"AAAAAF9+l5Y=")</f>
        <v>#VALUE!</v>
      </c>
      <c r="EV308" t="e">
        <f>AND('Show Info'!P110,"AAAAAF9+l5c=")</f>
        <v>#VALUE!</v>
      </c>
      <c r="EW308" t="e">
        <f>AND('Show Info'!Q110,"AAAAAF9+l5g=")</f>
        <v>#VALUE!</v>
      </c>
      <c r="EX308" t="e">
        <f>AND('Show Info'!R110,"AAAAAF9+l5k=")</f>
        <v>#VALUE!</v>
      </c>
      <c r="EY308" t="e">
        <f>AND('Show Info'!S110,"AAAAAF9+l5o=")</f>
        <v>#VALUE!</v>
      </c>
      <c r="EZ308" t="e">
        <f>AND('Show Info'!T110,"AAAAAF9+l5s=")</f>
        <v>#VALUE!</v>
      </c>
      <c r="FA308" t="e">
        <f>AND('Show Info'!U110,"AAAAAF9+l5w=")</f>
        <v>#VALUE!</v>
      </c>
      <c r="FB308" t="e">
        <f>AND('Show Info'!V110,"AAAAAF9+l50=")</f>
        <v>#VALUE!</v>
      </c>
      <c r="FC308" t="e">
        <f>IF('Show Info'!#REF!,"AAAAAF9+l54=",0)</f>
        <v>#REF!</v>
      </c>
      <c r="FD308" t="e">
        <f>AND('Show Info'!#REF!,"AAAAAF9+l58=")</f>
        <v>#REF!</v>
      </c>
      <c r="FE308" t="e">
        <f>AND('Show Info'!#REF!,"AAAAAF9+l6A=")</f>
        <v>#REF!</v>
      </c>
      <c r="FF308" t="e">
        <f>AND('Show Info'!#REF!,"AAAAAF9+l6E=")</f>
        <v>#REF!</v>
      </c>
      <c r="FG308" t="e">
        <f>AND('Show Info'!#REF!,"AAAAAF9+l6I=")</f>
        <v>#REF!</v>
      </c>
      <c r="FH308" t="e">
        <f>AND('Show Info'!#REF!,"AAAAAF9+l6M=")</f>
        <v>#REF!</v>
      </c>
      <c r="FI308" t="e">
        <f>AND('Show Info'!#REF!,"AAAAAF9+l6Q=")</f>
        <v>#REF!</v>
      </c>
      <c r="FJ308" t="e">
        <f>AND('Show Info'!#REF!,"AAAAAF9+l6U=")</f>
        <v>#REF!</v>
      </c>
      <c r="FK308" t="e">
        <f>AND('Show Info'!#REF!,"AAAAAF9+l6Y=")</f>
        <v>#REF!</v>
      </c>
      <c r="FL308" t="e">
        <f>AND('Show Info'!#REF!,"AAAAAF9+l6c=")</f>
        <v>#REF!</v>
      </c>
      <c r="FM308" t="e">
        <f>AND('Show Info'!#REF!,"AAAAAF9+l6g=")</f>
        <v>#REF!</v>
      </c>
      <c r="FN308" t="e">
        <f>AND('Show Info'!#REF!,"AAAAAF9+l6k=")</f>
        <v>#REF!</v>
      </c>
      <c r="FO308" t="e">
        <f>AND('Show Info'!#REF!,"AAAAAF9+l6o=")</f>
        <v>#REF!</v>
      </c>
      <c r="FP308" t="e">
        <f>AND('Show Info'!#REF!,"AAAAAF9+l6s=")</f>
        <v>#REF!</v>
      </c>
      <c r="FQ308" t="e">
        <f>AND('Show Info'!#REF!,"AAAAAF9+l6w=")</f>
        <v>#REF!</v>
      </c>
      <c r="FR308" t="e">
        <f>AND('Show Info'!#REF!,"AAAAAF9+l60=")</f>
        <v>#REF!</v>
      </c>
      <c r="FS308" t="e">
        <f>AND('Show Info'!#REF!,"AAAAAF9+l64=")</f>
        <v>#REF!</v>
      </c>
      <c r="FT308" t="e">
        <f>AND('Show Info'!#REF!,"AAAAAF9+l68=")</f>
        <v>#REF!</v>
      </c>
      <c r="FU308" t="e">
        <f>AND('Show Info'!#REF!,"AAAAAF9+l7A=")</f>
        <v>#REF!</v>
      </c>
      <c r="FV308" t="e">
        <f>AND('Show Info'!#REF!,"AAAAAF9+l7E=")</f>
        <v>#REF!</v>
      </c>
      <c r="FW308" t="e">
        <f>AND('Show Info'!#REF!,"AAAAAF9+l7I=")</f>
        <v>#REF!</v>
      </c>
      <c r="FX308" t="e">
        <f>AND('Show Info'!#REF!,"AAAAAF9+l7M=")</f>
        <v>#REF!</v>
      </c>
      <c r="FY308" t="e">
        <f>AND('Show Info'!#REF!,"AAAAAF9+l7Q=")</f>
        <v>#REF!</v>
      </c>
      <c r="FZ308" t="e">
        <f>IF('Show Info'!#REF!,"AAAAAF9+l7U=",0)</f>
        <v>#REF!</v>
      </c>
      <c r="GA308" t="e">
        <f>AND('Show Info'!#REF!,"AAAAAF9+l7Y=")</f>
        <v>#REF!</v>
      </c>
      <c r="GB308" t="e">
        <f>AND('Show Info'!#REF!,"AAAAAF9+l7c=")</f>
        <v>#REF!</v>
      </c>
      <c r="GC308" t="e">
        <f>AND('Show Info'!#REF!,"AAAAAF9+l7g=")</f>
        <v>#REF!</v>
      </c>
      <c r="GD308" t="e">
        <f>AND('Show Info'!#REF!,"AAAAAF9+l7k=")</f>
        <v>#REF!</v>
      </c>
      <c r="GE308" t="e">
        <f>AND('Show Info'!#REF!,"AAAAAF9+l7o=")</f>
        <v>#REF!</v>
      </c>
      <c r="GF308" t="e">
        <f>AND('Show Info'!#REF!,"AAAAAF9+l7s=")</f>
        <v>#REF!</v>
      </c>
      <c r="GG308" t="e">
        <f>AND('Show Info'!#REF!,"AAAAAF9+l7w=")</f>
        <v>#REF!</v>
      </c>
      <c r="GH308" t="e">
        <f>AND('Show Info'!#REF!,"AAAAAF9+l70=")</f>
        <v>#REF!</v>
      </c>
      <c r="GI308" t="e">
        <f>AND('Show Info'!#REF!,"AAAAAF9+l74=")</f>
        <v>#REF!</v>
      </c>
      <c r="GJ308" t="e">
        <f>AND('Show Info'!#REF!,"AAAAAF9+l78=")</f>
        <v>#REF!</v>
      </c>
      <c r="GK308" t="e">
        <f>AND('Show Info'!#REF!,"AAAAAF9+l8A=")</f>
        <v>#REF!</v>
      </c>
      <c r="GL308" t="e">
        <f>AND('Show Info'!#REF!,"AAAAAF9+l8E=")</f>
        <v>#REF!</v>
      </c>
      <c r="GM308" t="e">
        <f>AND('Show Info'!#REF!,"AAAAAF9+l8I=")</f>
        <v>#REF!</v>
      </c>
      <c r="GN308" t="e">
        <f>AND('Show Info'!#REF!,"AAAAAF9+l8M=")</f>
        <v>#REF!</v>
      </c>
      <c r="GO308" t="e">
        <f>AND('Show Info'!#REF!,"AAAAAF9+l8Q=")</f>
        <v>#REF!</v>
      </c>
      <c r="GP308" t="e">
        <f>AND('Show Info'!#REF!,"AAAAAF9+l8U=")</f>
        <v>#REF!</v>
      </c>
      <c r="GQ308" t="e">
        <f>AND('Show Info'!#REF!,"AAAAAF9+l8Y=")</f>
        <v>#REF!</v>
      </c>
      <c r="GR308" t="e">
        <f>AND('Show Info'!#REF!,"AAAAAF9+l8c=")</f>
        <v>#REF!</v>
      </c>
      <c r="GS308" t="e">
        <f>AND('Show Info'!#REF!,"AAAAAF9+l8g=")</f>
        <v>#REF!</v>
      </c>
      <c r="GT308" t="e">
        <f>AND('Show Info'!#REF!,"AAAAAF9+l8k=")</f>
        <v>#REF!</v>
      </c>
      <c r="GU308" t="e">
        <f>AND('Show Info'!#REF!,"AAAAAF9+l8o=")</f>
        <v>#REF!</v>
      </c>
      <c r="GV308" t="e">
        <f>AND('Show Info'!#REF!,"AAAAAF9+l8s=")</f>
        <v>#REF!</v>
      </c>
      <c r="GW308" t="e">
        <f>IF('Show Info'!#REF!,"AAAAAF9+l8w=",0)</f>
        <v>#REF!</v>
      </c>
      <c r="GX308" t="e">
        <f>AND('Show Info'!#REF!,"AAAAAF9+l80=")</f>
        <v>#REF!</v>
      </c>
      <c r="GY308" t="e">
        <f>AND('Show Info'!#REF!,"AAAAAF9+l84=")</f>
        <v>#REF!</v>
      </c>
      <c r="GZ308" t="e">
        <f>AND('Show Info'!#REF!,"AAAAAF9+l88=")</f>
        <v>#REF!</v>
      </c>
      <c r="HA308" t="e">
        <f>AND('Show Info'!#REF!,"AAAAAF9+l9A=")</f>
        <v>#REF!</v>
      </c>
      <c r="HB308" t="e">
        <f>AND('Show Info'!#REF!,"AAAAAF9+l9E=")</f>
        <v>#REF!</v>
      </c>
      <c r="HC308" t="e">
        <f>AND('Show Info'!#REF!,"AAAAAF9+l9I=")</f>
        <v>#REF!</v>
      </c>
      <c r="HD308" t="e">
        <f>AND('Show Info'!#REF!,"AAAAAF9+l9M=")</f>
        <v>#REF!</v>
      </c>
      <c r="HE308" t="e">
        <f>AND('Show Info'!#REF!,"AAAAAF9+l9Q=")</f>
        <v>#REF!</v>
      </c>
      <c r="HF308" t="e">
        <f>AND('Show Info'!#REF!,"AAAAAF9+l9U=")</f>
        <v>#REF!</v>
      </c>
      <c r="HG308" t="e">
        <f>AND('Show Info'!#REF!,"AAAAAF9+l9Y=")</f>
        <v>#REF!</v>
      </c>
      <c r="HH308" t="e">
        <f>AND('Show Info'!#REF!,"AAAAAF9+l9c=")</f>
        <v>#REF!</v>
      </c>
      <c r="HI308" t="e">
        <f>AND('Show Info'!#REF!,"AAAAAF9+l9g=")</f>
        <v>#REF!</v>
      </c>
      <c r="HJ308" t="e">
        <f>AND('Show Info'!#REF!,"AAAAAF9+l9k=")</f>
        <v>#REF!</v>
      </c>
      <c r="HK308" t="e">
        <f>AND('Show Info'!#REF!,"AAAAAF9+l9o=")</f>
        <v>#REF!</v>
      </c>
      <c r="HL308" t="e">
        <f>AND('Show Info'!#REF!,"AAAAAF9+l9s=")</f>
        <v>#REF!</v>
      </c>
      <c r="HM308" t="e">
        <f>AND('Show Info'!#REF!,"AAAAAF9+l9w=")</f>
        <v>#REF!</v>
      </c>
      <c r="HN308" t="e">
        <f>AND('Show Info'!#REF!,"AAAAAF9+l90=")</f>
        <v>#REF!</v>
      </c>
      <c r="HO308" t="e">
        <f>AND('Show Info'!#REF!,"AAAAAF9+l94=")</f>
        <v>#REF!</v>
      </c>
      <c r="HP308" t="e">
        <f>AND('Show Info'!#REF!,"AAAAAF9+l98=")</f>
        <v>#REF!</v>
      </c>
      <c r="HQ308" t="e">
        <f>AND('Show Info'!#REF!,"AAAAAF9+l+A=")</f>
        <v>#REF!</v>
      </c>
      <c r="HR308" t="e">
        <f>AND('Show Info'!#REF!,"AAAAAF9+l+E=")</f>
        <v>#REF!</v>
      </c>
      <c r="HS308" t="e">
        <f>AND('Show Info'!#REF!,"AAAAAF9+l+I=")</f>
        <v>#REF!</v>
      </c>
      <c r="HT308" t="e">
        <f>IF('Show Info'!#REF!,"AAAAAF9+l+M=",0)</f>
        <v>#REF!</v>
      </c>
      <c r="HU308" t="e">
        <f>AND('Show Info'!#REF!,"AAAAAF9+l+Q=")</f>
        <v>#REF!</v>
      </c>
      <c r="HV308" t="e">
        <f>AND('Show Info'!#REF!,"AAAAAF9+l+U=")</f>
        <v>#REF!</v>
      </c>
      <c r="HW308" t="e">
        <f>AND('Show Info'!#REF!,"AAAAAF9+l+Y=")</f>
        <v>#REF!</v>
      </c>
      <c r="HX308" t="e">
        <f>AND('Show Info'!#REF!,"AAAAAF9+l+c=")</f>
        <v>#REF!</v>
      </c>
      <c r="HY308" t="e">
        <f>AND('Show Info'!#REF!,"AAAAAF9+l+g=")</f>
        <v>#REF!</v>
      </c>
      <c r="HZ308" t="e">
        <f>AND('Show Info'!#REF!,"AAAAAF9+l+k=")</f>
        <v>#REF!</v>
      </c>
      <c r="IA308" t="e">
        <f>AND('Show Info'!#REF!,"AAAAAF9+l+o=")</f>
        <v>#REF!</v>
      </c>
      <c r="IB308" t="e">
        <f>AND('Show Info'!#REF!,"AAAAAF9+l+s=")</f>
        <v>#REF!</v>
      </c>
      <c r="IC308" t="e">
        <f>AND('Show Info'!#REF!,"AAAAAF9+l+w=")</f>
        <v>#REF!</v>
      </c>
      <c r="ID308" t="e">
        <f>AND('Show Info'!#REF!,"AAAAAF9+l+0=")</f>
        <v>#REF!</v>
      </c>
      <c r="IE308" t="e">
        <f>AND('Show Info'!#REF!,"AAAAAF9+l+4=")</f>
        <v>#REF!</v>
      </c>
      <c r="IF308" t="e">
        <f>AND('Show Info'!#REF!,"AAAAAF9+l+8=")</f>
        <v>#REF!</v>
      </c>
      <c r="IG308" t="e">
        <f>AND('Show Info'!#REF!,"AAAAAF9+l/A=")</f>
        <v>#REF!</v>
      </c>
      <c r="IH308" t="e">
        <f>AND('Show Info'!#REF!,"AAAAAF9+l/E=")</f>
        <v>#REF!</v>
      </c>
      <c r="II308" t="e">
        <f>AND('Show Info'!#REF!,"AAAAAF9+l/I=")</f>
        <v>#REF!</v>
      </c>
      <c r="IJ308" t="e">
        <f>AND('Show Info'!#REF!,"AAAAAF9+l/M=")</f>
        <v>#REF!</v>
      </c>
      <c r="IK308" t="e">
        <f>AND('Show Info'!#REF!,"AAAAAF9+l/Q=")</f>
        <v>#REF!</v>
      </c>
      <c r="IL308" t="e">
        <f>AND('Show Info'!#REF!,"AAAAAF9+l/U=")</f>
        <v>#REF!</v>
      </c>
      <c r="IM308" t="e">
        <f>AND('Show Info'!#REF!,"AAAAAF9+l/Y=")</f>
        <v>#REF!</v>
      </c>
      <c r="IN308" t="e">
        <f>AND('Show Info'!#REF!,"AAAAAF9+l/c=")</f>
        <v>#REF!</v>
      </c>
      <c r="IO308" t="e">
        <f>AND('Show Info'!#REF!,"AAAAAF9+l/g=")</f>
        <v>#REF!</v>
      </c>
      <c r="IP308" t="e">
        <f>AND('Show Info'!#REF!,"AAAAAF9+l/k=")</f>
        <v>#REF!</v>
      </c>
      <c r="IQ308">
        <f>IF('Show Info'!111:111,"AAAAAF9+l/o=",0)</f>
        <v>0</v>
      </c>
      <c r="IR308" t="e">
        <f>AND('Show Info'!A111,"AAAAAF9+l/s=")</f>
        <v>#VALUE!</v>
      </c>
      <c r="IS308" t="e">
        <f>AND('Show Info'!B111,"AAAAAF9+l/w=")</f>
        <v>#VALUE!</v>
      </c>
      <c r="IT308" t="e">
        <f>AND('Show Info'!C111,"AAAAAF9+l/0=")</f>
        <v>#VALUE!</v>
      </c>
      <c r="IU308" t="e">
        <f>AND('Show Info'!D111,"AAAAAF9+l/4=")</f>
        <v>#VALUE!</v>
      </c>
      <c r="IV308" t="e">
        <f>AND('Show Info'!E111,"AAAAAF9+l/8=")</f>
        <v>#VALUE!</v>
      </c>
    </row>
    <row r="309" spans="1:256" x14ac:dyDescent="0.2">
      <c r="A309" t="e">
        <f>AND('Show Info'!F111,"AAAAAHPZewA=")</f>
        <v>#VALUE!</v>
      </c>
      <c r="B309" t="e">
        <f>AND('Show Info'!G111,"AAAAAHPZewE=")</f>
        <v>#VALUE!</v>
      </c>
      <c r="C309" t="e">
        <f>AND('Show Info'!H111,"AAAAAHPZewI=")</f>
        <v>#VALUE!</v>
      </c>
      <c r="D309" t="e">
        <f>AND('Show Info'!I111,"AAAAAHPZewM=")</f>
        <v>#VALUE!</v>
      </c>
      <c r="E309" t="e">
        <f>AND('Show Info'!J111,"AAAAAHPZewQ=")</f>
        <v>#VALUE!</v>
      </c>
      <c r="F309" t="e">
        <f>AND('Show Info'!K111,"AAAAAHPZewU=")</f>
        <v>#VALUE!</v>
      </c>
      <c r="G309" t="e">
        <f>AND('Show Info'!L111,"AAAAAHPZewY=")</f>
        <v>#VALUE!</v>
      </c>
      <c r="H309" t="e">
        <f>AND('Show Info'!M111,"AAAAAHPZewc=")</f>
        <v>#VALUE!</v>
      </c>
      <c r="I309" t="e">
        <f>AND('Show Info'!N111,"AAAAAHPZewg=")</f>
        <v>#VALUE!</v>
      </c>
      <c r="J309" t="e">
        <f>AND('Show Info'!O111,"AAAAAHPZewk=")</f>
        <v>#VALUE!</v>
      </c>
      <c r="K309" t="e">
        <f>AND('Show Info'!P111,"AAAAAHPZewo=")</f>
        <v>#VALUE!</v>
      </c>
      <c r="L309" t="e">
        <f>AND('Show Info'!Q111,"AAAAAHPZews=")</f>
        <v>#VALUE!</v>
      </c>
      <c r="M309" t="e">
        <f>AND('Show Info'!R111,"AAAAAHPZeww=")</f>
        <v>#VALUE!</v>
      </c>
      <c r="N309" t="e">
        <f>AND('Show Info'!S111,"AAAAAHPZew0=")</f>
        <v>#VALUE!</v>
      </c>
      <c r="O309" t="e">
        <f>AND('Show Info'!T111,"AAAAAHPZew4=")</f>
        <v>#VALUE!</v>
      </c>
      <c r="P309" t="e">
        <f>AND('Show Info'!U111,"AAAAAHPZew8=")</f>
        <v>#VALUE!</v>
      </c>
      <c r="Q309" t="e">
        <f>AND('Show Info'!V111,"AAAAAHPZexA=")</f>
        <v>#VALUE!</v>
      </c>
    </row>
  </sheetData>
  <customSheetViews>
    <customSheetView guid="{4892E1C0-7A56-4F81-A857-987D77EC4462}" state="veryHidden">
      <selection activeCell="BR299" sqref="BR299"/>
      <pageMargins left="0.7" right="0.7" top="0.75" bottom="0.75" header="0.3" footer="0.3"/>
    </customSheetView>
    <customSheetView guid="{C29C6423-4E3D-4B08-919E-993C7C45FC31}" state="veryHidden">
      <selection activeCell="BR299" sqref="BR299"/>
      <pageMargins left="0.7" right="0.7" top="0.75" bottom="0.75" header="0.3" footer="0.3"/>
    </customSheetView>
  </customSheetViews>
  <pageMargins left="0.7" right="0.7" top="0.75" bottom="0.75" header="0.3" footer="0.3"/>
  <customProperties>
    <customPr name="DVSECTIONID"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S66"/>
  <sheetViews>
    <sheetView zoomScaleNormal="100" workbookViewId="0">
      <pane ySplit="1" topLeftCell="A2" activePane="bottomLeft" state="frozen"/>
      <selection pane="bottomLeft"/>
    </sheetView>
  </sheetViews>
  <sheetFormatPr defaultColWidth="5.7109375" defaultRowHeight="12.75" x14ac:dyDescent="0.2"/>
  <cols>
    <col min="1" max="1" width="10.140625" customWidth="1"/>
    <col min="2" max="2" width="7.85546875" customWidth="1"/>
    <col min="3" max="7" width="6.42578125" customWidth="1"/>
    <col min="24" max="24" width="8.42578125" customWidth="1"/>
  </cols>
  <sheetData>
    <row r="1" spans="1:19" x14ac:dyDescent="0.2">
      <c r="A1" s="181" t="s">
        <v>639</v>
      </c>
    </row>
    <row r="2" spans="1:19" s="35" customFormat="1" ht="21.75" customHeight="1" x14ac:dyDescent="0.2">
      <c r="A2" s="1300" t="s">
        <v>98</v>
      </c>
      <c r="B2" s="1301"/>
      <c r="C2" s="1301"/>
      <c r="D2" s="1301"/>
      <c r="E2" s="1301"/>
      <c r="F2" s="1301"/>
      <c r="G2" s="1301"/>
      <c r="H2" s="1301"/>
      <c r="I2" s="1301"/>
      <c r="J2" s="1301"/>
      <c r="K2" s="1301"/>
      <c r="L2" s="1301"/>
      <c r="M2" s="1301"/>
      <c r="N2" s="1301"/>
      <c r="O2" s="1301"/>
      <c r="P2" s="1301"/>
      <c r="Q2" s="1301"/>
      <c r="R2" s="1301"/>
      <c r="S2" s="1301"/>
    </row>
    <row r="4" spans="1:19" s="81" customFormat="1" x14ac:dyDescent="0.2">
      <c r="A4" s="1297" t="s">
        <v>1821</v>
      </c>
      <c r="B4" s="1297"/>
      <c r="C4" s="1297"/>
      <c r="D4" s="1297"/>
      <c r="E4" s="1297"/>
      <c r="F4" s="1297"/>
      <c r="G4" s="1297"/>
      <c r="H4" s="1297"/>
      <c r="I4" s="1297"/>
      <c r="J4" s="1297"/>
      <c r="K4" s="1297"/>
      <c r="L4" s="1297"/>
      <c r="M4" s="1297"/>
      <c r="N4" s="1297"/>
      <c r="O4" s="1297"/>
      <c r="P4" s="1297"/>
    </row>
    <row r="5" spans="1:19" s="134" customFormat="1" ht="14.25" customHeight="1" x14ac:dyDescent="0.2">
      <c r="A5" s="133" t="s">
        <v>393</v>
      </c>
      <c r="B5" s="1274" t="s">
        <v>98</v>
      </c>
      <c r="C5" s="1274"/>
      <c r="D5" s="1274"/>
      <c r="E5" s="1274"/>
      <c r="F5" s="1274"/>
      <c r="G5" s="1274" t="s">
        <v>724</v>
      </c>
      <c r="H5" s="1274"/>
      <c r="I5" s="1274"/>
      <c r="J5" s="1274"/>
      <c r="K5" s="1274"/>
      <c r="L5" s="1274"/>
      <c r="M5" s="1274"/>
      <c r="N5" s="1274"/>
      <c r="O5" s="1274"/>
      <c r="P5" s="1274"/>
    </row>
    <row r="6" spans="1:19" s="134" customFormat="1" ht="14.25" customHeight="1" x14ac:dyDescent="0.2">
      <c r="A6" s="120"/>
      <c r="B6" s="1299" t="s">
        <v>725</v>
      </c>
      <c r="C6" s="1299"/>
      <c r="D6" s="1299"/>
      <c r="E6" s="1299"/>
      <c r="F6" s="1299"/>
      <c r="G6" s="1299" t="s">
        <v>726</v>
      </c>
      <c r="H6" s="1299"/>
      <c r="I6" s="1299"/>
      <c r="J6" s="1299"/>
      <c r="K6" s="1299"/>
      <c r="L6" s="1299"/>
      <c r="M6" s="1299"/>
      <c r="N6" s="1299"/>
      <c r="O6" s="1299"/>
      <c r="P6" s="1299"/>
    </row>
    <row r="7" spans="1:19" s="134" customFormat="1" ht="14.25" customHeight="1" x14ac:dyDescent="0.2">
      <c r="A7" s="120"/>
      <c r="B7" s="1299" t="s">
        <v>727</v>
      </c>
      <c r="C7" s="1299"/>
      <c r="D7" s="1299"/>
      <c r="E7" s="1299"/>
      <c r="F7" s="1299"/>
      <c r="G7" s="1299" t="s">
        <v>728</v>
      </c>
      <c r="H7" s="1299"/>
      <c r="I7" s="1299"/>
      <c r="J7" s="1299"/>
      <c r="K7" s="1299"/>
      <c r="L7" s="1299"/>
      <c r="M7" s="1299"/>
      <c r="N7" s="1299"/>
      <c r="O7" s="1299"/>
      <c r="P7" s="1299"/>
    </row>
    <row r="8" spans="1:19" s="134" customFormat="1" ht="14.25" customHeight="1" x14ac:dyDescent="0.2">
      <c r="A8" s="120"/>
      <c r="B8" s="1299" t="s">
        <v>729</v>
      </c>
      <c r="C8" s="1299"/>
      <c r="D8" s="1299"/>
      <c r="E8" s="1299"/>
      <c r="F8" s="1299"/>
      <c r="G8" s="1299" t="s">
        <v>730</v>
      </c>
      <c r="H8" s="1299"/>
      <c r="I8" s="1299"/>
      <c r="J8" s="1299"/>
      <c r="K8" s="1299"/>
      <c r="L8" s="1299"/>
      <c r="M8" s="1299"/>
      <c r="N8" s="1299"/>
      <c r="O8" s="1299"/>
      <c r="P8" s="1299"/>
    </row>
    <row r="9" spans="1:19" s="134" customFormat="1" ht="14.25" customHeight="1" x14ac:dyDescent="0.2"/>
    <row r="10" spans="1:19" s="81" customFormat="1" x14ac:dyDescent="0.2">
      <c r="A10" s="1297" t="s">
        <v>1822</v>
      </c>
      <c r="B10" s="1297"/>
      <c r="C10" s="1297"/>
      <c r="D10" s="1297"/>
      <c r="E10" s="1297"/>
      <c r="F10" s="1297"/>
      <c r="G10" s="1297"/>
      <c r="H10" s="1297"/>
      <c r="I10" s="1297"/>
      <c r="J10" s="1297"/>
      <c r="K10" s="1297"/>
      <c r="L10" s="1297"/>
      <c r="M10" s="1297"/>
      <c r="N10" s="1297"/>
      <c r="O10" s="1297"/>
      <c r="P10" s="1297"/>
    </row>
    <row r="11" spans="1:19" s="134" customFormat="1" ht="14.25" customHeight="1" x14ac:dyDescent="0.2">
      <c r="A11" s="1295" t="s">
        <v>316</v>
      </c>
      <c r="B11" s="1295"/>
      <c r="C11" s="1294"/>
      <c r="D11" s="1294"/>
      <c r="E11" s="1294"/>
      <c r="F11" s="1294"/>
      <c r="G11" s="1294"/>
      <c r="H11" s="1294"/>
      <c r="I11" s="1294"/>
      <c r="J11" s="1294"/>
      <c r="K11" s="1294"/>
      <c r="L11" s="1294"/>
      <c r="M11" s="1294"/>
      <c r="N11" s="1294"/>
      <c r="O11" s="1294"/>
      <c r="P11" s="1294"/>
    </row>
    <row r="12" spans="1:19" s="134" customFormat="1" ht="14.25" customHeight="1" x14ac:dyDescent="0.2">
      <c r="A12" s="1295" t="s">
        <v>731</v>
      </c>
      <c r="B12" s="1295"/>
      <c r="C12" s="1294"/>
      <c r="D12" s="1294"/>
      <c r="E12" s="1294"/>
      <c r="F12" s="1294"/>
      <c r="G12" s="1294"/>
      <c r="H12" s="1294"/>
      <c r="I12" s="1294"/>
      <c r="J12" s="1294"/>
      <c r="K12" s="1294"/>
      <c r="L12" s="1294"/>
      <c r="M12" s="1294"/>
      <c r="N12" s="1294"/>
      <c r="O12" s="1294"/>
      <c r="P12" s="1294"/>
    </row>
    <row r="13" spans="1:19" s="134" customFormat="1" ht="14.25" customHeight="1" x14ac:dyDescent="0.2">
      <c r="A13" s="1295" t="s">
        <v>732</v>
      </c>
      <c r="B13" s="1295"/>
      <c r="C13" s="1294"/>
      <c r="D13" s="1294"/>
      <c r="E13" s="1294"/>
      <c r="F13" s="1294"/>
      <c r="G13" s="1294"/>
      <c r="H13" s="1294"/>
      <c r="I13" s="1294"/>
      <c r="J13" s="1294"/>
      <c r="K13" s="1294"/>
      <c r="L13" s="1294"/>
      <c r="M13" s="1294"/>
      <c r="N13" s="1294"/>
      <c r="O13" s="1294"/>
      <c r="P13" s="1294"/>
    </row>
    <row r="14" spans="1:19" s="134" customFormat="1" ht="14.25" customHeight="1" x14ac:dyDescent="0.2">
      <c r="A14" s="1295" t="s">
        <v>733</v>
      </c>
      <c r="B14" s="1295"/>
      <c r="C14" s="1294"/>
      <c r="D14" s="1294"/>
      <c r="E14" s="1294"/>
      <c r="F14" s="1294"/>
      <c r="G14" s="1294"/>
      <c r="H14" s="1294"/>
      <c r="I14" s="1294"/>
      <c r="J14" s="1294"/>
      <c r="K14" s="1294"/>
      <c r="L14" s="1294"/>
      <c r="M14" s="1294"/>
      <c r="N14" s="1294"/>
      <c r="O14" s="1294"/>
      <c r="P14" s="1294"/>
    </row>
    <row r="15" spans="1:19" s="134" customFormat="1" ht="14.25" customHeight="1" x14ac:dyDescent="0.2">
      <c r="A15" s="1295" t="s">
        <v>734</v>
      </c>
      <c r="B15" s="1295"/>
      <c r="C15" s="1294"/>
      <c r="D15" s="1294"/>
      <c r="E15" s="1294"/>
      <c r="F15" s="1294"/>
      <c r="G15" s="1294"/>
      <c r="H15" s="1294"/>
      <c r="I15" s="1294"/>
      <c r="J15" s="1294"/>
      <c r="K15" s="1294"/>
      <c r="L15" s="1294"/>
      <c r="M15" s="1294"/>
      <c r="N15" s="1294"/>
      <c r="O15" s="1294"/>
      <c r="P15" s="1294"/>
    </row>
    <row r="16" spans="1:19" s="134" customFormat="1" ht="14.25" customHeight="1" x14ac:dyDescent="0.2">
      <c r="A16" s="1295" t="s">
        <v>295</v>
      </c>
      <c r="B16" s="1295"/>
      <c r="C16" s="1294"/>
      <c r="D16" s="1294"/>
      <c r="E16" s="1294"/>
      <c r="F16" s="1294"/>
      <c r="G16" s="1294"/>
      <c r="H16" s="1294"/>
      <c r="I16" s="1294"/>
      <c r="J16" s="1294"/>
      <c r="K16" s="1294"/>
      <c r="L16" s="1294"/>
      <c r="M16" s="1294"/>
      <c r="N16" s="1294"/>
      <c r="O16" s="1294"/>
      <c r="P16" s="1294"/>
    </row>
    <row r="17" spans="1:19" s="134" customFormat="1" ht="14.25" customHeight="1" x14ac:dyDescent="0.2">
      <c r="A17" s="1295" t="s">
        <v>735</v>
      </c>
      <c r="B17" s="1295"/>
      <c r="C17" s="1294"/>
      <c r="D17" s="1294"/>
      <c r="E17" s="1294"/>
      <c r="F17" s="1294"/>
      <c r="G17" s="1294"/>
      <c r="H17" s="1294"/>
      <c r="I17" s="1294"/>
      <c r="J17" s="1294"/>
      <c r="K17" s="1294"/>
      <c r="L17" s="1294"/>
      <c r="M17" s="1294"/>
      <c r="N17" s="1294"/>
      <c r="O17" s="1294"/>
      <c r="P17" s="1294"/>
    </row>
    <row r="18" spans="1:19" s="134" customFormat="1" ht="14.25" customHeight="1" x14ac:dyDescent="0.2">
      <c r="A18" s="1295" t="s">
        <v>233</v>
      </c>
      <c r="B18" s="1295"/>
      <c r="C18" s="1294"/>
      <c r="D18" s="1294"/>
      <c r="E18" s="1294"/>
      <c r="F18" s="1294"/>
      <c r="G18" s="1294"/>
      <c r="H18" s="1294"/>
      <c r="I18" s="1294"/>
      <c r="J18" s="1294"/>
      <c r="K18" s="1294"/>
      <c r="L18" s="1294"/>
      <c r="M18" s="1294"/>
      <c r="N18" s="1294"/>
      <c r="O18" s="1294"/>
      <c r="P18" s="1294"/>
    </row>
    <row r="19" spans="1:19" s="81" customFormat="1" x14ac:dyDescent="0.2"/>
    <row r="20" spans="1:19" s="135" customFormat="1" ht="14.25" customHeight="1" x14ac:dyDescent="0.2">
      <c r="A20" s="136" t="s">
        <v>638</v>
      </c>
    </row>
    <row r="21" spans="1:19" s="86" customFormat="1" ht="14.25" customHeight="1" x14ac:dyDescent="0.2">
      <c r="A21" s="1298" t="s">
        <v>1820</v>
      </c>
      <c r="B21" s="1298"/>
      <c r="C21" s="1298"/>
      <c r="D21" s="1298"/>
      <c r="E21" s="1298"/>
      <c r="F21" s="1298"/>
      <c r="G21" s="1298"/>
      <c r="H21" s="1298"/>
      <c r="I21" s="1298"/>
      <c r="J21" s="1298"/>
      <c r="K21" s="1298"/>
      <c r="L21" s="1298"/>
      <c r="M21" s="1298"/>
      <c r="N21" s="1298"/>
      <c r="O21" s="1298"/>
      <c r="P21" s="1298"/>
      <c r="Q21" s="1298"/>
      <c r="R21" s="1298"/>
      <c r="S21" s="1298"/>
    </row>
    <row r="22" spans="1:19" s="86" customFormat="1" ht="14.25" customHeight="1" x14ac:dyDescent="0.2">
      <c r="A22" s="1298" t="s">
        <v>1563</v>
      </c>
      <c r="B22" s="1298"/>
      <c r="C22" s="1298"/>
      <c r="D22" s="1298"/>
      <c r="E22" s="1298"/>
      <c r="F22" s="1298"/>
      <c r="G22" s="1298"/>
      <c r="H22" s="1298"/>
      <c r="I22" s="1298"/>
      <c r="J22" s="1298"/>
      <c r="K22" s="1298"/>
      <c r="L22" s="1298"/>
      <c r="M22" s="1298"/>
      <c r="N22" s="1298"/>
      <c r="O22" s="1298"/>
      <c r="P22" s="1298"/>
      <c r="Q22" s="1298"/>
      <c r="R22" s="1298"/>
      <c r="S22" s="1298"/>
    </row>
    <row r="23" spans="1:19" s="86" customFormat="1" ht="14.25" customHeight="1" x14ac:dyDescent="0.2">
      <c r="A23" s="1298" t="s">
        <v>736</v>
      </c>
      <c r="B23" s="1298"/>
      <c r="C23" s="1298"/>
      <c r="D23" s="1298"/>
      <c r="E23" s="1298"/>
      <c r="F23" s="1298"/>
      <c r="G23" s="1298"/>
      <c r="H23" s="1298"/>
      <c r="I23" s="1298"/>
      <c r="J23" s="1298"/>
      <c r="K23" s="1298"/>
      <c r="L23" s="1298"/>
      <c r="M23" s="1298"/>
      <c r="N23" s="1298"/>
      <c r="O23" s="1298"/>
      <c r="P23" s="1298"/>
      <c r="Q23" s="1298"/>
      <c r="R23" s="1298"/>
      <c r="S23" s="1298"/>
    </row>
    <row r="24" spans="1:19" s="86" customFormat="1" ht="14.25" customHeight="1" x14ac:dyDescent="0.2">
      <c r="A24" s="1298" t="s">
        <v>737</v>
      </c>
      <c r="B24" s="1298"/>
      <c r="C24" s="1298"/>
      <c r="D24" s="1298"/>
      <c r="E24" s="1298"/>
      <c r="F24" s="1298"/>
      <c r="G24" s="1298"/>
      <c r="H24" s="1298"/>
      <c r="I24" s="1298"/>
      <c r="J24" s="1298"/>
      <c r="K24" s="1298"/>
      <c r="L24" s="1298"/>
      <c r="M24" s="1298"/>
      <c r="N24" s="1298"/>
      <c r="O24" s="1298"/>
      <c r="P24" s="1298"/>
      <c r="Q24" s="1298"/>
      <c r="R24" s="1298"/>
      <c r="S24" s="1298"/>
    </row>
    <row r="25" spans="1:19" s="86" customFormat="1" ht="27" customHeight="1" x14ac:dyDescent="0.2">
      <c r="A25" s="1296" t="s">
        <v>738</v>
      </c>
      <c r="B25" s="1296"/>
      <c r="C25" s="1296"/>
      <c r="D25" s="1296"/>
      <c r="E25" s="1296"/>
      <c r="F25" s="1296"/>
      <c r="G25" s="1296"/>
      <c r="H25" s="1296"/>
      <c r="I25" s="1296"/>
      <c r="J25" s="1296"/>
      <c r="K25" s="1296"/>
      <c r="L25" s="1296"/>
      <c r="M25" s="1296"/>
      <c r="N25" s="1296"/>
      <c r="O25" s="1296"/>
      <c r="P25" s="1296"/>
      <c r="Q25" s="1296"/>
      <c r="R25" s="1296"/>
      <c r="S25" s="1296"/>
    </row>
    <row r="26" spans="1:19" s="86" customFormat="1" ht="14.25" customHeight="1" x14ac:dyDescent="0.2">
      <c r="A26" s="1298" t="s">
        <v>739</v>
      </c>
      <c r="B26" s="1298"/>
      <c r="C26" s="1298"/>
      <c r="D26" s="1298"/>
      <c r="E26" s="1298"/>
      <c r="F26" s="1298"/>
      <c r="G26" s="1298"/>
      <c r="H26" s="1298"/>
      <c r="I26" s="1298"/>
      <c r="J26" s="1298"/>
      <c r="K26" s="1298"/>
      <c r="L26" s="1298"/>
      <c r="M26" s="1298"/>
      <c r="N26" s="1298"/>
      <c r="O26" s="1298"/>
      <c r="P26" s="1298"/>
      <c r="Q26" s="1298"/>
      <c r="R26" s="1298"/>
      <c r="S26" s="1298"/>
    </row>
    <row r="27" spans="1:19" s="86" customFormat="1" ht="14.25" customHeight="1" x14ac:dyDescent="0.2">
      <c r="A27" s="1298" t="s">
        <v>740</v>
      </c>
      <c r="B27" s="1298"/>
      <c r="C27" s="1298"/>
      <c r="D27" s="1298"/>
      <c r="E27" s="1298"/>
      <c r="F27" s="1298"/>
      <c r="G27" s="1298"/>
      <c r="H27" s="1298"/>
      <c r="I27" s="1298"/>
      <c r="J27" s="1298"/>
      <c r="K27" s="1298"/>
      <c r="L27" s="1298"/>
      <c r="M27" s="1298"/>
      <c r="N27" s="1298"/>
      <c r="O27" s="1298"/>
      <c r="P27" s="1298"/>
      <c r="Q27" s="1298"/>
      <c r="R27" s="1298"/>
      <c r="S27" s="1298"/>
    </row>
    <row r="28" spans="1:19" s="86" customFormat="1" ht="14.25" customHeight="1" x14ac:dyDescent="0.2">
      <c r="A28" s="1298" t="s">
        <v>1823</v>
      </c>
      <c r="B28" s="1298"/>
      <c r="C28" s="1298"/>
      <c r="D28" s="1298"/>
      <c r="E28" s="1298"/>
      <c r="F28" s="1298"/>
      <c r="G28" s="1298"/>
      <c r="H28" s="1298"/>
      <c r="I28" s="1298"/>
      <c r="J28" s="1298"/>
      <c r="K28" s="1298"/>
      <c r="L28" s="1298"/>
      <c r="M28" s="1298"/>
      <c r="N28" s="1298"/>
      <c r="O28" s="1298"/>
      <c r="P28" s="1298"/>
      <c r="Q28" s="1298"/>
      <c r="R28" s="1298"/>
      <c r="S28" s="1298"/>
    </row>
    <row r="29" spans="1:19" s="86" customFormat="1" x14ac:dyDescent="0.2"/>
    <row r="30" spans="1:19" s="81" customFormat="1" ht="14.25" customHeight="1" x14ac:dyDescent="0.2">
      <c r="A30" s="1297" t="s">
        <v>741</v>
      </c>
      <c r="B30" s="1297"/>
      <c r="C30" s="1297"/>
      <c r="D30" s="1297"/>
      <c r="E30" s="1297"/>
      <c r="F30" s="1297"/>
      <c r="G30" s="1297"/>
      <c r="H30" s="1297"/>
      <c r="I30" s="1297"/>
      <c r="J30" s="1297"/>
      <c r="K30" s="1297"/>
      <c r="L30" s="1297"/>
      <c r="M30" s="1297"/>
      <c r="N30" s="1297"/>
      <c r="O30" s="1297"/>
      <c r="P30" s="1297"/>
    </row>
    <row r="31" spans="1:19" s="134" customFormat="1" ht="14.25" customHeight="1" x14ac:dyDescent="0.2">
      <c r="A31" s="1299" t="s">
        <v>477</v>
      </c>
      <c r="B31" s="1299"/>
      <c r="C31" s="1299"/>
      <c r="D31" s="1302" t="s">
        <v>743</v>
      </c>
      <c r="E31" s="1303"/>
      <c r="F31" s="1303"/>
      <c r="G31" s="1303"/>
      <c r="H31" s="1303"/>
      <c r="I31" s="1303"/>
      <c r="J31" s="1303"/>
      <c r="K31" s="1303"/>
      <c r="L31" s="1303"/>
      <c r="M31" s="1303"/>
      <c r="N31" s="1303"/>
      <c r="O31" s="1303"/>
      <c r="P31" s="1304"/>
    </row>
    <row r="32" spans="1:19" s="134" customFormat="1" ht="14.25" customHeight="1" x14ac:dyDescent="0.2">
      <c r="A32" s="116" t="s">
        <v>742</v>
      </c>
      <c r="B32" s="116"/>
      <c r="C32" s="116"/>
      <c r="D32" s="1302" t="s">
        <v>744</v>
      </c>
      <c r="E32" s="1303"/>
      <c r="F32" s="1303"/>
      <c r="G32" s="1303"/>
      <c r="H32" s="1303"/>
      <c r="I32" s="1303"/>
      <c r="J32" s="1303"/>
      <c r="K32" s="1303"/>
      <c r="L32" s="1303"/>
      <c r="M32" s="1303"/>
      <c r="N32" s="1303"/>
      <c r="O32" s="1303"/>
      <c r="P32" s="1304"/>
    </row>
    <row r="33" spans="1:19" s="86" customFormat="1" ht="14.25" customHeight="1" x14ac:dyDescent="0.2"/>
    <row r="34" spans="1:19" s="81" customFormat="1" ht="14.25" customHeight="1" x14ac:dyDescent="0.2">
      <c r="A34" s="1297" t="s">
        <v>745</v>
      </c>
      <c r="B34" s="1297"/>
      <c r="C34" s="1297"/>
      <c r="D34" s="1297"/>
      <c r="E34" s="1297"/>
      <c r="F34" s="1297"/>
      <c r="G34" s="1297"/>
      <c r="H34" s="1297"/>
      <c r="I34" s="1297"/>
      <c r="J34" s="1297"/>
      <c r="K34" s="1297"/>
      <c r="L34" s="1297"/>
      <c r="M34" s="1297"/>
      <c r="N34" s="1297"/>
      <c r="O34" s="1297"/>
      <c r="P34" s="1297"/>
    </row>
    <row r="35" spans="1:19" s="134" customFormat="1" ht="14.25" customHeight="1" x14ac:dyDescent="0.2">
      <c r="A35" s="1302" t="s">
        <v>746</v>
      </c>
      <c r="B35" s="1303"/>
      <c r="C35" s="1303"/>
      <c r="D35" s="1303"/>
      <c r="E35" s="1303"/>
      <c r="F35" s="1303"/>
      <c r="G35" s="1303"/>
      <c r="H35" s="1303"/>
      <c r="I35" s="1303"/>
      <c r="J35" s="1303"/>
      <c r="K35" s="1303"/>
      <c r="L35" s="1303"/>
      <c r="M35" s="1303"/>
      <c r="N35" s="1303"/>
      <c r="O35" s="1303"/>
      <c r="P35" s="1304"/>
    </row>
    <row r="37" spans="1:19" ht="14.25" customHeight="1" x14ac:dyDescent="0.2">
      <c r="A37" s="136" t="s">
        <v>638</v>
      </c>
    </row>
    <row r="38" spans="1:19" s="35" customFormat="1" ht="39" customHeight="1" x14ac:dyDescent="0.2">
      <c r="A38" s="1291" t="s">
        <v>1824</v>
      </c>
      <c r="B38" s="1291"/>
      <c r="C38" s="1291"/>
      <c r="D38" s="1291"/>
      <c r="E38" s="1291"/>
      <c r="F38" s="1291"/>
      <c r="G38" s="1291"/>
      <c r="H38" s="1291"/>
      <c r="I38" s="1291"/>
      <c r="J38" s="1291"/>
      <c r="K38" s="1291"/>
      <c r="L38" s="1291"/>
      <c r="M38" s="1291"/>
      <c r="N38" s="1291"/>
      <c r="O38" s="1291"/>
      <c r="P38" s="1291"/>
      <c r="Q38" s="1291"/>
      <c r="R38" s="1291"/>
      <c r="S38" s="1291"/>
    </row>
    <row r="39" spans="1:19" s="35" customFormat="1" ht="14.25" customHeight="1" x14ac:dyDescent="0.2">
      <c r="A39" s="1292" t="s">
        <v>1826</v>
      </c>
      <c r="B39" s="1292"/>
      <c r="C39" s="1292"/>
      <c r="D39" s="1292"/>
      <c r="E39" s="1292"/>
      <c r="F39" s="1292"/>
      <c r="G39" s="1292"/>
      <c r="H39" s="1292"/>
      <c r="I39" s="1292"/>
      <c r="J39" s="1292"/>
      <c r="K39" s="1292"/>
      <c r="L39" s="1292"/>
      <c r="M39" s="1292"/>
      <c r="N39" s="1292"/>
      <c r="O39" s="1292"/>
      <c r="P39" s="1292"/>
      <c r="Q39" s="1292"/>
      <c r="R39" s="1292"/>
      <c r="S39" s="1292"/>
    </row>
    <row r="40" spans="1:19" s="35" customFormat="1" ht="27" customHeight="1" x14ac:dyDescent="0.2">
      <c r="A40" s="1291" t="s">
        <v>747</v>
      </c>
      <c r="B40" s="1291"/>
      <c r="C40" s="1291"/>
      <c r="D40" s="1291"/>
      <c r="E40" s="1291"/>
      <c r="F40" s="1291"/>
      <c r="G40" s="1291"/>
      <c r="H40" s="1291"/>
      <c r="I40" s="1291"/>
      <c r="J40" s="1291"/>
      <c r="K40" s="1291"/>
      <c r="L40" s="1291"/>
      <c r="M40" s="1291"/>
      <c r="N40" s="1291"/>
      <c r="O40" s="1291"/>
      <c r="P40" s="1291"/>
      <c r="Q40" s="1291"/>
      <c r="R40" s="1291"/>
      <c r="S40" s="1291"/>
    </row>
    <row r="41" spans="1:19" s="35" customFormat="1" ht="14.25" customHeight="1" x14ac:dyDescent="0.2">
      <c r="A41" s="1293" t="s">
        <v>748</v>
      </c>
      <c r="B41" s="1293"/>
      <c r="C41" s="1293"/>
      <c r="D41" s="1293"/>
      <c r="E41" s="1293"/>
      <c r="F41" s="1293"/>
      <c r="G41" s="1293"/>
      <c r="H41" s="1293"/>
      <c r="I41" s="1293"/>
      <c r="J41" s="1293"/>
      <c r="K41" s="1293"/>
      <c r="L41" s="1293"/>
      <c r="M41" s="1293"/>
      <c r="N41" s="1293"/>
      <c r="O41" s="1293"/>
      <c r="P41" s="1293"/>
      <c r="Q41" s="1293"/>
      <c r="R41" s="1293"/>
      <c r="S41" s="1293"/>
    </row>
    <row r="42" spans="1:19" s="35" customFormat="1" ht="14.25" customHeight="1" x14ac:dyDescent="0.2">
      <c r="A42" s="1293" t="s">
        <v>749</v>
      </c>
      <c r="B42" s="1293"/>
      <c r="C42" s="1293"/>
      <c r="D42" s="1293"/>
      <c r="E42" s="1293"/>
      <c r="F42" s="1293"/>
      <c r="G42" s="1293"/>
      <c r="H42" s="1293"/>
      <c r="I42" s="1293"/>
      <c r="J42" s="1293"/>
      <c r="K42" s="1293"/>
      <c r="L42" s="1293"/>
      <c r="M42" s="1293"/>
      <c r="N42" s="1293"/>
      <c r="O42" s="1293"/>
      <c r="P42" s="1293"/>
      <c r="Q42" s="1293"/>
      <c r="R42" s="1293"/>
      <c r="S42" s="1293"/>
    </row>
    <row r="43" spans="1:19" s="33" customFormat="1" x14ac:dyDescent="0.2"/>
    <row r="44" spans="1:19" s="33" customFormat="1" x14ac:dyDescent="0.2"/>
    <row r="45" spans="1:19" s="33" customFormat="1" x14ac:dyDescent="0.2"/>
    <row r="46" spans="1:19" s="33" customFormat="1" x14ac:dyDescent="0.2"/>
    <row r="47" spans="1:19" s="33" customFormat="1" x14ac:dyDescent="0.2"/>
    <row r="48" spans="1:19" s="33" customFormat="1" x14ac:dyDescent="0.2"/>
    <row r="49" s="33" customFormat="1" x14ac:dyDescent="0.2"/>
    <row r="50" s="33" customFormat="1" x14ac:dyDescent="0.2"/>
    <row r="51" s="33" customFormat="1" x14ac:dyDescent="0.2"/>
    <row r="52" s="33" customFormat="1" x14ac:dyDescent="0.2"/>
    <row r="53" s="33" customFormat="1" x14ac:dyDescent="0.2"/>
    <row r="54" s="33" customFormat="1" x14ac:dyDescent="0.2"/>
    <row r="55" s="33" customFormat="1" x14ac:dyDescent="0.2"/>
    <row r="56" s="33" customFormat="1" x14ac:dyDescent="0.2"/>
    <row r="57" s="33" customFormat="1" x14ac:dyDescent="0.2"/>
    <row r="58" s="33" customFormat="1" x14ac:dyDescent="0.2"/>
    <row r="59" s="33" customFormat="1" x14ac:dyDescent="0.2"/>
    <row r="60" s="33" customFormat="1" x14ac:dyDescent="0.2"/>
    <row r="61" s="33" customFormat="1" x14ac:dyDescent="0.2"/>
    <row r="62" s="33" customFormat="1" x14ac:dyDescent="0.2"/>
    <row r="63" s="33" customFormat="1" x14ac:dyDescent="0.2"/>
    <row r="64" s="33" customFormat="1" x14ac:dyDescent="0.2"/>
    <row r="65" s="33" customFormat="1" x14ac:dyDescent="0.2"/>
    <row r="66" s="33" customFormat="1" x14ac:dyDescent="0.2"/>
  </sheetData>
  <customSheetViews>
    <customSheetView guid="{4892E1C0-7A56-4F81-A857-987D77EC4462}">
      <selection activeCell="X24" sqref="X24"/>
      <pageMargins left="0.75" right="0.75" top="1" bottom="1" header="0.5" footer="0.5"/>
      <pageSetup orientation="landscape" r:id="rId1"/>
      <headerFooter alignWithMargins="0">
        <oddHeader>&amp;L&amp;G&amp;CShowAcronymGoesHere - PSM&amp;R&amp;P</oddHeader>
        <oddFooter>&amp;L&amp;D&amp;R&amp;Z&amp;F</oddFooter>
      </headerFooter>
    </customSheetView>
    <customSheetView guid="{C29C6423-4E3D-4B08-919E-993C7C45FC31}">
      <selection activeCell="X24" sqref="X24"/>
      <pageMargins left="0.75" right="0.75" top="1" bottom="1" header="0.5" footer="0.5"/>
      <pageSetup orientation="landscape" r:id="rId2"/>
      <headerFooter alignWithMargins="0">
        <oddHeader>&amp;L&amp;G&amp;CShowAcronymGoesHere - PSM&amp;R&amp;P</oddHeader>
        <oddFooter>&amp;L&amp;D&amp;R&amp;Z&amp;F</oddFooter>
      </headerFooter>
    </customSheetView>
  </customSheetViews>
  <mergeCells count="46">
    <mergeCell ref="A35:P35"/>
    <mergeCell ref="A13:B13"/>
    <mergeCell ref="C12:P12"/>
    <mergeCell ref="A22:S22"/>
    <mergeCell ref="A23:S23"/>
    <mergeCell ref="A24:S24"/>
    <mergeCell ref="A26:S26"/>
    <mergeCell ref="A27:S27"/>
    <mergeCell ref="A28:S28"/>
    <mergeCell ref="A2:S2"/>
    <mergeCell ref="A31:C31"/>
    <mergeCell ref="D31:P31"/>
    <mergeCell ref="D32:P32"/>
    <mergeCell ref="B6:F6"/>
    <mergeCell ref="A4:P4"/>
    <mergeCell ref="A10:P10"/>
    <mergeCell ref="A14:B14"/>
    <mergeCell ref="A15:B15"/>
    <mergeCell ref="A16:B16"/>
    <mergeCell ref="G5:P5"/>
    <mergeCell ref="G6:P6"/>
    <mergeCell ref="G7:P7"/>
    <mergeCell ref="G8:P8"/>
    <mergeCell ref="C13:P13"/>
    <mergeCell ref="C11:P11"/>
    <mergeCell ref="B5:F5"/>
    <mergeCell ref="B7:F7"/>
    <mergeCell ref="B8:F8"/>
    <mergeCell ref="A11:B11"/>
    <mergeCell ref="A12:B12"/>
    <mergeCell ref="A40:S40"/>
    <mergeCell ref="A39:S39"/>
    <mergeCell ref="A41:S41"/>
    <mergeCell ref="A42:S42"/>
    <mergeCell ref="C14:P14"/>
    <mergeCell ref="C15:P15"/>
    <mergeCell ref="C16:P16"/>
    <mergeCell ref="C17:P17"/>
    <mergeCell ref="C18:P18"/>
    <mergeCell ref="A18:B18"/>
    <mergeCell ref="A17:B17"/>
    <mergeCell ref="A25:S25"/>
    <mergeCell ref="A30:P30"/>
    <mergeCell ref="A21:S21"/>
    <mergeCell ref="A38:S38"/>
    <mergeCell ref="A34:P34"/>
  </mergeCells>
  <phoneticPr fontId="6" type="noConversion"/>
  <hyperlinks>
    <hyperlink ref="A1" location="TOC!A1" display="TOC Page"/>
    <hyperlink ref="A39:S39" r:id="rId3" display="Customer Service Go Live Checklist Template"/>
  </hyperlinks>
  <pageMargins left="0.75" right="0.75" top="1" bottom="1" header="0.5" footer="0.5"/>
  <pageSetup orientation="landscape" r:id="rId4"/>
  <headerFooter alignWithMargins="0">
    <oddHeader>&amp;L&amp;G&amp;CShowAcronymGoesHere - PSM&amp;R&amp;P</oddHeader>
    <oddFooter>&amp;L&amp;D&amp;R&amp;Z&amp;F</oddFooter>
  </headerFooter>
  <customProperties>
    <customPr name="DVSECTIONID" r:id="rId5"/>
  </customProperties>
  <legacyDrawingHF r:id="rId6"/>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zoomScale="130" zoomScaleNormal="130" workbookViewId="0">
      <selection activeCell="A13" sqref="A13"/>
    </sheetView>
  </sheetViews>
  <sheetFormatPr defaultRowHeight="12.75" x14ac:dyDescent="0.2"/>
  <cols>
    <col min="1" max="1" width="7.42578125" style="975" customWidth="1"/>
    <col min="2" max="3" width="9.140625" style="973"/>
    <col min="4" max="5" width="11.85546875" style="973" customWidth="1"/>
    <col min="6" max="6" width="12.42578125" style="973" customWidth="1"/>
    <col min="7" max="7" width="17.7109375" style="973" customWidth="1"/>
    <col min="8" max="8" width="17" style="973" customWidth="1"/>
    <col min="9" max="13" width="9.140625" style="973"/>
    <col min="14" max="14" width="10.7109375" style="973" customWidth="1"/>
    <col min="15" max="253" width="9.140625" style="973"/>
    <col min="254" max="254" width="7.42578125" style="973" customWidth="1"/>
    <col min="255" max="259" width="9.140625" style="973"/>
    <col min="260" max="260" width="9.7109375" style="973" customWidth="1"/>
    <col min="261" max="261" width="11.85546875" style="973" customWidth="1"/>
    <col min="262" max="262" width="12.42578125" style="973" customWidth="1"/>
    <col min="263" max="263" width="17.7109375" style="973" customWidth="1"/>
    <col min="264" max="264" width="39.42578125" style="973" customWidth="1"/>
    <col min="265" max="269" width="9.140625" style="973"/>
    <col min="270" max="270" width="10.7109375" style="973" customWidth="1"/>
    <col min="271" max="509" width="9.140625" style="973"/>
    <col min="510" max="510" width="7.42578125" style="973" customWidth="1"/>
    <col min="511" max="515" width="9.140625" style="973"/>
    <col min="516" max="516" width="9.7109375" style="973" customWidth="1"/>
    <col min="517" max="517" width="11.85546875" style="973" customWidth="1"/>
    <col min="518" max="518" width="12.42578125" style="973" customWidth="1"/>
    <col min="519" max="519" width="17.7109375" style="973" customWidth="1"/>
    <col min="520" max="520" width="39.42578125" style="973" customWidth="1"/>
    <col min="521" max="525" width="9.140625" style="973"/>
    <col min="526" max="526" width="10.7109375" style="973" customWidth="1"/>
    <col min="527" max="765" width="9.140625" style="973"/>
    <col min="766" max="766" width="7.42578125" style="973" customWidth="1"/>
    <col min="767" max="771" width="9.140625" style="973"/>
    <col min="772" max="772" width="9.7109375" style="973" customWidth="1"/>
    <col min="773" max="773" width="11.85546875" style="973" customWidth="1"/>
    <col min="774" max="774" width="12.42578125" style="973" customWidth="1"/>
    <col min="775" max="775" width="17.7109375" style="973" customWidth="1"/>
    <col min="776" max="776" width="39.42578125" style="973" customWidth="1"/>
    <col min="777" max="781" width="9.140625" style="973"/>
    <col min="782" max="782" width="10.7109375" style="973" customWidth="1"/>
    <col min="783" max="1021" width="9.140625" style="973"/>
    <col min="1022" max="1022" width="7.42578125" style="973" customWidth="1"/>
    <col min="1023" max="1027" width="9.140625" style="973"/>
    <col min="1028" max="1028" width="9.7109375" style="973" customWidth="1"/>
    <col min="1029" max="1029" width="11.85546875" style="973" customWidth="1"/>
    <col min="1030" max="1030" width="12.42578125" style="973" customWidth="1"/>
    <col min="1031" max="1031" width="17.7109375" style="973" customWidth="1"/>
    <col min="1032" max="1032" width="39.42578125" style="973" customWidth="1"/>
    <col min="1033" max="1037" width="9.140625" style="973"/>
    <col min="1038" max="1038" width="10.7109375" style="973" customWidth="1"/>
    <col min="1039" max="1277" width="9.140625" style="973"/>
    <col min="1278" max="1278" width="7.42578125" style="973" customWidth="1"/>
    <col min="1279" max="1283" width="9.140625" style="973"/>
    <col min="1284" max="1284" width="9.7109375" style="973" customWidth="1"/>
    <col min="1285" max="1285" width="11.85546875" style="973" customWidth="1"/>
    <col min="1286" max="1286" width="12.42578125" style="973" customWidth="1"/>
    <col min="1287" max="1287" width="17.7109375" style="973" customWidth="1"/>
    <col min="1288" max="1288" width="39.42578125" style="973" customWidth="1"/>
    <col min="1289" max="1293" width="9.140625" style="973"/>
    <col min="1294" max="1294" width="10.7109375" style="973" customWidth="1"/>
    <col min="1295" max="1533" width="9.140625" style="973"/>
    <col min="1534" max="1534" width="7.42578125" style="973" customWidth="1"/>
    <col min="1535" max="1539" width="9.140625" style="973"/>
    <col min="1540" max="1540" width="9.7109375" style="973" customWidth="1"/>
    <col min="1541" max="1541" width="11.85546875" style="973" customWidth="1"/>
    <col min="1542" max="1542" width="12.42578125" style="973" customWidth="1"/>
    <col min="1543" max="1543" width="17.7109375" style="973" customWidth="1"/>
    <col min="1544" max="1544" width="39.42578125" style="973" customWidth="1"/>
    <col min="1545" max="1549" width="9.140625" style="973"/>
    <col min="1550" max="1550" width="10.7109375" style="973" customWidth="1"/>
    <col min="1551" max="1789" width="9.140625" style="973"/>
    <col min="1790" max="1790" width="7.42578125" style="973" customWidth="1"/>
    <col min="1791" max="1795" width="9.140625" style="973"/>
    <col min="1796" max="1796" width="9.7109375" style="973" customWidth="1"/>
    <col min="1797" max="1797" width="11.85546875" style="973" customWidth="1"/>
    <col min="1798" max="1798" width="12.42578125" style="973" customWidth="1"/>
    <col min="1799" max="1799" width="17.7109375" style="973" customWidth="1"/>
    <col min="1800" max="1800" width="39.42578125" style="973" customWidth="1"/>
    <col min="1801" max="1805" width="9.140625" style="973"/>
    <col min="1806" max="1806" width="10.7109375" style="973" customWidth="1"/>
    <col min="1807" max="2045" width="9.140625" style="973"/>
    <col min="2046" max="2046" width="7.42578125" style="973" customWidth="1"/>
    <col min="2047" max="2051" width="9.140625" style="973"/>
    <col min="2052" max="2052" width="9.7109375" style="973" customWidth="1"/>
    <col min="2053" max="2053" width="11.85546875" style="973" customWidth="1"/>
    <col min="2054" max="2054" width="12.42578125" style="973" customWidth="1"/>
    <col min="2055" max="2055" width="17.7109375" style="973" customWidth="1"/>
    <col min="2056" max="2056" width="39.42578125" style="973" customWidth="1"/>
    <col min="2057" max="2061" width="9.140625" style="973"/>
    <col min="2062" max="2062" width="10.7109375" style="973" customWidth="1"/>
    <col min="2063" max="2301" width="9.140625" style="973"/>
    <col min="2302" max="2302" width="7.42578125" style="973" customWidth="1"/>
    <col min="2303" max="2307" width="9.140625" style="973"/>
    <col min="2308" max="2308" width="9.7109375" style="973" customWidth="1"/>
    <col min="2309" max="2309" width="11.85546875" style="973" customWidth="1"/>
    <col min="2310" max="2310" width="12.42578125" style="973" customWidth="1"/>
    <col min="2311" max="2311" width="17.7109375" style="973" customWidth="1"/>
    <col min="2312" max="2312" width="39.42578125" style="973" customWidth="1"/>
    <col min="2313" max="2317" width="9.140625" style="973"/>
    <col min="2318" max="2318" width="10.7109375" style="973" customWidth="1"/>
    <col min="2319" max="2557" width="9.140625" style="973"/>
    <col min="2558" max="2558" width="7.42578125" style="973" customWidth="1"/>
    <col min="2559" max="2563" width="9.140625" style="973"/>
    <col min="2564" max="2564" width="9.7109375" style="973" customWidth="1"/>
    <col min="2565" max="2565" width="11.85546875" style="973" customWidth="1"/>
    <col min="2566" max="2566" width="12.42578125" style="973" customWidth="1"/>
    <col min="2567" max="2567" width="17.7109375" style="973" customWidth="1"/>
    <col min="2568" max="2568" width="39.42578125" style="973" customWidth="1"/>
    <col min="2569" max="2573" width="9.140625" style="973"/>
    <col min="2574" max="2574" width="10.7109375" style="973" customWidth="1"/>
    <col min="2575" max="2813" width="9.140625" style="973"/>
    <col min="2814" max="2814" width="7.42578125" style="973" customWidth="1"/>
    <col min="2815" max="2819" width="9.140625" style="973"/>
    <col min="2820" max="2820" width="9.7109375" style="973" customWidth="1"/>
    <col min="2821" max="2821" width="11.85546875" style="973" customWidth="1"/>
    <col min="2822" max="2822" width="12.42578125" style="973" customWidth="1"/>
    <col min="2823" max="2823" width="17.7109375" style="973" customWidth="1"/>
    <col min="2824" max="2824" width="39.42578125" style="973" customWidth="1"/>
    <col min="2825" max="2829" width="9.140625" style="973"/>
    <col min="2830" max="2830" width="10.7109375" style="973" customWidth="1"/>
    <col min="2831" max="3069" width="9.140625" style="973"/>
    <col min="3070" max="3070" width="7.42578125" style="973" customWidth="1"/>
    <col min="3071" max="3075" width="9.140625" style="973"/>
    <col min="3076" max="3076" width="9.7109375" style="973" customWidth="1"/>
    <col min="3077" max="3077" width="11.85546875" style="973" customWidth="1"/>
    <col min="3078" max="3078" width="12.42578125" style="973" customWidth="1"/>
    <col min="3079" max="3079" width="17.7109375" style="973" customWidth="1"/>
    <col min="3080" max="3080" width="39.42578125" style="973" customWidth="1"/>
    <col min="3081" max="3085" width="9.140625" style="973"/>
    <col min="3086" max="3086" width="10.7109375" style="973" customWidth="1"/>
    <col min="3087" max="3325" width="9.140625" style="973"/>
    <col min="3326" max="3326" width="7.42578125" style="973" customWidth="1"/>
    <col min="3327" max="3331" width="9.140625" style="973"/>
    <col min="3332" max="3332" width="9.7109375" style="973" customWidth="1"/>
    <col min="3333" max="3333" width="11.85546875" style="973" customWidth="1"/>
    <col min="3334" max="3334" width="12.42578125" style="973" customWidth="1"/>
    <col min="3335" max="3335" width="17.7109375" style="973" customWidth="1"/>
    <col min="3336" max="3336" width="39.42578125" style="973" customWidth="1"/>
    <col min="3337" max="3341" width="9.140625" style="973"/>
    <col min="3342" max="3342" width="10.7109375" style="973" customWidth="1"/>
    <col min="3343" max="3581" width="9.140625" style="973"/>
    <col min="3582" max="3582" width="7.42578125" style="973" customWidth="1"/>
    <col min="3583" max="3587" width="9.140625" style="973"/>
    <col min="3588" max="3588" width="9.7109375" style="973" customWidth="1"/>
    <col min="3589" max="3589" width="11.85546875" style="973" customWidth="1"/>
    <col min="3590" max="3590" width="12.42578125" style="973" customWidth="1"/>
    <col min="3591" max="3591" width="17.7109375" style="973" customWidth="1"/>
    <col min="3592" max="3592" width="39.42578125" style="973" customWidth="1"/>
    <col min="3593" max="3597" width="9.140625" style="973"/>
    <col min="3598" max="3598" width="10.7109375" style="973" customWidth="1"/>
    <col min="3599" max="3837" width="9.140625" style="973"/>
    <col min="3838" max="3838" width="7.42578125" style="973" customWidth="1"/>
    <col min="3839" max="3843" width="9.140625" style="973"/>
    <col min="3844" max="3844" width="9.7109375" style="973" customWidth="1"/>
    <col min="3845" max="3845" width="11.85546875" style="973" customWidth="1"/>
    <col min="3846" max="3846" width="12.42578125" style="973" customWidth="1"/>
    <col min="3847" max="3847" width="17.7109375" style="973" customWidth="1"/>
    <col min="3848" max="3848" width="39.42578125" style="973" customWidth="1"/>
    <col min="3849" max="3853" width="9.140625" style="973"/>
    <col min="3854" max="3854" width="10.7109375" style="973" customWidth="1"/>
    <col min="3855" max="4093" width="9.140625" style="973"/>
    <col min="4094" max="4094" width="7.42578125" style="973" customWidth="1"/>
    <col min="4095" max="4099" width="9.140625" style="973"/>
    <col min="4100" max="4100" width="9.7109375" style="973" customWidth="1"/>
    <col min="4101" max="4101" width="11.85546875" style="973" customWidth="1"/>
    <col min="4102" max="4102" width="12.42578125" style="973" customWidth="1"/>
    <col min="4103" max="4103" width="17.7109375" style="973" customWidth="1"/>
    <col min="4104" max="4104" width="39.42578125" style="973" customWidth="1"/>
    <col min="4105" max="4109" width="9.140625" style="973"/>
    <col min="4110" max="4110" width="10.7109375" style="973" customWidth="1"/>
    <col min="4111" max="4349" width="9.140625" style="973"/>
    <col min="4350" max="4350" width="7.42578125" style="973" customWidth="1"/>
    <col min="4351" max="4355" width="9.140625" style="973"/>
    <col min="4356" max="4356" width="9.7109375" style="973" customWidth="1"/>
    <col min="4357" max="4357" width="11.85546875" style="973" customWidth="1"/>
    <col min="4358" max="4358" width="12.42578125" style="973" customWidth="1"/>
    <col min="4359" max="4359" width="17.7109375" style="973" customWidth="1"/>
    <col min="4360" max="4360" width="39.42578125" style="973" customWidth="1"/>
    <col min="4361" max="4365" width="9.140625" style="973"/>
    <col min="4366" max="4366" width="10.7109375" style="973" customWidth="1"/>
    <col min="4367" max="4605" width="9.140625" style="973"/>
    <col min="4606" max="4606" width="7.42578125" style="973" customWidth="1"/>
    <col min="4607" max="4611" width="9.140625" style="973"/>
    <col min="4612" max="4612" width="9.7109375" style="973" customWidth="1"/>
    <col min="4613" max="4613" width="11.85546875" style="973" customWidth="1"/>
    <col min="4614" max="4614" width="12.42578125" style="973" customWidth="1"/>
    <col min="4615" max="4615" width="17.7109375" style="973" customWidth="1"/>
    <col min="4616" max="4616" width="39.42578125" style="973" customWidth="1"/>
    <col min="4617" max="4621" width="9.140625" style="973"/>
    <col min="4622" max="4622" width="10.7109375" style="973" customWidth="1"/>
    <col min="4623" max="4861" width="9.140625" style="973"/>
    <col min="4862" max="4862" width="7.42578125" style="973" customWidth="1"/>
    <col min="4863" max="4867" width="9.140625" style="973"/>
    <col min="4868" max="4868" width="9.7109375" style="973" customWidth="1"/>
    <col min="4869" max="4869" width="11.85546875" style="973" customWidth="1"/>
    <col min="4870" max="4870" width="12.42578125" style="973" customWidth="1"/>
    <col min="4871" max="4871" width="17.7109375" style="973" customWidth="1"/>
    <col min="4872" max="4872" width="39.42578125" style="973" customWidth="1"/>
    <col min="4873" max="4877" width="9.140625" style="973"/>
    <col min="4878" max="4878" width="10.7109375" style="973" customWidth="1"/>
    <col min="4879" max="5117" width="9.140625" style="973"/>
    <col min="5118" max="5118" width="7.42578125" style="973" customWidth="1"/>
    <col min="5119" max="5123" width="9.140625" style="973"/>
    <col min="5124" max="5124" width="9.7109375" style="973" customWidth="1"/>
    <col min="5125" max="5125" width="11.85546875" style="973" customWidth="1"/>
    <col min="5126" max="5126" width="12.42578125" style="973" customWidth="1"/>
    <col min="5127" max="5127" width="17.7109375" style="973" customWidth="1"/>
    <col min="5128" max="5128" width="39.42578125" style="973" customWidth="1"/>
    <col min="5129" max="5133" width="9.140625" style="973"/>
    <col min="5134" max="5134" width="10.7109375" style="973" customWidth="1"/>
    <col min="5135" max="5373" width="9.140625" style="973"/>
    <col min="5374" max="5374" width="7.42578125" style="973" customWidth="1"/>
    <col min="5375" max="5379" width="9.140625" style="973"/>
    <col min="5380" max="5380" width="9.7109375" style="973" customWidth="1"/>
    <col min="5381" max="5381" width="11.85546875" style="973" customWidth="1"/>
    <col min="5382" max="5382" width="12.42578125" style="973" customWidth="1"/>
    <col min="5383" max="5383" width="17.7109375" style="973" customWidth="1"/>
    <col min="5384" max="5384" width="39.42578125" style="973" customWidth="1"/>
    <col min="5385" max="5389" width="9.140625" style="973"/>
    <col min="5390" max="5390" width="10.7109375" style="973" customWidth="1"/>
    <col min="5391" max="5629" width="9.140625" style="973"/>
    <col min="5630" max="5630" width="7.42578125" style="973" customWidth="1"/>
    <col min="5631" max="5635" width="9.140625" style="973"/>
    <col min="5636" max="5636" width="9.7109375" style="973" customWidth="1"/>
    <col min="5637" max="5637" width="11.85546875" style="973" customWidth="1"/>
    <col min="5638" max="5638" width="12.42578125" style="973" customWidth="1"/>
    <col min="5639" max="5639" width="17.7109375" style="973" customWidth="1"/>
    <col min="5640" max="5640" width="39.42578125" style="973" customWidth="1"/>
    <col min="5641" max="5645" width="9.140625" style="973"/>
    <col min="5646" max="5646" width="10.7109375" style="973" customWidth="1"/>
    <col min="5647" max="5885" width="9.140625" style="973"/>
    <col min="5886" max="5886" width="7.42578125" style="973" customWidth="1"/>
    <col min="5887" max="5891" width="9.140625" style="973"/>
    <col min="5892" max="5892" width="9.7109375" style="973" customWidth="1"/>
    <col min="5893" max="5893" width="11.85546875" style="973" customWidth="1"/>
    <col min="5894" max="5894" width="12.42578125" style="973" customWidth="1"/>
    <col min="5895" max="5895" width="17.7109375" style="973" customWidth="1"/>
    <col min="5896" max="5896" width="39.42578125" style="973" customWidth="1"/>
    <col min="5897" max="5901" width="9.140625" style="973"/>
    <col min="5902" max="5902" width="10.7109375" style="973" customWidth="1"/>
    <col min="5903" max="6141" width="9.140625" style="973"/>
    <col min="6142" max="6142" width="7.42578125" style="973" customWidth="1"/>
    <col min="6143" max="6147" width="9.140625" style="973"/>
    <col min="6148" max="6148" width="9.7109375" style="973" customWidth="1"/>
    <col min="6149" max="6149" width="11.85546875" style="973" customWidth="1"/>
    <col min="6150" max="6150" width="12.42578125" style="973" customWidth="1"/>
    <col min="6151" max="6151" width="17.7109375" style="973" customWidth="1"/>
    <col min="6152" max="6152" width="39.42578125" style="973" customWidth="1"/>
    <col min="6153" max="6157" width="9.140625" style="973"/>
    <col min="6158" max="6158" width="10.7109375" style="973" customWidth="1"/>
    <col min="6159" max="6397" width="9.140625" style="973"/>
    <col min="6398" max="6398" width="7.42578125" style="973" customWidth="1"/>
    <col min="6399" max="6403" width="9.140625" style="973"/>
    <col min="6404" max="6404" width="9.7109375" style="973" customWidth="1"/>
    <col min="6405" max="6405" width="11.85546875" style="973" customWidth="1"/>
    <col min="6406" max="6406" width="12.42578125" style="973" customWidth="1"/>
    <col min="6407" max="6407" width="17.7109375" style="973" customWidth="1"/>
    <col min="6408" max="6408" width="39.42578125" style="973" customWidth="1"/>
    <col min="6409" max="6413" width="9.140625" style="973"/>
    <col min="6414" max="6414" width="10.7109375" style="973" customWidth="1"/>
    <col min="6415" max="6653" width="9.140625" style="973"/>
    <col min="6654" max="6654" width="7.42578125" style="973" customWidth="1"/>
    <col min="6655" max="6659" width="9.140625" style="973"/>
    <col min="6660" max="6660" width="9.7109375" style="973" customWidth="1"/>
    <col min="6661" max="6661" width="11.85546875" style="973" customWidth="1"/>
    <col min="6662" max="6662" width="12.42578125" style="973" customWidth="1"/>
    <col min="6663" max="6663" width="17.7109375" style="973" customWidth="1"/>
    <col min="6664" max="6664" width="39.42578125" style="973" customWidth="1"/>
    <col min="6665" max="6669" width="9.140625" style="973"/>
    <col min="6670" max="6670" width="10.7109375" style="973" customWidth="1"/>
    <col min="6671" max="6909" width="9.140625" style="973"/>
    <col min="6910" max="6910" width="7.42578125" style="973" customWidth="1"/>
    <col min="6911" max="6915" width="9.140625" style="973"/>
    <col min="6916" max="6916" width="9.7109375" style="973" customWidth="1"/>
    <col min="6917" max="6917" width="11.85546875" style="973" customWidth="1"/>
    <col min="6918" max="6918" width="12.42578125" style="973" customWidth="1"/>
    <col min="6919" max="6919" width="17.7109375" style="973" customWidth="1"/>
    <col min="6920" max="6920" width="39.42578125" style="973" customWidth="1"/>
    <col min="6921" max="6925" width="9.140625" style="973"/>
    <col min="6926" max="6926" width="10.7109375" style="973" customWidth="1"/>
    <col min="6927" max="7165" width="9.140625" style="973"/>
    <col min="7166" max="7166" width="7.42578125" style="973" customWidth="1"/>
    <col min="7167" max="7171" width="9.140625" style="973"/>
    <col min="7172" max="7172" width="9.7109375" style="973" customWidth="1"/>
    <col min="7173" max="7173" width="11.85546875" style="973" customWidth="1"/>
    <col min="7174" max="7174" width="12.42578125" style="973" customWidth="1"/>
    <col min="7175" max="7175" width="17.7109375" style="973" customWidth="1"/>
    <col min="7176" max="7176" width="39.42578125" style="973" customWidth="1"/>
    <col min="7177" max="7181" width="9.140625" style="973"/>
    <col min="7182" max="7182" width="10.7109375" style="973" customWidth="1"/>
    <col min="7183" max="7421" width="9.140625" style="973"/>
    <col min="7422" max="7422" width="7.42578125" style="973" customWidth="1"/>
    <col min="7423" max="7427" width="9.140625" style="973"/>
    <col min="7428" max="7428" width="9.7109375" style="973" customWidth="1"/>
    <col min="7429" max="7429" width="11.85546875" style="973" customWidth="1"/>
    <col min="7430" max="7430" width="12.42578125" style="973" customWidth="1"/>
    <col min="7431" max="7431" width="17.7109375" style="973" customWidth="1"/>
    <col min="7432" max="7432" width="39.42578125" style="973" customWidth="1"/>
    <col min="7433" max="7437" width="9.140625" style="973"/>
    <col min="7438" max="7438" width="10.7109375" style="973" customWidth="1"/>
    <col min="7439" max="7677" width="9.140625" style="973"/>
    <col min="7678" max="7678" width="7.42578125" style="973" customWidth="1"/>
    <col min="7679" max="7683" width="9.140625" style="973"/>
    <col min="7684" max="7684" width="9.7109375" style="973" customWidth="1"/>
    <col min="7685" max="7685" width="11.85546875" style="973" customWidth="1"/>
    <col min="7686" max="7686" width="12.42578125" style="973" customWidth="1"/>
    <col min="7687" max="7687" width="17.7109375" style="973" customWidth="1"/>
    <col min="7688" max="7688" width="39.42578125" style="973" customWidth="1"/>
    <col min="7689" max="7693" width="9.140625" style="973"/>
    <col min="7694" max="7694" width="10.7109375" style="973" customWidth="1"/>
    <col min="7695" max="7933" width="9.140625" style="973"/>
    <col min="7934" max="7934" width="7.42578125" style="973" customWidth="1"/>
    <col min="7935" max="7939" width="9.140625" style="973"/>
    <col min="7940" max="7940" width="9.7109375" style="973" customWidth="1"/>
    <col min="7941" max="7941" width="11.85546875" style="973" customWidth="1"/>
    <col min="7942" max="7942" width="12.42578125" style="973" customWidth="1"/>
    <col min="7943" max="7943" width="17.7109375" style="973" customWidth="1"/>
    <col min="7944" max="7944" width="39.42578125" style="973" customWidth="1"/>
    <col min="7945" max="7949" width="9.140625" style="973"/>
    <col min="7950" max="7950" width="10.7109375" style="973" customWidth="1"/>
    <col min="7951" max="8189" width="9.140625" style="973"/>
    <col min="8190" max="8190" width="7.42578125" style="973" customWidth="1"/>
    <col min="8191" max="8195" width="9.140625" style="973"/>
    <col min="8196" max="8196" width="9.7109375" style="973" customWidth="1"/>
    <col min="8197" max="8197" width="11.85546875" style="973" customWidth="1"/>
    <col min="8198" max="8198" width="12.42578125" style="973" customWidth="1"/>
    <col min="8199" max="8199" width="17.7109375" style="973" customWidth="1"/>
    <col min="8200" max="8200" width="39.42578125" style="973" customWidth="1"/>
    <col min="8201" max="8205" width="9.140625" style="973"/>
    <col min="8206" max="8206" width="10.7109375" style="973" customWidth="1"/>
    <col min="8207" max="8445" width="9.140625" style="973"/>
    <col min="8446" max="8446" width="7.42578125" style="973" customWidth="1"/>
    <col min="8447" max="8451" width="9.140625" style="973"/>
    <col min="8452" max="8452" width="9.7109375" style="973" customWidth="1"/>
    <col min="8453" max="8453" width="11.85546875" style="973" customWidth="1"/>
    <col min="8454" max="8454" width="12.42578125" style="973" customWidth="1"/>
    <col min="8455" max="8455" width="17.7109375" style="973" customWidth="1"/>
    <col min="8456" max="8456" width="39.42578125" style="973" customWidth="1"/>
    <col min="8457" max="8461" width="9.140625" style="973"/>
    <col min="8462" max="8462" width="10.7109375" style="973" customWidth="1"/>
    <col min="8463" max="8701" width="9.140625" style="973"/>
    <col min="8702" max="8702" width="7.42578125" style="973" customWidth="1"/>
    <col min="8703" max="8707" width="9.140625" style="973"/>
    <col min="8708" max="8708" width="9.7109375" style="973" customWidth="1"/>
    <col min="8709" max="8709" width="11.85546875" style="973" customWidth="1"/>
    <col min="8710" max="8710" width="12.42578125" style="973" customWidth="1"/>
    <col min="8711" max="8711" width="17.7109375" style="973" customWidth="1"/>
    <col min="8712" max="8712" width="39.42578125" style="973" customWidth="1"/>
    <col min="8713" max="8717" width="9.140625" style="973"/>
    <col min="8718" max="8718" width="10.7109375" style="973" customWidth="1"/>
    <col min="8719" max="8957" width="9.140625" style="973"/>
    <col min="8958" max="8958" width="7.42578125" style="973" customWidth="1"/>
    <col min="8959" max="8963" width="9.140625" style="973"/>
    <col min="8964" max="8964" width="9.7109375" style="973" customWidth="1"/>
    <col min="8965" max="8965" width="11.85546875" style="973" customWidth="1"/>
    <col min="8966" max="8966" width="12.42578125" style="973" customWidth="1"/>
    <col min="8967" max="8967" width="17.7109375" style="973" customWidth="1"/>
    <col min="8968" max="8968" width="39.42578125" style="973" customWidth="1"/>
    <col min="8969" max="8973" width="9.140625" style="973"/>
    <col min="8974" max="8974" width="10.7109375" style="973" customWidth="1"/>
    <col min="8975" max="9213" width="9.140625" style="973"/>
    <col min="9214" max="9214" width="7.42578125" style="973" customWidth="1"/>
    <col min="9215" max="9219" width="9.140625" style="973"/>
    <col min="9220" max="9220" width="9.7109375" style="973" customWidth="1"/>
    <col min="9221" max="9221" width="11.85546875" style="973" customWidth="1"/>
    <col min="9222" max="9222" width="12.42578125" style="973" customWidth="1"/>
    <col min="9223" max="9223" width="17.7109375" style="973" customWidth="1"/>
    <col min="9224" max="9224" width="39.42578125" style="973" customWidth="1"/>
    <col min="9225" max="9229" width="9.140625" style="973"/>
    <col min="9230" max="9230" width="10.7109375" style="973" customWidth="1"/>
    <col min="9231" max="9469" width="9.140625" style="973"/>
    <col min="9470" max="9470" width="7.42578125" style="973" customWidth="1"/>
    <col min="9471" max="9475" width="9.140625" style="973"/>
    <col min="9476" max="9476" width="9.7109375" style="973" customWidth="1"/>
    <col min="9477" max="9477" width="11.85546875" style="973" customWidth="1"/>
    <col min="9478" max="9478" width="12.42578125" style="973" customWidth="1"/>
    <col min="9479" max="9479" width="17.7109375" style="973" customWidth="1"/>
    <col min="9480" max="9480" width="39.42578125" style="973" customWidth="1"/>
    <col min="9481" max="9485" width="9.140625" style="973"/>
    <col min="9486" max="9486" width="10.7109375" style="973" customWidth="1"/>
    <col min="9487" max="9725" width="9.140625" style="973"/>
    <col min="9726" max="9726" width="7.42578125" style="973" customWidth="1"/>
    <col min="9727" max="9731" width="9.140625" style="973"/>
    <col min="9732" max="9732" width="9.7109375" style="973" customWidth="1"/>
    <col min="9733" max="9733" width="11.85546875" style="973" customWidth="1"/>
    <col min="9734" max="9734" width="12.42578125" style="973" customWidth="1"/>
    <col min="9735" max="9735" width="17.7109375" style="973" customWidth="1"/>
    <col min="9736" max="9736" width="39.42578125" style="973" customWidth="1"/>
    <col min="9737" max="9741" width="9.140625" style="973"/>
    <col min="9742" max="9742" width="10.7109375" style="973" customWidth="1"/>
    <col min="9743" max="9981" width="9.140625" style="973"/>
    <col min="9982" max="9982" width="7.42578125" style="973" customWidth="1"/>
    <col min="9983" max="9987" width="9.140625" style="973"/>
    <col min="9988" max="9988" width="9.7109375" style="973" customWidth="1"/>
    <col min="9989" max="9989" width="11.85546875" style="973" customWidth="1"/>
    <col min="9990" max="9990" width="12.42578125" style="973" customWidth="1"/>
    <col min="9991" max="9991" width="17.7109375" style="973" customWidth="1"/>
    <col min="9992" max="9992" width="39.42578125" style="973" customWidth="1"/>
    <col min="9993" max="9997" width="9.140625" style="973"/>
    <col min="9998" max="9998" width="10.7109375" style="973" customWidth="1"/>
    <col min="9999" max="10237" width="9.140625" style="973"/>
    <col min="10238" max="10238" width="7.42578125" style="973" customWidth="1"/>
    <col min="10239" max="10243" width="9.140625" style="973"/>
    <col min="10244" max="10244" width="9.7109375" style="973" customWidth="1"/>
    <col min="10245" max="10245" width="11.85546875" style="973" customWidth="1"/>
    <col min="10246" max="10246" width="12.42578125" style="973" customWidth="1"/>
    <col min="10247" max="10247" width="17.7109375" style="973" customWidth="1"/>
    <col min="10248" max="10248" width="39.42578125" style="973" customWidth="1"/>
    <col min="10249" max="10253" width="9.140625" style="973"/>
    <col min="10254" max="10254" width="10.7109375" style="973" customWidth="1"/>
    <col min="10255" max="10493" width="9.140625" style="973"/>
    <col min="10494" max="10494" width="7.42578125" style="973" customWidth="1"/>
    <col min="10495" max="10499" width="9.140625" style="973"/>
    <col min="10500" max="10500" width="9.7109375" style="973" customWidth="1"/>
    <col min="10501" max="10501" width="11.85546875" style="973" customWidth="1"/>
    <col min="10502" max="10502" width="12.42578125" style="973" customWidth="1"/>
    <col min="10503" max="10503" width="17.7109375" style="973" customWidth="1"/>
    <col min="10504" max="10504" width="39.42578125" style="973" customWidth="1"/>
    <col min="10505" max="10509" width="9.140625" style="973"/>
    <col min="10510" max="10510" width="10.7109375" style="973" customWidth="1"/>
    <col min="10511" max="10749" width="9.140625" style="973"/>
    <col min="10750" max="10750" width="7.42578125" style="973" customWidth="1"/>
    <col min="10751" max="10755" width="9.140625" style="973"/>
    <col min="10756" max="10756" width="9.7109375" style="973" customWidth="1"/>
    <col min="10757" max="10757" width="11.85546875" style="973" customWidth="1"/>
    <col min="10758" max="10758" width="12.42578125" style="973" customWidth="1"/>
    <col min="10759" max="10759" width="17.7109375" style="973" customWidth="1"/>
    <col min="10760" max="10760" width="39.42578125" style="973" customWidth="1"/>
    <col min="10761" max="10765" width="9.140625" style="973"/>
    <col min="10766" max="10766" width="10.7109375" style="973" customWidth="1"/>
    <col min="10767" max="11005" width="9.140625" style="973"/>
    <col min="11006" max="11006" width="7.42578125" style="973" customWidth="1"/>
    <col min="11007" max="11011" width="9.140625" style="973"/>
    <col min="11012" max="11012" width="9.7109375" style="973" customWidth="1"/>
    <col min="11013" max="11013" width="11.85546875" style="973" customWidth="1"/>
    <col min="11014" max="11014" width="12.42578125" style="973" customWidth="1"/>
    <col min="11015" max="11015" width="17.7109375" style="973" customWidth="1"/>
    <col min="11016" max="11016" width="39.42578125" style="973" customWidth="1"/>
    <col min="11017" max="11021" width="9.140625" style="973"/>
    <col min="11022" max="11022" width="10.7109375" style="973" customWidth="1"/>
    <col min="11023" max="11261" width="9.140625" style="973"/>
    <col min="11262" max="11262" width="7.42578125" style="973" customWidth="1"/>
    <col min="11263" max="11267" width="9.140625" style="973"/>
    <col min="11268" max="11268" width="9.7109375" style="973" customWidth="1"/>
    <col min="11269" max="11269" width="11.85546875" style="973" customWidth="1"/>
    <col min="11270" max="11270" width="12.42578125" style="973" customWidth="1"/>
    <col min="11271" max="11271" width="17.7109375" style="973" customWidth="1"/>
    <col min="11272" max="11272" width="39.42578125" style="973" customWidth="1"/>
    <col min="11273" max="11277" width="9.140625" style="973"/>
    <col min="11278" max="11278" width="10.7109375" style="973" customWidth="1"/>
    <col min="11279" max="11517" width="9.140625" style="973"/>
    <col min="11518" max="11518" width="7.42578125" style="973" customWidth="1"/>
    <col min="11519" max="11523" width="9.140625" style="973"/>
    <col min="11524" max="11524" width="9.7109375" style="973" customWidth="1"/>
    <col min="11525" max="11525" width="11.85546875" style="973" customWidth="1"/>
    <col min="11526" max="11526" width="12.42578125" style="973" customWidth="1"/>
    <col min="11527" max="11527" width="17.7109375" style="973" customWidth="1"/>
    <col min="11528" max="11528" width="39.42578125" style="973" customWidth="1"/>
    <col min="11529" max="11533" width="9.140625" style="973"/>
    <col min="11534" max="11534" width="10.7109375" style="973" customWidth="1"/>
    <col min="11535" max="11773" width="9.140625" style="973"/>
    <col min="11774" max="11774" width="7.42578125" style="973" customWidth="1"/>
    <col min="11775" max="11779" width="9.140625" style="973"/>
    <col min="11780" max="11780" width="9.7109375" style="973" customWidth="1"/>
    <col min="11781" max="11781" width="11.85546875" style="973" customWidth="1"/>
    <col min="11782" max="11782" width="12.42578125" style="973" customWidth="1"/>
    <col min="11783" max="11783" width="17.7109375" style="973" customWidth="1"/>
    <col min="11784" max="11784" width="39.42578125" style="973" customWidth="1"/>
    <col min="11785" max="11789" width="9.140625" style="973"/>
    <col min="11790" max="11790" width="10.7109375" style="973" customWidth="1"/>
    <col min="11791" max="12029" width="9.140625" style="973"/>
    <col min="12030" max="12030" width="7.42578125" style="973" customWidth="1"/>
    <col min="12031" max="12035" width="9.140625" style="973"/>
    <col min="12036" max="12036" width="9.7109375" style="973" customWidth="1"/>
    <col min="12037" max="12037" width="11.85546875" style="973" customWidth="1"/>
    <col min="12038" max="12038" width="12.42578125" style="973" customWidth="1"/>
    <col min="12039" max="12039" width="17.7109375" style="973" customWidth="1"/>
    <col min="12040" max="12040" width="39.42578125" style="973" customWidth="1"/>
    <col min="12041" max="12045" width="9.140625" style="973"/>
    <col min="12046" max="12046" width="10.7109375" style="973" customWidth="1"/>
    <col min="12047" max="12285" width="9.140625" style="973"/>
    <col min="12286" max="12286" width="7.42578125" style="973" customWidth="1"/>
    <col min="12287" max="12291" width="9.140625" style="973"/>
    <col min="12292" max="12292" width="9.7109375" style="973" customWidth="1"/>
    <col min="12293" max="12293" width="11.85546875" style="973" customWidth="1"/>
    <col min="12294" max="12294" width="12.42578125" style="973" customWidth="1"/>
    <col min="12295" max="12295" width="17.7109375" style="973" customWidth="1"/>
    <col min="12296" max="12296" width="39.42578125" style="973" customWidth="1"/>
    <col min="12297" max="12301" width="9.140625" style="973"/>
    <col min="12302" max="12302" width="10.7109375" style="973" customWidth="1"/>
    <col min="12303" max="12541" width="9.140625" style="973"/>
    <col min="12542" max="12542" width="7.42578125" style="973" customWidth="1"/>
    <col min="12543" max="12547" width="9.140625" style="973"/>
    <col min="12548" max="12548" width="9.7109375" style="973" customWidth="1"/>
    <col min="12549" max="12549" width="11.85546875" style="973" customWidth="1"/>
    <col min="12550" max="12550" width="12.42578125" style="973" customWidth="1"/>
    <col min="12551" max="12551" width="17.7109375" style="973" customWidth="1"/>
    <col min="12552" max="12552" width="39.42578125" style="973" customWidth="1"/>
    <col min="12553" max="12557" width="9.140625" style="973"/>
    <col min="12558" max="12558" width="10.7109375" style="973" customWidth="1"/>
    <col min="12559" max="12797" width="9.140625" style="973"/>
    <col min="12798" max="12798" width="7.42578125" style="973" customWidth="1"/>
    <col min="12799" max="12803" width="9.140625" style="973"/>
    <col min="12804" max="12804" width="9.7109375" style="973" customWidth="1"/>
    <col min="12805" max="12805" width="11.85546875" style="973" customWidth="1"/>
    <col min="12806" max="12806" width="12.42578125" style="973" customWidth="1"/>
    <col min="12807" max="12807" width="17.7109375" style="973" customWidth="1"/>
    <col min="12808" max="12808" width="39.42578125" style="973" customWidth="1"/>
    <col min="12809" max="12813" width="9.140625" style="973"/>
    <col min="12814" max="12814" width="10.7109375" style="973" customWidth="1"/>
    <col min="12815" max="13053" width="9.140625" style="973"/>
    <col min="13054" max="13054" width="7.42578125" style="973" customWidth="1"/>
    <col min="13055" max="13059" width="9.140625" style="973"/>
    <col min="13060" max="13060" width="9.7109375" style="973" customWidth="1"/>
    <col min="13061" max="13061" width="11.85546875" style="973" customWidth="1"/>
    <col min="13062" max="13062" width="12.42578125" style="973" customWidth="1"/>
    <col min="13063" max="13063" width="17.7109375" style="973" customWidth="1"/>
    <col min="13064" max="13064" width="39.42578125" style="973" customWidth="1"/>
    <col min="13065" max="13069" width="9.140625" style="973"/>
    <col min="13070" max="13070" width="10.7109375" style="973" customWidth="1"/>
    <col min="13071" max="13309" width="9.140625" style="973"/>
    <col min="13310" max="13310" width="7.42578125" style="973" customWidth="1"/>
    <col min="13311" max="13315" width="9.140625" style="973"/>
    <col min="13316" max="13316" width="9.7109375" style="973" customWidth="1"/>
    <col min="13317" max="13317" width="11.85546875" style="973" customWidth="1"/>
    <col min="13318" max="13318" width="12.42578125" style="973" customWidth="1"/>
    <col min="13319" max="13319" width="17.7109375" style="973" customWidth="1"/>
    <col min="13320" max="13320" width="39.42578125" style="973" customWidth="1"/>
    <col min="13321" max="13325" width="9.140625" style="973"/>
    <col min="13326" max="13326" width="10.7109375" style="973" customWidth="1"/>
    <col min="13327" max="13565" width="9.140625" style="973"/>
    <col min="13566" max="13566" width="7.42578125" style="973" customWidth="1"/>
    <col min="13567" max="13571" width="9.140625" style="973"/>
    <col min="13572" max="13572" width="9.7109375" style="973" customWidth="1"/>
    <col min="13573" max="13573" width="11.85546875" style="973" customWidth="1"/>
    <col min="13574" max="13574" width="12.42578125" style="973" customWidth="1"/>
    <col min="13575" max="13575" width="17.7109375" style="973" customWidth="1"/>
    <col min="13576" max="13576" width="39.42578125" style="973" customWidth="1"/>
    <col min="13577" max="13581" width="9.140625" style="973"/>
    <col min="13582" max="13582" width="10.7109375" style="973" customWidth="1"/>
    <col min="13583" max="13821" width="9.140625" style="973"/>
    <col min="13822" max="13822" width="7.42578125" style="973" customWidth="1"/>
    <col min="13823" max="13827" width="9.140625" style="973"/>
    <col min="13828" max="13828" width="9.7109375" style="973" customWidth="1"/>
    <col min="13829" max="13829" width="11.85546875" style="973" customWidth="1"/>
    <col min="13830" max="13830" width="12.42578125" style="973" customWidth="1"/>
    <col min="13831" max="13831" width="17.7109375" style="973" customWidth="1"/>
    <col min="13832" max="13832" width="39.42578125" style="973" customWidth="1"/>
    <col min="13833" max="13837" width="9.140625" style="973"/>
    <col min="13838" max="13838" width="10.7109375" style="973" customWidth="1"/>
    <col min="13839" max="14077" width="9.140625" style="973"/>
    <col min="14078" max="14078" width="7.42578125" style="973" customWidth="1"/>
    <col min="14079" max="14083" width="9.140625" style="973"/>
    <col min="14084" max="14084" width="9.7109375" style="973" customWidth="1"/>
    <col min="14085" max="14085" width="11.85546875" style="973" customWidth="1"/>
    <col min="14086" max="14086" width="12.42578125" style="973" customWidth="1"/>
    <col min="14087" max="14087" width="17.7109375" style="973" customWidth="1"/>
    <col min="14088" max="14088" width="39.42578125" style="973" customWidth="1"/>
    <col min="14089" max="14093" width="9.140625" style="973"/>
    <col min="14094" max="14094" width="10.7109375" style="973" customWidth="1"/>
    <col min="14095" max="14333" width="9.140625" style="973"/>
    <col min="14334" max="14334" width="7.42578125" style="973" customWidth="1"/>
    <col min="14335" max="14339" width="9.140625" style="973"/>
    <col min="14340" max="14340" width="9.7109375" style="973" customWidth="1"/>
    <col min="14341" max="14341" width="11.85546875" style="973" customWidth="1"/>
    <col min="14342" max="14342" width="12.42578125" style="973" customWidth="1"/>
    <col min="14343" max="14343" width="17.7109375" style="973" customWidth="1"/>
    <col min="14344" max="14344" width="39.42578125" style="973" customWidth="1"/>
    <col min="14345" max="14349" width="9.140625" style="973"/>
    <col min="14350" max="14350" width="10.7109375" style="973" customWidth="1"/>
    <col min="14351" max="14589" width="9.140625" style="973"/>
    <col min="14590" max="14590" width="7.42578125" style="973" customWidth="1"/>
    <col min="14591" max="14595" width="9.140625" style="973"/>
    <col min="14596" max="14596" width="9.7109375" style="973" customWidth="1"/>
    <col min="14597" max="14597" width="11.85546875" style="973" customWidth="1"/>
    <col min="14598" max="14598" width="12.42578125" style="973" customWidth="1"/>
    <col min="14599" max="14599" width="17.7109375" style="973" customWidth="1"/>
    <col min="14600" max="14600" width="39.42578125" style="973" customWidth="1"/>
    <col min="14601" max="14605" width="9.140625" style="973"/>
    <col min="14606" max="14606" width="10.7109375" style="973" customWidth="1"/>
    <col min="14607" max="14845" width="9.140625" style="973"/>
    <col min="14846" max="14846" width="7.42578125" style="973" customWidth="1"/>
    <col min="14847" max="14851" width="9.140625" style="973"/>
    <col min="14852" max="14852" width="9.7109375" style="973" customWidth="1"/>
    <col min="14853" max="14853" width="11.85546875" style="973" customWidth="1"/>
    <col min="14854" max="14854" width="12.42578125" style="973" customWidth="1"/>
    <col min="14855" max="14855" width="17.7109375" style="973" customWidth="1"/>
    <col min="14856" max="14856" width="39.42578125" style="973" customWidth="1"/>
    <col min="14857" max="14861" width="9.140625" style="973"/>
    <col min="14862" max="14862" width="10.7109375" style="973" customWidth="1"/>
    <col min="14863" max="15101" width="9.140625" style="973"/>
    <col min="15102" max="15102" width="7.42578125" style="973" customWidth="1"/>
    <col min="15103" max="15107" width="9.140625" style="973"/>
    <col min="15108" max="15108" width="9.7109375" style="973" customWidth="1"/>
    <col min="15109" max="15109" width="11.85546875" style="973" customWidth="1"/>
    <col min="15110" max="15110" width="12.42578125" style="973" customWidth="1"/>
    <col min="15111" max="15111" width="17.7109375" style="973" customWidth="1"/>
    <col min="15112" max="15112" width="39.42578125" style="973" customWidth="1"/>
    <col min="15113" max="15117" width="9.140625" style="973"/>
    <col min="15118" max="15118" width="10.7109375" style="973" customWidth="1"/>
    <col min="15119" max="15357" width="9.140625" style="973"/>
    <col min="15358" max="15358" width="7.42578125" style="973" customWidth="1"/>
    <col min="15359" max="15363" width="9.140625" style="973"/>
    <col min="15364" max="15364" width="9.7109375" style="973" customWidth="1"/>
    <col min="15365" max="15365" width="11.85546875" style="973" customWidth="1"/>
    <col min="15366" max="15366" width="12.42578125" style="973" customWidth="1"/>
    <col min="15367" max="15367" width="17.7109375" style="973" customWidth="1"/>
    <col min="15368" max="15368" width="39.42578125" style="973" customWidth="1"/>
    <col min="15369" max="15373" width="9.140625" style="973"/>
    <col min="15374" max="15374" width="10.7109375" style="973" customWidth="1"/>
    <col min="15375" max="15613" width="9.140625" style="973"/>
    <col min="15614" max="15614" width="7.42578125" style="973" customWidth="1"/>
    <col min="15615" max="15619" width="9.140625" style="973"/>
    <col min="15620" max="15620" width="9.7109375" style="973" customWidth="1"/>
    <col min="15621" max="15621" width="11.85546875" style="973" customWidth="1"/>
    <col min="15622" max="15622" width="12.42578125" style="973" customWidth="1"/>
    <col min="15623" max="15623" width="17.7109375" style="973" customWidth="1"/>
    <col min="15624" max="15624" width="39.42578125" style="973" customWidth="1"/>
    <col min="15625" max="15629" width="9.140625" style="973"/>
    <col min="15630" max="15630" width="10.7109375" style="973" customWidth="1"/>
    <col min="15631" max="15869" width="9.140625" style="973"/>
    <col min="15870" max="15870" width="7.42578125" style="973" customWidth="1"/>
    <col min="15871" max="15875" width="9.140625" style="973"/>
    <col min="15876" max="15876" width="9.7109375" style="973" customWidth="1"/>
    <col min="15877" max="15877" width="11.85546875" style="973" customWidth="1"/>
    <col min="15878" max="15878" width="12.42578125" style="973" customWidth="1"/>
    <col min="15879" max="15879" width="17.7109375" style="973" customWidth="1"/>
    <col min="15880" max="15880" width="39.42578125" style="973" customWidth="1"/>
    <col min="15881" max="15885" width="9.140625" style="973"/>
    <col min="15886" max="15886" width="10.7109375" style="973" customWidth="1"/>
    <col min="15887" max="16125" width="9.140625" style="973"/>
    <col min="16126" max="16126" width="7.42578125" style="973" customWidth="1"/>
    <col min="16127" max="16131" width="9.140625" style="973"/>
    <col min="16132" max="16132" width="9.7109375" style="973" customWidth="1"/>
    <col min="16133" max="16133" width="11.85546875" style="973" customWidth="1"/>
    <col min="16134" max="16134" width="12.42578125" style="973" customWidth="1"/>
    <col min="16135" max="16135" width="17.7109375" style="973" customWidth="1"/>
    <col min="16136" max="16136" width="39.42578125" style="973" customWidth="1"/>
    <col min="16137" max="16141" width="9.140625" style="973"/>
    <col min="16142" max="16142" width="10.7109375" style="973" customWidth="1"/>
    <col min="16143" max="16384" width="9.140625" style="973"/>
  </cols>
  <sheetData>
    <row r="1" spans="1:9" x14ac:dyDescent="0.2">
      <c r="A1" s="2145" t="s">
        <v>639</v>
      </c>
      <c r="B1" s="2145"/>
    </row>
    <row r="2" spans="1:9" x14ac:dyDescent="0.2">
      <c r="A2" s="973"/>
    </row>
    <row r="3" spans="1:9" ht="20.25" x14ac:dyDescent="0.2">
      <c r="A3" s="1421" t="s">
        <v>2482</v>
      </c>
      <c r="B3" s="1421"/>
      <c r="C3" s="1421"/>
      <c r="D3" s="1421"/>
      <c r="E3" s="1421"/>
      <c r="F3" s="1421"/>
      <c r="G3" s="1421"/>
      <c r="H3" s="1421"/>
    </row>
    <row r="4" spans="1:9" ht="13.5" thickBot="1" x14ac:dyDescent="0.25"/>
    <row r="5" spans="1:9" ht="13.5" thickBot="1" x14ac:dyDescent="0.25">
      <c r="A5" s="2146" t="s">
        <v>2726</v>
      </c>
      <c r="B5" s="2147"/>
      <c r="C5" s="2147"/>
      <c r="D5" s="2147"/>
      <c r="E5" s="2147"/>
      <c r="F5" s="2147"/>
      <c r="G5" s="2147"/>
      <c r="H5" s="2148"/>
    </row>
    <row r="7" spans="1:9" x14ac:dyDescent="0.2">
      <c r="A7" s="2149" t="s">
        <v>2483</v>
      </c>
      <c r="B7" s="2149"/>
      <c r="C7" s="2149"/>
      <c r="D7" s="979"/>
      <c r="E7" s="2149" t="s">
        <v>2484</v>
      </c>
      <c r="F7" s="2149"/>
      <c r="G7" s="2149"/>
      <c r="H7" s="2149"/>
      <c r="I7" s="980"/>
    </row>
    <row r="8" spans="1:9" ht="22.5" x14ac:dyDescent="0.2">
      <c r="A8" s="981" t="s">
        <v>76</v>
      </c>
      <c r="B8" s="982" t="s">
        <v>2485</v>
      </c>
      <c r="C8" s="982" t="s">
        <v>2486</v>
      </c>
      <c r="D8" s="982" t="s">
        <v>2487</v>
      </c>
      <c r="E8" s="2144" t="s">
        <v>2488</v>
      </c>
      <c r="F8" s="2144"/>
      <c r="G8" s="2144"/>
      <c r="H8" s="2144"/>
    </row>
    <row r="9" spans="1:9" ht="13.15" customHeight="1" x14ac:dyDescent="0.2">
      <c r="A9" s="983">
        <v>43633</v>
      </c>
      <c r="B9" s="984" t="s">
        <v>2727</v>
      </c>
      <c r="C9" s="984" t="s">
        <v>2727</v>
      </c>
      <c r="D9" s="984"/>
      <c r="E9" s="2150" t="s">
        <v>2728</v>
      </c>
      <c r="F9" s="2151"/>
      <c r="G9" s="2151"/>
      <c r="H9" s="2152"/>
    </row>
    <row r="10" spans="1:9" x14ac:dyDescent="0.2">
      <c r="A10" s="983">
        <v>43640</v>
      </c>
      <c r="B10" s="984" t="s">
        <v>2727</v>
      </c>
      <c r="C10" s="984" t="s">
        <v>2727</v>
      </c>
      <c r="D10" s="984"/>
      <c r="E10" s="2153" t="s">
        <v>2733</v>
      </c>
      <c r="F10" s="2153"/>
      <c r="G10" s="2153"/>
      <c r="H10" s="2153"/>
    </row>
    <row r="11" spans="1:9" ht="13.15" customHeight="1" x14ac:dyDescent="0.2">
      <c r="A11" s="983">
        <v>43642</v>
      </c>
      <c r="B11" s="984" t="s">
        <v>2727</v>
      </c>
      <c r="C11" s="984" t="s">
        <v>2727</v>
      </c>
      <c r="D11" s="984"/>
      <c r="E11" s="2150" t="s">
        <v>2734</v>
      </c>
      <c r="F11" s="2151"/>
      <c r="G11" s="2151"/>
      <c r="H11" s="2152"/>
    </row>
    <row r="12" spans="1:9" ht="13.15" customHeight="1" x14ac:dyDescent="0.2">
      <c r="A12" s="983">
        <v>43642</v>
      </c>
      <c r="B12" s="984" t="s">
        <v>2727</v>
      </c>
      <c r="C12" s="984" t="s">
        <v>2727</v>
      </c>
      <c r="D12" s="984"/>
      <c r="E12" s="2150" t="s">
        <v>2735</v>
      </c>
      <c r="F12" s="2151"/>
      <c r="G12" s="2151"/>
      <c r="H12" s="2152"/>
    </row>
    <row r="13" spans="1:9" ht="13.15" customHeight="1" x14ac:dyDescent="0.2">
      <c r="A13" s="983">
        <v>43642</v>
      </c>
      <c r="B13" s="984" t="s">
        <v>2727</v>
      </c>
      <c r="C13" s="984" t="s">
        <v>2727</v>
      </c>
      <c r="D13" s="984"/>
      <c r="E13" s="2150" t="s">
        <v>2736</v>
      </c>
      <c r="F13" s="2151"/>
      <c r="G13" s="2151"/>
      <c r="H13" s="2152"/>
    </row>
    <row r="14" spans="1:9" x14ac:dyDescent="0.2">
      <c r="A14" s="983"/>
      <c r="B14" s="984"/>
      <c r="C14" s="984"/>
      <c r="D14" s="984"/>
      <c r="E14" s="2150"/>
      <c r="F14" s="2151"/>
      <c r="G14" s="2151"/>
      <c r="H14" s="2152"/>
      <c r="I14" s="985"/>
    </row>
    <row r="15" spans="1:9" x14ac:dyDescent="0.2">
      <c r="A15" s="983"/>
      <c r="B15" s="984"/>
      <c r="C15" s="984"/>
      <c r="D15" s="984"/>
      <c r="E15" s="2150"/>
      <c r="F15" s="2151"/>
      <c r="G15" s="2151"/>
      <c r="H15" s="2152"/>
      <c r="I15" s="985"/>
    </row>
    <row r="16" spans="1:9" ht="13.15" customHeight="1" x14ac:dyDescent="0.2">
      <c r="A16" s="983"/>
      <c r="B16" s="984"/>
      <c r="C16" s="984"/>
      <c r="D16" s="984"/>
      <c r="E16" s="2150"/>
      <c r="F16" s="2151"/>
      <c r="G16" s="2151"/>
      <c r="H16" s="2152"/>
      <c r="I16" s="480"/>
    </row>
    <row r="17" spans="1:9" x14ac:dyDescent="0.2">
      <c r="A17" s="983"/>
      <c r="B17" s="984"/>
      <c r="C17" s="984"/>
      <c r="D17" s="984"/>
      <c r="E17" s="2150"/>
      <c r="F17" s="2151"/>
      <c r="G17" s="2151"/>
      <c r="H17" s="2152"/>
      <c r="I17" s="480"/>
    </row>
    <row r="18" spans="1:9" x14ac:dyDescent="0.2">
      <c r="A18" s="983"/>
      <c r="B18" s="984"/>
      <c r="C18" s="984"/>
      <c r="D18" s="984"/>
      <c r="E18" s="2150"/>
      <c r="F18" s="2151"/>
      <c r="G18" s="2151"/>
      <c r="H18" s="2152"/>
      <c r="I18" s="480"/>
    </row>
    <row r="19" spans="1:9" x14ac:dyDescent="0.2">
      <c r="A19" s="983"/>
      <c r="B19" s="984"/>
      <c r="C19" s="984"/>
      <c r="D19" s="984"/>
      <c r="E19" s="2150"/>
      <c r="F19" s="2151"/>
      <c r="G19" s="2151"/>
      <c r="H19" s="2152"/>
      <c r="I19" s="480"/>
    </row>
    <row r="20" spans="1:9" x14ac:dyDescent="0.2">
      <c r="A20" s="986"/>
    </row>
    <row r="21" spans="1:9" x14ac:dyDescent="0.2">
      <c r="D21" s="987"/>
    </row>
    <row r="22" spans="1:9" x14ac:dyDescent="0.2">
      <c r="A22" s="988"/>
      <c r="B22" s="1455"/>
      <c r="C22" s="1770"/>
      <c r="D22" s="1770"/>
      <c r="E22" s="1770"/>
      <c r="F22" s="1770"/>
      <c r="G22" s="1770"/>
      <c r="H22" s="1770"/>
    </row>
    <row r="23" spans="1:9" x14ac:dyDescent="0.2">
      <c r="A23" s="988"/>
      <c r="B23" s="2154" t="s">
        <v>2680</v>
      </c>
      <c r="C23" s="2154"/>
      <c r="D23" s="2154"/>
      <c r="E23" s="2154"/>
      <c r="F23" s="2154"/>
      <c r="G23" s="2154"/>
      <c r="H23" s="2154"/>
    </row>
    <row r="24" spans="1:9" x14ac:dyDescent="0.2">
      <c r="A24" s="974"/>
      <c r="B24" s="1455"/>
      <c r="C24" s="1770"/>
      <c r="D24" s="1770"/>
      <c r="E24" s="1770"/>
      <c r="F24" s="1770"/>
      <c r="G24" s="1770"/>
      <c r="H24" s="1770"/>
    </row>
    <row r="25" spans="1:9" x14ac:dyDescent="0.2">
      <c r="A25" s="974"/>
      <c r="B25" s="1770"/>
      <c r="C25" s="1770"/>
      <c r="D25" s="1770"/>
      <c r="E25" s="1770"/>
      <c r="F25" s="1770"/>
      <c r="G25" s="1770"/>
      <c r="H25" s="1770"/>
    </row>
    <row r="26" spans="1:9" x14ac:dyDescent="0.2">
      <c r="B26" s="1770"/>
      <c r="C26" s="1770"/>
      <c r="D26" s="1770"/>
      <c r="E26" s="1770"/>
      <c r="F26" s="1770"/>
      <c r="G26" s="1770"/>
      <c r="H26" s="1770"/>
    </row>
    <row r="27" spans="1:9" x14ac:dyDescent="0.2">
      <c r="B27" s="1770"/>
      <c r="C27" s="1770"/>
      <c r="D27" s="1770"/>
      <c r="E27" s="1770"/>
      <c r="F27" s="1770"/>
      <c r="G27" s="1770"/>
      <c r="H27" s="1770"/>
    </row>
    <row r="28" spans="1:9" x14ac:dyDescent="0.2">
      <c r="B28" s="1770"/>
      <c r="C28" s="1770"/>
      <c r="D28" s="1770"/>
      <c r="E28" s="1770"/>
      <c r="F28" s="1770"/>
      <c r="G28" s="1770"/>
      <c r="H28" s="1770"/>
    </row>
    <row r="29" spans="1:9" x14ac:dyDescent="0.2">
      <c r="B29" s="1770"/>
      <c r="C29" s="1770"/>
      <c r="D29" s="1770"/>
      <c r="E29" s="1770"/>
      <c r="F29" s="1770"/>
      <c r="G29" s="1770"/>
      <c r="H29" s="1770"/>
    </row>
  </sheetData>
  <mergeCells count="25">
    <mergeCell ref="B28:H28"/>
    <mergeCell ref="B29:H29"/>
    <mergeCell ref="B22:H22"/>
    <mergeCell ref="B23:H23"/>
    <mergeCell ref="B24:H24"/>
    <mergeCell ref="B25:H25"/>
    <mergeCell ref="B26:H26"/>
    <mergeCell ref="B27:H27"/>
    <mergeCell ref="E19:H19"/>
    <mergeCell ref="E10:H10"/>
    <mergeCell ref="E9:H9"/>
    <mergeCell ref="E11:H11"/>
    <mergeCell ref="E12:H12"/>
    <mergeCell ref="E13:H13"/>
    <mergeCell ref="E14:H14"/>
    <mergeCell ref="E15:H15"/>
    <mergeCell ref="E16:H16"/>
    <mergeCell ref="E17:H17"/>
    <mergeCell ref="E18:H18"/>
    <mergeCell ref="E8:H8"/>
    <mergeCell ref="A1:B1"/>
    <mergeCell ref="A3:H3"/>
    <mergeCell ref="A5:H5"/>
    <mergeCell ref="A7:C7"/>
    <mergeCell ref="E7:H7"/>
  </mergeCells>
  <hyperlinks>
    <hyperlink ref="A1" location="TOC!A1" display="TOC Page"/>
  </hyperlinks>
  <pageMargins left="0.7" right="0.7" top="0.75" bottom="0.75" header="0.3" footer="0.3"/>
  <pageSetup orientation="landscape"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40"/>
  <sheetViews>
    <sheetView zoomScaleNormal="100" workbookViewId="0">
      <pane ySplit="1" topLeftCell="A2" activePane="bottomLeft" state="frozen"/>
      <selection pane="bottomLeft" sqref="A1:B1"/>
    </sheetView>
  </sheetViews>
  <sheetFormatPr defaultColWidth="9.140625" defaultRowHeight="12.75" x14ac:dyDescent="0.2"/>
  <cols>
    <col min="1" max="1" width="5.42578125" style="340" customWidth="1"/>
    <col min="2" max="2" width="31.5703125" style="340" customWidth="1"/>
    <col min="3" max="3" width="7.5703125" style="340" customWidth="1"/>
    <col min="4" max="4" width="7.7109375" style="340" customWidth="1"/>
    <col min="5" max="5" width="24.5703125" style="340" customWidth="1"/>
    <col min="6" max="6" width="26.42578125" style="340" customWidth="1"/>
    <col min="7" max="7" width="10" style="340" customWidth="1"/>
    <col min="8" max="8" width="10" style="338" customWidth="1"/>
    <col min="9" max="9" width="10.7109375" style="338" customWidth="1"/>
    <col min="10" max="10" width="6" style="338" customWidth="1"/>
    <col min="11" max="11" width="12" style="340" customWidth="1"/>
    <col min="12" max="12" width="7.85546875" style="340" customWidth="1"/>
    <col min="13" max="13" width="9.140625" style="340"/>
    <col min="14" max="14" width="8.85546875" style="340" customWidth="1"/>
    <col min="15" max="17" width="9.140625" style="340"/>
    <col min="18" max="18" width="11.85546875" style="340" customWidth="1"/>
    <col min="19" max="16384" width="9.140625" style="340"/>
  </cols>
  <sheetData>
    <row r="1" spans="1:11" ht="15" customHeight="1" x14ac:dyDescent="0.2">
      <c r="A1" s="1289" t="s">
        <v>639</v>
      </c>
      <c r="B1" s="1289"/>
    </row>
    <row r="2" spans="1:11" s="95" customFormat="1" ht="21.75" customHeight="1" x14ac:dyDescent="0.2">
      <c r="A2" s="1305" t="s">
        <v>1574</v>
      </c>
      <c r="B2" s="1306"/>
      <c r="C2" s="1306"/>
      <c r="D2" s="1306"/>
      <c r="E2" s="1306"/>
      <c r="F2" s="1306"/>
      <c r="G2" s="1306"/>
      <c r="H2" s="1306"/>
      <c r="I2" s="1306"/>
      <c r="J2" s="1306"/>
      <c r="K2" s="281"/>
    </row>
    <row r="4" spans="1:11" x14ac:dyDescent="0.2">
      <c r="A4" s="344" t="s">
        <v>1571</v>
      </c>
    </row>
    <row r="6" spans="1:11" s="144" customFormat="1" ht="24" x14ac:dyDescent="0.2">
      <c r="A6" s="280" t="s">
        <v>750</v>
      </c>
      <c r="B6" s="143" t="s">
        <v>78</v>
      </c>
      <c r="C6" s="280" t="s">
        <v>84</v>
      </c>
      <c r="D6" s="280" t="s">
        <v>85</v>
      </c>
      <c r="E6" s="280" t="s">
        <v>86</v>
      </c>
      <c r="F6" s="280" t="s">
        <v>752</v>
      </c>
      <c r="G6" s="280" t="s">
        <v>753</v>
      </c>
      <c r="H6" s="280" t="s">
        <v>754</v>
      </c>
      <c r="I6" s="280" t="s">
        <v>88</v>
      </c>
      <c r="J6" s="280" t="s">
        <v>89</v>
      </c>
    </row>
    <row r="7" spans="1:11" s="355" customFormat="1" ht="14.25" customHeight="1" x14ac:dyDescent="0.2">
      <c r="A7" s="352" t="s">
        <v>1572</v>
      </c>
      <c r="B7" s="353" t="s">
        <v>1573</v>
      </c>
      <c r="C7" s="352" t="s">
        <v>91</v>
      </c>
      <c r="D7" s="352" t="s">
        <v>91</v>
      </c>
      <c r="E7" s="352" t="s">
        <v>91</v>
      </c>
      <c r="F7" s="352" t="s">
        <v>91</v>
      </c>
      <c r="G7" s="352" t="s">
        <v>91</v>
      </c>
      <c r="H7" s="352" t="s">
        <v>91</v>
      </c>
      <c r="I7" s="352" t="s">
        <v>91</v>
      </c>
      <c r="J7" s="354" t="s">
        <v>91</v>
      </c>
    </row>
    <row r="8" spans="1:11" s="359" customFormat="1" ht="14.25" customHeight="1" x14ac:dyDescent="0.2">
      <c r="A8" s="356"/>
      <c r="B8" s="357"/>
      <c r="C8" s="356"/>
      <c r="D8" s="356"/>
      <c r="E8" s="356"/>
      <c r="F8" s="356"/>
      <c r="G8" s="356"/>
      <c r="H8" s="356"/>
      <c r="I8" s="356"/>
      <c r="J8" s="358"/>
    </row>
    <row r="9" spans="1:11" s="338" customFormat="1" x14ac:dyDescent="0.2"/>
    <row r="10" spans="1:11" s="338" customFormat="1" x14ac:dyDescent="0.2"/>
    <row r="11" spans="1:11" x14ac:dyDescent="0.2">
      <c r="A11" s="344" t="s">
        <v>766</v>
      </c>
    </row>
    <row r="13" spans="1:11" s="279" customFormat="1" ht="71.25" customHeight="1" x14ac:dyDescent="0.2">
      <c r="A13" s="341" t="s">
        <v>1509</v>
      </c>
      <c r="B13" s="341" t="s">
        <v>78</v>
      </c>
      <c r="C13" s="341" t="s">
        <v>750</v>
      </c>
      <c r="D13" s="341" t="s">
        <v>382</v>
      </c>
      <c r="E13" s="341" t="s">
        <v>768</v>
      </c>
      <c r="F13" s="341" t="s">
        <v>769</v>
      </c>
    </row>
    <row r="14" spans="1:11" s="347" customFormat="1" ht="12" x14ac:dyDescent="0.2">
      <c r="A14" s="345" t="s">
        <v>1819</v>
      </c>
      <c r="B14" s="339" t="s">
        <v>1573</v>
      </c>
      <c r="C14" s="204" t="s">
        <v>1572</v>
      </c>
      <c r="D14" s="346">
        <v>0</v>
      </c>
      <c r="E14" s="345" t="s">
        <v>91</v>
      </c>
      <c r="F14" s="345" t="s">
        <v>91</v>
      </c>
    </row>
    <row r="15" spans="1:11" s="347" customFormat="1" ht="12" x14ac:dyDescent="0.2">
      <c r="A15" s="348"/>
      <c r="B15" s="349"/>
      <c r="C15" s="350"/>
      <c r="D15" s="351"/>
      <c r="E15" s="348"/>
      <c r="F15" s="348"/>
    </row>
    <row r="16" spans="1:11" s="338" customFormat="1" x14ac:dyDescent="0.2"/>
    <row r="17" s="338" customFormat="1" x14ac:dyDescent="0.2"/>
    <row r="18" s="338" customFormat="1" x14ac:dyDescent="0.2"/>
    <row r="19" s="338" customFormat="1" x14ac:dyDescent="0.2"/>
    <row r="20" s="338" customFormat="1" x14ac:dyDescent="0.2"/>
    <row r="21" s="338" customFormat="1" x14ac:dyDescent="0.2"/>
    <row r="22" s="338" customFormat="1" x14ac:dyDescent="0.2"/>
    <row r="23" s="338" customFormat="1" x14ac:dyDescent="0.2"/>
    <row r="24" s="338" customFormat="1" x14ac:dyDescent="0.2"/>
    <row r="25" s="338" customFormat="1" x14ac:dyDescent="0.2"/>
    <row r="26" s="338" customFormat="1" x14ac:dyDescent="0.2"/>
    <row r="27" s="338" customFormat="1" x14ac:dyDescent="0.2"/>
    <row r="28" s="338" customFormat="1" x14ac:dyDescent="0.2"/>
    <row r="29" s="338" customFormat="1" x14ac:dyDescent="0.2"/>
    <row r="30" s="338" customFormat="1" x14ac:dyDescent="0.2"/>
    <row r="31" s="338" customFormat="1" x14ac:dyDescent="0.2"/>
    <row r="32" s="338" customFormat="1" x14ac:dyDescent="0.2"/>
    <row r="33" s="338" customFormat="1" x14ac:dyDescent="0.2"/>
    <row r="34" s="338" customFormat="1" x14ac:dyDescent="0.2"/>
    <row r="35" s="338" customFormat="1" x14ac:dyDescent="0.2"/>
    <row r="36" s="338" customFormat="1" x14ac:dyDescent="0.2"/>
    <row r="37" s="338" customFormat="1" x14ac:dyDescent="0.2"/>
    <row r="38" s="338" customFormat="1" x14ac:dyDescent="0.2"/>
    <row r="39" s="338" customFormat="1" x14ac:dyDescent="0.2"/>
    <row r="40" s="338" customFormat="1" x14ac:dyDescent="0.2"/>
    <row r="41" s="338" customFormat="1" x14ac:dyDescent="0.2"/>
    <row r="42" s="338" customFormat="1" x14ac:dyDescent="0.2"/>
    <row r="43" s="338" customFormat="1" x14ac:dyDescent="0.2"/>
    <row r="44" s="338" customFormat="1" x14ac:dyDescent="0.2"/>
    <row r="45" s="338" customFormat="1" x14ac:dyDescent="0.2"/>
    <row r="46" s="338" customFormat="1" x14ac:dyDescent="0.2"/>
    <row r="47" s="338" customFormat="1" x14ac:dyDescent="0.2"/>
    <row r="48" s="338" customFormat="1" x14ac:dyDescent="0.2"/>
    <row r="49" s="338" customFormat="1" x14ac:dyDescent="0.2"/>
    <row r="50" s="338" customFormat="1" x14ac:dyDescent="0.2"/>
    <row r="51" s="338" customFormat="1" x14ac:dyDescent="0.2"/>
    <row r="52" s="338" customFormat="1" x14ac:dyDescent="0.2"/>
    <row r="53" s="338" customFormat="1" x14ac:dyDescent="0.2"/>
    <row r="54" s="338" customFormat="1" x14ac:dyDescent="0.2"/>
    <row r="55" s="338" customFormat="1" x14ac:dyDescent="0.2"/>
    <row r="56" s="338" customFormat="1" x14ac:dyDescent="0.2"/>
    <row r="57" s="338" customFormat="1" x14ac:dyDescent="0.2"/>
    <row r="58" s="338" customFormat="1" x14ac:dyDescent="0.2"/>
    <row r="59" s="338" customFormat="1" x14ac:dyDescent="0.2"/>
    <row r="60" s="338" customFormat="1" x14ac:dyDescent="0.2"/>
    <row r="61" s="338" customFormat="1" x14ac:dyDescent="0.2"/>
    <row r="62" s="338" customFormat="1" x14ac:dyDescent="0.2"/>
    <row r="63" s="338" customFormat="1" x14ac:dyDescent="0.2"/>
    <row r="64" s="338" customFormat="1" x14ac:dyDescent="0.2"/>
    <row r="65" s="338" customFormat="1" x14ac:dyDescent="0.2"/>
    <row r="66" s="338" customFormat="1" x14ac:dyDescent="0.2"/>
    <row r="67" s="338" customFormat="1" x14ac:dyDescent="0.2"/>
    <row r="68" s="338" customFormat="1" x14ac:dyDescent="0.2"/>
    <row r="69" s="338" customFormat="1" x14ac:dyDescent="0.2"/>
    <row r="70" s="338" customFormat="1" x14ac:dyDescent="0.2"/>
    <row r="71" s="338" customFormat="1" x14ac:dyDescent="0.2"/>
    <row r="72" s="338" customFormat="1" x14ac:dyDescent="0.2"/>
    <row r="73" s="338" customFormat="1" x14ac:dyDescent="0.2"/>
    <row r="74" s="338" customFormat="1" x14ac:dyDescent="0.2"/>
    <row r="75" s="338" customFormat="1" x14ac:dyDescent="0.2"/>
    <row r="76" s="338" customFormat="1" x14ac:dyDescent="0.2"/>
    <row r="77" s="338" customFormat="1" x14ac:dyDescent="0.2"/>
    <row r="78" s="338" customFormat="1" x14ac:dyDescent="0.2"/>
    <row r="79" s="338" customFormat="1" x14ac:dyDescent="0.2"/>
    <row r="80" s="338" customFormat="1" x14ac:dyDescent="0.2"/>
    <row r="81" s="338" customFormat="1" x14ac:dyDescent="0.2"/>
    <row r="82" s="338" customFormat="1" x14ac:dyDescent="0.2"/>
    <row r="83" s="338" customFormat="1" x14ac:dyDescent="0.2"/>
    <row r="84" s="338" customFormat="1" x14ac:dyDescent="0.2"/>
    <row r="85" s="338" customFormat="1" x14ac:dyDescent="0.2"/>
    <row r="86" s="338" customFormat="1" x14ac:dyDescent="0.2"/>
    <row r="87" s="338" customFormat="1" x14ac:dyDescent="0.2"/>
    <row r="88" s="338" customFormat="1" x14ac:dyDescent="0.2"/>
    <row r="89" s="338" customFormat="1" x14ac:dyDescent="0.2"/>
    <row r="90" s="338" customFormat="1" x14ac:dyDescent="0.2"/>
    <row r="91" s="338" customFormat="1" x14ac:dyDescent="0.2"/>
    <row r="92" s="338" customFormat="1" x14ac:dyDescent="0.2"/>
    <row r="93" s="338" customFormat="1" x14ac:dyDescent="0.2"/>
    <row r="94" s="338" customFormat="1" x14ac:dyDescent="0.2"/>
    <row r="95" s="338" customFormat="1" x14ac:dyDescent="0.2"/>
    <row r="96" s="338" customFormat="1" x14ac:dyDescent="0.2"/>
    <row r="97" s="338" customFormat="1" x14ac:dyDescent="0.2"/>
    <row r="98" s="338" customFormat="1" x14ac:dyDescent="0.2"/>
    <row r="99" s="338" customFormat="1" x14ac:dyDescent="0.2"/>
    <row r="100" s="338" customFormat="1" x14ac:dyDescent="0.2"/>
    <row r="101" s="338" customFormat="1" x14ac:dyDescent="0.2"/>
    <row r="102" s="338" customFormat="1" x14ac:dyDescent="0.2"/>
    <row r="103" s="338" customFormat="1" x14ac:dyDescent="0.2"/>
    <row r="104" s="338" customFormat="1" x14ac:dyDescent="0.2"/>
    <row r="105" s="338" customFormat="1" x14ac:dyDescent="0.2"/>
    <row r="106" s="338" customFormat="1" x14ac:dyDescent="0.2"/>
    <row r="107" s="338" customFormat="1" x14ac:dyDescent="0.2"/>
    <row r="108" s="338" customFormat="1" x14ac:dyDescent="0.2"/>
    <row r="109" s="338" customFormat="1" x14ac:dyDescent="0.2"/>
    <row r="110" s="338" customFormat="1" x14ac:dyDescent="0.2"/>
    <row r="111" s="338" customFormat="1" x14ac:dyDescent="0.2"/>
    <row r="112" s="338" customFormat="1" x14ac:dyDescent="0.2"/>
    <row r="113" s="338" customFormat="1" x14ac:dyDescent="0.2"/>
    <row r="114" s="338" customFormat="1" x14ac:dyDescent="0.2"/>
    <row r="115" s="338" customFormat="1" x14ac:dyDescent="0.2"/>
    <row r="116" s="338" customFormat="1" x14ac:dyDescent="0.2"/>
    <row r="117" s="338" customFormat="1" x14ac:dyDescent="0.2"/>
    <row r="118" s="338" customFormat="1" x14ac:dyDescent="0.2"/>
    <row r="119" s="338" customFormat="1" x14ac:dyDescent="0.2"/>
    <row r="120" s="338" customFormat="1" x14ac:dyDescent="0.2"/>
    <row r="121" s="338" customFormat="1" x14ac:dyDescent="0.2"/>
    <row r="122" s="338" customFormat="1" x14ac:dyDescent="0.2"/>
    <row r="123" s="338" customFormat="1" x14ac:dyDescent="0.2"/>
    <row r="124" s="338" customFormat="1" x14ac:dyDescent="0.2"/>
    <row r="125" s="338" customFormat="1" x14ac:dyDescent="0.2"/>
    <row r="126" s="338" customFormat="1" x14ac:dyDescent="0.2"/>
    <row r="127" s="338" customFormat="1" x14ac:dyDescent="0.2"/>
    <row r="128" s="338" customFormat="1" x14ac:dyDescent="0.2"/>
    <row r="129" s="338" customFormat="1" x14ac:dyDescent="0.2"/>
    <row r="130" s="338" customFormat="1" x14ac:dyDescent="0.2"/>
    <row r="131" s="338" customFormat="1" x14ac:dyDescent="0.2"/>
    <row r="132" s="338" customFormat="1" x14ac:dyDescent="0.2"/>
    <row r="133" s="338" customFormat="1" x14ac:dyDescent="0.2"/>
    <row r="134" s="338" customFormat="1" x14ac:dyDescent="0.2"/>
    <row r="135" s="338" customFormat="1" x14ac:dyDescent="0.2"/>
    <row r="136" s="338" customFormat="1" x14ac:dyDescent="0.2"/>
    <row r="137" s="338" customFormat="1" x14ac:dyDescent="0.2"/>
    <row r="138" s="338" customFormat="1" x14ac:dyDescent="0.2"/>
    <row r="139" s="338" customFormat="1" x14ac:dyDescent="0.2"/>
    <row r="140" s="338" customFormat="1" x14ac:dyDescent="0.2"/>
  </sheetData>
  <mergeCells count="2">
    <mergeCell ref="A1:B1"/>
    <mergeCell ref="A2:J2"/>
  </mergeCells>
  <hyperlinks>
    <hyperlink ref="A1" location="TOC!A1" display="TOC Page"/>
  </hyperlinks>
  <printOptions horizontalCentered="1"/>
  <pageMargins left="0.18" right="0.17" top="1" bottom="1" header="0.5" footer="0.5"/>
  <pageSetup paperSize="5" orientation="landscape" r:id="rId1"/>
  <headerFooter alignWithMargins="0">
    <oddHeader>&amp;L&amp;G&amp;CShowAcronymGoesHere - PSM&amp;R&amp;P</oddHeader>
    <oddFooter>&amp;L&amp;D&amp;R&amp;Z&amp;F</oddFooter>
  </headerFooter>
  <legacyDrawing r:id="rId2"/>
  <legacyDrawingHF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K172"/>
  <sheetViews>
    <sheetView zoomScale="115" zoomScaleNormal="115" workbookViewId="0">
      <pane ySplit="1" topLeftCell="A2" activePane="bottomLeft" state="frozen"/>
      <selection pane="bottomLeft" activeCell="A15" sqref="A15"/>
    </sheetView>
  </sheetViews>
  <sheetFormatPr defaultColWidth="9.140625" defaultRowHeight="12.75" x14ac:dyDescent="0.2"/>
  <cols>
    <col min="1" max="1" width="5.42578125" style="13" customWidth="1"/>
    <col min="2" max="2" width="33.42578125" style="13" customWidth="1"/>
    <col min="3" max="3" width="5.28515625" style="13" bestFit="1" customWidth="1"/>
    <col min="4" max="4" width="29.140625" style="13" bestFit="1" customWidth="1"/>
    <col min="5" max="5" width="26.42578125" style="13" customWidth="1"/>
    <col min="6" max="6" width="6.85546875" style="13" bestFit="1" customWidth="1"/>
    <col min="7" max="7" width="11.42578125" style="441" customWidth="1"/>
    <col min="8" max="8" width="11.85546875" style="9" customWidth="1"/>
    <col min="9" max="9" width="9.140625" style="9" bestFit="1" customWidth="1"/>
    <col min="10" max="10" width="4" style="9" bestFit="1" customWidth="1"/>
    <col min="11" max="11" width="12" style="13" customWidth="1"/>
    <col min="12" max="12" width="11.42578125" style="13" customWidth="1"/>
    <col min="13" max="13" width="12.5703125" style="13" customWidth="1"/>
    <col min="14" max="16" width="11.42578125" style="13" customWidth="1"/>
    <col min="17" max="17" width="6.7109375" style="13" customWidth="1"/>
    <col min="18" max="18" width="7.85546875" style="13" customWidth="1"/>
    <col min="19" max="19" width="9.140625" style="13"/>
    <col min="20" max="20" width="8.85546875" style="13" customWidth="1"/>
    <col min="21" max="21" width="10.5703125" style="13" customWidth="1"/>
    <col min="22" max="24" width="9.140625" style="13"/>
    <col min="25" max="25" width="11.85546875" style="13" customWidth="1"/>
    <col min="26" max="16384" width="9.140625" style="13"/>
  </cols>
  <sheetData>
    <row r="1" spans="1:11" ht="15" customHeight="1" x14ac:dyDescent="0.2">
      <c r="A1" s="1289" t="s">
        <v>639</v>
      </c>
      <c r="B1" s="1289"/>
    </row>
    <row r="2" spans="1:11" s="95" customFormat="1" ht="21.75" customHeight="1" x14ac:dyDescent="0.2">
      <c r="A2" s="1305" t="s">
        <v>751</v>
      </c>
      <c r="B2" s="1306"/>
      <c r="C2" s="1306"/>
      <c r="D2" s="1306"/>
      <c r="E2" s="1306"/>
      <c r="F2" s="1306"/>
      <c r="G2" s="1306"/>
      <c r="H2" s="1306"/>
      <c r="I2" s="1306"/>
      <c r="J2" s="1306"/>
      <c r="K2" s="281"/>
    </row>
    <row r="4" spans="1:11" s="631" customFormat="1" ht="24" x14ac:dyDescent="0.2">
      <c r="A4" s="280" t="s">
        <v>750</v>
      </c>
      <c r="B4" s="143" t="s">
        <v>78</v>
      </c>
      <c r="C4" s="280" t="s">
        <v>84</v>
      </c>
      <c r="D4" s="280" t="s">
        <v>86</v>
      </c>
      <c r="E4" s="280" t="s">
        <v>752</v>
      </c>
      <c r="F4" s="280" t="s">
        <v>753</v>
      </c>
      <c r="G4" s="621" t="s">
        <v>1666</v>
      </c>
      <c r="H4" s="280" t="s">
        <v>754</v>
      </c>
      <c r="I4" s="280" t="s">
        <v>88</v>
      </c>
      <c r="J4" s="280" t="s">
        <v>89</v>
      </c>
    </row>
    <row r="5" spans="1:11" s="631" customFormat="1" x14ac:dyDescent="0.2">
      <c r="A5" s="636" t="s">
        <v>1922</v>
      </c>
      <c r="B5" s="830" t="s">
        <v>1923</v>
      </c>
      <c r="C5" s="636"/>
      <c r="D5" s="894" t="s">
        <v>2327</v>
      </c>
      <c r="E5" s="894" t="s">
        <v>1924</v>
      </c>
      <c r="F5" s="636"/>
      <c r="G5" s="636" t="s">
        <v>158</v>
      </c>
      <c r="H5" s="636" t="s">
        <v>171</v>
      </c>
      <c r="I5" s="636">
        <v>1</v>
      </c>
      <c r="J5" s="636">
        <v>101</v>
      </c>
    </row>
    <row r="6" spans="1:11" s="1062" customFormat="1" x14ac:dyDescent="0.2">
      <c r="A6" s="636" t="s">
        <v>2682</v>
      </c>
      <c r="B6" s="830" t="s">
        <v>2681</v>
      </c>
      <c r="C6" s="636"/>
      <c r="D6" s="1063" t="s">
        <v>2327</v>
      </c>
      <c r="E6" s="1063" t="s">
        <v>2683</v>
      </c>
      <c r="F6" s="636"/>
      <c r="G6" s="636" t="s">
        <v>158</v>
      </c>
      <c r="H6" s="636" t="s">
        <v>171</v>
      </c>
      <c r="I6" s="636">
        <v>1</v>
      </c>
      <c r="J6" s="636">
        <v>114</v>
      </c>
    </row>
    <row r="7" spans="1:11" s="631" customFormat="1" x14ac:dyDescent="0.2">
      <c r="A7" s="636" t="s">
        <v>1925</v>
      </c>
      <c r="B7" s="830" t="s">
        <v>1926</v>
      </c>
      <c r="C7" s="636"/>
      <c r="D7" s="894" t="s">
        <v>2327</v>
      </c>
      <c r="E7" s="894" t="s">
        <v>1927</v>
      </c>
      <c r="F7" s="636"/>
      <c r="G7" s="636" t="s">
        <v>158</v>
      </c>
      <c r="H7" s="636" t="s">
        <v>171</v>
      </c>
      <c r="I7" s="636">
        <v>1</v>
      </c>
      <c r="J7" s="636">
        <v>102</v>
      </c>
    </row>
    <row r="8" spans="1:11" s="631" customFormat="1" x14ac:dyDescent="0.2">
      <c r="A8" s="636" t="s">
        <v>1931</v>
      </c>
      <c r="B8" s="830" t="s">
        <v>1932</v>
      </c>
      <c r="C8" s="636"/>
      <c r="D8" s="894" t="s">
        <v>2327</v>
      </c>
      <c r="E8" s="894" t="s">
        <v>1933</v>
      </c>
      <c r="F8" s="636"/>
      <c r="G8" s="636" t="s">
        <v>158</v>
      </c>
      <c r="H8" s="636" t="s">
        <v>171</v>
      </c>
      <c r="I8" s="636">
        <v>1</v>
      </c>
      <c r="J8" s="636">
        <v>103</v>
      </c>
    </row>
    <row r="9" spans="1:11" s="631" customFormat="1" x14ac:dyDescent="0.2">
      <c r="A9" s="636" t="s">
        <v>1928</v>
      </c>
      <c r="B9" s="830" t="s">
        <v>1929</v>
      </c>
      <c r="C9" s="636"/>
      <c r="D9" s="894" t="s">
        <v>2327</v>
      </c>
      <c r="E9" s="893" t="s">
        <v>1930</v>
      </c>
      <c r="F9" s="636"/>
      <c r="G9" s="636" t="s">
        <v>158</v>
      </c>
      <c r="H9" s="636" t="s">
        <v>171</v>
      </c>
      <c r="I9" s="636">
        <v>1</v>
      </c>
      <c r="J9" s="636">
        <v>104</v>
      </c>
    </row>
    <row r="10" spans="1:11" s="631" customFormat="1" x14ac:dyDescent="0.2">
      <c r="A10" s="636" t="s">
        <v>1940</v>
      </c>
      <c r="B10" s="830" t="s">
        <v>1941</v>
      </c>
      <c r="C10" s="636"/>
      <c r="D10" s="894" t="s">
        <v>2327</v>
      </c>
      <c r="E10" s="893" t="s">
        <v>1942</v>
      </c>
      <c r="F10" s="636"/>
      <c r="G10" s="636" t="s">
        <v>158</v>
      </c>
      <c r="H10" s="636" t="s">
        <v>171</v>
      </c>
      <c r="I10" s="636">
        <v>1</v>
      </c>
      <c r="J10" s="636">
        <v>105</v>
      </c>
    </row>
    <row r="11" spans="1:11" s="631" customFormat="1" x14ac:dyDescent="0.2">
      <c r="A11" s="636" t="s">
        <v>1934</v>
      </c>
      <c r="B11" s="830" t="s">
        <v>1935</v>
      </c>
      <c r="C11" s="636"/>
      <c r="D11" s="894" t="s">
        <v>2327</v>
      </c>
      <c r="E11" s="893" t="s">
        <v>1936</v>
      </c>
      <c r="F11" s="636"/>
      <c r="G11" s="636" t="s">
        <v>158</v>
      </c>
      <c r="H11" s="636" t="s">
        <v>171</v>
      </c>
      <c r="I11" s="636">
        <v>1</v>
      </c>
      <c r="J11" s="636">
        <v>106</v>
      </c>
    </row>
    <row r="12" spans="1:11" s="631" customFormat="1" x14ac:dyDescent="0.2">
      <c r="A12" s="636" t="s">
        <v>1937</v>
      </c>
      <c r="B12" s="830" t="s">
        <v>1938</v>
      </c>
      <c r="C12" s="636"/>
      <c r="D12" s="894" t="s">
        <v>2327</v>
      </c>
      <c r="E12" s="894" t="s">
        <v>1939</v>
      </c>
      <c r="F12" s="636"/>
      <c r="G12" s="636" t="s">
        <v>158</v>
      </c>
      <c r="H12" s="636" t="s">
        <v>171</v>
      </c>
      <c r="I12" s="636">
        <v>1</v>
      </c>
      <c r="J12" s="636">
        <v>107</v>
      </c>
    </row>
    <row r="13" spans="1:11" s="949" customFormat="1" x14ac:dyDescent="0.2">
      <c r="A13" s="636" t="s">
        <v>2386</v>
      </c>
      <c r="B13" s="830" t="s">
        <v>2470</v>
      </c>
      <c r="C13" s="636"/>
      <c r="D13" s="961" t="s">
        <v>2327</v>
      </c>
      <c r="E13" s="961" t="s">
        <v>2471</v>
      </c>
      <c r="F13" s="636"/>
      <c r="G13" s="636" t="s">
        <v>158</v>
      </c>
      <c r="H13" s="636" t="s">
        <v>171</v>
      </c>
      <c r="I13" s="636">
        <v>1</v>
      </c>
      <c r="J13" s="636">
        <v>108</v>
      </c>
    </row>
    <row r="14" spans="1:11" s="949" customFormat="1" x14ac:dyDescent="0.2">
      <c r="A14" s="636" t="s">
        <v>2388</v>
      </c>
      <c r="B14" s="830" t="s">
        <v>2392</v>
      </c>
      <c r="C14" s="636"/>
      <c r="D14" s="948" t="s">
        <v>2327</v>
      </c>
      <c r="E14" s="830" t="s">
        <v>91</v>
      </c>
      <c r="F14" s="636"/>
      <c r="G14" s="636" t="s">
        <v>158</v>
      </c>
      <c r="H14" s="636" t="s">
        <v>171</v>
      </c>
      <c r="I14" s="636">
        <v>2</v>
      </c>
      <c r="J14" s="884"/>
    </row>
    <row r="15" spans="1:11" s="949" customFormat="1" x14ac:dyDescent="0.2">
      <c r="A15" s="636" t="s">
        <v>2583</v>
      </c>
      <c r="B15" s="830" t="s">
        <v>2722</v>
      </c>
      <c r="C15" s="636"/>
      <c r="D15" s="1035" t="s">
        <v>2327</v>
      </c>
      <c r="E15" s="830" t="s">
        <v>91</v>
      </c>
      <c r="F15" s="636"/>
      <c r="G15" s="636" t="s">
        <v>158</v>
      </c>
      <c r="H15" s="636" t="s">
        <v>171</v>
      </c>
      <c r="I15" s="636">
        <v>2</v>
      </c>
      <c r="J15" s="884"/>
    </row>
    <row r="16" spans="1:11" s="631" customFormat="1" x14ac:dyDescent="0.2">
      <c r="A16" s="636" t="s">
        <v>1947</v>
      </c>
      <c r="B16" s="830" t="s">
        <v>1948</v>
      </c>
      <c r="C16" s="636"/>
      <c r="D16" s="894" t="s">
        <v>2327</v>
      </c>
      <c r="E16" s="894" t="s">
        <v>1949</v>
      </c>
      <c r="F16" s="636"/>
      <c r="G16" s="636" t="s">
        <v>158</v>
      </c>
      <c r="H16" s="636" t="s">
        <v>171</v>
      </c>
      <c r="I16" s="636">
        <v>3</v>
      </c>
      <c r="J16" s="884" t="s">
        <v>2399</v>
      </c>
    </row>
    <row r="17" spans="1:10" s="631" customFormat="1" x14ac:dyDescent="0.2">
      <c r="A17" s="636" t="s">
        <v>1952</v>
      </c>
      <c r="B17" s="830" t="s">
        <v>1953</v>
      </c>
      <c r="C17" s="636"/>
      <c r="D17" s="894" t="s">
        <v>2327</v>
      </c>
      <c r="E17" s="830" t="s">
        <v>1955</v>
      </c>
      <c r="F17" s="636"/>
      <c r="G17" s="636" t="s">
        <v>1954</v>
      </c>
      <c r="H17" s="636" t="s">
        <v>171</v>
      </c>
      <c r="I17" s="636">
        <v>3</v>
      </c>
      <c r="J17" s="884" t="s">
        <v>2430</v>
      </c>
    </row>
    <row r="18" spans="1:10" s="631" customFormat="1" x14ac:dyDescent="0.2">
      <c r="A18" s="636" t="s">
        <v>1946</v>
      </c>
      <c r="B18" s="830" t="s">
        <v>392</v>
      </c>
      <c r="C18" s="636"/>
      <c r="D18" s="894" t="s">
        <v>2327</v>
      </c>
      <c r="E18" s="893" t="s">
        <v>459</v>
      </c>
      <c r="F18" s="636"/>
      <c r="G18" s="636" t="s">
        <v>1954</v>
      </c>
      <c r="H18" s="636" t="s">
        <v>171</v>
      </c>
      <c r="I18" s="636">
        <v>3</v>
      </c>
      <c r="J18" s="636">
        <v>111</v>
      </c>
    </row>
    <row r="19" spans="1:10" s="631" customFormat="1" x14ac:dyDescent="0.2">
      <c r="A19" s="636" t="s">
        <v>1943</v>
      </c>
      <c r="B19" s="830" t="s">
        <v>1944</v>
      </c>
      <c r="C19" s="636"/>
      <c r="D19" s="894" t="s">
        <v>2327</v>
      </c>
      <c r="E19" s="893" t="s">
        <v>1945</v>
      </c>
      <c r="F19" s="636"/>
      <c r="G19" s="636" t="s">
        <v>1954</v>
      </c>
      <c r="H19" s="636" t="s">
        <v>171</v>
      </c>
      <c r="I19" s="636">
        <v>3</v>
      </c>
      <c r="J19" s="636">
        <v>112</v>
      </c>
    </row>
    <row r="20" spans="1:10" s="631" customFormat="1" ht="15.6" customHeight="1" x14ac:dyDescent="0.2">
      <c r="A20" s="636" t="s">
        <v>1950</v>
      </c>
      <c r="B20" s="830" t="s">
        <v>244</v>
      </c>
      <c r="C20" s="636"/>
      <c r="D20" s="831" t="s">
        <v>2327</v>
      </c>
      <c r="E20" s="831" t="s">
        <v>2202</v>
      </c>
      <c r="F20" s="636"/>
      <c r="G20" s="636" t="s">
        <v>1954</v>
      </c>
      <c r="H20" s="636" t="s">
        <v>171</v>
      </c>
      <c r="I20" s="636">
        <v>4</v>
      </c>
      <c r="J20" s="636">
        <v>113</v>
      </c>
    </row>
    <row r="21" spans="1:10" s="631" customFormat="1" x14ac:dyDescent="0.2">
      <c r="A21" s="588" t="s">
        <v>1473</v>
      </c>
      <c r="B21" s="587" t="s">
        <v>1918</v>
      </c>
      <c r="C21" s="588"/>
      <c r="D21" s="588"/>
      <c r="E21" s="588"/>
      <c r="F21" s="588"/>
      <c r="G21" s="588"/>
      <c r="H21" s="588"/>
      <c r="I21" s="588">
        <v>5</v>
      </c>
      <c r="J21" s="588"/>
    </row>
    <row r="22" spans="1:10" s="631" customFormat="1" x14ac:dyDescent="0.2">
      <c r="A22" s="588" t="s">
        <v>1474</v>
      </c>
      <c r="B22" s="587" t="s">
        <v>1919</v>
      </c>
      <c r="C22" s="588"/>
      <c r="D22" s="588"/>
      <c r="E22" s="588"/>
      <c r="F22" s="588"/>
      <c r="G22" s="588"/>
      <c r="H22" s="588"/>
      <c r="I22" s="588">
        <v>5</v>
      </c>
      <c r="J22" s="588"/>
    </row>
    <row r="23" spans="1:10" s="631" customFormat="1" x14ac:dyDescent="0.2">
      <c r="A23" s="588" t="s">
        <v>1920</v>
      </c>
      <c r="B23" s="587" t="s">
        <v>1921</v>
      </c>
      <c r="C23" s="588"/>
      <c r="D23" s="588"/>
      <c r="E23" s="588"/>
      <c r="F23" s="588"/>
      <c r="G23" s="588" t="s">
        <v>158</v>
      </c>
      <c r="H23" s="588" t="s">
        <v>91</v>
      </c>
      <c r="I23" s="588"/>
      <c r="J23" s="588"/>
    </row>
    <row r="24" spans="1:10" s="632" customFormat="1" x14ac:dyDescent="0.2">
      <c r="A24" s="633"/>
      <c r="B24" s="634"/>
      <c r="C24" s="633"/>
      <c r="D24" s="634"/>
      <c r="E24" s="634"/>
      <c r="F24" s="633"/>
      <c r="G24" s="633"/>
      <c r="H24" s="633"/>
      <c r="I24" s="633"/>
      <c r="J24" s="635"/>
    </row>
    <row r="25" spans="1:10" s="632" customFormat="1" x14ac:dyDescent="0.2">
      <c r="A25" s="633"/>
      <c r="B25" s="634"/>
      <c r="C25" s="633"/>
      <c r="D25" s="634"/>
      <c r="E25" s="634"/>
      <c r="F25" s="633"/>
      <c r="G25" s="633"/>
      <c r="H25" s="633"/>
      <c r="I25" s="633"/>
      <c r="J25" s="635"/>
    </row>
    <row r="26" spans="1:10" s="320" customFormat="1" x14ac:dyDescent="0.2">
      <c r="A26" s="892" t="s">
        <v>1444</v>
      </c>
      <c r="C26" s="1307" t="s">
        <v>1449</v>
      </c>
      <c r="D26" s="1307"/>
      <c r="E26" s="1307"/>
      <c r="F26" s="1307"/>
      <c r="G26" s="435"/>
    </row>
    <row r="27" spans="1:10" s="1045" customFormat="1" x14ac:dyDescent="0.2">
      <c r="A27" s="1045" t="s">
        <v>1445</v>
      </c>
      <c r="C27" s="1308" t="s">
        <v>2584</v>
      </c>
      <c r="D27" s="1308"/>
      <c r="E27" s="1308"/>
      <c r="F27" s="1308"/>
    </row>
    <row r="28" spans="1:10" s="320" customFormat="1" x14ac:dyDescent="0.2">
      <c r="A28" s="320" t="s">
        <v>1446</v>
      </c>
      <c r="C28" s="1309" t="s">
        <v>2630</v>
      </c>
      <c r="D28" s="1307"/>
      <c r="E28" s="1307"/>
      <c r="F28" s="1307"/>
      <c r="G28" s="435"/>
    </row>
    <row r="29" spans="1:10" s="320" customFormat="1" x14ac:dyDescent="0.2">
      <c r="A29" s="320" t="s">
        <v>1447</v>
      </c>
      <c r="C29" s="1309" t="s">
        <v>1451</v>
      </c>
      <c r="D29" s="1307"/>
      <c r="E29" s="1307"/>
      <c r="F29" s="1307"/>
      <c r="G29" s="435"/>
    </row>
    <row r="30" spans="1:10" s="320" customFormat="1" x14ac:dyDescent="0.2">
      <c r="A30" s="320" t="s">
        <v>1448</v>
      </c>
      <c r="C30" s="1307" t="s">
        <v>1450</v>
      </c>
      <c r="D30" s="1307"/>
      <c r="E30" s="1307"/>
      <c r="F30" s="1307"/>
      <c r="G30" s="435"/>
    </row>
    <row r="31" spans="1:10" s="320" customFormat="1" x14ac:dyDescent="0.2">
      <c r="G31" s="435"/>
    </row>
    <row r="32" spans="1:10" s="320" customFormat="1" x14ac:dyDescent="0.2">
      <c r="A32" s="1310" t="s">
        <v>1486</v>
      </c>
      <c r="B32" s="1310"/>
      <c r="C32" s="1310"/>
      <c r="D32" s="1310"/>
      <c r="G32" s="435"/>
    </row>
    <row r="33" spans="1:10" s="320" customFormat="1" x14ac:dyDescent="0.2">
      <c r="A33" s="1307"/>
      <c r="B33" s="1307"/>
      <c r="C33" s="1307"/>
      <c r="D33" s="1307"/>
      <c r="E33" s="1307"/>
      <c r="F33" s="1307"/>
      <c r="G33" s="1307"/>
      <c r="H33" s="1307"/>
      <c r="I33" s="1307"/>
      <c r="J33" s="1307"/>
    </row>
    <row r="34" spans="1:10" s="320" customFormat="1" x14ac:dyDescent="0.2">
      <c r="A34" s="1307"/>
      <c r="B34" s="1307"/>
      <c r="C34" s="1307"/>
      <c r="D34" s="1307"/>
      <c r="E34" s="1307"/>
      <c r="F34" s="1307"/>
      <c r="G34" s="1307"/>
      <c r="H34" s="1307"/>
      <c r="I34" s="1307"/>
      <c r="J34" s="1307"/>
    </row>
    <row r="35" spans="1:10" s="320" customFormat="1" x14ac:dyDescent="0.2">
      <c r="A35" s="1307"/>
      <c r="B35" s="1307"/>
      <c r="C35" s="1307"/>
      <c r="D35" s="1307"/>
      <c r="E35" s="1307"/>
      <c r="F35" s="1307"/>
      <c r="G35" s="1307"/>
      <c r="H35" s="1307"/>
      <c r="I35" s="1307"/>
      <c r="J35" s="1307"/>
    </row>
    <row r="36" spans="1:10" s="320" customFormat="1" x14ac:dyDescent="0.2">
      <c r="A36" s="1307"/>
      <c r="B36" s="1307"/>
      <c r="C36" s="1307"/>
      <c r="D36" s="1307"/>
      <c r="E36" s="1307"/>
      <c r="F36" s="1307"/>
      <c r="G36" s="1307"/>
      <c r="H36" s="1307"/>
      <c r="I36" s="1307"/>
      <c r="J36" s="1307"/>
    </row>
    <row r="37" spans="1:10" s="320" customFormat="1" x14ac:dyDescent="0.2">
      <c r="A37" s="1307"/>
      <c r="B37" s="1307"/>
      <c r="C37" s="1307"/>
      <c r="D37" s="1307"/>
      <c r="E37" s="1307"/>
      <c r="F37" s="1307"/>
      <c r="G37" s="1307"/>
      <c r="H37" s="1307"/>
      <c r="I37" s="1307"/>
      <c r="J37" s="1307"/>
    </row>
    <row r="38" spans="1:10" s="320" customFormat="1" x14ac:dyDescent="0.2">
      <c r="G38" s="435"/>
    </row>
    <row r="39" spans="1:10" s="320" customFormat="1" x14ac:dyDescent="0.2">
      <c r="G39" s="435"/>
    </row>
    <row r="40" spans="1:10" s="320" customFormat="1" x14ac:dyDescent="0.2">
      <c r="G40" s="435"/>
    </row>
    <row r="41" spans="1:10" s="320" customFormat="1" x14ac:dyDescent="0.2">
      <c r="G41" s="435"/>
    </row>
    <row r="42" spans="1:10" s="320" customFormat="1" x14ac:dyDescent="0.2">
      <c r="G42" s="435"/>
    </row>
    <row r="43" spans="1:10" s="320" customFormat="1" x14ac:dyDescent="0.2">
      <c r="G43" s="435"/>
    </row>
    <row r="44" spans="1:10" s="320" customFormat="1" x14ac:dyDescent="0.2">
      <c r="G44" s="435"/>
    </row>
    <row r="45" spans="1:10" s="320" customFormat="1" x14ac:dyDescent="0.2">
      <c r="G45" s="435"/>
    </row>
    <row r="46" spans="1:10" s="320" customFormat="1" x14ac:dyDescent="0.2">
      <c r="G46" s="435"/>
    </row>
    <row r="47" spans="1:10" s="320" customFormat="1" x14ac:dyDescent="0.2">
      <c r="G47" s="435"/>
    </row>
    <row r="48" spans="1:10" s="320" customFormat="1" x14ac:dyDescent="0.2">
      <c r="G48" s="435"/>
    </row>
    <row r="49" spans="7:7" s="320" customFormat="1" x14ac:dyDescent="0.2">
      <c r="G49" s="435"/>
    </row>
    <row r="50" spans="7:7" s="320" customFormat="1" x14ac:dyDescent="0.2">
      <c r="G50" s="435"/>
    </row>
    <row r="51" spans="7:7" s="320" customFormat="1" x14ac:dyDescent="0.2">
      <c r="G51" s="435"/>
    </row>
    <row r="52" spans="7:7" s="320" customFormat="1" x14ac:dyDescent="0.2">
      <c r="G52" s="435"/>
    </row>
    <row r="53" spans="7:7" s="320" customFormat="1" x14ac:dyDescent="0.2">
      <c r="G53" s="435"/>
    </row>
    <row r="54" spans="7:7" s="320" customFormat="1" x14ac:dyDescent="0.2">
      <c r="G54" s="435"/>
    </row>
    <row r="55" spans="7:7" s="320" customFormat="1" x14ac:dyDescent="0.2">
      <c r="G55" s="435"/>
    </row>
    <row r="56" spans="7:7" s="320" customFormat="1" x14ac:dyDescent="0.2">
      <c r="G56" s="435"/>
    </row>
    <row r="57" spans="7:7" s="320" customFormat="1" x14ac:dyDescent="0.2">
      <c r="G57" s="435"/>
    </row>
    <row r="58" spans="7:7" s="320" customFormat="1" x14ac:dyDescent="0.2">
      <c r="G58" s="435"/>
    </row>
    <row r="59" spans="7:7" s="320" customFormat="1" x14ac:dyDescent="0.2">
      <c r="G59" s="435"/>
    </row>
    <row r="60" spans="7:7" s="320" customFormat="1" x14ac:dyDescent="0.2">
      <c r="G60" s="435"/>
    </row>
    <row r="61" spans="7:7" s="320" customFormat="1" x14ac:dyDescent="0.2">
      <c r="G61" s="435"/>
    </row>
    <row r="62" spans="7:7" s="320" customFormat="1" x14ac:dyDescent="0.2">
      <c r="G62" s="435"/>
    </row>
    <row r="63" spans="7:7" s="320" customFormat="1" x14ac:dyDescent="0.2">
      <c r="G63" s="435"/>
    </row>
    <row r="64" spans="7:7" s="320" customFormat="1" x14ac:dyDescent="0.2">
      <c r="G64" s="435"/>
    </row>
    <row r="65" spans="7:7" s="320" customFormat="1" x14ac:dyDescent="0.2">
      <c r="G65" s="435"/>
    </row>
    <row r="66" spans="7:7" s="320" customFormat="1" x14ac:dyDescent="0.2">
      <c r="G66" s="435"/>
    </row>
    <row r="67" spans="7:7" s="320" customFormat="1" x14ac:dyDescent="0.2">
      <c r="G67" s="435"/>
    </row>
    <row r="68" spans="7:7" s="320" customFormat="1" x14ac:dyDescent="0.2">
      <c r="G68" s="435"/>
    </row>
    <row r="69" spans="7:7" s="320" customFormat="1" x14ac:dyDescent="0.2">
      <c r="G69" s="435"/>
    </row>
    <row r="70" spans="7:7" s="320" customFormat="1" x14ac:dyDescent="0.2">
      <c r="G70" s="435"/>
    </row>
    <row r="71" spans="7:7" s="320" customFormat="1" x14ac:dyDescent="0.2">
      <c r="G71" s="435"/>
    </row>
    <row r="72" spans="7:7" s="320" customFormat="1" x14ac:dyDescent="0.2">
      <c r="G72" s="435"/>
    </row>
    <row r="73" spans="7:7" s="320" customFormat="1" x14ac:dyDescent="0.2">
      <c r="G73" s="435"/>
    </row>
    <row r="74" spans="7:7" s="320" customFormat="1" x14ac:dyDescent="0.2">
      <c r="G74" s="435"/>
    </row>
    <row r="75" spans="7:7" s="320" customFormat="1" x14ac:dyDescent="0.2">
      <c r="G75" s="435"/>
    </row>
    <row r="76" spans="7:7" s="320" customFormat="1" x14ac:dyDescent="0.2">
      <c r="G76" s="435"/>
    </row>
    <row r="77" spans="7:7" s="320" customFormat="1" x14ac:dyDescent="0.2">
      <c r="G77" s="435"/>
    </row>
    <row r="78" spans="7:7" s="320" customFormat="1" x14ac:dyDescent="0.2">
      <c r="G78" s="435"/>
    </row>
    <row r="79" spans="7:7" s="320" customFormat="1" x14ac:dyDescent="0.2">
      <c r="G79" s="435"/>
    </row>
    <row r="80" spans="7:7" s="320" customFormat="1" x14ac:dyDescent="0.2">
      <c r="G80" s="435"/>
    </row>
    <row r="81" spans="7:7" s="320" customFormat="1" x14ac:dyDescent="0.2">
      <c r="G81" s="435"/>
    </row>
    <row r="82" spans="7:7" s="320" customFormat="1" x14ac:dyDescent="0.2">
      <c r="G82" s="435"/>
    </row>
    <row r="83" spans="7:7" s="320" customFormat="1" x14ac:dyDescent="0.2">
      <c r="G83" s="435"/>
    </row>
    <row r="84" spans="7:7" s="320" customFormat="1" x14ac:dyDescent="0.2">
      <c r="G84" s="435"/>
    </row>
    <row r="85" spans="7:7" s="320" customFormat="1" x14ac:dyDescent="0.2">
      <c r="G85" s="435"/>
    </row>
    <row r="86" spans="7:7" s="320" customFormat="1" x14ac:dyDescent="0.2">
      <c r="G86" s="435"/>
    </row>
    <row r="87" spans="7:7" s="320" customFormat="1" x14ac:dyDescent="0.2">
      <c r="G87" s="435"/>
    </row>
    <row r="88" spans="7:7" s="320" customFormat="1" x14ac:dyDescent="0.2">
      <c r="G88" s="435"/>
    </row>
    <row r="89" spans="7:7" s="320" customFormat="1" x14ac:dyDescent="0.2">
      <c r="G89" s="435"/>
    </row>
    <row r="90" spans="7:7" s="320" customFormat="1" x14ac:dyDescent="0.2">
      <c r="G90" s="435"/>
    </row>
    <row r="91" spans="7:7" s="320" customFormat="1" x14ac:dyDescent="0.2">
      <c r="G91" s="435"/>
    </row>
    <row r="92" spans="7:7" s="320" customFormat="1" x14ac:dyDescent="0.2">
      <c r="G92" s="435"/>
    </row>
    <row r="93" spans="7:7" s="320" customFormat="1" x14ac:dyDescent="0.2">
      <c r="G93" s="435"/>
    </row>
    <row r="94" spans="7:7" s="320" customFormat="1" x14ac:dyDescent="0.2">
      <c r="G94" s="435"/>
    </row>
    <row r="95" spans="7:7" s="320" customFormat="1" x14ac:dyDescent="0.2">
      <c r="G95" s="435"/>
    </row>
    <row r="96" spans="7:7" s="320" customFormat="1" x14ac:dyDescent="0.2">
      <c r="G96" s="435"/>
    </row>
    <row r="97" spans="7:7" s="320" customFormat="1" x14ac:dyDescent="0.2">
      <c r="G97" s="435"/>
    </row>
    <row r="98" spans="7:7" s="320" customFormat="1" x14ac:dyDescent="0.2">
      <c r="G98" s="435"/>
    </row>
    <row r="99" spans="7:7" s="320" customFormat="1" x14ac:dyDescent="0.2">
      <c r="G99" s="435"/>
    </row>
    <row r="100" spans="7:7" s="320" customFormat="1" x14ac:dyDescent="0.2">
      <c r="G100" s="435"/>
    </row>
    <row r="101" spans="7:7" s="320" customFormat="1" x14ac:dyDescent="0.2">
      <c r="G101" s="435"/>
    </row>
    <row r="102" spans="7:7" s="320" customFormat="1" x14ac:dyDescent="0.2">
      <c r="G102" s="435"/>
    </row>
    <row r="103" spans="7:7" s="320" customFormat="1" x14ac:dyDescent="0.2">
      <c r="G103" s="435"/>
    </row>
    <row r="104" spans="7:7" s="320" customFormat="1" x14ac:dyDescent="0.2">
      <c r="G104" s="435"/>
    </row>
    <row r="105" spans="7:7" s="320" customFormat="1" x14ac:dyDescent="0.2">
      <c r="G105" s="435"/>
    </row>
    <row r="106" spans="7:7" s="320" customFormat="1" x14ac:dyDescent="0.2">
      <c r="G106" s="435"/>
    </row>
    <row r="107" spans="7:7" s="320" customFormat="1" x14ac:dyDescent="0.2">
      <c r="G107" s="435"/>
    </row>
    <row r="108" spans="7:7" s="320" customFormat="1" x14ac:dyDescent="0.2">
      <c r="G108" s="435"/>
    </row>
    <row r="109" spans="7:7" s="320" customFormat="1" x14ac:dyDescent="0.2">
      <c r="G109" s="435"/>
    </row>
    <row r="110" spans="7:7" s="320" customFormat="1" x14ac:dyDescent="0.2">
      <c r="G110" s="435"/>
    </row>
    <row r="111" spans="7:7" s="320" customFormat="1" x14ac:dyDescent="0.2">
      <c r="G111" s="435"/>
    </row>
    <row r="112" spans="7:7" s="320" customFormat="1" x14ac:dyDescent="0.2">
      <c r="G112" s="435"/>
    </row>
    <row r="113" spans="7:7" s="320" customFormat="1" x14ac:dyDescent="0.2">
      <c r="G113" s="435"/>
    </row>
    <row r="114" spans="7:7" s="320" customFormat="1" x14ac:dyDescent="0.2">
      <c r="G114" s="435"/>
    </row>
    <row r="115" spans="7:7" s="320" customFormat="1" x14ac:dyDescent="0.2">
      <c r="G115" s="435"/>
    </row>
    <row r="116" spans="7:7" s="320" customFormat="1" x14ac:dyDescent="0.2">
      <c r="G116" s="435"/>
    </row>
    <row r="117" spans="7:7" s="320" customFormat="1" x14ac:dyDescent="0.2">
      <c r="G117" s="435"/>
    </row>
    <row r="118" spans="7:7" s="320" customFormat="1" x14ac:dyDescent="0.2">
      <c r="G118" s="435"/>
    </row>
    <row r="119" spans="7:7" s="320" customFormat="1" x14ac:dyDescent="0.2">
      <c r="G119" s="435"/>
    </row>
    <row r="120" spans="7:7" s="320" customFormat="1" x14ac:dyDescent="0.2">
      <c r="G120" s="435"/>
    </row>
    <row r="121" spans="7:7" s="320" customFormat="1" x14ac:dyDescent="0.2">
      <c r="G121" s="435"/>
    </row>
    <row r="122" spans="7:7" s="320" customFormat="1" x14ac:dyDescent="0.2">
      <c r="G122" s="435"/>
    </row>
    <row r="123" spans="7:7" s="320" customFormat="1" x14ac:dyDescent="0.2">
      <c r="G123" s="435"/>
    </row>
    <row r="124" spans="7:7" s="320" customFormat="1" x14ac:dyDescent="0.2">
      <c r="G124" s="435"/>
    </row>
    <row r="125" spans="7:7" s="320" customFormat="1" x14ac:dyDescent="0.2">
      <c r="G125" s="435"/>
    </row>
    <row r="126" spans="7:7" s="320" customFormat="1" x14ac:dyDescent="0.2">
      <c r="G126" s="435"/>
    </row>
    <row r="127" spans="7:7" s="320" customFormat="1" x14ac:dyDescent="0.2">
      <c r="G127" s="435"/>
    </row>
    <row r="128" spans="7:7" s="320" customFormat="1" x14ac:dyDescent="0.2">
      <c r="G128" s="435"/>
    </row>
    <row r="129" spans="7:7" s="320" customFormat="1" x14ac:dyDescent="0.2">
      <c r="G129" s="435"/>
    </row>
    <row r="130" spans="7:7" s="320" customFormat="1" x14ac:dyDescent="0.2">
      <c r="G130" s="435"/>
    </row>
    <row r="131" spans="7:7" s="320" customFormat="1" x14ac:dyDescent="0.2">
      <c r="G131" s="435"/>
    </row>
    <row r="132" spans="7:7" s="320" customFormat="1" x14ac:dyDescent="0.2">
      <c r="G132" s="435"/>
    </row>
    <row r="133" spans="7:7" s="320" customFormat="1" x14ac:dyDescent="0.2">
      <c r="G133" s="435"/>
    </row>
    <row r="134" spans="7:7" s="320" customFormat="1" x14ac:dyDescent="0.2">
      <c r="G134" s="435"/>
    </row>
    <row r="135" spans="7:7" s="320" customFormat="1" x14ac:dyDescent="0.2">
      <c r="G135" s="435"/>
    </row>
    <row r="136" spans="7:7" s="320" customFormat="1" x14ac:dyDescent="0.2">
      <c r="G136" s="435"/>
    </row>
    <row r="137" spans="7:7" s="320" customFormat="1" x14ac:dyDescent="0.2">
      <c r="G137" s="435"/>
    </row>
    <row r="138" spans="7:7" s="320" customFormat="1" x14ac:dyDescent="0.2">
      <c r="G138" s="435"/>
    </row>
    <row r="139" spans="7:7" s="320" customFormat="1" x14ac:dyDescent="0.2">
      <c r="G139" s="435"/>
    </row>
    <row r="140" spans="7:7" s="320" customFormat="1" x14ac:dyDescent="0.2">
      <c r="G140" s="435"/>
    </row>
    <row r="141" spans="7:7" s="320" customFormat="1" x14ac:dyDescent="0.2">
      <c r="G141" s="435"/>
    </row>
    <row r="142" spans="7:7" s="320" customFormat="1" x14ac:dyDescent="0.2">
      <c r="G142" s="435"/>
    </row>
    <row r="143" spans="7:7" s="320" customFormat="1" x14ac:dyDescent="0.2">
      <c r="G143" s="435"/>
    </row>
    <row r="144" spans="7:7" s="320" customFormat="1" x14ac:dyDescent="0.2">
      <c r="G144" s="435"/>
    </row>
    <row r="145" spans="7:7" s="320" customFormat="1" x14ac:dyDescent="0.2">
      <c r="G145" s="435"/>
    </row>
    <row r="146" spans="7:7" s="320" customFormat="1" x14ac:dyDescent="0.2">
      <c r="G146" s="435"/>
    </row>
    <row r="147" spans="7:7" s="320" customFormat="1" x14ac:dyDescent="0.2">
      <c r="G147" s="435"/>
    </row>
    <row r="148" spans="7:7" s="320" customFormat="1" x14ac:dyDescent="0.2">
      <c r="G148" s="435"/>
    </row>
    <row r="149" spans="7:7" s="320" customFormat="1" x14ac:dyDescent="0.2">
      <c r="G149" s="435"/>
    </row>
    <row r="150" spans="7:7" s="320" customFormat="1" x14ac:dyDescent="0.2">
      <c r="G150" s="435"/>
    </row>
    <row r="151" spans="7:7" s="320" customFormat="1" x14ac:dyDescent="0.2">
      <c r="G151" s="435"/>
    </row>
    <row r="152" spans="7:7" s="320" customFormat="1" x14ac:dyDescent="0.2">
      <c r="G152" s="435"/>
    </row>
    <row r="153" spans="7:7" s="320" customFormat="1" x14ac:dyDescent="0.2">
      <c r="G153" s="435"/>
    </row>
    <row r="154" spans="7:7" s="320" customFormat="1" x14ac:dyDescent="0.2">
      <c r="G154" s="435"/>
    </row>
    <row r="155" spans="7:7" s="320" customFormat="1" x14ac:dyDescent="0.2">
      <c r="G155" s="435"/>
    </row>
    <row r="156" spans="7:7" s="320" customFormat="1" x14ac:dyDescent="0.2">
      <c r="G156" s="435"/>
    </row>
    <row r="157" spans="7:7" s="320" customFormat="1" x14ac:dyDescent="0.2">
      <c r="G157" s="435"/>
    </row>
    <row r="158" spans="7:7" s="320" customFormat="1" x14ac:dyDescent="0.2">
      <c r="G158" s="435"/>
    </row>
    <row r="159" spans="7:7" s="320" customFormat="1" x14ac:dyDescent="0.2">
      <c r="G159" s="435"/>
    </row>
    <row r="160" spans="7:7" s="320" customFormat="1" x14ac:dyDescent="0.2">
      <c r="G160" s="435"/>
    </row>
    <row r="161" spans="7:7" s="320" customFormat="1" x14ac:dyDescent="0.2">
      <c r="G161" s="435"/>
    </row>
    <row r="162" spans="7:7" s="320" customFormat="1" x14ac:dyDescent="0.2">
      <c r="G162" s="435"/>
    </row>
    <row r="163" spans="7:7" s="320" customFormat="1" x14ac:dyDescent="0.2">
      <c r="G163" s="435"/>
    </row>
    <row r="164" spans="7:7" s="320" customFormat="1" x14ac:dyDescent="0.2">
      <c r="G164" s="435"/>
    </row>
    <row r="165" spans="7:7" s="320" customFormat="1" x14ac:dyDescent="0.2">
      <c r="G165" s="435"/>
    </row>
    <row r="166" spans="7:7" s="320" customFormat="1" x14ac:dyDescent="0.2">
      <c r="G166" s="435"/>
    </row>
    <row r="167" spans="7:7" s="320" customFormat="1" x14ac:dyDescent="0.2">
      <c r="G167" s="435"/>
    </row>
    <row r="168" spans="7:7" s="320" customFormat="1" x14ac:dyDescent="0.2">
      <c r="G168" s="435"/>
    </row>
    <row r="169" spans="7:7" s="320" customFormat="1" x14ac:dyDescent="0.2">
      <c r="G169" s="435"/>
    </row>
    <row r="170" spans="7:7" s="320" customFormat="1" x14ac:dyDescent="0.2">
      <c r="G170" s="435"/>
    </row>
    <row r="171" spans="7:7" s="320" customFormat="1" x14ac:dyDescent="0.2">
      <c r="G171" s="435"/>
    </row>
    <row r="172" spans="7:7" s="320" customFormat="1" x14ac:dyDescent="0.2">
      <c r="G172" s="435"/>
    </row>
  </sheetData>
  <sortState ref="A5:K21">
    <sortCondition ref="I5:I21"/>
    <sortCondition ref="G5:G21"/>
    <sortCondition ref="B5:B21"/>
  </sortState>
  <customSheetViews>
    <customSheetView guid="{4892E1C0-7A56-4F81-A857-987D77EC4462}" topLeftCell="A13">
      <selection activeCell="G21" sqref="G21"/>
      <pageMargins left="0.18" right="0.17" top="1" bottom="1" header="0.5" footer="0.5"/>
      <printOptions horizontalCentered="1" gridLines="1"/>
      <pageSetup paperSize="5" orientation="landscape" r:id="rId1"/>
      <headerFooter alignWithMargins="0">
        <oddHeader>&amp;L&amp;G&amp;CShowAcronymGoesHere - PSM&amp;R&amp;P</oddHeader>
        <oddFooter>&amp;L&amp;D&amp;R&amp;Z&amp;F</oddFooter>
      </headerFooter>
    </customSheetView>
    <customSheetView guid="{C29C6423-4E3D-4B08-919E-993C7C45FC31}" showPageBreaks="1" topLeftCell="A13">
      <selection activeCell="G21" sqref="G21"/>
      <pageMargins left="0.18" right="0.17" top="1" bottom="1" header="0.5" footer="0.5"/>
      <printOptions horizontalCentered="1" gridLines="1"/>
      <pageSetup paperSize="5" orientation="landscape" r:id="rId2"/>
      <headerFooter alignWithMargins="0">
        <oddHeader>&amp;L&amp;G&amp;CShowAcronymGoesHere - PSM&amp;R&amp;P</oddHeader>
        <oddFooter>&amp;L&amp;D&amp;R&amp;Z&amp;F</oddFooter>
      </headerFooter>
    </customSheetView>
  </customSheetViews>
  <mergeCells count="13">
    <mergeCell ref="A37:J37"/>
    <mergeCell ref="A32:D32"/>
    <mergeCell ref="A33:J33"/>
    <mergeCell ref="A34:J34"/>
    <mergeCell ref="A35:J35"/>
    <mergeCell ref="A36:J36"/>
    <mergeCell ref="C30:F30"/>
    <mergeCell ref="A1:B1"/>
    <mergeCell ref="C26:F26"/>
    <mergeCell ref="C27:F27"/>
    <mergeCell ref="C28:F28"/>
    <mergeCell ref="C29:F29"/>
    <mergeCell ref="A2:J2"/>
  </mergeCells>
  <phoneticPr fontId="6" type="noConversion"/>
  <hyperlinks>
    <hyperlink ref="A1" location="TOC!A1" display="TOC Page"/>
  </hyperlinks>
  <printOptions horizontalCentered="1"/>
  <pageMargins left="0.18" right="0.17" top="1" bottom="1" header="0.5" footer="0.5"/>
  <pageSetup paperSize="5" orientation="landscape" r:id="rId3"/>
  <headerFooter alignWithMargins="0">
    <oddHeader>&amp;L&amp;G&amp;CShowAcronymGoesHere - PSM&amp;R&amp;P</oddHeader>
    <oddFooter>&amp;L&amp;D&amp;R&amp;Z&amp;F</oddFooter>
  </headerFooter>
  <customProperties>
    <customPr name="DVSECTIONID" r:id="rId4"/>
  </customProperties>
  <legacyDrawing r:id="rId5"/>
  <legacyDrawingHF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6"/>
  <dimension ref="A1:M496"/>
  <sheetViews>
    <sheetView zoomScaleNormal="100" workbookViewId="0">
      <pane ySplit="1" topLeftCell="A378" activePane="bottomLeft" state="frozen"/>
      <selection pane="bottomLeft" activeCell="K399" sqref="K399"/>
    </sheetView>
  </sheetViews>
  <sheetFormatPr defaultColWidth="9.140625" defaultRowHeight="12.75" x14ac:dyDescent="0.2"/>
  <cols>
    <col min="1" max="1" width="17.7109375" style="15" customWidth="1"/>
    <col min="2" max="2" width="9.140625" style="15" customWidth="1"/>
    <col min="3" max="4" width="8.140625" style="15" customWidth="1"/>
    <col min="5" max="5" width="9.42578125" style="15" customWidth="1"/>
    <col min="6" max="6" width="7.7109375" style="15" customWidth="1"/>
    <col min="7" max="9" width="11.85546875" style="15" customWidth="1"/>
    <col min="10" max="10" width="8.42578125" style="15" customWidth="1"/>
    <col min="11" max="11" width="10.5703125" style="15" customWidth="1"/>
    <col min="12" max="12" width="6.7109375" style="15" customWidth="1"/>
    <col min="13" max="16384" width="9.140625" style="15"/>
  </cols>
  <sheetData>
    <row r="1" spans="1:13" s="16" customFormat="1" x14ac:dyDescent="0.2">
      <c r="A1" s="182" t="s">
        <v>639</v>
      </c>
      <c r="B1" s="139"/>
    </row>
    <row r="2" spans="1:13" s="47" customFormat="1" ht="21.75" customHeight="1" x14ac:dyDescent="0.2">
      <c r="A2" s="1334" t="s">
        <v>767</v>
      </c>
      <c r="B2" s="1335"/>
      <c r="C2" s="1335"/>
      <c r="D2" s="1335"/>
      <c r="E2" s="1335"/>
      <c r="F2" s="1335"/>
      <c r="G2" s="1335"/>
      <c r="H2" s="1335"/>
      <c r="I2" s="1335"/>
      <c r="J2" s="1335"/>
      <c r="K2" s="1335"/>
      <c r="L2" s="1335"/>
      <c r="M2" s="1335"/>
    </row>
    <row r="3" spans="1:13" s="47" customFormat="1" ht="12.75" customHeight="1" x14ac:dyDescent="0.2">
      <c r="A3" s="138"/>
      <c r="B3" s="138"/>
      <c r="C3" s="138"/>
      <c r="D3" s="138"/>
      <c r="E3" s="138"/>
      <c r="F3" s="138"/>
      <c r="G3" s="138"/>
      <c r="H3" s="138"/>
      <c r="I3" s="138"/>
      <c r="J3" s="138"/>
      <c r="K3" s="138"/>
      <c r="L3" s="138"/>
    </row>
    <row r="4" spans="1:13" s="443" customFormat="1" ht="15.75" customHeight="1" x14ac:dyDescent="0.2">
      <c r="A4" s="437" t="s">
        <v>1668</v>
      </c>
      <c r="B4" s="1314"/>
      <c r="C4" s="1314"/>
      <c r="D4" s="1314"/>
      <c r="E4" s="1314"/>
      <c r="F4" s="1314"/>
      <c r="G4" s="1314"/>
      <c r="H4" s="1314"/>
      <c r="I4" s="1314"/>
    </row>
    <row r="5" spans="1:13" s="443" customFormat="1" ht="12.75" customHeight="1" x14ac:dyDescent="0.2">
      <c r="A5" s="436"/>
      <c r="B5" s="1313"/>
      <c r="C5" s="1313"/>
      <c r="D5" s="1313"/>
      <c r="E5" s="1313"/>
      <c r="F5" s="1313"/>
      <c r="G5" s="1313"/>
      <c r="H5" s="1313"/>
      <c r="I5" s="1313"/>
    </row>
    <row r="6" spans="1:13" s="443" customFormat="1" x14ac:dyDescent="0.2">
      <c r="A6" s="316" t="s">
        <v>1718</v>
      </c>
      <c r="B6" s="1320" t="s">
        <v>1669</v>
      </c>
      <c r="C6" s="1325"/>
      <c r="D6" s="1325"/>
      <c r="E6" s="1325"/>
      <c r="F6" s="1325"/>
      <c r="G6" s="1325"/>
      <c r="H6" s="1325"/>
      <c r="I6" s="1325"/>
    </row>
    <row r="7" spans="1:13" s="442" customFormat="1" ht="12.75" customHeight="1" x14ac:dyDescent="0.2">
      <c r="A7" s="138"/>
      <c r="B7" s="138"/>
      <c r="C7" s="138"/>
      <c r="D7" s="138"/>
      <c r="E7" s="138"/>
      <c r="F7" s="138"/>
      <c r="G7" s="138"/>
      <c r="H7" s="138"/>
      <c r="I7" s="138"/>
      <c r="J7" s="138"/>
      <c r="K7" s="138"/>
      <c r="L7" s="138"/>
    </row>
    <row r="8" spans="1:13" s="83" customFormat="1" ht="15.75" customHeight="1" x14ac:dyDescent="0.2">
      <c r="A8" s="317" t="s">
        <v>756</v>
      </c>
      <c r="B8" s="1314" t="s">
        <v>1957</v>
      </c>
      <c r="C8" s="1314"/>
      <c r="D8" s="1314"/>
      <c r="E8" s="1314"/>
      <c r="F8" s="1314"/>
      <c r="G8" s="1314"/>
      <c r="H8" s="1314"/>
      <c r="I8" s="1314"/>
    </row>
    <row r="9" spans="1:13" s="83" customFormat="1" ht="12.75" customHeight="1" x14ac:dyDescent="0.2">
      <c r="A9" s="165" t="s">
        <v>17</v>
      </c>
      <c r="B9" s="1313" t="s">
        <v>78</v>
      </c>
      <c r="C9" s="1313"/>
      <c r="D9" s="1313"/>
      <c r="E9" s="1313"/>
      <c r="F9" s="1313"/>
      <c r="G9" s="1313"/>
      <c r="H9" s="1313"/>
      <c r="I9" s="1313"/>
    </row>
    <row r="10" spans="1:13" s="83" customFormat="1" x14ac:dyDescent="0.2">
      <c r="A10" s="316" t="s">
        <v>158</v>
      </c>
      <c r="B10" s="1320" t="s">
        <v>1958</v>
      </c>
      <c r="C10" s="1320"/>
      <c r="D10" s="1320"/>
      <c r="E10" s="1320"/>
      <c r="F10" s="1320"/>
      <c r="G10" s="1320"/>
      <c r="H10" s="1320"/>
      <c r="I10" s="1320"/>
    </row>
    <row r="11" spans="1:13" s="83" customFormat="1" x14ac:dyDescent="0.2">
      <c r="A11" s="316" t="s">
        <v>155</v>
      </c>
      <c r="B11" s="1320" t="s">
        <v>1959</v>
      </c>
      <c r="C11" s="1320"/>
      <c r="D11" s="1320"/>
      <c r="E11" s="1320"/>
      <c r="F11" s="1320"/>
      <c r="G11" s="1320"/>
      <c r="H11" s="1320"/>
      <c r="I11" s="1320"/>
    </row>
    <row r="12" spans="1:13" s="83" customFormat="1" x14ac:dyDescent="0.2">
      <c r="A12" s="316" t="s">
        <v>160</v>
      </c>
      <c r="B12" s="1320" t="s">
        <v>1960</v>
      </c>
      <c r="C12" s="1320"/>
      <c r="D12" s="1320"/>
      <c r="E12" s="1320"/>
      <c r="F12" s="1320"/>
      <c r="G12" s="1320"/>
      <c r="H12" s="1320"/>
      <c r="I12" s="1320"/>
    </row>
    <row r="13" spans="1:13" s="83" customFormat="1" x14ac:dyDescent="0.2"/>
    <row r="14" spans="1:13" s="620" customFormat="1" x14ac:dyDescent="0.2">
      <c r="A14" s="957" t="s">
        <v>2442</v>
      </c>
      <c r="B14" s="1321" t="s">
        <v>1961</v>
      </c>
      <c r="C14" s="1321"/>
      <c r="D14" s="1321"/>
      <c r="E14" s="1321"/>
      <c r="F14" s="1321"/>
      <c r="G14" s="1321"/>
      <c r="H14" s="1321"/>
      <c r="I14" s="1321"/>
      <c r="J14" s="630"/>
      <c r="K14" s="630"/>
      <c r="L14" s="630"/>
      <c r="M14" s="630"/>
    </row>
    <row r="15" spans="1:13" s="620" customFormat="1" x14ac:dyDescent="0.2">
      <c r="A15" s="619" t="s">
        <v>17</v>
      </c>
      <c r="B15" s="1313" t="s">
        <v>78</v>
      </c>
      <c r="C15" s="1313"/>
      <c r="D15" s="1313"/>
      <c r="E15" s="1313"/>
      <c r="F15" s="1313"/>
      <c r="G15" s="1313"/>
      <c r="H15" s="1313"/>
      <c r="I15" s="1313"/>
      <c r="J15" s="630"/>
      <c r="K15" s="630"/>
      <c r="L15" s="630"/>
      <c r="M15" s="630"/>
    </row>
    <row r="16" spans="1:13" s="620" customFormat="1" x14ac:dyDescent="0.2">
      <c r="A16" s="316" t="s">
        <v>619</v>
      </c>
      <c r="B16" s="1320" t="s">
        <v>1962</v>
      </c>
      <c r="C16" s="1320"/>
      <c r="D16" s="1320"/>
      <c r="E16" s="1320"/>
      <c r="F16" s="1320"/>
      <c r="G16" s="1320"/>
      <c r="H16" s="1320"/>
      <c r="I16" s="1320"/>
      <c r="J16" s="630"/>
      <c r="K16" s="630"/>
      <c r="L16" s="630"/>
      <c r="M16" s="630"/>
    </row>
    <row r="17" spans="1:13" s="83" customFormat="1" x14ac:dyDescent="0.2"/>
    <row r="18" spans="1:13" s="620" customFormat="1" x14ac:dyDescent="0.2">
      <c r="A18" s="618" t="s">
        <v>760</v>
      </c>
      <c r="B18" s="1314" t="s">
        <v>1963</v>
      </c>
      <c r="C18" s="1314"/>
      <c r="D18" s="1314"/>
      <c r="E18" s="1314"/>
      <c r="F18" s="1314"/>
      <c r="G18" s="1314"/>
      <c r="H18" s="1314"/>
      <c r="I18" s="1314"/>
      <c r="J18" s="630"/>
      <c r="K18" s="630"/>
      <c r="L18" s="630"/>
      <c r="M18" s="630"/>
    </row>
    <row r="19" spans="1:13" s="620" customFormat="1" x14ac:dyDescent="0.2">
      <c r="A19" s="619" t="s">
        <v>17</v>
      </c>
      <c r="B19" s="1313" t="s">
        <v>78</v>
      </c>
      <c r="C19" s="1313"/>
      <c r="D19" s="1313"/>
      <c r="E19" s="1313"/>
      <c r="F19" s="1313"/>
      <c r="G19" s="1313"/>
      <c r="H19" s="1313"/>
      <c r="I19" s="1313"/>
      <c r="J19" s="630"/>
      <c r="K19" s="630"/>
      <c r="L19" s="630"/>
      <c r="M19" s="630"/>
    </row>
    <row r="20" spans="1:13" s="620" customFormat="1" x14ac:dyDescent="0.2">
      <c r="A20" s="638" t="s">
        <v>613</v>
      </c>
      <c r="B20" s="1317" t="s">
        <v>403</v>
      </c>
      <c r="C20" s="1318"/>
      <c r="D20" s="1318"/>
      <c r="E20" s="1318"/>
      <c r="F20" s="1318"/>
      <c r="G20" s="1318"/>
      <c r="H20" s="1318"/>
      <c r="I20" s="1319"/>
      <c r="J20" s="630"/>
      <c r="K20" s="630"/>
      <c r="L20" s="630"/>
      <c r="M20" s="630"/>
    </row>
    <row r="21" spans="1:13" s="620" customFormat="1" x14ac:dyDescent="0.2">
      <c r="A21" s="638" t="s">
        <v>74</v>
      </c>
      <c r="B21" s="1317" t="s">
        <v>404</v>
      </c>
      <c r="C21" s="1318"/>
      <c r="D21" s="1318"/>
      <c r="E21" s="1318"/>
      <c r="F21" s="1318"/>
      <c r="G21" s="1318"/>
      <c r="H21" s="1318"/>
      <c r="I21" s="1319"/>
      <c r="J21" s="630"/>
      <c r="K21" s="630"/>
      <c r="L21" s="630"/>
      <c r="M21" s="630"/>
    </row>
    <row r="22" spans="1:13" s="620" customFormat="1" x14ac:dyDescent="0.2">
      <c r="A22" s="638" t="s">
        <v>156</v>
      </c>
      <c r="B22" s="1317" t="s">
        <v>405</v>
      </c>
      <c r="C22" s="1318"/>
      <c r="D22" s="1318"/>
      <c r="E22" s="1318"/>
      <c r="F22" s="1318"/>
      <c r="G22" s="1318"/>
      <c r="H22" s="1318"/>
      <c r="I22" s="1319"/>
      <c r="J22" s="630"/>
      <c r="K22" s="630"/>
      <c r="L22" s="630"/>
      <c r="M22" s="630"/>
    </row>
    <row r="23" spans="1:13" s="620" customFormat="1" x14ac:dyDescent="0.2">
      <c r="A23" s="638" t="s">
        <v>166</v>
      </c>
      <c r="B23" s="1317" t="s">
        <v>1549</v>
      </c>
      <c r="C23" s="1318"/>
      <c r="D23" s="1318"/>
      <c r="E23" s="1318"/>
      <c r="F23" s="1318"/>
      <c r="G23" s="1318"/>
      <c r="H23" s="1318"/>
      <c r="I23" s="1319"/>
      <c r="J23" s="630"/>
      <c r="K23" s="630"/>
      <c r="L23" s="630"/>
      <c r="M23" s="630"/>
    </row>
    <row r="24" spans="1:13" s="620" customFormat="1" x14ac:dyDescent="0.2">
      <c r="A24" s="638" t="s">
        <v>1964</v>
      </c>
      <c r="B24" s="1317" t="s">
        <v>1965</v>
      </c>
      <c r="C24" s="1318"/>
      <c r="D24" s="1318"/>
      <c r="E24" s="1318"/>
      <c r="F24" s="1318"/>
      <c r="G24" s="1318"/>
      <c r="H24" s="1318"/>
      <c r="I24" s="1319"/>
      <c r="J24" s="630"/>
      <c r="K24" s="630"/>
      <c r="L24" s="630"/>
      <c r="M24" s="630"/>
    </row>
    <row r="25" spans="1:13" s="620" customFormat="1" x14ac:dyDescent="0.2">
      <c r="A25" s="638" t="s">
        <v>1966</v>
      </c>
      <c r="B25" s="1317" t="s">
        <v>1967</v>
      </c>
      <c r="C25" s="1318"/>
      <c r="D25" s="1318"/>
      <c r="E25" s="1318"/>
      <c r="F25" s="1318"/>
      <c r="G25" s="1318"/>
      <c r="H25" s="1318"/>
      <c r="I25" s="1319"/>
      <c r="J25" s="630"/>
      <c r="K25" s="630"/>
      <c r="L25" s="630"/>
      <c r="M25" s="630"/>
    </row>
    <row r="26" spans="1:13" s="620" customFormat="1" x14ac:dyDescent="0.2">
      <c r="A26" s="638" t="s">
        <v>1968</v>
      </c>
      <c r="B26" s="1317" t="s">
        <v>1969</v>
      </c>
      <c r="C26" s="1318"/>
      <c r="D26" s="1318"/>
      <c r="E26" s="1318"/>
      <c r="F26" s="1318"/>
      <c r="G26" s="1318"/>
      <c r="H26" s="1318"/>
      <c r="I26" s="1319"/>
      <c r="J26" s="630"/>
      <c r="K26" s="630"/>
      <c r="L26" s="630"/>
      <c r="M26" s="630"/>
    </row>
    <row r="27" spans="1:13" s="620" customFormat="1" x14ac:dyDescent="0.2">
      <c r="A27" s="638" t="s">
        <v>1970</v>
      </c>
      <c r="B27" s="1317" t="s">
        <v>1971</v>
      </c>
      <c r="C27" s="1318"/>
      <c r="D27" s="1318"/>
      <c r="E27" s="1318"/>
      <c r="F27" s="1318"/>
      <c r="G27" s="1318"/>
      <c r="H27" s="1318"/>
      <c r="I27" s="1319"/>
      <c r="J27" s="630"/>
      <c r="K27" s="630"/>
      <c r="L27" s="630"/>
      <c r="M27" s="630"/>
    </row>
    <row r="28" spans="1:13" s="620" customFormat="1" x14ac:dyDescent="0.2">
      <c r="A28" s="638" t="s">
        <v>1972</v>
      </c>
      <c r="B28" s="1317" t="s">
        <v>1973</v>
      </c>
      <c r="C28" s="1318"/>
      <c r="D28" s="1318"/>
      <c r="E28" s="1318"/>
      <c r="F28" s="1318"/>
      <c r="G28" s="1318"/>
      <c r="H28" s="1318"/>
      <c r="I28" s="1319"/>
      <c r="J28" s="630"/>
      <c r="K28" s="630"/>
      <c r="L28" s="630"/>
      <c r="M28" s="630"/>
    </row>
    <row r="29" spans="1:13" s="620" customFormat="1" x14ac:dyDescent="0.2">
      <c r="A29" s="638" t="s">
        <v>1974</v>
      </c>
      <c r="B29" s="1317" t="s">
        <v>1975</v>
      </c>
      <c r="C29" s="1318"/>
      <c r="D29" s="1318"/>
      <c r="E29" s="1318"/>
      <c r="F29" s="1318"/>
      <c r="G29" s="1318"/>
      <c r="H29" s="1318"/>
      <c r="I29" s="1319"/>
      <c r="J29" s="630"/>
      <c r="K29" s="630"/>
      <c r="L29" s="630"/>
      <c r="M29" s="630"/>
    </row>
    <row r="30" spans="1:13" s="620" customFormat="1" x14ac:dyDescent="0.2">
      <c r="A30" s="638" t="s">
        <v>1976</v>
      </c>
      <c r="B30" s="1317" t="s">
        <v>1977</v>
      </c>
      <c r="C30" s="1318"/>
      <c r="D30" s="1318"/>
      <c r="E30" s="1318"/>
      <c r="F30" s="1318"/>
      <c r="G30" s="1318"/>
      <c r="H30" s="1318"/>
      <c r="I30" s="1319"/>
      <c r="J30" s="630"/>
      <c r="K30" s="630"/>
      <c r="L30" s="630"/>
      <c r="M30" s="630"/>
    </row>
    <row r="31" spans="1:13" s="620" customFormat="1" x14ac:dyDescent="0.2">
      <c r="A31" s="638" t="s">
        <v>1978</v>
      </c>
      <c r="B31" s="1317" t="s">
        <v>1979</v>
      </c>
      <c r="C31" s="1318"/>
      <c r="D31" s="1318"/>
      <c r="E31" s="1318"/>
      <c r="F31" s="1318"/>
      <c r="G31" s="1318"/>
      <c r="H31" s="1318"/>
      <c r="I31" s="1319"/>
      <c r="J31" s="630"/>
      <c r="K31" s="630"/>
      <c r="L31" s="630"/>
      <c r="M31" s="630"/>
    </row>
    <row r="32" spans="1:13" s="620" customFormat="1" x14ac:dyDescent="0.2">
      <c r="A32" s="638" t="s">
        <v>1982</v>
      </c>
      <c r="B32" s="1317" t="s">
        <v>1983</v>
      </c>
      <c r="C32" s="1318"/>
      <c r="D32" s="1318"/>
      <c r="E32" s="1318"/>
      <c r="F32" s="1318"/>
      <c r="G32" s="1318"/>
      <c r="H32" s="1318"/>
      <c r="I32" s="1319"/>
      <c r="J32" s="630"/>
      <c r="K32" s="630"/>
      <c r="L32" s="630"/>
      <c r="M32" s="630"/>
    </row>
    <row r="33" spans="1:13" s="620" customFormat="1" x14ac:dyDescent="0.2">
      <c r="A33" s="316" t="s">
        <v>1980</v>
      </c>
      <c r="B33" s="1322" t="s">
        <v>1981</v>
      </c>
      <c r="C33" s="1342"/>
      <c r="D33" s="1342"/>
      <c r="E33" s="1342"/>
      <c r="F33" s="1342"/>
      <c r="G33" s="1342"/>
      <c r="H33" s="1342"/>
      <c r="I33" s="1343"/>
      <c r="J33" s="630"/>
      <c r="K33" s="630"/>
      <c r="L33" s="630"/>
      <c r="M33" s="630"/>
    </row>
    <row r="35" spans="1:13" s="653" customFormat="1" x14ac:dyDescent="0.2">
      <c r="A35" s="639" t="s">
        <v>1562</v>
      </c>
      <c r="B35" s="1321" t="s">
        <v>2520</v>
      </c>
      <c r="C35" s="1321"/>
      <c r="D35" s="1321"/>
      <c r="E35" s="1321"/>
      <c r="F35" s="1321"/>
      <c r="G35" s="1321"/>
      <c r="H35" s="1321"/>
      <c r="I35" s="1321"/>
    </row>
    <row r="36" spans="1:13" s="653" customFormat="1" x14ac:dyDescent="0.2">
      <c r="A36" s="640" t="s">
        <v>17</v>
      </c>
      <c r="B36" s="1331" t="s">
        <v>78</v>
      </c>
      <c r="C36" s="1332"/>
      <c r="D36" s="1332"/>
      <c r="E36" s="1332"/>
      <c r="F36" s="1332"/>
      <c r="G36" s="1332"/>
      <c r="H36" s="1332"/>
      <c r="I36" s="1333"/>
    </row>
    <row r="37" spans="1:13" s="998" customFormat="1" x14ac:dyDescent="0.2">
      <c r="A37" s="316" t="s">
        <v>619</v>
      </c>
      <c r="B37" s="1322" t="s">
        <v>2380</v>
      </c>
      <c r="C37" s="1323"/>
      <c r="D37" s="1323"/>
      <c r="E37" s="1323"/>
      <c r="F37" s="1323"/>
      <c r="G37" s="1323"/>
      <c r="H37" s="1323"/>
      <c r="I37" s="1324"/>
    </row>
    <row r="38" spans="1:13" s="1042" customFormat="1" x14ac:dyDescent="0.2">
      <c r="A38" s="638" t="s">
        <v>157</v>
      </c>
      <c r="B38" s="1317" t="s">
        <v>2582</v>
      </c>
      <c r="C38" s="1318"/>
      <c r="D38" s="1318"/>
      <c r="E38" s="1318"/>
      <c r="F38" s="1318"/>
      <c r="G38" s="1318"/>
      <c r="H38" s="1318"/>
      <c r="I38" s="1319"/>
    </row>
    <row r="39" spans="1:13" s="944" customFormat="1" x14ac:dyDescent="0.2"/>
    <row r="40" spans="1:13" s="630" customFormat="1" x14ac:dyDescent="0.2">
      <c r="A40" s="1064" t="s">
        <v>758</v>
      </c>
      <c r="B40" s="1314"/>
      <c r="C40" s="1314"/>
      <c r="D40" s="1314"/>
      <c r="E40" s="1314"/>
      <c r="F40" s="1314"/>
      <c r="G40" s="1314"/>
      <c r="H40" s="1314"/>
      <c r="I40" s="1314"/>
    </row>
    <row r="41" spans="1:13" s="630" customFormat="1" hidden="1" x14ac:dyDescent="0.2">
      <c r="A41" s="1065" t="s">
        <v>17</v>
      </c>
      <c r="B41" s="1331" t="s">
        <v>78</v>
      </c>
      <c r="C41" s="1332"/>
      <c r="D41" s="1332"/>
      <c r="E41" s="1332"/>
      <c r="F41" s="1332"/>
      <c r="G41" s="1332"/>
      <c r="H41" s="1332"/>
      <c r="I41" s="1333"/>
    </row>
    <row r="42" spans="1:13" s="733" customFormat="1" hidden="1" x14ac:dyDescent="0.2">
      <c r="A42" s="638"/>
      <c r="B42" s="1317"/>
      <c r="C42" s="1318"/>
      <c r="D42" s="1318"/>
      <c r="E42" s="1318"/>
      <c r="F42" s="1318"/>
      <c r="G42" s="1318"/>
      <c r="H42" s="1318"/>
      <c r="I42" s="1319"/>
    </row>
    <row r="43" spans="1:13" s="733" customFormat="1" hidden="1" x14ac:dyDescent="0.2">
      <c r="A43" s="638"/>
      <c r="B43" s="1317"/>
      <c r="C43" s="1318"/>
      <c r="D43" s="1318"/>
      <c r="E43" s="1318"/>
      <c r="F43" s="1318"/>
      <c r="G43" s="1318"/>
      <c r="H43" s="1318"/>
      <c r="I43" s="1319"/>
    </row>
    <row r="44" spans="1:13" s="733" customFormat="1" hidden="1" x14ac:dyDescent="0.2">
      <c r="A44" s="638"/>
      <c r="B44" s="1317"/>
      <c r="C44" s="1318"/>
      <c r="D44" s="1318"/>
      <c r="E44" s="1318"/>
      <c r="F44" s="1318"/>
      <c r="G44" s="1318"/>
      <c r="H44" s="1318"/>
      <c r="I44" s="1319"/>
    </row>
    <row r="45" spans="1:13" s="944" customFormat="1" x14ac:dyDescent="0.2"/>
    <row r="46" spans="1:13" s="653" customFormat="1" ht="13.15" customHeight="1" x14ac:dyDescent="0.2">
      <c r="A46" s="639" t="s">
        <v>776</v>
      </c>
      <c r="B46" s="1314" t="s">
        <v>2035</v>
      </c>
      <c r="C46" s="1314"/>
      <c r="D46" s="1314"/>
      <c r="E46" s="1314"/>
      <c r="F46" s="1314"/>
      <c r="G46" s="1314"/>
      <c r="H46" s="1314"/>
      <c r="I46" s="1314"/>
    </row>
    <row r="47" spans="1:13" s="653" customFormat="1" ht="13.15" customHeight="1" x14ac:dyDescent="0.2">
      <c r="A47" s="640" t="s">
        <v>17</v>
      </c>
      <c r="B47" s="1331" t="s">
        <v>78</v>
      </c>
      <c r="C47" s="1332"/>
      <c r="D47" s="1332"/>
      <c r="E47" s="1332"/>
      <c r="F47" s="1332"/>
      <c r="G47" s="1332"/>
      <c r="H47" s="1332"/>
      <c r="I47" s="1333"/>
    </row>
    <row r="48" spans="1:13" s="733" customFormat="1" x14ac:dyDescent="0.2">
      <c r="A48" s="638" t="s">
        <v>2585</v>
      </c>
      <c r="B48" s="1317" t="s">
        <v>2587</v>
      </c>
      <c r="C48" s="1318"/>
      <c r="D48" s="1318"/>
      <c r="E48" s="1318"/>
      <c r="F48" s="1318"/>
      <c r="G48" s="1318"/>
      <c r="H48" s="1318"/>
      <c r="I48" s="1319"/>
    </row>
    <row r="49" spans="1:13" s="914" customFormat="1" x14ac:dyDescent="0.2">
      <c r="A49" s="638" t="s">
        <v>2586</v>
      </c>
      <c r="B49" s="1317" t="s">
        <v>2588</v>
      </c>
      <c r="C49" s="1318"/>
      <c r="D49" s="1318"/>
      <c r="E49" s="1318"/>
      <c r="F49" s="1318"/>
      <c r="G49" s="1318"/>
      <c r="H49" s="1318"/>
      <c r="I49" s="1319"/>
    </row>
    <row r="50" spans="1:13" s="653" customFormat="1" ht="13.15" customHeight="1" x14ac:dyDescent="0.2">
      <c r="A50" s="308"/>
      <c r="B50" s="645"/>
      <c r="C50" s="645"/>
      <c r="D50" s="645"/>
      <c r="E50" s="645"/>
      <c r="F50" s="645"/>
    </row>
    <row r="51" spans="1:13" s="620" customFormat="1" x14ac:dyDescent="0.2">
      <c r="A51" s="618" t="s">
        <v>1984</v>
      </c>
      <c r="B51" s="1314" t="s">
        <v>1985</v>
      </c>
      <c r="C51" s="1314"/>
      <c r="D51" s="1314"/>
      <c r="E51" s="1314"/>
      <c r="F51" s="1314"/>
      <c r="G51" s="1314"/>
      <c r="H51" s="1314"/>
      <c r="I51" s="1314"/>
      <c r="J51" s="630"/>
      <c r="K51" s="630"/>
      <c r="L51" s="630"/>
      <c r="M51" s="630"/>
    </row>
    <row r="52" spans="1:13" s="908" customFormat="1" x14ac:dyDescent="0.2">
      <c r="A52" s="907" t="s">
        <v>17</v>
      </c>
      <c r="B52" s="1313" t="s">
        <v>78</v>
      </c>
      <c r="C52" s="1313"/>
      <c r="D52" s="1313"/>
      <c r="E52" s="1313"/>
      <c r="F52" s="1313"/>
      <c r="G52" s="1313"/>
      <c r="H52" s="1313"/>
      <c r="I52" s="1313"/>
    </row>
    <row r="53" spans="1:13" s="733" customFormat="1" ht="13.15" customHeight="1" x14ac:dyDescent="0.2">
      <c r="A53" s="638" t="s">
        <v>2014</v>
      </c>
      <c r="B53" s="1311" t="s">
        <v>2015</v>
      </c>
      <c r="C53" s="1311"/>
      <c r="D53" s="1311"/>
      <c r="E53" s="1311"/>
      <c r="F53" s="1311"/>
      <c r="G53" s="1311"/>
      <c r="H53" s="1311"/>
      <c r="I53" s="1311"/>
    </row>
    <row r="54" spans="1:13" s="733" customFormat="1" ht="13.15" customHeight="1" x14ac:dyDescent="0.2">
      <c r="A54" s="1129">
        <v>80</v>
      </c>
      <c r="B54" s="1312" t="s">
        <v>2524</v>
      </c>
      <c r="C54" s="1312"/>
      <c r="D54" s="1312"/>
      <c r="E54" s="1312"/>
      <c r="F54" s="1312"/>
      <c r="G54" s="1312"/>
      <c r="H54" s="1312"/>
      <c r="I54" s="1312"/>
    </row>
    <row r="55" spans="1:13" s="733" customFormat="1" ht="13.15" customHeight="1" x14ac:dyDescent="0.2">
      <c r="A55" s="638" t="s">
        <v>2412</v>
      </c>
      <c r="B55" s="1311" t="s">
        <v>2411</v>
      </c>
      <c r="C55" s="1311"/>
      <c r="D55" s="1311"/>
      <c r="E55" s="1311"/>
      <c r="F55" s="1311"/>
      <c r="G55" s="1311"/>
      <c r="H55" s="1311"/>
      <c r="I55" s="1311"/>
    </row>
    <row r="56" spans="1:13" s="733" customFormat="1" ht="13.15" customHeight="1" x14ac:dyDescent="0.2">
      <c r="A56" s="1128" t="s">
        <v>2682</v>
      </c>
      <c r="B56" s="1316" t="s">
        <v>2681</v>
      </c>
      <c r="C56" s="1316"/>
      <c r="D56" s="1316"/>
      <c r="E56" s="1316"/>
      <c r="F56" s="1316"/>
      <c r="G56" s="1316"/>
      <c r="H56" s="1316"/>
      <c r="I56" s="1316"/>
    </row>
    <row r="57" spans="1:13" s="733" customFormat="1" ht="13.15" customHeight="1" x14ac:dyDescent="0.2">
      <c r="A57" s="638" t="s">
        <v>1988</v>
      </c>
      <c r="B57" s="1311" t="s">
        <v>1989</v>
      </c>
      <c r="C57" s="1311"/>
      <c r="D57" s="1311"/>
      <c r="E57" s="1311"/>
      <c r="F57" s="1311"/>
      <c r="G57" s="1311"/>
      <c r="H57" s="1311"/>
      <c r="I57" s="1311"/>
    </row>
    <row r="58" spans="1:13" s="733" customFormat="1" ht="13.15" customHeight="1" x14ac:dyDescent="0.2">
      <c r="A58" s="638" t="s">
        <v>2016</v>
      </c>
      <c r="B58" s="1311" t="s">
        <v>2017</v>
      </c>
      <c r="C58" s="1311"/>
      <c r="D58" s="1311"/>
      <c r="E58" s="1311"/>
      <c r="F58" s="1311"/>
      <c r="G58" s="1311"/>
      <c r="H58" s="1311"/>
      <c r="I58" s="1311"/>
    </row>
    <row r="59" spans="1:13" s="733" customFormat="1" ht="13.15" customHeight="1" x14ac:dyDescent="0.2">
      <c r="A59" s="638" t="s">
        <v>1992</v>
      </c>
      <c r="B59" s="1311" t="s">
        <v>1993</v>
      </c>
      <c r="C59" s="1311"/>
      <c r="D59" s="1311"/>
      <c r="E59" s="1311"/>
      <c r="F59" s="1311"/>
      <c r="G59" s="1311"/>
      <c r="H59" s="1311"/>
      <c r="I59" s="1311"/>
    </row>
    <row r="60" spans="1:13" s="733" customFormat="1" x14ac:dyDescent="0.2">
      <c r="A60" s="638" t="s">
        <v>1994</v>
      </c>
      <c r="B60" s="1311" t="s">
        <v>1995</v>
      </c>
      <c r="C60" s="1311"/>
      <c r="D60" s="1311"/>
      <c r="E60" s="1311"/>
      <c r="F60" s="1311"/>
      <c r="G60" s="1311"/>
      <c r="H60" s="1311"/>
      <c r="I60" s="1311"/>
    </row>
    <row r="61" spans="1:13" s="733" customFormat="1" ht="13.15" customHeight="1" x14ac:dyDescent="0.2">
      <c r="A61" s="638" t="s">
        <v>344</v>
      </c>
      <c r="B61" s="1311" t="s">
        <v>1996</v>
      </c>
      <c r="C61" s="1311"/>
      <c r="D61" s="1311"/>
      <c r="E61" s="1311"/>
      <c r="F61" s="1311"/>
      <c r="G61" s="1311"/>
      <c r="H61" s="1311"/>
      <c r="I61" s="1311"/>
    </row>
    <row r="62" spans="1:13" s="733" customFormat="1" ht="13.15" customHeight="1" x14ac:dyDescent="0.2">
      <c r="A62" s="1128" t="s">
        <v>2760</v>
      </c>
      <c r="B62" s="1316" t="s">
        <v>2761</v>
      </c>
      <c r="C62" s="1316"/>
      <c r="D62" s="1316"/>
      <c r="E62" s="1316"/>
      <c r="F62" s="1316"/>
      <c r="G62" s="1316"/>
      <c r="H62" s="1316"/>
      <c r="I62" s="1316"/>
    </row>
    <row r="63" spans="1:13" s="733" customFormat="1" ht="13.15" customHeight="1" x14ac:dyDescent="0.2">
      <c r="A63" s="1129" t="s">
        <v>2400</v>
      </c>
      <c r="B63" s="1312" t="s">
        <v>2401</v>
      </c>
      <c r="C63" s="1312"/>
      <c r="D63" s="1312"/>
      <c r="E63" s="1312"/>
      <c r="F63" s="1312"/>
      <c r="G63" s="1312"/>
      <c r="H63" s="1312"/>
      <c r="I63" s="1312"/>
    </row>
    <row r="64" spans="1:13" s="733" customFormat="1" ht="13.15" customHeight="1" x14ac:dyDescent="0.2">
      <c r="A64" s="638" t="s">
        <v>2521</v>
      </c>
      <c r="B64" s="1311" t="s">
        <v>2522</v>
      </c>
      <c r="C64" s="1311"/>
      <c r="D64" s="1311"/>
      <c r="E64" s="1311"/>
      <c r="F64" s="1311"/>
      <c r="G64" s="1311"/>
      <c r="H64" s="1311"/>
      <c r="I64" s="1311"/>
    </row>
    <row r="65" spans="1:9" s="733" customFormat="1" ht="13.15" customHeight="1" x14ac:dyDescent="0.2">
      <c r="A65" s="1128" t="s">
        <v>2758</v>
      </c>
      <c r="B65" s="1316" t="s">
        <v>2759</v>
      </c>
      <c r="C65" s="1316"/>
      <c r="D65" s="1316"/>
      <c r="E65" s="1316"/>
      <c r="F65" s="1316"/>
      <c r="G65" s="1316"/>
      <c r="H65" s="1316"/>
      <c r="I65" s="1316"/>
    </row>
    <row r="66" spans="1:9" s="733" customFormat="1" ht="13.15" customHeight="1" x14ac:dyDescent="0.2">
      <c r="A66" s="638" t="s">
        <v>2022</v>
      </c>
      <c r="B66" s="1311" t="s">
        <v>2023</v>
      </c>
      <c r="C66" s="1311"/>
      <c r="D66" s="1311"/>
      <c r="E66" s="1311"/>
      <c r="F66" s="1311"/>
      <c r="G66" s="1311"/>
      <c r="H66" s="1311"/>
      <c r="I66" s="1311"/>
    </row>
    <row r="67" spans="1:9" s="733" customFormat="1" ht="13.15" customHeight="1" x14ac:dyDescent="0.2">
      <c r="A67" s="638" t="s">
        <v>2420</v>
      </c>
      <c r="B67" s="1311" t="s">
        <v>2419</v>
      </c>
      <c r="C67" s="1311"/>
      <c r="D67" s="1311"/>
      <c r="E67" s="1311"/>
      <c r="F67" s="1311"/>
      <c r="G67" s="1311"/>
      <c r="H67" s="1311"/>
      <c r="I67" s="1311"/>
    </row>
    <row r="68" spans="1:9" s="733" customFormat="1" ht="13.15" customHeight="1" x14ac:dyDescent="0.2">
      <c r="A68" s="638" t="s">
        <v>1999</v>
      </c>
      <c r="B68" s="1311" t="s">
        <v>2000</v>
      </c>
      <c r="C68" s="1311"/>
      <c r="D68" s="1311"/>
      <c r="E68" s="1311"/>
      <c r="F68" s="1311"/>
      <c r="G68" s="1311"/>
      <c r="H68" s="1311"/>
      <c r="I68" s="1311"/>
    </row>
    <row r="69" spans="1:9" s="733" customFormat="1" ht="13.15" customHeight="1" x14ac:dyDescent="0.2">
      <c r="A69" s="638" t="s">
        <v>2012</v>
      </c>
      <c r="B69" s="1311" t="s">
        <v>2013</v>
      </c>
      <c r="C69" s="1311"/>
      <c r="D69" s="1311"/>
      <c r="E69" s="1311"/>
      <c r="F69" s="1311"/>
      <c r="G69" s="1311"/>
      <c r="H69" s="1311"/>
      <c r="I69" s="1311"/>
    </row>
    <row r="70" spans="1:9" s="733" customFormat="1" ht="13.15" customHeight="1" x14ac:dyDescent="0.2">
      <c r="A70" s="638" t="s">
        <v>2526</v>
      </c>
      <c r="B70" s="1311" t="s">
        <v>2508</v>
      </c>
      <c r="C70" s="1311"/>
      <c r="D70" s="1311"/>
      <c r="E70" s="1311"/>
      <c r="F70" s="1311"/>
      <c r="G70" s="1311"/>
      <c r="H70" s="1311"/>
      <c r="I70" s="1311"/>
    </row>
    <row r="71" spans="1:9" s="733" customFormat="1" ht="13.15" customHeight="1" x14ac:dyDescent="0.2">
      <c r="A71" s="638" t="s">
        <v>2417</v>
      </c>
      <c r="B71" s="1311" t="s">
        <v>2418</v>
      </c>
      <c r="C71" s="1311"/>
      <c r="D71" s="1311"/>
      <c r="E71" s="1311"/>
      <c r="F71" s="1311"/>
      <c r="G71" s="1311"/>
      <c r="H71" s="1311"/>
      <c r="I71" s="1311"/>
    </row>
    <row r="72" spans="1:9" s="733" customFormat="1" ht="13.15" customHeight="1" x14ac:dyDescent="0.2">
      <c r="A72" s="638" t="s">
        <v>2009</v>
      </c>
      <c r="B72" s="1311" t="s">
        <v>2010</v>
      </c>
      <c r="C72" s="1311"/>
      <c r="D72" s="1311"/>
      <c r="E72" s="1311"/>
      <c r="F72" s="1311"/>
      <c r="G72" s="1311"/>
      <c r="H72" s="1311"/>
      <c r="I72" s="1311"/>
    </row>
    <row r="73" spans="1:9" s="733" customFormat="1" ht="13.15" customHeight="1" x14ac:dyDescent="0.2">
      <c r="A73" s="638" t="s">
        <v>2007</v>
      </c>
      <c r="B73" s="1311" t="s">
        <v>2008</v>
      </c>
      <c r="C73" s="1311"/>
      <c r="D73" s="1311"/>
      <c r="E73" s="1311"/>
      <c r="F73" s="1311"/>
      <c r="G73" s="1311"/>
      <c r="H73" s="1311"/>
      <c r="I73" s="1311"/>
    </row>
    <row r="74" spans="1:9" s="733" customFormat="1" ht="13.15" customHeight="1" x14ac:dyDescent="0.2">
      <c r="A74" s="638" t="s">
        <v>2004</v>
      </c>
      <c r="B74" s="1311" t="s">
        <v>2005</v>
      </c>
      <c r="C74" s="1311"/>
      <c r="D74" s="1311"/>
      <c r="E74" s="1311"/>
      <c r="F74" s="1311"/>
      <c r="G74" s="1311"/>
      <c r="H74" s="1311"/>
      <c r="I74" s="1311"/>
    </row>
    <row r="75" spans="1:9" s="733" customFormat="1" ht="13.15" customHeight="1" x14ac:dyDescent="0.2">
      <c r="A75" s="638" t="s">
        <v>1990</v>
      </c>
      <c r="B75" s="1311" t="s">
        <v>1991</v>
      </c>
      <c r="C75" s="1311"/>
      <c r="D75" s="1311"/>
      <c r="E75" s="1311"/>
      <c r="F75" s="1311"/>
      <c r="G75" s="1311"/>
      <c r="H75" s="1311"/>
      <c r="I75" s="1311"/>
    </row>
    <row r="76" spans="1:9" s="733" customFormat="1" ht="13.15" customHeight="1" x14ac:dyDescent="0.2">
      <c r="A76" s="638" t="s">
        <v>1986</v>
      </c>
      <c r="B76" s="1311" t="s">
        <v>1987</v>
      </c>
      <c r="C76" s="1311"/>
      <c r="D76" s="1311"/>
      <c r="E76" s="1311"/>
      <c r="F76" s="1311"/>
      <c r="G76" s="1311"/>
      <c r="H76" s="1311"/>
      <c r="I76" s="1311"/>
    </row>
    <row r="77" spans="1:9" s="733" customFormat="1" x14ac:dyDescent="0.2">
      <c r="A77" s="638" t="s">
        <v>2346</v>
      </c>
      <c r="B77" s="1311" t="s">
        <v>2006</v>
      </c>
      <c r="C77" s="1311"/>
      <c r="D77" s="1311"/>
      <c r="E77" s="1311"/>
      <c r="F77" s="1311"/>
      <c r="G77" s="1311"/>
      <c r="H77" s="1311"/>
      <c r="I77" s="1311"/>
    </row>
    <row r="78" spans="1:9" s="733" customFormat="1" x14ac:dyDescent="0.2">
      <c r="A78" s="638" t="s">
        <v>168</v>
      </c>
      <c r="B78" s="1311" t="s">
        <v>2003</v>
      </c>
      <c r="C78" s="1311"/>
      <c r="D78" s="1311"/>
      <c r="E78" s="1311"/>
      <c r="F78" s="1311"/>
      <c r="G78" s="1311"/>
      <c r="H78" s="1311"/>
      <c r="I78" s="1311"/>
    </row>
    <row r="79" spans="1:9" s="733" customFormat="1" ht="13.15" customHeight="1" x14ac:dyDescent="0.2">
      <c r="A79" s="638" t="s">
        <v>2018</v>
      </c>
      <c r="B79" s="1311" t="s">
        <v>2019</v>
      </c>
      <c r="C79" s="1311"/>
      <c r="D79" s="1311"/>
      <c r="E79" s="1311"/>
      <c r="F79" s="1311"/>
      <c r="G79" s="1311"/>
      <c r="H79" s="1311"/>
      <c r="I79" s="1311"/>
    </row>
    <row r="80" spans="1:9" s="733" customFormat="1" ht="13.15" customHeight="1" x14ac:dyDescent="0.2">
      <c r="A80" s="638" t="s">
        <v>2020</v>
      </c>
      <c r="B80" s="1311" t="s">
        <v>2021</v>
      </c>
      <c r="C80" s="1311"/>
      <c r="D80" s="1311"/>
      <c r="E80" s="1311"/>
      <c r="F80" s="1311"/>
      <c r="G80" s="1311"/>
      <c r="H80" s="1311"/>
      <c r="I80" s="1311"/>
    </row>
    <row r="81" spans="1:13" s="733" customFormat="1" x14ac:dyDescent="0.2">
      <c r="A81" s="638" t="s">
        <v>2011</v>
      </c>
      <c r="B81" s="1311" t="s">
        <v>1202</v>
      </c>
      <c r="C81" s="1311"/>
      <c r="D81" s="1311"/>
      <c r="E81" s="1311"/>
      <c r="F81" s="1311"/>
      <c r="G81" s="1311"/>
      <c r="H81" s="1311"/>
      <c r="I81" s="1311"/>
    </row>
    <row r="82" spans="1:13" s="733" customFormat="1" ht="13.15" customHeight="1" x14ac:dyDescent="0.2">
      <c r="A82" s="638" t="s">
        <v>1037</v>
      </c>
      <c r="B82" s="1311" t="s">
        <v>2523</v>
      </c>
      <c r="C82" s="1311"/>
      <c r="D82" s="1311"/>
      <c r="E82" s="1311"/>
      <c r="F82" s="1311"/>
      <c r="G82" s="1311"/>
      <c r="H82" s="1311"/>
      <c r="I82" s="1311"/>
    </row>
    <row r="83" spans="1:13" s="733" customFormat="1" ht="13.15" customHeight="1" x14ac:dyDescent="0.2">
      <c r="A83" s="638" t="s">
        <v>1997</v>
      </c>
      <c r="B83" s="1311" t="s">
        <v>1998</v>
      </c>
      <c r="C83" s="1311"/>
      <c r="D83" s="1311"/>
      <c r="E83" s="1311"/>
      <c r="F83" s="1311"/>
      <c r="G83" s="1311"/>
      <c r="H83" s="1311"/>
      <c r="I83" s="1311"/>
    </row>
    <row r="84" spans="1:13" s="733" customFormat="1" ht="13.15" customHeight="1" x14ac:dyDescent="0.2">
      <c r="A84" s="638" t="s">
        <v>2001</v>
      </c>
      <c r="B84" s="1311" t="s">
        <v>2002</v>
      </c>
      <c r="C84" s="1311"/>
      <c r="D84" s="1311"/>
      <c r="E84" s="1311"/>
      <c r="F84" s="1311"/>
      <c r="G84" s="1311"/>
      <c r="H84" s="1311"/>
      <c r="I84" s="1311"/>
    </row>
    <row r="85" spans="1:13" s="733" customFormat="1" ht="13.15" customHeight="1" x14ac:dyDescent="0.2">
      <c r="A85" s="1129" t="s">
        <v>613</v>
      </c>
      <c r="B85" s="1312" t="s">
        <v>2525</v>
      </c>
      <c r="C85" s="1312"/>
      <c r="D85" s="1312"/>
      <c r="E85" s="1312"/>
      <c r="F85" s="1312"/>
      <c r="G85" s="1312"/>
      <c r="H85" s="1312"/>
      <c r="I85" s="1312"/>
    </row>
    <row r="86" spans="1:13" s="944" customFormat="1" x14ac:dyDescent="0.2"/>
    <row r="87" spans="1:13" s="642" customFormat="1" x14ac:dyDescent="0.2">
      <c r="A87" s="639" t="s">
        <v>2027</v>
      </c>
      <c r="B87" s="1314" t="s">
        <v>2028</v>
      </c>
      <c r="C87" s="1314"/>
      <c r="D87" s="1314"/>
      <c r="E87" s="1314"/>
      <c r="F87" s="1314"/>
      <c r="G87" s="1314"/>
      <c r="H87" s="1314"/>
      <c r="I87" s="1314"/>
      <c r="J87" s="630"/>
      <c r="K87" s="630"/>
      <c r="L87" s="630"/>
      <c r="M87" s="630"/>
    </row>
    <row r="88" spans="1:13" s="1127" customFormat="1" x14ac:dyDescent="0.2">
      <c r="A88" s="1126" t="s">
        <v>17</v>
      </c>
      <c r="B88" s="1313" t="s">
        <v>78</v>
      </c>
      <c r="C88" s="1313"/>
      <c r="D88" s="1313"/>
      <c r="E88" s="1313"/>
      <c r="F88" s="1313"/>
      <c r="G88" s="1313"/>
      <c r="H88" s="1313"/>
      <c r="I88" s="1313"/>
    </row>
    <row r="89" spans="1:13" s="733" customFormat="1" ht="13.15" customHeight="1" x14ac:dyDescent="0.2">
      <c r="A89" s="638" t="s">
        <v>2014</v>
      </c>
      <c r="B89" s="1311" t="s">
        <v>2015</v>
      </c>
      <c r="C89" s="1311"/>
      <c r="D89" s="1311"/>
      <c r="E89" s="1311"/>
      <c r="F89" s="1311"/>
      <c r="G89" s="1311"/>
      <c r="H89" s="1311"/>
      <c r="I89" s="1311"/>
    </row>
    <row r="90" spans="1:13" s="733" customFormat="1" ht="13.15" customHeight="1" x14ac:dyDescent="0.2">
      <c r="A90" s="1129">
        <v>80</v>
      </c>
      <c r="B90" s="1312" t="s">
        <v>2524</v>
      </c>
      <c r="C90" s="1312"/>
      <c r="D90" s="1312"/>
      <c r="E90" s="1312"/>
      <c r="F90" s="1312"/>
      <c r="G90" s="1312"/>
      <c r="H90" s="1312"/>
      <c r="I90" s="1312"/>
    </row>
    <row r="91" spans="1:13" s="733" customFormat="1" ht="13.15" customHeight="1" x14ac:dyDescent="0.2">
      <c r="A91" s="638" t="s">
        <v>2412</v>
      </c>
      <c r="B91" s="1311" t="s">
        <v>2411</v>
      </c>
      <c r="C91" s="1311"/>
      <c r="D91" s="1311"/>
      <c r="E91" s="1311"/>
      <c r="F91" s="1311"/>
      <c r="G91" s="1311"/>
      <c r="H91" s="1311"/>
      <c r="I91" s="1311"/>
    </row>
    <row r="92" spans="1:13" s="733" customFormat="1" ht="13.15" customHeight="1" x14ac:dyDescent="0.2">
      <c r="A92" s="1128" t="s">
        <v>2682</v>
      </c>
      <c r="B92" s="1316" t="s">
        <v>2681</v>
      </c>
      <c r="C92" s="1316"/>
      <c r="D92" s="1316"/>
      <c r="E92" s="1316"/>
      <c r="F92" s="1316"/>
      <c r="G92" s="1316"/>
      <c r="H92" s="1316"/>
      <c r="I92" s="1316"/>
    </row>
    <row r="93" spans="1:13" s="733" customFormat="1" ht="13.15" customHeight="1" x14ac:dyDescent="0.2">
      <c r="A93" s="638" t="s">
        <v>1988</v>
      </c>
      <c r="B93" s="1311" t="s">
        <v>1989</v>
      </c>
      <c r="C93" s="1311"/>
      <c r="D93" s="1311"/>
      <c r="E93" s="1311"/>
      <c r="F93" s="1311"/>
      <c r="G93" s="1311"/>
      <c r="H93" s="1311"/>
      <c r="I93" s="1311"/>
    </row>
    <row r="94" spans="1:13" s="733" customFormat="1" ht="13.15" customHeight="1" x14ac:dyDescent="0.2">
      <c r="A94" s="638" t="s">
        <v>2016</v>
      </c>
      <c r="B94" s="1311" t="s">
        <v>2017</v>
      </c>
      <c r="C94" s="1311"/>
      <c r="D94" s="1311"/>
      <c r="E94" s="1311"/>
      <c r="F94" s="1311"/>
      <c r="G94" s="1311"/>
      <c r="H94" s="1311"/>
      <c r="I94" s="1311"/>
    </row>
    <row r="95" spans="1:13" s="733" customFormat="1" ht="13.15" customHeight="1" x14ac:dyDescent="0.2">
      <c r="A95" s="638" t="s">
        <v>1992</v>
      </c>
      <c r="B95" s="1311" t="s">
        <v>1993</v>
      </c>
      <c r="C95" s="1311"/>
      <c r="D95" s="1311"/>
      <c r="E95" s="1311"/>
      <c r="F95" s="1311"/>
      <c r="G95" s="1311"/>
      <c r="H95" s="1311"/>
      <c r="I95" s="1311"/>
    </row>
    <row r="96" spans="1:13" s="733" customFormat="1" x14ac:dyDescent="0.2">
      <c r="A96" s="638" t="s">
        <v>1994</v>
      </c>
      <c r="B96" s="1311" t="s">
        <v>1995</v>
      </c>
      <c r="C96" s="1311"/>
      <c r="D96" s="1311"/>
      <c r="E96" s="1311"/>
      <c r="F96" s="1311"/>
      <c r="G96" s="1311"/>
      <c r="H96" s="1311"/>
      <c r="I96" s="1311"/>
    </row>
    <row r="97" spans="1:9" s="733" customFormat="1" ht="13.15" customHeight="1" x14ac:dyDescent="0.2">
      <c r="A97" s="638" t="s">
        <v>344</v>
      </c>
      <c r="B97" s="1311" t="s">
        <v>1996</v>
      </c>
      <c r="C97" s="1311"/>
      <c r="D97" s="1311"/>
      <c r="E97" s="1311"/>
      <c r="F97" s="1311"/>
      <c r="G97" s="1311"/>
      <c r="H97" s="1311"/>
      <c r="I97" s="1311"/>
    </row>
    <row r="98" spans="1:9" s="733" customFormat="1" ht="13.15" customHeight="1" x14ac:dyDescent="0.2">
      <c r="A98" s="1128" t="s">
        <v>2760</v>
      </c>
      <c r="B98" s="1316" t="s">
        <v>2761</v>
      </c>
      <c r="C98" s="1316"/>
      <c r="D98" s="1316"/>
      <c r="E98" s="1316"/>
      <c r="F98" s="1316"/>
      <c r="G98" s="1316"/>
      <c r="H98" s="1316"/>
      <c r="I98" s="1316"/>
    </row>
    <row r="99" spans="1:9" s="733" customFormat="1" ht="13.15" customHeight="1" x14ac:dyDescent="0.2">
      <c r="A99" s="1129" t="s">
        <v>2400</v>
      </c>
      <c r="B99" s="1312" t="s">
        <v>2401</v>
      </c>
      <c r="C99" s="1312"/>
      <c r="D99" s="1312"/>
      <c r="E99" s="1312"/>
      <c r="F99" s="1312"/>
      <c r="G99" s="1312"/>
      <c r="H99" s="1312"/>
      <c r="I99" s="1312"/>
    </row>
    <row r="100" spans="1:9" s="733" customFormat="1" ht="13.15" customHeight="1" x14ac:dyDescent="0.2">
      <c r="A100" s="638" t="s">
        <v>2521</v>
      </c>
      <c r="B100" s="1311" t="s">
        <v>2522</v>
      </c>
      <c r="C100" s="1311"/>
      <c r="D100" s="1311"/>
      <c r="E100" s="1311"/>
      <c r="F100" s="1311"/>
      <c r="G100" s="1311"/>
      <c r="H100" s="1311"/>
      <c r="I100" s="1311"/>
    </row>
    <row r="101" spans="1:9" s="733" customFormat="1" ht="13.15" customHeight="1" x14ac:dyDescent="0.2">
      <c r="A101" s="1128" t="s">
        <v>2758</v>
      </c>
      <c r="B101" s="1316" t="s">
        <v>2759</v>
      </c>
      <c r="C101" s="1316"/>
      <c r="D101" s="1316"/>
      <c r="E101" s="1316"/>
      <c r="F101" s="1316"/>
      <c r="G101" s="1316"/>
      <c r="H101" s="1316"/>
      <c r="I101" s="1316"/>
    </row>
    <row r="102" spans="1:9" s="733" customFormat="1" ht="13.15" customHeight="1" x14ac:dyDescent="0.2">
      <c r="A102" s="638" t="s">
        <v>2022</v>
      </c>
      <c r="B102" s="1311" t="s">
        <v>2023</v>
      </c>
      <c r="C102" s="1311"/>
      <c r="D102" s="1311"/>
      <c r="E102" s="1311"/>
      <c r="F102" s="1311"/>
      <c r="G102" s="1311"/>
      <c r="H102" s="1311"/>
      <c r="I102" s="1311"/>
    </row>
    <row r="103" spans="1:9" s="733" customFormat="1" ht="13.15" customHeight="1" x14ac:dyDescent="0.2">
      <c r="A103" s="638" t="s">
        <v>2420</v>
      </c>
      <c r="B103" s="1311" t="s">
        <v>2419</v>
      </c>
      <c r="C103" s="1311"/>
      <c r="D103" s="1311"/>
      <c r="E103" s="1311"/>
      <c r="F103" s="1311"/>
      <c r="G103" s="1311"/>
      <c r="H103" s="1311"/>
      <c r="I103" s="1311"/>
    </row>
    <row r="104" spans="1:9" s="733" customFormat="1" ht="13.15" customHeight="1" x14ac:dyDescent="0.2">
      <c r="A104" s="638" t="s">
        <v>1999</v>
      </c>
      <c r="B104" s="1311" t="s">
        <v>2000</v>
      </c>
      <c r="C104" s="1311"/>
      <c r="D104" s="1311"/>
      <c r="E104" s="1311"/>
      <c r="F104" s="1311"/>
      <c r="G104" s="1311"/>
      <c r="H104" s="1311"/>
      <c r="I104" s="1311"/>
    </row>
    <row r="105" spans="1:9" s="733" customFormat="1" ht="13.15" customHeight="1" x14ac:dyDescent="0.2">
      <c r="A105" s="638" t="s">
        <v>2012</v>
      </c>
      <c r="B105" s="1311" t="s">
        <v>2013</v>
      </c>
      <c r="C105" s="1311"/>
      <c r="D105" s="1311"/>
      <c r="E105" s="1311"/>
      <c r="F105" s="1311"/>
      <c r="G105" s="1311"/>
      <c r="H105" s="1311"/>
      <c r="I105" s="1311"/>
    </row>
    <row r="106" spans="1:9" s="733" customFormat="1" ht="13.15" customHeight="1" x14ac:dyDescent="0.2">
      <c r="A106" s="638" t="s">
        <v>2526</v>
      </c>
      <c r="B106" s="1311" t="s">
        <v>2508</v>
      </c>
      <c r="C106" s="1311"/>
      <c r="D106" s="1311"/>
      <c r="E106" s="1311"/>
      <c r="F106" s="1311"/>
      <c r="G106" s="1311"/>
      <c r="H106" s="1311"/>
      <c r="I106" s="1311"/>
    </row>
    <row r="107" spans="1:9" s="733" customFormat="1" ht="13.15" customHeight="1" x14ac:dyDescent="0.2">
      <c r="A107" s="638" t="s">
        <v>2417</v>
      </c>
      <c r="B107" s="1311" t="s">
        <v>2418</v>
      </c>
      <c r="C107" s="1311"/>
      <c r="D107" s="1311"/>
      <c r="E107" s="1311"/>
      <c r="F107" s="1311"/>
      <c r="G107" s="1311"/>
      <c r="H107" s="1311"/>
      <c r="I107" s="1311"/>
    </row>
    <row r="108" spans="1:9" s="733" customFormat="1" ht="13.15" customHeight="1" x14ac:dyDescent="0.2">
      <c r="A108" s="638" t="s">
        <v>2009</v>
      </c>
      <c r="B108" s="1311" t="s">
        <v>2010</v>
      </c>
      <c r="C108" s="1311"/>
      <c r="D108" s="1311"/>
      <c r="E108" s="1311"/>
      <c r="F108" s="1311"/>
      <c r="G108" s="1311"/>
      <c r="H108" s="1311"/>
      <c r="I108" s="1311"/>
    </row>
    <row r="109" spans="1:9" s="733" customFormat="1" ht="13.15" customHeight="1" x14ac:dyDescent="0.2">
      <c r="A109" s="638" t="s">
        <v>2007</v>
      </c>
      <c r="B109" s="1311" t="s">
        <v>2008</v>
      </c>
      <c r="C109" s="1311"/>
      <c r="D109" s="1311"/>
      <c r="E109" s="1311"/>
      <c r="F109" s="1311"/>
      <c r="G109" s="1311"/>
      <c r="H109" s="1311"/>
      <c r="I109" s="1311"/>
    </row>
    <row r="110" spans="1:9" s="733" customFormat="1" ht="13.15" customHeight="1" x14ac:dyDescent="0.2">
      <c r="A110" s="638" t="s">
        <v>2004</v>
      </c>
      <c r="B110" s="1311" t="s">
        <v>2005</v>
      </c>
      <c r="C110" s="1311"/>
      <c r="D110" s="1311"/>
      <c r="E110" s="1311"/>
      <c r="F110" s="1311"/>
      <c r="G110" s="1311"/>
      <c r="H110" s="1311"/>
      <c r="I110" s="1311"/>
    </row>
    <row r="111" spans="1:9" s="733" customFormat="1" ht="13.15" customHeight="1" x14ac:dyDescent="0.2">
      <c r="A111" s="638" t="s">
        <v>1990</v>
      </c>
      <c r="B111" s="1311" t="s">
        <v>1991</v>
      </c>
      <c r="C111" s="1311"/>
      <c r="D111" s="1311"/>
      <c r="E111" s="1311"/>
      <c r="F111" s="1311"/>
      <c r="G111" s="1311"/>
      <c r="H111" s="1311"/>
      <c r="I111" s="1311"/>
    </row>
    <row r="112" spans="1:9" s="733" customFormat="1" ht="13.15" customHeight="1" x14ac:dyDescent="0.2">
      <c r="A112" s="638" t="s">
        <v>1986</v>
      </c>
      <c r="B112" s="1311" t="s">
        <v>1987</v>
      </c>
      <c r="C112" s="1311"/>
      <c r="D112" s="1311"/>
      <c r="E112" s="1311"/>
      <c r="F112" s="1311"/>
      <c r="G112" s="1311"/>
      <c r="H112" s="1311"/>
      <c r="I112" s="1311"/>
    </row>
    <row r="113" spans="1:13" s="733" customFormat="1" x14ac:dyDescent="0.2">
      <c r="A113" s="638" t="s">
        <v>2346</v>
      </c>
      <c r="B113" s="1311" t="s">
        <v>2006</v>
      </c>
      <c r="C113" s="1311"/>
      <c r="D113" s="1311"/>
      <c r="E113" s="1311"/>
      <c r="F113" s="1311"/>
      <c r="G113" s="1311"/>
      <c r="H113" s="1311"/>
      <c r="I113" s="1311"/>
    </row>
    <row r="114" spans="1:13" s="733" customFormat="1" x14ac:dyDescent="0.2">
      <c r="A114" s="638" t="s">
        <v>168</v>
      </c>
      <c r="B114" s="1311" t="s">
        <v>2003</v>
      </c>
      <c r="C114" s="1311"/>
      <c r="D114" s="1311"/>
      <c r="E114" s="1311"/>
      <c r="F114" s="1311"/>
      <c r="G114" s="1311"/>
      <c r="H114" s="1311"/>
      <c r="I114" s="1311"/>
    </row>
    <row r="115" spans="1:13" s="733" customFormat="1" ht="13.15" customHeight="1" x14ac:dyDescent="0.2">
      <c r="A115" s="638" t="s">
        <v>2018</v>
      </c>
      <c r="B115" s="1311" t="s">
        <v>2019</v>
      </c>
      <c r="C115" s="1311"/>
      <c r="D115" s="1311"/>
      <c r="E115" s="1311"/>
      <c r="F115" s="1311"/>
      <c r="G115" s="1311"/>
      <c r="H115" s="1311"/>
      <c r="I115" s="1311"/>
    </row>
    <row r="116" spans="1:13" s="733" customFormat="1" ht="13.15" customHeight="1" x14ac:dyDescent="0.2">
      <c r="A116" s="638" t="s">
        <v>2020</v>
      </c>
      <c r="B116" s="1311" t="s">
        <v>2021</v>
      </c>
      <c r="C116" s="1311"/>
      <c r="D116" s="1311"/>
      <c r="E116" s="1311"/>
      <c r="F116" s="1311"/>
      <c r="G116" s="1311"/>
      <c r="H116" s="1311"/>
      <c r="I116" s="1311"/>
    </row>
    <row r="117" spans="1:13" s="733" customFormat="1" x14ac:dyDescent="0.2">
      <c r="A117" s="638" t="s">
        <v>2011</v>
      </c>
      <c r="B117" s="1311" t="s">
        <v>1202</v>
      </c>
      <c r="C117" s="1311"/>
      <c r="D117" s="1311"/>
      <c r="E117" s="1311"/>
      <c r="F117" s="1311"/>
      <c r="G117" s="1311"/>
      <c r="H117" s="1311"/>
      <c r="I117" s="1311"/>
    </row>
    <row r="118" spans="1:13" s="733" customFormat="1" ht="13.15" customHeight="1" x14ac:dyDescent="0.2">
      <c r="A118" s="638" t="s">
        <v>1037</v>
      </c>
      <c r="B118" s="1311" t="s">
        <v>2523</v>
      </c>
      <c r="C118" s="1311"/>
      <c r="D118" s="1311"/>
      <c r="E118" s="1311"/>
      <c r="F118" s="1311"/>
      <c r="G118" s="1311"/>
      <c r="H118" s="1311"/>
      <c r="I118" s="1311"/>
    </row>
    <row r="119" spans="1:13" s="733" customFormat="1" ht="13.15" customHeight="1" x14ac:dyDescent="0.2">
      <c r="A119" s="638" t="s">
        <v>1997</v>
      </c>
      <c r="B119" s="1311" t="s">
        <v>1998</v>
      </c>
      <c r="C119" s="1311"/>
      <c r="D119" s="1311"/>
      <c r="E119" s="1311"/>
      <c r="F119" s="1311"/>
      <c r="G119" s="1311"/>
      <c r="H119" s="1311"/>
      <c r="I119" s="1311"/>
    </row>
    <row r="120" spans="1:13" s="733" customFormat="1" ht="13.15" customHeight="1" x14ac:dyDescent="0.2">
      <c r="A120" s="638" t="s">
        <v>2001</v>
      </c>
      <c r="B120" s="1311" t="s">
        <v>2002</v>
      </c>
      <c r="C120" s="1311"/>
      <c r="D120" s="1311"/>
      <c r="E120" s="1311"/>
      <c r="F120" s="1311"/>
      <c r="G120" s="1311"/>
      <c r="H120" s="1311"/>
      <c r="I120" s="1311"/>
    </row>
    <row r="121" spans="1:13" s="733" customFormat="1" ht="13.15" customHeight="1" x14ac:dyDescent="0.2">
      <c r="A121" s="1129" t="s">
        <v>613</v>
      </c>
      <c r="B121" s="1312" t="s">
        <v>2525</v>
      </c>
      <c r="C121" s="1312"/>
      <c r="D121" s="1312"/>
      <c r="E121" s="1312"/>
      <c r="F121" s="1312"/>
      <c r="G121" s="1312"/>
      <c r="H121" s="1312"/>
      <c r="I121" s="1312"/>
    </row>
    <row r="122" spans="1:13" s="944" customFormat="1" x14ac:dyDescent="0.2"/>
    <row r="123" spans="1:13" s="642" customFormat="1" x14ac:dyDescent="0.2">
      <c r="A123" s="639" t="s">
        <v>2029</v>
      </c>
      <c r="B123" s="1314" t="s">
        <v>2030</v>
      </c>
      <c r="C123" s="1314"/>
      <c r="D123" s="1314"/>
      <c r="E123" s="1314"/>
      <c r="F123" s="1314"/>
      <c r="G123" s="1314"/>
      <c r="H123" s="1314"/>
      <c r="I123" s="1314"/>
      <c r="J123" s="630"/>
      <c r="K123" s="630"/>
      <c r="L123" s="630"/>
      <c r="M123" s="630"/>
    </row>
    <row r="124" spans="1:13" s="1127" customFormat="1" x14ac:dyDescent="0.2">
      <c r="A124" s="1126" t="s">
        <v>17</v>
      </c>
      <c r="B124" s="1313" t="s">
        <v>78</v>
      </c>
      <c r="C124" s="1313"/>
      <c r="D124" s="1313"/>
      <c r="E124" s="1313"/>
      <c r="F124" s="1313"/>
      <c r="G124" s="1313"/>
      <c r="H124" s="1313"/>
      <c r="I124" s="1313"/>
    </row>
    <row r="125" spans="1:13" s="733" customFormat="1" ht="13.15" customHeight="1" x14ac:dyDescent="0.2">
      <c r="A125" s="638" t="s">
        <v>2014</v>
      </c>
      <c r="B125" s="1311" t="s">
        <v>2015</v>
      </c>
      <c r="C125" s="1311"/>
      <c r="D125" s="1311"/>
      <c r="E125" s="1311"/>
      <c r="F125" s="1311"/>
      <c r="G125" s="1311"/>
      <c r="H125" s="1311"/>
      <c r="I125" s="1311"/>
    </row>
    <row r="126" spans="1:13" s="733" customFormat="1" ht="13.15" customHeight="1" x14ac:dyDescent="0.2">
      <c r="A126" s="1129">
        <v>80</v>
      </c>
      <c r="B126" s="1312" t="s">
        <v>2524</v>
      </c>
      <c r="C126" s="1312"/>
      <c r="D126" s="1312"/>
      <c r="E126" s="1312"/>
      <c r="F126" s="1312"/>
      <c r="G126" s="1312"/>
      <c r="H126" s="1312"/>
      <c r="I126" s="1312"/>
    </row>
    <row r="127" spans="1:13" s="733" customFormat="1" ht="13.15" customHeight="1" x14ac:dyDescent="0.2">
      <c r="A127" s="638" t="s">
        <v>2412</v>
      </c>
      <c r="B127" s="1311" t="s">
        <v>2411</v>
      </c>
      <c r="C127" s="1311"/>
      <c r="D127" s="1311"/>
      <c r="E127" s="1311"/>
      <c r="F127" s="1311"/>
      <c r="G127" s="1311"/>
      <c r="H127" s="1311"/>
      <c r="I127" s="1311"/>
    </row>
    <row r="128" spans="1:13" s="733" customFormat="1" ht="13.15" customHeight="1" x14ac:dyDescent="0.2">
      <c r="A128" s="1128" t="s">
        <v>2682</v>
      </c>
      <c r="B128" s="1316" t="s">
        <v>2681</v>
      </c>
      <c r="C128" s="1316"/>
      <c r="D128" s="1316"/>
      <c r="E128" s="1316"/>
      <c r="F128" s="1316"/>
      <c r="G128" s="1316"/>
      <c r="H128" s="1316"/>
      <c r="I128" s="1316"/>
    </row>
    <row r="129" spans="1:9" s="733" customFormat="1" ht="13.15" customHeight="1" x14ac:dyDescent="0.2">
      <c r="A129" s="638" t="s">
        <v>1988</v>
      </c>
      <c r="B129" s="1311" t="s">
        <v>1989</v>
      </c>
      <c r="C129" s="1311"/>
      <c r="D129" s="1311"/>
      <c r="E129" s="1311"/>
      <c r="F129" s="1311"/>
      <c r="G129" s="1311"/>
      <c r="H129" s="1311"/>
      <c r="I129" s="1311"/>
    </row>
    <row r="130" spans="1:9" s="733" customFormat="1" ht="13.15" customHeight="1" x14ac:dyDescent="0.2">
      <c r="A130" s="638" t="s">
        <v>2016</v>
      </c>
      <c r="B130" s="1311" t="s">
        <v>2017</v>
      </c>
      <c r="C130" s="1311"/>
      <c r="D130" s="1311"/>
      <c r="E130" s="1311"/>
      <c r="F130" s="1311"/>
      <c r="G130" s="1311"/>
      <c r="H130" s="1311"/>
      <c r="I130" s="1311"/>
    </row>
    <row r="131" spans="1:9" s="733" customFormat="1" ht="13.15" customHeight="1" x14ac:dyDescent="0.2">
      <c r="A131" s="638" t="s">
        <v>1992</v>
      </c>
      <c r="B131" s="1311" t="s">
        <v>1993</v>
      </c>
      <c r="C131" s="1311"/>
      <c r="D131" s="1311"/>
      <c r="E131" s="1311"/>
      <c r="F131" s="1311"/>
      <c r="G131" s="1311"/>
      <c r="H131" s="1311"/>
      <c r="I131" s="1311"/>
    </row>
    <row r="132" spans="1:9" s="733" customFormat="1" x14ac:dyDescent="0.2">
      <c r="A132" s="638" t="s">
        <v>1994</v>
      </c>
      <c r="B132" s="1311" t="s">
        <v>1995</v>
      </c>
      <c r="C132" s="1311"/>
      <c r="D132" s="1311"/>
      <c r="E132" s="1311"/>
      <c r="F132" s="1311"/>
      <c r="G132" s="1311"/>
      <c r="H132" s="1311"/>
      <c r="I132" s="1311"/>
    </row>
    <row r="133" spans="1:9" s="733" customFormat="1" ht="13.15" customHeight="1" x14ac:dyDescent="0.2">
      <c r="A133" s="638" t="s">
        <v>344</v>
      </c>
      <c r="B133" s="1311" t="s">
        <v>1996</v>
      </c>
      <c r="C133" s="1311"/>
      <c r="D133" s="1311"/>
      <c r="E133" s="1311"/>
      <c r="F133" s="1311"/>
      <c r="G133" s="1311"/>
      <c r="H133" s="1311"/>
      <c r="I133" s="1311"/>
    </row>
    <row r="134" spans="1:9" s="733" customFormat="1" ht="13.15" customHeight="1" x14ac:dyDescent="0.2">
      <c r="A134" s="1128" t="s">
        <v>2760</v>
      </c>
      <c r="B134" s="1316" t="s">
        <v>2761</v>
      </c>
      <c r="C134" s="1316"/>
      <c r="D134" s="1316"/>
      <c r="E134" s="1316"/>
      <c r="F134" s="1316"/>
      <c r="G134" s="1316"/>
      <c r="H134" s="1316"/>
      <c r="I134" s="1316"/>
    </row>
    <row r="135" spans="1:9" s="733" customFormat="1" ht="13.15" customHeight="1" x14ac:dyDescent="0.2">
      <c r="A135" s="1129" t="s">
        <v>2400</v>
      </c>
      <c r="B135" s="1312" t="s">
        <v>2401</v>
      </c>
      <c r="C135" s="1312"/>
      <c r="D135" s="1312"/>
      <c r="E135" s="1312"/>
      <c r="F135" s="1312"/>
      <c r="G135" s="1312"/>
      <c r="H135" s="1312"/>
      <c r="I135" s="1312"/>
    </row>
    <row r="136" spans="1:9" s="733" customFormat="1" ht="13.15" customHeight="1" x14ac:dyDescent="0.2">
      <c r="A136" s="638" t="s">
        <v>2521</v>
      </c>
      <c r="B136" s="1311" t="s">
        <v>2522</v>
      </c>
      <c r="C136" s="1311"/>
      <c r="D136" s="1311"/>
      <c r="E136" s="1311"/>
      <c r="F136" s="1311"/>
      <c r="G136" s="1311"/>
      <c r="H136" s="1311"/>
      <c r="I136" s="1311"/>
    </row>
    <row r="137" spans="1:9" s="733" customFormat="1" ht="13.15" customHeight="1" x14ac:dyDescent="0.2">
      <c r="A137" s="1128" t="s">
        <v>2758</v>
      </c>
      <c r="B137" s="1316" t="s">
        <v>2759</v>
      </c>
      <c r="C137" s="1316"/>
      <c r="D137" s="1316"/>
      <c r="E137" s="1316"/>
      <c r="F137" s="1316"/>
      <c r="G137" s="1316"/>
      <c r="H137" s="1316"/>
      <c r="I137" s="1316"/>
    </row>
    <row r="138" spans="1:9" s="733" customFormat="1" ht="13.15" customHeight="1" x14ac:dyDescent="0.2">
      <c r="A138" s="638" t="s">
        <v>2022</v>
      </c>
      <c r="B138" s="1311" t="s">
        <v>2023</v>
      </c>
      <c r="C138" s="1311"/>
      <c r="D138" s="1311"/>
      <c r="E138" s="1311"/>
      <c r="F138" s="1311"/>
      <c r="G138" s="1311"/>
      <c r="H138" s="1311"/>
      <c r="I138" s="1311"/>
    </row>
    <row r="139" spans="1:9" s="733" customFormat="1" ht="13.15" customHeight="1" x14ac:dyDescent="0.2">
      <c r="A139" s="638" t="s">
        <v>2420</v>
      </c>
      <c r="B139" s="1311" t="s">
        <v>2419</v>
      </c>
      <c r="C139" s="1311"/>
      <c r="D139" s="1311"/>
      <c r="E139" s="1311"/>
      <c r="F139" s="1311"/>
      <c r="G139" s="1311"/>
      <c r="H139" s="1311"/>
      <c r="I139" s="1311"/>
    </row>
    <row r="140" spans="1:9" s="733" customFormat="1" ht="13.15" customHeight="1" x14ac:dyDescent="0.2">
      <c r="A140" s="638" t="s">
        <v>1999</v>
      </c>
      <c r="B140" s="1311" t="s">
        <v>2000</v>
      </c>
      <c r="C140" s="1311"/>
      <c r="D140" s="1311"/>
      <c r="E140" s="1311"/>
      <c r="F140" s="1311"/>
      <c r="G140" s="1311"/>
      <c r="H140" s="1311"/>
      <c r="I140" s="1311"/>
    </row>
    <row r="141" spans="1:9" s="733" customFormat="1" ht="13.15" customHeight="1" x14ac:dyDescent="0.2">
      <c r="A141" s="638" t="s">
        <v>2012</v>
      </c>
      <c r="B141" s="1311" t="s">
        <v>2013</v>
      </c>
      <c r="C141" s="1311"/>
      <c r="D141" s="1311"/>
      <c r="E141" s="1311"/>
      <c r="F141" s="1311"/>
      <c r="G141" s="1311"/>
      <c r="H141" s="1311"/>
      <c r="I141" s="1311"/>
    </row>
    <row r="142" spans="1:9" s="733" customFormat="1" ht="13.15" customHeight="1" x14ac:dyDescent="0.2">
      <c r="A142" s="638" t="s">
        <v>2526</v>
      </c>
      <c r="B142" s="1311" t="s">
        <v>2508</v>
      </c>
      <c r="C142" s="1311"/>
      <c r="D142" s="1311"/>
      <c r="E142" s="1311"/>
      <c r="F142" s="1311"/>
      <c r="G142" s="1311"/>
      <c r="H142" s="1311"/>
      <c r="I142" s="1311"/>
    </row>
    <row r="143" spans="1:9" s="733" customFormat="1" ht="13.15" customHeight="1" x14ac:dyDescent="0.2">
      <c r="A143" s="638" t="s">
        <v>2417</v>
      </c>
      <c r="B143" s="1311" t="s">
        <v>2418</v>
      </c>
      <c r="C143" s="1311"/>
      <c r="D143" s="1311"/>
      <c r="E143" s="1311"/>
      <c r="F143" s="1311"/>
      <c r="G143" s="1311"/>
      <c r="H143" s="1311"/>
      <c r="I143" s="1311"/>
    </row>
    <row r="144" spans="1:9" s="733" customFormat="1" ht="13.15" customHeight="1" x14ac:dyDescent="0.2">
      <c r="A144" s="638" t="s">
        <v>2009</v>
      </c>
      <c r="B144" s="1311" t="s">
        <v>2010</v>
      </c>
      <c r="C144" s="1311"/>
      <c r="D144" s="1311"/>
      <c r="E144" s="1311"/>
      <c r="F144" s="1311"/>
      <c r="G144" s="1311"/>
      <c r="H144" s="1311"/>
      <c r="I144" s="1311"/>
    </row>
    <row r="145" spans="1:13" s="733" customFormat="1" ht="13.15" customHeight="1" x14ac:dyDescent="0.2">
      <c r="A145" s="638" t="s">
        <v>2007</v>
      </c>
      <c r="B145" s="1311" t="s">
        <v>2008</v>
      </c>
      <c r="C145" s="1311"/>
      <c r="D145" s="1311"/>
      <c r="E145" s="1311"/>
      <c r="F145" s="1311"/>
      <c r="G145" s="1311"/>
      <c r="H145" s="1311"/>
      <c r="I145" s="1311"/>
    </row>
    <row r="146" spans="1:13" s="733" customFormat="1" ht="13.15" customHeight="1" x14ac:dyDescent="0.2">
      <c r="A146" s="638" t="s">
        <v>2004</v>
      </c>
      <c r="B146" s="1311" t="s">
        <v>2005</v>
      </c>
      <c r="C146" s="1311"/>
      <c r="D146" s="1311"/>
      <c r="E146" s="1311"/>
      <c r="F146" s="1311"/>
      <c r="G146" s="1311"/>
      <c r="H146" s="1311"/>
      <c r="I146" s="1311"/>
    </row>
    <row r="147" spans="1:13" s="733" customFormat="1" ht="13.15" customHeight="1" x14ac:dyDescent="0.2">
      <c r="A147" s="638" t="s">
        <v>1990</v>
      </c>
      <c r="B147" s="1311" t="s">
        <v>1991</v>
      </c>
      <c r="C147" s="1311"/>
      <c r="D147" s="1311"/>
      <c r="E147" s="1311"/>
      <c r="F147" s="1311"/>
      <c r="G147" s="1311"/>
      <c r="H147" s="1311"/>
      <c r="I147" s="1311"/>
    </row>
    <row r="148" spans="1:13" s="733" customFormat="1" ht="13.15" customHeight="1" x14ac:dyDescent="0.2">
      <c r="A148" s="638" t="s">
        <v>1986</v>
      </c>
      <c r="B148" s="1311" t="s">
        <v>1987</v>
      </c>
      <c r="C148" s="1311"/>
      <c r="D148" s="1311"/>
      <c r="E148" s="1311"/>
      <c r="F148" s="1311"/>
      <c r="G148" s="1311"/>
      <c r="H148" s="1311"/>
      <c r="I148" s="1311"/>
    </row>
    <row r="149" spans="1:13" s="733" customFormat="1" x14ac:dyDescent="0.2">
      <c r="A149" s="638" t="s">
        <v>2346</v>
      </c>
      <c r="B149" s="1311" t="s">
        <v>2006</v>
      </c>
      <c r="C149" s="1311"/>
      <c r="D149" s="1311"/>
      <c r="E149" s="1311"/>
      <c r="F149" s="1311"/>
      <c r="G149" s="1311"/>
      <c r="H149" s="1311"/>
      <c r="I149" s="1311"/>
    </row>
    <row r="150" spans="1:13" s="733" customFormat="1" x14ac:dyDescent="0.2">
      <c r="A150" s="638" t="s">
        <v>168</v>
      </c>
      <c r="B150" s="1311" t="s">
        <v>2003</v>
      </c>
      <c r="C150" s="1311"/>
      <c r="D150" s="1311"/>
      <c r="E150" s="1311"/>
      <c r="F150" s="1311"/>
      <c r="G150" s="1311"/>
      <c r="H150" s="1311"/>
      <c r="I150" s="1311"/>
    </row>
    <row r="151" spans="1:13" s="733" customFormat="1" ht="13.15" customHeight="1" x14ac:dyDescent="0.2">
      <c r="A151" s="638" t="s">
        <v>2018</v>
      </c>
      <c r="B151" s="1311" t="s">
        <v>2019</v>
      </c>
      <c r="C151" s="1311"/>
      <c r="D151" s="1311"/>
      <c r="E151" s="1311"/>
      <c r="F151" s="1311"/>
      <c r="G151" s="1311"/>
      <c r="H151" s="1311"/>
      <c r="I151" s="1311"/>
    </row>
    <row r="152" spans="1:13" s="733" customFormat="1" ht="13.15" customHeight="1" x14ac:dyDescent="0.2">
      <c r="A152" s="638" t="s">
        <v>2020</v>
      </c>
      <c r="B152" s="1311" t="s">
        <v>2021</v>
      </c>
      <c r="C152" s="1311"/>
      <c r="D152" s="1311"/>
      <c r="E152" s="1311"/>
      <c r="F152" s="1311"/>
      <c r="G152" s="1311"/>
      <c r="H152" s="1311"/>
      <c r="I152" s="1311"/>
    </row>
    <row r="153" spans="1:13" s="733" customFormat="1" x14ac:dyDescent="0.2">
      <c r="A153" s="638" t="s">
        <v>2011</v>
      </c>
      <c r="B153" s="1311" t="s">
        <v>1202</v>
      </c>
      <c r="C153" s="1311"/>
      <c r="D153" s="1311"/>
      <c r="E153" s="1311"/>
      <c r="F153" s="1311"/>
      <c r="G153" s="1311"/>
      <c r="H153" s="1311"/>
      <c r="I153" s="1311"/>
    </row>
    <row r="154" spans="1:13" s="733" customFormat="1" ht="13.15" customHeight="1" x14ac:dyDescent="0.2">
      <c r="A154" s="638" t="s">
        <v>1037</v>
      </c>
      <c r="B154" s="1311" t="s">
        <v>2523</v>
      </c>
      <c r="C154" s="1311"/>
      <c r="D154" s="1311"/>
      <c r="E154" s="1311"/>
      <c r="F154" s="1311"/>
      <c r="G154" s="1311"/>
      <c r="H154" s="1311"/>
      <c r="I154" s="1311"/>
    </row>
    <row r="155" spans="1:13" s="733" customFormat="1" ht="13.15" customHeight="1" x14ac:dyDescent="0.2">
      <c r="A155" s="638" t="s">
        <v>1997</v>
      </c>
      <c r="B155" s="1311" t="s">
        <v>1998</v>
      </c>
      <c r="C155" s="1311"/>
      <c r="D155" s="1311"/>
      <c r="E155" s="1311"/>
      <c r="F155" s="1311"/>
      <c r="G155" s="1311"/>
      <c r="H155" s="1311"/>
      <c r="I155" s="1311"/>
    </row>
    <row r="156" spans="1:13" s="733" customFormat="1" ht="13.15" customHeight="1" x14ac:dyDescent="0.2">
      <c r="A156" s="638" t="s">
        <v>2001</v>
      </c>
      <c r="B156" s="1311" t="s">
        <v>2002</v>
      </c>
      <c r="C156" s="1311"/>
      <c r="D156" s="1311"/>
      <c r="E156" s="1311"/>
      <c r="F156" s="1311"/>
      <c r="G156" s="1311"/>
      <c r="H156" s="1311"/>
      <c r="I156" s="1311"/>
    </row>
    <row r="157" spans="1:13" s="733" customFormat="1" ht="13.15" customHeight="1" x14ac:dyDescent="0.2">
      <c r="A157" s="1129" t="s">
        <v>613</v>
      </c>
      <c r="B157" s="1312" t="s">
        <v>2525</v>
      </c>
      <c r="C157" s="1312"/>
      <c r="D157" s="1312"/>
      <c r="E157" s="1312"/>
      <c r="F157" s="1312"/>
      <c r="G157" s="1312"/>
      <c r="H157" s="1312"/>
      <c r="I157" s="1312"/>
    </row>
    <row r="158" spans="1:13" s="653" customFormat="1" x14ac:dyDescent="0.2"/>
    <row r="159" spans="1:13" s="642" customFormat="1" x14ac:dyDescent="0.2">
      <c r="A159" s="639" t="s">
        <v>2031</v>
      </c>
      <c r="B159" s="1314" t="s">
        <v>2032</v>
      </c>
      <c r="C159" s="1314"/>
      <c r="D159" s="1314"/>
      <c r="E159" s="1314"/>
      <c r="F159" s="1314"/>
      <c r="G159" s="1314"/>
      <c r="H159" s="1314"/>
      <c r="I159" s="1314"/>
      <c r="J159" s="630"/>
      <c r="K159" s="630"/>
      <c r="L159" s="630"/>
      <c r="M159" s="630"/>
    </row>
    <row r="160" spans="1:13" s="1127" customFormat="1" x14ac:dyDescent="0.2">
      <c r="A160" s="1126" t="s">
        <v>17</v>
      </c>
      <c r="B160" s="1313" t="s">
        <v>78</v>
      </c>
      <c r="C160" s="1313"/>
      <c r="D160" s="1313"/>
      <c r="E160" s="1313"/>
      <c r="F160" s="1313"/>
      <c r="G160" s="1313"/>
      <c r="H160" s="1313"/>
      <c r="I160" s="1313"/>
    </row>
    <row r="161" spans="1:9" s="733" customFormat="1" ht="13.15" customHeight="1" x14ac:dyDescent="0.2">
      <c r="A161" s="638" t="s">
        <v>2014</v>
      </c>
      <c r="B161" s="1311" t="s">
        <v>2015</v>
      </c>
      <c r="C161" s="1311"/>
      <c r="D161" s="1311"/>
      <c r="E161" s="1311"/>
      <c r="F161" s="1311"/>
      <c r="G161" s="1311"/>
      <c r="H161" s="1311"/>
      <c r="I161" s="1311"/>
    </row>
    <row r="162" spans="1:9" s="733" customFormat="1" ht="13.15" customHeight="1" x14ac:dyDescent="0.2">
      <c r="A162" s="1129">
        <v>80</v>
      </c>
      <c r="B162" s="1312" t="s">
        <v>2524</v>
      </c>
      <c r="C162" s="1312"/>
      <c r="D162" s="1312"/>
      <c r="E162" s="1312"/>
      <c r="F162" s="1312"/>
      <c r="G162" s="1312"/>
      <c r="H162" s="1312"/>
      <c r="I162" s="1312"/>
    </row>
    <row r="163" spans="1:9" s="733" customFormat="1" ht="13.15" customHeight="1" x14ac:dyDescent="0.2">
      <c r="A163" s="638" t="s">
        <v>2412</v>
      </c>
      <c r="B163" s="1311" t="s">
        <v>2411</v>
      </c>
      <c r="C163" s="1311"/>
      <c r="D163" s="1311"/>
      <c r="E163" s="1311"/>
      <c r="F163" s="1311"/>
      <c r="G163" s="1311"/>
      <c r="H163" s="1311"/>
      <c r="I163" s="1311"/>
    </row>
    <row r="164" spans="1:9" s="733" customFormat="1" ht="13.15" customHeight="1" x14ac:dyDescent="0.2">
      <c r="A164" s="1128" t="s">
        <v>2682</v>
      </c>
      <c r="B164" s="1316" t="s">
        <v>2681</v>
      </c>
      <c r="C164" s="1316"/>
      <c r="D164" s="1316"/>
      <c r="E164" s="1316"/>
      <c r="F164" s="1316"/>
      <c r="G164" s="1316"/>
      <c r="H164" s="1316"/>
      <c r="I164" s="1316"/>
    </row>
    <row r="165" spans="1:9" s="733" customFormat="1" ht="13.15" customHeight="1" x14ac:dyDescent="0.2">
      <c r="A165" s="638" t="s">
        <v>1988</v>
      </c>
      <c r="B165" s="1311" t="s">
        <v>1989</v>
      </c>
      <c r="C165" s="1311"/>
      <c r="D165" s="1311"/>
      <c r="E165" s="1311"/>
      <c r="F165" s="1311"/>
      <c r="G165" s="1311"/>
      <c r="H165" s="1311"/>
      <c r="I165" s="1311"/>
    </row>
    <row r="166" spans="1:9" s="733" customFormat="1" ht="13.15" customHeight="1" x14ac:dyDescent="0.2">
      <c r="A166" s="638" t="s">
        <v>2016</v>
      </c>
      <c r="B166" s="1311" t="s">
        <v>2017</v>
      </c>
      <c r="C166" s="1311"/>
      <c r="D166" s="1311"/>
      <c r="E166" s="1311"/>
      <c r="F166" s="1311"/>
      <c r="G166" s="1311"/>
      <c r="H166" s="1311"/>
      <c r="I166" s="1311"/>
    </row>
    <row r="167" spans="1:9" s="733" customFormat="1" ht="13.15" customHeight="1" x14ac:dyDescent="0.2">
      <c r="A167" s="638" t="s">
        <v>1992</v>
      </c>
      <c r="B167" s="1311" t="s">
        <v>1993</v>
      </c>
      <c r="C167" s="1311"/>
      <c r="D167" s="1311"/>
      <c r="E167" s="1311"/>
      <c r="F167" s="1311"/>
      <c r="G167" s="1311"/>
      <c r="H167" s="1311"/>
      <c r="I167" s="1311"/>
    </row>
    <row r="168" spans="1:9" s="733" customFormat="1" x14ac:dyDescent="0.2">
      <c r="A168" s="638" t="s">
        <v>1994</v>
      </c>
      <c r="B168" s="1311" t="s">
        <v>1995</v>
      </c>
      <c r="C168" s="1311"/>
      <c r="D168" s="1311"/>
      <c r="E168" s="1311"/>
      <c r="F168" s="1311"/>
      <c r="G168" s="1311"/>
      <c r="H168" s="1311"/>
      <c r="I168" s="1311"/>
    </row>
    <row r="169" spans="1:9" s="733" customFormat="1" ht="13.15" customHeight="1" x14ac:dyDescent="0.2">
      <c r="A169" s="638" t="s">
        <v>344</v>
      </c>
      <c r="B169" s="1311" t="s">
        <v>1996</v>
      </c>
      <c r="C169" s="1311"/>
      <c r="D169" s="1311"/>
      <c r="E169" s="1311"/>
      <c r="F169" s="1311"/>
      <c r="G169" s="1311"/>
      <c r="H169" s="1311"/>
      <c r="I169" s="1311"/>
    </row>
    <row r="170" spans="1:9" s="733" customFormat="1" ht="13.15" customHeight="1" x14ac:dyDescent="0.2">
      <c r="A170" s="1128" t="s">
        <v>2760</v>
      </c>
      <c r="B170" s="1316" t="s">
        <v>2761</v>
      </c>
      <c r="C170" s="1316"/>
      <c r="D170" s="1316"/>
      <c r="E170" s="1316"/>
      <c r="F170" s="1316"/>
      <c r="G170" s="1316"/>
      <c r="H170" s="1316"/>
      <c r="I170" s="1316"/>
    </row>
    <row r="171" spans="1:9" s="733" customFormat="1" ht="13.15" customHeight="1" x14ac:dyDescent="0.2">
      <c r="A171" s="1129" t="s">
        <v>2400</v>
      </c>
      <c r="B171" s="1312" t="s">
        <v>2401</v>
      </c>
      <c r="C171" s="1312"/>
      <c r="D171" s="1312"/>
      <c r="E171" s="1312"/>
      <c r="F171" s="1312"/>
      <c r="G171" s="1312"/>
      <c r="H171" s="1312"/>
      <c r="I171" s="1312"/>
    </row>
    <row r="172" spans="1:9" s="733" customFormat="1" ht="13.15" customHeight="1" x14ac:dyDescent="0.2">
      <c r="A172" s="638" t="s">
        <v>2521</v>
      </c>
      <c r="B172" s="1311" t="s">
        <v>2522</v>
      </c>
      <c r="C172" s="1311"/>
      <c r="D172" s="1311"/>
      <c r="E172" s="1311"/>
      <c r="F172" s="1311"/>
      <c r="G172" s="1311"/>
      <c r="H172" s="1311"/>
      <c r="I172" s="1311"/>
    </row>
    <row r="173" spans="1:9" s="733" customFormat="1" ht="13.15" customHeight="1" x14ac:dyDescent="0.2">
      <c r="A173" s="1128" t="s">
        <v>2758</v>
      </c>
      <c r="B173" s="1316" t="s">
        <v>2759</v>
      </c>
      <c r="C173" s="1316"/>
      <c r="D173" s="1316"/>
      <c r="E173" s="1316"/>
      <c r="F173" s="1316"/>
      <c r="G173" s="1316"/>
      <c r="H173" s="1316"/>
      <c r="I173" s="1316"/>
    </row>
    <row r="174" spans="1:9" s="733" customFormat="1" ht="13.15" customHeight="1" x14ac:dyDescent="0.2">
      <c r="A174" s="638" t="s">
        <v>2022</v>
      </c>
      <c r="B174" s="1311" t="s">
        <v>2023</v>
      </c>
      <c r="C174" s="1311"/>
      <c r="D174" s="1311"/>
      <c r="E174" s="1311"/>
      <c r="F174" s="1311"/>
      <c r="G174" s="1311"/>
      <c r="H174" s="1311"/>
      <c r="I174" s="1311"/>
    </row>
    <row r="175" spans="1:9" s="733" customFormat="1" ht="13.15" customHeight="1" x14ac:dyDescent="0.2">
      <c r="A175" s="638" t="s">
        <v>2420</v>
      </c>
      <c r="B175" s="1311" t="s">
        <v>2419</v>
      </c>
      <c r="C175" s="1311"/>
      <c r="D175" s="1311"/>
      <c r="E175" s="1311"/>
      <c r="F175" s="1311"/>
      <c r="G175" s="1311"/>
      <c r="H175" s="1311"/>
      <c r="I175" s="1311"/>
    </row>
    <row r="176" spans="1:9" s="733" customFormat="1" ht="13.15" customHeight="1" x14ac:dyDescent="0.2">
      <c r="A176" s="638" t="s">
        <v>1999</v>
      </c>
      <c r="B176" s="1311" t="s">
        <v>2000</v>
      </c>
      <c r="C176" s="1311"/>
      <c r="D176" s="1311"/>
      <c r="E176" s="1311"/>
      <c r="F176" s="1311"/>
      <c r="G176" s="1311"/>
      <c r="H176" s="1311"/>
      <c r="I176" s="1311"/>
    </row>
    <row r="177" spans="1:9" s="733" customFormat="1" ht="13.15" customHeight="1" x14ac:dyDescent="0.2">
      <c r="A177" s="638" t="s">
        <v>2012</v>
      </c>
      <c r="B177" s="1311" t="s">
        <v>2013</v>
      </c>
      <c r="C177" s="1311"/>
      <c r="D177" s="1311"/>
      <c r="E177" s="1311"/>
      <c r="F177" s="1311"/>
      <c r="G177" s="1311"/>
      <c r="H177" s="1311"/>
      <c r="I177" s="1311"/>
    </row>
    <row r="178" spans="1:9" s="733" customFormat="1" ht="13.15" customHeight="1" x14ac:dyDescent="0.2">
      <c r="A178" s="638" t="s">
        <v>2526</v>
      </c>
      <c r="B178" s="1311" t="s">
        <v>2508</v>
      </c>
      <c r="C178" s="1311"/>
      <c r="D178" s="1311"/>
      <c r="E178" s="1311"/>
      <c r="F178" s="1311"/>
      <c r="G178" s="1311"/>
      <c r="H178" s="1311"/>
      <c r="I178" s="1311"/>
    </row>
    <row r="179" spans="1:9" s="733" customFormat="1" ht="13.15" customHeight="1" x14ac:dyDescent="0.2">
      <c r="A179" s="638" t="s">
        <v>2417</v>
      </c>
      <c r="B179" s="1311" t="s">
        <v>2418</v>
      </c>
      <c r="C179" s="1311"/>
      <c r="D179" s="1311"/>
      <c r="E179" s="1311"/>
      <c r="F179" s="1311"/>
      <c r="G179" s="1311"/>
      <c r="H179" s="1311"/>
      <c r="I179" s="1311"/>
    </row>
    <row r="180" spans="1:9" s="733" customFormat="1" ht="13.15" customHeight="1" x14ac:dyDescent="0.2">
      <c r="A180" s="638" t="s">
        <v>2009</v>
      </c>
      <c r="B180" s="1311" t="s">
        <v>2010</v>
      </c>
      <c r="C180" s="1311"/>
      <c r="D180" s="1311"/>
      <c r="E180" s="1311"/>
      <c r="F180" s="1311"/>
      <c r="G180" s="1311"/>
      <c r="H180" s="1311"/>
      <c r="I180" s="1311"/>
    </row>
    <row r="181" spans="1:9" s="733" customFormat="1" ht="13.15" customHeight="1" x14ac:dyDescent="0.2">
      <c r="A181" s="638" t="s">
        <v>2007</v>
      </c>
      <c r="B181" s="1311" t="s">
        <v>2008</v>
      </c>
      <c r="C181" s="1311"/>
      <c r="D181" s="1311"/>
      <c r="E181" s="1311"/>
      <c r="F181" s="1311"/>
      <c r="G181" s="1311"/>
      <c r="H181" s="1311"/>
      <c r="I181" s="1311"/>
    </row>
    <row r="182" spans="1:9" s="733" customFormat="1" ht="13.15" customHeight="1" x14ac:dyDescent="0.2">
      <c r="A182" s="638" t="s">
        <v>2004</v>
      </c>
      <c r="B182" s="1311" t="s">
        <v>2005</v>
      </c>
      <c r="C182" s="1311"/>
      <c r="D182" s="1311"/>
      <c r="E182" s="1311"/>
      <c r="F182" s="1311"/>
      <c r="G182" s="1311"/>
      <c r="H182" s="1311"/>
      <c r="I182" s="1311"/>
    </row>
    <row r="183" spans="1:9" s="733" customFormat="1" ht="13.15" customHeight="1" x14ac:dyDescent="0.2">
      <c r="A183" s="638" t="s">
        <v>1990</v>
      </c>
      <c r="B183" s="1311" t="s">
        <v>1991</v>
      </c>
      <c r="C183" s="1311"/>
      <c r="D183" s="1311"/>
      <c r="E183" s="1311"/>
      <c r="F183" s="1311"/>
      <c r="G183" s="1311"/>
      <c r="H183" s="1311"/>
      <c r="I183" s="1311"/>
    </row>
    <row r="184" spans="1:9" s="733" customFormat="1" ht="13.15" customHeight="1" x14ac:dyDescent="0.2">
      <c r="A184" s="638" t="s">
        <v>1986</v>
      </c>
      <c r="B184" s="1311" t="s">
        <v>1987</v>
      </c>
      <c r="C184" s="1311"/>
      <c r="D184" s="1311"/>
      <c r="E184" s="1311"/>
      <c r="F184" s="1311"/>
      <c r="G184" s="1311"/>
      <c r="H184" s="1311"/>
      <c r="I184" s="1311"/>
    </row>
    <row r="185" spans="1:9" s="733" customFormat="1" x14ac:dyDescent="0.2">
      <c r="A185" s="638" t="s">
        <v>2346</v>
      </c>
      <c r="B185" s="1311" t="s">
        <v>2006</v>
      </c>
      <c r="C185" s="1311"/>
      <c r="D185" s="1311"/>
      <c r="E185" s="1311"/>
      <c r="F185" s="1311"/>
      <c r="G185" s="1311"/>
      <c r="H185" s="1311"/>
      <c r="I185" s="1311"/>
    </row>
    <row r="186" spans="1:9" s="733" customFormat="1" x14ac:dyDescent="0.2">
      <c r="A186" s="638" t="s">
        <v>168</v>
      </c>
      <c r="B186" s="1311" t="s">
        <v>2003</v>
      </c>
      <c r="C186" s="1311"/>
      <c r="D186" s="1311"/>
      <c r="E186" s="1311"/>
      <c r="F186" s="1311"/>
      <c r="G186" s="1311"/>
      <c r="H186" s="1311"/>
      <c r="I186" s="1311"/>
    </row>
    <row r="187" spans="1:9" s="733" customFormat="1" ht="13.15" customHeight="1" x14ac:dyDescent="0.2">
      <c r="A187" s="638" t="s">
        <v>2018</v>
      </c>
      <c r="B187" s="1311" t="s">
        <v>2019</v>
      </c>
      <c r="C187" s="1311"/>
      <c r="D187" s="1311"/>
      <c r="E187" s="1311"/>
      <c r="F187" s="1311"/>
      <c r="G187" s="1311"/>
      <c r="H187" s="1311"/>
      <c r="I187" s="1311"/>
    </row>
    <row r="188" spans="1:9" s="733" customFormat="1" ht="13.15" customHeight="1" x14ac:dyDescent="0.2">
      <c r="A188" s="638" t="s">
        <v>2020</v>
      </c>
      <c r="B188" s="1311" t="s">
        <v>2021</v>
      </c>
      <c r="C188" s="1311"/>
      <c r="D188" s="1311"/>
      <c r="E188" s="1311"/>
      <c r="F188" s="1311"/>
      <c r="G188" s="1311"/>
      <c r="H188" s="1311"/>
      <c r="I188" s="1311"/>
    </row>
    <row r="189" spans="1:9" s="733" customFormat="1" x14ac:dyDescent="0.2">
      <c r="A189" s="638" t="s">
        <v>2011</v>
      </c>
      <c r="B189" s="1311" t="s">
        <v>1202</v>
      </c>
      <c r="C189" s="1311"/>
      <c r="D189" s="1311"/>
      <c r="E189" s="1311"/>
      <c r="F189" s="1311"/>
      <c r="G189" s="1311"/>
      <c r="H189" s="1311"/>
      <c r="I189" s="1311"/>
    </row>
    <row r="190" spans="1:9" s="733" customFormat="1" ht="13.15" customHeight="1" x14ac:dyDescent="0.2">
      <c r="A190" s="638" t="s">
        <v>1037</v>
      </c>
      <c r="B190" s="1311" t="s">
        <v>2523</v>
      </c>
      <c r="C190" s="1311"/>
      <c r="D190" s="1311"/>
      <c r="E190" s="1311"/>
      <c r="F190" s="1311"/>
      <c r="G190" s="1311"/>
      <c r="H190" s="1311"/>
      <c r="I190" s="1311"/>
    </row>
    <row r="191" spans="1:9" s="733" customFormat="1" ht="13.15" customHeight="1" x14ac:dyDescent="0.2">
      <c r="A191" s="638" t="s">
        <v>1997</v>
      </c>
      <c r="B191" s="1311" t="s">
        <v>1998</v>
      </c>
      <c r="C191" s="1311"/>
      <c r="D191" s="1311"/>
      <c r="E191" s="1311"/>
      <c r="F191" s="1311"/>
      <c r="G191" s="1311"/>
      <c r="H191" s="1311"/>
      <c r="I191" s="1311"/>
    </row>
    <row r="192" spans="1:9" s="733" customFormat="1" ht="13.15" customHeight="1" x14ac:dyDescent="0.2">
      <c r="A192" s="638" t="s">
        <v>2001</v>
      </c>
      <c r="B192" s="1311" t="s">
        <v>2002</v>
      </c>
      <c r="C192" s="1311"/>
      <c r="D192" s="1311"/>
      <c r="E192" s="1311"/>
      <c r="F192" s="1311"/>
      <c r="G192" s="1311"/>
      <c r="H192" s="1311"/>
      <c r="I192" s="1311"/>
    </row>
    <row r="193" spans="1:13" s="733" customFormat="1" ht="13.15" customHeight="1" x14ac:dyDescent="0.2">
      <c r="A193" s="1129" t="s">
        <v>613</v>
      </c>
      <c r="B193" s="1312" t="s">
        <v>2525</v>
      </c>
      <c r="C193" s="1312"/>
      <c r="D193" s="1312"/>
      <c r="E193" s="1312"/>
      <c r="F193" s="1312"/>
      <c r="G193" s="1312"/>
      <c r="H193" s="1312"/>
      <c r="I193" s="1312"/>
    </row>
    <row r="194" spans="1:13" s="653" customFormat="1" x14ac:dyDescent="0.2"/>
    <row r="195" spans="1:13" s="642" customFormat="1" x14ac:dyDescent="0.2">
      <c r="A195" s="639" t="s">
        <v>2033</v>
      </c>
      <c r="B195" s="1314" t="s">
        <v>2034</v>
      </c>
      <c r="C195" s="1314"/>
      <c r="D195" s="1314"/>
      <c r="E195" s="1314"/>
      <c r="F195" s="1314"/>
      <c r="G195" s="1314"/>
      <c r="H195" s="1314"/>
      <c r="I195" s="1314"/>
      <c r="J195" s="630"/>
      <c r="K195" s="630"/>
      <c r="L195" s="630"/>
      <c r="M195" s="630"/>
    </row>
    <row r="196" spans="1:13" s="1127" customFormat="1" x14ac:dyDescent="0.2">
      <c r="A196" s="1126" t="s">
        <v>17</v>
      </c>
      <c r="B196" s="1313" t="s">
        <v>78</v>
      </c>
      <c r="C196" s="1313"/>
      <c r="D196" s="1313"/>
      <c r="E196" s="1313"/>
      <c r="F196" s="1313"/>
      <c r="G196" s="1313"/>
      <c r="H196" s="1313"/>
      <c r="I196" s="1313"/>
    </row>
    <row r="197" spans="1:13" s="733" customFormat="1" ht="13.15" customHeight="1" x14ac:dyDescent="0.2">
      <c r="A197" s="638" t="s">
        <v>2014</v>
      </c>
      <c r="B197" s="1311" t="s">
        <v>2015</v>
      </c>
      <c r="C197" s="1311"/>
      <c r="D197" s="1311"/>
      <c r="E197" s="1311"/>
      <c r="F197" s="1311"/>
      <c r="G197" s="1311"/>
      <c r="H197" s="1311"/>
      <c r="I197" s="1311"/>
    </row>
    <row r="198" spans="1:13" s="733" customFormat="1" ht="13.15" customHeight="1" x14ac:dyDescent="0.2">
      <c r="A198" s="1129">
        <v>80</v>
      </c>
      <c r="B198" s="1312" t="s">
        <v>2524</v>
      </c>
      <c r="C198" s="1312"/>
      <c r="D198" s="1312"/>
      <c r="E198" s="1312"/>
      <c r="F198" s="1312"/>
      <c r="G198" s="1312"/>
      <c r="H198" s="1312"/>
      <c r="I198" s="1312"/>
    </row>
    <row r="199" spans="1:13" s="733" customFormat="1" ht="13.15" customHeight="1" x14ac:dyDescent="0.2">
      <c r="A199" s="638" t="s">
        <v>2412</v>
      </c>
      <c r="B199" s="1311" t="s">
        <v>2411</v>
      </c>
      <c r="C199" s="1311"/>
      <c r="D199" s="1311"/>
      <c r="E199" s="1311"/>
      <c r="F199" s="1311"/>
      <c r="G199" s="1311"/>
      <c r="H199" s="1311"/>
      <c r="I199" s="1311"/>
    </row>
    <row r="200" spans="1:13" s="733" customFormat="1" ht="13.15" customHeight="1" x14ac:dyDescent="0.2">
      <c r="A200" s="1128" t="s">
        <v>2682</v>
      </c>
      <c r="B200" s="1316" t="s">
        <v>2681</v>
      </c>
      <c r="C200" s="1316"/>
      <c r="D200" s="1316"/>
      <c r="E200" s="1316"/>
      <c r="F200" s="1316"/>
      <c r="G200" s="1316"/>
      <c r="H200" s="1316"/>
      <c r="I200" s="1316"/>
    </row>
    <row r="201" spans="1:13" s="733" customFormat="1" ht="13.15" customHeight="1" x14ac:dyDescent="0.2">
      <c r="A201" s="638" t="s">
        <v>1988</v>
      </c>
      <c r="B201" s="1311" t="s">
        <v>1989</v>
      </c>
      <c r="C201" s="1311"/>
      <c r="D201" s="1311"/>
      <c r="E201" s="1311"/>
      <c r="F201" s="1311"/>
      <c r="G201" s="1311"/>
      <c r="H201" s="1311"/>
      <c r="I201" s="1311"/>
    </row>
    <row r="202" spans="1:13" s="733" customFormat="1" ht="13.15" customHeight="1" x14ac:dyDescent="0.2">
      <c r="A202" s="638" t="s">
        <v>2016</v>
      </c>
      <c r="B202" s="1311" t="s">
        <v>2017</v>
      </c>
      <c r="C202" s="1311"/>
      <c r="D202" s="1311"/>
      <c r="E202" s="1311"/>
      <c r="F202" s="1311"/>
      <c r="G202" s="1311"/>
      <c r="H202" s="1311"/>
      <c r="I202" s="1311"/>
    </row>
    <row r="203" spans="1:13" s="733" customFormat="1" ht="13.15" customHeight="1" x14ac:dyDescent="0.2">
      <c r="A203" s="638" t="s">
        <v>1992</v>
      </c>
      <c r="B203" s="1311" t="s">
        <v>1993</v>
      </c>
      <c r="C203" s="1311"/>
      <c r="D203" s="1311"/>
      <c r="E203" s="1311"/>
      <c r="F203" s="1311"/>
      <c r="G203" s="1311"/>
      <c r="H203" s="1311"/>
      <c r="I203" s="1311"/>
    </row>
    <row r="204" spans="1:13" s="733" customFormat="1" x14ac:dyDescent="0.2">
      <c r="A204" s="638" t="s">
        <v>1994</v>
      </c>
      <c r="B204" s="1311" t="s">
        <v>1995</v>
      </c>
      <c r="C204" s="1311"/>
      <c r="D204" s="1311"/>
      <c r="E204" s="1311"/>
      <c r="F204" s="1311"/>
      <c r="G204" s="1311"/>
      <c r="H204" s="1311"/>
      <c r="I204" s="1311"/>
    </row>
    <row r="205" spans="1:13" s="733" customFormat="1" ht="13.15" customHeight="1" x14ac:dyDescent="0.2">
      <c r="A205" s="638" t="s">
        <v>344</v>
      </c>
      <c r="B205" s="1311" t="s">
        <v>1996</v>
      </c>
      <c r="C205" s="1311"/>
      <c r="D205" s="1311"/>
      <c r="E205" s="1311"/>
      <c r="F205" s="1311"/>
      <c r="G205" s="1311"/>
      <c r="H205" s="1311"/>
      <c r="I205" s="1311"/>
    </row>
    <row r="206" spans="1:13" s="733" customFormat="1" ht="13.15" customHeight="1" x14ac:dyDescent="0.2">
      <c r="A206" s="1128" t="s">
        <v>2760</v>
      </c>
      <c r="B206" s="1316" t="s">
        <v>2761</v>
      </c>
      <c r="C206" s="1316"/>
      <c r="D206" s="1316"/>
      <c r="E206" s="1316"/>
      <c r="F206" s="1316"/>
      <c r="G206" s="1316"/>
      <c r="H206" s="1316"/>
      <c r="I206" s="1316"/>
    </row>
    <row r="207" spans="1:13" s="733" customFormat="1" ht="13.15" customHeight="1" x14ac:dyDescent="0.2">
      <c r="A207" s="1129" t="s">
        <v>2400</v>
      </c>
      <c r="B207" s="1312" t="s">
        <v>2401</v>
      </c>
      <c r="C207" s="1312"/>
      <c r="D207" s="1312"/>
      <c r="E207" s="1312"/>
      <c r="F207" s="1312"/>
      <c r="G207" s="1312"/>
      <c r="H207" s="1312"/>
      <c r="I207" s="1312"/>
    </row>
    <row r="208" spans="1:13" s="733" customFormat="1" ht="13.15" customHeight="1" x14ac:dyDescent="0.2">
      <c r="A208" s="638" t="s">
        <v>2521</v>
      </c>
      <c r="B208" s="1311" t="s">
        <v>2522</v>
      </c>
      <c r="C208" s="1311"/>
      <c r="D208" s="1311"/>
      <c r="E208" s="1311"/>
      <c r="F208" s="1311"/>
      <c r="G208" s="1311"/>
      <c r="H208" s="1311"/>
      <c r="I208" s="1311"/>
    </row>
    <row r="209" spans="1:9" s="733" customFormat="1" ht="13.15" customHeight="1" x14ac:dyDescent="0.2">
      <c r="A209" s="1128" t="s">
        <v>2758</v>
      </c>
      <c r="B209" s="1316" t="s">
        <v>2759</v>
      </c>
      <c r="C209" s="1316"/>
      <c r="D209" s="1316"/>
      <c r="E209" s="1316"/>
      <c r="F209" s="1316"/>
      <c r="G209" s="1316"/>
      <c r="H209" s="1316"/>
      <c r="I209" s="1316"/>
    </row>
    <row r="210" spans="1:9" s="733" customFormat="1" ht="13.15" customHeight="1" x14ac:dyDescent="0.2">
      <c r="A210" s="638" t="s">
        <v>2022</v>
      </c>
      <c r="B210" s="1311" t="s">
        <v>2023</v>
      </c>
      <c r="C210" s="1311"/>
      <c r="D210" s="1311"/>
      <c r="E210" s="1311"/>
      <c r="F210" s="1311"/>
      <c r="G210" s="1311"/>
      <c r="H210" s="1311"/>
      <c r="I210" s="1311"/>
    </row>
    <row r="211" spans="1:9" s="733" customFormat="1" ht="13.15" customHeight="1" x14ac:dyDescent="0.2">
      <c r="A211" s="638" t="s">
        <v>2420</v>
      </c>
      <c r="B211" s="1311" t="s">
        <v>2419</v>
      </c>
      <c r="C211" s="1311"/>
      <c r="D211" s="1311"/>
      <c r="E211" s="1311"/>
      <c r="F211" s="1311"/>
      <c r="G211" s="1311"/>
      <c r="H211" s="1311"/>
      <c r="I211" s="1311"/>
    </row>
    <row r="212" spans="1:9" s="733" customFormat="1" ht="13.15" customHeight="1" x14ac:dyDescent="0.2">
      <c r="A212" s="638" t="s">
        <v>1999</v>
      </c>
      <c r="B212" s="1311" t="s">
        <v>2000</v>
      </c>
      <c r="C212" s="1311"/>
      <c r="D212" s="1311"/>
      <c r="E212" s="1311"/>
      <c r="F212" s="1311"/>
      <c r="G212" s="1311"/>
      <c r="H212" s="1311"/>
      <c r="I212" s="1311"/>
    </row>
    <row r="213" spans="1:9" s="733" customFormat="1" ht="13.15" customHeight="1" x14ac:dyDescent="0.2">
      <c r="A213" s="638" t="s">
        <v>2012</v>
      </c>
      <c r="B213" s="1311" t="s">
        <v>2013</v>
      </c>
      <c r="C213" s="1311"/>
      <c r="D213" s="1311"/>
      <c r="E213" s="1311"/>
      <c r="F213" s="1311"/>
      <c r="G213" s="1311"/>
      <c r="H213" s="1311"/>
      <c r="I213" s="1311"/>
    </row>
    <row r="214" spans="1:9" s="733" customFormat="1" ht="13.15" customHeight="1" x14ac:dyDescent="0.2">
      <c r="A214" s="638" t="s">
        <v>2526</v>
      </c>
      <c r="B214" s="1311" t="s">
        <v>2508</v>
      </c>
      <c r="C214" s="1311"/>
      <c r="D214" s="1311"/>
      <c r="E214" s="1311"/>
      <c r="F214" s="1311"/>
      <c r="G214" s="1311"/>
      <c r="H214" s="1311"/>
      <c r="I214" s="1311"/>
    </row>
    <row r="215" spans="1:9" s="733" customFormat="1" ht="13.15" customHeight="1" x14ac:dyDescent="0.2">
      <c r="A215" s="638" t="s">
        <v>2417</v>
      </c>
      <c r="B215" s="1311" t="s">
        <v>2418</v>
      </c>
      <c r="C215" s="1311"/>
      <c r="D215" s="1311"/>
      <c r="E215" s="1311"/>
      <c r="F215" s="1311"/>
      <c r="G215" s="1311"/>
      <c r="H215" s="1311"/>
      <c r="I215" s="1311"/>
    </row>
    <row r="216" spans="1:9" s="733" customFormat="1" ht="13.15" customHeight="1" x14ac:dyDescent="0.2">
      <c r="A216" s="638" t="s">
        <v>2009</v>
      </c>
      <c r="B216" s="1311" t="s">
        <v>2010</v>
      </c>
      <c r="C216" s="1311"/>
      <c r="D216" s="1311"/>
      <c r="E216" s="1311"/>
      <c r="F216" s="1311"/>
      <c r="G216" s="1311"/>
      <c r="H216" s="1311"/>
      <c r="I216" s="1311"/>
    </row>
    <row r="217" spans="1:9" s="733" customFormat="1" ht="13.15" customHeight="1" x14ac:dyDescent="0.2">
      <c r="A217" s="638" t="s">
        <v>2007</v>
      </c>
      <c r="B217" s="1311" t="s">
        <v>2008</v>
      </c>
      <c r="C217" s="1311"/>
      <c r="D217" s="1311"/>
      <c r="E217" s="1311"/>
      <c r="F217" s="1311"/>
      <c r="G217" s="1311"/>
      <c r="H217" s="1311"/>
      <c r="I217" s="1311"/>
    </row>
    <row r="218" spans="1:9" s="733" customFormat="1" ht="13.15" customHeight="1" x14ac:dyDescent="0.2">
      <c r="A218" s="638" t="s">
        <v>2004</v>
      </c>
      <c r="B218" s="1311" t="s">
        <v>2005</v>
      </c>
      <c r="C218" s="1311"/>
      <c r="D218" s="1311"/>
      <c r="E218" s="1311"/>
      <c r="F218" s="1311"/>
      <c r="G218" s="1311"/>
      <c r="H218" s="1311"/>
      <c r="I218" s="1311"/>
    </row>
    <row r="219" spans="1:9" s="733" customFormat="1" ht="13.15" customHeight="1" x14ac:dyDescent="0.2">
      <c r="A219" s="638" t="s">
        <v>1990</v>
      </c>
      <c r="B219" s="1311" t="s">
        <v>1991</v>
      </c>
      <c r="C219" s="1311"/>
      <c r="D219" s="1311"/>
      <c r="E219" s="1311"/>
      <c r="F219" s="1311"/>
      <c r="G219" s="1311"/>
      <c r="H219" s="1311"/>
      <c r="I219" s="1311"/>
    </row>
    <row r="220" spans="1:9" s="733" customFormat="1" ht="13.15" customHeight="1" x14ac:dyDescent="0.2">
      <c r="A220" s="638" t="s">
        <v>1986</v>
      </c>
      <c r="B220" s="1311" t="s">
        <v>1987</v>
      </c>
      <c r="C220" s="1311"/>
      <c r="D220" s="1311"/>
      <c r="E220" s="1311"/>
      <c r="F220" s="1311"/>
      <c r="G220" s="1311"/>
      <c r="H220" s="1311"/>
      <c r="I220" s="1311"/>
    </row>
    <row r="221" spans="1:9" s="733" customFormat="1" x14ac:dyDescent="0.2">
      <c r="A221" s="638" t="s">
        <v>2346</v>
      </c>
      <c r="B221" s="1311" t="s">
        <v>2006</v>
      </c>
      <c r="C221" s="1311"/>
      <c r="D221" s="1311"/>
      <c r="E221" s="1311"/>
      <c r="F221" s="1311"/>
      <c r="G221" s="1311"/>
      <c r="H221" s="1311"/>
      <c r="I221" s="1311"/>
    </row>
    <row r="222" spans="1:9" s="733" customFormat="1" x14ac:dyDescent="0.2">
      <c r="A222" s="638" t="s">
        <v>168</v>
      </c>
      <c r="B222" s="1311" t="s">
        <v>2003</v>
      </c>
      <c r="C222" s="1311"/>
      <c r="D222" s="1311"/>
      <c r="E222" s="1311"/>
      <c r="F222" s="1311"/>
      <c r="G222" s="1311"/>
      <c r="H222" s="1311"/>
      <c r="I222" s="1311"/>
    </row>
    <row r="223" spans="1:9" s="733" customFormat="1" ht="13.15" customHeight="1" x14ac:dyDescent="0.2">
      <c r="A223" s="638" t="s">
        <v>2018</v>
      </c>
      <c r="B223" s="1311" t="s">
        <v>2019</v>
      </c>
      <c r="C223" s="1311"/>
      <c r="D223" s="1311"/>
      <c r="E223" s="1311"/>
      <c r="F223" s="1311"/>
      <c r="G223" s="1311"/>
      <c r="H223" s="1311"/>
      <c r="I223" s="1311"/>
    </row>
    <row r="224" spans="1:9" s="733" customFormat="1" ht="13.15" customHeight="1" x14ac:dyDescent="0.2">
      <c r="A224" s="638" t="s">
        <v>2020</v>
      </c>
      <c r="B224" s="1311" t="s">
        <v>2021</v>
      </c>
      <c r="C224" s="1311"/>
      <c r="D224" s="1311"/>
      <c r="E224" s="1311"/>
      <c r="F224" s="1311"/>
      <c r="G224" s="1311"/>
      <c r="H224" s="1311"/>
      <c r="I224" s="1311"/>
    </row>
    <row r="225" spans="1:9" s="733" customFormat="1" x14ac:dyDescent="0.2">
      <c r="A225" s="638" t="s">
        <v>2011</v>
      </c>
      <c r="B225" s="1311" t="s">
        <v>1202</v>
      </c>
      <c r="C225" s="1311"/>
      <c r="D225" s="1311"/>
      <c r="E225" s="1311"/>
      <c r="F225" s="1311"/>
      <c r="G225" s="1311"/>
      <c r="H225" s="1311"/>
      <c r="I225" s="1311"/>
    </row>
    <row r="226" spans="1:9" s="733" customFormat="1" ht="13.15" customHeight="1" x14ac:dyDescent="0.2">
      <c r="A226" s="638" t="s">
        <v>1037</v>
      </c>
      <c r="B226" s="1311" t="s">
        <v>2523</v>
      </c>
      <c r="C226" s="1311"/>
      <c r="D226" s="1311"/>
      <c r="E226" s="1311"/>
      <c r="F226" s="1311"/>
      <c r="G226" s="1311"/>
      <c r="H226" s="1311"/>
      <c r="I226" s="1311"/>
    </row>
    <row r="227" spans="1:9" s="733" customFormat="1" ht="13.15" customHeight="1" x14ac:dyDescent="0.2">
      <c r="A227" s="638" t="s">
        <v>1997</v>
      </c>
      <c r="B227" s="1311" t="s">
        <v>1998</v>
      </c>
      <c r="C227" s="1311"/>
      <c r="D227" s="1311"/>
      <c r="E227" s="1311"/>
      <c r="F227" s="1311"/>
      <c r="G227" s="1311"/>
      <c r="H227" s="1311"/>
      <c r="I227" s="1311"/>
    </row>
    <row r="228" spans="1:9" s="733" customFormat="1" ht="13.15" customHeight="1" x14ac:dyDescent="0.2">
      <c r="A228" s="638" t="s">
        <v>2001</v>
      </c>
      <c r="B228" s="1311" t="s">
        <v>2002</v>
      </c>
      <c r="C228" s="1311"/>
      <c r="D228" s="1311"/>
      <c r="E228" s="1311"/>
      <c r="F228" s="1311"/>
      <c r="G228" s="1311"/>
      <c r="H228" s="1311"/>
      <c r="I228" s="1311"/>
    </row>
    <row r="229" spans="1:9" s="733" customFormat="1" ht="13.15" customHeight="1" x14ac:dyDescent="0.2">
      <c r="A229" s="1129" t="s">
        <v>613</v>
      </c>
      <c r="B229" s="1312" t="s">
        <v>2525</v>
      </c>
      <c r="C229" s="1312"/>
      <c r="D229" s="1312"/>
      <c r="E229" s="1312"/>
      <c r="F229" s="1312"/>
      <c r="G229" s="1312"/>
      <c r="H229" s="1312"/>
      <c r="I229" s="1312"/>
    </row>
    <row r="230" spans="1:9" s="653" customFormat="1" x14ac:dyDescent="0.2"/>
    <row r="231" spans="1:9" s="83" customFormat="1" x14ac:dyDescent="0.2">
      <c r="A231" s="317" t="s">
        <v>759</v>
      </c>
      <c r="B231" s="1314" t="s">
        <v>2024</v>
      </c>
      <c r="C231" s="1314"/>
      <c r="D231" s="1314"/>
      <c r="E231" s="1314"/>
      <c r="F231" s="1314"/>
      <c r="G231" s="1314"/>
      <c r="H231" s="1314"/>
      <c r="I231" s="1314"/>
    </row>
    <row r="232" spans="1:9" s="1127" customFormat="1" x14ac:dyDescent="0.2">
      <c r="A232" s="1126" t="s">
        <v>17</v>
      </c>
      <c r="B232" s="1313" t="s">
        <v>78</v>
      </c>
      <c r="C232" s="1313"/>
      <c r="D232" s="1313"/>
      <c r="E232" s="1313"/>
      <c r="F232" s="1313"/>
      <c r="G232" s="1313"/>
      <c r="H232" s="1313"/>
      <c r="I232" s="1313"/>
    </row>
    <row r="233" spans="1:9" s="733" customFormat="1" ht="13.15" customHeight="1" x14ac:dyDescent="0.2">
      <c r="A233" s="638" t="s">
        <v>2014</v>
      </c>
      <c r="B233" s="1311" t="s">
        <v>2015</v>
      </c>
      <c r="C233" s="1311"/>
      <c r="D233" s="1311"/>
      <c r="E233" s="1311"/>
      <c r="F233" s="1311"/>
      <c r="G233" s="1311"/>
      <c r="H233" s="1311"/>
      <c r="I233" s="1311"/>
    </row>
    <row r="234" spans="1:9" s="733" customFormat="1" ht="13.15" customHeight="1" x14ac:dyDescent="0.2">
      <c r="A234" s="1129">
        <v>80</v>
      </c>
      <c r="B234" s="1312" t="s">
        <v>2524</v>
      </c>
      <c r="C234" s="1312"/>
      <c r="D234" s="1312"/>
      <c r="E234" s="1312"/>
      <c r="F234" s="1312"/>
      <c r="G234" s="1312"/>
      <c r="H234" s="1312"/>
      <c r="I234" s="1312"/>
    </row>
    <row r="235" spans="1:9" s="733" customFormat="1" ht="13.15" customHeight="1" x14ac:dyDescent="0.2">
      <c r="A235" s="638" t="s">
        <v>2412</v>
      </c>
      <c r="B235" s="1311" t="s">
        <v>2411</v>
      </c>
      <c r="C235" s="1311"/>
      <c r="D235" s="1311"/>
      <c r="E235" s="1311"/>
      <c r="F235" s="1311"/>
      <c r="G235" s="1311"/>
      <c r="H235" s="1311"/>
      <c r="I235" s="1311"/>
    </row>
    <row r="236" spans="1:9" s="733" customFormat="1" ht="13.15" customHeight="1" x14ac:dyDescent="0.2">
      <c r="A236" s="1128" t="s">
        <v>2682</v>
      </c>
      <c r="B236" s="1316" t="s">
        <v>2681</v>
      </c>
      <c r="C236" s="1316"/>
      <c r="D236" s="1316"/>
      <c r="E236" s="1316"/>
      <c r="F236" s="1316"/>
      <c r="G236" s="1316"/>
      <c r="H236" s="1316"/>
      <c r="I236" s="1316"/>
    </row>
    <row r="237" spans="1:9" s="733" customFormat="1" ht="13.15" customHeight="1" x14ac:dyDescent="0.2">
      <c r="A237" s="638" t="s">
        <v>1988</v>
      </c>
      <c r="B237" s="1311" t="s">
        <v>1989</v>
      </c>
      <c r="C237" s="1311"/>
      <c r="D237" s="1311"/>
      <c r="E237" s="1311"/>
      <c r="F237" s="1311"/>
      <c r="G237" s="1311"/>
      <c r="H237" s="1311"/>
      <c r="I237" s="1311"/>
    </row>
    <row r="238" spans="1:9" s="733" customFormat="1" ht="13.15" customHeight="1" x14ac:dyDescent="0.2">
      <c r="A238" s="638" t="s">
        <v>2016</v>
      </c>
      <c r="B238" s="1311" t="s">
        <v>2017</v>
      </c>
      <c r="C238" s="1311"/>
      <c r="D238" s="1311"/>
      <c r="E238" s="1311"/>
      <c r="F238" s="1311"/>
      <c r="G238" s="1311"/>
      <c r="H238" s="1311"/>
      <c r="I238" s="1311"/>
    </row>
    <row r="239" spans="1:9" s="733" customFormat="1" ht="13.15" customHeight="1" x14ac:dyDescent="0.2">
      <c r="A239" s="638" t="s">
        <v>1992</v>
      </c>
      <c r="B239" s="1311" t="s">
        <v>1993</v>
      </c>
      <c r="C239" s="1311"/>
      <c r="D239" s="1311"/>
      <c r="E239" s="1311"/>
      <c r="F239" s="1311"/>
      <c r="G239" s="1311"/>
      <c r="H239" s="1311"/>
      <c r="I239" s="1311"/>
    </row>
    <row r="240" spans="1:9" s="733" customFormat="1" x14ac:dyDescent="0.2">
      <c r="A240" s="638" t="s">
        <v>1994</v>
      </c>
      <c r="B240" s="1311" t="s">
        <v>1995</v>
      </c>
      <c r="C240" s="1311"/>
      <c r="D240" s="1311"/>
      <c r="E240" s="1311"/>
      <c r="F240" s="1311"/>
      <c r="G240" s="1311"/>
      <c r="H240" s="1311"/>
      <c r="I240" s="1311"/>
    </row>
    <row r="241" spans="1:9" s="733" customFormat="1" ht="13.15" customHeight="1" x14ac:dyDescent="0.2">
      <c r="A241" s="638" t="s">
        <v>344</v>
      </c>
      <c r="B241" s="1311" t="s">
        <v>1996</v>
      </c>
      <c r="C241" s="1311"/>
      <c r="D241" s="1311"/>
      <c r="E241" s="1311"/>
      <c r="F241" s="1311"/>
      <c r="G241" s="1311"/>
      <c r="H241" s="1311"/>
      <c r="I241" s="1311"/>
    </row>
    <row r="242" spans="1:9" s="733" customFormat="1" ht="13.15" customHeight="1" x14ac:dyDescent="0.2">
      <c r="A242" s="1128" t="s">
        <v>2760</v>
      </c>
      <c r="B242" s="1316" t="s">
        <v>2761</v>
      </c>
      <c r="C242" s="1316"/>
      <c r="D242" s="1316"/>
      <c r="E242" s="1316"/>
      <c r="F242" s="1316"/>
      <c r="G242" s="1316"/>
      <c r="H242" s="1316"/>
      <c r="I242" s="1316"/>
    </row>
    <row r="243" spans="1:9" s="733" customFormat="1" ht="13.15" customHeight="1" x14ac:dyDescent="0.2">
      <c r="A243" s="1129" t="s">
        <v>2400</v>
      </c>
      <c r="B243" s="1312" t="s">
        <v>2401</v>
      </c>
      <c r="C243" s="1312"/>
      <c r="D243" s="1312"/>
      <c r="E243" s="1312"/>
      <c r="F243" s="1312"/>
      <c r="G243" s="1312"/>
      <c r="H243" s="1312"/>
      <c r="I243" s="1312"/>
    </row>
    <row r="244" spans="1:9" s="733" customFormat="1" ht="13.15" customHeight="1" x14ac:dyDescent="0.2">
      <c r="A244" s="638" t="s">
        <v>2521</v>
      </c>
      <c r="B244" s="1311" t="s">
        <v>2522</v>
      </c>
      <c r="C244" s="1311"/>
      <c r="D244" s="1311"/>
      <c r="E244" s="1311"/>
      <c r="F244" s="1311"/>
      <c r="G244" s="1311"/>
      <c r="H244" s="1311"/>
      <c r="I244" s="1311"/>
    </row>
    <row r="245" spans="1:9" s="733" customFormat="1" ht="13.15" customHeight="1" x14ac:dyDescent="0.2">
      <c r="A245" s="1128" t="s">
        <v>2758</v>
      </c>
      <c r="B245" s="1316" t="s">
        <v>2759</v>
      </c>
      <c r="C245" s="1316"/>
      <c r="D245" s="1316"/>
      <c r="E245" s="1316"/>
      <c r="F245" s="1316"/>
      <c r="G245" s="1316"/>
      <c r="H245" s="1316"/>
      <c r="I245" s="1316"/>
    </row>
    <row r="246" spans="1:9" s="733" customFormat="1" ht="13.15" customHeight="1" x14ac:dyDescent="0.2">
      <c r="A246" s="638" t="s">
        <v>2022</v>
      </c>
      <c r="B246" s="1311" t="s">
        <v>2023</v>
      </c>
      <c r="C246" s="1311"/>
      <c r="D246" s="1311"/>
      <c r="E246" s="1311"/>
      <c r="F246" s="1311"/>
      <c r="G246" s="1311"/>
      <c r="H246" s="1311"/>
      <c r="I246" s="1311"/>
    </row>
    <row r="247" spans="1:9" s="733" customFormat="1" ht="13.15" customHeight="1" x14ac:dyDescent="0.2">
      <c r="A247" s="638" t="s">
        <v>2420</v>
      </c>
      <c r="B247" s="1311" t="s">
        <v>2419</v>
      </c>
      <c r="C247" s="1311"/>
      <c r="D247" s="1311"/>
      <c r="E247" s="1311"/>
      <c r="F247" s="1311"/>
      <c r="G247" s="1311"/>
      <c r="H247" s="1311"/>
      <c r="I247" s="1311"/>
    </row>
    <row r="248" spans="1:9" s="733" customFormat="1" ht="13.15" customHeight="1" x14ac:dyDescent="0.2">
      <c r="A248" s="638" t="s">
        <v>1999</v>
      </c>
      <c r="B248" s="1311" t="s">
        <v>2000</v>
      </c>
      <c r="C248" s="1311"/>
      <c r="D248" s="1311"/>
      <c r="E248" s="1311"/>
      <c r="F248" s="1311"/>
      <c r="G248" s="1311"/>
      <c r="H248" s="1311"/>
      <c r="I248" s="1311"/>
    </row>
    <row r="249" spans="1:9" s="733" customFormat="1" ht="13.15" customHeight="1" x14ac:dyDescent="0.2">
      <c r="A249" s="638" t="s">
        <v>2012</v>
      </c>
      <c r="B249" s="1311" t="s">
        <v>2013</v>
      </c>
      <c r="C249" s="1311"/>
      <c r="D249" s="1311"/>
      <c r="E249" s="1311"/>
      <c r="F249" s="1311"/>
      <c r="G249" s="1311"/>
      <c r="H249" s="1311"/>
      <c r="I249" s="1311"/>
    </row>
    <row r="250" spans="1:9" s="733" customFormat="1" ht="13.15" customHeight="1" x14ac:dyDescent="0.2">
      <c r="A250" s="638" t="s">
        <v>2526</v>
      </c>
      <c r="B250" s="1311" t="s">
        <v>2508</v>
      </c>
      <c r="C250" s="1311"/>
      <c r="D250" s="1311"/>
      <c r="E250" s="1311"/>
      <c r="F250" s="1311"/>
      <c r="G250" s="1311"/>
      <c r="H250" s="1311"/>
      <c r="I250" s="1311"/>
    </row>
    <row r="251" spans="1:9" s="733" customFormat="1" ht="13.15" customHeight="1" x14ac:dyDescent="0.2">
      <c r="A251" s="638" t="s">
        <v>2417</v>
      </c>
      <c r="B251" s="1311" t="s">
        <v>2418</v>
      </c>
      <c r="C251" s="1311"/>
      <c r="D251" s="1311"/>
      <c r="E251" s="1311"/>
      <c r="F251" s="1311"/>
      <c r="G251" s="1311"/>
      <c r="H251" s="1311"/>
      <c r="I251" s="1311"/>
    </row>
    <row r="252" spans="1:9" s="733" customFormat="1" ht="13.15" customHeight="1" x14ac:dyDescent="0.2">
      <c r="A252" s="638" t="s">
        <v>2009</v>
      </c>
      <c r="B252" s="1311" t="s">
        <v>2010</v>
      </c>
      <c r="C252" s="1311"/>
      <c r="D252" s="1311"/>
      <c r="E252" s="1311"/>
      <c r="F252" s="1311"/>
      <c r="G252" s="1311"/>
      <c r="H252" s="1311"/>
      <c r="I252" s="1311"/>
    </row>
    <row r="253" spans="1:9" s="733" customFormat="1" ht="13.15" customHeight="1" x14ac:dyDescent="0.2">
      <c r="A253" s="638" t="s">
        <v>2007</v>
      </c>
      <c r="B253" s="1311" t="s">
        <v>2008</v>
      </c>
      <c r="C253" s="1311"/>
      <c r="D253" s="1311"/>
      <c r="E253" s="1311"/>
      <c r="F253" s="1311"/>
      <c r="G253" s="1311"/>
      <c r="H253" s="1311"/>
      <c r="I253" s="1311"/>
    </row>
    <row r="254" spans="1:9" s="733" customFormat="1" ht="13.15" customHeight="1" x14ac:dyDescent="0.2">
      <c r="A254" s="638" t="s">
        <v>2004</v>
      </c>
      <c r="B254" s="1311" t="s">
        <v>2005</v>
      </c>
      <c r="C254" s="1311"/>
      <c r="D254" s="1311"/>
      <c r="E254" s="1311"/>
      <c r="F254" s="1311"/>
      <c r="G254" s="1311"/>
      <c r="H254" s="1311"/>
      <c r="I254" s="1311"/>
    </row>
    <row r="255" spans="1:9" s="733" customFormat="1" ht="13.15" customHeight="1" x14ac:dyDescent="0.2">
      <c r="A255" s="638" t="s">
        <v>1990</v>
      </c>
      <c r="B255" s="1311" t="s">
        <v>1991</v>
      </c>
      <c r="C255" s="1311"/>
      <c r="D255" s="1311"/>
      <c r="E255" s="1311"/>
      <c r="F255" s="1311"/>
      <c r="G255" s="1311"/>
      <c r="H255" s="1311"/>
      <c r="I255" s="1311"/>
    </row>
    <row r="256" spans="1:9" s="733" customFormat="1" ht="13.15" customHeight="1" x14ac:dyDescent="0.2">
      <c r="A256" s="638" t="s">
        <v>1986</v>
      </c>
      <c r="B256" s="1311" t="s">
        <v>1987</v>
      </c>
      <c r="C256" s="1311"/>
      <c r="D256" s="1311"/>
      <c r="E256" s="1311"/>
      <c r="F256" s="1311"/>
      <c r="G256" s="1311"/>
      <c r="H256" s="1311"/>
      <c r="I256" s="1311"/>
    </row>
    <row r="257" spans="1:9" s="733" customFormat="1" x14ac:dyDescent="0.2">
      <c r="A257" s="638" t="s">
        <v>2346</v>
      </c>
      <c r="B257" s="1311" t="s">
        <v>2006</v>
      </c>
      <c r="C257" s="1311"/>
      <c r="D257" s="1311"/>
      <c r="E257" s="1311"/>
      <c r="F257" s="1311"/>
      <c r="G257" s="1311"/>
      <c r="H257" s="1311"/>
      <c r="I257" s="1311"/>
    </row>
    <row r="258" spans="1:9" s="733" customFormat="1" x14ac:dyDescent="0.2">
      <c r="A258" s="638" t="s">
        <v>168</v>
      </c>
      <c r="B258" s="1311" t="s">
        <v>2003</v>
      </c>
      <c r="C258" s="1311"/>
      <c r="D258" s="1311"/>
      <c r="E258" s="1311"/>
      <c r="F258" s="1311"/>
      <c r="G258" s="1311"/>
      <c r="H258" s="1311"/>
      <c r="I258" s="1311"/>
    </row>
    <row r="259" spans="1:9" s="733" customFormat="1" ht="13.15" customHeight="1" x14ac:dyDescent="0.2">
      <c r="A259" s="638" t="s">
        <v>2018</v>
      </c>
      <c r="B259" s="1311" t="s">
        <v>2019</v>
      </c>
      <c r="C259" s="1311"/>
      <c r="D259" s="1311"/>
      <c r="E259" s="1311"/>
      <c r="F259" s="1311"/>
      <c r="G259" s="1311"/>
      <c r="H259" s="1311"/>
      <c r="I259" s="1311"/>
    </row>
    <row r="260" spans="1:9" s="733" customFormat="1" ht="13.15" customHeight="1" x14ac:dyDescent="0.2">
      <c r="A260" s="638" t="s">
        <v>2020</v>
      </c>
      <c r="B260" s="1311" t="s">
        <v>2021</v>
      </c>
      <c r="C260" s="1311"/>
      <c r="D260" s="1311"/>
      <c r="E260" s="1311"/>
      <c r="F260" s="1311"/>
      <c r="G260" s="1311"/>
      <c r="H260" s="1311"/>
      <c r="I260" s="1311"/>
    </row>
    <row r="261" spans="1:9" s="733" customFormat="1" x14ac:dyDescent="0.2">
      <c r="A261" s="638" t="s">
        <v>2011</v>
      </c>
      <c r="B261" s="1311" t="s">
        <v>1202</v>
      </c>
      <c r="C261" s="1311"/>
      <c r="D261" s="1311"/>
      <c r="E261" s="1311"/>
      <c r="F261" s="1311"/>
      <c r="G261" s="1311"/>
      <c r="H261" s="1311"/>
      <c r="I261" s="1311"/>
    </row>
    <row r="262" spans="1:9" s="733" customFormat="1" ht="13.15" customHeight="1" x14ac:dyDescent="0.2">
      <c r="A262" s="638" t="s">
        <v>1037</v>
      </c>
      <c r="B262" s="1311" t="s">
        <v>2523</v>
      </c>
      <c r="C262" s="1311"/>
      <c r="D262" s="1311"/>
      <c r="E262" s="1311"/>
      <c r="F262" s="1311"/>
      <c r="G262" s="1311"/>
      <c r="H262" s="1311"/>
      <c r="I262" s="1311"/>
    </row>
    <row r="263" spans="1:9" s="733" customFormat="1" ht="13.15" customHeight="1" x14ac:dyDescent="0.2">
      <c r="A263" s="638" t="s">
        <v>1997</v>
      </c>
      <c r="B263" s="1311" t="s">
        <v>1998</v>
      </c>
      <c r="C263" s="1311"/>
      <c r="D263" s="1311"/>
      <c r="E263" s="1311"/>
      <c r="F263" s="1311"/>
      <c r="G263" s="1311"/>
      <c r="H263" s="1311"/>
      <c r="I263" s="1311"/>
    </row>
    <row r="264" spans="1:9" s="733" customFormat="1" ht="13.15" customHeight="1" x14ac:dyDescent="0.2">
      <c r="A264" s="638" t="s">
        <v>2001</v>
      </c>
      <c r="B264" s="1311" t="s">
        <v>2002</v>
      </c>
      <c r="C264" s="1311"/>
      <c r="D264" s="1311"/>
      <c r="E264" s="1311"/>
      <c r="F264" s="1311"/>
      <c r="G264" s="1311"/>
      <c r="H264" s="1311"/>
      <c r="I264" s="1311"/>
    </row>
    <row r="265" spans="1:9" s="733" customFormat="1" ht="13.15" customHeight="1" x14ac:dyDescent="0.2">
      <c r="A265" s="1129" t="s">
        <v>613</v>
      </c>
      <c r="B265" s="1312" t="s">
        <v>2525</v>
      </c>
      <c r="C265" s="1312"/>
      <c r="D265" s="1312"/>
      <c r="E265" s="1312"/>
      <c r="F265" s="1312"/>
      <c r="G265" s="1312"/>
      <c r="H265" s="1312"/>
      <c r="I265" s="1312"/>
    </row>
    <row r="266" spans="1:9" s="653" customFormat="1" x14ac:dyDescent="0.2"/>
    <row r="267" spans="1:9" s="630" customFormat="1" ht="12.75" customHeight="1" x14ac:dyDescent="0.2">
      <c r="A267" s="639" t="s">
        <v>2025</v>
      </c>
      <c r="B267" s="1315" t="s">
        <v>2026</v>
      </c>
      <c r="C267" s="1315"/>
      <c r="D267" s="1315"/>
      <c r="E267" s="1315"/>
      <c r="F267" s="1315"/>
      <c r="G267" s="1315"/>
      <c r="H267" s="1315"/>
      <c r="I267" s="1315"/>
    </row>
    <row r="268" spans="1:9" s="1127" customFormat="1" x14ac:dyDescent="0.2">
      <c r="A268" s="1126" t="s">
        <v>17</v>
      </c>
      <c r="B268" s="1313" t="s">
        <v>78</v>
      </c>
      <c r="C268" s="1313"/>
      <c r="D268" s="1313"/>
      <c r="E268" s="1313"/>
      <c r="F268" s="1313"/>
      <c r="G268" s="1313"/>
      <c r="H268" s="1313"/>
      <c r="I268" s="1313"/>
    </row>
    <row r="269" spans="1:9" s="733" customFormat="1" ht="13.15" customHeight="1" x14ac:dyDescent="0.2">
      <c r="A269" s="638" t="s">
        <v>2014</v>
      </c>
      <c r="B269" s="1311" t="s">
        <v>2015</v>
      </c>
      <c r="C269" s="1311"/>
      <c r="D269" s="1311"/>
      <c r="E269" s="1311"/>
      <c r="F269" s="1311"/>
      <c r="G269" s="1311"/>
      <c r="H269" s="1311"/>
      <c r="I269" s="1311"/>
    </row>
    <row r="270" spans="1:9" s="733" customFormat="1" ht="13.15" customHeight="1" x14ac:dyDescent="0.2">
      <c r="A270" s="1129">
        <v>80</v>
      </c>
      <c r="B270" s="1312" t="s">
        <v>2524</v>
      </c>
      <c r="C270" s="1312"/>
      <c r="D270" s="1312"/>
      <c r="E270" s="1312"/>
      <c r="F270" s="1312"/>
      <c r="G270" s="1312"/>
      <c r="H270" s="1312"/>
      <c r="I270" s="1312"/>
    </row>
    <row r="271" spans="1:9" s="733" customFormat="1" ht="13.15" customHeight="1" x14ac:dyDescent="0.2">
      <c r="A271" s="638" t="s">
        <v>2412</v>
      </c>
      <c r="B271" s="1311" t="s">
        <v>2411</v>
      </c>
      <c r="C271" s="1311"/>
      <c r="D271" s="1311"/>
      <c r="E271" s="1311"/>
      <c r="F271" s="1311"/>
      <c r="G271" s="1311"/>
      <c r="H271" s="1311"/>
      <c r="I271" s="1311"/>
    </row>
    <row r="272" spans="1:9" s="733" customFormat="1" ht="13.15" customHeight="1" x14ac:dyDescent="0.2">
      <c r="A272" s="1128" t="s">
        <v>2682</v>
      </c>
      <c r="B272" s="1316" t="s">
        <v>2681</v>
      </c>
      <c r="C272" s="1316"/>
      <c r="D272" s="1316"/>
      <c r="E272" s="1316"/>
      <c r="F272" s="1316"/>
      <c r="G272" s="1316"/>
      <c r="H272" s="1316"/>
      <c r="I272" s="1316"/>
    </row>
    <row r="273" spans="1:9" s="733" customFormat="1" ht="13.15" customHeight="1" x14ac:dyDescent="0.2">
      <c r="A273" s="638" t="s">
        <v>1988</v>
      </c>
      <c r="B273" s="1311" t="s">
        <v>1989</v>
      </c>
      <c r="C273" s="1311"/>
      <c r="D273" s="1311"/>
      <c r="E273" s="1311"/>
      <c r="F273" s="1311"/>
      <c r="G273" s="1311"/>
      <c r="H273" s="1311"/>
      <c r="I273" s="1311"/>
    </row>
    <row r="274" spans="1:9" s="733" customFormat="1" ht="13.15" customHeight="1" x14ac:dyDescent="0.2">
      <c r="A274" s="638" t="s">
        <v>2016</v>
      </c>
      <c r="B274" s="1311" t="s">
        <v>2017</v>
      </c>
      <c r="C274" s="1311"/>
      <c r="D274" s="1311"/>
      <c r="E274" s="1311"/>
      <c r="F274" s="1311"/>
      <c r="G274" s="1311"/>
      <c r="H274" s="1311"/>
      <c r="I274" s="1311"/>
    </row>
    <row r="275" spans="1:9" s="733" customFormat="1" ht="13.15" customHeight="1" x14ac:dyDescent="0.2">
      <c r="A275" s="638" t="s">
        <v>1992</v>
      </c>
      <c r="B275" s="1311" t="s">
        <v>1993</v>
      </c>
      <c r="C275" s="1311"/>
      <c r="D275" s="1311"/>
      <c r="E275" s="1311"/>
      <c r="F275" s="1311"/>
      <c r="G275" s="1311"/>
      <c r="H275" s="1311"/>
      <c r="I275" s="1311"/>
    </row>
    <row r="276" spans="1:9" s="733" customFormat="1" x14ac:dyDescent="0.2">
      <c r="A276" s="638" t="s">
        <v>1994</v>
      </c>
      <c r="B276" s="1311" t="s">
        <v>1995</v>
      </c>
      <c r="C276" s="1311"/>
      <c r="D276" s="1311"/>
      <c r="E276" s="1311"/>
      <c r="F276" s="1311"/>
      <c r="G276" s="1311"/>
      <c r="H276" s="1311"/>
      <c r="I276" s="1311"/>
    </row>
    <row r="277" spans="1:9" s="733" customFormat="1" ht="13.15" customHeight="1" x14ac:dyDescent="0.2">
      <c r="A277" s="638" t="s">
        <v>344</v>
      </c>
      <c r="B277" s="1311" t="s">
        <v>1996</v>
      </c>
      <c r="C277" s="1311"/>
      <c r="D277" s="1311"/>
      <c r="E277" s="1311"/>
      <c r="F277" s="1311"/>
      <c r="G277" s="1311"/>
      <c r="H277" s="1311"/>
      <c r="I277" s="1311"/>
    </row>
    <row r="278" spans="1:9" s="733" customFormat="1" ht="13.15" customHeight="1" x14ac:dyDescent="0.2">
      <c r="A278" s="1128" t="s">
        <v>2760</v>
      </c>
      <c r="B278" s="1316" t="s">
        <v>2761</v>
      </c>
      <c r="C278" s="1316"/>
      <c r="D278" s="1316"/>
      <c r="E278" s="1316"/>
      <c r="F278" s="1316"/>
      <c r="G278" s="1316"/>
      <c r="H278" s="1316"/>
      <c r="I278" s="1316"/>
    </row>
    <row r="279" spans="1:9" s="733" customFormat="1" ht="13.15" customHeight="1" x14ac:dyDescent="0.2">
      <c r="A279" s="1129" t="s">
        <v>2400</v>
      </c>
      <c r="B279" s="1312" t="s">
        <v>2401</v>
      </c>
      <c r="C279" s="1312"/>
      <c r="D279" s="1312"/>
      <c r="E279" s="1312"/>
      <c r="F279" s="1312"/>
      <c r="G279" s="1312"/>
      <c r="H279" s="1312"/>
      <c r="I279" s="1312"/>
    </row>
    <row r="280" spans="1:9" s="733" customFormat="1" ht="13.15" customHeight="1" x14ac:dyDescent="0.2">
      <c r="A280" s="638" t="s">
        <v>2521</v>
      </c>
      <c r="B280" s="1311" t="s">
        <v>2522</v>
      </c>
      <c r="C280" s="1311"/>
      <c r="D280" s="1311"/>
      <c r="E280" s="1311"/>
      <c r="F280" s="1311"/>
      <c r="G280" s="1311"/>
      <c r="H280" s="1311"/>
      <c r="I280" s="1311"/>
    </row>
    <row r="281" spans="1:9" s="733" customFormat="1" ht="13.15" customHeight="1" x14ac:dyDescent="0.2">
      <c r="A281" s="1128" t="s">
        <v>2758</v>
      </c>
      <c r="B281" s="1316" t="s">
        <v>2759</v>
      </c>
      <c r="C281" s="1316"/>
      <c r="D281" s="1316"/>
      <c r="E281" s="1316"/>
      <c r="F281" s="1316"/>
      <c r="G281" s="1316"/>
      <c r="H281" s="1316"/>
      <c r="I281" s="1316"/>
    </row>
    <row r="282" spans="1:9" s="733" customFormat="1" ht="13.15" customHeight="1" x14ac:dyDescent="0.2">
      <c r="A282" s="638" t="s">
        <v>2022</v>
      </c>
      <c r="B282" s="1311" t="s">
        <v>2023</v>
      </c>
      <c r="C282" s="1311"/>
      <c r="D282" s="1311"/>
      <c r="E282" s="1311"/>
      <c r="F282" s="1311"/>
      <c r="G282" s="1311"/>
      <c r="H282" s="1311"/>
      <c r="I282" s="1311"/>
    </row>
    <row r="283" spans="1:9" s="733" customFormat="1" ht="13.15" customHeight="1" x14ac:dyDescent="0.2">
      <c r="A283" s="638" t="s">
        <v>2420</v>
      </c>
      <c r="B283" s="1311" t="s">
        <v>2419</v>
      </c>
      <c r="C283" s="1311"/>
      <c r="D283" s="1311"/>
      <c r="E283" s="1311"/>
      <c r="F283" s="1311"/>
      <c r="G283" s="1311"/>
      <c r="H283" s="1311"/>
      <c r="I283" s="1311"/>
    </row>
    <row r="284" spans="1:9" s="733" customFormat="1" ht="13.15" customHeight="1" x14ac:dyDescent="0.2">
      <c r="A284" s="638" t="s">
        <v>1999</v>
      </c>
      <c r="B284" s="1311" t="s">
        <v>2000</v>
      </c>
      <c r="C284" s="1311"/>
      <c r="D284" s="1311"/>
      <c r="E284" s="1311"/>
      <c r="F284" s="1311"/>
      <c r="G284" s="1311"/>
      <c r="H284" s="1311"/>
      <c r="I284" s="1311"/>
    </row>
    <row r="285" spans="1:9" s="733" customFormat="1" ht="13.15" customHeight="1" x14ac:dyDescent="0.2">
      <c r="A285" s="638" t="s">
        <v>2012</v>
      </c>
      <c r="B285" s="1311" t="s">
        <v>2013</v>
      </c>
      <c r="C285" s="1311"/>
      <c r="D285" s="1311"/>
      <c r="E285" s="1311"/>
      <c r="F285" s="1311"/>
      <c r="G285" s="1311"/>
      <c r="H285" s="1311"/>
      <c r="I285" s="1311"/>
    </row>
    <row r="286" spans="1:9" s="733" customFormat="1" ht="13.15" customHeight="1" x14ac:dyDescent="0.2">
      <c r="A286" s="638" t="s">
        <v>2526</v>
      </c>
      <c r="B286" s="1311" t="s">
        <v>2508</v>
      </c>
      <c r="C286" s="1311"/>
      <c r="D286" s="1311"/>
      <c r="E286" s="1311"/>
      <c r="F286" s="1311"/>
      <c r="G286" s="1311"/>
      <c r="H286" s="1311"/>
      <c r="I286" s="1311"/>
    </row>
    <row r="287" spans="1:9" s="733" customFormat="1" ht="13.15" customHeight="1" x14ac:dyDescent="0.2">
      <c r="A287" s="638" t="s">
        <v>2417</v>
      </c>
      <c r="B287" s="1311" t="s">
        <v>2418</v>
      </c>
      <c r="C287" s="1311"/>
      <c r="D287" s="1311"/>
      <c r="E287" s="1311"/>
      <c r="F287" s="1311"/>
      <c r="G287" s="1311"/>
      <c r="H287" s="1311"/>
      <c r="I287" s="1311"/>
    </row>
    <row r="288" spans="1:9" s="733" customFormat="1" ht="13.15" customHeight="1" x14ac:dyDescent="0.2">
      <c r="A288" s="638" t="s">
        <v>2009</v>
      </c>
      <c r="B288" s="1311" t="s">
        <v>2010</v>
      </c>
      <c r="C288" s="1311"/>
      <c r="D288" s="1311"/>
      <c r="E288" s="1311"/>
      <c r="F288" s="1311"/>
      <c r="G288" s="1311"/>
      <c r="H288" s="1311"/>
      <c r="I288" s="1311"/>
    </row>
    <row r="289" spans="1:9" s="733" customFormat="1" ht="13.15" customHeight="1" x14ac:dyDescent="0.2">
      <c r="A289" s="638" t="s">
        <v>2007</v>
      </c>
      <c r="B289" s="1311" t="s">
        <v>2008</v>
      </c>
      <c r="C289" s="1311"/>
      <c r="D289" s="1311"/>
      <c r="E289" s="1311"/>
      <c r="F289" s="1311"/>
      <c r="G289" s="1311"/>
      <c r="H289" s="1311"/>
      <c r="I289" s="1311"/>
    </row>
    <row r="290" spans="1:9" s="733" customFormat="1" ht="13.15" customHeight="1" x14ac:dyDescent="0.2">
      <c r="A290" s="638" t="s">
        <v>2004</v>
      </c>
      <c r="B290" s="1311" t="s">
        <v>2005</v>
      </c>
      <c r="C290" s="1311"/>
      <c r="D290" s="1311"/>
      <c r="E290" s="1311"/>
      <c r="F290" s="1311"/>
      <c r="G290" s="1311"/>
      <c r="H290" s="1311"/>
      <c r="I290" s="1311"/>
    </row>
    <row r="291" spans="1:9" s="733" customFormat="1" ht="13.15" customHeight="1" x14ac:dyDescent="0.2">
      <c r="A291" s="638" t="s">
        <v>1990</v>
      </c>
      <c r="B291" s="1311" t="s">
        <v>1991</v>
      </c>
      <c r="C291" s="1311"/>
      <c r="D291" s="1311"/>
      <c r="E291" s="1311"/>
      <c r="F291" s="1311"/>
      <c r="G291" s="1311"/>
      <c r="H291" s="1311"/>
      <c r="I291" s="1311"/>
    </row>
    <row r="292" spans="1:9" s="733" customFormat="1" ht="13.15" customHeight="1" x14ac:dyDescent="0.2">
      <c r="A292" s="638" t="s">
        <v>1986</v>
      </c>
      <c r="B292" s="1311" t="s">
        <v>1987</v>
      </c>
      <c r="C292" s="1311"/>
      <c r="D292" s="1311"/>
      <c r="E292" s="1311"/>
      <c r="F292" s="1311"/>
      <c r="G292" s="1311"/>
      <c r="H292" s="1311"/>
      <c r="I292" s="1311"/>
    </row>
    <row r="293" spans="1:9" s="733" customFormat="1" x14ac:dyDescent="0.2">
      <c r="A293" s="638" t="s">
        <v>2346</v>
      </c>
      <c r="B293" s="1311" t="s">
        <v>2006</v>
      </c>
      <c r="C293" s="1311"/>
      <c r="D293" s="1311"/>
      <c r="E293" s="1311"/>
      <c r="F293" s="1311"/>
      <c r="G293" s="1311"/>
      <c r="H293" s="1311"/>
      <c r="I293" s="1311"/>
    </row>
    <row r="294" spans="1:9" s="733" customFormat="1" x14ac:dyDescent="0.2">
      <c r="A294" s="638" t="s">
        <v>168</v>
      </c>
      <c r="B294" s="1311" t="s">
        <v>2003</v>
      </c>
      <c r="C294" s="1311"/>
      <c r="D294" s="1311"/>
      <c r="E294" s="1311"/>
      <c r="F294" s="1311"/>
      <c r="G294" s="1311"/>
      <c r="H294" s="1311"/>
      <c r="I294" s="1311"/>
    </row>
    <row r="295" spans="1:9" s="733" customFormat="1" ht="13.15" customHeight="1" x14ac:dyDescent="0.2">
      <c r="A295" s="638" t="s">
        <v>2018</v>
      </c>
      <c r="B295" s="1311" t="s">
        <v>2019</v>
      </c>
      <c r="C295" s="1311"/>
      <c r="D295" s="1311"/>
      <c r="E295" s="1311"/>
      <c r="F295" s="1311"/>
      <c r="G295" s="1311"/>
      <c r="H295" s="1311"/>
      <c r="I295" s="1311"/>
    </row>
    <row r="296" spans="1:9" s="733" customFormat="1" ht="13.15" customHeight="1" x14ac:dyDescent="0.2">
      <c r="A296" s="638" t="s">
        <v>2020</v>
      </c>
      <c r="B296" s="1311" t="s">
        <v>2021</v>
      </c>
      <c r="C296" s="1311"/>
      <c r="D296" s="1311"/>
      <c r="E296" s="1311"/>
      <c r="F296" s="1311"/>
      <c r="G296" s="1311"/>
      <c r="H296" s="1311"/>
      <c r="I296" s="1311"/>
    </row>
    <row r="297" spans="1:9" s="733" customFormat="1" x14ac:dyDescent="0.2">
      <c r="A297" s="638" t="s">
        <v>2011</v>
      </c>
      <c r="B297" s="1311" t="s">
        <v>1202</v>
      </c>
      <c r="C297" s="1311"/>
      <c r="D297" s="1311"/>
      <c r="E297" s="1311"/>
      <c r="F297" s="1311"/>
      <c r="G297" s="1311"/>
      <c r="H297" s="1311"/>
      <c r="I297" s="1311"/>
    </row>
    <row r="298" spans="1:9" s="733" customFormat="1" ht="13.15" customHeight="1" x14ac:dyDescent="0.2">
      <c r="A298" s="638" t="s">
        <v>1037</v>
      </c>
      <c r="B298" s="1311" t="s">
        <v>2523</v>
      </c>
      <c r="C298" s="1311"/>
      <c r="D298" s="1311"/>
      <c r="E298" s="1311"/>
      <c r="F298" s="1311"/>
      <c r="G298" s="1311"/>
      <c r="H298" s="1311"/>
      <c r="I298" s="1311"/>
    </row>
    <row r="299" spans="1:9" s="733" customFormat="1" ht="13.15" customHeight="1" x14ac:dyDescent="0.2">
      <c r="A299" s="638" t="s">
        <v>1997</v>
      </c>
      <c r="B299" s="1311" t="s">
        <v>1998</v>
      </c>
      <c r="C299" s="1311"/>
      <c r="D299" s="1311"/>
      <c r="E299" s="1311"/>
      <c r="F299" s="1311"/>
      <c r="G299" s="1311"/>
      <c r="H299" s="1311"/>
      <c r="I299" s="1311"/>
    </row>
    <row r="300" spans="1:9" s="733" customFormat="1" ht="13.15" customHeight="1" x14ac:dyDescent="0.2">
      <c r="A300" s="638" t="s">
        <v>2001</v>
      </c>
      <c r="B300" s="1311" t="s">
        <v>2002</v>
      </c>
      <c r="C300" s="1311"/>
      <c r="D300" s="1311"/>
      <c r="E300" s="1311"/>
      <c r="F300" s="1311"/>
      <c r="G300" s="1311"/>
      <c r="H300" s="1311"/>
      <c r="I300" s="1311"/>
    </row>
    <row r="301" spans="1:9" s="733" customFormat="1" ht="13.15" customHeight="1" x14ac:dyDescent="0.2">
      <c r="A301" s="1129" t="s">
        <v>613</v>
      </c>
      <c r="B301" s="1312" t="s">
        <v>2525</v>
      </c>
      <c r="C301" s="1312"/>
      <c r="D301" s="1312"/>
      <c r="E301" s="1312"/>
      <c r="F301" s="1312"/>
      <c r="G301" s="1312"/>
      <c r="H301" s="1312"/>
      <c r="I301" s="1312"/>
    </row>
    <row r="302" spans="1:9" s="653" customFormat="1" x14ac:dyDescent="0.2"/>
    <row r="303" spans="1:9" s="654" customFormat="1" x14ac:dyDescent="0.2">
      <c r="A303" s="639" t="s">
        <v>2564</v>
      </c>
      <c r="B303" s="1314" t="s">
        <v>2239</v>
      </c>
      <c r="C303" s="1314"/>
      <c r="D303" s="1314"/>
      <c r="E303" s="1314"/>
      <c r="F303" s="1314"/>
      <c r="G303" s="1314"/>
      <c r="H303" s="1314"/>
      <c r="I303" s="1314"/>
    </row>
    <row r="304" spans="1:9" s="1127" customFormat="1" x14ac:dyDescent="0.2">
      <c r="A304" s="1126" t="s">
        <v>17</v>
      </c>
      <c r="B304" s="1313" t="s">
        <v>78</v>
      </c>
      <c r="C304" s="1313"/>
      <c r="D304" s="1313"/>
      <c r="E304" s="1313"/>
      <c r="F304" s="1313"/>
      <c r="G304" s="1313"/>
      <c r="H304" s="1313"/>
      <c r="I304" s="1313"/>
    </row>
    <row r="305" spans="1:9" s="733" customFormat="1" ht="13.15" customHeight="1" x14ac:dyDescent="0.2">
      <c r="A305" s="638" t="s">
        <v>2014</v>
      </c>
      <c r="B305" s="1311" t="s">
        <v>2015</v>
      </c>
      <c r="C305" s="1311"/>
      <c r="D305" s="1311"/>
      <c r="E305" s="1311"/>
      <c r="F305" s="1311"/>
      <c r="G305" s="1311"/>
      <c r="H305" s="1311"/>
      <c r="I305" s="1311"/>
    </row>
    <row r="306" spans="1:9" s="733" customFormat="1" ht="13.15" customHeight="1" x14ac:dyDescent="0.2">
      <c r="A306" s="1129">
        <v>80</v>
      </c>
      <c r="B306" s="1312" t="s">
        <v>2524</v>
      </c>
      <c r="C306" s="1312"/>
      <c r="D306" s="1312"/>
      <c r="E306" s="1312"/>
      <c r="F306" s="1312"/>
      <c r="G306" s="1312"/>
      <c r="H306" s="1312"/>
      <c r="I306" s="1312"/>
    </row>
    <row r="307" spans="1:9" s="733" customFormat="1" ht="13.15" customHeight="1" x14ac:dyDescent="0.2">
      <c r="A307" s="638" t="s">
        <v>2412</v>
      </c>
      <c r="B307" s="1311" t="s">
        <v>2411</v>
      </c>
      <c r="C307" s="1311"/>
      <c r="D307" s="1311"/>
      <c r="E307" s="1311"/>
      <c r="F307" s="1311"/>
      <c r="G307" s="1311"/>
      <c r="H307" s="1311"/>
      <c r="I307" s="1311"/>
    </row>
    <row r="308" spans="1:9" s="733" customFormat="1" ht="13.15" customHeight="1" x14ac:dyDescent="0.2">
      <c r="A308" s="1128" t="s">
        <v>2682</v>
      </c>
      <c r="B308" s="1316" t="s">
        <v>2681</v>
      </c>
      <c r="C308" s="1316"/>
      <c r="D308" s="1316"/>
      <c r="E308" s="1316"/>
      <c r="F308" s="1316"/>
      <c r="G308" s="1316"/>
      <c r="H308" s="1316"/>
      <c r="I308" s="1316"/>
    </row>
    <row r="309" spans="1:9" s="733" customFormat="1" ht="13.15" customHeight="1" x14ac:dyDescent="0.2">
      <c r="A309" s="638" t="s">
        <v>1988</v>
      </c>
      <c r="B309" s="1311" t="s">
        <v>1989</v>
      </c>
      <c r="C309" s="1311"/>
      <c r="D309" s="1311"/>
      <c r="E309" s="1311"/>
      <c r="F309" s="1311"/>
      <c r="G309" s="1311"/>
      <c r="H309" s="1311"/>
      <c r="I309" s="1311"/>
    </row>
    <row r="310" spans="1:9" s="733" customFormat="1" ht="13.15" customHeight="1" x14ac:dyDescent="0.2">
      <c r="A310" s="638" t="s">
        <v>2016</v>
      </c>
      <c r="B310" s="1311" t="s">
        <v>2017</v>
      </c>
      <c r="C310" s="1311"/>
      <c r="D310" s="1311"/>
      <c r="E310" s="1311"/>
      <c r="F310" s="1311"/>
      <c r="G310" s="1311"/>
      <c r="H310" s="1311"/>
      <c r="I310" s="1311"/>
    </row>
    <row r="311" spans="1:9" s="733" customFormat="1" ht="13.15" customHeight="1" x14ac:dyDescent="0.2">
      <c r="A311" s="638" t="s">
        <v>1992</v>
      </c>
      <c r="B311" s="1311" t="s">
        <v>1993</v>
      </c>
      <c r="C311" s="1311"/>
      <c r="D311" s="1311"/>
      <c r="E311" s="1311"/>
      <c r="F311" s="1311"/>
      <c r="G311" s="1311"/>
      <c r="H311" s="1311"/>
      <c r="I311" s="1311"/>
    </row>
    <row r="312" spans="1:9" s="733" customFormat="1" x14ac:dyDescent="0.2">
      <c r="A312" s="638" t="s">
        <v>1994</v>
      </c>
      <c r="B312" s="1311" t="s">
        <v>1995</v>
      </c>
      <c r="C312" s="1311"/>
      <c r="D312" s="1311"/>
      <c r="E312" s="1311"/>
      <c r="F312" s="1311"/>
      <c r="G312" s="1311"/>
      <c r="H312" s="1311"/>
      <c r="I312" s="1311"/>
    </row>
    <row r="313" spans="1:9" s="733" customFormat="1" ht="13.15" customHeight="1" x14ac:dyDescent="0.2">
      <c r="A313" s="638" t="s">
        <v>344</v>
      </c>
      <c r="B313" s="1311" t="s">
        <v>1996</v>
      </c>
      <c r="C313" s="1311"/>
      <c r="D313" s="1311"/>
      <c r="E313" s="1311"/>
      <c r="F313" s="1311"/>
      <c r="G313" s="1311"/>
      <c r="H313" s="1311"/>
      <c r="I313" s="1311"/>
    </row>
    <row r="314" spans="1:9" s="733" customFormat="1" ht="13.15" customHeight="1" x14ac:dyDescent="0.2">
      <c r="A314" s="1128" t="s">
        <v>2760</v>
      </c>
      <c r="B314" s="1316" t="s">
        <v>2761</v>
      </c>
      <c r="C314" s="1316"/>
      <c r="D314" s="1316"/>
      <c r="E314" s="1316"/>
      <c r="F314" s="1316"/>
      <c r="G314" s="1316"/>
      <c r="H314" s="1316"/>
      <c r="I314" s="1316"/>
    </row>
    <row r="315" spans="1:9" s="733" customFormat="1" ht="13.15" customHeight="1" x14ac:dyDescent="0.2">
      <c r="A315" s="1129" t="s">
        <v>2400</v>
      </c>
      <c r="B315" s="1312" t="s">
        <v>2401</v>
      </c>
      <c r="C315" s="1312"/>
      <c r="D315" s="1312"/>
      <c r="E315" s="1312"/>
      <c r="F315" s="1312"/>
      <c r="G315" s="1312"/>
      <c r="H315" s="1312"/>
      <c r="I315" s="1312"/>
    </row>
    <row r="316" spans="1:9" s="733" customFormat="1" ht="13.15" customHeight="1" x14ac:dyDescent="0.2">
      <c r="A316" s="638" t="s">
        <v>2521</v>
      </c>
      <c r="B316" s="1311" t="s">
        <v>2522</v>
      </c>
      <c r="C316" s="1311"/>
      <c r="D316" s="1311"/>
      <c r="E316" s="1311"/>
      <c r="F316" s="1311"/>
      <c r="G316" s="1311"/>
      <c r="H316" s="1311"/>
      <c r="I316" s="1311"/>
    </row>
    <row r="317" spans="1:9" s="733" customFormat="1" ht="13.15" customHeight="1" x14ac:dyDescent="0.2">
      <c r="A317" s="1128" t="s">
        <v>2758</v>
      </c>
      <c r="B317" s="1316" t="s">
        <v>2759</v>
      </c>
      <c r="C317" s="1316"/>
      <c r="D317" s="1316"/>
      <c r="E317" s="1316"/>
      <c r="F317" s="1316"/>
      <c r="G317" s="1316"/>
      <c r="H317" s="1316"/>
      <c r="I317" s="1316"/>
    </row>
    <row r="318" spans="1:9" s="733" customFormat="1" ht="13.15" customHeight="1" x14ac:dyDescent="0.2">
      <c r="A318" s="638" t="s">
        <v>2022</v>
      </c>
      <c r="B318" s="1311" t="s">
        <v>2023</v>
      </c>
      <c r="C318" s="1311"/>
      <c r="D318" s="1311"/>
      <c r="E318" s="1311"/>
      <c r="F318" s="1311"/>
      <c r="G318" s="1311"/>
      <c r="H318" s="1311"/>
      <c r="I318" s="1311"/>
    </row>
    <row r="319" spans="1:9" s="733" customFormat="1" ht="13.15" customHeight="1" x14ac:dyDescent="0.2">
      <c r="A319" s="638" t="s">
        <v>2420</v>
      </c>
      <c r="B319" s="1311" t="s">
        <v>2419</v>
      </c>
      <c r="C319" s="1311"/>
      <c r="D319" s="1311"/>
      <c r="E319" s="1311"/>
      <c r="F319" s="1311"/>
      <c r="G319" s="1311"/>
      <c r="H319" s="1311"/>
      <c r="I319" s="1311"/>
    </row>
    <row r="320" spans="1:9" s="733" customFormat="1" ht="13.15" customHeight="1" x14ac:dyDescent="0.2">
      <c r="A320" s="638" t="s">
        <v>1999</v>
      </c>
      <c r="B320" s="1311" t="s">
        <v>2000</v>
      </c>
      <c r="C320" s="1311"/>
      <c r="D320" s="1311"/>
      <c r="E320" s="1311"/>
      <c r="F320" s="1311"/>
      <c r="G320" s="1311"/>
      <c r="H320" s="1311"/>
      <c r="I320" s="1311"/>
    </row>
    <row r="321" spans="1:9" s="733" customFormat="1" ht="13.15" customHeight="1" x14ac:dyDescent="0.2">
      <c r="A321" s="638" t="s">
        <v>2012</v>
      </c>
      <c r="B321" s="1311" t="s">
        <v>2013</v>
      </c>
      <c r="C321" s="1311"/>
      <c r="D321" s="1311"/>
      <c r="E321" s="1311"/>
      <c r="F321" s="1311"/>
      <c r="G321" s="1311"/>
      <c r="H321" s="1311"/>
      <c r="I321" s="1311"/>
    </row>
    <row r="322" spans="1:9" s="733" customFormat="1" ht="13.15" customHeight="1" x14ac:dyDescent="0.2">
      <c r="A322" s="638" t="s">
        <v>2526</v>
      </c>
      <c r="B322" s="1311" t="s">
        <v>2508</v>
      </c>
      <c r="C322" s="1311"/>
      <c r="D322" s="1311"/>
      <c r="E322" s="1311"/>
      <c r="F322" s="1311"/>
      <c r="G322" s="1311"/>
      <c r="H322" s="1311"/>
      <c r="I322" s="1311"/>
    </row>
    <row r="323" spans="1:9" s="733" customFormat="1" ht="13.15" customHeight="1" x14ac:dyDescent="0.2">
      <c r="A323" s="638" t="s">
        <v>2417</v>
      </c>
      <c r="B323" s="1311" t="s">
        <v>2418</v>
      </c>
      <c r="C323" s="1311"/>
      <c r="D323" s="1311"/>
      <c r="E323" s="1311"/>
      <c r="F323" s="1311"/>
      <c r="G323" s="1311"/>
      <c r="H323" s="1311"/>
      <c r="I323" s="1311"/>
    </row>
    <row r="324" spans="1:9" s="733" customFormat="1" ht="13.15" customHeight="1" x14ac:dyDescent="0.2">
      <c r="A324" s="638" t="s">
        <v>2009</v>
      </c>
      <c r="B324" s="1311" t="s">
        <v>2010</v>
      </c>
      <c r="C324" s="1311"/>
      <c r="D324" s="1311"/>
      <c r="E324" s="1311"/>
      <c r="F324" s="1311"/>
      <c r="G324" s="1311"/>
      <c r="H324" s="1311"/>
      <c r="I324" s="1311"/>
    </row>
    <row r="325" spans="1:9" s="733" customFormat="1" ht="13.15" customHeight="1" x14ac:dyDescent="0.2">
      <c r="A325" s="638" t="s">
        <v>2007</v>
      </c>
      <c r="B325" s="1311" t="s">
        <v>2008</v>
      </c>
      <c r="C325" s="1311"/>
      <c r="D325" s="1311"/>
      <c r="E325" s="1311"/>
      <c r="F325" s="1311"/>
      <c r="G325" s="1311"/>
      <c r="H325" s="1311"/>
      <c r="I325" s="1311"/>
    </row>
    <row r="326" spans="1:9" s="733" customFormat="1" ht="13.15" customHeight="1" x14ac:dyDescent="0.2">
      <c r="A326" s="638" t="s">
        <v>2004</v>
      </c>
      <c r="B326" s="1311" t="s">
        <v>2005</v>
      </c>
      <c r="C326" s="1311"/>
      <c r="D326" s="1311"/>
      <c r="E326" s="1311"/>
      <c r="F326" s="1311"/>
      <c r="G326" s="1311"/>
      <c r="H326" s="1311"/>
      <c r="I326" s="1311"/>
    </row>
    <row r="327" spans="1:9" s="733" customFormat="1" ht="13.15" customHeight="1" x14ac:dyDescent="0.2">
      <c r="A327" s="638" t="s">
        <v>1990</v>
      </c>
      <c r="B327" s="1311" t="s">
        <v>1991</v>
      </c>
      <c r="C327" s="1311"/>
      <c r="D327" s="1311"/>
      <c r="E327" s="1311"/>
      <c r="F327" s="1311"/>
      <c r="G327" s="1311"/>
      <c r="H327" s="1311"/>
      <c r="I327" s="1311"/>
    </row>
    <row r="328" spans="1:9" s="733" customFormat="1" ht="13.15" customHeight="1" x14ac:dyDescent="0.2">
      <c r="A328" s="638" t="s">
        <v>1986</v>
      </c>
      <c r="B328" s="1311" t="s">
        <v>1987</v>
      </c>
      <c r="C328" s="1311"/>
      <c r="D328" s="1311"/>
      <c r="E328" s="1311"/>
      <c r="F328" s="1311"/>
      <c r="G328" s="1311"/>
      <c r="H328" s="1311"/>
      <c r="I328" s="1311"/>
    </row>
    <row r="329" spans="1:9" s="733" customFormat="1" x14ac:dyDescent="0.2">
      <c r="A329" s="638" t="s">
        <v>2346</v>
      </c>
      <c r="B329" s="1311" t="s">
        <v>2006</v>
      </c>
      <c r="C329" s="1311"/>
      <c r="D329" s="1311"/>
      <c r="E329" s="1311"/>
      <c r="F329" s="1311"/>
      <c r="G329" s="1311"/>
      <c r="H329" s="1311"/>
      <c r="I329" s="1311"/>
    </row>
    <row r="330" spans="1:9" s="733" customFormat="1" x14ac:dyDescent="0.2">
      <c r="A330" s="638" t="s">
        <v>168</v>
      </c>
      <c r="B330" s="1311" t="s">
        <v>2003</v>
      </c>
      <c r="C330" s="1311"/>
      <c r="D330" s="1311"/>
      <c r="E330" s="1311"/>
      <c r="F330" s="1311"/>
      <c r="G330" s="1311"/>
      <c r="H330" s="1311"/>
      <c r="I330" s="1311"/>
    </row>
    <row r="331" spans="1:9" s="733" customFormat="1" ht="13.15" customHeight="1" x14ac:dyDescent="0.2">
      <c r="A331" s="638" t="s">
        <v>2018</v>
      </c>
      <c r="B331" s="1311" t="s">
        <v>2019</v>
      </c>
      <c r="C331" s="1311"/>
      <c r="D331" s="1311"/>
      <c r="E331" s="1311"/>
      <c r="F331" s="1311"/>
      <c r="G331" s="1311"/>
      <c r="H331" s="1311"/>
      <c r="I331" s="1311"/>
    </row>
    <row r="332" spans="1:9" s="733" customFormat="1" ht="13.15" customHeight="1" x14ac:dyDescent="0.2">
      <c r="A332" s="638" t="s">
        <v>2020</v>
      </c>
      <c r="B332" s="1311" t="s">
        <v>2021</v>
      </c>
      <c r="C332" s="1311"/>
      <c r="D332" s="1311"/>
      <c r="E332" s="1311"/>
      <c r="F332" s="1311"/>
      <c r="G332" s="1311"/>
      <c r="H332" s="1311"/>
      <c r="I332" s="1311"/>
    </row>
    <row r="333" spans="1:9" s="733" customFormat="1" x14ac:dyDescent="0.2">
      <c r="A333" s="638" t="s">
        <v>2011</v>
      </c>
      <c r="B333" s="1311" t="s">
        <v>1202</v>
      </c>
      <c r="C333" s="1311"/>
      <c r="D333" s="1311"/>
      <c r="E333" s="1311"/>
      <c r="F333" s="1311"/>
      <c r="G333" s="1311"/>
      <c r="H333" s="1311"/>
      <c r="I333" s="1311"/>
    </row>
    <row r="334" spans="1:9" s="733" customFormat="1" ht="13.15" customHeight="1" x14ac:dyDescent="0.2">
      <c r="A334" s="638" t="s">
        <v>1037</v>
      </c>
      <c r="B334" s="1311" t="s">
        <v>2523</v>
      </c>
      <c r="C334" s="1311"/>
      <c r="D334" s="1311"/>
      <c r="E334" s="1311"/>
      <c r="F334" s="1311"/>
      <c r="G334" s="1311"/>
      <c r="H334" s="1311"/>
      <c r="I334" s="1311"/>
    </row>
    <row r="335" spans="1:9" s="733" customFormat="1" ht="13.15" customHeight="1" x14ac:dyDescent="0.2">
      <c r="A335" s="638" t="s">
        <v>1997</v>
      </c>
      <c r="B335" s="1311" t="s">
        <v>1998</v>
      </c>
      <c r="C335" s="1311"/>
      <c r="D335" s="1311"/>
      <c r="E335" s="1311"/>
      <c r="F335" s="1311"/>
      <c r="G335" s="1311"/>
      <c r="H335" s="1311"/>
      <c r="I335" s="1311"/>
    </row>
    <row r="336" spans="1:9" s="733" customFormat="1" ht="13.15" customHeight="1" x14ac:dyDescent="0.2">
      <c r="A336" s="638" t="s">
        <v>2001</v>
      </c>
      <c r="B336" s="1311" t="s">
        <v>2002</v>
      </c>
      <c r="C336" s="1311"/>
      <c r="D336" s="1311"/>
      <c r="E336" s="1311"/>
      <c r="F336" s="1311"/>
      <c r="G336" s="1311"/>
      <c r="H336" s="1311"/>
      <c r="I336" s="1311"/>
    </row>
    <row r="337" spans="1:9" s="733" customFormat="1" ht="13.15" customHeight="1" x14ac:dyDescent="0.2">
      <c r="A337" s="1129" t="s">
        <v>613</v>
      </c>
      <c r="B337" s="1312" t="s">
        <v>2525</v>
      </c>
      <c r="C337" s="1312"/>
      <c r="D337" s="1312"/>
      <c r="E337" s="1312"/>
      <c r="F337" s="1312"/>
      <c r="G337" s="1312"/>
      <c r="H337" s="1312"/>
      <c r="I337" s="1312"/>
    </row>
    <row r="338" spans="1:9" s="653" customFormat="1" x14ac:dyDescent="0.2"/>
    <row r="339" spans="1:9" s="653" customFormat="1" hidden="1" x14ac:dyDescent="0.2"/>
    <row r="340" spans="1:9" s="653" customFormat="1" hidden="1" x14ac:dyDescent="0.2">
      <c r="A340" s="652"/>
      <c r="B340" s="1326"/>
      <c r="C340" s="1323"/>
      <c r="D340" s="1323"/>
      <c r="E340" s="1323"/>
      <c r="F340" s="1323"/>
      <c r="G340" s="1323"/>
      <c r="H340" s="1323"/>
      <c r="I340" s="1324"/>
    </row>
    <row r="341" spans="1:9" s="653" customFormat="1" hidden="1" x14ac:dyDescent="0.2">
      <c r="A341" s="652"/>
      <c r="B341" s="1326"/>
      <c r="C341" s="1323"/>
      <c r="D341" s="1323"/>
      <c r="E341" s="1323"/>
      <c r="F341" s="1323"/>
      <c r="G341" s="1323"/>
      <c r="H341" s="1323"/>
      <c r="I341" s="1324"/>
    </row>
    <row r="342" spans="1:9" s="653" customFormat="1" hidden="1" x14ac:dyDescent="0.2">
      <c r="A342" s="652"/>
      <c r="B342" s="1326"/>
      <c r="C342" s="1323"/>
      <c r="D342" s="1323"/>
      <c r="E342" s="1323"/>
      <c r="F342" s="1323"/>
      <c r="G342" s="1323"/>
      <c r="H342" s="1323"/>
      <c r="I342" s="1324"/>
    </row>
    <row r="343" spans="1:9" s="1017" customFormat="1" x14ac:dyDescent="0.2">
      <c r="A343" s="1015" t="s">
        <v>266</v>
      </c>
      <c r="B343" s="1314" t="s">
        <v>2562</v>
      </c>
      <c r="C343" s="1314"/>
      <c r="D343" s="1314"/>
      <c r="E343" s="1314"/>
      <c r="F343" s="1314"/>
      <c r="G343" s="1314"/>
      <c r="H343" s="1314"/>
      <c r="I343" s="1314"/>
    </row>
    <row r="344" spans="1:9" s="1127" customFormat="1" x14ac:dyDescent="0.2">
      <c r="A344" s="1126" t="s">
        <v>17</v>
      </c>
      <c r="B344" s="1313" t="s">
        <v>78</v>
      </c>
      <c r="C344" s="1313"/>
      <c r="D344" s="1313"/>
      <c r="E344" s="1313"/>
      <c r="F344" s="1313"/>
      <c r="G344" s="1313"/>
      <c r="H344" s="1313"/>
      <c r="I344" s="1313"/>
    </row>
    <row r="345" spans="1:9" s="733" customFormat="1" ht="13.15" customHeight="1" x14ac:dyDescent="0.2">
      <c r="A345" s="638" t="s">
        <v>2014</v>
      </c>
      <c r="B345" s="1311" t="s">
        <v>2015</v>
      </c>
      <c r="C345" s="1311"/>
      <c r="D345" s="1311"/>
      <c r="E345" s="1311"/>
      <c r="F345" s="1311"/>
      <c r="G345" s="1311"/>
      <c r="H345" s="1311"/>
      <c r="I345" s="1311"/>
    </row>
    <row r="346" spans="1:9" s="733" customFormat="1" ht="13.15" customHeight="1" x14ac:dyDescent="0.2">
      <c r="A346" s="1129">
        <v>80</v>
      </c>
      <c r="B346" s="1312" t="s">
        <v>2524</v>
      </c>
      <c r="C346" s="1312"/>
      <c r="D346" s="1312"/>
      <c r="E346" s="1312"/>
      <c r="F346" s="1312"/>
      <c r="G346" s="1312"/>
      <c r="H346" s="1312"/>
      <c r="I346" s="1312"/>
    </row>
    <row r="347" spans="1:9" s="733" customFormat="1" ht="13.15" customHeight="1" x14ac:dyDescent="0.2">
      <c r="A347" s="638" t="s">
        <v>2412</v>
      </c>
      <c r="B347" s="1311" t="s">
        <v>2411</v>
      </c>
      <c r="C347" s="1311"/>
      <c r="D347" s="1311"/>
      <c r="E347" s="1311"/>
      <c r="F347" s="1311"/>
      <c r="G347" s="1311"/>
      <c r="H347" s="1311"/>
      <c r="I347" s="1311"/>
    </row>
    <row r="348" spans="1:9" s="733" customFormat="1" ht="13.15" customHeight="1" x14ac:dyDescent="0.2">
      <c r="A348" s="1128" t="s">
        <v>2682</v>
      </c>
      <c r="B348" s="1316" t="s">
        <v>2681</v>
      </c>
      <c r="C348" s="1316"/>
      <c r="D348" s="1316"/>
      <c r="E348" s="1316"/>
      <c r="F348" s="1316"/>
      <c r="G348" s="1316"/>
      <c r="H348" s="1316"/>
      <c r="I348" s="1316"/>
    </row>
    <row r="349" spans="1:9" s="733" customFormat="1" ht="13.15" customHeight="1" x14ac:dyDescent="0.2">
      <c r="A349" s="638" t="s">
        <v>1988</v>
      </c>
      <c r="B349" s="1311" t="s">
        <v>1989</v>
      </c>
      <c r="C349" s="1311"/>
      <c r="D349" s="1311"/>
      <c r="E349" s="1311"/>
      <c r="F349" s="1311"/>
      <c r="G349" s="1311"/>
      <c r="H349" s="1311"/>
      <c r="I349" s="1311"/>
    </row>
    <row r="350" spans="1:9" s="733" customFormat="1" ht="13.15" customHeight="1" x14ac:dyDescent="0.2">
      <c r="A350" s="638" t="s">
        <v>2016</v>
      </c>
      <c r="B350" s="1311" t="s">
        <v>2017</v>
      </c>
      <c r="C350" s="1311"/>
      <c r="D350" s="1311"/>
      <c r="E350" s="1311"/>
      <c r="F350" s="1311"/>
      <c r="G350" s="1311"/>
      <c r="H350" s="1311"/>
      <c r="I350" s="1311"/>
    </row>
    <row r="351" spans="1:9" s="733" customFormat="1" ht="13.15" customHeight="1" x14ac:dyDescent="0.2">
      <c r="A351" s="638" t="s">
        <v>1992</v>
      </c>
      <c r="B351" s="1311" t="s">
        <v>1993</v>
      </c>
      <c r="C351" s="1311"/>
      <c r="D351" s="1311"/>
      <c r="E351" s="1311"/>
      <c r="F351" s="1311"/>
      <c r="G351" s="1311"/>
      <c r="H351" s="1311"/>
      <c r="I351" s="1311"/>
    </row>
    <row r="352" spans="1:9" s="733" customFormat="1" x14ac:dyDescent="0.2">
      <c r="A352" s="638" t="s">
        <v>1994</v>
      </c>
      <c r="B352" s="1311" t="s">
        <v>1995</v>
      </c>
      <c r="C352" s="1311"/>
      <c r="D352" s="1311"/>
      <c r="E352" s="1311"/>
      <c r="F352" s="1311"/>
      <c r="G352" s="1311"/>
      <c r="H352" s="1311"/>
      <c r="I352" s="1311"/>
    </row>
    <row r="353" spans="1:9" s="733" customFormat="1" ht="13.15" customHeight="1" x14ac:dyDescent="0.2">
      <c r="A353" s="638" t="s">
        <v>344</v>
      </c>
      <c r="B353" s="1311" t="s">
        <v>1996</v>
      </c>
      <c r="C353" s="1311"/>
      <c r="D353" s="1311"/>
      <c r="E353" s="1311"/>
      <c r="F353" s="1311"/>
      <c r="G353" s="1311"/>
      <c r="H353" s="1311"/>
      <c r="I353" s="1311"/>
    </row>
    <row r="354" spans="1:9" s="733" customFormat="1" ht="13.15" customHeight="1" x14ac:dyDescent="0.2">
      <c r="A354" s="1128" t="s">
        <v>2760</v>
      </c>
      <c r="B354" s="1316" t="s">
        <v>2761</v>
      </c>
      <c r="C354" s="1316"/>
      <c r="D354" s="1316"/>
      <c r="E354" s="1316"/>
      <c r="F354" s="1316"/>
      <c r="G354" s="1316"/>
      <c r="H354" s="1316"/>
      <c r="I354" s="1316"/>
    </row>
    <row r="355" spans="1:9" s="733" customFormat="1" ht="13.15" customHeight="1" x14ac:dyDescent="0.2">
      <c r="A355" s="1129" t="s">
        <v>2400</v>
      </c>
      <c r="B355" s="1312" t="s">
        <v>2401</v>
      </c>
      <c r="C355" s="1312"/>
      <c r="D355" s="1312"/>
      <c r="E355" s="1312"/>
      <c r="F355" s="1312"/>
      <c r="G355" s="1312"/>
      <c r="H355" s="1312"/>
      <c r="I355" s="1312"/>
    </row>
    <row r="356" spans="1:9" s="733" customFormat="1" ht="13.15" customHeight="1" x14ac:dyDescent="0.2">
      <c r="A356" s="638" t="s">
        <v>2521</v>
      </c>
      <c r="B356" s="1311" t="s">
        <v>2522</v>
      </c>
      <c r="C356" s="1311"/>
      <c r="D356" s="1311"/>
      <c r="E356" s="1311"/>
      <c r="F356" s="1311"/>
      <c r="G356" s="1311"/>
      <c r="H356" s="1311"/>
      <c r="I356" s="1311"/>
    </row>
    <row r="357" spans="1:9" s="733" customFormat="1" ht="13.15" customHeight="1" x14ac:dyDescent="0.2">
      <c r="A357" s="1128" t="s">
        <v>2758</v>
      </c>
      <c r="B357" s="1316" t="s">
        <v>2759</v>
      </c>
      <c r="C357" s="1316"/>
      <c r="D357" s="1316"/>
      <c r="E357" s="1316"/>
      <c r="F357" s="1316"/>
      <c r="G357" s="1316"/>
      <c r="H357" s="1316"/>
      <c r="I357" s="1316"/>
    </row>
    <row r="358" spans="1:9" s="733" customFormat="1" ht="13.15" customHeight="1" x14ac:dyDescent="0.2">
      <c r="A358" s="638" t="s">
        <v>2022</v>
      </c>
      <c r="B358" s="1311" t="s">
        <v>2023</v>
      </c>
      <c r="C358" s="1311"/>
      <c r="D358" s="1311"/>
      <c r="E358" s="1311"/>
      <c r="F358" s="1311"/>
      <c r="G358" s="1311"/>
      <c r="H358" s="1311"/>
      <c r="I358" s="1311"/>
    </row>
    <row r="359" spans="1:9" s="733" customFormat="1" ht="13.15" customHeight="1" x14ac:dyDescent="0.2">
      <c r="A359" s="638" t="s">
        <v>2420</v>
      </c>
      <c r="B359" s="1311" t="s">
        <v>2419</v>
      </c>
      <c r="C359" s="1311"/>
      <c r="D359" s="1311"/>
      <c r="E359" s="1311"/>
      <c r="F359" s="1311"/>
      <c r="G359" s="1311"/>
      <c r="H359" s="1311"/>
      <c r="I359" s="1311"/>
    </row>
    <row r="360" spans="1:9" s="733" customFormat="1" ht="13.15" customHeight="1" x14ac:dyDescent="0.2">
      <c r="A360" s="638" t="s">
        <v>1999</v>
      </c>
      <c r="B360" s="1311" t="s">
        <v>2000</v>
      </c>
      <c r="C360" s="1311"/>
      <c r="D360" s="1311"/>
      <c r="E360" s="1311"/>
      <c r="F360" s="1311"/>
      <c r="G360" s="1311"/>
      <c r="H360" s="1311"/>
      <c r="I360" s="1311"/>
    </row>
    <row r="361" spans="1:9" s="733" customFormat="1" ht="13.15" customHeight="1" x14ac:dyDescent="0.2">
      <c r="A361" s="638" t="s">
        <v>2012</v>
      </c>
      <c r="B361" s="1311" t="s">
        <v>2013</v>
      </c>
      <c r="C361" s="1311"/>
      <c r="D361" s="1311"/>
      <c r="E361" s="1311"/>
      <c r="F361" s="1311"/>
      <c r="G361" s="1311"/>
      <c r="H361" s="1311"/>
      <c r="I361" s="1311"/>
    </row>
    <row r="362" spans="1:9" s="733" customFormat="1" ht="13.15" customHeight="1" x14ac:dyDescent="0.2">
      <c r="A362" s="638" t="s">
        <v>2526</v>
      </c>
      <c r="B362" s="1311" t="s">
        <v>2508</v>
      </c>
      <c r="C362" s="1311"/>
      <c r="D362" s="1311"/>
      <c r="E362" s="1311"/>
      <c r="F362" s="1311"/>
      <c r="G362" s="1311"/>
      <c r="H362" s="1311"/>
      <c r="I362" s="1311"/>
    </row>
    <row r="363" spans="1:9" s="733" customFormat="1" ht="13.15" customHeight="1" x14ac:dyDescent="0.2">
      <c r="A363" s="638" t="s">
        <v>2417</v>
      </c>
      <c r="B363" s="1311" t="s">
        <v>2418</v>
      </c>
      <c r="C363" s="1311"/>
      <c r="D363" s="1311"/>
      <c r="E363" s="1311"/>
      <c r="F363" s="1311"/>
      <c r="G363" s="1311"/>
      <c r="H363" s="1311"/>
      <c r="I363" s="1311"/>
    </row>
    <row r="364" spans="1:9" s="733" customFormat="1" ht="13.15" customHeight="1" x14ac:dyDescent="0.2">
      <c r="A364" s="638" t="s">
        <v>2009</v>
      </c>
      <c r="B364" s="1311" t="s">
        <v>2010</v>
      </c>
      <c r="C364" s="1311"/>
      <c r="D364" s="1311"/>
      <c r="E364" s="1311"/>
      <c r="F364" s="1311"/>
      <c r="G364" s="1311"/>
      <c r="H364" s="1311"/>
      <c r="I364" s="1311"/>
    </row>
    <row r="365" spans="1:9" s="733" customFormat="1" ht="13.15" customHeight="1" x14ac:dyDescent="0.2">
      <c r="A365" s="638" t="s">
        <v>2007</v>
      </c>
      <c r="B365" s="1311" t="s">
        <v>2008</v>
      </c>
      <c r="C365" s="1311"/>
      <c r="D365" s="1311"/>
      <c r="E365" s="1311"/>
      <c r="F365" s="1311"/>
      <c r="G365" s="1311"/>
      <c r="H365" s="1311"/>
      <c r="I365" s="1311"/>
    </row>
    <row r="366" spans="1:9" s="733" customFormat="1" ht="13.15" customHeight="1" x14ac:dyDescent="0.2">
      <c r="A366" s="638" t="s">
        <v>2004</v>
      </c>
      <c r="B366" s="1311" t="s">
        <v>2005</v>
      </c>
      <c r="C366" s="1311"/>
      <c r="D366" s="1311"/>
      <c r="E366" s="1311"/>
      <c r="F366" s="1311"/>
      <c r="G366" s="1311"/>
      <c r="H366" s="1311"/>
      <c r="I366" s="1311"/>
    </row>
    <row r="367" spans="1:9" s="733" customFormat="1" ht="13.15" customHeight="1" x14ac:dyDescent="0.2">
      <c r="A367" s="638" t="s">
        <v>1990</v>
      </c>
      <c r="B367" s="1311" t="s">
        <v>1991</v>
      </c>
      <c r="C367" s="1311"/>
      <c r="D367" s="1311"/>
      <c r="E367" s="1311"/>
      <c r="F367" s="1311"/>
      <c r="G367" s="1311"/>
      <c r="H367" s="1311"/>
      <c r="I367" s="1311"/>
    </row>
    <row r="368" spans="1:9" s="733" customFormat="1" ht="13.15" customHeight="1" x14ac:dyDescent="0.2">
      <c r="A368" s="638" t="s">
        <v>1986</v>
      </c>
      <c r="B368" s="1311" t="s">
        <v>1987</v>
      </c>
      <c r="C368" s="1311"/>
      <c r="D368" s="1311"/>
      <c r="E368" s="1311"/>
      <c r="F368" s="1311"/>
      <c r="G368" s="1311"/>
      <c r="H368" s="1311"/>
      <c r="I368" s="1311"/>
    </row>
    <row r="369" spans="1:9" s="733" customFormat="1" x14ac:dyDescent="0.2">
      <c r="A369" s="638" t="s">
        <v>2346</v>
      </c>
      <c r="B369" s="1311" t="s">
        <v>2006</v>
      </c>
      <c r="C369" s="1311"/>
      <c r="D369" s="1311"/>
      <c r="E369" s="1311"/>
      <c r="F369" s="1311"/>
      <c r="G369" s="1311"/>
      <c r="H369" s="1311"/>
      <c r="I369" s="1311"/>
    </row>
    <row r="370" spans="1:9" s="733" customFormat="1" x14ac:dyDescent="0.2">
      <c r="A370" s="638" t="s">
        <v>168</v>
      </c>
      <c r="B370" s="1311" t="s">
        <v>2003</v>
      </c>
      <c r="C370" s="1311"/>
      <c r="D370" s="1311"/>
      <c r="E370" s="1311"/>
      <c r="F370" s="1311"/>
      <c r="G370" s="1311"/>
      <c r="H370" s="1311"/>
      <c r="I370" s="1311"/>
    </row>
    <row r="371" spans="1:9" s="733" customFormat="1" ht="13.15" customHeight="1" x14ac:dyDescent="0.2">
      <c r="A371" s="638" t="s">
        <v>2018</v>
      </c>
      <c r="B371" s="1311" t="s">
        <v>2019</v>
      </c>
      <c r="C371" s="1311"/>
      <c r="D371" s="1311"/>
      <c r="E371" s="1311"/>
      <c r="F371" s="1311"/>
      <c r="G371" s="1311"/>
      <c r="H371" s="1311"/>
      <c r="I371" s="1311"/>
    </row>
    <row r="372" spans="1:9" s="733" customFormat="1" ht="13.15" customHeight="1" x14ac:dyDescent="0.2">
      <c r="A372" s="638" t="s">
        <v>2020</v>
      </c>
      <c r="B372" s="1311" t="s">
        <v>2021</v>
      </c>
      <c r="C372" s="1311"/>
      <c r="D372" s="1311"/>
      <c r="E372" s="1311"/>
      <c r="F372" s="1311"/>
      <c r="G372" s="1311"/>
      <c r="H372" s="1311"/>
      <c r="I372" s="1311"/>
    </row>
    <row r="373" spans="1:9" s="733" customFormat="1" x14ac:dyDescent="0.2">
      <c r="A373" s="638" t="s">
        <v>2011</v>
      </c>
      <c r="B373" s="1311" t="s">
        <v>1202</v>
      </c>
      <c r="C373" s="1311"/>
      <c r="D373" s="1311"/>
      <c r="E373" s="1311"/>
      <c r="F373" s="1311"/>
      <c r="G373" s="1311"/>
      <c r="H373" s="1311"/>
      <c r="I373" s="1311"/>
    </row>
    <row r="374" spans="1:9" s="733" customFormat="1" ht="13.15" customHeight="1" x14ac:dyDescent="0.2">
      <c r="A374" s="638" t="s">
        <v>1037</v>
      </c>
      <c r="B374" s="1311" t="s">
        <v>2523</v>
      </c>
      <c r="C374" s="1311"/>
      <c r="D374" s="1311"/>
      <c r="E374" s="1311"/>
      <c r="F374" s="1311"/>
      <c r="G374" s="1311"/>
      <c r="H374" s="1311"/>
      <c r="I374" s="1311"/>
    </row>
    <row r="375" spans="1:9" s="733" customFormat="1" ht="13.15" customHeight="1" x14ac:dyDescent="0.2">
      <c r="A375" s="638" t="s">
        <v>1997</v>
      </c>
      <c r="B375" s="1311" t="s">
        <v>1998</v>
      </c>
      <c r="C375" s="1311"/>
      <c r="D375" s="1311"/>
      <c r="E375" s="1311"/>
      <c r="F375" s="1311"/>
      <c r="G375" s="1311"/>
      <c r="H375" s="1311"/>
      <c r="I375" s="1311"/>
    </row>
    <row r="376" spans="1:9" s="733" customFormat="1" ht="13.15" customHeight="1" x14ac:dyDescent="0.2">
      <c r="A376" s="638" t="s">
        <v>2001</v>
      </c>
      <c r="B376" s="1311" t="s">
        <v>2002</v>
      </c>
      <c r="C376" s="1311"/>
      <c r="D376" s="1311"/>
      <c r="E376" s="1311"/>
      <c r="F376" s="1311"/>
      <c r="G376" s="1311"/>
      <c r="H376" s="1311"/>
      <c r="I376" s="1311"/>
    </row>
    <row r="377" spans="1:9" s="733" customFormat="1" ht="13.15" customHeight="1" x14ac:dyDescent="0.2">
      <c r="A377" s="1129" t="s">
        <v>613</v>
      </c>
      <c r="B377" s="1312" t="s">
        <v>2525</v>
      </c>
      <c r="C377" s="1312"/>
      <c r="D377" s="1312"/>
      <c r="E377" s="1312"/>
      <c r="F377" s="1312"/>
      <c r="G377" s="1312"/>
      <c r="H377" s="1312"/>
      <c r="I377" s="1312"/>
    </row>
    <row r="378" spans="1:9" s="1016" customFormat="1" x14ac:dyDescent="0.2"/>
    <row r="379" spans="1:9" s="1017" customFormat="1" x14ac:dyDescent="0.2">
      <c r="A379" s="1015" t="s">
        <v>204</v>
      </c>
      <c r="B379" s="1314" t="s">
        <v>2563</v>
      </c>
      <c r="C379" s="1314"/>
      <c r="D379" s="1314"/>
      <c r="E379" s="1314"/>
      <c r="F379" s="1314"/>
      <c r="G379" s="1314"/>
      <c r="H379" s="1314"/>
      <c r="I379" s="1314"/>
    </row>
    <row r="380" spans="1:9" s="1127" customFormat="1" x14ac:dyDescent="0.2">
      <c r="A380" s="1126" t="s">
        <v>17</v>
      </c>
      <c r="B380" s="1313" t="s">
        <v>78</v>
      </c>
      <c r="C380" s="1313"/>
      <c r="D380" s="1313"/>
      <c r="E380" s="1313"/>
      <c r="F380" s="1313"/>
      <c r="G380" s="1313"/>
      <c r="H380" s="1313"/>
      <c r="I380" s="1313"/>
    </row>
    <row r="381" spans="1:9" s="733" customFormat="1" ht="13.15" customHeight="1" x14ac:dyDescent="0.2">
      <c r="A381" s="638" t="s">
        <v>2014</v>
      </c>
      <c r="B381" s="1311" t="s">
        <v>2015</v>
      </c>
      <c r="C381" s="1311"/>
      <c r="D381" s="1311"/>
      <c r="E381" s="1311"/>
      <c r="F381" s="1311"/>
      <c r="G381" s="1311"/>
      <c r="H381" s="1311"/>
      <c r="I381" s="1311"/>
    </row>
    <row r="382" spans="1:9" s="733" customFormat="1" ht="13.15" customHeight="1" x14ac:dyDescent="0.2">
      <c r="A382" s="1129">
        <v>80</v>
      </c>
      <c r="B382" s="1312" t="s">
        <v>2524</v>
      </c>
      <c r="C382" s="1312"/>
      <c r="D382" s="1312"/>
      <c r="E382" s="1312"/>
      <c r="F382" s="1312"/>
      <c r="G382" s="1312"/>
      <c r="H382" s="1312"/>
      <c r="I382" s="1312"/>
    </row>
    <row r="383" spans="1:9" s="733" customFormat="1" ht="13.15" customHeight="1" x14ac:dyDescent="0.2">
      <c r="A383" s="638" t="s">
        <v>2412</v>
      </c>
      <c r="B383" s="1311" t="s">
        <v>2411</v>
      </c>
      <c r="C383" s="1311"/>
      <c r="D383" s="1311"/>
      <c r="E383" s="1311"/>
      <c r="F383" s="1311"/>
      <c r="G383" s="1311"/>
      <c r="H383" s="1311"/>
      <c r="I383" s="1311"/>
    </row>
    <row r="384" spans="1:9" s="733" customFormat="1" ht="13.15" customHeight="1" x14ac:dyDescent="0.2">
      <c r="A384" s="1128" t="s">
        <v>2682</v>
      </c>
      <c r="B384" s="1316" t="s">
        <v>2681</v>
      </c>
      <c r="C384" s="1316"/>
      <c r="D384" s="1316"/>
      <c r="E384" s="1316"/>
      <c r="F384" s="1316"/>
      <c r="G384" s="1316"/>
      <c r="H384" s="1316"/>
      <c r="I384" s="1316"/>
    </row>
    <row r="385" spans="1:9" s="733" customFormat="1" ht="13.15" customHeight="1" x14ac:dyDescent="0.2">
      <c r="A385" s="638" t="s">
        <v>1988</v>
      </c>
      <c r="B385" s="1311" t="s">
        <v>1989</v>
      </c>
      <c r="C385" s="1311"/>
      <c r="D385" s="1311"/>
      <c r="E385" s="1311"/>
      <c r="F385" s="1311"/>
      <c r="G385" s="1311"/>
      <c r="H385" s="1311"/>
      <c r="I385" s="1311"/>
    </row>
    <row r="386" spans="1:9" s="733" customFormat="1" ht="13.15" customHeight="1" x14ac:dyDescent="0.2">
      <c r="A386" s="638" t="s">
        <v>2016</v>
      </c>
      <c r="B386" s="1311" t="s">
        <v>2017</v>
      </c>
      <c r="C386" s="1311"/>
      <c r="D386" s="1311"/>
      <c r="E386" s="1311"/>
      <c r="F386" s="1311"/>
      <c r="G386" s="1311"/>
      <c r="H386" s="1311"/>
      <c r="I386" s="1311"/>
    </row>
    <row r="387" spans="1:9" s="733" customFormat="1" ht="13.15" customHeight="1" x14ac:dyDescent="0.2">
      <c r="A387" s="638" t="s">
        <v>1992</v>
      </c>
      <c r="B387" s="1311" t="s">
        <v>1993</v>
      </c>
      <c r="C387" s="1311"/>
      <c r="D387" s="1311"/>
      <c r="E387" s="1311"/>
      <c r="F387" s="1311"/>
      <c r="G387" s="1311"/>
      <c r="H387" s="1311"/>
      <c r="I387" s="1311"/>
    </row>
    <row r="388" spans="1:9" s="733" customFormat="1" x14ac:dyDescent="0.2">
      <c r="A388" s="638" t="s">
        <v>1994</v>
      </c>
      <c r="B388" s="1311" t="s">
        <v>1995</v>
      </c>
      <c r="C388" s="1311"/>
      <c r="D388" s="1311"/>
      <c r="E388" s="1311"/>
      <c r="F388" s="1311"/>
      <c r="G388" s="1311"/>
      <c r="H388" s="1311"/>
      <c r="I388" s="1311"/>
    </row>
    <row r="389" spans="1:9" s="733" customFormat="1" ht="13.15" customHeight="1" x14ac:dyDescent="0.2">
      <c r="A389" s="638" t="s">
        <v>344</v>
      </c>
      <c r="B389" s="1311" t="s">
        <v>1996</v>
      </c>
      <c r="C389" s="1311"/>
      <c r="D389" s="1311"/>
      <c r="E389" s="1311"/>
      <c r="F389" s="1311"/>
      <c r="G389" s="1311"/>
      <c r="H389" s="1311"/>
      <c r="I389" s="1311"/>
    </row>
    <row r="390" spans="1:9" s="733" customFormat="1" ht="13.15" customHeight="1" x14ac:dyDescent="0.2">
      <c r="A390" s="1128" t="s">
        <v>2760</v>
      </c>
      <c r="B390" s="1316" t="s">
        <v>2761</v>
      </c>
      <c r="C390" s="1316"/>
      <c r="D390" s="1316"/>
      <c r="E390" s="1316"/>
      <c r="F390" s="1316"/>
      <c r="G390" s="1316"/>
      <c r="H390" s="1316"/>
      <c r="I390" s="1316"/>
    </row>
    <row r="391" spans="1:9" s="733" customFormat="1" ht="13.15" customHeight="1" x14ac:dyDescent="0.2">
      <c r="A391" s="1129" t="s">
        <v>2400</v>
      </c>
      <c r="B391" s="1312" t="s">
        <v>2401</v>
      </c>
      <c r="C391" s="1312"/>
      <c r="D391" s="1312"/>
      <c r="E391" s="1312"/>
      <c r="F391" s="1312"/>
      <c r="G391" s="1312"/>
      <c r="H391" s="1312"/>
      <c r="I391" s="1312"/>
    </row>
    <row r="392" spans="1:9" s="733" customFormat="1" ht="13.15" customHeight="1" x14ac:dyDescent="0.2">
      <c r="A392" s="638" t="s">
        <v>2521</v>
      </c>
      <c r="B392" s="1311" t="s">
        <v>2522</v>
      </c>
      <c r="C392" s="1311"/>
      <c r="D392" s="1311"/>
      <c r="E392" s="1311"/>
      <c r="F392" s="1311"/>
      <c r="G392" s="1311"/>
      <c r="H392" s="1311"/>
      <c r="I392" s="1311"/>
    </row>
    <row r="393" spans="1:9" s="733" customFormat="1" ht="13.15" customHeight="1" x14ac:dyDescent="0.2">
      <c r="A393" s="1128" t="s">
        <v>2758</v>
      </c>
      <c r="B393" s="1316" t="s">
        <v>2759</v>
      </c>
      <c r="C393" s="1316"/>
      <c r="D393" s="1316"/>
      <c r="E393" s="1316"/>
      <c r="F393" s="1316"/>
      <c r="G393" s="1316"/>
      <c r="H393" s="1316"/>
      <c r="I393" s="1316"/>
    </row>
    <row r="394" spans="1:9" s="733" customFormat="1" ht="13.15" customHeight="1" x14ac:dyDescent="0.2">
      <c r="A394" s="638" t="s">
        <v>2022</v>
      </c>
      <c r="B394" s="1311" t="s">
        <v>2023</v>
      </c>
      <c r="C394" s="1311"/>
      <c r="D394" s="1311"/>
      <c r="E394" s="1311"/>
      <c r="F394" s="1311"/>
      <c r="G394" s="1311"/>
      <c r="H394" s="1311"/>
      <c r="I394" s="1311"/>
    </row>
    <row r="395" spans="1:9" s="733" customFormat="1" ht="13.15" customHeight="1" x14ac:dyDescent="0.2">
      <c r="A395" s="638" t="s">
        <v>2420</v>
      </c>
      <c r="B395" s="1311" t="s">
        <v>2419</v>
      </c>
      <c r="C395" s="1311"/>
      <c r="D395" s="1311"/>
      <c r="E395" s="1311"/>
      <c r="F395" s="1311"/>
      <c r="G395" s="1311"/>
      <c r="H395" s="1311"/>
      <c r="I395" s="1311"/>
    </row>
    <row r="396" spans="1:9" s="733" customFormat="1" ht="13.15" customHeight="1" x14ac:dyDescent="0.2">
      <c r="A396" s="638" t="s">
        <v>1999</v>
      </c>
      <c r="B396" s="1311" t="s">
        <v>2000</v>
      </c>
      <c r="C396" s="1311"/>
      <c r="D396" s="1311"/>
      <c r="E396" s="1311"/>
      <c r="F396" s="1311"/>
      <c r="G396" s="1311"/>
      <c r="H396" s="1311"/>
      <c r="I396" s="1311"/>
    </row>
    <row r="397" spans="1:9" s="733" customFormat="1" ht="13.15" customHeight="1" x14ac:dyDescent="0.2">
      <c r="A397" s="638" t="s">
        <v>2012</v>
      </c>
      <c r="B397" s="1311" t="s">
        <v>2013</v>
      </c>
      <c r="C397" s="1311"/>
      <c r="D397" s="1311"/>
      <c r="E397" s="1311"/>
      <c r="F397" s="1311"/>
      <c r="G397" s="1311"/>
      <c r="H397" s="1311"/>
      <c r="I397" s="1311"/>
    </row>
    <row r="398" spans="1:9" s="733" customFormat="1" ht="13.15" customHeight="1" x14ac:dyDescent="0.2">
      <c r="A398" s="638" t="s">
        <v>2526</v>
      </c>
      <c r="B398" s="1311" t="s">
        <v>2508</v>
      </c>
      <c r="C398" s="1311"/>
      <c r="D398" s="1311"/>
      <c r="E398" s="1311"/>
      <c r="F398" s="1311"/>
      <c r="G398" s="1311"/>
      <c r="H398" s="1311"/>
      <c r="I398" s="1311"/>
    </row>
    <row r="399" spans="1:9" s="733" customFormat="1" ht="13.15" customHeight="1" x14ac:dyDescent="0.2">
      <c r="A399" s="638" t="s">
        <v>2417</v>
      </c>
      <c r="B399" s="1311" t="s">
        <v>2418</v>
      </c>
      <c r="C399" s="1311"/>
      <c r="D399" s="1311"/>
      <c r="E399" s="1311"/>
      <c r="F399" s="1311"/>
      <c r="G399" s="1311"/>
      <c r="H399" s="1311"/>
      <c r="I399" s="1311"/>
    </row>
    <row r="400" spans="1:9" s="733" customFormat="1" ht="13.15" customHeight="1" x14ac:dyDescent="0.2">
      <c r="A400" s="638" t="s">
        <v>2009</v>
      </c>
      <c r="B400" s="1311" t="s">
        <v>2010</v>
      </c>
      <c r="C400" s="1311"/>
      <c r="D400" s="1311"/>
      <c r="E400" s="1311"/>
      <c r="F400" s="1311"/>
      <c r="G400" s="1311"/>
      <c r="H400" s="1311"/>
      <c r="I400" s="1311"/>
    </row>
    <row r="401" spans="1:9" s="733" customFormat="1" ht="13.15" customHeight="1" x14ac:dyDescent="0.2">
      <c r="A401" s="638" t="s">
        <v>2007</v>
      </c>
      <c r="B401" s="1311" t="s">
        <v>2008</v>
      </c>
      <c r="C401" s="1311"/>
      <c r="D401" s="1311"/>
      <c r="E401" s="1311"/>
      <c r="F401" s="1311"/>
      <c r="G401" s="1311"/>
      <c r="H401" s="1311"/>
      <c r="I401" s="1311"/>
    </row>
    <row r="402" spans="1:9" s="733" customFormat="1" ht="13.15" customHeight="1" x14ac:dyDescent="0.2">
      <c r="A402" s="638" t="s">
        <v>2004</v>
      </c>
      <c r="B402" s="1311" t="s">
        <v>2005</v>
      </c>
      <c r="C402" s="1311"/>
      <c r="D402" s="1311"/>
      <c r="E402" s="1311"/>
      <c r="F402" s="1311"/>
      <c r="G402" s="1311"/>
      <c r="H402" s="1311"/>
      <c r="I402" s="1311"/>
    </row>
    <row r="403" spans="1:9" s="733" customFormat="1" ht="13.15" customHeight="1" x14ac:dyDescent="0.2">
      <c r="A403" s="638" t="s">
        <v>1990</v>
      </c>
      <c r="B403" s="1311" t="s">
        <v>1991</v>
      </c>
      <c r="C403" s="1311"/>
      <c r="D403" s="1311"/>
      <c r="E403" s="1311"/>
      <c r="F403" s="1311"/>
      <c r="G403" s="1311"/>
      <c r="H403" s="1311"/>
      <c r="I403" s="1311"/>
    </row>
    <row r="404" spans="1:9" s="733" customFormat="1" ht="13.15" customHeight="1" x14ac:dyDescent="0.2">
      <c r="A404" s="638" t="s">
        <v>1986</v>
      </c>
      <c r="B404" s="1311" t="s">
        <v>1987</v>
      </c>
      <c r="C404" s="1311"/>
      <c r="D404" s="1311"/>
      <c r="E404" s="1311"/>
      <c r="F404" s="1311"/>
      <c r="G404" s="1311"/>
      <c r="H404" s="1311"/>
      <c r="I404" s="1311"/>
    </row>
    <row r="405" spans="1:9" s="733" customFormat="1" x14ac:dyDescent="0.2">
      <c r="A405" s="638" t="s">
        <v>2346</v>
      </c>
      <c r="B405" s="1311" t="s">
        <v>2006</v>
      </c>
      <c r="C405" s="1311"/>
      <c r="D405" s="1311"/>
      <c r="E405" s="1311"/>
      <c r="F405" s="1311"/>
      <c r="G405" s="1311"/>
      <c r="H405" s="1311"/>
      <c r="I405" s="1311"/>
    </row>
    <row r="406" spans="1:9" s="733" customFormat="1" x14ac:dyDescent="0.2">
      <c r="A406" s="638" t="s">
        <v>168</v>
      </c>
      <c r="B406" s="1311" t="s">
        <v>2003</v>
      </c>
      <c r="C406" s="1311"/>
      <c r="D406" s="1311"/>
      <c r="E406" s="1311"/>
      <c r="F406" s="1311"/>
      <c r="G406" s="1311"/>
      <c r="H406" s="1311"/>
      <c r="I406" s="1311"/>
    </row>
    <row r="407" spans="1:9" s="733" customFormat="1" ht="13.15" customHeight="1" x14ac:dyDescent="0.2">
      <c r="A407" s="638" t="s">
        <v>2018</v>
      </c>
      <c r="B407" s="1311" t="s">
        <v>2019</v>
      </c>
      <c r="C407" s="1311"/>
      <c r="D407" s="1311"/>
      <c r="E407" s="1311"/>
      <c r="F407" s="1311"/>
      <c r="G407" s="1311"/>
      <c r="H407" s="1311"/>
      <c r="I407" s="1311"/>
    </row>
    <row r="408" spans="1:9" s="733" customFormat="1" ht="13.15" customHeight="1" x14ac:dyDescent="0.2">
      <c r="A408" s="638" t="s">
        <v>2020</v>
      </c>
      <c r="B408" s="1311" t="s">
        <v>2021</v>
      </c>
      <c r="C408" s="1311"/>
      <c r="D408" s="1311"/>
      <c r="E408" s="1311"/>
      <c r="F408" s="1311"/>
      <c r="G408" s="1311"/>
      <c r="H408" s="1311"/>
      <c r="I408" s="1311"/>
    </row>
    <row r="409" spans="1:9" s="733" customFormat="1" x14ac:dyDescent="0.2">
      <c r="A409" s="638" t="s">
        <v>2011</v>
      </c>
      <c r="B409" s="1311" t="s">
        <v>1202</v>
      </c>
      <c r="C409" s="1311"/>
      <c r="D409" s="1311"/>
      <c r="E409" s="1311"/>
      <c r="F409" s="1311"/>
      <c r="G409" s="1311"/>
      <c r="H409" s="1311"/>
      <c r="I409" s="1311"/>
    </row>
    <row r="410" spans="1:9" s="733" customFormat="1" ht="13.15" customHeight="1" x14ac:dyDescent="0.2">
      <c r="A410" s="638" t="s">
        <v>1037</v>
      </c>
      <c r="B410" s="1311" t="s">
        <v>2523</v>
      </c>
      <c r="C410" s="1311"/>
      <c r="D410" s="1311"/>
      <c r="E410" s="1311"/>
      <c r="F410" s="1311"/>
      <c r="G410" s="1311"/>
      <c r="H410" s="1311"/>
      <c r="I410" s="1311"/>
    </row>
    <row r="411" spans="1:9" s="733" customFormat="1" ht="13.15" customHeight="1" x14ac:dyDescent="0.2">
      <c r="A411" s="638" t="s">
        <v>1997</v>
      </c>
      <c r="B411" s="1311" t="s">
        <v>1998</v>
      </c>
      <c r="C411" s="1311"/>
      <c r="D411" s="1311"/>
      <c r="E411" s="1311"/>
      <c r="F411" s="1311"/>
      <c r="G411" s="1311"/>
      <c r="H411" s="1311"/>
      <c r="I411" s="1311"/>
    </row>
    <row r="412" spans="1:9" s="733" customFormat="1" ht="13.15" customHeight="1" x14ac:dyDescent="0.2">
      <c r="A412" s="638" t="s">
        <v>2001</v>
      </c>
      <c r="B412" s="1311" t="s">
        <v>2002</v>
      </c>
      <c r="C412" s="1311"/>
      <c r="D412" s="1311"/>
      <c r="E412" s="1311"/>
      <c r="F412" s="1311"/>
      <c r="G412" s="1311"/>
      <c r="H412" s="1311"/>
      <c r="I412" s="1311"/>
    </row>
    <row r="413" spans="1:9" s="733" customFormat="1" ht="13.15" customHeight="1" x14ac:dyDescent="0.2">
      <c r="A413" s="1129" t="s">
        <v>613</v>
      </c>
      <c r="B413" s="1312" t="s">
        <v>2525</v>
      </c>
      <c r="C413" s="1312"/>
      <c r="D413" s="1312"/>
      <c r="E413" s="1312"/>
      <c r="F413" s="1312"/>
      <c r="G413" s="1312"/>
      <c r="H413" s="1312"/>
      <c r="I413" s="1312"/>
    </row>
    <row r="414" spans="1:9" s="1016" customFormat="1" x14ac:dyDescent="0.2"/>
    <row r="415" spans="1:9" s="630" customFormat="1" ht="13.15" customHeight="1" x14ac:dyDescent="0.2">
      <c r="A415" s="835" t="s">
        <v>770</v>
      </c>
      <c r="B415" s="1327" t="s">
        <v>91</v>
      </c>
      <c r="C415" s="1327"/>
      <c r="D415" s="1327"/>
      <c r="E415" s="1327"/>
      <c r="F415" s="1327"/>
      <c r="G415" s="1327"/>
      <c r="H415" s="1327"/>
      <c r="I415" s="1327"/>
    </row>
    <row r="416" spans="1:9" s="630" customFormat="1" ht="13.15" hidden="1" customHeight="1" x14ac:dyDescent="0.2">
      <c r="A416" s="836" t="s">
        <v>17</v>
      </c>
      <c r="B416" s="1331" t="s">
        <v>78</v>
      </c>
      <c r="C416" s="1332"/>
      <c r="D416" s="1332"/>
      <c r="E416" s="1332"/>
      <c r="F416" s="1333"/>
      <c r="G416" s="837" t="s">
        <v>771</v>
      </c>
      <c r="H416" s="837" t="s">
        <v>772</v>
      </c>
      <c r="I416" s="836" t="s">
        <v>773</v>
      </c>
    </row>
    <row r="417" spans="1:12" s="630" customFormat="1" hidden="1" x14ac:dyDescent="0.2">
      <c r="A417" s="316"/>
      <c r="B417" s="1322"/>
      <c r="C417" s="1342"/>
      <c r="D417" s="1342"/>
      <c r="E417" s="1342"/>
      <c r="F417" s="1343"/>
      <c r="G417" s="839"/>
      <c r="H417" s="839"/>
      <c r="I417" s="838"/>
    </row>
    <row r="418" spans="1:12" s="653" customFormat="1" hidden="1" x14ac:dyDescent="0.2">
      <c r="A418" s="652"/>
      <c r="B418" s="1326"/>
      <c r="C418" s="1323"/>
      <c r="D418" s="1323"/>
      <c r="E418" s="1323"/>
      <c r="F418" s="1324"/>
      <c r="G418" s="651"/>
      <c r="H418" s="651"/>
      <c r="I418" s="649"/>
    </row>
    <row r="419" spans="1:12" s="653" customFormat="1" hidden="1" x14ac:dyDescent="0.2">
      <c r="A419" s="316"/>
      <c r="B419" s="1326"/>
      <c r="C419" s="1323"/>
      <c r="D419" s="1323"/>
      <c r="E419" s="1323"/>
      <c r="F419" s="1324"/>
      <c r="G419" s="651"/>
      <c r="H419" s="651"/>
      <c r="I419" s="649"/>
    </row>
    <row r="420" spans="1:12" s="653" customFormat="1" hidden="1" x14ac:dyDescent="0.2">
      <c r="A420" s="652"/>
      <c r="B420" s="1326"/>
      <c r="C420" s="1323"/>
      <c r="D420" s="1323"/>
      <c r="E420" s="1323"/>
      <c r="F420" s="1324"/>
      <c r="G420" s="651"/>
      <c r="H420" s="651"/>
      <c r="I420" s="649"/>
    </row>
    <row r="421" spans="1:12" s="653" customFormat="1" hidden="1" x14ac:dyDescent="0.2">
      <c r="A421" s="652"/>
      <c r="B421" s="1326"/>
      <c r="C421" s="1323"/>
      <c r="D421" s="1323"/>
      <c r="E421" s="1323"/>
      <c r="F421" s="1324"/>
      <c r="G421" s="651"/>
      <c r="H421" s="651"/>
      <c r="I421" s="649"/>
    </row>
    <row r="422" spans="1:12" s="653" customFormat="1" hidden="1" x14ac:dyDescent="0.2">
      <c r="A422" s="652"/>
      <c r="B422" s="1326"/>
      <c r="C422" s="1323"/>
      <c r="D422" s="1323"/>
      <c r="E422" s="1323"/>
      <c r="F422" s="1324"/>
      <c r="G422" s="651"/>
      <c r="H422" s="651"/>
      <c r="I422" s="649"/>
    </row>
    <row r="423" spans="1:12" s="653" customFormat="1" hidden="1" x14ac:dyDescent="0.2">
      <c r="A423" s="652"/>
      <c r="B423" s="1326"/>
      <c r="C423" s="1323"/>
      <c r="D423" s="1323"/>
      <c r="E423" s="1323"/>
      <c r="F423" s="1324"/>
      <c r="G423" s="651"/>
      <c r="H423" s="651"/>
      <c r="I423" s="649"/>
    </row>
    <row r="424" spans="1:12" s="653" customFormat="1" hidden="1" x14ac:dyDescent="0.2">
      <c r="A424" s="652"/>
      <c r="B424" s="1326"/>
      <c r="C424" s="1323"/>
      <c r="D424" s="1323"/>
      <c r="E424" s="1323"/>
      <c r="F424" s="1324"/>
      <c r="G424" s="651"/>
      <c r="H424" s="651"/>
      <c r="I424" s="649"/>
    </row>
    <row r="425" spans="1:12" s="653" customFormat="1" hidden="1" x14ac:dyDescent="0.2">
      <c r="A425" s="652"/>
      <c r="B425" s="1326"/>
      <c r="C425" s="1323"/>
      <c r="D425" s="1323"/>
      <c r="E425" s="1323"/>
      <c r="F425" s="1324"/>
      <c r="G425" s="651"/>
      <c r="H425" s="651"/>
      <c r="I425" s="649"/>
    </row>
    <row r="426" spans="1:12" s="653" customFormat="1" x14ac:dyDescent="0.2">
      <c r="A426" s="191" t="s">
        <v>1486</v>
      </c>
    </row>
    <row r="427" spans="1:12" s="642" customFormat="1" ht="13.15" customHeight="1" x14ac:dyDescent="0.2">
      <c r="A427" s="1336" t="s">
        <v>777</v>
      </c>
      <c r="B427" s="1336"/>
      <c r="C427" s="1336"/>
      <c r="D427" s="1336"/>
      <c r="E427" s="1336"/>
      <c r="F427" s="1336"/>
      <c r="G427" s="1336"/>
      <c r="H427" s="1336"/>
      <c r="I427" s="1336"/>
      <c r="J427" s="1336"/>
      <c r="K427" s="1336"/>
      <c r="L427" s="1336"/>
    </row>
    <row r="428" spans="1:12" s="653" customFormat="1" x14ac:dyDescent="0.2">
      <c r="A428" s="308"/>
      <c r="B428" s="645"/>
      <c r="C428" s="645"/>
      <c r="D428" s="645"/>
      <c r="E428" s="645"/>
      <c r="F428" s="645"/>
    </row>
    <row r="429" spans="1:12" s="653" customFormat="1" ht="13.15" customHeight="1" x14ac:dyDescent="0.2">
      <c r="A429" s="1314" t="s">
        <v>757</v>
      </c>
      <c r="B429" s="1314"/>
      <c r="C429" s="1314"/>
      <c r="D429" s="1314"/>
      <c r="E429" s="643" t="s">
        <v>91</v>
      </c>
    </row>
    <row r="430" spans="1:12" s="653" customFormat="1" ht="13.15" hidden="1" customHeight="1" x14ac:dyDescent="0.2">
      <c r="A430" s="640" t="s">
        <v>17</v>
      </c>
      <c r="B430" s="1331" t="s">
        <v>78</v>
      </c>
      <c r="C430" s="1332"/>
      <c r="D430" s="1332"/>
      <c r="E430" s="1332"/>
      <c r="F430" s="1332"/>
      <c r="G430" s="1332"/>
      <c r="H430" s="1332"/>
      <c r="I430" s="1333"/>
    </row>
    <row r="431" spans="1:12" s="83" customFormat="1" hidden="1" x14ac:dyDescent="0.2">
      <c r="A431" s="316"/>
      <c r="B431" s="1320"/>
      <c r="C431" s="1320"/>
      <c r="D431" s="1320"/>
      <c r="E431" s="1320"/>
      <c r="F431" s="1320"/>
      <c r="G431" s="1320"/>
      <c r="H431" s="1320"/>
      <c r="I431" s="1320"/>
    </row>
    <row r="432" spans="1:12" s="83" customFormat="1" hidden="1" x14ac:dyDescent="0.2">
      <c r="A432" s="316"/>
      <c r="B432" s="1320"/>
      <c r="C432" s="1320"/>
      <c r="D432" s="1320"/>
      <c r="E432" s="1320"/>
      <c r="F432" s="1320"/>
      <c r="G432" s="1320"/>
      <c r="H432" s="1320"/>
      <c r="I432" s="1320"/>
    </row>
    <row r="433" spans="1:9" s="83" customFormat="1" hidden="1" x14ac:dyDescent="0.2">
      <c r="A433" s="316"/>
      <c r="B433" s="1320"/>
      <c r="C433" s="1320"/>
      <c r="D433" s="1320"/>
      <c r="E433" s="1320"/>
      <c r="F433" s="1320"/>
      <c r="G433" s="1320"/>
      <c r="H433" s="1320"/>
      <c r="I433" s="1320"/>
    </row>
    <row r="434" spans="1:9" s="83" customFormat="1" hidden="1" x14ac:dyDescent="0.2">
      <c r="A434" s="316"/>
      <c r="B434" s="1320"/>
      <c r="C434" s="1320"/>
      <c r="D434" s="1320"/>
      <c r="E434" s="1320"/>
      <c r="F434" s="1320"/>
      <c r="G434" s="1320"/>
      <c r="H434" s="1320"/>
      <c r="I434" s="1320"/>
    </row>
    <row r="435" spans="1:9" s="83" customFormat="1" hidden="1" x14ac:dyDescent="0.2">
      <c r="A435" s="316"/>
      <c r="B435" s="1320"/>
      <c r="C435" s="1320"/>
      <c r="D435" s="1320"/>
      <c r="E435" s="1320"/>
      <c r="F435" s="1320"/>
      <c r="G435" s="1320"/>
      <c r="H435" s="1320"/>
      <c r="I435" s="1320"/>
    </row>
    <row r="436" spans="1:9" s="83" customFormat="1" hidden="1" x14ac:dyDescent="0.2">
      <c r="A436" s="316"/>
      <c r="B436" s="1320"/>
      <c r="C436" s="1320"/>
      <c r="D436" s="1320"/>
      <c r="E436" s="1320"/>
      <c r="F436" s="1320"/>
      <c r="G436" s="1320"/>
      <c r="H436" s="1320"/>
      <c r="I436" s="1320"/>
    </row>
    <row r="437" spans="1:9" s="83" customFormat="1" hidden="1" x14ac:dyDescent="0.2">
      <c r="A437" s="316"/>
      <c r="B437" s="1320"/>
      <c r="C437" s="1320"/>
      <c r="D437" s="1320"/>
      <c r="E437" s="1320"/>
      <c r="F437" s="1320"/>
      <c r="G437" s="1320"/>
      <c r="H437" s="1320"/>
      <c r="I437" s="1320"/>
    </row>
    <row r="438" spans="1:9" s="83" customFormat="1" hidden="1" x14ac:dyDescent="0.2">
      <c r="A438" s="316"/>
      <c r="B438" s="1320"/>
      <c r="C438" s="1320"/>
      <c r="D438" s="1320"/>
      <c r="E438" s="1320"/>
      <c r="F438" s="1320"/>
      <c r="G438" s="1320"/>
      <c r="H438" s="1320"/>
      <c r="I438" s="1320"/>
    </row>
    <row r="439" spans="1:9" s="83" customFormat="1" hidden="1" x14ac:dyDescent="0.2">
      <c r="A439" s="316"/>
      <c r="B439" s="1320"/>
      <c r="C439" s="1320"/>
      <c r="D439" s="1320"/>
      <c r="E439" s="1320"/>
      <c r="F439" s="1320"/>
      <c r="G439" s="1320"/>
      <c r="H439" s="1320"/>
      <c r="I439" s="1320"/>
    </row>
    <row r="440" spans="1:9" s="83" customFormat="1" x14ac:dyDescent="0.2"/>
    <row r="441" spans="1:9" s="83" customFormat="1" ht="12.75" customHeight="1" x14ac:dyDescent="0.2">
      <c r="A441" s="317" t="s">
        <v>755</v>
      </c>
      <c r="B441" s="1314" t="s">
        <v>761</v>
      </c>
      <c r="C441" s="1314"/>
      <c r="D441" s="1314"/>
      <c r="E441" s="1314"/>
      <c r="F441" s="185"/>
      <c r="G441" s="185"/>
      <c r="H441" s="185"/>
      <c r="I441" s="185"/>
    </row>
    <row r="442" spans="1:9" s="83" customFormat="1" ht="25.5" x14ac:dyDescent="0.2">
      <c r="A442" s="194" t="s">
        <v>17</v>
      </c>
      <c r="B442" s="194" t="s">
        <v>541</v>
      </c>
      <c r="C442" s="194" t="s">
        <v>542</v>
      </c>
      <c r="D442" s="194" t="s">
        <v>543</v>
      </c>
      <c r="E442" s="194" t="s">
        <v>540</v>
      </c>
    </row>
    <row r="443" spans="1:9" s="83" customFormat="1" x14ac:dyDescent="0.2">
      <c r="A443" s="56" t="s">
        <v>155</v>
      </c>
      <c r="B443" s="56"/>
      <c r="C443" s="56"/>
      <c r="D443" s="56" t="s">
        <v>604</v>
      </c>
      <c r="E443" s="56"/>
    </row>
    <row r="444" spans="1:9" s="83" customFormat="1" x14ac:dyDescent="0.2">
      <c r="A444" s="56" t="s">
        <v>156</v>
      </c>
      <c r="B444" s="56"/>
      <c r="C444" s="56" t="s">
        <v>604</v>
      </c>
      <c r="D444" s="56"/>
      <c r="E444" s="56"/>
    </row>
    <row r="445" spans="1:9" s="83" customFormat="1" x14ac:dyDescent="0.2">
      <c r="A445" s="56" t="s">
        <v>157</v>
      </c>
      <c r="B445" s="56" t="s">
        <v>604</v>
      </c>
      <c r="C445" s="56"/>
      <c r="D445" s="56"/>
      <c r="E445" s="56"/>
    </row>
    <row r="446" spans="1:9" s="83" customFormat="1" x14ac:dyDescent="0.2">
      <c r="A446" s="56" t="s">
        <v>158</v>
      </c>
      <c r="B446" s="56"/>
      <c r="C446" s="56"/>
      <c r="D446" s="56"/>
      <c r="E446" s="56" t="s">
        <v>604</v>
      </c>
    </row>
    <row r="447" spans="1:9" s="83" customFormat="1" x14ac:dyDescent="0.2">
      <c r="A447" s="56" t="s">
        <v>619</v>
      </c>
      <c r="B447" s="56" t="s">
        <v>604</v>
      </c>
      <c r="C447" s="56" t="s">
        <v>604</v>
      </c>
      <c r="D447" s="56" t="s">
        <v>604</v>
      </c>
      <c r="E447" s="56" t="s">
        <v>604</v>
      </c>
    </row>
    <row r="448" spans="1:9" s="83" customFormat="1" x14ac:dyDescent="0.2">
      <c r="A448" s="56">
        <v>0</v>
      </c>
      <c r="B448" s="56" t="s">
        <v>604</v>
      </c>
      <c r="C448" s="56" t="s">
        <v>604</v>
      </c>
      <c r="D448" s="56"/>
      <c r="E448" s="56" t="s">
        <v>604</v>
      </c>
    </row>
    <row r="449" spans="1:13" s="83" customFormat="1" x14ac:dyDescent="0.2">
      <c r="A449" s="56">
        <v>1</v>
      </c>
      <c r="B449" s="56"/>
      <c r="C449" s="56" t="s">
        <v>604</v>
      </c>
      <c r="D449" s="56" t="s">
        <v>604</v>
      </c>
      <c r="E449" s="56"/>
    </row>
    <row r="450" spans="1:13" s="83" customFormat="1" x14ac:dyDescent="0.2">
      <c r="A450" s="56">
        <v>2</v>
      </c>
      <c r="B450" s="56" t="s">
        <v>604</v>
      </c>
      <c r="C450" s="56"/>
      <c r="D450" s="56" t="s">
        <v>604</v>
      </c>
      <c r="E450" s="56"/>
    </row>
    <row r="451" spans="1:13" s="83" customFormat="1" x14ac:dyDescent="0.2">
      <c r="A451" s="56">
        <v>3</v>
      </c>
      <c r="B451" s="56" t="s">
        <v>604</v>
      </c>
      <c r="C451" s="56" t="s">
        <v>604</v>
      </c>
      <c r="D451" s="56"/>
      <c r="E451" s="56"/>
    </row>
    <row r="452" spans="1:13" s="83" customFormat="1" x14ac:dyDescent="0.2">
      <c r="A452" s="56">
        <v>4</v>
      </c>
      <c r="B452" s="56" t="s">
        <v>604</v>
      </c>
      <c r="C452" s="56" t="s">
        <v>604</v>
      </c>
      <c r="D452" s="56" t="s">
        <v>604</v>
      </c>
      <c r="E452" s="56"/>
    </row>
    <row r="453" spans="1:13" s="83" customFormat="1" x14ac:dyDescent="0.2">
      <c r="A453" s="56">
        <v>5</v>
      </c>
      <c r="B453" s="56"/>
      <c r="C453" s="56"/>
      <c r="D453" s="56" t="s">
        <v>604</v>
      </c>
      <c r="E453" s="56" t="s">
        <v>604</v>
      </c>
    </row>
    <row r="454" spans="1:13" s="83" customFormat="1" x14ac:dyDescent="0.2">
      <c r="A454" s="56">
        <v>6</v>
      </c>
      <c r="B454" s="56"/>
      <c r="C454" s="56" t="s">
        <v>604</v>
      </c>
      <c r="D454" s="56"/>
      <c r="E454" s="56" t="s">
        <v>604</v>
      </c>
    </row>
    <row r="455" spans="1:13" s="83" customFormat="1" x14ac:dyDescent="0.2">
      <c r="A455" s="56">
        <v>7</v>
      </c>
      <c r="B455" s="56"/>
      <c r="C455" s="56" t="s">
        <v>604</v>
      </c>
      <c r="D455" s="56" t="s">
        <v>604</v>
      </c>
      <c r="E455" s="56" t="s">
        <v>604</v>
      </c>
    </row>
    <row r="456" spans="1:13" s="83" customFormat="1" x14ac:dyDescent="0.2">
      <c r="A456" s="56">
        <v>8</v>
      </c>
      <c r="B456" s="56" t="s">
        <v>604</v>
      </c>
      <c r="C456" s="56"/>
      <c r="D456" s="56"/>
      <c r="E456" s="56" t="s">
        <v>604</v>
      </c>
    </row>
    <row r="457" spans="1:13" s="83" customFormat="1" x14ac:dyDescent="0.2">
      <c r="A457" s="56">
        <v>9</v>
      </c>
      <c r="B457" s="56" t="s">
        <v>604</v>
      </c>
      <c r="C457" s="56"/>
      <c r="D457" s="56" t="s">
        <v>604</v>
      </c>
      <c r="E457" s="56" t="s">
        <v>604</v>
      </c>
    </row>
    <row r="458" spans="1:13" s="83" customFormat="1" x14ac:dyDescent="0.2">
      <c r="A458" s="192"/>
    </row>
    <row r="459" spans="1:13" s="83" customFormat="1" x14ac:dyDescent="0.2">
      <c r="A459" s="191" t="s">
        <v>1486</v>
      </c>
    </row>
    <row r="460" spans="1:13" s="83" customFormat="1" ht="42" customHeight="1" x14ac:dyDescent="0.2">
      <c r="A460" s="1337" t="s">
        <v>1795</v>
      </c>
      <c r="B460" s="1337"/>
      <c r="C460" s="1337"/>
      <c r="D460" s="1337"/>
      <c r="E460" s="1337"/>
      <c r="F460" s="1337"/>
      <c r="G460" s="1337"/>
      <c r="H460" s="1337"/>
      <c r="I460" s="1337"/>
      <c r="J460" s="1337"/>
      <c r="K460" s="1337"/>
      <c r="L460" s="1337"/>
      <c r="M460" s="1337"/>
    </row>
    <row r="461" spans="1:13" s="83" customFormat="1" x14ac:dyDescent="0.2">
      <c r="A461" s="193"/>
    </row>
    <row r="462" spans="1:13" s="83" customFormat="1" ht="12.75" customHeight="1" x14ac:dyDescent="0.2">
      <c r="A462" s="317" t="s">
        <v>762</v>
      </c>
      <c r="B462" s="1328" t="s">
        <v>43</v>
      </c>
      <c r="C462" s="1328"/>
      <c r="D462" s="1328"/>
      <c r="E462" s="1328"/>
      <c r="F462" s="1328"/>
      <c r="G462" s="1328"/>
      <c r="H462" s="1328"/>
      <c r="I462" s="1328"/>
    </row>
    <row r="463" spans="1:13" s="83" customFormat="1" ht="12.75" customHeight="1" x14ac:dyDescent="0.2">
      <c r="A463" s="195" t="s">
        <v>17</v>
      </c>
      <c r="B463" s="1313" t="s">
        <v>78</v>
      </c>
      <c r="C463" s="1313"/>
      <c r="D463" s="1313"/>
      <c r="E463" s="1313"/>
      <c r="F463" s="1313"/>
      <c r="G463" s="1313"/>
      <c r="H463" s="1313"/>
      <c r="I463" s="1313"/>
    </row>
    <row r="464" spans="1:13" s="83" customFormat="1" x14ac:dyDescent="0.2">
      <c r="A464" s="56" t="s">
        <v>156</v>
      </c>
      <c r="B464" s="1325" t="s">
        <v>235</v>
      </c>
      <c r="C464" s="1325"/>
      <c r="D464" s="1325"/>
      <c r="E464" s="1325"/>
      <c r="F464" s="1325"/>
      <c r="G464" s="1325"/>
      <c r="H464" s="1325"/>
      <c r="I464" s="1325"/>
    </row>
    <row r="465" spans="1:9" s="83" customFormat="1" x14ac:dyDescent="0.2">
      <c r="A465" s="56" t="s">
        <v>615</v>
      </c>
      <c r="B465" s="1325" t="s">
        <v>159</v>
      </c>
      <c r="C465" s="1325"/>
      <c r="D465" s="1325"/>
      <c r="E465" s="1325"/>
      <c r="F465" s="1325"/>
      <c r="G465" s="1325"/>
      <c r="H465" s="1325"/>
      <c r="I465" s="1325"/>
    </row>
    <row r="466" spans="1:9" s="83" customFormat="1" x14ac:dyDescent="0.2">
      <c r="A466" s="56" t="s">
        <v>157</v>
      </c>
      <c r="B466" s="1325" t="s">
        <v>611</v>
      </c>
      <c r="C466" s="1325"/>
      <c r="D466" s="1325"/>
      <c r="E466" s="1325"/>
      <c r="F466" s="1325"/>
      <c r="G466" s="1325"/>
      <c r="H466" s="1325"/>
      <c r="I466" s="1325"/>
    </row>
    <row r="467" spans="1:9" s="83" customFormat="1" ht="12.75" customHeight="1" x14ac:dyDescent="0.2">
      <c r="A467" s="56" t="s">
        <v>160</v>
      </c>
      <c r="B467" s="1325" t="s">
        <v>161</v>
      </c>
      <c r="C467" s="1325"/>
      <c r="D467" s="1325"/>
      <c r="E467" s="1325"/>
      <c r="F467" s="1325"/>
      <c r="G467" s="1325"/>
      <c r="H467" s="1325"/>
      <c r="I467" s="1325"/>
    </row>
    <row r="468" spans="1:9" s="83" customFormat="1" x14ac:dyDescent="0.2">
      <c r="A468" s="56" t="s">
        <v>155</v>
      </c>
      <c r="B468" s="1325" t="s">
        <v>236</v>
      </c>
      <c r="C468" s="1325"/>
      <c r="D468" s="1325"/>
      <c r="E468" s="1325"/>
      <c r="F468" s="1325"/>
      <c r="G468" s="1325"/>
      <c r="H468" s="1325"/>
      <c r="I468" s="1325"/>
    </row>
    <row r="469" spans="1:9" s="83" customFormat="1" x14ac:dyDescent="0.2">
      <c r="A469" s="56" t="s">
        <v>162</v>
      </c>
      <c r="B469" s="1325" t="s">
        <v>79</v>
      </c>
      <c r="C469" s="1325"/>
      <c r="D469" s="1325"/>
      <c r="E469" s="1325"/>
      <c r="F469" s="1325"/>
      <c r="G469" s="1325"/>
      <c r="H469" s="1325"/>
      <c r="I469" s="1325"/>
    </row>
    <row r="470" spans="1:9" s="83" customFormat="1" ht="12.75" customHeight="1" x14ac:dyDescent="0.2">
      <c r="A470" s="56" t="s">
        <v>163</v>
      </c>
      <c r="B470" s="1325" t="s">
        <v>164</v>
      </c>
      <c r="C470" s="1325"/>
      <c r="D470" s="1325"/>
      <c r="E470" s="1325"/>
      <c r="F470" s="1325"/>
      <c r="G470" s="1325"/>
      <c r="H470" s="1325"/>
      <c r="I470" s="1325"/>
    </row>
    <row r="471" spans="1:9" s="83" customFormat="1" ht="12.75" customHeight="1" x14ac:dyDescent="0.2">
      <c r="A471" s="56" t="s">
        <v>613</v>
      </c>
      <c r="B471" s="1325" t="s">
        <v>165</v>
      </c>
      <c r="C471" s="1325"/>
      <c r="D471" s="1325"/>
      <c r="E471" s="1325"/>
      <c r="F471" s="1325"/>
      <c r="G471" s="1325"/>
      <c r="H471" s="1325"/>
      <c r="I471" s="1325"/>
    </row>
    <row r="472" spans="1:9" s="83" customFormat="1" ht="12.75" customHeight="1" x14ac:dyDescent="0.2">
      <c r="A472" s="56" t="s">
        <v>166</v>
      </c>
      <c r="B472" s="1325" t="s">
        <v>670</v>
      </c>
      <c r="C472" s="1325"/>
      <c r="D472" s="1325"/>
      <c r="E472" s="1325"/>
      <c r="F472" s="1325"/>
      <c r="G472" s="1325"/>
      <c r="H472" s="1325"/>
      <c r="I472" s="1325"/>
    </row>
    <row r="473" spans="1:9" s="83" customFormat="1" ht="12.75" customHeight="1" x14ac:dyDescent="0.2">
      <c r="A473" s="56" t="s">
        <v>167</v>
      </c>
      <c r="B473" s="1325" t="s">
        <v>671</v>
      </c>
      <c r="C473" s="1325"/>
      <c r="D473" s="1325"/>
      <c r="E473" s="1325"/>
      <c r="F473" s="1325"/>
      <c r="G473" s="1325"/>
      <c r="H473" s="1325"/>
      <c r="I473" s="1325"/>
    </row>
    <row r="474" spans="1:9" s="83" customFormat="1" ht="12.75" customHeight="1" x14ac:dyDescent="0.2">
      <c r="A474" s="56" t="s">
        <v>168</v>
      </c>
      <c r="B474" s="1325" t="s">
        <v>672</v>
      </c>
      <c r="C474" s="1325"/>
      <c r="D474" s="1325"/>
      <c r="E474" s="1325"/>
      <c r="F474" s="1325"/>
      <c r="G474" s="1325"/>
      <c r="H474" s="1325"/>
      <c r="I474" s="1325"/>
    </row>
    <row r="475" spans="1:9" s="83" customFormat="1" x14ac:dyDescent="0.2"/>
    <row r="476" spans="1:9" s="83" customFormat="1" ht="12.75" customHeight="1" x14ac:dyDescent="0.2">
      <c r="A476" s="317" t="s">
        <v>764</v>
      </c>
      <c r="B476" s="1328" t="s">
        <v>763</v>
      </c>
      <c r="C476" s="1328"/>
      <c r="D476" s="1328"/>
      <c r="E476" s="1328"/>
      <c r="F476" s="1328"/>
      <c r="G476" s="1328"/>
      <c r="H476" s="1328"/>
      <c r="I476" s="1328"/>
    </row>
    <row r="477" spans="1:9" s="83" customFormat="1" ht="12.75" customHeight="1" x14ac:dyDescent="0.2">
      <c r="A477" s="165" t="s">
        <v>17</v>
      </c>
      <c r="B477" s="1313" t="s">
        <v>78</v>
      </c>
      <c r="C477" s="1313"/>
      <c r="D477" s="1313"/>
      <c r="E477" s="1313"/>
      <c r="F477" s="1313"/>
      <c r="G477" s="1313"/>
      <c r="H477" s="1313"/>
      <c r="I477" s="1313"/>
    </row>
    <row r="478" spans="1:9" s="83" customFormat="1" ht="12.75" customHeight="1" x14ac:dyDescent="0.2">
      <c r="A478" s="56" t="s">
        <v>163</v>
      </c>
      <c r="B478" s="1325" t="s">
        <v>169</v>
      </c>
      <c r="C478" s="1325"/>
      <c r="D478" s="1325"/>
      <c r="E478" s="1325"/>
      <c r="F478" s="1325"/>
      <c r="G478" s="1325"/>
      <c r="H478" s="1325"/>
      <c r="I478" s="1325"/>
    </row>
    <row r="479" spans="1:9" s="83" customFormat="1" ht="12.75" customHeight="1" x14ac:dyDescent="0.2">
      <c r="A479" s="56" t="s">
        <v>157</v>
      </c>
      <c r="B479" s="1325" t="s">
        <v>765</v>
      </c>
      <c r="C479" s="1325"/>
      <c r="D479" s="1325"/>
      <c r="E479" s="1325"/>
      <c r="F479" s="1325"/>
      <c r="G479" s="1325"/>
      <c r="H479" s="1325"/>
      <c r="I479" s="1325"/>
    </row>
    <row r="480" spans="1:9" s="83" customFormat="1" ht="13.9" customHeight="1" x14ac:dyDescent="0.2">
      <c r="A480" s="56" t="s">
        <v>619</v>
      </c>
      <c r="B480" s="1325" t="s">
        <v>170</v>
      </c>
      <c r="C480" s="1325"/>
      <c r="D480" s="1325"/>
      <c r="E480" s="1325"/>
      <c r="F480" s="1325"/>
      <c r="G480" s="1325"/>
      <c r="H480" s="1325"/>
      <c r="I480" s="1325"/>
    </row>
    <row r="481" spans="1:13" s="83" customFormat="1" ht="12.75" customHeight="1" x14ac:dyDescent="0.2">
      <c r="A481" s="56" t="s">
        <v>171</v>
      </c>
      <c r="B481" s="1325" t="s">
        <v>172</v>
      </c>
      <c r="C481" s="1325"/>
      <c r="D481" s="1325"/>
      <c r="E481" s="1325"/>
      <c r="F481" s="1325"/>
      <c r="G481" s="1325"/>
      <c r="H481" s="1325"/>
      <c r="I481" s="1325"/>
    </row>
    <row r="482" spans="1:13" s="83" customFormat="1" x14ac:dyDescent="0.2">
      <c r="A482" s="56" t="s">
        <v>156</v>
      </c>
      <c r="B482" s="1325" t="s">
        <v>544</v>
      </c>
      <c r="C482" s="1325"/>
      <c r="D482" s="1325"/>
      <c r="E482" s="1325"/>
      <c r="F482" s="1325"/>
      <c r="G482" s="1325"/>
      <c r="H482" s="1325"/>
      <c r="I482" s="1325"/>
    </row>
    <row r="483" spans="1:13" s="83" customFormat="1" x14ac:dyDescent="0.2">
      <c r="A483" s="56" t="s">
        <v>167</v>
      </c>
      <c r="B483" s="1325" t="s">
        <v>173</v>
      </c>
      <c r="C483" s="1325"/>
      <c r="D483" s="1325"/>
      <c r="E483" s="1325"/>
      <c r="F483" s="1325"/>
      <c r="G483" s="1325"/>
      <c r="H483" s="1325"/>
      <c r="I483" s="1325"/>
    </row>
    <row r="484" spans="1:13" s="83" customFormat="1" x14ac:dyDescent="0.2">
      <c r="A484" s="56" t="s">
        <v>160</v>
      </c>
      <c r="B484" s="1330" t="s">
        <v>174</v>
      </c>
      <c r="C484" s="1330"/>
      <c r="D484" s="1330"/>
      <c r="E484" s="1330"/>
      <c r="F484" s="1330"/>
      <c r="G484" s="1330"/>
      <c r="H484" s="1330"/>
      <c r="I484" s="1330"/>
    </row>
    <row r="485" spans="1:13" s="83" customFormat="1" x14ac:dyDescent="0.2"/>
    <row r="486" spans="1:13" s="158" customFormat="1" ht="15.75" customHeight="1" x14ac:dyDescent="0.2">
      <c r="A486" s="1336" t="s">
        <v>966</v>
      </c>
      <c r="B486" s="1336"/>
      <c r="C486" s="1336"/>
      <c r="D486" s="1336"/>
      <c r="E486" s="1336"/>
      <c r="F486" s="1336"/>
      <c r="G486" s="1336"/>
      <c r="H486" s="1336"/>
      <c r="I486" s="1336"/>
      <c r="J486" s="1336"/>
      <c r="K486" s="1336"/>
      <c r="L486" s="1336"/>
      <c r="M486" s="1336"/>
    </row>
    <row r="487" spans="1:13" s="158" customFormat="1" ht="15.75" customHeight="1" x14ac:dyDescent="0.2">
      <c r="A487" s="445" t="s">
        <v>1860</v>
      </c>
      <c r="B487" s="1338" t="s">
        <v>964</v>
      </c>
      <c r="C487" s="1339"/>
      <c r="D487" s="1339"/>
      <c r="E487" s="1339"/>
      <c r="F487" s="1339"/>
      <c r="G487" s="1339"/>
      <c r="H487" s="1339"/>
      <c r="I487" s="1339"/>
      <c r="J487" s="1339"/>
      <c r="K487" s="1340"/>
    </row>
    <row r="488" spans="1:13" s="158" customFormat="1" ht="15.75" customHeight="1" x14ac:dyDescent="0.2">
      <c r="A488" s="296"/>
      <c r="B488" s="1341" t="s">
        <v>965</v>
      </c>
      <c r="C488" s="1341"/>
      <c r="D488" s="1341"/>
      <c r="E488" s="1341"/>
      <c r="F488" s="1341"/>
      <c r="G488" s="1341"/>
      <c r="H488" s="1341"/>
      <c r="I488" s="1341"/>
      <c r="J488" s="1341"/>
      <c r="K488" s="1341"/>
    </row>
    <row r="489" spans="1:13" s="83" customFormat="1" x14ac:dyDescent="0.2"/>
    <row r="490" spans="1:13" s="83" customFormat="1" x14ac:dyDescent="0.2"/>
    <row r="491" spans="1:13" x14ac:dyDescent="0.2">
      <c r="A491" s="1344" t="s">
        <v>1486</v>
      </c>
      <c r="B491" s="1344"/>
      <c r="C491" s="1344"/>
    </row>
    <row r="492" spans="1:13" x14ac:dyDescent="0.2">
      <c r="A492" s="1329"/>
      <c r="B492" s="1329"/>
      <c r="C492" s="1329"/>
      <c r="D492" s="1329"/>
      <c r="E492" s="1329"/>
      <c r="F492" s="1329"/>
      <c r="G492" s="1329"/>
      <c r="H492" s="1329"/>
      <c r="I492" s="1329"/>
      <c r="J492" s="1329"/>
      <c r="K492" s="1329"/>
      <c r="L492" s="1329"/>
      <c r="M492" s="1329"/>
    </row>
    <row r="493" spans="1:13" x14ac:dyDescent="0.2">
      <c r="A493" s="1329"/>
      <c r="B493" s="1329"/>
      <c r="C493" s="1329"/>
      <c r="D493" s="1329"/>
      <c r="E493" s="1329"/>
      <c r="F493" s="1329"/>
      <c r="G493" s="1329"/>
      <c r="H493" s="1329"/>
      <c r="I493" s="1329"/>
      <c r="J493" s="1329"/>
      <c r="K493" s="1329"/>
      <c r="L493" s="1329"/>
      <c r="M493" s="1329"/>
    </row>
    <row r="494" spans="1:13" x14ac:dyDescent="0.2">
      <c r="A494" s="1329"/>
      <c r="B494" s="1329"/>
      <c r="C494" s="1329"/>
      <c r="D494" s="1329"/>
      <c r="E494" s="1329"/>
      <c r="F494" s="1329"/>
      <c r="G494" s="1329"/>
      <c r="H494" s="1329"/>
      <c r="I494" s="1329"/>
      <c r="J494" s="1329"/>
      <c r="K494" s="1329"/>
      <c r="L494" s="1329"/>
      <c r="M494" s="1329"/>
    </row>
    <row r="495" spans="1:13" x14ac:dyDescent="0.2">
      <c r="A495" s="1329"/>
      <c r="B495" s="1329"/>
      <c r="C495" s="1329"/>
      <c r="D495" s="1329"/>
      <c r="E495" s="1329"/>
      <c r="F495" s="1329"/>
      <c r="G495" s="1329"/>
      <c r="H495" s="1329"/>
      <c r="I495" s="1329"/>
      <c r="J495" s="1329"/>
      <c r="K495" s="1329"/>
      <c r="L495" s="1329"/>
      <c r="M495" s="1329"/>
    </row>
    <row r="496" spans="1:13" x14ac:dyDescent="0.2">
      <c r="A496" s="1329"/>
      <c r="B496" s="1329"/>
      <c r="C496" s="1329"/>
      <c r="D496" s="1329"/>
      <c r="E496" s="1329"/>
      <c r="F496" s="1329"/>
      <c r="G496" s="1329"/>
      <c r="H496" s="1329"/>
      <c r="I496" s="1329"/>
      <c r="J496" s="1329"/>
      <c r="K496" s="1329"/>
      <c r="L496" s="1329"/>
      <c r="M496" s="1329"/>
    </row>
  </sheetData>
  <customSheetViews>
    <customSheetView guid="{4892E1C0-7A56-4F81-A857-987D77EC4462}" topLeftCell="A101">
      <selection activeCell="L128" sqref="L128"/>
      <pageMargins left="0.25" right="0.25" top="1" bottom="1" header="0.5" footer="0.5"/>
      <pageSetup orientation="landscape" r:id="rId1"/>
      <headerFooter alignWithMargins="0">
        <oddHeader>&amp;L&amp;G&amp;CShowAcronymGoesHere - PSM&amp;R&amp;P</oddHeader>
        <oddFooter>&amp;L&amp;D&amp;R&amp;Z&amp;F</oddFooter>
      </headerFooter>
    </customSheetView>
    <customSheetView guid="{C29C6423-4E3D-4B08-919E-993C7C45FC31}" topLeftCell="A101">
      <selection activeCell="L128" sqref="L128"/>
      <pageMargins left="0.25" right="0.25" top="1" bottom="1" header="0.5" footer="0.5"/>
      <pageSetup orientation="landscape" r:id="rId2"/>
      <headerFooter alignWithMargins="0">
        <oddHeader>&amp;L&amp;G&amp;CShowAcronymGoesHere - PSM&amp;R&amp;P</oddHeader>
        <oddFooter>&amp;L&amp;D&amp;R&amp;Z&amp;F</oddFooter>
      </headerFooter>
    </customSheetView>
  </customSheetViews>
  <mergeCells count="450">
    <mergeCell ref="B413:I413"/>
    <mergeCell ref="B404:I404"/>
    <mergeCell ref="B405:I405"/>
    <mergeCell ref="B406:I406"/>
    <mergeCell ref="B407:I407"/>
    <mergeCell ref="B408:I408"/>
    <mergeCell ref="B409:I409"/>
    <mergeCell ref="B410:I410"/>
    <mergeCell ref="B411:I411"/>
    <mergeCell ref="B412:I412"/>
    <mergeCell ref="B395:I395"/>
    <mergeCell ref="B396:I396"/>
    <mergeCell ref="B397:I397"/>
    <mergeCell ref="B398:I398"/>
    <mergeCell ref="B399:I399"/>
    <mergeCell ref="B400:I400"/>
    <mergeCell ref="B401:I401"/>
    <mergeCell ref="B402:I402"/>
    <mergeCell ref="B403:I403"/>
    <mergeCell ref="B386:I386"/>
    <mergeCell ref="B387:I387"/>
    <mergeCell ref="B388:I388"/>
    <mergeCell ref="B389:I389"/>
    <mergeCell ref="B390:I390"/>
    <mergeCell ref="B391:I391"/>
    <mergeCell ref="B392:I392"/>
    <mergeCell ref="B393:I393"/>
    <mergeCell ref="B394:I394"/>
    <mergeCell ref="B374:I374"/>
    <mergeCell ref="B375:I375"/>
    <mergeCell ref="B376:I376"/>
    <mergeCell ref="B377:I377"/>
    <mergeCell ref="B379:I379"/>
    <mergeCell ref="B380:I380"/>
    <mergeCell ref="B384:I384"/>
    <mergeCell ref="B385:I385"/>
    <mergeCell ref="B381:I381"/>
    <mergeCell ref="B382:I382"/>
    <mergeCell ref="B383:I383"/>
    <mergeCell ref="B365:I365"/>
    <mergeCell ref="B366:I366"/>
    <mergeCell ref="B367:I367"/>
    <mergeCell ref="B368:I368"/>
    <mergeCell ref="B369:I369"/>
    <mergeCell ref="B370:I370"/>
    <mergeCell ref="B371:I371"/>
    <mergeCell ref="B372:I372"/>
    <mergeCell ref="B373:I373"/>
    <mergeCell ref="B356:I356"/>
    <mergeCell ref="B357:I357"/>
    <mergeCell ref="B358:I358"/>
    <mergeCell ref="B359:I359"/>
    <mergeCell ref="B360:I360"/>
    <mergeCell ref="B361:I361"/>
    <mergeCell ref="B362:I362"/>
    <mergeCell ref="B363:I363"/>
    <mergeCell ref="B364:I364"/>
    <mergeCell ref="B348:I348"/>
    <mergeCell ref="B349:I349"/>
    <mergeCell ref="B350:I350"/>
    <mergeCell ref="B351:I351"/>
    <mergeCell ref="B352:I352"/>
    <mergeCell ref="B353:I353"/>
    <mergeCell ref="B354:I354"/>
    <mergeCell ref="B347:I347"/>
    <mergeCell ref="B355:I355"/>
    <mergeCell ref="B228:I228"/>
    <mergeCell ref="B229:I229"/>
    <mergeCell ref="B286:I286"/>
    <mergeCell ref="B250:I250"/>
    <mergeCell ref="B249:I249"/>
    <mergeCell ref="B262:I262"/>
    <mergeCell ref="B263:I263"/>
    <mergeCell ref="B248:I248"/>
    <mergeCell ref="B245:I245"/>
    <mergeCell ref="B277:I277"/>
    <mergeCell ref="B276:I276"/>
    <mergeCell ref="B278:I278"/>
    <mergeCell ref="B257:I257"/>
    <mergeCell ref="B259:I259"/>
    <mergeCell ref="B268:I268"/>
    <mergeCell ref="B231:I231"/>
    <mergeCell ref="B270:I270"/>
    <mergeCell ref="B271:I271"/>
    <mergeCell ref="B216:I216"/>
    <mergeCell ref="B211:I211"/>
    <mergeCell ref="B210:I210"/>
    <mergeCell ref="B213:I213"/>
    <mergeCell ref="B214:I214"/>
    <mergeCell ref="B327:I327"/>
    <mergeCell ref="B223:I223"/>
    <mergeCell ref="B224:I224"/>
    <mergeCell ref="B328:I328"/>
    <mergeCell ref="B321:I321"/>
    <mergeCell ref="B322:I322"/>
    <mergeCell ref="B323:I323"/>
    <mergeCell ref="B324:I324"/>
    <mergeCell ref="B325:I325"/>
    <mergeCell ref="B326:I326"/>
    <mergeCell ref="B312:I312"/>
    <mergeCell ref="B218:I218"/>
    <mergeCell ref="B287:I287"/>
    <mergeCell ref="B236:I236"/>
    <mergeCell ref="B240:I240"/>
    <mergeCell ref="B313:I313"/>
    <mergeCell ref="B284:I284"/>
    <mergeCell ref="B316:I316"/>
    <mergeCell ref="B280:I280"/>
    <mergeCell ref="B22:I22"/>
    <mergeCell ref="B23:I23"/>
    <mergeCell ref="B142:I142"/>
    <mergeCell ref="B141:I141"/>
    <mergeCell ref="B33:I33"/>
    <mergeCell ref="B20:I20"/>
    <mergeCell ref="B21:I21"/>
    <mergeCell ref="B101:I101"/>
    <mergeCell ref="B140:I140"/>
    <mergeCell ref="B102:I102"/>
    <mergeCell ref="B103:I103"/>
    <mergeCell ref="B139:I139"/>
    <mergeCell ref="B138:I138"/>
    <mergeCell ref="B114:I114"/>
    <mergeCell ref="B30:I30"/>
    <mergeCell ref="B29:I29"/>
    <mergeCell ref="B97:I97"/>
    <mergeCell ref="B136:I136"/>
    <mergeCell ref="B105:I105"/>
    <mergeCell ref="B40:I40"/>
    <mergeCell ref="B41:I41"/>
    <mergeCell ref="B42:I42"/>
    <mergeCell ref="B43:I43"/>
    <mergeCell ref="B44:I44"/>
    <mergeCell ref="B6:I6"/>
    <mergeCell ref="B473:I473"/>
    <mergeCell ref="B474:I474"/>
    <mergeCell ref="A429:D429"/>
    <mergeCell ref="B430:I430"/>
    <mergeCell ref="B418:F418"/>
    <mergeCell ref="B425:F425"/>
    <mergeCell ref="B47:I47"/>
    <mergeCell ref="B232:I232"/>
    <mergeCell ref="B9:I9"/>
    <mergeCell ref="B10:I10"/>
    <mergeCell ref="B11:I11"/>
    <mergeCell ref="B12:I12"/>
    <mergeCell ref="B15:I15"/>
    <mergeCell ref="B16:I16"/>
    <mergeCell ref="B27:I27"/>
    <mergeCell ref="B28:I28"/>
    <mergeCell ref="B8:I8"/>
    <mergeCell ref="B14:I14"/>
    <mergeCell ref="B227:I227"/>
    <mergeCell ref="B221:I221"/>
    <mergeCell ref="B222:I222"/>
    <mergeCell ref="B225:I225"/>
    <mergeCell ref="B18:I18"/>
    <mergeCell ref="A496:M496"/>
    <mergeCell ref="A2:M2"/>
    <mergeCell ref="A486:M486"/>
    <mergeCell ref="A460:M460"/>
    <mergeCell ref="B487:K487"/>
    <mergeCell ref="B488:K488"/>
    <mergeCell ref="B423:F423"/>
    <mergeCell ref="B424:F424"/>
    <mergeCell ref="B416:F416"/>
    <mergeCell ref="B422:F422"/>
    <mergeCell ref="B417:F417"/>
    <mergeCell ref="A427:L427"/>
    <mergeCell ref="B419:F419"/>
    <mergeCell ref="B420:F420"/>
    <mergeCell ref="B421:F421"/>
    <mergeCell ref="A491:C491"/>
    <mergeCell ref="B477:I477"/>
    <mergeCell ref="B431:I431"/>
    <mergeCell ref="B432:I432"/>
    <mergeCell ref="B433:I433"/>
    <mergeCell ref="B143:I143"/>
    <mergeCell ref="B46:I46"/>
    <mergeCell ref="B5:I5"/>
    <mergeCell ref="A494:M494"/>
    <mergeCell ref="B4:I4"/>
    <mergeCell ref="A495:M495"/>
    <mergeCell ref="B19:I19"/>
    <mergeCell ref="B469:I469"/>
    <mergeCell ref="B470:I470"/>
    <mergeCell ref="B483:I483"/>
    <mergeCell ref="B484:I484"/>
    <mergeCell ref="B478:I478"/>
    <mergeCell ref="B479:I479"/>
    <mergeCell ref="B134:I134"/>
    <mergeCell ref="B135:I135"/>
    <mergeCell ref="B36:I36"/>
    <mergeCell ref="B340:I340"/>
    <mergeCell ref="B463:I463"/>
    <mergeCell ref="B464:I464"/>
    <mergeCell ref="B465:I465"/>
    <mergeCell ref="B466:I466"/>
    <mergeCell ref="B467:I467"/>
    <mergeCell ref="B468:I468"/>
    <mergeCell ref="B472:I472"/>
    <mergeCell ref="A492:M492"/>
    <mergeCell ref="A493:M493"/>
    <mergeCell ref="B26:I26"/>
    <mergeCell ref="B482:I482"/>
    <mergeCell ref="B434:I434"/>
    <mergeCell ref="B131:I131"/>
    <mergeCell ref="B132:I132"/>
    <mergeCell ref="B104:I104"/>
    <mergeCell ref="B133:I133"/>
    <mergeCell ref="B480:I480"/>
    <mergeCell ref="B481:I481"/>
    <mergeCell ref="B341:I341"/>
    <mergeCell ref="B342:I342"/>
    <mergeCell ref="B415:I415"/>
    <mergeCell ref="B441:E441"/>
    <mergeCell ref="B462:I462"/>
    <mergeCell ref="B476:I476"/>
    <mergeCell ref="B471:I471"/>
    <mergeCell ref="B137:I137"/>
    <mergeCell ref="B111:I111"/>
    <mergeCell ref="B281:I281"/>
    <mergeCell ref="B247:I247"/>
    <mergeCell ref="B244:I244"/>
    <mergeCell ref="B251:I251"/>
    <mergeCell ref="B438:I438"/>
    <mergeCell ref="B439:I439"/>
    <mergeCell ref="B436:I436"/>
    <mergeCell ref="B437:I437"/>
    <mergeCell ref="B124:I124"/>
    <mergeCell ref="B146:I146"/>
    <mergeCell ref="B147:I147"/>
    <mergeCell ref="B24:I24"/>
    <mergeCell ref="B25:I25"/>
    <mergeCell ref="B48:I48"/>
    <mergeCell ref="B87:I87"/>
    <mergeCell ref="B88:I88"/>
    <mergeCell ref="B94:I94"/>
    <mergeCell ref="B96:I96"/>
    <mergeCell ref="B98:I98"/>
    <mergeCell ref="B91:I91"/>
    <mergeCell ref="B92:I92"/>
    <mergeCell ref="B31:I31"/>
    <mergeCell ref="B32:I32"/>
    <mergeCell ref="B35:I35"/>
    <mergeCell ref="B51:I51"/>
    <mergeCell ref="B53:I53"/>
    <mergeCell ref="B59:I59"/>
    <mergeCell ref="B60:I60"/>
    <mergeCell ref="B61:I61"/>
    <mergeCell ref="B69:I69"/>
    <mergeCell ref="B99:I99"/>
    <mergeCell ref="B37:I37"/>
    <mergeCell ref="B212:I212"/>
    <mergeCell ref="B150:I150"/>
    <mergeCell ref="B209:I209"/>
    <mergeCell ref="B95:I95"/>
    <mergeCell ref="B303:I303"/>
    <mergeCell ref="B275:I275"/>
    <mergeCell ref="B239:I239"/>
    <mergeCell ref="B256:I256"/>
    <mergeCell ref="B243:I243"/>
    <mergeCell ref="B238:I238"/>
    <mergeCell ref="B252:I252"/>
    <mergeCell ref="B241:I241"/>
    <mergeCell ref="B242:I242"/>
    <mergeCell ref="B246:I246"/>
    <mergeCell ref="B299:I299"/>
    <mergeCell ref="B300:I300"/>
    <mergeCell ref="B301:I301"/>
    <mergeCell ref="B272:I272"/>
    <mergeCell ref="B294:I294"/>
    <mergeCell ref="B237:I237"/>
    <mergeCell ref="B166:I166"/>
    <mergeCell ref="B204:I204"/>
    <mergeCell ref="B205:I205"/>
    <mergeCell ref="B152:I152"/>
    <mergeCell ref="B153:I153"/>
    <mergeCell ref="B159:I159"/>
    <mergeCell ref="B160:I160"/>
    <mergeCell ref="B165:I165"/>
    <mergeCell ref="B435:I435"/>
    <mergeCell ref="B253:I253"/>
    <mergeCell ref="B255:I255"/>
    <mergeCell ref="B254:I254"/>
    <mergeCell ref="B258:I258"/>
    <mergeCell ref="B285:I285"/>
    <mergeCell ref="B282:I282"/>
    <mergeCell ref="B283:I283"/>
    <mergeCell ref="B296:I296"/>
    <mergeCell ref="B297:I297"/>
    <mergeCell ref="B260:I260"/>
    <mergeCell ref="B261:I261"/>
    <mergeCell ref="B337:I337"/>
    <mergeCell ref="B264:I264"/>
    <mergeCell ref="B265:I265"/>
    <mergeCell ref="B298:I298"/>
    <mergeCell ref="B334:I334"/>
    <mergeCell ref="B184:I184"/>
    <mergeCell ref="B167:I167"/>
    <mergeCell ref="B168:I168"/>
    <mergeCell ref="B49:I49"/>
    <mergeCell ref="B66:I66"/>
    <mergeCell ref="B67:I67"/>
    <mergeCell ref="B89:I89"/>
    <mergeCell ref="B128:I128"/>
    <mergeCell ref="B164:I164"/>
    <mergeCell ref="B200:I200"/>
    <mergeCell ref="B308:I308"/>
    <mergeCell ref="B80:I80"/>
    <mergeCell ref="B81:I81"/>
    <mergeCell ref="B82:I82"/>
    <mergeCell ref="B83:I83"/>
    <mergeCell ref="B84:I84"/>
    <mergeCell ref="B208:I208"/>
    <mergeCell ref="B288:I288"/>
    <mergeCell ref="B289:I289"/>
    <mergeCell ref="B295:I295"/>
    <mergeCell ref="B274:I274"/>
    <mergeCell ref="B290:I290"/>
    <mergeCell ref="B291:I291"/>
    <mergeCell ref="B292:I292"/>
    <mergeCell ref="B293:I293"/>
    <mergeCell ref="B148:I148"/>
    <mergeCell ref="B64:I64"/>
    <mergeCell ref="B38:I38"/>
    <mergeCell ref="B129:I129"/>
    <mergeCell ref="B130:I130"/>
    <mergeCell ref="B93:I93"/>
    <mergeCell ref="B106:I106"/>
    <mergeCell ref="B107:I107"/>
    <mergeCell ref="B108:I108"/>
    <mergeCell ref="B109:I109"/>
    <mergeCell ref="B110:I110"/>
    <mergeCell ref="B63:I63"/>
    <mergeCell ref="B71:I71"/>
    <mergeCell ref="B112:I112"/>
    <mergeCell ref="B100:I100"/>
    <mergeCell ref="B90:I90"/>
    <mergeCell ref="B68:I68"/>
    <mergeCell ref="B113:I113"/>
    <mergeCell ref="B65:I65"/>
    <mergeCell ref="B62:I62"/>
    <mergeCell ref="B56:I56"/>
    <mergeCell ref="B119:I119"/>
    <mergeCell ref="B120:I120"/>
    <mergeCell ref="B121:I121"/>
    <mergeCell ref="B52:I52"/>
    <mergeCell ref="B55:I55"/>
    <mergeCell ref="B54:I54"/>
    <mergeCell ref="B70:I70"/>
    <mergeCell ref="B85:I85"/>
    <mergeCell ref="B115:I115"/>
    <mergeCell ref="B116:I116"/>
    <mergeCell ref="B117:I117"/>
    <mergeCell ref="B118:I118"/>
    <mergeCell ref="B154:I154"/>
    <mergeCell ref="B72:I72"/>
    <mergeCell ref="B73:I73"/>
    <mergeCell ref="B74:I74"/>
    <mergeCell ref="B75:I75"/>
    <mergeCell ref="B76:I76"/>
    <mergeCell ref="B77:I77"/>
    <mergeCell ref="B78:I78"/>
    <mergeCell ref="B79:I79"/>
    <mergeCell ref="B123:I123"/>
    <mergeCell ref="B144:I144"/>
    <mergeCell ref="B149:I149"/>
    <mergeCell ref="B145:I145"/>
    <mergeCell ref="B151:I151"/>
    <mergeCell ref="B57:I57"/>
    <mergeCell ref="B58:I58"/>
    <mergeCell ref="B125:I125"/>
    <mergeCell ref="B126:I126"/>
    <mergeCell ref="B127:I127"/>
    <mergeCell ref="B309:I309"/>
    <mergeCell ref="B310:I310"/>
    <mergeCell ref="B311:I311"/>
    <mergeCell ref="B314:I314"/>
    <mergeCell ref="B315:I315"/>
    <mergeCell ref="B317:I317"/>
    <mergeCell ref="B219:I219"/>
    <mergeCell ref="B220:I220"/>
    <mergeCell ref="B226:I226"/>
    <mergeCell ref="B195:I195"/>
    <mergeCell ref="B196:I196"/>
    <mergeCell ref="B201:I201"/>
    <mergeCell ref="B215:I215"/>
    <mergeCell ref="B217:I217"/>
    <mergeCell ref="B207:I207"/>
    <mergeCell ref="B206:I206"/>
    <mergeCell ref="B155:I155"/>
    <mergeCell ref="B156:I156"/>
    <mergeCell ref="B157:I157"/>
    <mergeCell ref="B202:I202"/>
    <mergeCell ref="B203:I203"/>
    <mergeCell ref="B183:I183"/>
    <mergeCell ref="B169:I169"/>
    <mergeCell ref="B170:I170"/>
    <mergeCell ref="B171:I171"/>
    <mergeCell ref="B172:I172"/>
    <mergeCell ref="B173:I173"/>
    <mergeCell ref="B174:I174"/>
    <mergeCell ref="B175:I175"/>
    <mergeCell ref="B161:I161"/>
    <mergeCell ref="B162:I162"/>
    <mergeCell ref="B163:I163"/>
    <mergeCell ref="B176:I176"/>
    <mergeCell ref="B177:I177"/>
    <mergeCell ref="B178:I178"/>
    <mergeCell ref="B179:I179"/>
    <mergeCell ref="B180:I180"/>
    <mergeCell ref="B181:I181"/>
    <mergeCell ref="B182:I182"/>
    <mergeCell ref="B235:I235"/>
    <mergeCell ref="B269:I269"/>
    <mergeCell ref="B267:I267"/>
    <mergeCell ref="B197:I197"/>
    <mergeCell ref="B198:I198"/>
    <mergeCell ref="B199:I199"/>
    <mergeCell ref="B233:I233"/>
    <mergeCell ref="B234:I234"/>
    <mergeCell ref="B185:I185"/>
    <mergeCell ref="B186:I186"/>
    <mergeCell ref="B187:I187"/>
    <mergeCell ref="B188:I188"/>
    <mergeCell ref="B189:I189"/>
    <mergeCell ref="B190:I190"/>
    <mergeCell ref="B191:I191"/>
    <mergeCell ref="B192:I192"/>
    <mergeCell ref="B193:I193"/>
    <mergeCell ref="B305:I305"/>
    <mergeCell ref="B306:I306"/>
    <mergeCell ref="B307:I307"/>
    <mergeCell ref="B345:I345"/>
    <mergeCell ref="B346:I346"/>
    <mergeCell ref="B318:I318"/>
    <mergeCell ref="B335:I335"/>
    <mergeCell ref="B336:I336"/>
    <mergeCell ref="B273:I273"/>
    <mergeCell ref="B333:I333"/>
    <mergeCell ref="B329:I329"/>
    <mergeCell ref="B330:I330"/>
    <mergeCell ref="B331:I331"/>
    <mergeCell ref="B332:I332"/>
    <mergeCell ref="B279:I279"/>
    <mergeCell ref="B319:I319"/>
    <mergeCell ref="B320:I320"/>
    <mergeCell ref="B304:I304"/>
    <mergeCell ref="B343:I343"/>
    <mergeCell ref="B344:I344"/>
  </mergeCells>
  <hyperlinks>
    <hyperlink ref="A1" location="TOC!A1" display="TOC Page"/>
  </hyperlinks>
  <pageMargins left="0.25" right="0.25" top="1" bottom="1" header="0.5" footer="0.5"/>
  <pageSetup orientation="landscape" r:id="rId3"/>
  <headerFooter alignWithMargins="0">
    <oddHeader>&amp;L&amp;G&amp;CShowAcronymGoesHere - PSM&amp;R&amp;P</oddHeader>
    <oddFooter>&amp;L&amp;D&amp;R&amp;Z&amp;F</oddFooter>
  </headerFooter>
  <legacyDrawing r:id="rId4"/>
  <legacyDrawingHF r:id="rId5"/>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H110"/>
  <sheetViews>
    <sheetView zoomScale="115" zoomScaleNormal="115" workbookViewId="0">
      <pane ySplit="1" topLeftCell="A2" activePane="bottomLeft" state="frozen"/>
      <selection activeCell="U16" sqref="U16"/>
      <selection pane="bottomLeft" activeCell="E15" sqref="E15"/>
    </sheetView>
  </sheetViews>
  <sheetFormatPr defaultColWidth="5.7109375" defaultRowHeight="12.75" x14ac:dyDescent="0.2"/>
  <cols>
    <col min="1" max="1" width="20.7109375" style="17" customWidth="1"/>
    <col min="2" max="2" width="30.7109375" style="17" customWidth="1"/>
    <col min="3" max="3" width="11.28515625" style="17" customWidth="1"/>
    <col min="4" max="4" width="11.28515625" style="541" customWidth="1"/>
    <col min="5" max="5" width="33.7109375" style="134" customWidth="1"/>
    <col min="6" max="6" width="15.28515625" style="17" customWidth="1"/>
    <col min="7" max="7" width="13.28515625" style="17" customWidth="1"/>
    <col min="8" max="8" width="13.5703125" style="17" bestFit="1" customWidth="1"/>
    <col min="9" max="16384" width="5.7109375" style="17"/>
  </cols>
  <sheetData>
    <row r="1" spans="1:8" ht="14.25" customHeight="1" x14ac:dyDescent="0.2">
      <c r="A1" s="179" t="s">
        <v>639</v>
      </c>
      <c r="B1" s="150"/>
      <c r="C1" s="541"/>
      <c r="E1" s="540"/>
      <c r="F1" s="541"/>
      <c r="G1" s="541"/>
    </row>
    <row r="2" spans="1:8" s="95" customFormat="1" ht="33" customHeight="1" x14ac:dyDescent="0.2">
      <c r="A2" s="1305" t="s">
        <v>1101</v>
      </c>
      <c r="B2" s="1345"/>
      <c r="C2" s="1345"/>
      <c r="D2" s="1345"/>
      <c r="E2" s="1345"/>
      <c r="F2" s="1345"/>
      <c r="G2" s="1345"/>
    </row>
    <row r="4" spans="1:8" s="41" customFormat="1" ht="27.75" customHeight="1" x14ac:dyDescent="0.2">
      <c r="A4" s="59" t="s">
        <v>1099</v>
      </c>
      <c r="B4" s="59" t="s">
        <v>175</v>
      </c>
      <c r="C4" s="716" t="s">
        <v>1100</v>
      </c>
      <c r="D4" s="720" t="s">
        <v>1798</v>
      </c>
      <c r="E4" s="718" t="s">
        <v>176</v>
      </c>
      <c r="F4" s="59" t="s">
        <v>786</v>
      </c>
      <c r="G4" s="59" t="s">
        <v>780</v>
      </c>
      <c r="H4" s="9"/>
    </row>
    <row r="5" spans="1:8" ht="12.75" customHeight="1" x14ac:dyDescent="0.2">
      <c r="A5" s="869" t="s">
        <v>178</v>
      </c>
      <c r="B5" s="870" t="s">
        <v>177</v>
      </c>
      <c r="C5" s="917">
        <v>6</v>
      </c>
      <c r="D5" s="918">
        <v>6</v>
      </c>
      <c r="E5" s="919" t="s">
        <v>179</v>
      </c>
      <c r="F5" s="920" t="s">
        <v>91</v>
      </c>
      <c r="G5" s="921" t="s">
        <v>96</v>
      </c>
    </row>
    <row r="6" spans="1:8" ht="12.75" customHeight="1" x14ac:dyDescent="0.2">
      <c r="A6" s="869" t="s">
        <v>181</v>
      </c>
      <c r="B6" s="870" t="s">
        <v>180</v>
      </c>
      <c r="C6" s="917">
        <v>1</v>
      </c>
      <c r="D6" s="922" t="s">
        <v>91</v>
      </c>
      <c r="E6" s="919" t="s">
        <v>783</v>
      </c>
      <c r="F6" s="920" t="s">
        <v>91</v>
      </c>
      <c r="G6" s="921" t="s">
        <v>96</v>
      </c>
    </row>
    <row r="7" spans="1:8" ht="12.75" customHeight="1" x14ac:dyDescent="0.2">
      <c r="A7" s="869" t="s">
        <v>183</v>
      </c>
      <c r="B7" s="870" t="s">
        <v>182</v>
      </c>
      <c r="C7" s="917">
        <v>3</v>
      </c>
      <c r="D7" s="922">
        <v>3</v>
      </c>
      <c r="E7" s="919" t="s">
        <v>783</v>
      </c>
      <c r="F7" s="920"/>
      <c r="G7" s="921" t="s">
        <v>96</v>
      </c>
    </row>
    <row r="8" spans="1:8" ht="63.75" x14ac:dyDescent="0.2">
      <c r="A8" s="869" t="s">
        <v>184</v>
      </c>
      <c r="B8" s="871" t="s">
        <v>1957</v>
      </c>
      <c r="C8" s="917">
        <v>3</v>
      </c>
      <c r="D8" s="923"/>
      <c r="E8" s="925" t="s">
        <v>2589</v>
      </c>
      <c r="F8" s="920"/>
      <c r="G8" s="921" t="s">
        <v>96</v>
      </c>
    </row>
    <row r="9" spans="1:8" s="1072" customFormat="1" x14ac:dyDescent="0.2">
      <c r="A9" s="1066" t="s">
        <v>185</v>
      </c>
      <c r="B9" s="1067"/>
      <c r="C9" s="1068">
        <v>3</v>
      </c>
      <c r="D9" s="1069"/>
      <c r="E9" s="1070"/>
      <c r="F9" s="1071"/>
      <c r="G9" s="1069"/>
    </row>
    <row r="10" spans="1:8" ht="12.75" customHeight="1" x14ac:dyDescent="0.2">
      <c r="A10" s="151" t="s">
        <v>186</v>
      </c>
      <c r="B10" s="846" t="s">
        <v>187</v>
      </c>
      <c r="C10" s="741">
        <v>15</v>
      </c>
      <c r="D10" s="847"/>
      <c r="E10" s="742"/>
      <c r="F10" s="743"/>
      <c r="G10" s="847"/>
    </row>
    <row r="11" spans="1:8" ht="12.75" customHeight="1" x14ac:dyDescent="0.2">
      <c r="A11" s="869" t="s">
        <v>188</v>
      </c>
      <c r="B11" s="871" t="s">
        <v>1963</v>
      </c>
      <c r="C11" s="917">
        <v>30</v>
      </c>
      <c r="D11" s="923"/>
      <c r="E11" s="925"/>
      <c r="F11" s="920"/>
      <c r="G11" s="921" t="s">
        <v>96</v>
      </c>
    </row>
    <row r="12" spans="1:8" ht="12.75" customHeight="1" x14ac:dyDescent="0.2">
      <c r="A12" s="869" t="s">
        <v>190</v>
      </c>
      <c r="B12" s="870" t="s">
        <v>189</v>
      </c>
      <c r="C12" s="917">
        <v>1</v>
      </c>
      <c r="D12" s="922" t="s">
        <v>91</v>
      </c>
      <c r="E12" s="925" t="s">
        <v>783</v>
      </c>
      <c r="F12" s="920" t="s">
        <v>198</v>
      </c>
      <c r="G12" s="921" t="s">
        <v>96</v>
      </c>
    </row>
    <row r="13" spans="1:8" ht="12.75" customHeight="1" x14ac:dyDescent="0.2">
      <c r="A13" s="869" t="s">
        <v>191</v>
      </c>
      <c r="B13" s="871" t="s">
        <v>2520</v>
      </c>
      <c r="C13" s="924">
        <v>4</v>
      </c>
      <c r="D13" s="918">
        <v>4</v>
      </c>
      <c r="E13" s="925" t="s">
        <v>2631</v>
      </c>
      <c r="F13" s="926"/>
      <c r="G13" s="921" t="s">
        <v>96</v>
      </c>
    </row>
    <row r="14" spans="1:8" ht="12.75" customHeight="1" x14ac:dyDescent="0.2">
      <c r="A14" s="950" t="s">
        <v>193</v>
      </c>
      <c r="B14" s="951" t="s">
        <v>1961</v>
      </c>
      <c r="C14" s="952">
        <v>1</v>
      </c>
      <c r="D14" s="953">
        <v>1</v>
      </c>
      <c r="E14" s="959" t="s">
        <v>2198</v>
      </c>
      <c r="F14" s="954"/>
      <c r="G14" s="955" t="s">
        <v>96</v>
      </c>
    </row>
    <row r="15" spans="1:8" ht="45.6" customHeight="1" thickBot="1" x14ac:dyDescent="0.25">
      <c r="A15" s="872" t="s">
        <v>195</v>
      </c>
      <c r="B15" s="873" t="s">
        <v>194</v>
      </c>
      <c r="C15" s="927">
        <v>15</v>
      </c>
      <c r="D15" s="928">
        <v>15</v>
      </c>
      <c r="E15" s="960" t="s">
        <v>2326</v>
      </c>
      <c r="F15" s="929" t="s">
        <v>2226</v>
      </c>
      <c r="G15" s="930" t="s">
        <v>96</v>
      </c>
    </row>
    <row r="16" spans="1:8" ht="12.75" customHeight="1" thickTop="1" x14ac:dyDescent="0.2">
      <c r="A16" s="874" t="s">
        <v>197</v>
      </c>
      <c r="B16" s="875" t="s">
        <v>196</v>
      </c>
      <c r="C16" s="931">
        <v>8</v>
      </c>
      <c r="D16" s="932">
        <v>8</v>
      </c>
      <c r="E16" s="933"/>
      <c r="F16" s="934" t="s">
        <v>198</v>
      </c>
      <c r="G16" s="935" t="s">
        <v>96</v>
      </c>
    </row>
    <row r="17" spans="1:7" ht="12.75" customHeight="1" x14ac:dyDescent="0.2">
      <c r="A17" s="869" t="s">
        <v>200</v>
      </c>
      <c r="B17" s="870" t="s">
        <v>199</v>
      </c>
      <c r="C17" s="917">
        <v>1</v>
      </c>
      <c r="D17" s="922">
        <v>1</v>
      </c>
      <c r="E17" s="919"/>
      <c r="F17" s="920" t="s">
        <v>91</v>
      </c>
      <c r="G17" s="921" t="s">
        <v>96</v>
      </c>
    </row>
    <row r="18" spans="1:7" ht="12.75" customHeight="1" x14ac:dyDescent="0.2">
      <c r="A18" s="151" t="s">
        <v>202</v>
      </c>
      <c r="B18" s="140" t="s">
        <v>201</v>
      </c>
      <c r="C18" s="717">
        <v>4</v>
      </c>
      <c r="D18" s="721">
        <v>4</v>
      </c>
      <c r="E18" s="719" t="s">
        <v>203</v>
      </c>
      <c r="F18" s="368" t="s">
        <v>91</v>
      </c>
      <c r="G18" s="149"/>
    </row>
    <row r="19" spans="1:7" ht="12.75" customHeight="1" x14ac:dyDescent="0.2">
      <c r="A19" s="869" t="s">
        <v>204</v>
      </c>
      <c r="B19" s="871" t="s">
        <v>2563</v>
      </c>
      <c r="C19" s="924">
        <v>15</v>
      </c>
      <c r="D19" s="918">
        <v>15</v>
      </c>
      <c r="E19" s="925" t="s">
        <v>203</v>
      </c>
      <c r="F19" s="926" t="s">
        <v>91</v>
      </c>
      <c r="G19" s="939" t="s">
        <v>96</v>
      </c>
    </row>
    <row r="20" spans="1:7" ht="38.25" x14ac:dyDescent="0.2">
      <c r="A20" s="876" t="s">
        <v>205</v>
      </c>
      <c r="B20" s="876" t="s">
        <v>606</v>
      </c>
      <c r="C20" s="1028">
        <v>40</v>
      </c>
      <c r="D20" s="918" t="s">
        <v>1796</v>
      </c>
      <c r="E20" s="925" t="s">
        <v>782</v>
      </c>
      <c r="F20" s="1029" t="s">
        <v>91</v>
      </c>
      <c r="G20" s="940" t="s">
        <v>96</v>
      </c>
    </row>
    <row r="21" spans="1:7" s="784" customFormat="1" ht="12.75" customHeight="1" x14ac:dyDescent="0.2">
      <c r="A21" s="869" t="s">
        <v>263</v>
      </c>
      <c r="B21" s="871" t="s">
        <v>262</v>
      </c>
      <c r="C21" s="924">
        <v>1</v>
      </c>
      <c r="D21" s="918">
        <v>1</v>
      </c>
      <c r="E21" s="925"/>
      <c r="F21" s="926" t="s">
        <v>91</v>
      </c>
      <c r="G21" s="939" t="s">
        <v>96</v>
      </c>
    </row>
    <row r="22" spans="1:7" ht="38.25" x14ac:dyDescent="0.2">
      <c r="A22" s="876" t="s">
        <v>264</v>
      </c>
      <c r="B22" s="876" t="s">
        <v>607</v>
      </c>
      <c r="C22" s="1028">
        <v>40</v>
      </c>
      <c r="D22" s="918" t="s">
        <v>1797</v>
      </c>
      <c r="E22" s="925" t="s">
        <v>782</v>
      </c>
      <c r="F22" s="1029" t="s">
        <v>91</v>
      </c>
      <c r="G22" s="940" t="s">
        <v>96</v>
      </c>
    </row>
    <row r="23" spans="1:7" s="784" customFormat="1" x14ac:dyDescent="0.2">
      <c r="A23" s="869" t="s">
        <v>265</v>
      </c>
      <c r="B23" s="871" t="s">
        <v>1818</v>
      </c>
      <c r="C23" s="924" t="s">
        <v>203</v>
      </c>
      <c r="D23" s="918">
        <v>5</v>
      </c>
      <c r="E23" s="925" t="s">
        <v>203</v>
      </c>
      <c r="F23" s="926" t="s">
        <v>91</v>
      </c>
      <c r="G23" s="940" t="s">
        <v>96</v>
      </c>
    </row>
    <row r="24" spans="1:7" s="784" customFormat="1" ht="12.75" customHeight="1" x14ac:dyDescent="0.2">
      <c r="A24" s="869" t="s">
        <v>266</v>
      </c>
      <c r="B24" s="871" t="s">
        <v>2562</v>
      </c>
      <c r="C24" s="924">
        <v>4</v>
      </c>
      <c r="D24" s="918">
        <v>4</v>
      </c>
      <c r="E24" s="925"/>
      <c r="F24" s="926" t="s">
        <v>91</v>
      </c>
      <c r="G24" s="939" t="s">
        <v>96</v>
      </c>
    </row>
    <row r="25" spans="1:7" ht="12.75" customHeight="1" x14ac:dyDescent="0.2">
      <c r="A25" s="869" t="s">
        <v>616</v>
      </c>
      <c r="B25" s="870" t="s">
        <v>2227</v>
      </c>
      <c r="C25" s="917">
        <v>80</v>
      </c>
      <c r="D25" s="922">
        <v>40</v>
      </c>
      <c r="E25" s="919" t="s">
        <v>203</v>
      </c>
      <c r="F25" s="920" t="s">
        <v>91</v>
      </c>
      <c r="G25" s="921" t="s">
        <v>96</v>
      </c>
    </row>
    <row r="26" spans="1:7" ht="13.5" customHeight="1" x14ac:dyDescent="0.2">
      <c r="A26" s="869" t="s">
        <v>268</v>
      </c>
      <c r="B26" s="870" t="s">
        <v>2228</v>
      </c>
      <c r="C26" s="917">
        <v>80</v>
      </c>
      <c r="D26" s="922">
        <v>40</v>
      </c>
      <c r="E26" s="919"/>
      <c r="F26" s="920" t="s">
        <v>198</v>
      </c>
      <c r="G26" s="921" t="s">
        <v>96</v>
      </c>
    </row>
    <row r="27" spans="1:7" ht="12.75" customHeight="1" x14ac:dyDescent="0.2">
      <c r="A27" s="869" t="s">
        <v>270</v>
      </c>
      <c r="B27" s="870" t="s">
        <v>2393</v>
      </c>
      <c r="C27" s="917">
        <v>50</v>
      </c>
      <c r="D27" s="922">
        <v>40</v>
      </c>
      <c r="E27" s="919" t="s">
        <v>203</v>
      </c>
      <c r="F27" s="926"/>
      <c r="G27" s="921" t="s">
        <v>96</v>
      </c>
    </row>
    <row r="28" spans="1:7" ht="25.5" x14ac:dyDescent="0.2">
      <c r="A28" s="876" t="s">
        <v>272</v>
      </c>
      <c r="B28" s="877" t="s">
        <v>2230</v>
      </c>
      <c r="C28" s="936">
        <v>50</v>
      </c>
      <c r="D28" s="922" t="s">
        <v>91</v>
      </c>
      <c r="E28" s="919" t="s">
        <v>781</v>
      </c>
      <c r="F28" s="937" t="s">
        <v>198</v>
      </c>
      <c r="G28" s="938" t="s">
        <v>96</v>
      </c>
    </row>
    <row r="29" spans="1:7" ht="12.75" customHeight="1" x14ac:dyDescent="0.2">
      <c r="A29" s="869" t="s">
        <v>274</v>
      </c>
      <c r="B29" s="870" t="s">
        <v>273</v>
      </c>
      <c r="C29" s="917">
        <v>50</v>
      </c>
      <c r="D29" s="922" t="s">
        <v>91</v>
      </c>
      <c r="E29" s="919" t="s">
        <v>203</v>
      </c>
      <c r="F29" s="920"/>
      <c r="G29" s="921" t="s">
        <v>96</v>
      </c>
    </row>
    <row r="30" spans="1:7" ht="12.75" customHeight="1" x14ac:dyDescent="0.2">
      <c r="A30" s="869" t="s">
        <v>275</v>
      </c>
      <c r="B30" s="870" t="s">
        <v>317</v>
      </c>
      <c r="C30" s="917">
        <v>50</v>
      </c>
      <c r="D30" s="922" t="s">
        <v>91</v>
      </c>
      <c r="E30" s="919"/>
      <c r="F30" s="920"/>
      <c r="G30" s="921" t="s">
        <v>96</v>
      </c>
    </row>
    <row r="31" spans="1:7" ht="25.5" x14ac:dyDescent="0.2">
      <c r="A31" s="876" t="s">
        <v>276</v>
      </c>
      <c r="B31" s="877" t="s">
        <v>609</v>
      </c>
      <c r="C31" s="936">
        <v>30</v>
      </c>
      <c r="D31" s="922">
        <v>20</v>
      </c>
      <c r="E31" s="919" t="s">
        <v>781</v>
      </c>
      <c r="F31" s="937" t="s">
        <v>198</v>
      </c>
      <c r="G31" s="938" t="s">
        <v>96</v>
      </c>
    </row>
    <row r="32" spans="1:7" ht="25.5" x14ac:dyDescent="0.2">
      <c r="A32" s="876" t="s">
        <v>278</v>
      </c>
      <c r="B32" s="877" t="s">
        <v>1649</v>
      </c>
      <c r="C32" s="936">
        <v>2</v>
      </c>
      <c r="D32" s="922">
        <v>2</v>
      </c>
      <c r="E32" s="919" t="s">
        <v>784</v>
      </c>
      <c r="F32" s="937" t="s">
        <v>198</v>
      </c>
      <c r="G32" s="938" t="s">
        <v>96</v>
      </c>
    </row>
    <row r="33" spans="1:7" ht="25.5" x14ac:dyDescent="0.2">
      <c r="A33" s="869" t="s">
        <v>279</v>
      </c>
      <c r="B33" s="878" t="s">
        <v>2231</v>
      </c>
      <c r="C33" s="917">
        <v>13</v>
      </c>
      <c r="D33" s="922" t="s">
        <v>91</v>
      </c>
      <c r="E33" s="919" t="s">
        <v>784</v>
      </c>
      <c r="F33" s="920" t="s">
        <v>198</v>
      </c>
      <c r="G33" s="921" t="s">
        <v>96</v>
      </c>
    </row>
    <row r="34" spans="1:7" ht="25.5" x14ac:dyDescent="0.2">
      <c r="A34" s="876" t="s">
        <v>281</v>
      </c>
      <c r="B34" s="877" t="s">
        <v>610</v>
      </c>
      <c r="C34" s="936">
        <v>30</v>
      </c>
      <c r="D34" s="922">
        <v>20</v>
      </c>
      <c r="E34" s="919" t="s">
        <v>785</v>
      </c>
      <c r="F34" s="937" t="s">
        <v>198</v>
      </c>
      <c r="G34" s="938" t="s">
        <v>96</v>
      </c>
    </row>
    <row r="35" spans="1:7" ht="12.75" customHeight="1" x14ac:dyDescent="0.2">
      <c r="A35" s="151" t="s">
        <v>1478</v>
      </c>
      <c r="B35" s="140" t="s">
        <v>1479</v>
      </c>
      <c r="C35" s="717">
        <v>3</v>
      </c>
      <c r="D35" s="721">
        <v>20</v>
      </c>
      <c r="E35" s="719"/>
      <c r="F35" s="368" t="s">
        <v>91</v>
      </c>
      <c r="G35" s="149"/>
    </row>
    <row r="36" spans="1:7" ht="12.75" customHeight="1" x14ac:dyDescent="0.2">
      <c r="A36" s="869" t="s">
        <v>283</v>
      </c>
      <c r="B36" s="870" t="s">
        <v>282</v>
      </c>
      <c r="C36" s="917">
        <v>3</v>
      </c>
      <c r="D36" s="922" t="s">
        <v>91</v>
      </c>
      <c r="E36" s="919" t="s">
        <v>203</v>
      </c>
      <c r="F36" s="920" t="s">
        <v>91</v>
      </c>
      <c r="G36" s="921" t="s">
        <v>96</v>
      </c>
    </row>
    <row r="37" spans="1:7" ht="12.75" customHeight="1" x14ac:dyDescent="0.2">
      <c r="A37" s="869" t="s">
        <v>285</v>
      </c>
      <c r="B37" s="870" t="s">
        <v>284</v>
      </c>
      <c r="C37" s="917">
        <v>22</v>
      </c>
      <c r="D37" s="922" t="s">
        <v>91</v>
      </c>
      <c r="E37" s="919" t="s">
        <v>203</v>
      </c>
      <c r="F37" s="920" t="s">
        <v>91</v>
      </c>
      <c r="G37" s="921" t="s">
        <v>96</v>
      </c>
    </row>
    <row r="38" spans="1:7" ht="12.75" customHeight="1" x14ac:dyDescent="0.2">
      <c r="A38" s="151" t="s">
        <v>286</v>
      </c>
      <c r="B38" s="140" t="s">
        <v>1480</v>
      </c>
      <c r="C38" s="717">
        <v>3</v>
      </c>
      <c r="D38" s="721" t="s">
        <v>91</v>
      </c>
      <c r="E38" s="719"/>
      <c r="F38" s="368" t="s">
        <v>91</v>
      </c>
      <c r="G38" s="149"/>
    </row>
    <row r="39" spans="1:7" ht="12.75" customHeight="1" x14ac:dyDescent="0.2">
      <c r="A39" s="869" t="s">
        <v>287</v>
      </c>
      <c r="B39" s="871" t="s">
        <v>1481</v>
      </c>
      <c r="C39" s="924">
        <v>3</v>
      </c>
      <c r="D39" s="918" t="s">
        <v>91</v>
      </c>
      <c r="E39" s="925"/>
      <c r="F39" s="926" t="s">
        <v>91</v>
      </c>
      <c r="G39" s="939" t="s">
        <v>96</v>
      </c>
    </row>
    <row r="40" spans="1:7" ht="12.75" customHeight="1" x14ac:dyDescent="0.2">
      <c r="A40" s="869" t="s">
        <v>288</v>
      </c>
      <c r="B40" s="871" t="s">
        <v>2232</v>
      </c>
      <c r="C40" s="924">
        <v>22</v>
      </c>
      <c r="D40" s="918" t="s">
        <v>91</v>
      </c>
      <c r="E40" s="925"/>
      <c r="F40" s="926" t="s">
        <v>91</v>
      </c>
      <c r="G40" s="939" t="s">
        <v>96</v>
      </c>
    </row>
    <row r="41" spans="1:7" ht="12.75" customHeight="1" x14ac:dyDescent="0.2">
      <c r="A41" s="151" t="s">
        <v>1476</v>
      </c>
      <c r="B41" s="140" t="s">
        <v>1477</v>
      </c>
      <c r="C41" s="717">
        <v>3</v>
      </c>
      <c r="D41" s="721" t="s">
        <v>91</v>
      </c>
      <c r="E41" s="719"/>
      <c r="F41" s="368" t="s">
        <v>91</v>
      </c>
      <c r="G41" s="149"/>
    </row>
    <row r="42" spans="1:7" ht="12.75" customHeight="1" x14ac:dyDescent="0.2">
      <c r="A42" s="869" t="s">
        <v>290</v>
      </c>
      <c r="B42" s="870" t="s">
        <v>289</v>
      </c>
      <c r="C42" s="917">
        <v>3</v>
      </c>
      <c r="D42" s="922" t="s">
        <v>91</v>
      </c>
      <c r="E42" s="919" t="s">
        <v>203</v>
      </c>
      <c r="F42" s="920" t="s">
        <v>91</v>
      </c>
      <c r="G42" s="921" t="s">
        <v>96</v>
      </c>
    </row>
    <row r="43" spans="1:7" ht="12.75" customHeight="1" x14ac:dyDescent="0.2">
      <c r="A43" s="869" t="s">
        <v>292</v>
      </c>
      <c r="B43" s="870" t="s">
        <v>291</v>
      </c>
      <c r="C43" s="917">
        <v>22</v>
      </c>
      <c r="D43" s="922" t="s">
        <v>91</v>
      </c>
      <c r="E43" s="919"/>
      <c r="F43" s="920" t="s">
        <v>91</v>
      </c>
      <c r="G43" s="921" t="s">
        <v>96</v>
      </c>
    </row>
    <row r="44" spans="1:7" ht="12.75" customHeight="1" x14ac:dyDescent="0.2">
      <c r="A44" s="869" t="s">
        <v>293</v>
      </c>
      <c r="B44" s="870" t="s">
        <v>617</v>
      </c>
      <c r="C44" s="917">
        <v>60</v>
      </c>
      <c r="D44" s="922" t="s">
        <v>91</v>
      </c>
      <c r="E44" s="919" t="s">
        <v>203</v>
      </c>
      <c r="F44" s="920" t="s">
        <v>91</v>
      </c>
      <c r="G44" s="921" t="s">
        <v>96</v>
      </c>
    </row>
    <row r="45" spans="1:7" ht="12.75" customHeight="1" x14ac:dyDescent="0.2">
      <c r="A45" s="869" t="s">
        <v>294</v>
      </c>
      <c r="B45" s="870" t="s">
        <v>2237</v>
      </c>
      <c r="C45" s="917">
        <v>60</v>
      </c>
      <c r="D45" s="922" t="s">
        <v>91</v>
      </c>
      <c r="E45" s="919"/>
      <c r="F45" s="920" t="s">
        <v>91</v>
      </c>
      <c r="G45" s="921" t="s">
        <v>96</v>
      </c>
    </row>
    <row r="46" spans="1:7" s="784" customFormat="1" ht="12.75" customHeight="1" x14ac:dyDescent="0.2">
      <c r="A46" s="869" t="s">
        <v>296</v>
      </c>
      <c r="B46" s="871" t="s">
        <v>2374</v>
      </c>
      <c r="C46" s="924">
        <v>250</v>
      </c>
      <c r="D46" s="918" t="s">
        <v>91</v>
      </c>
      <c r="E46" s="925"/>
      <c r="F46" s="926" t="s">
        <v>96</v>
      </c>
      <c r="G46" s="939" t="s">
        <v>96</v>
      </c>
    </row>
    <row r="47" spans="1:7" ht="12.75" customHeight="1" x14ac:dyDescent="0.2">
      <c r="A47" s="151" t="s">
        <v>778</v>
      </c>
      <c r="B47" s="140" t="s">
        <v>57</v>
      </c>
      <c r="C47" s="717">
        <v>40</v>
      </c>
      <c r="D47" s="721" t="s">
        <v>91</v>
      </c>
      <c r="E47" s="719"/>
      <c r="F47" s="368" t="s">
        <v>91</v>
      </c>
      <c r="G47" s="149" t="s">
        <v>97</v>
      </c>
    </row>
    <row r="48" spans="1:7" ht="12.75" customHeight="1" x14ac:dyDescent="0.2">
      <c r="A48" s="869" t="s">
        <v>297</v>
      </c>
      <c r="B48" s="871" t="s">
        <v>2024</v>
      </c>
      <c r="C48" s="917">
        <v>3</v>
      </c>
      <c r="D48" s="922">
        <v>3</v>
      </c>
      <c r="E48" s="919"/>
      <c r="F48" s="920"/>
      <c r="G48" s="921" t="s">
        <v>96</v>
      </c>
    </row>
    <row r="49" spans="1:8" ht="12.75" customHeight="1" x14ac:dyDescent="0.2">
      <c r="A49" s="869" t="s">
        <v>298</v>
      </c>
      <c r="B49" s="871" t="s">
        <v>1985</v>
      </c>
      <c r="C49" s="917">
        <v>15</v>
      </c>
      <c r="D49" s="922">
        <v>15</v>
      </c>
      <c r="E49" s="919"/>
      <c r="F49" s="920"/>
      <c r="G49" s="921" t="s">
        <v>96</v>
      </c>
    </row>
    <row r="50" spans="1:8" ht="12.75" customHeight="1" x14ac:dyDescent="0.2">
      <c r="A50" s="869" t="s">
        <v>299</v>
      </c>
      <c r="B50" s="871" t="s">
        <v>2238</v>
      </c>
      <c r="C50" s="917">
        <v>15</v>
      </c>
      <c r="D50" s="922">
        <v>15</v>
      </c>
      <c r="E50" s="919"/>
      <c r="F50" s="920"/>
      <c r="G50" s="921" t="s">
        <v>96</v>
      </c>
    </row>
    <row r="51" spans="1:8" ht="12.75" customHeight="1" x14ac:dyDescent="0.2">
      <c r="A51" s="869" t="s">
        <v>31</v>
      </c>
      <c r="B51" s="871" t="s">
        <v>2035</v>
      </c>
      <c r="C51" s="924">
        <v>15</v>
      </c>
      <c r="D51" s="918">
        <v>15</v>
      </c>
      <c r="E51" s="925" t="s">
        <v>203</v>
      </c>
      <c r="F51" s="926"/>
      <c r="G51" s="939" t="s">
        <v>96</v>
      </c>
    </row>
    <row r="52" spans="1:8" ht="12.75" customHeight="1" x14ac:dyDescent="0.2">
      <c r="A52" s="869" t="s">
        <v>32</v>
      </c>
      <c r="B52" s="871" t="s">
        <v>2239</v>
      </c>
      <c r="C52" s="917">
        <v>4</v>
      </c>
      <c r="D52" s="922">
        <v>4</v>
      </c>
      <c r="E52" s="919" t="s">
        <v>203</v>
      </c>
      <c r="F52" s="920"/>
      <c r="G52" s="921" t="s">
        <v>96</v>
      </c>
    </row>
    <row r="53" spans="1:8" ht="13.5" customHeight="1" x14ac:dyDescent="0.2">
      <c r="A53" s="151" t="s">
        <v>779</v>
      </c>
      <c r="B53" s="846"/>
      <c r="C53" s="741">
        <v>8</v>
      </c>
      <c r="D53" s="945" t="s">
        <v>91</v>
      </c>
      <c r="E53" s="742"/>
      <c r="F53" s="1027"/>
      <c r="G53" s="847"/>
      <c r="H53" s="956"/>
    </row>
    <row r="54" spans="1:8" ht="13.5" customHeight="1" x14ac:dyDescent="0.2">
      <c r="A54" s="869" t="s">
        <v>33</v>
      </c>
      <c r="B54" s="871" t="s">
        <v>2028</v>
      </c>
      <c r="C54" s="917">
        <v>30</v>
      </c>
      <c r="D54" s="922">
        <v>30</v>
      </c>
      <c r="E54" s="919"/>
      <c r="F54" s="941"/>
      <c r="G54" s="921" t="s">
        <v>96</v>
      </c>
    </row>
    <row r="55" spans="1:8" ht="13.5" customHeight="1" x14ac:dyDescent="0.2">
      <c r="A55" s="869" t="s">
        <v>34</v>
      </c>
      <c r="B55" s="871" t="s">
        <v>2030</v>
      </c>
      <c r="C55" s="917">
        <v>30</v>
      </c>
      <c r="D55" s="922">
        <v>30</v>
      </c>
      <c r="E55" s="919"/>
      <c r="F55" s="941"/>
      <c r="G55" s="921" t="s">
        <v>96</v>
      </c>
    </row>
    <row r="56" spans="1:8" ht="13.5" customHeight="1" x14ac:dyDescent="0.2">
      <c r="A56" s="869" t="s">
        <v>35</v>
      </c>
      <c r="B56" s="871" t="s">
        <v>2032</v>
      </c>
      <c r="C56" s="917">
        <v>30</v>
      </c>
      <c r="D56" s="922">
        <v>30</v>
      </c>
      <c r="E56" s="919"/>
      <c r="F56" s="941"/>
      <c r="G56" s="921" t="s">
        <v>96</v>
      </c>
    </row>
    <row r="57" spans="1:8" ht="13.5" customHeight="1" x14ac:dyDescent="0.2">
      <c r="A57" s="869" t="s">
        <v>36</v>
      </c>
      <c r="B57" s="871" t="s">
        <v>2034</v>
      </c>
      <c r="C57" s="917">
        <v>30</v>
      </c>
      <c r="D57" s="922" t="s">
        <v>91</v>
      </c>
      <c r="E57" s="919"/>
      <c r="F57" s="941"/>
      <c r="G57" s="921" t="s">
        <v>96</v>
      </c>
    </row>
    <row r="58" spans="1:8" ht="13.5" customHeight="1" x14ac:dyDescent="0.2">
      <c r="A58" s="869" t="s">
        <v>37</v>
      </c>
      <c r="B58" s="871" t="s">
        <v>2233</v>
      </c>
      <c r="C58" s="917">
        <v>60</v>
      </c>
      <c r="D58" s="922">
        <v>60</v>
      </c>
      <c r="E58" s="919"/>
      <c r="F58" s="941"/>
      <c r="G58" s="921" t="s">
        <v>96</v>
      </c>
    </row>
    <row r="59" spans="1:8" ht="13.5" customHeight="1" x14ac:dyDescent="0.2">
      <c r="A59" s="869" t="s">
        <v>38</v>
      </c>
      <c r="B59" s="871" t="s">
        <v>2294</v>
      </c>
      <c r="C59" s="917">
        <v>30</v>
      </c>
      <c r="D59" s="922">
        <v>30</v>
      </c>
      <c r="E59" s="919"/>
      <c r="F59" s="941"/>
      <c r="G59" s="921" t="s">
        <v>96</v>
      </c>
    </row>
    <row r="60" spans="1:8" ht="13.5" customHeight="1" x14ac:dyDescent="0.2">
      <c r="A60" s="869" t="s">
        <v>39</v>
      </c>
      <c r="B60" s="871" t="s">
        <v>2291</v>
      </c>
      <c r="C60" s="924">
        <v>60</v>
      </c>
      <c r="D60" s="918">
        <v>60</v>
      </c>
      <c r="E60" s="919"/>
      <c r="F60" s="941"/>
      <c r="G60" s="921" t="s">
        <v>96</v>
      </c>
    </row>
    <row r="61" spans="1:8" ht="13.5" customHeight="1" x14ac:dyDescent="0.2">
      <c r="A61" s="151" t="s">
        <v>618</v>
      </c>
      <c r="B61" s="846" t="s">
        <v>187</v>
      </c>
      <c r="C61" s="717">
        <v>1</v>
      </c>
      <c r="D61" s="721">
        <v>1</v>
      </c>
      <c r="E61" s="719"/>
      <c r="F61" s="369"/>
      <c r="G61" s="149"/>
    </row>
    <row r="62" spans="1:8" ht="13.5" customHeight="1" x14ac:dyDescent="0.2">
      <c r="A62" s="1018" t="s">
        <v>40</v>
      </c>
      <c r="B62" s="1019" t="s">
        <v>2235</v>
      </c>
      <c r="C62" s="1020">
        <v>9</v>
      </c>
      <c r="D62" s="1021">
        <v>9</v>
      </c>
      <c r="E62" s="1022"/>
      <c r="F62" s="1023"/>
      <c r="G62" s="1024" t="s">
        <v>96</v>
      </c>
      <c r="H62" s="1014" t="s">
        <v>2565</v>
      </c>
    </row>
    <row r="63" spans="1:8" ht="12.75" customHeight="1" x14ac:dyDescent="0.2">
      <c r="A63" s="869" t="s">
        <v>280</v>
      </c>
      <c r="B63" s="871" t="s">
        <v>2236</v>
      </c>
      <c r="C63" s="924">
        <v>10</v>
      </c>
      <c r="D63" s="918">
        <v>1</v>
      </c>
      <c r="E63" s="925" t="s">
        <v>203</v>
      </c>
      <c r="F63" s="926"/>
      <c r="G63" s="939" t="s">
        <v>96</v>
      </c>
    </row>
    <row r="64" spans="1:8" ht="12.75" customHeight="1" x14ac:dyDescent="0.2">
      <c r="A64" s="151" t="s">
        <v>41</v>
      </c>
      <c r="B64" s="846" t="s">
        <v>192</v>
      </c>
      <c r="C64" s="717">
        <v>1</v>
      </c>
      <c r="D64" s="721">
        <v>1</v>
      </c>
      <c r="E64" s="719"/>
      <c r="F64" s="368"/>
      <c r="G64" s="149"/>
    </row>
    <row r="65" spans="1:7" ht="12.75" customHeight="1" x14ac:dyDescent="0.2">
      <c r="A65" s="869" t="s">
        <v>42</v>
      </c>
      <c r="B65" s="871" t="s">
        <v>2519</v>
      </c>
      <c r="C65" s="924">
        <v>8</v>
      </c>
      <c r="D65" s="918">
        <v>8</v>
      </c>
      <c r="E65" s="925"/>
      <c r="F65" s="926"/>
      <c r="G65" s="939" t="s">
        <v>96</v>
      </c>
    </row>
    <row r="66" spans="1:7" ht="12.75" customHeight="1" x14ac:dyDescent="0.2">
      <c r="A66" s="151" t="s">
        <v>44</v>
      </c>
      <c r="B66" s="846" t="s">
        <v>43</v>
      </c>
      <c r="C66" s="717">
        <v>1</v>
      </c>
      <c r="D66" s="721" t="s">
        <v>91</v>
      </c>
      <c r="E66" s="719"/>
      <c r="F66" s="368"/>
      <c r="G66" s="149"/>
    </row>
    <row r="67" spans="1:7" ht="12.75" customHeight="1" x14ac:dyDescent="0.2">
      <c r="A67" s="869" t="s">
        <v>351</v>
      </c>
      <c r="B67" s="871" t="s">
        <v>2234</v>
      </c>
      <c r="C67" s="924">
        <v>8</v>
      </c>
      <c r="D67" s="918">
        <v>8</v>
      </c>
      <c r="E67" s="925"/>
      <c r="F67" s="926"/>
      <c r="G67" s="939" t="s">
        <v>96</v>
      </c>
    </row>
    <row r="68" spans="1:7" ht="12.75" customHeight="1" x14ac:dyDescent="0.2">
      <c r="A68" s="541"/>
      <c r="B68" s="539"/>
      <c r="C68" s="152"/>
      <c r="D68" s="152"/>
      <c r="E68" s="36"/>
      <c r="F68" s="36"/>
      <c r="G68" s="36"/>
    </row>
    <row r="69" spans="1:7" ht="12.75" customHeight="1" x14ac:dyDescent="0.2">
      <c r="A69" s="541"/>
      <c r="B69" s="539"/>
      <c r="C69" s="540"/>
      <c r="D69" s="540"/>
      <c r="E69" s="36"/>
      <c r="F69" s="36"/>
      <c r="G69" s="36"/>
    </row>
    <row r="70" spans="1:7" ht="12.75" customHeight="1" x14ac:dyDescent="0.2">
      <c r="A70" s="541"/>
      <c r="B70" s="539"/>
      <c r="C70" s="540"/>
      <c r="D70" s="540"/>
      <c r="E70" s="36"/>
      <c r="F70" s="36"/>
      <c r="G70" s="36"/>
    </row>
    <row r="71" spans="1:7" ht="12.75" customHeight="1" x14ac:dyDescent="0.2">
      <c r="A71" s="541"/>
      <c r="B71" s="539"/>
      <c r="C71" s="540"/>
      <c r="D71" s="540"/>
      <c r="E71" s="36"/>
      <c r="F71" s="36"/>
      <c r="G71" s="36"/>
    </row>
    <row r="72" spans="1:7" ht="12.75" customHeight="1" x14ac:dyDescent="0.2">
      <c r="A72" s="541"/>
      <c r="B72" s="539"/>
      <c r="C72" s="540"/>
      <c r="D72" s="540"/>
      <c r="E72" s="36"/>
      <c r="F72" s="36"/>
      <c r="G72" s="36"/>
    </row>
    <row r="73" spans="1:7" ht="12.75" customHeight="1" x14ac:dyDescent="0.2">
      <c r="A73" s="541"/>
      <c r="B73" s="539"/>
      <c r="C73" s="540"/>
      <c r="D73" s="540"/>
      <c r="E73" s="36"/>
      <c r="F73" s="36"/>
      <c r="G73" s="36"/>
    </row>
    <row r="74" spans="1:7" ht="12.75" customHeight="1" x14ac:dyDescent="0.2">
      <c r="A74" s="541"/>
      <c r="B74" s="539"/>
      <c r="C74" s="540"/>
      <c r="D74" s="540"/>
      <c r="E74" s="36"/>
      <c r="F74" s="36"/>
      <c r="G74" s="36"/>
    </row>
    <row r="75" spans="1:7" ht="12.75" customHeight="1" x14ac:dyDescent="0.2">
      <c r="A75" s="541"/>
      <c r="B75" s="539"/>
      <c r="C75" s="540"/>
      <c r="D75" s="540"/>
      <c r="E75" s="36"/>
      <c r="F75" s="36"/>
      <c r="G75" s="36"/>
    </row>
    <row r="76" spans="1:7" ht="12.75" customHeight="1" x14ac:dyDescent="0.2">
      <c r="A76" s="541"/>
      <c r="B76" s="539"/>
      <c r="C76" s="540"/>
      <c r="D76" s="540"/>
      <c r="E76" s="36"/>
      <c r="F76" s="36"/>
      <c r="G76" s="36"/>
    </row>
    <row r="77" spans="1:7" ht="12.75" customHeight="1" x14ac:dyDescent="0.2">
      <c r="A77" s="541"/>
      <c r="B77" s="539"/>
      <c r="C77" s="540"/>
      <c r="D77" s="540"/>
      <c r="E77" s="36"/>
      <c r="F77" s="36"/>
      <c r="G77" s="36"/>
    </row>
    <row r="78" spans="1:7" ht="12.75" customHeight="1" x14ac:dyDescent="0.2">
      <c r="A78" s="541"/>
      <c r="B78" s="539"/>
      <c r="C78" s="540"/>
      <c r="D78" s="540"/>
      <c r="E78" s="36"/>
      <c r="F78" s="36"/>
      <c r="G78" s="36"/>
    </row>
    <row r="79" spans="1:7" ht="12.75" customHeight="1" x14ac:dyDescent="0.2">
      <c r="A79" s="541"/>
      <c r="B79" s="539"/>
      <c r="C79" s="540"/>
      <c r="D79" s="540"/>
      <c r="E79" s="36"/>
      <c r="F79" s="36"/>
      <c r="G79" s="36"/>
    </row>
    <row r="80" spans="1:7" ht="12.75" customHeight="1" x14ac:dyDescent="0.2">
      <c r="A80" s="541"/>
      <c r="B80" s="539"/>
      <c r="C80" s="540"/>
      <c r="D80" s="540"/>
      <c r="E80" s="36"/>
      <c r="F80" s="36"/>
      <c r="G80" s="36"/>
    </row>
    <row r="81" spans="2:7" ht="12.75" customHeight="1" x14ac:dyDescent="0.2">
      <c r="B81" s="539"/>
      <c r="C81" s="540"/>
      <c r="D81" s="540"/>
      <c r="E81" s="36"/>
      <c r="F81" s="36"/>
      <c r="G81" s="36"/>
    </row>
    <row r="82" spans="2:7" ht="12.75" customHeight="1" x14ac:dyDescent="0.2">
      <c r="B82" s="541"/>
      <c r="C82" s="540"/>
      <c r="D82" s="540"/>
      <c r="E82" s="36"/>
      <c r="F82" s="36"/>
      <c r="G82" s="36"/>
    </row>
    <row r="83" spans="2:7" ht="12.75" customHeight="1" x14ac:dyDescent="0.2">
      <c r="B83" s="541"/>
      <c r="C83" s="540"/>
      <c r="D83" s="540"/>
      <c r="E83" s="36"/>
      <c r="F83" s="36"/>
      <c r="G83" s="36"/>
    </row>
    <row r="84" spans="2:7" ht="12.75" customHeight="1" x14ac:dyDescent="0.2">
      <c r="B84" s="541"/>
      <c r="C84" s="540"/>
      <c r="D84" s="540"/>
      <c r="E84" s="36"/>
      <c r="F84" s="36"/>
      <c r="G84" s="36"/>
    </row>
    <row r="85" spans="2:7" ht="12.75" customHeight="1" x14ac:dyDescent="0.2">
      <c r="B85" s="541"/>
      <c r="C85" s="540"/>
      <c r="D85" s="540"/>
      <c r="E85" s="36"/>
      <c r="F85" s="36"/>
      <c r="G85" s="36"/>
    </row>
    <row r="86" spans="2:7" ht="12.75" customHeight="1" x14ac:dyDescent="0.2">
      <c r="B86" s="541"/>
      <c r="C86" s="540"/>
      <c r="D86" s="540"/>
      <c r="E86" s="36"/>
      <c r="F86" s="36"/>
      <c r="G86" s="36"/>
    </row>
    <row r="87" spans="2:7" ht="12.75" customHeight="1" x14ac:dyDescent="0.2">
      <c r="B87" s="541"/>
      <c r="C87" s="540"/>
      <c r="D87" s="540"/>
      <c r="E87" s="36"/>
      <c r="F87" s="36"/>
      <c r="G87" s="36"/>
    </row>
    <row r="88" spans="2:7" ht="12.75" customHeight="1" x14ac:dyDescent="0.2">
      <c r="B88" s="541"/>
      <c r="C88" s="540"/>
      <c r="D88" s="540"/>
      <c r="E88" s="36"/>
      <c r="F88" s="36"/>
      <c r="G88" s="36"/>
    </row>
    <row r="89" spans="2:7" ht="12.75" customHeight="1" x14ac:dyDescent="0.2">
      <c r="B89" s="541"/>
      <c r="C89" s="540"/>
      <c r="D89" s="540"/>
      <c r="E89" s="36"/>
      <c r="F89" s="36"/>
      <c r="G89" s="36"/>
    </row>
    <row r="90" spans="2:7" ht="12.75" customHeight="1" x14ac:dyDescent="0.2">
      <c r="B90" s="541"/>
      <c r="C90" s="540"/>
      <c r="D90" s="540"/>
      <c r="E90" s="36"/>
      <c r="F90" s="36"/>
      <c r="G90" s="36"/>
    </row>
    <row r="91" spans="2:7" ht="12.75" customHeight="1" x14ac:dyDescent="0.2">
      <c r="B91" s="541"/>
      <c r="C91" s="540"/>
      <c r="D91" s="540"/>
      <c r="E91" s="36"/>
      <c r="F91" s="36"/>
      <c r="G91" s="36"/>
    </row>
    <row r="92" spans="2:7" ht="12.75" customHeight="1" x14ac:dyDescent="0.2">
      <c r="B92" s="541"/>
      <c r="C92" s="540"/>
      <c r="D92" s="540"/>
      <c r="E92" s="36"/>
      <c r="F92" s="36"/>
      <c r="G92" s="36"/>
    </row>
    <row r="93" spans="2:7" ht="12.75" customHeight="1" x14ac:dyDescent="0.2">
      <c r="B93" s="541"/>
      <c r="C93" s="540"/>
      <c r="D93" s="540"/>
      <c r="E93" s="36"/>
      <c r="F93" s="36"/>
      <c r="G93" s="36"/>
    </row>
    <row r="94" spans="2:7" ht="12.75" customHeight="1" x14ac:dyDescent="0.2">
      <c r="B94" s="541"/>
      <c r="C94" s="540"/>
      <c r="D94" s="540"/>
      <c r="E94" s="36"/>
      <c r="F94" s="36"/>
      <c r="G94" s="36"/>
    </row>
    <row r="95" spans="2:7" ht="12.75" customHeight="1" x14ac:dyDescent="0.2">
      <c r="B95" s="541"/>
      <c r="C95" s="540"/>
      <c r="D95" s="540"/>
      <c r="E95" s="36"/>
      <c r="F95" s="36"/>
      <c r="G95" s="36"/>
    </row>
    <row r="96" spans="2:7" ht="12.75" customHeight="1" x14ac:dyDescent="0.2">
      <c r="B96" s="541"/>
      <c r="C96" s="540"/>
      <c r="D96" s="540"/>
      <c r="E96" s="36"/>
      <c r="F96" s="36"/>
      <c r="G96" s="36"/>
    </row>
    <row r="97" spans="3:7" ht="12.75" customHeight="1" x14ac:dyDescent="0.2">
      <c r="C97" s="540"/>
      <c r="D97" s="540"/>
      <c r="E97" s="36"/>
      <c r="F97" s="36"/>
      <c r="G97" s="36"/>
    </row>
    <row r="98" spans="3:7" ht="12.75" customHeight="1" x14ac:dyDescent="0.2">
      <c r="C98" s="540"/>
      <c r="D98" s="540"/>
      <c r="E98" s="36"/>
      <c r="F98" s="36"/>
      <c r="G98" s="36"/>
    </row>
    <row r="99" spans="3:7" ht="12.75" customHeight="1" x14ac:dyDescent="0.2">
      <c r="C99" s="540"/>
      <c r="D99" s="540"/>
      <c r="E99" s="36"/>
      <c r="F99" s="36"/>
      <c r="G99" s="36"/>
    </row>
    <row r="100" spans="3:7" ht="12.75" customHeight="1" x14ac:dyDescent="0.2">
      <c r="C100" s="540"/>
      <c r="D100" s="540"/>
      <c r="E100" s="36"/>
      <c r="F100" s="36"/>
      <c r="G100" s="36"/>
    </row>
    <row r="101" spans="3:7" ht="12.75" customHeight="1" x14ac:dyDescent="0.2">
      <c r="C101" s="540"/>
      <c r="D101" s="540"/>
      <c r="E101" s="541"/>
      <c r="F101" s="541"/>
      <c r="G101" s="541"/>
    </row>
    <row r="102" spans="3:7" ht="12.75" customHeight="1" x14ac:dyDescent="0.2">
      <c r="C102" s="540"/>
      <c r="D102" s="540"/>
      <c r="E102" s="541"/>
      <c r="F102" s="541"/>
      <c r="G102" s="541"/>
    </row>
    <row r="103" spans="3:7" ht="12.75" customHeight="1" x14ac:dyDescent="0.2">
      <c r="C103" s="540"/>
      <c r="D103" s="540"/>
      <c r="E103" s="541"/>
      <c r="F103" s="541"/>
      <c r="G103" s="541"/>
    </row>
    <row r="104" spans="3:7" ht="12.75" customHeight="1" x14ac:dyDescent="0.2">
      <c r="C104" s="540"/>
      <c r="D104" s="540"/>
      <c r="E104" s="541"/>
      <c r="F104" s="541"/>
      <c r="G104" s="541"/>
    </row>
    <row r="105" spans="3:7" ht="12.75" customHeight="1" x14ac:dyDescent="0.2">
      <c r="C105" s="540"/>
      <c r="D105" s="540"/>
      <c r="E105" s="541"/>
      <c r="F105" s="541"/>
      <c r="G105" s="541"/>
    </row>
    <row r="106" spans="3:7" ht="12.75" customHeight="1" x14ac:dyDescent="0.2">
      <c r="C106" s="540"/>
      <c r="D106" s="540"/>
      <c r="E106" s="541"/>
      <c r="F106" s="541"/>
      <c r="G106" s="541"/>
    </row>
    <row r="107" spans="3:7" ht="12.75" customHeight="1" x14ac:dyDescent="0.2">
      <c r="C107" s="540"/>
      <c r="D107" s="540"/>
      <c r="E107" s="541"/>
      <c r="F107" s="541"/>
      <c r="G107" s="541"/>
    </row>
    <row r="108" spans="3:7" ht="12.75" customHeight="1" x14ac:dyDescent="0.2">
      <c r="C108" s="540"/>
      <c r="D108" s="540"/>
      <c r="E108" s="541"/>
      <c r="F108" s="541"/>
      <c r="G108" s="541"/>
    </row>
    <row r="109" spans="3:7" ht="12.75" customHeight="1" x14ac:dyDescent="0.2">
      <c r="C109" s="540"/>
      <c r="D109" s="540"/>
      <c r="E109" s="541"/>
      <c r="F109" s="541"/>
      <c r="G109" s="541"/>
    </row>
    <row r="110" spans="3:7" ht="12.75" customHeight="1" x14ac:dyDescent="0.2">
      <c r="C110" s="540"/>
      <c r="D110" s="540"/>
      <c r="E110" s="541"/>
      <c r="F110" s="541"/>
      <c r="G110" s="541"/>
    </row>
  </sheetData>
  <customSheetViews>
    <customSheetView guid="{4892E1C0-7A56-4F81-A857-987D77EC4462}">
      <pane ySplit="4" topLeftCell="A59" activePane="bottomLeft" state="frozen"/>
      <selection pane="bottomLeft" activeCell="C9" sqref="C9:C10"/>
      <pageMargins left="0.75" right="0.75" top="1" bottom="1" header="0.5" footer="0.5"/>
      <pageSetup orientation="landscape" r:id="rId1"/>
      <headerFooter alignWithMargins="0">
        <oddHeader>&amp;L&amp;G&amp;CShowAcronymGoesHere - PSM&amp;R&amp;P</oddHeader>
        <oddFooter>&amp;L&amp;D&amp;R&amp;Z&amp;F</oddFooter>
      </headerFooter>
    </customSheetView>
    <customSheetView guid="{C29C6423-4E3D-4B08-919E-993C7C45FC31}" showPageBreaks="1">
      <pane ySplit="4" topLeftCell="A59" activePane="bottomLeft" state="frozen"/>
      <selection pane="bottomLeft" activeCell="C9" sqref="C9:C10"/>
      <pageMargins left="0.75" right="0.75" top="1" bottom="1" header="0.5" footer="0.5"/>
      <pageSetup orientation="landscape" r:id="rId2"/>
      <headerFooter alignWithMargins="0">
        <oddHeader>&amp;L&amp;G&amp;CShowAcronymGoesHere - PSM&amp;R&amp;P</oddHeader>
        <oddFooter>&amp;L&amp;D&amp;R&amp;Z&amp;F</oddFooter>
      </headerFooter>
    </customSheetView>
  </customSheetViews>
  <mergeCells count="1">
    <mergeCell ref="A2:G2"/>
  </mergeCells>
  <phoneticPr fontId="6" type="noConversion"/>
  <hyperlinks>
    <hyperlink ref="A1" location="TOC!A1" display="TOC Page"/>
  </hyperlinks>
  <pageMargins left="0.75" right="0.75" top="1" bottom="1" header="0.5" footer="0.5"/>
  <pageSetup orientation="landscape" r:id="rId3"/>
  <headerFooter alignWithMargins="0">
    <oddHeader>&amp;L&amp;G&amp;CShowAcronymGoesHere - PSM&amp;R&amp;P</oddHeader>
    <oddFooter>&amp;L&amp;D&amp;R&amp;Z&amp;F</oddFooter>
  </headerFooter>
  <customProperties>
    <customPr name="DVSECTIONID" r:id="rId4"/>
  </customProperties>
  <legacyDrawing r:id="rId5"/>
  <legacyDrawingHF r:id="rId6"/>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dimension ref="A1:P215"/>
  <sheetViews>
    <sheetView zoomScaleNormal="100" workbookViewId="0">
      <pane ySplit="1" topLeftCell="A2" activePane="bottomLeft" state="frozen"/>
      <selection activeCell="U16" sqref="U16"/>
      <selection pane="bottomLeft" activeCell="A2" sqref="A2:H2"/>
    </sheetView>
  </sheetViews>
  <sheetFormatPr defaultRowHeight="15" x14ac:dyDescent="0.2"/>
  <cols>
    <col min="1" max="1" width="5.28515625" style="62" customWidth="1"/>
    <col min="2" max="2" width="16.5703125" style="62" customWidth="1"/>
    <col min="3" max="3" width="41.42578125" style="62" customWidth="1"/>
    <col min="4" max="4" width="24.28515625" style="62" customWidth="1"/>
    <col min="5" max="5" width="9.140625" style="62"/>
    <col min="6" max="6" width="9.85546875" customWidth="1"/>
    <col min="7" max="7" width="10.140625" customWidth="1"/>
    <col min="8" max="8" width="7.7109375" customWidth="1"/>
    <col min="9" max="9" width="56.42578125" customWidth="1"/>
  </cols>
  <sheetData>
    <row r="1" spans="1:16" x14ac:dyDescent="0.2">
      <c r="A1" s="1217" t="s">
        <v>639</v>
      </c>
      <c r="B1" s="1217"/>
    </row>
    <row r="2" spans="1:16" ht="20.25" customHeight="1" x14ac:dyDescent="0.2">
      <c r="A2" s="1357" t="s">
        <v>208</v>
      </c>
      <c r="B2" s="1358"/>
      <c r="C2" s="1358"/>
      <c r="D2" s="1358"/>
      <c r="E2" s="1358"/>
      <c r="F2" s="1358"/>
      <c r="G2" s="1358"/>
      <c r="H2" s="1358"/>
    </row>
    <row r="4" spans="1:16" s="41" customFormat="1" ht="12.75" x14ac:dyDescent="0.2">
      <c r="A4" s="141" t="s">
        <v>1486</v>
      </c>
      <c r="B4" s="17"/>
      <c r="C4" s="17"/>
      <c r="D4" s="17"/>
      <c r="E4" s="17"/>
      <c r="F4" s="17"/>
      <c r="G4" s="17"/>
      <c r="H4" s="17"/>
      <c r="I4" s="17"/>
      <c r="J4" s="17"/>
      <c r="K4" s="17"/>
      <c r="L4" s="17"/>
      <c r="M4" s="17"/>
      <c r="N4" s="17"/>
      <c r="O4" s="17"/>
      <c r="P4" s="17"/>
    </row>
    <row r="5" spans="1:16" s="41" customFormat="1" ht="12.75" customHeight="1" x14ac:dyDescent="0.2">
      <c r="A5" s="1346" t="s">
        <v>788</v>
      </c>
      <c r="B5" s="1346"/>
      <c r="C5" s="1346"/>
      <c r="D5" s="1346"/>
      <c r="E5" s="1346"/>
      <c r="F5" s="1346"/>
      <c r="G5" s="1346"/>
      <c r="H5" s="1346"/>
      <c r="I5" s="298"/>
      <c r="J5" s="298"/>
      <c r="K5" s="298"/>
      <c r="L5" s="298"/>
      <c r="M5" s="298"/>
      <c r="N5" s="298"/>
      <c r="O5" s="298"/>
      <c r="P5" s="298"/>
    </row>
    <row r="6" spans="1:16" s="41" customFormat="1" ht="12.75" x14ac:dyDescent="0.2">
      <c r="A6" s="1346" t="s">
        <v>1067</v>
      </c>
      <c r="B6" s="1346"/>
      <c r="C6" s="1346"/>
      <c r="D6" s="1346"/>
      <c r="E6" s="1346"/>
      <c r="F6" s="1346"/>
      <c r="G6" s="1346"/>
      <c r="H6" s="1346"/>
      <c r="I6" s="34"/>
      <c r="J6" s="34"/>
      <c r="K6" s="34"/>
      <c r="L6" s="34"/>
      <c r="M6" s="34"/>
      <c r="N6" s="34"/>
      <c r="O6" s="34"/>
      <c r="P6" s="34"/>
    </row>
    <row r="7" spans="1:16" s="362" customFormat="1" ht="40.5" customHeight="1" x14ac:dyDescent="0.2">
      <c r="A7" s="1349" t="s">
        <v>1654</v>
      </c>
      <c r="B7" s="1346"/>
      <c r="C7" s="1346"/>
      <c r="D7" s="1346"/>
      <c r="E7" s="1346"/>
      <c r="F7" s="1346"/>
      <c r="G7" s="1346"/>
      <c r="H7" s="1346"/>
      <c r="I7" s="361"/>
      <c r="J7" s="361"/>
      <c r="K7" s="361"/>
      <c r="L7" s="361"/>
      <c r="M7" s="361"/>
      <c r="N7" s="361"/>
      <c r="O7" s="361"/>
      <c r="P7" s="361"/>
    </row>
    <row r="8" spans="1:16" s="464" customFormat="1" ht="12.75" x14ac:dyDescent="0.2">
      <c r="A8" s="1349" t="s">
        <v>1696</v>
      </c>
      <c r="B8" s="1346"/>
      <c r="C8" s="1346"/>
      <c r="D8" s="1346"/>
      <c r="E8" s="1346"/>
      <c r="F8" s="1346"/>
      <c r="G8" s="1346"/>
      <c r="H8" s="1346"/>
      <c r="I8" s="463"/>
      <c r="J8" s="463"/>
      <c r="K8" s="463"/>
      <c r="L8" s="463"/>
      <c r="M8" s="463"/>
      <c r="N8" s="463"/>
      <c r="O8" s="463"/>
      <c r="P8" s="463"/>
    </row>
    <row r="9" spans="1:16" s="83" customFormat="1" ht="15.75" customHeight="1" x14ac:dyDescent="0.2">
      <c r="A9" s="187"/>
      <c r="B9" s="158"/>
      <c r="C9" s="158"/>
      <c r="D9" s="158"/>
      <c r="E9" s="158"/>
      <c r="F9" s="158"/>
      <c r="G9" s="158"/>
    </row>
    <row r="10" spans="1:16" s="630" customFormat="1" ht="12.75" x14ac:dyDescent="0.2">
      <c r="A10" s="197">
        <v>1</v>
      </c>
      <c r="B10" s="307" t="s">
        <v>145</v>
      </c>
      <c r="C10" s="1350" t="s">
        <v>2036</v>
      </c>
      <c r="D10" s="1350"/>
      <c r="E10" s="1350"/>
      <c r="F10" s="1350"/>
      <c r="G10" s="1350"/>
      <c r="H10" s="1350"/>
    </row>
    <row r="11" spans="1:16" s="630" customFormat="1" ht="12.75" customHeight="1" x14ac:dyDescent="0.2">
      <c r="A11" s="657"/>
      <c r="B11" s="646" t="s">
        <v>146</v>
      </c>
      <c r="C11" s="1348" t="s">
        <v>2037</v>
      </c>
      <c r="D11" s="1348"/>
      <c r="E11" s="1348"/>
      <c r="F11" s="1348"/>
      <c r="G11" s="1348"/>
      <c r="H11" s="1348"/>
    </row>
    <row r="12" spans="1:16" s="630" customFormat="1" ht="12.75" customHeight="1" x14ac:dyDescent="0.2">
      <c r="A12" s="657"/>
      <c r="B12" s="648" t="s">
        <v>66</v>
      </c>
      <c r="C12" s="1348" t="s">
        <v>97</v>
      </c>
      <c r="D12" s="1348"/>
      <c r="E12" s="1348"/>
      <c r="F12" s="1348"/>
      <c r="G12" s="1348"/>
      <c r="H12" s="1348"/>
    </row>
    <row r="13" spans="1:16" s="630" customFormat="1" ht="12.75" customHeight="1" x14ac:dyDescent="0.2">
      <c r="A13" s="647"/>
      <c r="B13" s="648" t="s">
        <v>67</v>
      </c>
      <c r="C13" s="1348" t="s">
        <v>2039</v>
      </c>
      <c r="D13" s="1348"/>
      <c r="E13" s="1348"/>
      <c r="F13" s="1348"/>
      <c r="G13" s="1348"/>
      <c r="H13" s="1348"/>
    </row>
    <row r="14" spans="1:16" s="630" customFormat="1" ht="12.75" customHeight="1" x14ac:dyDescent="0.2">
      <c r="A14" s="647"/>
      <c r="B14" s="648" t="s">
        <v>68</v>
      </c>
      <c r="C14" s="1348" t="s">
        <v>198</v>
      </c>
      <c r="D14" s="1348"/>
      <c r="E14" s="1348"/>
      <c r="F14" s="1348"/>
      <c r="G14" s="1348"/>
      <c r="H14" s="1348"/>
    </row>
    <row r="15" spans="1:16" s="630" customFormat="1" ht="12.75" customHeight="1" x14ac:dyDescent="0.2">
      <c r="A15" s="647"/>
      <c r="B15" s="648" t="s">
        <v>1063</v>
      </c>
      <c r="C15" s="1348" t="s">
        <v>1064</v>
      </c>
      <c r="D15" s="1348"/>
      <c r="E15" s="1348"/>
      <c r="F15" s="1348"/>
      <c r="G15" s="1348"/>
      <c r="H15" s="1348"/>
    </row>
    <row r="16" spans="1:16" s="630" customFormat="1" ht="12.75" customHeight="1" x14ac:dyDescent="0.2">
      <c r="A16" s="647"/>
      <c r="B16" s="650" t="s">
        <v>1566</v>
      </c>
      <c r="C16" s="1351"/>
      <c r="D16" s="1351"/>
      <c r="E16" s="1351"/>
      <c r="F16" s="1351"/>
      <c r="G16" s="1351"/>
      <c r="H16" s="1351"/>
    </row>
    <row r="17" spans="1:8" s="630" customFormat="1" ht="27.75" customHeight="1" x14ac:dyDescent="0.2">
      <c r="A17" s="647"/>
      <c r="B17" s="337" t="s">
        <v>378</v>
      </c>
      <c r="C17" s="337" t="s">
        <v>69</v>
      </c>
      <c r="D17" s="337" t="s">
        <v>1567</v>
      </c>
      <c r="E17" s="337" t="s">
        <v>1065</v>
      </c>
      <c r="F17" s="337" t="s">
        <v>1066</v>
      </c>
      <c r="G17" s="337" t="s">
        <v>70</v>
      </c>
      <c r="H17" s="337" t="s">
        <v>89</v>
      </c>
    </row>
    <row r="18" spans="1:8" s="630" customFormat="1" ht="12.75" x14ac:dyDescent="0.2">
      <c r="A18" s="647"/>
      <c r="B18" s="316" t="s">
        <v>158</v>
      </c>
      <c r="C18" s="641" t="s">
        <v>2040</v>
      </c>
      <c r="D18" s="641"/>
      <c r="E18" s="316"/>
      <c r="F18" s="316"/>
      <c r="G18" s="316"/>
      <c r="H18" s="342"/>
    </row>
    <row r="19" spans="1:8" s="630" customFormat="1" ht="12.75" x14ac:dyDescent="0.2">
      <c r="A19" s="647"/>
      <c r="B19" s="316" t="s">
        <v>615</v>
      </c>
      <c r="C19" s="641" t="s">
        <v>1915</v>
      </c>
      <c r="D19" s="644"/>
      <c r="E19" s="316"/>
      <c r="F19" s="316"/>
      <c r="G19" s="316"/>
      <c r="H19" s="342"/>
    </row>
    <row r="20" spans="1:8" s="630" customFormat="1" ht="13.5" customHeight="1" x14ac:dyDescent="0.2">
      <c r="A20" s="647"/>
      <c r="B20" s="316" t="s">
        <v>75</v>
      </c>
      <c r="C20" s="641" t="s">
        <v>2041</v>
      </c>
      <c r="D20" s="644"/>
      <c r="E20" s="316"/>
      <c r="F20" s="316"/>
      <c r="G20" s="316"/>
      <c r="H20" s="342"/>
    </row>
    <row r="21" spans="1:8" s="630" customFormat="1" ht="13.5" customHeight="1" x14ac:dyDescent="0.2">
      <c r="A21" s="647"/>
      <c r="B21" s="316" t="s">
        <v>162</v>
      </c>
      <c r="C21" s="641" t="s">
        <v>2042</v>
      </c>
      <c r="D21" s="644"/>
      <c r="E21" s="316" t="s">
        <v>619</v>
      </c>
      <c r="F21" s="316" t="s">
        <v>619</v>
      </c>
      <c r="G21" s="316"/>
      <c r="H21" s="342"/>
    </row>
    <row r="22" spans="1:8" s="83" customFormat="1" ht="13.5" customHeight="1" x14ac:dyDescent="0.2">
      <c r="A22" s="158"/>
      <c r="B22" s="158"/>
      <c r="C22" s="158"/>
      <c r="D22" s="158"/>
      <c r="E22" s="158"/>
      <c r="F22" s="158"/>
      <c r="G22" s="158"/>
    </row>
    <row r="23" spans="1:8" s="630" customFormat="1" ht="12.75" x14ac:dyDescent="0.2">
      <c r="A23" s="197">
        <v>2</v>
      </c>
      <c r="B23" s="307" t="s">
        <v>145</v>
      </c>
      <c r="C23" s="1350" t="s">
        <v>2043</v>
      </c>
      <c r="D23" s="1350"/>
      <c r="E23" s="1350"/>
      <c r="F23" s="1350"/>
      <c r="G23" s="1350"/>
      <c r="H23" s="1350"/>
    </row>
    <row r="24" spans="1:8" s="630" customFormat="1" ht="12.75" customHeight="1" x14ac:dyDescent="0.2">
      <c r="A24" s="657"/>
      <c r="B24" s="646" t="s">
        <v>146</v>
      </c>
      <c r="C24" s="1348" t="s">
        <v>2044</v>
      </c>
      <c r="D24" s="1348"/>
      <c r="E24" s="1348"/>
      <c r="F24" s="1348"/>
      <c r="G24" s="1348"/>
      <c r="H24" s="1348"/>
    </row>
    <row r="25" spans="1:8" s="630" customFormat="1" ht="12.75" customHeight="1" x14ac:dyDescent="0.2">
      <c r="A25" s="657"/>
      <c r="B25" s="648" t="s">
        <v>66</v>
      </c>
      <c r="C25" s="1348" t="s">
        <v>97</v>
      </c>
      <c r="D25" s="1348"/>
      <c r="E25" s="1348"/>
      <c r="F25" s="1348"/>
      <c r="G25" s="1348"/>
      <c r="H25" s="1348"/>
    </row>
    <row r="26" spans="1:8" s="630" customFormat="1" ht="12.75" customHeight="1" x14ac:dyDescent="0.2">
      <c r="A26" s="647"/>
      <c r="B26" s="648" t="s">
        <v>67</v>
      </c>
      <c r="C26" s="1348" t="s">
        <v>112</v>
      </c>
      <c r="D26" s="1348"/>
      <c r="E26" s="1348"/>
      <c r="F26" s="1348"/>
      <c r="G26" s="1348"/>
      <c r="H26" s="1348"/>
    </row>
    <row r="27" spans="1:8" s="630" customFormat="1" ht="12.75" customHeight="1" x14ac:dyDescent="0.2">
      <c r="A27" s="647"/>
      <c r="B27" s="648" t="s">
        <v>68</v>
      </c>
      <c r="C27" s="1348" t="s">
        <v>198</v>
      </c>
      <c r="D27" s="1348"/>
      <c r="E27" s="1348"/>
      <c r="F27" s="1348"/>
      <c r="G27" s="1348"/>
      <c r="H27" s="1348"/>
    </row>
    <row r="28" spans="1:8" s="630" customFormat="1" ht="12.75" customHeight="1" x14ac:dyDescent="0.2">
      <c r="A28" s="647"/>
      <c r="B28" s="648" t="s">
        <v>1063</v>
      </c>
      <c r="C28" s="1348" t="s">
        <v>1064</v>
      </c>
      <c r="D28" s="1348"/>
      <c r="E28" s="1348"/>
      <c r="F28" s="1348"/>
      <c r="G28" s="1348"/>
      <c r="H28" s="1348"/>
    </row>
    <row r="29" spans="1:8" s="630" customFormat="1" ht="12.75" customHeight="1" x14ac:dyDescent="0.2">
      <c r="A29" s="647"/>
      <c r="B29" s="650" t="s">
        <v>1566</v>
      </c>
      <c r="C29" s="1351"/>
      <c r="D29" s="1351"/>
      <c r="E29" s="1351"/>
      <c r="F29" s="1351"/>
      <c r="G29" s="1351"/>
      <c r="H29" s="1351"/>
    </row>
    <row r="30" spans="1:8" s="630" customFormat="1" ht="27.75" customHeight="1" x14ac:dyDescent="0.2">
      <c r="A30" s="647"/>
      <c r="B30" s="337" t="s">
        <v>378</v>
      </c>
      <c r="C30" s="337" t="s">
        <v>69</v>
      </c>
      <c r="D30" s="337" t="s">
        <v>1567</v>
      </c>
      <c r="E30" s="337" t="s">
        <v>1065</v>
      </c>
      <c r="F30" s="337" t="s">
        <v>1066</v>
      </c>
      <c r="G30" s="337" t="s">
        <v>70</v>
      </c>
      <c r="H30" s="337" t="s">
        <v>89</v>
      </c>
    </row>
    <row r="31" spans="1:8" s="630" customFormat="1" ht="12.75" x14ac:dyDescent="0.2">
      <c r="A31" s="647"/>
      <c r="B31" s="316" t="s">
        <v>160</v>
      </c>
      <c r="C31" s="641" t="s">
        <v>2045</v>
      </c>
      <c r="D31" s="644"/>
      <c r="E31" s="316" t="s">
        <v>619</v>
      </c>
      <c r="F31" s="316" t="s">
        <v>619</v>
      </c>
      <c r="G31" s="316"/>
      <c r="H31" s="342"/>
    </row>
    <row r="32" spans="1:8" s="41" customFormat="1" ht="13.5" customHeight="1" x14ac:dyDescent="0.2">
      <c r="A32" s="46"/>
      <c r="B32" s="78"/>
      <c r="C32" s="137"/>
      <c r="D32" s="137"/>
      <c r="E32" s="137"/>
      <c r="F32" s="137"/>
      <c r="G32" s="78"/>
      <c r="H32" s="78"/>
    </row>
    <row r="33" spans="1:8" s="480" customFormat="1" ht="12.75" x14ac:dyDescent="0.2">
      <c r="A33" s="212">
        <v>3</v>
      </c>
      <c r="B33" s="307" t="s">
        <v>145</v>
      </c>
      <c r="C33" s="1350" t="s">
        <v>2046</v>
      </c>
      <c r="D33" s="1350"/>
      <c r="E33" s="1350"/>
      <c r="F33" s="1350"/>
      <c r="G33" s="1350"/>
      <c r="H33" s="1350"/>
    </row>
    <row r="34" spans="1:8" s="480" customFormat="1" ht="12.75" customHeight="1" x14ac:dyDescent="0.2">
      <c r="A34" s="658"/>
      <c r="B34" s="646" t="s">
        <v>146</v>
      </c>
      <c r="C34" s="1348" t="s">
        <v>2047</v>
      </c>
      <c r="D34" s="1348"/>
      <c r="E34" s="1348"/>
      <c r="F34" s="1348"/>
      <c r="G34" s="1348"/>
      <c r="H34" s="1348"/>
    </row>
    <row r="35" spans="1:8" s="480" customFormat="1" ht="12.75" customHeight="1" x14ac:dyDescent="0.2">
      <c r="A35" s="658"/>
      <c r="B35" s="648" t="s">
        <v>66</v>
      </c>
      <c r="C35" s="1348" t="s">
        <v>97</v>
      </c>
      <c r="D35" s="1348"/>
      <c r="E35" s="1348"/>
      <c r="F35" s="1348"/>
      <c r="G35" s="1348"/>
      <c r="H35" s="1348"/>
    </row>
    <row r="36" spans="1:8" s="480" customFormat="1" ht="12.75" customHeight="1" x14ac:dyDescent="0.2">
      <c r="A36" s="648"/>
      <c r="B36" s="648" t="s">
        <v>67</v>
      </c>
      <c r="C36" s="1348" t="s">
        <v>112</v>
      </c>
      <c r="D36" s="1348"/>
      <c r="E36" s="1348"/>
      <c r="F36" s="1348"/>
      <c r="G36" s="1348"/>
      <c r="H36" s="1348"/>
    </row>
    <row r="37" spans="1:8" s="480" customFormat="1" ht="12.75" customHeight="1" x14ac:dyDescent="0.2">
      <c r="A37" s="648"/>
      <c r="B37" s="648" t="s">
        <v>68</v>
      </c>
      <c r="C37" s="1348" t="s">
        <v>198</v>
      </c>
      <c r="D37" s="1348"/>
      <c r="E37" s="1348"/>
      <c r="F37" s="1348"/>
      <c r="G37" s="1348"/>
      <c r="H37" s="1348"/>
    </row>
    <row r="38" spans="1:8" s="480" customFormat="1" ht="12.75" customHeight="1" x14ac:dyDescent="0.2">
      <c r="A38" s="648"/>
      <c r="B38" s="648" t="s">
        <v>1063</v>
      </c>
      <c r="C38" s="1348" t="s">
        <v>1064</v>
      </c>
      <c r="D38" s="1348"/>
      <c r="E38" s="1348"/>
      <c r="F38" s="1348"/>
      <c r="G38" s="1348"/>
      <c r="H38" s="1348"/>
    </row>
    <row r="39" spans="1:8" s="630" customFormat="1" ht="12.75" customHeight="1" x14ac:dyDescent="0.2">
      <c r="A39" s="647"/>
      <c r="B39" s="650" t="s">
        <v>1566</v>
      </c>
      <c r="C39" s="1351"/>
      <c r="D39" s="1351"/>
      <c r="E39" s="1351"/>
      <c r="F39" s="1351"/>
      <c r="G39" s="1351"/>
      <c r="H39" s="1351"/>
    </row>
    <row r="40" spans="1:8" s="630" customFormat="1" ht="27.75" customHeight="1" x14ac:dyDescent="0.2">
      <c r="A40" s="647"/>
      <c r="B40" s="337" t="s">
        <v>378</v>
      </c>
      <c r="C40" s="337" t="s">
        <v>69</v>
      </c>
      <c r="D40" s="337" t="s">
        <v>1567</v>
      </c>
      <c r="E40" s="337" t="s">
        <v>1065</v>
      </c>
      <c r="F40" s="337" t="s">
        <v>1066</v>
      </c>
      <c r="G40" s="337" t="s">
        <v>70</v>
      </c>
      <c r="H40" s="337" t="s">
        <v>89</v>
      </c>
    </row>
    <row r="41" spans="1:8" s="630" customFormat="1" ht="12.75" x14ac:dyDescent="0.2">
      <c r="A41" s="647"/>
      <c r="B41" s="316" t="s">
        <v>2048</v>
      </c>
      <c r="C41" s="641" t="s">
        <v>2049</v>
      </c>
      <c r="D41" s="644"/>
      <c r="E41" s="316"/>
      <c r="F41" s="316"/>
      <c r="G41" s="316"/>
      <c r="H41" s="342"/>
    </row>
    <row r="42" spans="1:8" s="630" customFormat="1" ht="12.75" x14ac:dyDescent="0.2">
      <c r="A42" s="647"/>
      <c r="B42" s="316" t="s">
        <v>2050</v>
      </c>
      <c r="C42" s="641" t="s">
        <v>2051</v>
      </c>
      <c r="D42" s="644"/>
      <c r="E42" s="316"/>
      <c r="F42" s="316"/>
      <c r="G42" s="316"/>
      <c r="H42" s="342"/>
    </row>
    <row r="43" spans="1:8" s="630" customFormat="1" ht="13.5" customHeight="1" x14ac:dyDescent="0.2">
      <c r="A43" s="647"/>
      <c r="B43" s="316" t="s">
        <v>2052</v>
      </c>
      <c r="C43" s="641" t="s">
        <v>2053</v>
      </c>
      <c r="D43" s="644"/>
      <c r="E43" s="316"/>
      <c r="F43" s="316"/>
      <c r="G43" s="316"/>
      <c r="H43" s="342"/>
    </row>
    <row r="44" spans="1:8" s="630" customFormat="1" ht="13.5" customHeight="1" x14ac:dyDescent="0.2">
      <c r="A44" s="789"/>
      <c r="B44" s="316" t="s">
        <v>2054</v>
      </c>
      <c r="C44" s="788" t="s">
        <v>2055</v>
      </c>
      <c r="D44" s="788"/>
      <c r="E44" s="316"/>
      <c r="F44" s="316"/>
      <c r="G44" s="316"/>
      <c r="H44" s="342"/>
    </row>
    <row r="45" spans="1:8" s="630" customFormat="1" ht="13.5" customHeight="1" x14ac:dyDescent="0.2">
      <c r="A45" s="647"/>
      <c r="B45" s="638" t="s">
        <v>2038</v>
      </c>
      <c r="C45" s="637" t="s">
        <v>2299</v>
      </c>
      <c r="D45" s="637"/>
      <c r="E45" s="638"/>
      <c r="F45" s="638"/>
      <c r="G45" s="638"/>
      <c r="H45" s="750"/>
    </row>
    <row r="46" spans="1:8" s="41" customFormat="1" ht="13.5" customHeight="1" x14ac:dyDescent="0.2">
      <c r="A46" s="46"/>
      <c r="B46" s="308"/>
      <c r="C46" s="302"/>
      <c r="D46" s="1352"/>
      <c r="E46" s="1352"/>
      <c r="F46" s="78"/>
      <c r="G46" s="78"/>
    </row>
    <row r="47" spans="1:8" s="480" customFormat="1" ht="12.75" x14ac:dyDescent="0.2">
      <c r="A47" s="212">
        <v>4</v>
      </c>
      <c r="B47" s="307" t="s">
        <v>145</v>
      </c>
      <c r="C47" s="1350" t="s">
        <v>2056</v>
      </c>
      <c r="D47" s="1350"/>
      <c r="E47" s="1350"/>
      <c r="F47" s="1350"/>
      <c r="G47" s="1350"/>
      <c r="H47" s="1350"/>
    </row>
    <row r="48" spans="1:8" s="480" customFormat="1" ht="12.75" customHeight="1" x14ac:dyDescent="0.2">
      <c r="A48" s="658"/>
      <c r="B48" s="646" t="s">
        <v>146</v>
      </c>
      <c r="C48" s="1348" t="s">
        <v>2057</v>
      </c>
      <c r="D48" s="1348"/>
      <c r="E48" s="1348"/>
      <c r="F48" s="1348"/>
      <c r="G48" s="1348"/>
      <c r="H48" s="1348"/>
    </row>
    <row r="49" spans="1:9" s="480" customFormat="1" ht="12.75" customHeight="1" x14ac:dyDescent="0.2">
      <c r="A49" s="658"/>
      <c r="B49" s="648" t="s">
        <v>66</v>
      </c>
      <c r="C49" s="1347" t="s">
        <v>242</v>
      </c>
      <c r="D49" s="1347"/>
      <c r="E49" s="1347"/>
      <c r="F49" s="1347"/>
      <c r="G49" s="1347"/>
      <c r="H49" s="1347"/>
    </row>
    <row r="50" spans="1:9" s="480" customFormat="1" ht="12.75" customHeight="1" x14ac:dyDescent="0.2">
      <c r="A50" s="648"/>
      <c r="B50" s="648" t="s">
        <v>67</v>
      </c>
      <c r="C50" s="1348" t="s">
        <v>112</v>
      </c>
      <c r="D50" s="1348"/>
      <c r="E50" s="1348"/>
      <c r="F50" s="1348"/>
      <c r="G50" s="1348"/>
      <c r="H50" s="1348"/>
    </row>
    <row r="51" spans="1:9" s="480" customFormat="1" ht="12.75" customHeight="1" x14ac:dyDescent="0.2">
      <c r="A51" s="648"/>
      <c r="B51" s="648" t="s">
        <v>68</v>
      </c>
      <c r="C51" s="1348" t="s">
        <v>787</v>
      </c>
      <c r="D51" s="1348"/>
      <c r="E51" s="1348"/>
      <c r="F51" s="1348"/>
      <c r="G51" s="1348"/>
      <c r="H51" s="1348"/>
    </row>
    <row r="52" spans="1:9" s="480" customFormat="1" ht="12.75" customHeight="1" x14ac:dyDescent="0.2">
      <c r="A52" s="648"/>
      <c r="B52" s="648" t="s">
        <v>1063</v>
      </c>
      <c r="C52" s="1348" t="s">
        <v>1064</v>
      </c>
      <c r="D52" s="1348"/>
      <c r="E52" s="1348"/>
      <c r="F52" s="1348"/>
      <c r="G52" s="1348"/>
      <c r="H52" s="1348"/>
    </row>
    <row r="53" spans="1:9" s="630" customFormat="1" ht="12.75" customHeight="1" x14ac:dyDescent="0.2">
      <c r="A53" s="647"/>
      <c r="B53" s="650" t="s">
        <v>1566</v>
      </c>
      <c r="C53" s="1351"/>
      <c r="D53" s="1351"/>
      <c r="E53" s="1351"/>
      <c r="F53" s="1351"/>
      <c r="G53" s="1351"/>
      <c r="H53" s="1351"/>
    </row>
    <row r="54" spans="1:9" s="630" customFormat="1" ht="27.75" customHeight="1" x14ac:dyDescent="0.2">
      <c r="A54" s="647"/>
      <c r="B54" s="337" t="s">
        <v>378</v>
      </c>
      <c r="C54" s="337" t="s">
        <v>69</v>
      </c>
      <c r="D54" s="337" t="s">
        <v>1567</v>
      </c>
      <c r="E54" s="337" t="s">
        <v>1065</v>
      </c>
      <c r="F54" s="337" t="s">
        <v>1066</v>
      </c>
      <c r="G54" s="337" t="s">
        <v>70</v>
      </c>
      <c r="H54" s="337" t="s">
        <v>89</v>
      </c>
    </row>
    <row r="55" spans="1:9" s="630" customFormat="1" ht="15" customHeight="1" x14ac:dyDescent="0.2">
      <c r="A55" s="647"/>
      <c r="B55" s="316" t="s">
        <v>2059</v>
      </c>
      <c r="C55" s="637" t="s">
        <v>2060</v>
      </c>
      <c r="D55" s="644"/>
      <c r="E55" s="316" t="s">
        <v>96</v>
      </c>
      <c r="F55" s="316" t="s">
        <v>97</v>
      </c>
      <c r="G55" s="316"/>
      <c r="H55" s="342"/>
      <c r="I55" s="883" t="s">
        <v>2391</v>
      </c>
    </row>
    <row r="56" spans="1:9" s="630" customFormat="1" ht="13.5" customHeight="1" x14ac:dyDescent="0.2">
      <c r="A56" s="647"/>
      <c r="B56" s="316" t="s">
        <v>2061</v>
      </c>
      <c r="C56" s="641" t="s">
        <v>2062</v>
      </c>
      <c r="D56" s="644"/>
      <c r="E56" s="316" t="s">
        <v>96</v>
      </c>
      <c r="F56" s="316" t="s">
        <v>96</v>
      </c>
      <c r="G56" s="316"/>
      <c r="H56" s="342"/>
    </row>
    <row r="57" spans="1:9" s="630" customFormat="1" ht="13.5" customHeight="1" x14ac:dyDescent="0.2">
      <c r="A57" s="647"/>
      <c r="B57" s="316" t="s">
        <v>2063</v>
      </c>
      <c r="C57" s="641" t="s">
        <v>2064</v>
      </c>
      <c r="D57" s="641"/>
      <c r="E57" s="316" t="s">
        <v>96</v>
      </c>
      <c r="F57" s="316" t="s">
        <v>96</v>
      </c>
      <c r="G57" s="316"/>
      <c r="H57" s="342"/>
    </row>
    <row r="58" spans="1:9" s="41" customFormat="1" ht="13.5" customHeight="1" x14ac:dyDescent="0.2">
      <c r="A58" s="46"/>
      <c r="B58" s="308"/>
      <c r="C58" s="302"/>
      <c r="D58" s="1352"/>
      <c r="E58" s="1352"/>
      <c r="F58" s="78"/>
      <c r="G58" s="78"/>
    </row>
    <row r="59" spans="1:9" s="630" customFormat="1" ht="12.75" x14ac:dyDescent="0.2">
      <c r="A59" s="197">
        <v>5</v>
      </c>
      <c r="B59" s="307" t="s">
        <v>145</v>
      </c>
      <c r="C59" s="1350" t="s">
        <v>2395</v>
      </c>
      <c r="D59" s="1350"/>
      <c r="E59" s="1350"/>
      <c r="F59" s="1350"/>
      <c r="G59" s="1350"/>
      <c r="H59" s="1350"/>
    </row>
    <row r="60" spans="1:9" s="630" customFormat="1" ht="12.75" x14ac:dyDescent="0.2">
      <c r="A60" s="657"/>
      <c r="B60" s="886" t="s">
        <v>146</v>
      </c>
      <c r="C60" s="1347" t="s">
        <v>2394</v>
      </c>
      <c r="D60" s="1347"/>
      <c r="E60" s="1347"/>
      <c r="F60" s="1347"/>
      <c r="G60" s="1347"/>
      <c r="H60" s="1347"/>
    </row>
    <row r="61" spans="1:9" s="630" customFormat="1" ht="12.75" customHeight="1" x14ac:dyDescent="0.2">
      <c r="A61" s="657"/>
      <c r="B61" s="890" t="s">
        <v>66</v>
      </c>
      <c r="C61" s="1348" t="s">
        <v>242</v>
      </c>
      <c r="D61" s="1348"/>
      <c r="E61" s="1348"/>
      <c r="F61" s="1348"/>
      <c r="G61" s="1348"/>
      <c r="H61" s="1348"/>
    </row>
    <row r="62" spans="1:9" s="630" customFormat="1" ht="12.75" customHeight="1" x14ac:dyDescent="0.2">
      <c r="A62" s="889"/>
      <c r="B62" s="890" t="s">
        <v>67</v>
      </c>
      <c r="C62" s="1348" t="s">
        <v>112</v>
      </c>
      <c r="D62" s="1348"/>
      <c r="E62" s="1348"/>
      <c r="F62" s="1348"/>
      <c r="G62" s="1348"/>
      <c r="H62" s="1348"/>
    </row>
    <row r="63" spans="1:9" s="630" customFormat="1" ht="12.75" customHeight="1" x14ac:dyDescent="0.2">
      <c r="A63" s="889"/>
      <c r="B63" s="890" t="s">
        <v>68</v>
      </c>
      <c r="C63" s="1348" t="s">
        <v>198</v>
      </c>
      <c r="D63" s="1348"/>
      <c r="E63" s="1348"/>
      <c r="F63" s="1348"/>
      <c r="G63" s="1348"/>
      <c r="H63" s="1348"/>
    </row>
    <row r="64" spans="1:9" s="630" customFormat="1" ht="12.75" customHeight="1" x14ac:dyDescent="0.2">
      <c r="A64" s="889"/>
      <c r="B64" s="890" t="s">
        <v>1063</v>
      </c>
      <c r="C64" s="1348" t="s">
        <v>1064</v>
      </c>
      <c r="D64" s="1348"/>
      <c r="E64" s="1348"/>
      <c r="F64" s="1348"/>
      <c r="G64" s="1348"/>
      <c r="H64" s="1348"/>
    </row>
    <row r="65" spans="1:8" s="630" customFormat="1" ht="12.75" customHeight="1" x14ac:dyDescent="0.2">
      <c r="A65" s="889"/>
      <c r="B65" s="891" t="s">
        <v>1566</v>
      </c>
      <c r="C65" s="1351"/>
      <c r="D65" s="1351"/>
      <c r="E65" s="1351"/>
      <c r="F65" s="1351"/>
      <c r="G65" s="1351"/>
      <c r="H65" s="1351"/>
    </row>
    <row r="66" spans="1:8" s="630" customFormat="1" ht="27.75" customHeight="1" x14ac:dyDescent="0.2">
      <c r="A66" s="889"/>
      <c r="B66" s="337" t="s">
        <v>378</v>
      </c>
      <c r="C66" s="337" t="s">
        <v>69</v>
      </c>
      <c r="D66" s="337" t="s">
        <v>1567</v>
      </c>
      <c r="E66" s="337" t="s">
        <v>1065</v>
      </c>
      <c r="F66" s="337" t="s">
        <v>1066</v>
      </c>
      <c r="G66" s="337" t="s">
        <v>70</v>
      </c>
      <c r="H66" s="337" t="s">
        <v>89</v>
      </c>
    </row>
    <row r="67" spans="1:8" s="630" customFormat="1" ht="12.75" x14ac:dyDescent="0.2">
      <c r="A67" s="889"/>
      <c r="B67" s="316" t="s">
        <v>619</v>
      </c>
      <c r="C67" s="887" t="s">
        <v>96</v>
      </c>
      <c r="D67" s="887"/>
      <c r="E67" s="316"/>
      <c r="F67" s="316"/>
      <c r="G67" s="316"/>
      <c r="H67" s="342"/>
    </row>
    <row r="68" spans="1:8" s="630" customFormat="1" ht="12.75" x14ac:dyDescent="0.2">
      <c r="A68" s="889"/>
      <c r="B68" s="316" t="s">
        <v>171</v>
      </c>
      <c r="C68" s="887" t="s">
        <v>97</v>
      </c>
      <c r="D68" s="888"/>
      <c r="E68" s="316"/>
      <c r="F68" s="316"/>
      <c r="G68" s="316"/>
      <c r="H68" s="342"/>
    </row>
    <row r="69" spans="1:8" s="630" customFormat="1" ht="12.75" x14ac:dyDescent="0.2">
      <c r="A69" s="967"/>
      <c r="B69" s="880"/>
      <c r="C69" s="963"/>
      <c r="D69" s="963"/>
      <c r="E69" s="880"/>
      <c r="F69" s="880"/>
      <c r="G69" s="880"/>
      <c r="H69" s="881"/>
    </row>
    <row r="70" spans="1:8" s="480" customFormat="1" ht="12.75" x14ac:dyDescent="0.2">
      <c r="A70" s="212">
        <v>6</v>
      </c>
      <c r="B70" s="307" t="s">
        <v>145</v>
      </c>
      <c r="C70" s="1356" t="s">
        <v>2475</v>
      </c>
      <c r="D70" s="1356"/>
      <c r="E70" s="1356"/>
      <c r="F70" s="1356"/>
      <c r="G70" s="1356"/>
      <c r="H70" s="1356"/>
    </row>
    <row r="71" spans="1:8" s="480" customFormat="1" ht="12.75" x14ac:dyDescent="0.2">
      <c r="A71" s="658"/>
      <c r="B71" s="964" t="s">
        <v>146</v>
      </c>
      <c r="C71" s="1347" t="s">
        <v>2476</v>
      </c>
      <c r="D71" s="1347"/>
      <c r="E71" s="1347"/>
      <c r="F71" s="1347"/>
      <c r="G71" s="1347"/>
      <c r="H71" s="1347"/>
    </row>
    <row r="72" spans="1:8" s="480" customFormat="1" ht="12.75" x14ac:dyDescent="0.2">
      <c r="A72" s="658"/>
      <c r="B72" s="968" t="s">
        <v>66</v>
      </c>
      <c r="C72" s="1348" t="s">
        <v>242</v>
      </c>
      <c r="D72" s="1348"/>
      <c r="E72" s="1348"/>
      <c r="F72" s="1348"/>
      <c r="G72" s="1348"/>
      <c r="H72" s="1348"/>
    </row>
    <row r="73" spans="1:8" s="480" customFormat="1" ht="12.75" x14ac:dyDescent="0.2">
      <c r="A73" s="968"/>
      <c r="B73" s="968" t="s">
        <v>67</v>
      </c>
      <c r="C73" s="1348" t="s">
        <v>112</v>
      </c>
      <c r="D73" s="1348"/>
      <c r="E73" s="1348"/>
      <c r="F73" s="1348"/>
      <c r="G73" s="1348"/>
      <c r="H73" s="1348"/>
    </row>
    <row r="74" spans="1:8" s="480" customFormat="1" ht="12.75" x14ac:dyDescent="0.2">
      <c r="A74" s="968"/>
      <c r="B74" s="968" t="s">
        <v>68</v>
      </c>
      <c r="C74" s="1348" t="s">
        <v>787</v>
      </c>
      <c r="D74" s="1348"/>
      <c r="E74" s="1348"/>
      <c r="F74" s="1348"/>
      <c r="G74" s="1348"/>
      <c r="H74" s="1348"/>
    </row>
    <row r="75" spans="1:8" s="480" customFormat="1" ht="12.75" x14ac:dyDescent="0.2">
      <c r="A75" s="968"/>
      <c r="B75" s="968" t="s">
        <v>1063</v>
      </c>
      <c r="C75" s="1348" t="s">
        <v>1064</v>
      </c>
      <c r="D75" s="1348"/>
      <c r="E75" s="1348"/>
      <c r="F75" s="1348"/>
      <c r="G75" s="1348"/>
      <c r="H75" s="1348"/>
    </row>
    <row r="76" spans="1:8" s="630" customFormat="1" ht="12.75" x14ac:dyDescent="0.2">
      <c r="A76" s="967"/>
      <c r="B76" s="969" t="s">
        <v>1566</v>
      </c>
      <c r="C76" s="1351"/>
      <c r="D76" s="1351"/>
      <c r="E76" s="1351"/>
      <c r="F76" s="1351"/>
      <c r="G76" s="1351"/>
      <c r="H76" s="1351"/>
    </row>
    <row r="77" spans="1:8" s="630" customFormat="1" ht="90" customHeight="1" x14ac:dyDescent="0.2">
      <c r="A77" s="967"/>
      <c r="B77" s="971" t="s">
        <v>2477</v>
      </c>
      <c r="C77" s="1342" t="s">
        <v>2480</v>
      </c>
      <c r="D77" s="1342"/>
      <c r="E77" s="1342"/>
      <c r="F77" s="1342"/>
      <c r="G77" s="1342"/>
      <c r="H77" s="1342"/>
    </row>
    <row r="78" spans="1:8" s="630" customFormat="1" ht="38.25" x14ac:dyDescent="0.2">
      <c r="A78" s="967"/>
      <c r="B78" s="337" t="s">
        <v>378</v>
      </c>
      <c r="C78" s="337" t="s">
        <v>69</v>
      </c>
      <c r="D78" s="337" t="s">
        <v>1567</v>
      </c>
      <c r="E78" s="337" t="s">
        <v>1065</v>
      </c>
      <c r="F78" s="337" t="s">
        <v>1066</v>
      </c>
      <c r="G78" s="337" t="s">
        <v>70</v>
      </c>
      <c r="H78" s="337" t="s">
        <v>89</v>
      </c>
    </row>
    <row r="79" spans="1:8" s="733" customFormat="1" ht="67.5" customHeight="1" x14ac:dyDescent="0.2">
      <c r="A79" s="970"/>
      <c r="B79" s="638" t="s">
        <v>619</v>
      </c>
      <c r="C79" s="972" t="s">
        <v>2478</v>
      </c>
      <c r="D79" s="965"/>
      <c r="E79" s="638"/>
      <c r="F79" s="638"/>
      <c r="G79" s="638"/>
      <c r="H79" s="750"/>
    </row>
    <row r="80" spans="1:8" s="630" customFormat="1" ht="63.75" x14ac:dyDescent="0.2">
      <c r="A80" s="967"/>
      <c r="B80" s="316" t="s">
        <v>171</v>
      </c>
      <c r="C80" s="972" t="s">
        <v>2479</v>
      </c>
      <c r="D80" s="966"/>
      <c r="E80" s="532"/>
      <c r="F80" s="316"/>
      <c r="G80" s="316"/>
      <c r="H80" s="342"/>
    </row>
    <row r="81" spans="1:8" s="630" customFormat="1" ht="12.75" x14ac:dyDescent="0.2">
      <c r="A81" s="967"/>
      <c r="B81" s="880"/>
      <c r="C81" s="963"/>
      <c r="D81" s="963"/>
      <c r="E81" s="880"/>
      <c r="F81" s="880"/>
      <c r="G81" s="880"/>
      <c r="H81" s="881"/>
    </row>
    <row r="82" spans="1:8" s="630" customFormat="1" ht="12.75" x14ac:dyDescent="0.2">
      <c r="A82" s="889"/>
      <c r="B82" s="880"/>
      <c r="C82" s="885"/>
      <c r="D82" s="885"/>
      <c r="E82" s="880"/>
      <c r="F82" s="880"/>
      <c r="G82" s="880"/>
      <c r="H82" s="881"/>
    </row>
    <row r="83" spans="1:8" s="17" customFormat="1" ht="15.75" x14ac:dyDescent="0.2">
      <c r="A83" s="157" t="s">
        <v>790</v>
      </c>
      <c r="B83" s="156"/>
      <c r="C83" s="156"/>
      <c r="D83" s="142"/>
      <c r="E83" s="142"/>
      <c r="F83" s="142"/>
      <c r="G83" s="142"/>
      <c r="H83" s="915" t="s">
        <v>96</v>
      </c>
    </row>
    <row r="84" spans="1:8" s="17" customFormat="1" ht="12.75" x14ac:dyDescent="0.2">
      <c r="A84" s="155"/>
      <c r="B84" s="82"/>
      <c r="C84" s="82"/>
      <c r="D84" s="34"/>
      <c r="E84" s="34"/>
    </row>
    <row r="85" spans="1:8" s="17" customFormat="1" ht="12.75" customHeight="1" x14ac:dyDescent="0.2">
      <c r="A85" s="153">
        <v>7</v>
      </c>
      <c r="B85" s="306" t="s">
        <v>145</v>
      </c>
      <c r="C85" s="1354" t="s">
        <v>799</v>
      </c>
      <c r="D85" s="1354"/>
      <c r="E85" s="1354"/>
      <c r="F85" s="1354"/>
      <c r="G85" s="1354"/>
      <c r="H85" s="1354"/>
    </row>
    <row r="86" spans="1:8" s="17" customFormat="1" ht="12.75" customHeight="1" x14ac:dyDescent="0.2">
      <c r="A86" s="154"/>
      <c r="B86" s="303" t="s">
        <v>146</v>
      </c>
      <c r="C86" s="1352" t="s">
        <v>789</v>
      </c>
      <c r="D86" s="1352"/>
      <c r="E86" s="1352"/>
      <c r="F86" s="1352"/>
      <c r="G86" s="1352"/>
      <c r="H86" s="1352"/>
    </row>
    <row r="87" spans="1:8" s="17" customFormat="1" ht="12.75" customHeight="1" x14ac:dyDescent="0.2">
      <c r="A87" s="154"/>
      <c r="B87" s="298" t="s">
        <v>66</v>
      </c>
      <c r="C87" s="1346" t="s">
        <v>96</v>
      </c>
      <c r="D87" s="1346"/>
      <c r="E87" s="1346"/>
      <c r="F87" s="1346"/>
      <c r="G87" s="1346"/>
      <c r="H87" s="1346"/>
    </row>
    <row r="88" spans="1:8" s="17" customFormat="1" ht="12.75" customHeight="1" x14ac:dyDescent="0.2">
      <c r="A88" s="34"/>
      <c r="B88" s="298" t="s">
        <v>67</v>
      </c>
      <c r="C88" s="1346" t="s">
        <v>112</v>
      </c>
      <c r="D88" s="1346"/>
      <c r="E88" s="1346"/>
      <c r="F88" s="1346"/>
      <c r="G88" s="1346"/>
      <c r="H88" s="1346"/>
    </row>
    <row r="89" spans="1:8" s="17" customFormat="1" ht="12.75" customHeight="1" x14ac:dyDescent="0.2">
      <c r="A89" s="34"/>
      <c r="B89" s="298" t="s">
        <v>68</v>
      </c>
      <c r="C89" s="1346" t="s">
        <v>242</v>
      </c>
      <c r="D89" s="1346"/>
      <c r="E89" s="1346"/>
      <c r="F89" s="1346"/>
      <c r="G89" s="1346"/>
      <c r="H89" s="1346"/>
    </row>
    <row r="90" spans="1:8" s="41" customFormat="1" ht="12.75" customHeight="1" x14ac:dyDescent="0.2">
      <c r="A90" s="46"/>
      <c r="B90" s="299" t="s">
        <v>1063</v>
      </c>
      <c r="C90" s="1353" t="s">
        <v>1064</v>
      </c>
      <c r="D90" s="1353"/>
      <c r="E90" s="1353"/>
      <c r="F90" s="1353"/>
      <c r="G90" s="1353"/>
      <c r="H90" s="1353"/>
    </row>
    <row r="91" spans="1:8" s="325" customFormat="1" ht="27.75" customHeight="1" x14ac:dyDescent="0.2">
      <c r="A91" s="321"/>
      <c r="B91" s="305" t="s">
        <v>378</v>
      </c>
      <c r="C91" s="305" t="s">
        <v>69</v>
      </c>
      <c r="D91" s="337" t="s">
        <v>1567</v>
      </c>
      <c r="E91" s="305" t="s">
        <v>1065</v>
      </c>
      <c r="F91" s="305" t="s">
        <v>1066</v>
      </c>
      <c r="G91" s="305" t="s">
        <v>70</v>
      </c>
      <c r="H91" s="305" t="s">
        <v>89</v>
      </c>
    </row>
    <row r="92" spans="1:8" s="17" customFormat="1" ht="12.75" customHeight="1" x14ac:dyDescent="0.2">
      <c r="A92" s="34"/>
      <c r="B92" s="300" t="s">
        <v>619</v>
      </c>
      <c r="C92" s="297" t="s">
        <v>791</v>
      </c>
      <c r="D92" s="300" t="s">
        <v>91</v>
      </c>
      <c r="E92" s="56" t="s">
        <v>91</v>
      </c>
      <c r="F92" s="56" t="s">
        <v>91</v>
      </c>
      <c r="G92" s="56" t="s">
        <v>91</v>
      </c>
      <c r="H92" s="56" t="s">
        <v>91</v>
      </c>
    </row>
    <row r="93" spans="1:8" s="17" customFormat="1" ht="12" customHeight="1" x14ac:dyDescent="0.2">
      <c r="A93" s="34"/>
      <c r="B93" s="300" t="s">
        <v>171</v>
      </c>
      <c r="C93" s="297" t="s">
        <v>147</v>
      </c>
      <c r="D93" s="300" t="s">
        <v>91</v>
      </c>
      <c r="E93" s="56" t="s">
        <v>91</v>
      </c>
      <c r="F93" s="56" t="s">
        <v>91</v>
      </c>
      <c r="G93" s="56" t="s">
        <v>91</v>
      </c>
      <c r="H93" s="56" t="s">
        <v>91</v>
      </c>
    </row>
    <row r="94" spans="1:8" s="17" customFormat="1" ht="19.5" customHeight="1" x14ac:dyDescent="0.2">
      <c r="A94" s="34"/>
      <c r="B94" s="47"/>
      <c r="C94" s="46"/>
      <c r="D94" s="46"/>
      <c r="E94" s="46"/>
      <c r="F94" s="41"/>
    </row>
    <row r="95" spans="1:8" s="17" customFormat="1" ht="12.75" hidden="1" customHeight="1" x14ac:dyDescent="0.2">
      <c r="A95" s="153">
        <v>8</v>
      </c>
      <c r="B95" s="306" t="s">
        <v>145</v>
      </c>
      <c r="C95" s="1354" t="s">
        <v>811</v>
      </c>
      <c r="D95" s="1354"/>
      <c r="E95" s="1354"/>
      <c r="F95" s="1354"/>
      <c r="G95" s="1354"/>
      <c r="H95" s="1354"/>
    </row>
    <row r="96" spans="1:8" s="17" customFormat="1" ht="12.75" hidden="1" customHeight="1" x14ac:dyDescent="0.2">
      <c r="A96" s="154"/>
      <c r="B96" s="303" t="s">
        <v>146</v>
      </c>
      <c r="C96" s="1352" t="s">
        <v>792</v>
      </c>
      <c r="D96" s="1352"/>
      <c r="E96" s="1352"/>
      <c r="F96" s="1352"/>
      <c r="G96" s="1352"/>
      <c r="H96" s="1352"/>
    </row>
    <row r="97" spans="1:8" s="17" customFormat="1" ht="12.75" hidden="1" customHeight="1" x14ac:dyDescent="0.2">
      <c r="A97" s="154"/>
      <c r="B97" s="298" t="s">
        <v>66</v>
      </c>
      <c r="C97" s="1346" t="s">
        <v>96</v>
      </c>
      <c r="D97" s="1346"/>
      <c r="E97" s="1346"/>
      <c r="F97" s="1346"/>
      <c r="G97" s="1346"/>
      <c r="H97" s="1346"/>
    </row>
    <row r="98" spans="1:8" s="17" customFormat="1" ht="12.75" hidden="1" customHeight="1" x14ac:dyDescent="0.2">
      <c r="A98" s="34"/>
      <c r="B98" s="298" t="s">
        <v>67</v>
      </c>
      <c r="C98" s="1346" t="s">
        <v>112</v>
      </c>
      <c r="D98" s="1346"/>
      <c r="E98" s="1346"/>
      <c r="F98" s="1346"/>
      <c r="G98" s="1346"/>
      <c r="H98" s="1346"/>
    </row>
    <row r="99" spans="1:8" s="17" customFormat="1" ht="12.75" hidden="1" customHeight="1" x14ac:dyDescent="0.2">
      <c r="A99" s="34"/>
      <c r="B99" s="298" t="s">
        <v>68</v>
      </c>
      <c r="C99" s="1346" t="s">
        <v>242</v>
      </c>
      <c r="D99" s="1346"/>
      <c r="E99" s="1346"/>
      <c r="F99" s="1346"/>
      <c r="G99" s="1346"/>
      <c r="H99" s="1346"/>
    </row>
    <row r="100" spans="1:8" s="41" customFormat="1" ht="12.75" hidden="1" customHeight="1" x14ac:dyDescent="0.2">
      <c r="A100" s="46"/>
      <c r="B100" s="299" t="s">
        <v>1063</v>
      </c>
      <c r="C100" s="1353" t="s">
        <v>1064</v>
      </c>
      <c r="D100" s="1353"/>
      <c r="E100" s="1353"/>
      <c r="F100" s="1353"/>
      <c r="G100" s="1353"/>
      <c r="H100" s="1353"/>
    </row>
    <row r="101" spans="1:8" s="325" customFormat="1" ht="27.75" hidden="1" customHeight="1" x14ac:dyDescent="0.2">
      <c r="A101" s="321"/>
      <c r="B101" s="305" t="s">
        <v>378</v>
      </c>
      <c r="C101" s="305" t="s">
        <v>69</v>
      </c>
      <c r="D101" s="337" t="s">
        <v>1567</v>
      </c>
      <c r="E101" s="305" t="s">
        <v>1065</v>
      </c>
      <c r="F101" s="305" t="s">
        <v>1066</v>
      </c>
      <c r="G101" s="305" t="s">
        <v>70</v>
      </c>
      <c r="H101" s="305" t="s">
        <v>89</v>
      </c>
    </row>
    <row r="102" spans="1:8" s="17" customFormat="1" ht="12" hidden="1" customHeight="1" x14ac:dyDescent="0.2">
      <c r="A102" s="34"/>
      <c r="B102" s="304" t="s">
        <v>158</v>
      </c>
      <c r="C102" s="297" t="s">
        <v>111</v>
      </c>
      <c r="D102" s="300" t="s">
        <v>91</v>
      </c>
      <c r="E102" s="56" t="s">
        <v>96</v>
      </c>
      <c r="F102" s="56" t="s">
        <v>96</v>
      </c>
      <c r="G102" s="56" t="s">
        <v>91</v>
      </c>
      <c r="H102" s="56" t="s">
        <v>91</v>
      </c>
    </row>
    <row r="103" spans="1:8" s="17" customFormat="1" ht="18" hidden="1" customHeight="1" x14ac:dyDescent="0.2">
      <c r="A103" s="34"/>
      <c r="B103" s="47"/>
      <c r="C103" s="46"/>
      <c r="D103" s="46"/>
      <c r="E103" s="46"/>
      <c r="F103" s="41"/>
    </row>
    <row r="104" spans="1:8" s="17" customFormat="1" ht="12.75" hidden="1" x14ac:dyDescent="0.2">
      <c r="A104" s="153">
        <v>9</v>
      </c>
      <c r="B104" s="306" t="s">
        <v>145</v>
      </c>
      <c r="C104" s="301" t="s">
        <v>800</v>
      </c>
      <c r="D104" s="34"/>
      <c r="E104" s="34"/>
    </row>
    <row r="105" spans="1:8" s="17" customFormat="1" ht="12.75" hidden="1" customHeight="1" x14ac:dyDescent="0.2">
      <c r="A105" s="154"/>
      <c r="B105" s="303" t="s">
        <v>146</v>
      </c>
      <c r="C105" s="1352" t="s">
        <v>798</v>
      </c>
      <c r="D105" s="1352"/>
      <c r="E105" s="1352"/>
      <c r="F105" s="1352"/>
      <c r="G105" s="1352"/>
    </row>
    <row r="106" spans="1:8" s="17" customFormat="1" ht="12.75" hidden="1" customHeight="1" x14ac:dyDescent="0.2">
      <c r="A106" s="154"/>
      <c r="B106" s="298" t="s">
        <v>66</v>
      </c>
      <c r="C106" s="1346" t="s">
        <v>96</v>
      </c>
      <c r="D106" s="1346"/>
      <c r="E106" s="1346"/>
      <c r="F106" s="1346"/>
      <c r="G106" s="1346"/>
      <c r="H106" s="1346"/>
    </row>
    <row r="107" spans="1:8" s="17" customFormat="1" ht="12.75" hidden="1" customHeight="1" x14ac:dyDescent="0.2">
      <c r="A107" s="34"/>
      <c r="B107" s="298" t="s">
        <v>67</v>
      </c>
      <c r="C107" s="1346" t="s">
        <v>112</v>
      </c>
      <c r="D107" s="1346"/>
      <c r="E107" s="1346"/>
      <c r="F107" s="1346"/>
      <c r="G107" s="1346"/>
      <c r="H107" s="1346"/>
    </row>
    <row r="108" spans="1:8" s="17" customFormat="1" ht="12.75" hidden="1" customHeight="1" x14ac:dyDescent="0.2">
      <c r="A108" s="34"/>
      <c r="B108" s="298" t="s">
        <v>68</v>
      </c>
      <c r="C108" s="1346" t="s">
        <v>242</v>
      </c>
      <c r="D108" s="1346"/>
      <c r="E108" s="1346"/>
      <c r="F108" s="1346"/>
      <c r="G108" s="1346"/>
      <c r="H108" s="1346"/>
    </row>
    <row r="109" spans="1:8" s="41" customFormat="1" ht="12.75" hidden="1" customHeight="1" x14ac:dyDescent="0.2">
      <c r="A109" s="46"/>
      <c r="B109" s="299" t="s">
        <v>1063</v>
      </c>
      <c r="C109" s="1353" t="s">
        <v>1064</v>
      </c>
      <c r="D109" s="1353"/>
      <c r="E109" s="1353"/>
      <c r="F109" s="1353"/>
      <c r="G109" s="1353"/>
      <c r="H109" s="1353"/>
    </row>
    <row r="110" spans="1:8" s="325" customFormat="1" ht="27.75" hidden="1" customHeight="1" x14ac:dyDescent="0.2">
      <c r="A110" s="321"/>
      <c r="B110" s="305" t="s">
        <v>378</v>
      </c>
      <c r="C110" s="305" t="s">
        <v>69</v>
      </c>
      <c r="D110" s="337" t="s">
        <v>1567</v>
      </c>
      <c r="E110" s="305" t="s">
        <v>1065</v>
      </c>
      <c r="F110" s="305" t="s">
        <v>1066</v>
      </c>
      <c r="G110" s="305" t="s">
        <v>70</v>
      </c>
      <c r="H110" s="305" t="s">
        <v>89</v>
      </c>
    </row>
    <row r="111" spans="1:8" s="17" customFormat="1" ht="12.75" hidden="1" customHeight="1" x14ac:dyDescent="0.2">
      <c r="A111" s="34"/>
      <c r="B111" s="311" t="s">
        <v>158</v>
      </c>
      <c r="C111" s="310" t="s">
        <v>1068</v>
      </c>
      <c r="D111" s="309" t="s">
        <v>91</v>
      </c>
      <c r="E111" s="199" t="s">
        <v>96</v>
      </c>
      <c r="F111" s="199" t="s">
        <v>96</v>
      </c>
      <c r="G111" s="199" t="s">
        <v>91</v>
      </c>
      <c r="H111" s="199" t="s">
        <v>91</v>
      </c>
    </row>
    <row r="112" spans="1:8" s="17" customFormat="1" ht="15.75" hidden="1" customHeight="1" x14ac:dyDescent="0.2">
      <c r="A112" s="34"/>
      <c r="B112" s="47"/>
      <c r="C112" s="46"/>
      <c r="D112" s="46"/>
      <c r="E112" s="46"/>
      <c r="F112" s="41"/>
    </row>
    <row r="113" spans="1:8" s="17" customFormat="1" ht="12.75" hidden="1" x14ac:dyDescent="0.2">
      <c r="A113" s="153">
        <v>10</v>
      </c>
      <c r="B113" s="306" t="s">
        <v>145</v>
      </c>
      <c r="C113" s="301" t="s">
        <v>801</v>
      </c>
      <c r="D113" s="34"/>
      <c r="E113" s="34"/>
    </row>
    <row r="114" spans="1:8" s="17" customFormat="1" ht="12.75" hidden="1" customHeight="1" x14ac:dyDescent="0.2">
      <c r="A114" s="154"/>
      <c r="B114" s="303" t="s">
        <v>146</v>
      </c>
      <c r="C114" s="1352" t="s">
        <v>793</v>
      </c>
      <c r="D114" s="1352"/>
      <c r="E114" s="1352"/>
      <c r="F114" s="1352"/>
      <c r="G114" s="1352"/>
    </row>
    <row r="115" spans="1:8" s="17" customFormat="1" ht="12.75" hidden="1" customHeight="1" x14ac:dyDescent="0.2">
      <c r="A115" s="154"/>
      <c r="B115" s="298" t="s">
        <v>66</v>
      </c>
      <c r="C115" s="1346" t="s">
        <v>96</v>
      </c>
      <c r="D115" s="1346"/>
      <c r="E115" s="1346"/>
      <c r="F115" s="1346"/>
      <c r="G115" s="1346"/>
      <c r="H115" s="1346"/>
    </row>
    <row r="116" spans="1:8" s="17" customFormat="1" ht="12.75" hidden="1" customHeight="1" x14ac:dyDescent="0.2">
      <c r="A116" s="34"/>
      <c r="B116" s="298" t="s">
        <v>67</v>
      </c>
      <c r="C116" s="1346" t="s">
        <v>112</v>
      </c>
      <c r="D116" s="1346"/>
      <c r="E116" s="1346"/>
      <c r="F116" s="1346"/>
      <c r="G116" s="1346"/>
      <c r="H116" s="1346"/>
    </row>
    <row r="117" spans="1:8" s="17" customFormat="1" ht="12.75" hidden="1" customHeight="1" x14ac:dyDescent="0.2">
      <c r="A117" s="34"/>
      <c r="B117" s="298" t="s">
        <v>68</v>
      </c>
      <c r="C117" s="1346" t="s">
        <v>242</v>
      </c>
      <c r="D117" s="1346"/>
      <c r="E117" s="1346"/>
      <c r="F117" s="1346"/>
      <c r="G117" s="1346"/>
      <c r="H117" s="1346"/>
    </row>
    <row r="118" spans="1:8" s="41" customFormat="1" ht="12.75" hidden="1" customHeight="1" x14ac:dyDescent="0.2">
      <c r="A118" s="46"/>
      <c r="B118" s="299" t="s">
        <v>1063</v>
      </c>
      <c r="C118" s="1353" t="s">
        <v>1064</v>
      </c>
      <c r="D118" s="1353"/>
      <c r="E118" s="1353"/>
      <c r="F118" s="1353"/>
      <c r="G118" s="1353"/>
      <c r="H118" s="1353"/>
    </row>
    <row r="119" spans="1:8" s="325" customFormat="1" ht="27.75" hidden="1" customHeight="1" x14ac:dyDescent="0.2">
      <c r="A119" s="321"/>
      <c r="B119" s="305" t="s">
        <v>378</v>
      </c>
      <c r="C119" s="305" t="s">
        <v>69</v>
      </c>
      <c r="D119" s="337" t="s">
        <v>1567</v>
      </c>
      <c r="E119" s="305" t="s">
        <v>1065</v>
      </c>
      <c r="F119" s="305" t="s">
        <v>1066</v>
      </c>
      <c r="G119" s="305" t="s">
        <v>70</v>
      </c>
      <c r="H119" s="305" t="s">
        <v>89</v>
      </c>
    </row>
    <row r="120" spans="1:8" s="17" customFormat="1" ht="12.75" hidden="1" x14ac:dyDescent="0.2">
      <c r="A120" s="34"/>
      <c r="B120" s="304" t="s">
        <v>615</v>
      </c>
      <c r="C120" s="297" t="s">
        <v>113</v>
      </c>
      <c r="D120" s="300" t="s">
        <v>91</v>
      </c>
      <c r="E120" s="56" t="s">
        <v>91</v>
      </c>
      <c r="F120" s="56" t="s">
        <v>91</v>
      </c>
      <c r="G120" s="56" t="s">
        <v>91</v>
      </c>
      <c r="H120" s="56" t="s">
        <v>91</v>
      </c>
    </row>
    <row r="121" spans="1:8" s="17" customFormat="1" ht="12" hidden="1" customHeight="1" x14ac:dyDescent="0.2">
      <c r="A121" s="34"/>
      <c r="B121" s="304" t="s">
        <v>156</v>
      </c>
      <c r="C121" s="297" t="s">
        <v>114</v>
      </c>
      <c r="D121" s="300" t="s">
        <v>91</v>
      </c>
      <c r="E121" s="56" t="s">
        <v>91</v>
      </c>
      <c r="F121" s="56" t="s">
        <v>91</v>
      </c>
      <c r="G121" s="56" t="s">
        <v>91</v>
      </c>
      <c r="H121" s="56" t="s">
        <v>91</v>
      </c>
    </row>
    <row r="122" spans="1:8" s="17" customFormat="1" ht="18" hidden="1" customHeight="1" x14ac:dyDescent="0.2">
      <c r="A122" s="34"/>
      <c r="B122" s="47"/>
      <c r="C122" s="46"/>
      <c r="D122" s="46"/>
      <c r="E122" s="46"/>
      <c r="F122" s="41"/>
    </row>
    <row r="123" spans="1:8" s="17" customFormat="1" ht="12.75" hidden="1" x14ac:dyDescent="0.2">
      <c r="A123" s="153">
        <v>11</v>
      </c>
      <c r="B123" s="306" t="s">
        <v>145</v>
      </c>
      <c r="C123" s="301" t="s">
        <v>802</v>
      </c>
      <c r="D123" s="34"/>
      <c r="E123" s="34"/>
    </row>
    <row r="124" spans="1:8" s="17" customFormat="1" ht="12.75" hidden="1" customHeight="1" x14ac:dyDescent="0.2">
      <c r="A124" s="154"/>
      <c r="B124" s="303" t="s">
        <v>146</v>
      </c>
      <c r="C124" s="1352" t="s">
        <v>794</v>
      </c>
      <c r="D124" s="1352"/>
      <c r="E124" s="1352"/>
      <c r="F124" s="1352"/>
      <c r="G124" s="1352"/>
    </row>
    <row r="125" spans="1:8" s="17" customFormat="1" ht="12.75" hidden="1" customHeight="1" x14ac:dyDescent="0.2">
      <c r="A125" s="154"/>
      <c r="B125" s="298" t="s">
        <v>66</v>
      </c>
      <c r="C125" s="1346" t="s">
        <v>96</v>
      </c>
      <c r="D125" s="1346"/>
      <c r="E125" s="1346"/>
      <c r="F125" s="1346"/>
      <c r="G125" s="1346"/>
      <c r="H125" s="1346"/>
    </row>
    <row r="126" spans="1:8" s="17" customFormat="1" ht="12.75" hidden="1" customHeight="1" x14ac:dyDescent="0.2">
      <c r="A126" s="34"/>
      <c r="B126" s="298" t="s">
        <v>67</v>
      </c>
      <c r="C126" s="1346" t="s">
        <v>112</v>
      </c>
      <c r="D126" s="1346"/>
      <c r="E126" s="1346"/>
      <c r="F126" s="1346"/>
      <c r="G126" s="1346"/>
      <c r="H126" s="1346"/>
    </row>
    <row r="127" spans="1:8" s="17" customFormat="1" ht="12.75" hidden="1" customHeight="1" x14ac:dyDescent="0.2">
      <c r="A127" s="34"/>
      <c r="B127" s="298" t="s">
        <v>68</v>
      </c>
      <c r="C127" s="1346" t="s">
        <v>242</v>
      </c>
      <c r="D127" s="1346"/>
      <c r="E127" s="1346"/>
      <c r="F127" s="1346"/>
      <c r="G127" s="1346"/>
      <c r="H127" s="1346"/>
    </row>
    <row r="128" spans="1:8" s="41" customFormat="1" ht="12.75" hidden="1" customHeight="1" x14ac:dyDescent="0.2">
      <c r="A128" s="46"/>
      <c r="B128" s="299" t="s">
        <v>1063</v>
      </c>
      <c r="C128" s="1353" t="s">
        <v>1064</v>
      </c>
      <c r="D128" s="1353"/>
      <c r="E128" s="1353"/>
      <c r="F128" s="1353"/>
      <c r="G128" s="1353"/>
      <c r="H128" s="1353"/>
    </row>
    <row r="129" spans="1:8" s="325" customFormat="1" ht="27.75" hidden="1" customHeight="1" x14ac:dyDescent="0.2">
      <c r="A129" s="321"/>
      <c r="B129" s="305" t="s">
        <v>378</v>
      </c>
      <c r="C129" s="305" t="s">
        <v>69</v>
      </c>
      <c r="D129" s="337" t="s">
        <v>1567</v>
      </c>
      <c r="E129" s="305" t="s">
        <v>1065</v>
      </c>
      <c r="F129" s="305" t="s">
        <v>1066</v>
      </c>
      <c r="G129" s="305" t="s">
        <v>70</v>
      </c>
      <c r="H129" s="305" t="s">
        <v>89</v>
      </c>
    </row>
    <row r="130" spans="1:8" s="17" customFormat="1" ht="12" hidden="1" customHeight="1" x14ac:dyDescent="0.2">
      <c r="A130" s="34"/>
      <c r="B130" s="304" t="s">
        <v>158</v>
      </c>
      <c r="C130" s="297" t="s">
        <v>148</v>
      </c>
      <c r="D130" s="300" t="s">
        <v>91</v>
      </c>
      <c r="E130" s="56" t="s">
        <v>96</v>
      </c>
      <c r="F130" s="56" t="s">
        <v>96</v>
      </c>
      <c r="G130" s="56" t="s">
        <v>91</v>
      </c>
      <c r="H130" s="56" t="s">
        <v>91</v>
      </c>
    </row>
    <row r="131" spans="1:8" s="17" customFormat="1" ht="15.75" hidden="1" customHeight="1" x14ac:dyDescent="0.2">
      <c r="A131" s="34"/>
      <c r="B131" s="47"/>
      <c r="C131" s="46"/>
      <c r="D131" s="46"/>
      <c r="E131" s="46"/>
      <c r="F131" s="41"/>
    </row>
    <row r="132" spans="1:8" s="17" customFormat="1" ht="12.75" hidden="1" x14ac:dyDescent="0.2">
      <c r="A132" s="153">
        <v>12</v>
      </c>
      <c r="B132" s="306" t="s">
        <v>145</v>
      </c>
      <c r="C132" s="301" t="s">
        <v>803</v>
      </c>
      <c r="D132" s="34"/>
      <c r="E132" s="34"/>
    </row>
    <row r="133" spans="1:8" s="17" customFormat="1" ht="12.75" hidden="1" customHeight="1" x14ac:dyDescent="0.2">
      <c r="A133" s="154"/>
      <c r="B133" s="303" t="s">
        <v>146</v>
      </c>
      <c r="C133" s="1352" t="s">
        <v>797</v>
      </c>
      <c r="D133" s="1352"/>
      <c r="E133" s="1352"/>
      <c r="F133" s="1352"/>
      <c r="G133" s="1352"/>
    </row>
    <row r="134" spans="1:8" s="17" customFormat="1" ht="12.75" hidden="1" x14ac:dyDescent="0.2">
      <c r="A134" s="154"/>
      <c r="B134" s="298" t="s">
        <v>66</v>
      </c>
      <c r="C134" s="1346" t="s">
        <v>96</v>
      </c>
      <c r="D134" s="1346"/>
      <c r="E134" s="1346"/>
      <c r="F134" s="1346"/>
      <c r="G134" s="1346"/>
      <c r="H134" s="1346"/>
    </row>
    <row r="135" spans="1:8" s="17" customFormat="1" ht="12.75" hidden="1" x14ac:dyDescent="0.2">
      <c r="A135" s="34"/>
      <c r="B135" s="298" t="s">
        <v>67</v>
      </c>
      <c r="C135" s="1346" t="s">
        <v>112</v>
      </c>
      <c r="D135" s="1346"/>
      <c r="E135" s="1346"/>
      <c r="F135" s="1346"/>
      <c r="G135" s="1346"/>
      <c r="H135" s="1346"/>
    </row>
    <row r="136" spans="1:8" s="17" customFormat="1" ht="12.75" hidden="1" x14ac:dyDescent="0.2">
      <c r="A136" s="34"/>
      <c r="B136" s="298" t="s">
        <v>68</v>
      </c>
      <c r="C136" s="1346" t="s">
        <v>242</v>
      </c>
      <c r="D136" s="1346"/>
      <c r="E136" s="1346"/>
      <c r="F136" s="1346"/>
      <c r="G136" s="1346"/>
      <c r="H136" s="1346"/>
    </row>
    <row r="137" spans="1:8" s="41" customFormat="1" ht="12.75" hidden="1" x14ac:dyDescent="0.2">
      <c r="A137" s="46"/>
      <c r="B137" s="299" t="s">
        <v>1063</v>
      </c>
      <c r="C137" s="1353" t="s">
        <v>1064</v>
      </c>
      <c r="D137" s="1353"/>
      <c r="E137" s="1353"/>
      <c r="F137" s="1353"/>
      <c r="G137" s="1353"/>
      <c r="H137" s="1353"/>
    </row>
    <row r="138" spans="1:8" s="325" customFormat="1" ht="38.25" hidden="1" x14ac:dyDescent="0.2">
      <c r="A138" s="321"/>
      <c r="B138" s="305" t="s">
        <v>378</v>
      </c>
      <c r="C138" s="305" t="s">
        <v>69</v>
      </c>
      <c r="D138" s="337" t="s">
        <v>1567</v>
      </c>
      <c r="E138" s="305" t="s">
        <v>1065</v>
      </c>
      <c r="F138" s="305" t="s">
        <v>1066</v>
      </c>
      <c r="G138" s="305" t="s">
        <v>70</v>
      </c>
      <c r="H138" s="305" t="s">
        <v>89</v>
      </c>
    </row>
    <row r="139" spans="1:8" s="17" customFormat="1" ht="12.75" hidden="1" x14ac:dyDescent="0.2">
      <c r="A139" s="34"/>
      <c r="B139" s="304" t="s">
        <v>158</v>
      </c>
      <c r="C139" s="297" t="s">
        <v>115</v>
      </c>
      <c r="D139" s="300" t="s">
        <v>91</v>
      </c>
      <c r="E139" s="56" t="s">
        <v>96</v>
      </c>
      <c r="F139" s="56" t="s">
        <v>96</v>
      </c>
      <c r="G139" s="56" t="s">
        <v>91</v>
      </c>
      <c r="H139" s="56" t="s">
        <v>91</v>
      </c>
    </row>
    <row r="140" spans="1:8" s="17" customFormat="1" ht="12.75" hidden="1" x14ac:dyDescent="0.2">
      <c r="A140" s="34"/>
      <c r="B140" s="47"/>
      <c r="C140" s="46"/>
      <c r="D140" s="46"/>
      <c r="E140" s="46"/>
      <c r="F140" s="41"/>
    </row>
    <row r="141" spans="1:8" s="17" customFormat="1" ht="12.75" hidden="1" x14ac:dyDescent="0.2">
      <c r="A141" s="153">
        <v>13</v>
      </c>
      <c r="B141" s="306" t="s">
        <v>145</v>
      </c>
      <c r="C141" s="301" t="s">
        <v>804</v>
      </c>
      <c r="D141" s="34"/>
      <c r="E141" s="34"/>
    </row>
    <row r="142" spans="1:8" s="17" customFormat="1" ht="12.75" hidden="1" x14ac:dyDescent="0.2">
      <c r="A142" s="154"/>
      <c r="B142" s="303" t="s">
        <v>146</v>
      </c>
      <c r="C142" s="1352" t="s">
        <v>795</v>
      </c>
      <c r="D142" s="1352"/>
      <c r="E142" s="1352"/>
      <c r="F142" s="1352"/>
      <c r="G142" s="1352"/>
    </row>
    <row r="143" spans="1:8" s="17" customFormat="1" ht="12.75" hidden="1" x14ac:dyDescent="0.2">
      <c r="A143" s="154"/>
      <c r="B143" s="298" t="s">
        <v>66</v>
      </c>
      <c r="C143" s="1346" t="s">
        <v>96</v>
      </c>
      <c r="D143" s="1346"/>
      <c r="E143" s="1346"/>
      <c r="F143" s="1346"/>
      <c r="G143" s="1346"/>
      <c r="H143" s="1346"/>
    </row>
    <row r="144" spans="1:8" s="17" customFormat="1" ht="12.75" hidden="1" x14ac:dyDescent="0.2">
      <c r="A144" s="34"/>
      <c r="B144" s="298" t="s">
        <v>67</v>
      </c>
      <c r="C144" s="1346" t="s">
        <v>112</v>
      </c>
      <c r="D144" s="1346"/>
      <c r="E144" s="1346"/>
      <c r="F144" s="1346"/>
      <c r="G144" s="1346"/>
      <c r="H144" s="1346"/>
    </row>
    <row r="145" spans="1:8" s="17" customFormat="1" ht="12.75" hidden="1" x14ac:dyDescent="0.2">
      <c r="A145" s="34"/>
      <c r="B145" s="298" t="s">
        <v>68</v>
      </c>
      <c r="C145" s="1346" t="s">
        <v>242</v>
      </c>
      <c r="D145" s="1346"/>
      <c r="E145" s="1346"/>
      <c r="F145" s="1346"/>
      <c r="G145" s="1346"/>
      <c r="H145" s="1346"/>
    </row>
    <row r="146" spans="1:8" s="41" customFormat="1" ht="12.75" hidden="1" x14ac:dyDescent="0.2">
      <c r="A146" s="46"/>
      <c r="B146" s="299" t="s">
        <v>1063</v>
      </c>
      <c r="C146" s="1353" t="s">
        <v>1064</v>
      </c>
      <c r="D146" s="1353"/>
      <c r="E146" s="1353"/>
      <c r="F146" s="1353"/>
      <c r="G146" s="1353"/>
      <c r="H146" s="1353"/>
    </row>
    <row r="147" spans="1:8" s="325" customFormat="1" ht="38.25" hidden="1" x14ac:dyDescent="0.2">
      <c r="A147" s="321"/>
      <c r="B147" s="305" t="s">
        <v>378</v>
      </c>
      <c r="C147" s="305" t="s">
        <v>69</v>
      </c>
      <c r="D147" s="337" t="s">
        <v>1567</v>
      </c>
      <c r="E147" s="305" t="s">
        <v>1065</v>
      </c>
      <c r="F147" s="305" t="s">
        <v>1066</v>
      </c>
      <c r="G147" s="305" t="s">
        <v>70</v>
      </c>
      <c r="H147" s="305" t="s">
        <v>89</v>
      </c>
    </row>
    <row r="148" spans="1:8" s="17" customFormat="1" ht="12.75" hidden="1" x14ac:dyDescent="0.2">
      <c r="A148" s="34"/>
      <c r="B148" s="304" t="s">
        <v>158</v>
      </c>
      <c r="C148" s="297" t="s">
        <v>116</v>
      </c>
      <c r="D148" s="300" t="s">
        <v>91</v>
      </c>
      <c r="E148" s="56" t="s">
        <v>96</v>
      </c>
      <c r="F148" s="56" t="s">
        <v>96</v>
      </c>
      <c r="G148" s="56" t="s">
        <v>91</v>
      </c>
      <c r="H148" s="56" t="s">
        <v>91</v>
      </c>
    </row>
    <row r="149" spans="1:8" s="17" customFormat="1" ht="12.75" hidden="1" x14ac:dyDescent="0.2">
      <c r="A149" s="34"/>
      <c r="B149" s="47"/>
      <c r="C149" s="46"/>
      <c r="D149" s="46"/>
      <c r="E149" s="46"/>
      <c r="F149" s="41"/>
    </row>
    <row r="150" spans="1:8" s="17" customFormat="1" ht="12.75" hidden="1" x14ac:dyDescent="0.2">
      <c r="A150" s="153">
        <v>14</v>
      </c>
      <c r="B150" s="306" t="s">
        <v>145</v>
      </c>
      <c r="C150" s="301" t="s">
        <v>805</v>
      </c>
      <c r="D150" s="34"/>
      <c r="E150" s="34"/>
    </row>
    <row r="151" spans="1:8" s="17" customFormat="1" ht="12.75" hidden="1" x14ac:dyDescent="0.2">
      <c r="A151" s="154"/>
      <c r="B151" s="303" t="s">
        <v>146</v>
      </c>
      <c r="C151" s="1352" t="s">
        <v>796</v>
      </c>
      <c r="D151" s="1352"/>
      <c r="E151" s="1352"/>
      <c r="F151" s="1352"/>
      <c r="G151" s="1352"/>
    </row>
    <row r="152" spans="1:8" s="17" customFormat="1" ht="12.75" hidden="1" x14ac:dyDescent="0.2">
      <c r="A152" s="154"/>
      <c r="B152" s="298" t="s">
        <v>66</v>
      </c>
      <c r="C152" s="1346" t="s">
        <v>96</v>
      </c>
      <c r="D152" s="1346"/>
      <c r="E152" s="1346"/>
      <c r="F152" s="1346"/>
      <c r="G152" s="1346"/>
      <c r="H152" s="1346"/>
    </row>
    <row r="153" spans="1:8" s="17" customFormat="1" ht="12.75" hidden="1" x14ac:dyDescent="0.2">
      <c r="A153" s="34"/>
      <c r="B153" s="298" t="s">
        <v>67</v>
      </c>
      <c r="C153" s="1346" t="s">
        <v>112</v>
      </c>
      <c r="D153" s="1346"/>
      <c r="E153" s="1346"/>
      <c r="F153" s="1346"/>
      <c r="G153" s="1346"/>
      <c r="H153" s="1346"/>
    </row>
    <row r="154" spans="1:8" s="17" customFormat="1" ht="12.75" hidden="1" x14ac:dyDescent="0.2">
      <c r="A154" s="34"/>
      <c r="B154" s="298" t="s">
        <v>68</v>
      </c>
      <c r="C154" s="1346" t="s">
        <v>242</v>
      </c>
      <c r="D154" s="1346"/>
      <c r="E154" s="1346"/>
      <c r="F154" s="1346"/>
      <c r="G154" s="1346"/>
      <c r="H154" s="1346"/>
    </row>
    <row r="155" spans="1:8" s="41" customFormat="1" ht="12.75" hidden="1" x14ac:dyDescent="0.2">
      <c r="A155" s="46"/>
      <c r="B155" s="299" t="s">
        <v>1063</v>
      </c>
      <c r="C155" s="1353" t="s">
        <v>1064</v>
      </c>
      <c r="D155" s="1353"/>
      <c r="E155" s="1353"/>
      <c r="F155" s="1353"/>
      <c r="G155" s="1353"/>
      <c r="H155" s="1353"/>
    </row>
    <row r="156" spans="1:8" s="325" customFormat="1" ht="38.25" hidden="1" x14ac:dyDescent="0.2">
      <c r="A156" s="321"/>
      <c r="B156" s="305" t="s">
        <v>378</v>
      </c>
      <c r="C156" s="305" t="s">
        <v>69</v>
      </c>
      <c r="D156" s="337" t="s">
        <v>1567</v>
      </c>
      <c r="E156" s="305" t="s">
        <v>1065</v>
      </c>
      <c r="F156" s="305" t="s">
        <v>1066</v>
      </c>
      <c r="G156" s="305" t="s">
        <v>70</v>
      </c>
      <c r="H156" s="305" t="s">
        <v>89</v>
      </c>
    </row>
    <row r="157" spans="1:8" s="17" customFormat="1" ht="12.75" hidden="1" x14ac:dyDescent="0.2">
      <c r="A157" s="34"/>
      <c r="B157" s="304" t="s">
        <v>158</v>
      </c>
      <c r="C157" s="297" t="s">
        <v>117</v>
      </c>
      <c r="D157" s="300" t="s">
        <v>91</v>
      </c>
      <c r="E157" s="56" t="s">
        <v>96</v>
      </c>
      <c r="F157" s="56" t="s">
        <v>96</v>
      </c>
      <c r="G157" s="56" t="s">
        <v>91</v>
      </c>
      <c r="H157" s="56" t="s">
        <v>91</v>
      </c>
    </row>
    <row r="158" spans="1:8" s="17" customFormat="1" ht="12.75" hidden="1" x14ac:dyDescent="0.2">
      <c r="A158" s="34"/>
      <c r="B158" s="47"/>
      <c r="C158" s="46"/>
      <c r="D158" s="46"/>
      <c r="E158" s="46"/>
      <c r="F158" s="41"/>
    </row>
    <row r="159" spans="1:8" s="17" customFormat="1" ht="12.75" hidden="1" x14ac:dyDescent="0.2">
      <c r="A159" s="153">
        <v>15</v>
      </c>
      <c r="B159" s="306" t="s">
        <v>145</v>
      </c>
      <c r="C159" s="301" t="s">
        <v>812</v>
      </c>
      <c r="D159" s="34"/>
      <c r="E159" s="34"/>
    </row>
    <row r="160" spans="1:8" s="17" customFormat="1" ht="12.75" hidden="1" x14ac:dyDescent="0.2">
      <c r="A160" s="154"/>
      <c r="B160" s="44" t="s">
        <v>146</v>
      </c>
      <c r="C160" s="1352" t="s">
        <v>118</v>
      </c>
      <c r="D160" s="1352"/>
      <c r="E160" s="1352"/>
      <c r="F160" s="1352"/>
      <c r="G160" s="1352"/>
    </row>
    <row r="161" spans="1:8" s="17" customFormat="1" ht="12.75" hidden="1" x14ac:dyDescent="0.2">
      <c r="A161" s="154"/>
      <c r="B161" s="298" t="s">
        <v>66</v>
      </c>
      <c r="C161" s="1346" t="s">
        <v>96</v>
      </c>
      <c r="D161" s="1346"/>
      <c r="E161" s="1346"/>
      <c r="F161" s="1346"/>
      <c r="G161" s="1346"/>
      <c r="H161" s="1346"/>
    </row>
    <row r="162" spans="1:8" s="17" customFormat="1" ht="12.75" hidden="1" x14ac:dyDescent="0.2">
      <c r="A162" s="34"/>
      <c r="B162" s="298" t="s">
        <v>67</v>
      </c>
      <c r="C162" s="1346" t="s">
        <v>112</v>
      </c>
      <c r="D162" s="1346"/>
      <c r="E162" s="1346"/>
      <c r="F162" s="1346"/>
      <c r="G162" s="1346"/>
      <c r="H162" s="1346"/>
    </row>
    <row r="163" spans="1:8" s="17" customFormat="1" ht="12.75" hidden="1" x14ac:dyDescent="0.2">
      <c r="A163" s="34"/>
      <c r="B163" s="298" t="s">
        <v>68</v>
      </c>
      <c r="C163" s="1346" t="s">
        <v>242</v>
      </c>
      <c r="D163" s="1346"/>
      <c r="E163" s="1346"/>
      <c r="F163" s="1346"/>
      <c r="G163" s="1346"/>
      <c r="H163" s="1346"/>
    </row>
    <row r="164" spans="1:8" s="41" customFormat="1" ht="12.75" hidden="1" x14ac:dyDescent="0.2">
      <c r="A164" s="46"/>
      <c r="B164" s="299" t="s">
        <v>1063</v>
      </c>
      <c r="C164" s="1353" t="s">
        <v>1064</v>
      </c>
      <c r="D164" s="1353"/>
      <c r="E164" s="1353"/>
      <c r="F164" s="1353"/>
      <c r="G164" s="1353"/>
      <c r="H164" s="1353"/>
    </row>
    <row r="165" spans="1:8" s="325" customFormat="1" ht="38.25" hidden="1" x14ac:dyDescent="0.2">
      <c r="A165" s="321"/>
      <c r="B165" s="305" t="s">
        <v>378</v>
      </c>
      <c r="C165" s="305" t="s">
        <v>69</v>
      </c>
      <c r="D165" s="337" t="s">
        <v>1567</v>
      </c>
      <c r="E165" s="305" t="s">
        <v>1065</v>
      </c>
      <c r="F165" s="305" t="s">
        <v>1066</v>
      </c>
      <c r="G165" s="305" t="s">
        <v>70</v>
      </c>
      <c r="H165" s="305" t="s">
        <v>89</v>
      </c>
    </row>
    <row r="166" spans="1:8" s="17" customFormat="1" ht="12.75" hidden="1" x14ac:dyDescent="0.2">
      <c r="A166" s="34"/>
      <c r="B166" s="304" t="s">
        <v>158</v>
      </c>
      <c r="C166" s="297" t="s">
        <v>119</v>
      </c>
      <c r="D166" s="300" t="s">
        <v>91</v>
      </c>
      <c r="E166" s="56" t="s">
        <v>96</v>
      </c>
      <c r="F166" s="56" t="s">
        <v>96</v>
      </c>
      <c r="G166" s="56" t="s">
        <v>91</v>
      </c>
      <c r="H166" s="56" t="s">
        <v>91</v>
      </c>
    </row>
    <row r="167" spans="1:8" s="17" customFormat="1" ht="12.75" hidden="1" x14ac:dyDescent="0.2">
      <c r="A167" s="34"/>
      <c r="B167" s="1355" t="s">
        <v>120</v>
      </c>
      <c r="C167" s="1355"/>
      <c r="D167" s="1355"/>
      <c r="E167" s="1355"/>
      <c r="F167" s="1355"/>
      <c r="G167" s="1355"/>
    </row>
    <row r="168" spans="1:8" s="17" customFormat="1" ht="12.75" hidden="1" x14ac:dyDescent="0.2">
      <c r="A168" s="34"/>
      <c r="B168" s="47"/>
      <c r="C168" s="46"/>
      <c r="D168" s="46"/>
      <c r="E168" s="46"/>
      <c r="F168" s="41"/>
    </row>
    <row r="169" spans="1:8" s="17" customFormat="1" ht="12.75" hidden="1" x14ac:dyDescent="0.2">
      <c r="A169" s="153">
        <v>16</v>
      </c>
      <c r="B169" s="306" t="s">
        <v>145</v>
      </c>
      <c r="C169" s="301" t="s">
        <v>806</v>
      </c>
      <c r="D169" s="34"/>
      <c r="E169" s="34"/>
    </row>
    <row r="170" spans="1:8" s="17" customFormat="1" ht="12.75" hidden="1" x14ac:dyDescent="0.2">
      <c r="A170" s="154"/>
      <c r="B170" s="303" t="s">
        <v>146</v>
      </c>
      <c r="C170" s="1352" t="s">
        <v>121</v>
      </c>
      <c r="D170" s="1352"/>
      <c r="E170" s="1352"/>
      <c r="F170" s="1352"/>
      <c r="G170" s="1352"/>
    </row>
    <row r="171" spans="1:8" s="17" customFormat="1" ht="12.75" hidden="1" x14ac:dyDescent="0.2">
      <c r="A171" s="154"/>
      <c r="B171" s="298" t="s">
        <v>66</v>
      </c>
      <c r="C171" s="1346" t="s">
        <v>96</v>
      </c>
      <c r="D171" s="1346"/>
      <c r="E171" s="1346"/>
      <c r="F171" s="1346"/>
      <c r="G171" s="1346"/>
      <c r="H171" s="1346"/>
    </row>
    <row r="172" spans="1:8" s="17" customFormat="1" ht="12.75" hidden="1" x14ac:dyDescent="0.2">
      <c r="A172" s="34"/>
      <c r="B172" s="298" t="s">
        <v>67</v>
      </c>
      <c r="C172" s="1346" t="s">
        <v>112</v>
      </c>
      <c r="D172" s="1346"/>
      <c r="E172" s="1346"/>
      <c r="F172" s="1346"/>
      <c r="G172" s="1346"/>
      <c r="H172" s="1346"/>
    </row>
    <row r="173" spans="1:8" s="17" customFormat="1" ht="12.75" hidden="1" x14ac:dyDescent="0.2">
      <c r="A173" s="34"/>
      <c r="B173" s="298" t="s">
        <v>68</v>
      </c>
      <c r="C173" s="1346" t="s">
        <v>242</v>
      </c>
      <c r="D173" s="1346"/>
      <c r="E173" s="1346"/>
      <c r="F173" s="1346"/>
      <c r="G173" s="1346"/>
      <c r="H173" s="1346"/>
    </row>
    <row r="174" spans="1:8" s="41" customFormat="1" ht="12.75" hidden="1" x14ac:dyDescent="0.2">
      <c r="A174" s="46"/>
      <c r="B174" s="299" t="s">
        <v>1063</v>
      </c>
      <c r="C174" s="1353" t="s">
        <v>1064</v>
      </c>
      <c r="D174" s="1353"/>
      <c r="E174" s="1353"/>
      <c r="F174" s="1353"/>
      <c r="G174" s="1353"/>
      <c r="H174" s="1353"/>
    </row>
    <row r="175" spans="1:8" s="325" customFormat="1" ht="38.25" hidden="1" x14ac:dyDescent="0.2">
      <c r="A175" s="321"/>
      <c r="B175" s="305" t="s">
        <v>378</v>
      </c>
      <c r="C175" s="305" t="s">
        <v>69</v>
      </c>
      <c r="D175" s="337" t="s">
        <v>1567</v>
      </c>
      <c r="E175" s="305" t="s">
        <v>1065</v>
      </c>
      <c r="F175" s="305" t="s">
        <v>1066</v>
      </c>
      <c r="G175" s="305" t="s">
        <v>70</v>
      </c>
      <c r="H175" s="305" t="s">
        <v>89</v>
      </c>
    </row>
    <row r="176" spans="1:8" s="17" customFormat="1" ht="12.75" hidden="1" x14ac:dyDescent="0.2">
      <c r="A176" s="34"/>
      <c r="B176" s="304" t="s">
        <v>158</v>
      </c>
      <c r="C176" s="297" t="s">
        <v>122</v>
      </c>
      <c r="D176" s="300" t="s">
        <v>91</v>
      </c>
      <c r="E176" s="56" t="s">
        <v>96</v>
      </c>
      <c r="F176" s="56" t="s">
        <v>96</v>
      </c>
      <c r="G176" s="56" t="s">
        <v>91</v>
      </c>
      <c r="H176" s="56" t="s">
        <v>91</v>
      </c>
    </row>
    <row r="177" spans="1:8" s="17" customFormat="1" ht="12.75" hidden="1" x14ac:dyDescent="0.2">
      <c r="A177" s="34"/>
      <c r="B177" s="47"/>
      <c r="C177" s="46"/>
      <c r="D177" s="46"/>
      <c r="E177" s="46"/>
      <c r="F177" s="41"/>
    </row>
    <row r="178" spans="1:8" s="17" customFormat="1" ht="12.75" hidden="1" x14ac:dyDescent="0.2">
      <c r="A178" s="153">
        <v>17</v>
      </c>
      <c r="B178" s="306" t="s">
        <v>145</v>
      </c>
      <c r="C178" s="301" t="s">
        <v>807</v>
      </c>
      <c r="D178" s="34"/>
      <c r="E178" s="34"/>
    </row>
    <row r="179" spans="1:8" s="17" customFormat="1" ht="12.75" hidden="1" x14ac:dyDescent="0.2">
      <c r="A179" s="154"/>
      <c r="B179" s="303" t="s">
        <v>146</v>
      </c>
      <c r="C179" s="1352" t="s">
        <v>123</v>
      </c>
      <c r="D179" s="1352"/>
      <c r="E179" s="1352"/>
      <c r="F179" s="1352"/>
      <c r="G179" s="1352"/>
    </row>
    <row r="180" spans="1:8" s="17" customFormat="1" ht="12.75" hidden="1" x14ac:dyDescent="0.2">
      <c r="A180" s="154"/>
      <c r="B180" s="298" t="s">
        <v>66</v>
      </c>
      <c r="C180" s="1346" t="s">
        <v>96</v>
      </c>
      <c r="D180" s="1346"/>
      <c r="E180" s="1346"/>
      <c r="F180" s="1346"/>
      <c r="G180" s="1346"/>
      <c r="H180" s="1346"/>
    </row>
    <row r="181" spans="1:8" s="17" customFormat="1" ht="12.75" hidden="1" x14ac:dyDescent="0.2">
      <c r="A181" s="34"/>
      <c r="B181" s="298" t="s">
        <v>67</v>
      </c>
      <c r="C181" s="1346" t="s">
        <v>112</v>
      </c>
      <c r="D181" s="1346"/>
      <c r="E181" s="1346"/>
      <c r="F181" s="1346"/>
      <c r="G181" s="1346"/>
      <c r="H181" s="1346"/>
    </row>
    <row r="182" spans="1:8" s="17" customFormat="1" ht="12.75" hidden="1" x14ac:dyDescent="0.2">
      <c r="A182" s="34"/>
      <c r="B182" s="298" t="s">
        <v>68</v>
      </c>
      <c r="C182" s="1346" t="s">
        <v>242</v>
      </c>
      <c r="D182" s="1346"/>
      <c r="E182" s="1346"/>
      <c r="F182" s="1346"/>
      <c r="G182" s="1346"/>
      <c r="H182" s="1346"/>
    </row>
    <row r="183" spans="1:8" s="41" customFormat="1" ht="12.75" hidden="1" x14ac:dyDescent="0.2">
      <c r="A183" s="46"/>
      <c r="B183" s="299" t="s">
        <v>1063</v>
      </c>
      <c r="C183" s="1353" t="s">
        <v>1064</v>
      </c>
      <c r="D183" s="1353"/>
      <c r="E183" s="1353"/>
      <c r="F183" s="1353"/>
      <c r="G183" s="1353"/>
      <c r="H183" s="1353"/>
    </row>
    <row r="184" spans="1:8" s="325" customFormat="1" ht="38.25" hidden="1" x14ac:dyDescent="0.2">
      <c r="A184" s="321"/>
      <c r="B184" s="305" t="s">
        <v>378</v>
      </c>
      <c r="C184" s="305" t="s">
        <v>69</v>
      </c>
      <c r="D184" s="337" t="s">
        <v>1567</v>
      </c>
      <c r="E184" s="305" t="s">
        <v>1065</v>
      </c>
      <c r="F184" s="305" t="s">
        <v>1066</v>
      </c>
      <c r="G184" s="305" t="s">
        <v>70</v>
      </c>
      <c r="H184" s="305" t="s">
        <v>89</v>
      </c>
    </row>
    <row r="185" spans="1:8" s="17" customFormat="1" ht="12.75" hidden="1" x14ac:dyDescent="0.2">
      <c r="A185" s="34"/>
      <c r="B185" s="304" t="s">
        <v>158</v>
      </c>
      <c r="C185" s="297" t="s">
        <v>124</v>
      </c>
      <c r="D185" s="300" t="s">
        <v>91</v>
      </c>
      <c r="E185" s="56" t="s">
        <v>96</v>
      </c>
      <c r="F185" s="56" t="s">
        <v>96</v>
      </c>
      <c r="G185" s="56" t="s">
        <v>91</v>
      </c>
      <c r="H185" s="56" t="s">
        <v>91</v>
      </c>
    </row>
    <row r="186" spans="1:8" s="17" customFormat="1" ht="12.75" hidden="1" x14ac:dyDescent="0.2">
      <c r="A186" s="34"/>
      <c r="B186" s="47"/>
      <c r="C186" s="46"/>
      <c r="D186" s="46"/>
      <c r="E186" s="46"/>
      <c r="F186" s="41"/>
    </row>
    <row r="187" spans="1:8" s="17" customFormat="1" ht="12.75" hidden="1" x14ac:dyDescent="0.2">
      <c r="A187" s="153">
        <v>18</v>
      </c>
      <c r="B187" s="306" t="s">
        <v>145</v>
      </c>
      <c r="C187" s="301" t="s">
        <v>808</v>
      </c>
      <c r="D187" s="34"/>
      <c r="E187" s="34"/>
    </row>
    <row r="188" spans="1:8" s="17" customFormat="1" ht="12.75" hidden="1" x14ac:dyDescent="0.2">
      <c r="A188" s="154"/>
      <c r="B188" s="303" t="s">
        <v>146</v>
      </c>
      <c r="C188" s="1352" t="s">
        <v>125</v>
      </c>
      <c r="D188" s="1352"/>
      <c r="E188" s="1352"/>
      <c r="F188" s="1352"/>
      <c r="G188" s="1352"/>
    </row>
    <row r="189" spans="1:8" s="17" customFormat="1" ht="12.75" hidden="1" x14ac:dyDescent="0.2">
      <c r="A189" s="154"/>
      <c r="B189" s="298" t="s">
        <v>66</v>
      </c>
      <c r="C189" s="1346" t="s">
        <v>96</v>
      </c>
      <c r="D189" s="1346"/>
      <c r="E189" s="1346"/>
      <c r="F189" s="1346"/>
      <c r="G189" s="1346"/>
      <c r="H189" s="1346"/>
    </row>
    <row r="190" spans="1:8" s="17" customFormat="1" ht="12.75" hidden="1" x14ac:dyDescent="0.2">
      <c r="A190" s="34"/>
      <c r="B190" s="298" t="s">
        <v>67</v>
      </c>
      <c r="C190" s="1346" t="s">
        <v>112</v>
      </c>
      <c r="D190" s="1346"/>
      <c r="E190" s="1346"/>
      <c r="F190" s="1346"/>
      <c r="G190" s="1346"/>
      <c r="H190" s="1346"/>
    </row>
    <row r="191" spans="1:8" s="17" customFormat="1" ht="12.75" hidden="1" x14ac:dyDescent="0.2">
      <c r="A191" s="34"/>
      <c r="B191" s="298" t="s">
        <v>68</v>
      </c>
      <c r="C191" s="1346" t="s">
        <v>242</v>
      </c>
      <c r="D191" s="1346"/>
      <c r="E191" s="1346"/>
      <c r="F191" s="1346"/>
      <c r="G191" s="1346"/>
      <c r="H191" s="1346"/>
    </row>
    <row r="192" spans="1:8" s="41" customFormat="1" ht="12.75" hidden="1" x14ac:dyDescent="0.2">
      <c r="A192" s="46"/>
      <c r="B192" s="299" t="s">
        <v>1063</v>
      </c>
      <c r="C192" s="1353" t="s">
        <v>1064</v>
      </c>
      <c r="D192" s="1353"/>
      <c r="E192" s="1353"/>
      <c r="F192" s="1353"/>
      <c r="G192" s="1353"/>
      <c r="H192" s="1353"/>
    </row>
    <row r="193" spans="1:8" s="325" customFormat="1" ht="38.25" hidden="1" x14ac:dyDescent="0.2">
      <c r="A193" s="321"/>
      <c r="B193" s="305" t="s">
        <v>378</v>
      </c>
      <c r="C193" s="305" t="s">
        <v>69</v>
      </c>
      <c r="D193" s="337" t="s">
        <v>1567</v>
      </c>
      <c r="E193" s="305" t="s">
        <v>1065</v>
      </c>
      <c r="F193" s="305" t="s">
        <v>1066</v>
      </c>
      <c r="G193" s="305" t="s">
        <v>70</v>
      </c>
      <c r="H193" s="305" t="s">
        <v>89</v>
      </c>
    </row>
    <row r="194" spans="1:8" s="17" customFormat="1" ht="12.75" hidden="1" x14ac:dyDescent="0.2">
      <c r="A194" s="34"/>
      <c r="B194" s="304" t="s">
        <v>158</v>
      </c>
      <c r="C194" s="297" t="s">
        <v>126</v>
      </c>
      <c r="D194" s="300" t="s">
        <v>91</v>
      </c>
      <c r="E194" s="56" t="s">
        <v>96</v>
      </c>
      <c r="F194" s="56" t="s">
        <v>96</v>
      </c>
      <c r="G194" s="56" t="s">
        <v>91</v>
      </c>
      <c r="H194" s="56" t="s">
        <v>91</v>
      </c>
    </row>
    <row r="195" spans="1:8" s="17" customFormat="1" ht="12.75" hidden="1" x14ac:dyDescent="0.2">
      <c r="A195" s="34"/>
      <c r="B195" s="46"/>
      <c r="C195" s="46"/>
      <c r="D195" s="46"/>
      <c r="E195" s="46"/>
      <c r="F195" s="41"/>
    </row>
    <row r="196" spans="1:8" s="17" customFormat="1" ht="12.75" hidden="1" x14ac:dyDescent="0.2">
      <c r="A196" s="153">
        <v>19</v>
      </c>
      <c r="B196" s="306" t="s">
        <v>145</v>
      </c>
      <c r="C196" s="301" t="s">
        <v>809</v>
      </c>
      <c r="D196" s="34"/>
      <c r="E196" s="34"/>
    </row>
    <row r="197" spans="1:8" s="17" customFormat="1" ht="12.75" hidden="1" x14ac:dyDescent="0.2">
      <c r="A197" s="154"/>
      <c r="B197" s="303" t="s">
        <v>146</v>
      </c>
      <c r="C197" s="1352" t="s">
        <v>379</v>
      </c>
      <c r="D197" s="1352"/>
      <c r="E197" s="1352"/>
      <c r="F197" s="1352"/>
      <c r="G197" s="1352"/>
    </row>
    <row r="198" spans="1:8" s="17" customFormat="1" ht="12.75" hidden="1" x14ac:dyDescent="0.2">
      <c r="A198" s="154"/>
      <c r="B198" s="298" t="s">
        <v>66</v>
      </c>
      <c r="C198" s="1346" t="s">
        <v>96</v>
      </c>
      <c r="D198" s="1346"/>
      <c r="E198" s="1346"/>
      <c r="F198" s="1346"/>
      <c r="G198" s="1346"/>
      <c r="H198" s="1346"/>
    </row>
    <row r="199" spans="1:8" s="17" customFormat="1" ht="12.75" hidden="1" x14ac:dyDescent="0.2">
      <c r="A199" s="34"/>
      <c r="B199" s="298" t="s">
        <v>67</v>
      </c>
      <c r="C199" s="1346" t="s">
        <v>112</v>
      </c>
      <c r="D199" s="1346"/>
      <c r="E199" s="1346"/>
      <c r="F199" s="1346"/>
      <c r="G199" s="1346"/>
      <c r="H199" s="1346"/>
    </row>
    <row r="200" spans="1:8" s="17" customFormat="1" ht="12.75" hidden="1" x14ac:dyDescent="0.2">
      <c r="A200" s="34"/>
      <c r="B200" s="298" t="s">
        <v>68</v>
      </c>
      <c r="C200" s="1346" t="s">
        <v>242</v>
      </c>
      <c r="D200" s="1346"/>
      <c r="E200" s="1346"/>
      <c r="F200" s="1346"/>
      <c r="G200" s="1346"/>
      <c r="H200" s="1346"/>
    </row>
    <row r="201" spans="1:8" s="41" customFormat="1" ht="12.75" hidden="1" x14ac:dyDescent="0.2">
      <c r="A201" s="46"/>
      <c r="B201" s="299" t="s">
        <v>1063</v>
      </c>
      <c r="C201" s="1353" t="s">
        <v>1064</v>
      </c>
      <c r="D201" s="1353"/>
      <c r="E201" s="1353"/>
      <c r="F201" s="1353"/>
      <c r="G201" s="1353"/>
      <c r="H201" s="1353"/>
    </row>
    <row r="202" spans="1:8" s="325" customFormat="1" ht="38.25" hidden="1" x14ac:dyDescent="0.2">
      <c r="A202" s="321"/>
      <c r="B202" s="305" t="s">
        <v>378</v>
      </c>
      <c r="C202" s="305" t="s">
        <v>69</v>
      </c>
      <c r="D202" s="337" t="s">
        <v>1567</v>
      </c>
      <c r="E202" s="305" t="s">
        <v>1065</v>
      </c>
      <c r="F202" s="305" t="s">
        <v>1066</v>
      </c>
      <c r="G202" s="305" t="s">
        <v>70</v>
      </c>
      <c r="H202" s="305" t="s">
        <v>89</v>
      </c>
    </row>
    <row r="203" spans="1:8" s="17" customFormat="1" ht="12.75" hidden="1" x14ac:dyDescent="0.2">
      <c r="A203" s="34"/>
      <c r="B203" s="304" t="s">
        <v>158</v>
      </c>
      <c r="C203" s="297" t="s">
        <v>380</v>
      </c>
      <c r="D203" s="300" t="s">
        <v>91</v>
      </c>
      <c r="E203" s="56" t="s">
        <v>96</v>
      </c>
      <c r="F203" s="56" t="s">
        <v>96</v>
      </c>
      <c r="G203" s="56" t="s">
        <v>91</v>
      </c>
      <c r="H203" s="56" t="s">
        <v>91</v>
      </c>
    </row>
    <row r="204" spans="1:8" s="17" customFormat="1" ht="12.75" hidden="1" x14ac:dyDescent="0.2">
      <c r="A204" s="34"/>
      <c r="B204" s="46"/>
      <c r="C204" s="46"/>
      <c r="D204" s="46"/>
      <c r="E204" s="46"/>
      <c r="F204" s="41"/>
    </row>
    <row r="205" spans="1:8" s="17" customFormat="1" ht="12.75" hidden="1" x14ac:dyDescent="0.2">
      <c r="A205" s="153">
        <v>20</v>
      </c>
      <c r="B205" s="306" t="s">
        <v>145</v>
      </c>
      <c r="C205" s="301" t="s">
        <v>810</v>
      </c>
      <c r="D205" s="34"/>
      <c r="E205" s="34"/>
    </row>
    <row r="206" spans="1:8" s="17" customFormat="1" ht="12.75" hidden="1" x14ac:dyDescent="0.2">
      <c r="A206" s="154"/>
      <c r="B206" s="303" t="s">
        <v>146</v>
      </c>
      <c r="C206" s="1352" t="s">
        <v>813</v>
      </c>
      <c r="D206" s="1352"/>
      <c r="E206" s="1352"/>
      <c r="F206" s="1352"/>
      <c r="G206" s="1352"/>
    </row>
    <row r="207" spans="1:8" s="17" customFormat="1" ht="12.75" hidden="1" x14ac:dyDescent="0.2">
      <c r="A207" s="154"/>
      <c r="B207" s="298" t="s">
        <v>66</v>
      </c>
      <c r="C207" s="1346" t="s">
        <v>96</v>
      </c>
      <c r="D207" s="1346"/>
      <c r="E207" s="1346"/>
      <c r="F207" s="1346"/>
      <c r="G207" s="1346"/>
      <c r="H207" s="1346"/>
    </row>
    <row r="208" spans="1:8" s="17" customFormat="1" ht="12.75" hidden="1" x14ac:dyDescent="0.2">
      <c r="A208" s="34"/>
      <c r="B208" s="298" t="s">
        <v>67</v>
      </c>
      <c r="C208" s="1346" t="s">
        <v>112</v>
      </c>
      <c r="D208" s="1346"/>
      <c r="E208" s="1346"/>
      <c r="F208" s="1346"/>
      <c r="G208" s="1346"/>
      <c r="H208" s="1346"/>
    </row>
    <row r="209" spans="1:8" s="17" customFormat="1" ht="12.75" hidden="1" x14ac:dyDescent="0.2">
      <c r="A209" s="34"/>
      <c r="B209" s="298" t="s">
        <v>68</v>
      </c>
      <c r="C209" s="1346" t="s">
        <v>242</v>
      </c>
      <c r="D209" s="1346"/>
      <c r="E209" s="1346"/>
      <c r="F209" s="1346"/>
      <c r="G209" s="1346"/>
      <c r="H209" s="1346"/>
    </row>
    <row r="210" spans="1:8" s="41" customFormat="1" ht="12.75" hidden="1" x14ac:dyDescent="0.2">
      <c r="A210" s="46"/>
      <c r="B210" s="299" t="s">
        <v>1063</v>
      </c>
      <c r="C210" s="1353" t="s">
        <v>1064</v>
      </c>
      <c r="D210" s="1353"/>
      <c r="E210" s="1353"/>
      <c r="F210" s="1353"/>
      <c r="G210" s="1353"/>
      <c r="H210" s="1353"/>
    </row>
    <row r="211" spans="1:8" s="325" customFormat="1" ht="38.25" hidden="1" x14ac:dyDescent="0.2">
      <c r="A211" s="321"/>
      <c r="B211" s="305" t="s">
        <v>378</v>
      </c>
      <c r="C211" s="305" t="s">
        <v>69</v>
      </c>
      <c r="D211" s="337" t="s">
        <v>1567</v>
      </c>
      <c r="E211" s="305" t="s">
        <v>1065</v>
      </c>
      <c r="F211" s="305" t="s">
        <v>1066</v>
      </c>
      <c r="G211" s="305" t="s">
        <v>70</v>
      </c>
      <c r="H211" s="305" t="s">
        <v>89</v>
      </c>
    </row>
    <row r="212" spans="1:8" s="17" customFormat="1" ht="12.75" hidden="1" x14ac:dyDescent="0.2">
      <c r="A212" s="34"/>
      <c r="B212" s="304" t="s">
        <v>158</v>
      </c>
      <c r="C212" s="297" t="s">
        <v>381</v>
      </c>
      <c r="D212" s="300" t="s">
        <v>91</v>
      </c>
      <c r="E212" s="56" t="s">
        <v>96</v>
      </c>
      <c r="F212" s="56" t="s">
        <v>96</v>
      </c>
      <c r="G212" s="56" t="s">
        <v>91</v>
      </c>
      <c r="H212" s="56" t="s">
        <v>91</v>
      </c>
    </row>
    <row r="213" spans="1:8" x14ac:dyDescent="0.2">
      <c r="F213" s="17"/>
      <c r="G213" s="17"/>
    </row>
    <row r="214" spans="1:8" x14ac:dyDescent="0.2">
      <c r="F214" s="17"/>
      <c r="G214" s="17"/>
    </row>
    <row r="215" spans="1:8" x14ac:dyDescent="0.2">
      <c r="F215" s="17"/>
      <c r="G215" s="17"/>
    </row>
  </sheetData>
  <customSheetViews>
    <customSheetView guid="{4892E1C0-7A56-4F81-A857-987D77EC4462}" topLeftCell="A30">
      <selection activeCell="P24" sqref="P24"/>
      <pageMargins left="0.2" right="0.2" top="0.75" bottom="0.25" header="0.3" footer="0.3"/>
      <pageSetup orientation="landscape" r:id="rId1"/>
      <headerFooter>
        <oddHeader>&amp;L&amp;G&amp;CShowAcronymGoesHere - PSM&amp;R&amp;P</oddHeader>
        <oddFooter>&amp;L&amp;D&amp;R&amp;Z&amp;F</oddFooter>
      </headerFooter>
    </customSheetView>
    <customSheetView guid="{C29C6423-4E3D-4B08-919E-993C7C45FC31}" topLeftCell="A30">
      <selection activeCell="P24" sqref="P24"/>
      <pageMargins left="0.2" right="0.2" top="0.75" bottom="0.25" header="0.3" footer="0.3"/>
      <pageSetup orientation="landscape" r:id="rId2"/>
      <headerFooter>
        <oddHeader>&amp;L&amp;G&amp;CShowAcronymGoesHere - PSM&amp;R&amp;P</oddHeader>
        <oddFooter>&amp;L&amp;D&amp;R&amp;Z&amp;F</oddFooter>
      </headerFooter>
    </customSheetView>
  </customSheetViews>
  <mergeCells count="124">
    <mergeCell ref="C179:G179"/>
    <mergeCell ref="C161:H161"/>
    <mergeCell ref="C98:H98"/>
    <mergeCell ref="C100:H100"/>
    <mergeCell ref="C210:H210"/>
    <mergeCell ref="C95:H95"/>
    <mergeCell ref="C96:H96"/>
    <mergeCell ref="C207:H207"/>
    <mergeCell ref="C208:H208"/>
    <mergeCell ref="C209:H209"/>
    <mergeCell ref="C200:H200"/>
    <mergeCell ref="C201:H201"/>
    <mergeCell ref="C206:G206"/>
    <mergeCell ref="C192:H192"/>
    <mergeCell ref="C189:H189"/>
    <mergeCell ref="C190:H190"/>
    <mergeCell ref="C198:H198"/>
    <mergeCell ref="C199:H199"/>
    <mergeCell ref="C197:G197"/>
    <mergeCell ref="C188:G188"/>
    <mergeCell ref="C191:H191"/>
    <mergeCell ref="C173:H173"/>
    <mergeCell ref="C174:H174"/>
    <mergeCell ref="C180:H180"/>
    <mergeCell ref="A1:B1"/>
    <mergeCell ref="A6:H6"/>
    <mergeCell ref="C15:H15"/>
    <mergeCell ref="C10:H10"/>
    <mergeCell ref="C87:H87"/>
    <mergeCell ref="C88:H88"/>
    <mergeCell ref="D58:E58"/>
    <mergeCell ref="C11:H11"/>
    <mergeCell ref="C12:H12"/>
    <mergeCell ref="C13:H13"/>
    <mergeCell ref="C14:H14"/>
    <mergeCell ref="C36:H36"/>
    <mergeCell ref="C37:H37"/>
    <mergeCell ref="C38:H38"/>
    <mergeCell ref="C39:H39"/>
    <mergeCell ref="A5:H5"/>
    <mergeCell ref="A2:H2"/>
    <mergeCell ref="C16:H16"/>
    <mergeCell ref="C47:H47"/>
    <mergeCell ref="C48:H48"/>
    <mergeCell ref="A7:H7"/>
    <mergeCell ref="C23:H23"/>
    <mergeCell ref="C24:H24"/>
    <mergeCell ref="C26:H26"/>
    <mergeCell ref="C116:H116"/>
    <mergeCell ref="C114:G114"/>
    <mergeCell ref="C86:H86"/>
    <mergeCell ref="C89:H89"/>
    <mergeCell ref="C97:H97"/>
    <mergeCell ref="C59:H59"/>
    <mergeCell ref="C60:H60"/>
    <mergeCell ref="C61:H61"/>
    <mergeCell ref="C70:H70"/>
    <mergeCell ref="C71:H71"/>
    <mergeCell ref="C72:H72"/>
    <mergeCell ref="C73:H73"/>
    <mergeCell ref="C74:H74"/>
    <mergeCell ref="C75:H75"/>
    <mergeCell ref="C76:H76"/>
    <mergeCell ref="C77:H77"/>
    <mergeCell ref="C162:H162"/>
    <mergeCell ref="C160:G160"/>
    <mergeCell ref="C127:H127"/>
    <mergeCell ref="C128:H128"/>
    <mergeCell ref="C135:H135"/>
    <mergeCell ref="C136:H136"/>
    <mergeCell ref="C133:G133"/>
    <mergeCell ref="C134:H134"/>
    <mergeCell ref="C151:G151"/>
    <mergeCell ref="C154:H154"/>
    <mergeCell ref="C152:H152"/>
    <mergeCell ref="C143:H143"/>
    <mergeCell ref="C183:H183"/>
    <mergeCell ref="C163:H163"/>
    <mergeCell ref="C146:H146"/>
    <mergeCell ref="C99:H99"/>
    <mergeCell ref="C182:H182"/>
    <mergeCell ref="C164:H164"/>
    <mergeCell ref="C171:H171"/>
    <mergeCell ref="B167:G167"/>
    <mergeCell ref="C170:G170"/>
    <mergeCell ref="C172:H172"/>
    <mergeCell ref="C107:H107"/>
    <mergeCell ref="C105:G105"/>
    <mergeCell ref="C106:H106"/>
    <mergeCell ref="C153:H153"/>
    <mergeCell ref="C118:H118"/>
    <mergeCell ref="C126:H126"/>
    <mergeCell ref="C125:H125"/>
    <mergeCell ref="C155:H155"/>
    <mergeCell ref="C137:H137"/>
    <mergeCell ref="C142:G142"/>
    <mergeCell ref="C117:H117"/>
    <mergeCell ref="C124:G124"/>
    <mergeCell ref="C108:H108"/>
    <mergeCell ref="C109:H109"/>
    <mergeCell ref="C181:H181"/>
    <mergeCell ref="C144:H144"/>
    <mergeCell ref="C145:H145"/>
    <mergeCell ref="C49:H49"/>
    <mergeCell ref="C50:H50"/>
    <mergeCell ref="C51:H51"/>
    <mergeCell ref="C52:H52"/>
    <mergeCell ref="A8:H8"/>
    <mergeCell ref="C27:H27"/>
    <mergeCell ref="C28:H28"/>
    <mergeCell ref="C25:H25"/>
    <mergeCell ref="C33:H33"/>
    <mergeCell ref="C34:H34"/>
    <mergeCell ref="C35:H35"/>
    <mergeCell ref="C29:H29"/>
    <mergeCell ref="D46:E46"/>
    <mergeCell ref="C62:H62"/>
    <mergeCell ref="C63:H63"/>
    <mergeCell ref="C64:H64"/>
    <mergeCell ref="C65:H65"/>
    <mergeCell ref="C53:H53"/>
    <mergeCell ref="C90:H90"/>
    <mergeCell ref="C85:H85"/>
    <mergeCell ref="C115:H115"/>
  </mergeCells>
  <phoneticPr fontId="6" type="noConversion"/>
  <hyperlinks>
    <hyperlink ref="A1" location="TOC!A1" display="TOC Page"/>
  </hyperlinks>
  <pageMargins left="0.2" right="0.2" top="0.75" bottom="0.25" header="0.3" footer="0.15"/>
  <pageSetup orientation="landscape" r:id="rId3"/>
  <headerFooter>
    <oddHeader>&amp;L&amp;G&amp;CShowAcronymGoesHere - PSM&amp;R&amp;P</oddHeader>
    <oddFooter>&amp;L&amp;D&amp;R&amp;Z&amp;F</oddFooter>
  </headerFooter>
  <customProperties>
    <customPr name="DVSECTIONID" r:id="rId4"/>
  </customProperties>
  <legacyDrawing r:id="rId5"/>
  <legacyDrawingHF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39</vt:i4>
      </vt:variant>
      <vt:variant>
        <vt:lpstr>Named Ranges</vt:lpstr>
      </vt:variant>
      <vt:variant>
        <vt:i4>64</vt:i4>
      </vt:variant>
    </vt:vector>
  </HeadingPairs>
  <TitlesOfParts>
    <vt:vector size="103" baseType="lpstr">
      <vt:lpstr>TOC</vt:lpstr>
      <vt:lpstr>Show Info</vt:lpstr>
      <vt:lpstr>Show Services</vt:lpstr>
      <vt:lpstr>Customer Service</vt:lpstr>
      <vt:lpstr>Inquiry</vt:lpstr>
      <vt:lpstr>Reg Codes</vt:lpstr>
      <vt:lpstr>Fields</vt:lpstr>
      <vt:lpstr>Field Designations</vt:lpstr>
      <vt:lpstr>Demos</vt:lpstr>
      <vt:lpstr>Options</vt:lpstr>
      <vt:lpstr>Reg Types</vt:lpstr>
      <vt:lpstr>Exhibitor</vt:lpstr>
      <vt:lpstr>Invite A Customer</vt:lpstr>
      <vt:lpstr>Membership</vt:lpstr>
      <vt:lpstr>Discount Mgr</vt:lpstr>
      <vt:lpstr>Qualification Mgr</vt:lpstr>
      <vt:lpstr>Financial</vt:lpstr>
      <vt:lpstr>Housing</vt:lpstr>
      <vt:lpstr>Confirmations</vt:lpstr>
      <vt:lpstr>Reporting </vt:lpstr>
      <vt:lpstr>Client Services &amp; Database Mgr</vt:lpstr>
      <vt:lpstr>Data Control</vt:lpstr>
      <vt:lpstr>Web Dashboard</vt:lpstr>
      <vt:lpstr>Attendee Exhibitor Matching </vt:lpstr>
      <vt:lpstr>Attendee Init Exh Appointment  </vt:lpstr>
      <vt:lpstr>Registration Widget Setup </vt:lpstr>
      <vt:lpstr>myLeads </vt:lpstr>
      <vt:lpstr>Exhibitor Contet</vt:lpstr>
      <vt:lpstr>Materials</vt:lpstr>
      <vt:lpstr>Notes</vt:lpstr>
      <vt:lpstr>Badge Ticket Formats</vt:lpstr>
      <vt:lpstr>Onsite</vt:lpstr>
      <vt:lpstr>ESG</vt:lpstr>
      <vt:lpstr>Post Show </vt:lpstr>
      <vt:lpstr>Data Transfer</vt:lpstr>
      <vt:lpstr>PrePop AutoReg</vt:lpstr>
      <vt:lpstr>Additional Services</vt:lpstr>
      <vt:lpstr>Reference</vt:lpstr>
      <vt:lpstr>Additional Programming</vt:lpstr>
      <vt:lpstr>BadgeTicketFormats</vt:lpstr>
      <vt:lpstr>Confirmatinos_BrodcastEmails</vt:lpstr>
      <vt:lpstr>Confirmation_ConfirmationLetters</vt:lpstr>
      <vt:lpstr>Confirmations</vt:lpstr>
      <vt:lpstr>Confirmations_ExhibitorPasswordLetters</vt:lpstr>
      <vt:lpstr>ContactFieldNamesMustEnters</vt:lpstr>
      <vt:lpstr>CustomerService</vt:lpstr>
      <vt:lpstr>DataBaseManager</vt:lpstr>
      <vt:lpstr>DataBaseManager_AdditionalAdvanceOptions</vt:lpstr>
      <vt:lpstr>DataBaseManager_ClientServices</vt:lpstr>
      <vt:lpstr>DataBaseManager_DataDownload</vt:lpstr>
      <vt:lpstr>DatabaseManager_MainMenuOptions</vt:lpstr>
      <vt:lpstr>DataBaseManager_SearchOptions</vt:lpstr>
      <vt:lpstr>'Data Transfer'!DataEntryBatching</vt:lpstr>
      <vt:lpstr>'PrePop AutoReg'!DataEntryBatching</vt:lpstr>
      <vt:lpstr>DataEntryBatching</vt:lpstr>
      <vt:lpstr>DataEntryBatching_Batching</vt:lpstr>
      <vt:lpstr>DataEntryBatching_DataEntry</vt:lpstr>
      <vt:lpstr>DataEntryBatching_EquipmentAtClient</vt:lpstr>
      <vt:lpstr>DemographicQuestions</vt:lpstr>
      <vt:lpstr>DemographicQuestions_VisaDemoQuestions</vt:lpstr>
      <vt:lpstr>'Invite A Customer'!Exhibitor</vt:lpstr>
      <vt:lpstr>Exhibitor</vt:lpstr>
      <vt:lpstr>'Invite A Customer'!Exhibitor_ExhibitorInviteACustomer</vt:lpstr>
      <vt:lpstr>FinancialInformation_ReedCancellationPolicy</vt:lpstr>
      <vt:lpstr>Housing</vt:lpstr>
      <vt:lpstr>Materials</vt:lpstr>
      <vt:lpstr>MembershipInformation</vt:lpstr>
      <vt:lpstr>Onsite</vt:lpstr>
      <vt:lpstr>Onsite_Onsite</vt:lpstr>
      <vt:lpstr>Onsite_Onsite_CyberCafe</vt:lpstr>
      <vt:lpstr>Onsite_Onsite_NewProductShowcase</vt:lpstr>
      <vt:lpstr>Onsite_Onsite_NonRegistrationCashier</vt:lpstr>
      <vt:lpstr>Onsite_Services_AmericanExpressTravel</vt:lpstr>
      <vt:lpstr>Onsite_Services_BadgePrintThreshold</vt:lpstr>
      <vt:lpstr>Onsite_Services_CSIOnSiteProblemResolution</vt:lpstr>
      <vt:lpstr>Onsite_Services_Equipment</vt:lpstr>
      <vt:lpstr>Onsite_Services_HoteInformation</vt:lpstr>
      <vt:lpstr>Onsite_Services_ReedNextYearsEventRegistration</vt:lpstr>
      <vt:lpstr>'Additional Programming'!Print_Area</vt:lpstr>
      <vt:lpstr>'Field Designations'!Print_Titles</vt:lpstr>
      <vt:lpstr>Inquiry!Print_Titles</vt:lpstr>
      <vt:lpstr>'Reg Codes'!Print_Titles</vt:lpstr>
      <vt:lpstr>QualificationManager</vt:lpstr>
      <vt:lpstr>QualificationManager_FieldsToBeDisplayed</vt:lpstr>
      <vt:lpstr>QualificationManager_RecordAtAGlance</vt:lpstr>
      <vt:lpstr>Inquiry!RegistrationCodes</vt:lpstr>
      <vt:lpstr>RegistrationCodes</vt:lpstr>
      <vt:lpstr>Fields!RegTypes</vt:lpstr>
      <vt:lpstr>Fields!RegTypes_DataProtectFlag2</vt:lpstr>
      <vt:lpstr>Fields!RegTypes_GlCodeList</vt:lpstr>
      <vt:lpstr>Fields!RegTypes_MailHoldExpressRegistration</vt:lpstr>
      <vt:lpstr>Fields!RegTypes_reg2</vt:lpstr>
      <vt:lpstr>Fields!RegTypes_reg3</vt:lpstr>
      <vt:lpstr>Fields!RegTypes_RegistrationReceiptMethod</vt:lpstr>
      <vt:lpstr>Reporting</vt:lpstr>
      <vt:lpstr>Reporting_WeeklyReportingCycle</vt:lpstr>
      <vt:lpstr>ShowInformation</vt:lpstr>
      <vt:lpstr>ShowInformation_CoLocation</vt:lpstr>
      <vt:lpstr>ShowInformation_ContactInformation</vt:lpstr>
      <vt:lpstr>ShowInformation_CSIDatabaseInformation</vt:lpstr>
      <vt:lpstr>ShowInformation_EventBasics</vt:lpstr>
      <vt:lpstr>ShowInformation_RegistrationProjections</vt:lpstr>
      <vt:lpstr>ShowRequirements</vt:lpstr>
    </vt:vector>
  </TitlesOfParts>
  <Company>CompuSystems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2011-02-25T20:25:20Z</dcterms:created>
  <dc:creator>Kathryn Meyer</dc:creator>
  <cp:lastModifiedBy>MRT www.Win2Farsi.com</cp:lastModifiedBy>
  <cp:lastPrinted>2019-09-10T19:28:25Z</cp:lastPrinted>
  <dcterms:modified xsi:type="dcterms:W3CDTF">2020-10-27T13:10:22Z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oogle.Documents.Tracking">
    <vt:lpwstr>false</vt:lpwstr>
  </property>
  <property fmtid="{D5CDD505-2E9C-101B-9397-08002B2CF9AE}" pid="3" name="Google.Documents.DocumentId">
    <vt:lpwstr>12Lgk1VZSuFWN2XofY2UcxqGWyTp1FgXjCXEQJcTp7VY</vt:lpwstr>
  </property>
  <property fmtid="{D5CDD505-2E9C-101B-9397-08002B2CF9AE}" pid="4" name="Google.Documents.RevisionId">
    <vt:lpwstr>13809139404504031634</vt:lpwstr>
  </property>
  <property fmtid="{D5CDD505-2E9C-101B-9397-08002B2CF9AE}" pid="5" name="Google.Documents.PluginVersion">
    <vt:lpwstr>2.0.2424.7283</vt:lpwstr>
  </property>
  <property fmtid="{D5CDD505-2E9C-101B-9397-08002B2CF9AE}" pid="6" name="Google.Documents.MergeIncapabilityFlags">
    <vt:i4>0</vt:i4>
  </property>
</Properties>
</file>